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171.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7"/>
  <workbookPr/>
  <mc:AlternateContent xmlns:mc="http://schemas.openxmlformats.org/markup-compatibility/2006">
    <mc:Choice Requires="x15">
      <x15ac:absPath xmlns:x15ac="http://schemas.microsoft.com/office/spreadsheetml/2010/11/ac" url="/Users/Adam/Src/who-int/core/input/datadictionary/"/>
    </mc:Choice>
  </mc:AlternateContent>
  <xr:revisionPtr revIDLastSave="0" documentId="13_ncr:80001_{062AEADE-D4FB-CD46-AB73-BEE09D4C047B}" xr6:coauthVersionLast="36" xr6:coauthVersionMax="36" xr10:uidLastSave="{00000000-0000-0000-0000-000000000000}"/>
  <bookViews>
    <workbookView xWindow="0" yWindow="460" windowWidth="33600" windowHeight="19600" activeTab="3" xr2:uid="{00000000-000D-0000-FFFF-FFFF00000000}"/>
  </bookViews>
  <sheets>
    <sheet name="Master 0.1" sheetId="1" r:id="rId1"/>
    <sheet name="Master 0.2" sheetId="2" state="hidden" r:id="rId2"/>
    <sheet name="Master 0.5" sheetId="3" state="hidden" r:id="rId3"/>
    <sheet name="Master-1.0" sheetId="4" r:id="rId4"/>
    <sheet name="Profile" sheetId="5" r:id="rId5"/>
    <sheet name="Structural Change Tracking" sheetId="6" r:id="rId6"/>
    <sheet name="Process" sheetId="7" state="hidden" r:id="rId7"/>
    <sheet name="Status Tracking " sheetId="8" r:id="rId8"/>
    <sheet name="Setup" sheetId="9" r:id="rId9"/>
    <sheet name="New DD (Stacked)" sheetId="10" r:id="rId10"/>
    <sheet name="Terminology Prioritization Info" sheetId="11" state="hidden" r:id="rId11"/>
  </sheets>
  <definedNames>
    <definedName name="_xlnm._FilterDatabase" localSheetId="1" hidden="1">'Master 0.2'!$A$2:$AM$1230</definedName>
    <definedName name="_xlnm._FilterDatabase" localSheetId="2" hidden="1">'Master 0.5'!$AK$1773</definedName>
    <definedName name="_xlnm._FilterDatabase" localSheetId="7" hidden="1">'Status Tracking '!$A$25:$K$46</definedName>
    <definedName name="Z_025DE35C_4EC1_4233_A96E_C6EC919EDEB0_.wvu.FilterData" localSheetId="2" hidden="1">'Master 0.5'!$V$1711</definedName>
    <definedName name="Z_069225CF_E28B_41D1_860B_F29D7295507C_.wvu.FilterData" localSheetId="2" hidden="1">'Master 0.5'!$A$2:$BN$1814</definedName>
    <definedName name="Z_0AD1BDFB_65A7_4221_8848_882FC5274F16_.wvu.FilterData" localSheetId="3" hidden="1">'Master-1.0'!$A$2:$CF$946</definedName>
    <definedName name="Z_1910C54C_1C24_4895_9296_FDD18CE4A0F0_.wvu.FilterData" localSheetId="2" hidden="1">'Master 0.5'!$L$1:$BN$1687</definedName>
    <definedName name="Z_1910C54C_1C24_4895_9296_FDD18CE4A0F0_.wvu.FilterData" localSheetId="3" hidden="1">'Master-1.0'!$A$2:$CF$946</definedName>
    <definedName name="Z_1A7E4B2F_82CD_456B_BB55_180022A7F265_.wvu.FilterData" localSheetId="3" hidden="1">'Master-1.0'!$A$2:$CF$946</definedName>
    <definedName name="Z_1AD5E13D_8282_4996_B5F2_FAE2F91BDD47_.wvu.FilterData" localSheetId="3" hidden="1">'Master-1.0'!$A$2:$CF$946</definedName>
    <definedName name="Z_1D6A24B6_729B_48D7_8CB9_B294C0358362_.wvu.FilterData" localSheetId="3" hidden="1">'Master-1.0'!$A$2:$CU$946</definedName>
    <definedName name="Z_1E811070_77C9_4C62_A6DE_C4D4FBC50D43_.wvu.FilterData" localSheetId="2" hidden="1">'Master 0.5'!$A$2:$BN$1814</definedName>
    <definedName name="Z_21890E29_07F1_4CCD_9E6E_3D2BD5037CC1_.wvu.FilterData" localSheetId="2" hidden="1">'Master 0.5'!$V$1711</definedName>
    <definedName name="Z_21890E29_07F1_4CCD_9E6E_3D2BD5037CC1_.wvu.FilterData" localSheetId="3" hidden="1">'Master-1.0'!$A$2:$CF$946</definedName>
    <definedName name="Z_2A7C13AC_62B9_46A5_90F7_D656FA9D0F56_.wvu.FilterData" localSheetId="3" hidden="1">'Master-1.0'!$A$2:$CF$946</definedName>
    <definedName name="Z_327BF662_AC2B_46DC_9C16_2DAC9F1D6CF6_.wvu.FilterData" localSheetId="2" hidden="1">'Master 0.5'!$A$2:$BN$1814</definedName>
    <definedName name="Z_327BF662_AC2B_46DC_9C16_2DAC9F1D6CF6_.wvu.FilterData" localSheetId="3" hidden="1">'Master-1.0'!$A$2:$CF$946</definedName>
    <definedName name="Z_3A09F572_6D30_437C_9D10_7A6AD8F0A1E0_.wvu.FilterData" localSheetId="3" hidden="1">'Master-1.0'!$A$2:$CU$946</definedName>
    <definedName name="Z_496ADF04_19CB_4BE9_911C_E1F555A45686_.wvu.FilterData" localSheetId="3" hidden="1">'Master-1.0'!$A$2:$CF$946</definedName>
    <definedName name="Z_4CA0E785_75CE_4B6E_9168_540183A0F94A_.wvu.FilterData" localSheetId="3" hidden="1">'Master-1.0'!$A$2:$CF$946</definedName>
    <definedName name="Z_4F2FDEFB_DF96_46BD_A184_2D8210E77127_.wvu.FilterData" localSheetId="2" hidden="1">'Master 0.5'!$A$2:$BN$1814</definedName>
    <definedName name="Z_5E8E4703_A772_4A38_A546_8001D6B7D80A_.wvu.FilterData" localSheetId="3" hidden="1">'Master-1.0'!$A$2:$CF$946</definedName>
    <definedName name="Z_5ED98765_8C1E_4E68_B213_514D8A13B7AC_.wvu.FilterData" localSheetId="2" hidden="1">'Master 0.5'!$A$2:$BN$1814</definedName>
    <definedName name="Z_5ED98765_8C1E_4E68_B213_514D8A13B7AC_.wvu.FilterData" localSheetId="3" hidden="1">'Master-1.0'!$A$2:$CF$946</definedName>
    <definedName name="Z_6F6EA894_D5E1_43D1_A418_F92EA904DC03_.wvu.FilterData" localSheetId="3" hidden="1">'Master-1.0'!$A$2:$CF$946</definedName>
    <definedName name="Z_7332FD8C_C7BD_49EB_85B8_6A2A20F7F958_.wvu.FilterData" localSheetId="3" hidden="1">'Master-1.0'!$A$2:$CF$946</definedName>
    <definedName name="Z_7A3FF4CC_402F_4B7C_BD44_85B22C050823_.wvu.FilterData" localSheetId="3" hidden="1">'Master-1.0'!$A$2:$CF$946</definedName>
    <definedName name="Z_836E314E_5B9F_4069_BE66_1A0F4CF300DF_.wvu.FilterData" localSheetId="3" hidden="1">'Master-1.0'!$A$2:$CF$946</definedName>
    <definedName name="Z_8AA4F55A_FEF3_4277_8DDB_4428DA111FD8_.wvu.FilterData" localSheetId="2" hidden="1">'Master 0.5'!$L$12:$BN$1814</definedName>
    <definedName name="Z_8F576433_2BDA_4FDB_A08C_FD5165E39445_.wvu.FilterData" localSheetId="3" hidden="1">'Master-1.0'!$A$2:$CF$946</definedName>
    <definedName name="Z_9793C38F_CBEA_450D_93D7_F0FDF0CD177B_.wvu.FilterData" localSheetId="2" hidden="1">'Master 0.5'!$A$2:$BN$1814</definedName>
    <definedName name="Z_98CD094D_07F9_4FEB_8D38_F09817B7D2FD_.wvu.FilterData" localSheetId="3" hidden="1">'Master-1.0'!$A$2:$CU$946</definedName>
    <definedName name="Z_B18787EF_CC1A_4487_9F48_4287F85C0F52_.wvu.FilterData" localSheetId="2" hidden="1">'Master 0.5'!$A$2:$BN$1814</definedName>
    <definedName name="Z_B47698A9_9BD3_45EE_8D37_F2A9BC94FF9E_.wvu.FilterData" localSheetId="3" hidden="1">'Master-1.0'!$A$2:$CF$946</definedName>
    <definedName name="Z_BE7DBD03_0E81_40ED_AE8C_B768A309632F_.wvu.FilterData" localSheetId="2" hidden="1">'Master 0.5'!$A$2:$BN$1814</definedName>
    <definedName name="Z_C8C186E7_7A33_445E_9552_C00D7A51E357_.wvu.FilterData" localSheetId="3" hidden="1">'Master-1.0'!$A$2:$CF$946</definedName>
    <definedName name="Z_D239FA27_35EC_4BC5_A6A3_E0FE4BC5930E_.wvu.FilterData" localSheetId="3" hidden="1">'Master-1.0'!$A$2:$CU$946</definedName>
    <definedName name="Z_D4996012_7903_4B50_B984_EB94761FE3DF_.wvu.FilterData" localSheetId="3" hidden="1">'Master-1.0'!$A$2:$CF$946</definedName>
    <definedName name="Z_D4BDEF3A_8CAC_4565_941A_DB5D7F9E88E7_.wvu.FilterData" localSheetId="2" hidden="1">'Master 0.5'!$A$2:$BN$1814</definedName>
    <definedName name="Z_D4BDEF3A_8CAC_4565_941A_DB5D7F9E88E7_.wvu.FilterData" localSheetId="3" hidden="1">'Master-1.0'!$A$2:$CF$946</definedName>
    <definedName name="Z_DB30BF44_97D7_4039_B73C_7E03CD71EA63_.wvu.FilterData" localSheetId="3" hidden="1">'Master-1.0'!$A$2:$CU$946</definedName>
    <definedName name="Z_E10B6E4B_A987_4A94_AFF8_BE609F944E2A_.wvu.FilterData" localSheetId="2" hidden="1">'Master 0.5'!$A$2:$BN$1814</definedName>
    <definedName name="Z_EA0A6E36_CD1D_4617_9419_60E10C05CEB9_.wvu.FilterData" localSheetId="2" hidden="1">'Master 0.5'!$A$2:$BN$1814</definedName>
    <definedName name="Z_EA0A6E36_CD1D_4617_9419_60E10C05CEB9_.wvu.FilterData" localSheetId="3" hidden="1">'Master-1.0'!$A$2:$CF$946</definedName>
    <definedName name="Z_EB10C32D_9FD2_4755_B6ED_D1A710D16A49_.wvu.FilterData" localSheetId="3" hidden="1">'Master-1.0'!$A$2:$CF$946</definedName>
    <definedName name="Z_ED94E422_E2CE_49DE_9A56_EFCA444D8146_.wvu.FilterData" localSheetId="2" hidden="1">'Master 0.5'!$A$2:$BN$1814</definedName>
    <definedName name="Z_ED94E422_E2CE_49DE_9A56_EFCA444D8146_.wvu.FilterData" localSheetId="3" hidden="1">'Master-1.0'!$A$2:$CF$946</definedName>
    <definedName name="Z_ED94E422_E2CE_49DE_9A56_EFCA444D8146_.wvu.FilterData" localSheetId="7" hidden="1">'Status Tracking '!$A$25:$K$46</definedName>
    <definedName name="Z_EF1711DB_6701_4D1C_A0EA_CB328F58ABF2_.wvu.FilterData" localSheetId="2" hidden="1">'Master 0.5'!$A$2:$BN$1814</definedName>
    <definedName name="Z_EF1711DB_6701_4D1C_A0EA_CB328F58ABF2_.wvu.FilterData" localSheetId="3" hidden="1">'Master-1.0'!$A$2:$CF$946</definedName>
    <definedName name="Z_FACB19E6_FC98_4934_AE2A_EEABF8ADE7D5_.wvu.FilterData" localSheetId="2" hidden="1">'Master 0.5'!$A$2:$BN$1814</definedName>
  </definedNames>
  <calcPr calcId="181029"/>
  <customWorkbookViews>
    <customWorkbookView name="Suggested" guid="{496ADF04-19CB-4BE9-911C-E1F555A45686}" maximized="1" windowWidth="0" windowHeight="0" activeSheetId="0"/>
    <customWorkbookView name="Ticket Monitoring" guid="{327BF662-AC2B-46DC-9C16-2DAC9F1D6CF6}" maximized="1" windowWidth="0" windowHeight="0" activeSheetId="0"/>
    <customWorkbookView name="FP IG" guid="{3A09F572-6D30-437C-9D10-7A6AD8F0A1E0}" maximized="1" windowWidth="0" windowHeight="0" activeSheetId="0"/>
    <customWorkbookView name="Extensions" guid="{D4996012-7903-4B50-B984-EB94761FE3DF}" maximized="1" windowWidth="0" windowHeight="0" activeSheetId="0"/>
    <customWorkbookView name="Profile Check" guid="{0AD1BDFB-65A7-4221-8848-882FC5274F16}" maximized="1" windowWidth="0" windowHeight="0" activeSheetId="0"/>
    <customWorkbookView name="No purpose" guid="{9793C38F-CBEA-450D-93D7-F0FDF0CD177B}" maximized="1" windowWidth="0" windowHeight="0" activeSheetId="0"/>
    <customWorkbookView name="Demographics" guid="{4F2FDEFB-DF96-46BD-A184-2D8210E77127}" maximized="1" windowWidth="0" windowHeight="0" activeSheetId="0"/>
    <customWorkbookView name="Follow up" guid="{836E314E-5B9F-4069-BE66-1A0F4CF300DF}" maximized="1" windowWidth="0" windowHeight="0" activeSheetId="0"/>
    <customWorkbookView name="Needs FHIR mapping" guid="{D239FA27-35EC-4BC5-A6A3-E0FE4BC5930E}" maximized="1" windowWidth="0" windowHeight="0" activeSheetId="0"/>
    <customWorkbookView name="Value Set Review" guid="{5E8E4703-A772-4A38-A546-8001D6B7D80A}" maximized="1" windowWidth="0" windowHeight="0" activeSheetId="0"/>
    <customWorkbookView name="Burke's View" guid="{2A7C13AC-62B9-46A5-90F7-D656FA9D0F56}" maximized="1" windowWidth="0" windowHeight="0" activeSheetId="0"/>
    <customWorkbookView name="Bryn's View" guid="{069225CF-E28B-41D1-860B-F29D7295507C}" maximized="1" windowWidth="0" windowHeight="0" activeSheetId="0"/>
    <customWorkbookView name="Jennifer's View" guid="{B18787EF-CC1A-4487-9F48-4287F85C0F52}" maximized="1" windowWidth="0" windowHeight="0" activeSheetId="0"/>
    <customWorkbookView name="Need to be checked" guid="{7A3FF4CC-402F-4B7C-BD44-85B22C050823}" maximized="1" windowWidth="0" windowHeight="0" activeSheetId="0"/>
    <customWorkbookView name="Input options" guid="{EB10C32D-9FD2-4755-B6ED-D1A710D16A49}" maximized="1" windowWidth="0" windowHeight="0" activeSheetId="0"/>
    <customWorkbookView name="missing" guid="{B47698A9-9BD3-45EE-8D37-F2A9BC94FF9E}" maximized="1" windowWidth="0" windowHeight="0" activeSheetId="0"/>
    <customWorkbookView name="Medications" guid="{BE7DBD03-0E81-40ED-AE8C-B768A309632F}" maximized="1" windowWidth="0" windowHeight="0" activeSheetId="0"/>
    <customWorkbookView name="Paul's View" guid="{EA0A6E36-CD1D-4617-9419-60E10C05CEB9}" maximized="1" windowWidth="0" windowHeight="0" activeSheetId="0"/>
    <customWorkbookView name="Core done" guid="{DB30BF44-97D7-4039-B73C-7E03CD71EA63}" maximized="1" windowWidth="0" windowHeight="0" activeSheetId="0"/>
    <customWorkbookView name="Core" guid="{98CD094D-07F9-4FEB-8D38-F09817B7D2FD}" maximized="1" windowWidth="0" windowHeight="0" activeSheetId="0"/>
    <customWorkbookView name="Joe's View" guid="{EF1711DB-6701-4D1C-A0EA-CB328F58ABF2}" maximized="1" windowWidth="0" windowHeight="0" activeSheetId="0"/>
    <customWorkbookView name="registration tab" guid="{8AA4F55A-FEF3-4277-8DDB-4428DA111FD8}" maximized="1" windowWidth="0" windowHeight="0" activeSheetId="0"/>
    <customWorkbookView name="Terminology Not Done" guid="{8F576433-2BDA-4FDB-A08C-FD5165E39445}" maximized="1" windowWidth="0" windowHeight="0" activeSheetId="0"/>
    <customWorkbookView name="OBS" guid="{6F6EA894-D5E1-43D1-A418-F92EA904DC03}" maximized="1" windowWidth="0" windowHeight="0" activeSheetId="0"/>
    <customWorkbookView name="resources" guid="{1AD5E13D-8282-4996-B5F2-FAE2F91BDD47}" maximized="1" windowWidth="0" windowHeight="0" activeSheetId="0"/>
    <customWorkbookView name="Contraception" guid="{E10B6E4B-A987-4A94-AFF8-BE609F944E2A}" maximized="1" windowWidth="0" windowHeight="0" activeSheetId="0"/>
    <customWorkbookView name="UI Elements" guid="{1D6A24B6-729B-48D7-8CB9-B294C0358362}" maximized="1" windowWidth="0" windowHeight="0" activeSheetId="0"/>
    <customWorkbookView name="Issue Checking" guid="{7332FD8C-C7BD-49EB-85B8-6A2A20F7F958}" maximized="1" windowWidth="0" windowHeight="0" activeSheetId="0"/>
    <customWorkbookView name="Terry's View" guid="{5ED98765-8C1E-4E68-B213-514D8A13B7AC}" maximized="1" windowWidth="0" windowHeight="0" activeSheetId="0"/>
    <customWorkbookView name="STI Screening" guid="{1A7E4B2F-82CD-456B-BB55-180022A7F265}" maximized="1" windowWidth="0" windowHeight="0" activeSheetId="0"/>
    <customWorkbookView name="Pregnancy" guid="{1E811070-77C9-4C62-A6DE-C4D4FBC50D43}" maximized="1" windowWidth="0" windowHeight="0" activeSheetId="0"/>
    <customWorkbookView name="Filter 4" guid="{21890E29-07F1-4CCD-9E6E-3D2BD5037CC1}" maximized="1" windowWidth="0" windowHeight="0" activeSheetId="0"/>
    <customWorkbookView name="Filter 5" guid="{025DE35C-4EC1-4233-A96E-C6EC919EDEB0}" maximized="1" windowWidth="0" windowHeight="0" activeSheetId="0"/>
    <customWorkbookView name="Filter 2" guid="{D4BDEF3A-8CAC-4565-941A-DB5D7F9E88E7}" maximized="1" windowWidth="0" windowHeight="0" activeSheetId="0"/>
    <customWorkbookView name="HIV" guid="{FACB19E6-FC98-4934-AE2A-EEABF8ADE7D5}" maximized="1" windowWidth="0" windowHeight="0" activeSheetId="0"/>
    <customWorkbookView name="Filter 3" guid="{1910C54C-1C24-4895-9296-FDD18CE4A0F0}" maximized="1" windowWidth="0" windowHeight="0" activeSheetId="0"/>
    <customWorkbookView name="Filter 1" guid="{ED94E422-E2CE-49DE-9A56-EFCA444D8146}" maximized="1" windowWidth="0" windowHeight="0" activeSheetId="0"/>
    <customWorkbookView name="Input options with no code" guid="{4CA0E785-75CE-4B6E-9168-540183A0F94A}" maximized="1" windowWidth="0" windowHeight="0" activeSheetId="0"/>
    <customWorkbookView name="Binding Strength - Extensible" guid="{C8C186E7-7A33-445E-9552-C00D7A51E357}" maximized="1" windowWidth="0" windowHeight="0" activeSheetId="0"/>
  </customWorkbookViews>
  <pivotCaches>
    <pivotCache cacheId="39" r:id="rId12"/>
  </pivotCaches>
</workbook>
</file>

<file path=xl/calcChain.xml><?xml version="1.0" encoding="utf-8"?>
<calcChain xmlns="http://schemas.openxmlformats.org/spreadsheetml/2006/main">
  <c r="D438" i="10" l="1"/>
  <c r="B1" i="9"/>
  <c r="A23" i="8"/>
  <c r="H9" i="8"/>
  <c r="H8" i="8"/>
  <c r="H7" i="8"/>
  <c r="G7" i="8"/>
  <c r="H6" i="8"/>
  <c r="G6" i="8"/>
  <c r="H5" i="8"/>
  <c r="G5" i="8"/>
  <c r="H4" i="8"/>
  <c r="G4" i="8"/>
  <c r="C66" i="6"/>
  <c r="C65" i="6"/>
  <c r="C64" i="6"/>
  <c r="C63" i="6"/>
  <c r="C62" i="6"/>
  <c r="CG946" i="4"/>
  <c r="CF946" i="4"/>
  <c r="CD946" i="4" s="1"/>
  <c r="CC946" i="4"/>
  <c r="CB946" i="4"/>
  <c r="BZ946" i="4"/>
  <c r="CE946" i="4" s="1"/>
  <c r="AV946" i="4"/>
  <c r="G946" i="4"/>
  <c r="F946" i="4"/>
  <c r="CA946" i="4" s="1"/>
  <c r="E946" i="4"/>
  <c r="C946" i="4"/>
  <c r="CG945" i="4"/>
  <c r="CF945" i="4"/>
  <c r="CD945" i="4" s="1"/>
  <c r="BZ945" i="4"/>
  <c r="AV945" i="4"/>
  <c r="G945" i="4"/>
  <c r="F945" i="4"/>
  <c r="E945" i="4"/>
  <c r="C945" i="4"/>
  <c r="CG944" i="4"/>
  <c r="CF944" i="4"/>
  <c r="CD944" i="4" s="1"/>
  <c r="CB944" i="4"/>
  <c r="BZ944" i="4"/>
  <c r="AV944" i="4"/>
  <c r="G944" i="4"/>
  <c r="F944" i="4"/>
  <c r="CA944" i="4" s="1"/>
  <c r="E944" i="4"/>
  <c r="C944" i="4"/>
  <c r="CG943" i="4"/>
  <c r="CF943" i="4"/>
  <c r="CD943" i="4" s="1"/>
  <c r="BZ943" i="4"/>
  <c r="AV943" i="4"/>
  <c r="G943" i="4"/>
  <c r="F943" i="4"/>
  <c r="BW943" i="4" s="1"/>
  <c r="E943" i="4"/>
  <c r="C943" i="4"/>
  <c r="CG942" i="4"/>
  <c r="CF942" i="4"/>
  <c r="CD942" i="4" s="1"/>
  <c r="CB942" i="4"/>
  <c r="BZ942" i="4"/>
  <c r="AV942" i="4"/>
  <c r="G942" i="4"/>
  <c r="F942" i="4"/>
  <c r="CA942" i="4" s="1"/>
  <c r="E942" i="4"/>
  <c r="C942" i="4"/>
  <c r="CG941" i="4"/>
  <c r="CF941" i="4"/>
  <c r="CD941" i="4" s="1"/>
  <c r="BZ941" i="4"/>
  <c r="AV941" i="4"/>
  <c r="G941" i="4"/>
  <c r="F941" i="4"/>
  <c r="BW941" i="4" s="1"/>
  <c r="E941" i="4"/>
  <c r="C941" i="4"/>
  <c r="CG940" i="4"/>
  <c r="CF940" i="4"/>
  <c r="CD940" i="4" s="1"/>
  <c r="CB940" i="4"/>
  <c r="BZ940" i="4"/>
  <c r="AV940" i="4"/>
  <c r="G940" i="4"/>
  <c r="F940" i="4"/>
  <c r="CA940" i="4" s="1"/>
  <c r="E940" i="4"/>
  <c r="C940" i="4"/>
  <c r="CG939" i="4"/>
  <c r="CF939" i="4"/>
  <c r="CD939" i="4" s="1"/>
  <c r="BZ939" i="4"/>
  <c r="AV939" i="4"/>
  <c r="G939" i="4"/>
  <c r="F939" i="4"/>
  <c r="E939" i="4"/>
  <c r="C939" i="4"/>
  <c r="CG938" i="4"/>
  <c r="CF938" i="4"/>
  <c r="CD938" i="4" s="1"/>
  <c r="CB938" i="4"/>
  <c r="BZ938" i="4"/>
  <c r="AV938" i="4"/>
  <c r="G938" i="4"/>
  <c r="F938" i="4"/>
  <c r="CA938" i="4" s="1"/>
  <c r="E938" i="4"/>
  <c r="C938" i="4"/>
  <c r="CG937" i="4"/>
  <c r="CF937" i="4"/>
  <c r="CD937" i="4" s="1"/>
  <c r="BZ937" i="4"/>
  <c r="AV937" i="4"/>
  <c r="G937" i="4"/>
  <c r="F937" i="4"/>
  <c r="E937" i="4"/>
  <c r="C937" i="4"/>
  <c r="CG936" i="4"/>
  <c r="CF936" i="4"/>
  <c r="CD936" i="4" s="1"/>
  <c r="CB936" i="4"/>
  <c r="BZ936" i="4"/>
  <c r="AV936" i="4"/>
  <c r="G936" i="4"/>
  <c r="F936" i="4"/>
  <c r="CA936" i="4" s="1"/>
  <c r="E936" i="4"/>
  <c r="C936" i="4"/>
  <c r="CG935" i="4"/>
  <c r="CF935" i="4"/>
  <c r="CD935" i="4" s="1"/>
  <c r="BZ935" i="4"/>
  <c r="AV935" i="4"/>
  <c r="G935" i="4"/>
  <c r="F935" i="4"/>
  <c r="BW935" i="4" s="1"/>
  <c r="E935" i="4"/>
  <c r="C935" i="4"/>
  <c r="CG934" i="4"/>
  <c r="CF934" i="4"/>
  <c r="CD934" i="4" s="1"/>
  <c r="CB934" i="4"/>
  <c r="BZ934" i="4"/>
  <c r="AV934" i="4"/>
  <c r="G934" i="4"/>
  <c r="F934" i="4"/>
  <c r="CA934" i="4" s="1"/>
  <c r="E934" i="4"/>
  <c r="C934" i="4"/>
  <c r="CG933" i="4"/>
  <c r="CF933" i="4"/>
  <c r="CD933" i="4" s="1"/>
  <c r="BZ933" i="4"/>
  <c r="AV933" i="4"/>
  <c r="G933" i="4"/>
  <c r="F933" i="4"/>
  <c r="E933" i="4"/>
  <c r="C933" i="4"/>
  <c r="CG932" i="4"/>
  <c r="CF932" i="4"/>
  <c r="CD932" i="4" s="1"/>
  <c r="CB932" i="4"/>
  <c r="BZ932" i="4"/>
  <c r="AV932" i="4"/>
  <c r="G932" i="4"/>
  <c r="F932" i="4"/>
  <c r="CA932" i="4" s="1"/>
  <c r="E932" i="4"/>
  <c r="C932" i="4"/>
  <c r="CG931" i="4"/>
  <c r="CF931" i="4"/>
  <c r="CD931" i="4" s="1"/>
  <c r="BZ931" i="4"/>
  <c r="AV931" i="4"/>
  <c r="G931" i="4"/>
  <c r="F931" i="4"/>
  <c r="BW931" i="4" s="1"/>
  <c r="E931" i="4"/>
  <c r="C931" i="4"/>
  <c r="CG930" i="4"/>
  <c r="CF930" i="4"/>
  <c r="CB930" i="4"/>
  <c r="BZ930" i="4"/>
  <c r="AV930" i="4"/>
  <c r="G930" i="4"/>
  <c r="F930" i="4"/>
  <c r="CA930" i="4" s="1"/>
  <c r="E930" i="4"/>
  <c r="C930" i="4"/>
  <c r="CG929" i="4"/>
  <c r="CF929" i="4"/>
  <c r="CC929" i="4" s="1"/>
  <c r="BV929" i="4" s="1"/>
  <c r="CD929" i="4"/>
  <c r="BZ929" i="4"/>
  <c r="AV929" i="4"/>
  <c r="G929" i="4"/>
  <c r="F929" i="4"/>
  <c r="BY929" i="4" s="1"/>
  <c r="E929" i="4"/>
  <c r="C929" i="4"/>
  <c r="CG928" i="4"/>
  <c r="CF928" i="4"/>
  <c r="CD928" i="4" s="1"/>
  <c r="CB928" i="4"/>
  <c r="CA928" i="4"/>
  <c r="BZ928" i="4"/>
  <c r="BY928" i="4"/>
  <c r="BW928" i="4"/>
  <c r="AV928" i="4"/>
  <c r="H928" i="4"/>
  <c r="G928" i="4"/>
  <c r="C928" i="4"/>
  <c r="CG927" i="4"/>
  <c r="CF927" i="4"/>
  <c r="CB927" i="4"/>
  <c r="BZ927" i="4"/>
  <c r="CE927" i="4" s="1"/>
  <c r="BY927" i="4"/>
  <c r="AV927" i="4"/>
  <c r="G927" i="4"/>
  <c r="F927" i="4"/>
  <c r="E927" i="4"/>
  <c r="C927" i="4"/>
  <c r="CG926" i="4"/>
  <c r="CF926" i="4"/>
  <c r="BZ926" i="4"/>
  <c r="BY926" i="4"/>
  <c r="AV926" i="4"/>
  <c r="G926" i="4"/>
  <c r="F926" i="4"/>
  <c r="E926" i="4"/>
  <c r="C926" i="4"/>
  <c r="CG925" i="4"/>
  <c r="CF925" i="4"/>
  <c r="CC925" i="4"/>
  <c r="BZ925" i="4"/>
  <c r="AV925" i="4"/>
  <c r="G925" i="4"/>
  <c r="F925" i="4"/>
  <c r="E925" i="4"/>
  <c r="C925" i="4"/>
  <c r="CG924" i="4"/>
  <c r="CF924" i="4"/>
  <c r="CC924" i="4"/>
  <c r="BZ924" i="4"/>
  <c r="AV924" i="4"/>
  <c r="G924" i="4"/>
  <c r="F924" i="4"/>
  <c r="E924" i="4"/>
  <c r="C924" i="4"/>
  <c r="CG923" i="4"/>
  <c r="CF923" i="4"/>
  <c r="CB923" i="4"/>
  <c r="BZ923" i="4"/>
  <c r="CE923" i="4" s="1"/>
  <c r="BY923" i="4"/>
  <c r="AV923" i="4"/>
  <c r="G923" i="4"/>
  <c r="F923" i="4"/>
  <c r="E923" i="4"/>
  <c r="C923" i="4"/>
  <c r="CG922" i="4"/>
  <c r="CF922" i="4"/>
  <c r="CA922" i="4"/>
  <c r="BZ922" i="4"/>
  <c r="BY922" i="4"/>
  <c r="BW922" i="4"/>
  <c r="AV922" i="4"/>
  <c r="H922" i="4"/>
  <c r="G922" i="4"/>
  <c r="C922" i="4"/>
  <c r="CG921" i="4"/>
  <c r="CF921" i="4"/>
  <c r="CD921" i="4"/>
  <c r="BZ921" i="4"/>
  <c r="AV921" i="4"/>
  <c r="G921" i="4"/>
  <c r="F921" i="4"/>
  <c r="BY921" i="4" s="1"/>
  <c r="E921" i="4"/>
  <c r="C921" i="4"/>
  <c r="CG920" i="4"/>
  <c r="CF920" i="4"/>
  <c r="CD920" i="4" s="1"/>
  <c r="CB920" i="4"/>
  <c r="CA920" i="4"/>
  <c r="BZ920" i="4"/>
  <c r="BY920" i="4"/>
  <c r="BW920" i="4"/>
  <c r="AV920" i="4"/>
  <c r="H920" i="4"/>
  <c r="G920" i="4"/>
  <c r="C920" i="4"/>
  <c r="CG919" i="4"/>
  <c r="CF919" i="4"/>
  <c r="CB919" i="4"/>
  <c r="BZ919" i="4"/>
  <c r="CE919" i="4" s="1"/>
  <c r="BY919" i="4"/>
  <c r="AV919" i="4"/>
  <c r="G919" i="4"/>
  <c r="F919" i="4"/>
  <c r="E919" i="4"/>
  <c r="C919" i="4"/>
  <c r="CG918" i="4"/>
  <c r="CF918" i="4"/>
  <c r="BZ918" i="4"/>
  <c r="BY918" i="4"/>
  <c r="AV918" i="4"/>
  <c r="G918" i="4"/>
  <c r="F918" i="4"/>
  <c r="E918" i="4"/>
  <c r="C918" i="4"/>
  <c r="CG917" i="4"/>
  <c r="CF917" i="4"/>
  <c r="CC917" i="4"/>
  <c r="BZ917" i="4"/>
  <c r="AV917" i="4"/>
  <c r="G917" i="4"/>
  <c r="F917" i="4"/>
  <c r="E917" i="4"/>
  <c r="C917" i="4"/>
  <c r="CG916" i="4"/>
  <c r="CF916" i="4"/>
  <c r="CD916" i="4"/>
  <c r="CC916" i="4"/>
  <c r="BZ916" i="4"/>
  <c r="AV916" i="4"/>
  <c r="G916" i="4"/>
  <c r="F916" i="4"/>
  <c r="E916" i="4"/>
  <c r="C916" i="4"/>
  <c r="CG915" i="4"/>
  <c r="CF915" i="4"/>
  <c r="CB915" i="4"/>
  <c r="BZ915" i="4"/>
  <c r="CE915" i="4" s="1"/>
  <c r="BY915" i="4"/>
  <c r="AV915" i="4"/>
  <c r="G915" i="4"/>
  <c r="F915" i="4"/>
  <c r="E915" i="4"/>
  <c r="C915" i="4"/>
  <c r="CG914" i="4"/>
  <c r="CF914" i="4"/>
  <c r="BZ914" i="4"/>
  <c r="BY914" i="4"/>
  <c r="AV914" i="4"/>
  <c r="G914" i="4"/>
  <c r="F914" i="4"/>
  <c r="E914" i="4"/>
  <c r="C914" i="4"/>
  <c r="CG913" i="4"/>
  <c r="CF913" i="4"/>
  <c r="CD913" i="4" s="1"/>
  <c r="CC913" i="4"/>
  <c r="BV913" i="4" s="1"/>
  <c r="BX913" i="4" s="1"/>
  <c r="BZ913" i="4"/>
  <c r="BY913" i="4"/>
  <c r="BW913" i="4"/>
  <c r="AV913" i="4"/>
  <c r="H913" i="4"/>
  <c r="G913" i="4"/>
  <c r="E913" i="4"/>
  <c r="D913" i="4" s="1"/>
  <c r="AY913" i="4" s="1"/>
  <c r="C913" i="4"/>
  <c r="CG912" i="4"/>
  <c r="CF912" i="4"/>
  <c r="CD912" i="4" s="1"/>
  <c r="CC912" i="4"/>
  <c r="CA912" i="4"/>
  <c r="BZ912" i="4"/>
  <c r="BW912" i="4"/>
  <c r="AY912" i="4"/>
  <c r="AV912" i="4"/>
  <c r="H912" i="4"/>
  <c r="G912" i="4"/>
  <c r="F912" i="4"/>
  <c r="E912" i="4"/>
  <c r="D912" i="4"/>
  <c r="C912" i="4"/>
  <c r="CG911" i="4"/>
  <c r="CF911" i="4"/>
  <c r="CA911" i="4"/>
  <c r="BZ911" i="4"/>
  <c r="BY911" i="4"/>
  <c r="BW911" i="4"/>
  <c r="AV911" i="4"/>
  <c r="H911" i="4"/>
  <c r="G911" i="4"/>
  <c r="E911" i="4"/>
  <c r="D911" i="4" s="1"/>
  <c r="AY911" i="4" s="1"/>
  <c r="C911" i="4"/>
  <c r="CG910" i="4"/>
  <c r="CF910" i="4"/>
  <c r="CC910" i="4" s="1"/>
  <c r="BV910" i="4" s="1"/>
  <c r="BX910" i="4" s="1"/>
  <c r="CE910" i="4"/>
  <c r="CD910" i="4"/>
  <c r="CB910" i="4"/>
  <c r="CA910" i="4"/>
  <c r="BZ910" i="4"/>
  <c r="BW910" i="4"/>
  <c r="AV910" i="4"/>
  <c r="H910" i="4"/>
  <c r="G910" i="4"/>
  <c r="F910" i="4"/>
  <c r="BY910" i="4" s="1"/>
  <c r="E910" i="4"/>
  <c r="D910" i="4"/>
  <c r="AY910" i="4" s="1"/>
  <c r="C910" i="4"/>
  <c r="CG909" i="4"/>
  <c r="CF909" i="4"/>
  <c r="CD909" i="4"/>
  <c r="CA909" i="4"/>
  <c r="BZ909" i="4"/>
  <c r="BW909" i="4"/>
  <c r="AV909" i="4"/>
  <c r="H909" i="4"/>
  <c r="G909" i="4"/>
  <c r="F909" i="4"/>
  <c r="BY909" i="4" s="1"/>
  <c r="E909" i="4"/>
  <c r="D909" i="4"/>
  <c r="AY909" i="4" s="1"/>
  <c r="C909" i="4"/>
  <c r="CG908" i="4"/>
  <c r="CF908" i="4"/>
  <c r="BZ908" i="4"/>
  <c r="BY908" i="4"/>
  <c r="BW908" i="4"/>
  <c r="AV908" i="4"/>
  <c r="G908" i="4"/>
  <c r="F908" i="4"/>
  <c r="E908" i="4"/>
  <c r="C908" i="4"/>
  <c r="CG907" i="4"/>
  <c r="CF907" i="4"/>
  <c r="CB907" i="4"/>
  <c r="BZ907" i="4"/>
  <c r="CE907" i="4" s="1"/>
  <c r="AV907" i="4"/>
  <c r="H907" i="4"/>
  <c r="G907" i="4"/>
  <c r="F907" i="4"/>
  <c r="E907" i="4"/>
  <c r="C907" i="4"/>
  <c r="CG906" i="4"/>
  <c r="CF906" i="4"/>
  <c r="CB906" i="4" s="1"/>
  <c r="CE906" i="4"/>
  <c r="CC906" i="4"/>
  <c r="BV906" i="4" s="1"/>
  <c r="BX906" i="4" s="1"/>
  <c r="BZ906" i="4"/>
  <c r="BW906" i="4"/>
  <c r="AV906" i="4"/>
  <c r="H906" i="4"/>
  <c r="G906" i="4"/>
  <c r="F906" i="4"/>
  <c r="BY906" i="4" s="1"/>
  <c r="E906" i="4"/>
  <c r="D906" i="4"/>
  <c r="AY906" i="4" s="1"/>
  <c r="C906" i="4"/>
  <c r="CG905" i="4"/>
  <c r="CF905" i="4"/>
  <c r="CA905" i="4"/>
  <c r="BZ905" i="4"/>
  <c r="BY905" i="4"/>
  <c r="AV905" i="4"/>
  <c r="H905" i="4"/>
  <c r="G905" i="4"/>
  <c r="F905" i="4"/>
  <c r="E905" i="4"/>
  <c r="C905" i="4"/>
  <c r="CG904" i="4"/>
  <c r="CF904" i="4"/>
  <c r="CB904" i="4" s="1"/>
  <c r="CE904" i="4"/>
  <c r="CC904" i="4"/>
  <c r="BV904" i="4" s="1"/>
  <c r="BX904" i="4" s="1"/>
  <c r="BZ904" i="4"/>
  <c r="BW904" i="4"/>
  <c r="AV904" i="4"/>
  <c r="H904" i="4"/>
  <c r="G904" i="4"/>
  <c r="F904" i="4"/>
  <c r="BY904" i="4" s="1"/>
  <c r="E904" i="4"/>
  <c r="D904" i="4"/>
  <c r="AY904" i="4" s="1"/>
  <c r="C904" i="4"/>
  <c r="CG903" i="4"/>
  <c r="CF903" i="4"/>
  <c r="CA903" i="4"/>
  <c r="BZ903" i="4"/>
  <c r="BY903" i="4"/>
  <c r="AV903" i="4"/>
  <c r="H903" i="4"/>
  <c r="G903" i="4"/>
  <c r="F903" i="4"/>
  <c r="E903" i="4"/>
  <c r="C903" i="4"/>
  <c r="CG902" i="4"/>
  <c r="CF902" i="4"/>
  <c r="CB902" i="4" s="1"/>
  <c r="CE902" i="4" s="1"/>
  <c r="CC902" i="4"/>
  <c r="BV902" i="4" s="1"/>
  <c r="BX902" i="4" s="1"/>
  <c r="BZ902" i="4"/>
  <c r="BW902" i="4"/>
  <c r="AY902" i="4"/>
  <c r="AV902" i="4"/>
  <c r="H902" i="4"/>
  <c r="G902" i="4"/>
  <c r="F902" i="4"/>
  <c r="BY902" i="4" s="1"/>
  <c r="E902" i="4"/>
  <c r="D902" i="4"/>
  <c r="C902" i="4"/>
  <c r="CG901" i="4"/>
  <c r="CF901" i="4"/>
  <c r="CA901" i="4"/>
  <c r="BZ901" i="4"/>
  <c r="AV901" i="4"/>
  <c r="G901" i="4"/>
  <c r="F901" i="4"/>
  <c r="E901" i="4"/>
  <c r="C901" i="4"/>
  <c r="CG900" i="4"/>
  <c r="CF900" i="4"/>
  <c r="CB900" i="4" s="1"/>
  <c r="CE900" i="4" s="1"/>
  <c r="CC900" i="4"/>
  <c r="BV900" i="4" s="1"/>
  <c r="BZ900" i="4"/>
  <c r="BW900" i="4"/>
  <c r="AY900" i="4"/>
  <c r="AV900" i="4"/>
  <c r="H900" i="4"/>
  <c r="G900" i="4"/>
  <c r="F900" i="4"/>
  <c r="BY900" i="4" s="1"/>
  <c r="E900" i="4"/>
  <c r="D900" i="4"/>
  <c r="C900" i="4"/>
  <c r="CG899" i="4"/>
  <c r="CF899" i="4"/>
  <c r="CD899" i="4"/>
  <c r="CC899" i="4"/>
  <c r="CB899" i="4"/>
  <c r="BZ899" i="4"/>
  <c r="CE899" i="4" s="1"/>
  <c r="AV899" i="4"/>
  <c r="H899" i="4"/>
  <c r="G899" i="4"/>
  <c r="F899" i="4"/>
  <c r="CA899" i="4" s="1"/>
  <c r="E899" i="4"/>
  <c r="C899" i="4"/>
  <c r="CG898" i="4"/>
  <c r="CF898" i="4"/>
  <c r="CB898" i="4" s="1"/>
  <c r="CE898" i="4"/>
  <c r="CC898" i="4"/>
  <c r="BV898" i="4" s="1"/>
  <c r="BX898" i="4" s="1"/>
  <c r="BZ898" i="4"/>
  <c r="BW898" i="4"/>
  <c r="AV898" i="4"/>
  <c r="H898" i="4"/>
  <c r="G898" i="4"/>
  <c r="F898" i="4"/>
  <c r="BY898" i="4" s="1"/>
  <c r="E898" i="4"/>
  <c r="D898" i="4"/>
  <c r="AY898" i="4" s="1"/>
  <c r="C898" i="4"/>
  <c r="CG897" i="4"/>
  <c r="CF897" i="4"/>
  <c r="CB897" i="4"/>
  <c r="CA897" i="4"/>
  <c r="BZ897" i="4"/>
  <c r="CE897" i="4" s="1"/>
  <c r="BY897" i="4"/>
  <c r="AV897" i="4"/>
  <c r="H897" i="4"/>
  <c r="G897" i="4"/>
  <c r="F897" i="4"/>
  <c r="E897" i="4"/>
  <c r="C897" i="4"/>
  <c r="CG896" i="4"/>
  <c r="CF896" i="4"/>
  <c r="BZ896" i="4"/>
  <c r="BW896" i="4"/>
  <c r="AV896" i="4"/>
  <c r="G896" i="4"/>
  <c r="F896" i="4"/>
  <c r="CA896" i="4" s="1"/>
  <c r="E896" i="4"/>
  <c r="D896" i="4" s="1"/>
  <c r="AY896" i="4" s="1"/>
  <c r="C896" i="4"/>
  <c r="CG895" i="4"/>
  <c r="CF895" i="4"/>
  <c r="CB895" i="4"/>
  <c r="CA895" i="4"/>
  <c r="BZ895" i="4"/>
  <c r="CE895" i="4" s="1"/>
  <c r="AV895" i="4"/>
  <c r="G895" i="4"/>
  <c r="F895" i="4"/>
  <c r="E895" i="4"/>
  <c r="C895" i="4"/>
  <c r="CG894" i="4"/>
  <c r="CF894" i="4"/>
  <c r="BZ894" i="4"/>
  <c r="BW894" i="4"/>
  <c r="AY894" i="4"/>
  <c r="AV894" i="4"/>
  <c r="G894" i="4"/>
  <c r="F894" i="4"/>
  <c r="E894" i="4"/>
  <c r="D894" i="4"/>
  <c r="C894" i="4"/>
  <c r="CG893" i="4"/>
  <c r="CF893" i="4"/>
  <c r="CB893" i="4"/>
  <c r="BZ893" i="4"/>
  <c r="AV893" i="4"/>
  <c r="G893" i="4"/>
  <c r="F893" i="4"/>
  <c r="E893" i="4"/>
  <c r="C893" i="4"/>
  <c r="CG892" i="4"/>
  <c r="CF892" i="4"/>
  <c r="CC892" i="4"/>
  <c r="BZ892" i="4"/>
  <c r="BW892" i="4"/>
  <c r="AV892" i="4"/>
  <c r="G892" i="4"/>
  <c r="F892" i="4"/>
  <c r="E892" i="4"/>
  <c r="D892" i="4"/>
  <c r="AY892" i="4" s="1"/>
  <c r="C892" i="4"/>
  <c r="CG891" i="4"/>
  <c r="CF891" i="4"/>
  <c r="CD891" i="4"/>
  <c r="CC891" i="4"/>
  <c r="BV891" i="4" s="1"/>
  <c r="CB891" i="4"/>
  <c r="CA891" i="4"/>
  <c r="BZ891" i="4"/>
  <c r="CE891" i="4" s="1"/>
  <c r="AV891" i="4"/>
  <c r="G891" i="4"/>
  <c r="E891" i="4"/>
  <c r="D891" i="4"/>
  <c r="AY891" i="4" s="1"/>
  <c r="C891" i="4"/>
  <c r="CG890" i="4"/>
  <c r="CF890" i="4"/>
  <c r="CC890" i="4" s="1"/>
  <c r="BV890" i="4" s="1"/>
  <c r="CE890" i="4"/>
  <c r="CD890" i="4"/>
  <c r="CB890" i="4"/>
  <c r="CA890" i="4"/>
  <c r="BZ890" i="4"/>
  <c r="AV890" i="4"/>
  <c r="G890" i="4"/>
  <c r="E890" i="4"/>
  <c r="D890" i="4"/>
  <c r="AY890" i="4" s="1"/>
  <c r="C890" i="4"/>
  <c r="CG889" i="4"/>
  <c r="CF889" i="4"/>
  <c r="CD889" i="4" s="1"/>
  <c r="CA889" i="4"/>
  <c r="BZ889" i="4"/>
  <c r="AV889" i="4"/>
  <c r="G889" i="4"/>
  <c r="E889" i="4"/>
  <c r="D889" i="4"/>
  <c r="AY889" i="4" s="1"/>
  <c r="C889" i="4"/>
  <c r="CG888" i="4"/>
  <c r="CF888" i="4"/>
  <c r="CD888" i="4"/>
  <c r="CC888" i="4"/>
  <c r="BV888" i="4" s="1"/>
  <c r="CB888" i="4"/>
  <c r="CA888" i="4"/>
  <c r="BZ888" i="4"/>
  <c r="CE888" i="4" s="1"/>
  <c r="AV888" i="4"/>
  <c r="G888" i="4"/>
  <c r="E888" i="4"/>
  <c r="D888" i="4"/>
  <c r="AY888" i="4" s="1"/>
  <c r="C888" i="4"/>
  <c r="CG887" i="4"/>
  <c r="CF887" i="4"/>
  <c r="BZ887" i="4"/>
  <c r="BW887" i="4"/>
  <c r="AV887" i="4"/>
  <c r="G887" i="4"/>
  <c r="F887" i="4"/>
  <c r="CA887" i="4" s="1"/>
  <c r="E887" i="4"/>
  <c r="D887" i="4" s="1"/>
  <c r="AY887" i="4" s="1"/>
  <c r="C887" i="4"/>
  <c r="CG886" i="4"/>
  <c r="CF886" i="4"/>
  <c r="CB886" i="4"/>
  <c r="CA886" i="4"/>
  <c r="BZ886" i="4"/>
  <c r="CE886" i="4" s="1"/>
  <c r="AV886" i="4"/>
  <c r="G886" i="4"/>
  <c r="F886" i="4"/>
  <c r="E886" i="4"/>
  <c r="C886" i="4"/>
  <c r="CG885" i="4"/>
  <c r="CF885" i="4"/>
  <c r="BZ885" i="4"/>
  <c r="BY885" i="4"/>
  <c r="BW885" i="4"/>
  <c r="AY885" i="4"/>
  <c r="AV885" i="4"/>
  <c r="G885" i="4"/>
  <c r="F885" i="4"/>
  <c r="E885" i="4"/>
  <c r="D885" i="4"/>
  <c r="C885" i="4"/>
  <c r="CG884" i="4"/>
  <c r="CF884" i="4"/>
  <c r="CD884" i="4" s="1"/>
  <c r="CC884" i="4"/>
  <c r="BV884" i="4" s="1"/>
  <c r="BX884" i="4" s="1"/>
  <c r="CB884" i="4"/>
  <c r="CA884" i="4"/>
  <c r="BZ884" i="4"/>
  <c r="CE884" i="4" s="1"/>
  <c r="BY884" i="4"/>
  <c r="BW884" i="4"/>
  <c r="AY884" i="4"/>
  <c r="AV884" i="4"/>
  <c r="H884" i="4"/>
  <c r="G884" i="4"/>
  <c r="E884" i="4"/>
  <c r="D884" i="4" s="1"/>
  <c r="C884" i="4"/>
  <c r="CG883" i="4"/>
  <c r="CF883" i="4"/>
  <c r="CC883" i="4" s="1"/>
  <c r="BV883" i="4" s="1"/>
  <c r="BX883" i="4" s="1"/>
  <c r="CD883" i="4"/>
  <c r="BZ883" i="4"/>
  <c r="BW883" i="4"/>
  <c r="AV883" i="4"/>
  <c r="G883" i="4"/>
  <c r="F883" i="4"/>
  <c r="CA883" i="4" s="1"/>
  <c r="E883" i="4"/>
  <c r="D883" i="4" s="1"/>
  <c r="AY883" i="4" s="1"/>
  <c r="C883" i="4"/>
  <c r="CG882" i="4"/>
  <c r="CF882" i="4"/>
  <c r="CB882" i="4"/>
  <c r="CA882" i="4"/>
  <c r="BZ882" i="4"/>
  <c r="CE882" i="4" s="1"/>
  <c r="AV882" i="4"/>
  <c r="H882" i="4"/>
  <c r="G882" i="4"/>
  <c r="F882" i="4"/>
  <c r="BW882" i="4" s="1"/>
  <c r="E882" i="4"/>
  <c r="C882" i="4"/>
  <c r="CG881" i="4"/>
  <c r="CF881" i="4"/>
  <c r="CC881" i="4" s="1"/>
  <c r="BZ881" i="4"/>
  <c r="BW881" i="4"/>
  <c r="BV881" i="4"/>
  <c r="BX881" i="4" s="1"/>
  <c r="AV881" i="4"/>
  <c r="G881" i="4"/>
  <c r="F881" i="4"/>
  <c r="CA881" i="4" s="1"/>
  <c r="E881" i="4"/>
  <c r="D881" i="4"/>
  <c r="AY881" i="4" s="1"/>
  <c r="C881" i="4"/>
  <c r="CG880" i="4"/>
  <c r="CF880" i="4"/>
  <c r="CA880" i="4"/>
  <c r="BZ880" i="4"/>
  <c r="AV880" i="4"/>
  <c r="H880" i="4"/>
  <c r="G880" i="4"/>
  <c r="F880" i="4"/>
  <c r="BW880" i="4" s="1"/>
  <c r="E880" i="4"/>
  <c r="C880" i="4"/>
  <c r="CG879" i="4"/>
  <c r="CF879" i="4"/>
  <c r="CC879" i="4" s="1"/>
  <c r="CD879" i="4"/>
  <c r="CB879" i="4"/>
  <c r="CE879" i="4" s="1"/>
  <c r="CA879" i="4"/>
  <c r="BZ879" i="4"/>
  <c r="BY879" i="4"/>
  <c r="BW879" i="4"/>
  <c r="BV879" i="4"/>
  <c r="BX879" i="4" s="1"/>
  <c r="AV879" i="4"/>
  <c r="H879" i="4"/>
  <c r="G879" i="4"/>
  <c r="E879" i="4"/>
  <c r="D879" i="4"/>
  <c r="AY879" i="4" s="1"/>
  <c r="C879" i="4"/>
  <c r="CG878" i="4"/>
  <c r="CF878" i="4"/>
  <c r="CA878" i="4"/>
  <c r="BZ878" i="4"/>
  <c r="AV878" i="4"/>
  <c r="G878" i="4"/>
  <c r="F878" i="4"/>
  <c r="E878" i="4"/>
  <c r="D878" i="4"/>
  <c r="AY878" i="4" s="1"/>
  <c r="C878" i="4"/>
  <c r="CG877" i="4"/>
  <c r="CF877" i="4"/>
  <c r="CE877" i="4"/>
  <c r="CD877" i="4"/>
  <c r="CC877" i="4"/>
  <c r="BV877" i="4" s="1"/>
  <c r="BX877" i="4" s="1"/>
  <c r="CB877" i="4"/>
  <c r="CA877" i="4"/>
  <c r="BZ877" i="4"/>
  <c r="BW877" i="4"/>
  <c r="AV877" i="4"/>
  <c r="H877" i="4"/>
  <c r="G877" i="4"/>
  <c r="F877" i="4"/>
  <c r="BY877" i="4" s="1"/>
  <c r="E877" i="4"/>
  <c r="D877" i="4"/>
  <c r="AY877" i="4" s="1"/>
  <c r="C877" i="4"/>
  <c r="CG876" i="4"/>
  <c r="CF876" i="4"/>
  <c r="BZ876" i="4"/>
  <c r="AV876" i="4"/>
  <c r="G876" i="4"/>
  <c r="F876" i="4"/>
  <c r="E876" i="4"/>
  <c r="C876" i="4"/>
  <c r="CG875" i="4"/>
  <c r="CF875" i="4"/>
  <c r="CD875" i="4"/>
  <c r="CC875" i="4"/>
  <c r="BV875" i="4" s="1"/>
  <c r="BX875" i="4" s="1"/>
  <c r="CB875" i="4"/>
  <c r="CE875" i="4" s="1"/>
  <c r="BZ875" i="4"/>
  <c r="BW875" i="4"/>
  <c r="AY875" i="4"/>
  <c r="AV875" i="4"/>
  <c r="H875" i="4"/>
  <c r="G875" i="4"/>
  <c r="F875" i="4"/>
  <c r="BY875" i="4" s="1"/>
  <c r="E875" i="4"/>
  <c r="D875" i="4"/>
  <c r="C875" i="4"/>
  <c r="CG874" i="4"/>
  <c r="CF874" i="4"/>
  <c r="CA874" i="4"/>
  <c r="BZ874" i="4"/>
  <c r="AV874" i="4"/>
  <c r="G874" i="4"/>
  <c r="F874" i="4"/>
  <c r="E874" i="4"/>
  <c r="C874" i="4"/>
  <c r="CG873" i="4"/>
  <c r="CF873" i="4"/>
  <c r="CB873" i="4" s="1"/>
  <c r="CE873" i="4" s="1"/>
  <c r="CD873" i="4"/>
  <c r="CC873" i="4"/>
  <c r="BV873" i="4" s="1"/>
  <c r="BX873" i="4" s="1"/>
  <c r="BZ873" i="4"/>
  <c r="BW873" i="4"/>
  <c r="AY873" i="4"/>
  <c r="AV873" i="4"/>
  <c r="H873" i="4"/>
  <c r="G873" i="4"/>
  <c r="F873" i="4"/>
  <c r="BY873" i="4" s="1"/>
  <c r="E873" i="4"/>
  <c r="D873" i="4"/>
  <c r="C873" i="4"/>
  <c r="CG872" i="4"/>
  <c r="CF872" i="4"/>
  <c r="BZ872" i="4"/>
  <c r="BY872" i="4"/>
  <c r="BW872" i="4"/>
  <c r="AV872" i="4"/>
  <c r="H872" i="4"/>
  <c r="G872" i="4"/>
  <c r="F872" i="4"/>
  <c r="E872" i="4"/>
  <c r="D872" i="4"/>
  <c r="AY872" i="4" s="1"/>
  <c r="C872" i="4"/>
  <c r="CG871" i="4"/>
  <c r="CF871" i="4"/>
  <c r="CA871" i="4"/>
  <c r="BZ871" i="4"/>
  <c r="BW871" i="4"/>
  <c r="AV871" i="4"/>
  <c r="H871" i="4"/>
  <c r="G871" i="4"/>
  <c r="F871" i="4"/>
  <c r="BY871" i="4" s="1"/>
  <c r="E871" i="4"/>
  <c r="D871" i="4"/>
  <c r="AY871" i="4" s="1"/>
  <c r="C871" i="4"/>
  <c r="CG870" i="4"/>
  <c r="CF870" i="4"/>
  <c r="BZ870" i="4"/>
  <c r="BY870" i="4"/>
  <c r="AV870" i="4"/>
  <c r="G870" i="4"/>
  <c r="F870" i="4"/>
  <c r="E870" i="4"/>
  <c r="C870" i="4"/>
  <c r="CG869" i="4"/>
  <c r="CF869" i="4"/>
  <c r="CD869" i="4"/>
  <c r="CC869" i="4"/>
  <c r="BV869" i="4" s="1"/>
  <c r="BX869" i="4" s="1"/>
  <c r="CB869" i="4"/>
  <c r="CE869" i="4" s="1"/>
  <c r="BZ869" i="4"/>
  <c r="BW869" i="4"/>
  <c r="AY869" i="4"/>
  <c r="AV869" i="4"/>
  <c r="H869" i="4"/>
  <c r="G869" i="4"/>
  <c r="F869" i="4"/>
  <c r="BY869" i="4" s="1"/>
  <c r="E869" i="4"/>
  <c r="D869" i="4"/>
  <c r="C869" i="4"/>
  <c r="CG868" i="4"/>
  <c r="CF868" i="4"/>
  <c r="BZ868" i="4"/>
  <c r="BY868" i="4"/>
  <c r="BW868" i="4"/>
  <c r="AV868" i="4"/>
  <c r="G868" i="4"/>
  <c r="F868" i="4"/>
  <c r="E868" i="4"/>
  <c r="D868" i="4"/>
  <c r="AY868" i="4" s="1"/>
  <c r="C868" i="4"/>
  <c r="CG867" i="4"/>
  <c r="CF867" i="4"/>
  <c r="CE867" i="4" s="1"/>
  <c r="CC867" i="4"/>
  <c r="CB867" i="4"/>
  <c r="CA867" i="4"/>
  <c r="BZ867" i="4"/>
  <c r="AV867" i="4"/>
  <c r="H867" i="4"/>
  <c r="G867" i="4"/>
  <c r="F867" i="4"/>
  <c r="BY867" i="4" s="1"/>
  <c r="E867" i="4"/>
  <c r="C867" i="4"/>
  <c r="CG866" i="4"/>
  <c r="CF866" i="4"/>
  <c r="CD866" i="4" s="1"/>
  <c r="CC866" i="4"/>
  <c r="BZ866" i="4"/>
  <c r="BY866" i="4"/>
  <c r="BW866" i="4"/>
  <c r="AY866" i="4"/>
  <c r="AV866" i="4"/>
  <c r="H866" i="4"/>
  <c r="G866" i="4"/>
  <c r="F866" i="4"/>
  <c r="E866" i="4"/>
  <c r="D866" i="4"/>
  <c r="C866" i="4"/>
  <c r="CG865" i="4"/>
  <c r="CF865" i="4"/>
  <c r="BZ865" i="4"/>
  <c r="AV865" i="4"/>
  <c r="G865" i="4"/>
  <c r="F865" i="4"/>
  <c r="BW865" i="4" s="1"/>
  <c r="E865" i="4"/>
  <c r="C865" i="4"/>
  <c r="CG864" i="4"/>
  <c r="CF864" i="4"/>
  <c r="CC864" i="4"/>
  <c r="CB864" i="4"/>
  <c r="CE864" i="4" s="1"/>
  <c r="CA864" i="4"/>
  <c r="BZ864" i="4"/>
  <c r="AV864" i="4"/>
  <c r="H864" i="4"/>
  <c r="G864" i="4"/>
  <c r="F864" i="4"/>
  <c r="BY864" i="4" s="1"/>
  <c r="E864" i="4"/>
  <c r="C864" i="4"/>
  <c r="CG863" i="4"/>
  <c r="CF863" i="4"/>
  <c r="CC863" i="4" s="1"/>
  <c r="BV863" i="4" s="1"/>
  <c r="BX863" i="4" s="1"/>
  <c r="CD863" i="4"/>
  <c r="BZ863" i="4"/>
  <c r="BW863" i="4"/>
  <c r="AV863" i="4"/>
  <c r="G863" i="4"/>
  <c r="F863" i="4"/>
  <c r="CA863" i="4" s="1"/>
  <c r="E863" i="4"/>
  <c r="D863" i="4"/>
  <c r="AY863" i="4" s="1"/>
  <c r="C863" i="4"/>
  <c r="CG862" i="4"/>
  <c r="CF862" i="4"/>
  <c r="CC862" i="4" s="1"/>
  <c r="BZ862" i="4"/>
  <c r="BY862" i="4"/>
  <c r="AV862" i="4"/>
  <c r="G862" i="4"/>
  <c r="F862" i="4"/>
  <c r="E862" i="4"/>
  <c r="C862" i="4"/>
  <c r="CG861" i="4"/>
  <c r="CF861" i="4"/>
  <c r="CD861" i="4"/>
  <c r="CC861" i="4"/>
  <c r="BV861" i="4" s="1"/>
  <c r="BX861" i="4" s="1"/>
  <c r="CB861" i="4"/>
  <c r="CE861" i="4" s="1"/>
  <c r="BZ861" i="4"/>
  <c r="BW861" i="4"/>
  <c r="AY861" i="4"/>
  <c r="AV861" i="4"/>
  <c r="H861" i="4"/>
  <c r="G861" i="4"/>
  <c r="F861" i="4"/>
  <c r="BY861" i="4" s="1"/>
  <c r="E861" i="4"/>
  <c r="D861" i="4"/>
  <c r="C861" i="4"/>
  <c r="CG860" i="4"/>
  <c r="CF860" i="4"/>
  <c r="BZ860" i="4"/>
  <c r="BY860" i="4"/>
  <c r="BW860" i="4"/>
  <c r="AV860" i="4"/>
  <c r="G860" i="4"/>
  <c r="F860" i="4"/>
  <c r="E860" i="4"/>
  <c r="D860" i="4"/>
  <c r="AY860" i="4" s="1"/>
  <c r="C860" i="4"/>
  <c r="CG859" i="4"/>
  <c r="CF859" i="4"/>
  <c r="CE859" i="4" s="1"/>
  <c r="CC859" i="4"/>
  <c r="CB859" i="4"/>
  <c r="CA859" i="4"/>
  <c r="BZ859" i="4"/>
  <c r="AV859" i="4"/>
  <c r="H859" i="4"/>
  <c r="G859" i="4"/>
  <c r="F859" i="4"/>
  <c r="BY859" i="4" s="1"/>
  <c r="E859" i="4"/>
  <c r="C859" i="4"/>
  <c r="CG858" i="4"/>
  <c r="CF858" i="4"/>
  <c r="CD858" i="4" s="1"/>
  <c r="CC858" i="4"/>
  <c r="BZ858" i="4"/>
  <c r="BY858" i="4"/>
  <c r="BW858" i="4"/>
  <c r="AY858" i="4"/>
  <c r="AV858" i="4"/>
  <c r="H858" i="4"/>
  <c r="G858" i="4"/>
  <c r="F858" i="4"/>
  <c r="E858" i="4"/>
  <c r="D858" i="4"/>
  <c r="C858" i="4"/>
  <c r="CG857" i="4"/>
  <c r="CF857" i="4"/>
  <c r="BZ857" i="4"/>
  <c r="AV857" i="4"/>
  <c r="G857" i="4"/>
  <c r="F857" i="4"/>
  <c r="E857" i="4"/>
  <c r="C857" i="4"/>
  <c r="CG856" i="4"/>
  <c r="CF856" i="4"/>
  <c r="CD856" i="4"/>
  <c r="CC856" i="4"/>
  <c r="BV856" i="4" s="1"/>
  <c r="BX856" i="4" s="1"/>
  <c r="CB856" i="4"/>
  <c r="CE856" i="4" s="1"/>
  <c r="BZ856" i="4"/>
  <c r="BW856" i="4"/>
  <c r="AY856" i="4"/>
  <c r="AV856" i="4"/>
  <c r="H856" i="4"/>
  <c r="G856" i="4"/>
  <c r="F856" i="4"/>
  <c r="BY856" i="4" s="1"/>
  <c r="E856" i="4"/>
  <c r="D856" i="4"/>
  <c r="C856" i="4"/>
  <c r="CG855" i="4"/>
  <c r="CF855" i="4"/>
  <c r="BZ855" i="4"/>
  <c r="BY855" i="4"/>
  <c r="AV855" i="4"/>
  <c r="G855" i="4"/>
  <c r="F855" i="4"/>
  <c r="E855" i="4"/>
  <c r="C855" i="4"/>
  <c r="CG854" i="4"/>
  <c r="CF854" i="4"/>
  <c r="CD854" i="4"/>
  <c r="CC854" i="4"/>
  <c r="BV854" i="4" s="1"/>
  <c r="BX854" i="4" s="1"/>
  <c r="CB854" i="4"/>
  <c r="CE854" i="4" s="1"/>
  <c r="BZ854" i="4"/>
  <c r="BW854" i="4"/>
  <c r="AY854" i="4"/>
  <c r="AV854" i="4"/>
  <c r="H854" i="4"/>
  <c r="G854" i="4"/>
  <c r="F854" i="4"/>
  <c r="BY854" i="4" s="1"/>
  <c r="E854" i="4"/>
  <c r="D854" i="4"/>
  <c r="C854" i="4"/>
  <c r="CG853" i="4"/>
  <c r="CF853" i="4"/>
  <c r="BZ853" i="4"/>
  <c r="BY853" i="4"/>
  <c r="AV853" i="4"/>
  <c r="G853" i="4"/>
  <c r="F853" i="4"/>
  <c r="E853" i="4"/>
  <c r="C853" i="4"/>
  <c r="CG852" i="4"/>
  <c r="CF852" i="4"/>
  <c r="CD852" i="4"/>
  <c r="CC852" i="4"/>
  <c r="CB852" i="4"/>
  <c r="CE852" i="4" s="1"/>
  <c r="BZ852" i="4"/>
  <c r="BW852" i="4"/>
  <c r="BV852" i="4"/>
  <c r="BX852" i="4" s="1"/>
  <c r="AY852" i="4"/>
  <c r="AV852" i="4"/>
  <c r="H852" i="4"/>
  <c r="G852" i="4"/>
  <c r="F852" i="4"/>
  <c r="BY852" i="4" s="1"/>
  <c r="E852" i="4"/>
  <c r="D852" i="4"/>
  <c r="C852" i="4"/>
  <c r="CG851" i="4"/>
  <c r="CF851" i="4"/>
  <c r="CA851" i="4"/>
  <c r="BZ851" i="4"/>
  <c r="BY851" i="4"/>
  <c r="BW851" i="4"/>
  <c r="AV851" i="4"/>
  <c r="H851" i="4"/>
  <c r="G851" i="4"/>
  <c r="E851" i="4"/>
  <c r="D851" i="4"/>
  <c r="AY851" i="4" s="1"/>
  <c r="C851" i="4"/>
  <c r="CG850" i="4"/>
  <c r="CF850" i="4"/>
  <c r="CD850" i="4"/>
  <c r="CC850" i="4"/>
  <c r="BV850" i="4" s="1"/>
  <c r="BX850" i="4" s="1"/>
  <c r="CB850" i="4"/>
  <c r="CA850" i="4"/>
  <c r="BZ850" i="4"/>
  <c r="BW850" i="4"/>
  <c r="AY850" i="4"/>
  <c r="AV850" i="4"/>
  <c r="H850" i="4"/>
  <c r="G850" i="4"/>
  <c r="F850" i="4"/>
  <c r="BY850" i="4" s="1"/>
  <c r="E850" i="4"/>
  <c r="D850" i="4"/>
  <c r="C850" i="4"/>
  <c r="CG849" i="4"/>
  <c r="CF849" i="4"/>
  <c r="BZ849" i="4"/>
  <c r="AV849" i="4"/>
  <c r="G849" i="4"/>
  <c r="F849" i="4"/>
  <c r="CA848" i="4" s="1"/>
  <c r="E849" i="4"/>
  <c r="D849" i="4"/>
  <c r="AY849" i="4" s="1"/>
  <c r="C849" i="4"/>
  <c r="CG848" i="4"/>
  <c r="CF848" i="4"/>
  <c r="CD848" i="4"/>
  <c r="CC848" i="4"/>
  <c r="CB848" i="4"/>
  <c r="BZ848" i="4"/>
  <c r="CE848" i="4" s="1"/>
  <c r="BW848" i="4"/>
  <c r="BV848" i="4"/>
  <c r="BX848" i="4" s="1"/>
  <c r="AY848" i="4"/>
  <c r="AV848" i="4"/>
  <c r="H848" i="4"/>
  <c r="G848" i="4"/>
  <c r="F848" i="4"/>
  <c r="BY848" i="4" s="1"/>
  <c r="E848" i="4"/>
  <c r="D848" i="4"/>
  <c r="C848" i="4"/>
  <c r="CG847" i="4"/>
  <c r="CF847" i="4"/>
  <c r="BZ847" i="4"/>
  <c r="BY847" i="4"/>
  <c r="BW847" i="4"/>
  <c r="AV847" i="4"/>
  <c r="G847" i="4"/>
  <c r="F847" i="4"/>
  <c r="CA846" i="4" s="1"/>
  <c r="E847" i="4"/>
  <c r="D847" i="4"/>
  <c r="AY847" i="4" s="1"/>
  <c r="C847" i="4"/>
  <c r="CG846" i="4"/>
  <c r="CF846" i="4"/>
  <c r="CD846" i="4"/>
  <c r="CC846" i="4"/>
  <c r="CB846" i="4"/>
  <c r="BZ846" i="4"/>
  <c r="CE846" i="4" s="1"/>
  <c r="BW846" i="4"/>
  <c r="BV846" i="4"/>
  <c r="BX846" i="4" s="1"/>
  <c r="AV846" i="4"/>
  <c r="H846" i="4"/>
  <c r="G846" i="4"/>
  <c r="F846" i="4"/>
  <c r="BY846" i="4" s="1"/>
  <c r="E846" i="4"/>
  <c r="D846" i="4" s="1"/>
  <c r="AY846" i="4" s="1"/>
  <c r="C846" i="4"/>
  <c r="CG845" i="4"/>
  <c r="CF845" i="4"/>
  <c r="CA845" i="4"/>
  <c r="BZ845" i="4"/>
  <c r="BY845" i="4"/>
  <c r="BW845" i="4"/>
  <c r="AV845" i="4"/>
  <c r="H845" i="4"/>
  <c r="G845" i="4"/>
  <c r="E845" i="4"/>
  <c r="D845" i="4" s="1"/>
  <c r="AY845" i="4" s="1"/>
  <c r="C845" i="4"/>
  <c r="CG844" i="4"/>
  <c r="CF844" i="4"/>
  <c r="CD844" i="4"/>
  <c r="CC844" i="4"/>
  <c r="BV844" i="4" s="1"/>
  <c r="CB844" i="4"/>
  <c r="CA844" i="4"/>
  <c r="BZ844" i="4"/>
  <c r="CE844" i="4" s="1"/>
  <c r="BY844" i="4"/>
  <c r="BW844" i="4"/>
  <c r="AY844" i="4"/>
  <c r="AV844" i="4"/>
  <c r="H844" i="4"/>
  <c r="G844" i="4"/>
  <c r="E844" i="4"/>
  <c r="D844" i="4" s="1"/>
  <c r="C844" i="4"/>
  <c r="CG843" i="4"/>
  <c r="CF843" i="4"/>
  <c r="CB843" i="4" s="1"/>
  <c r="BZ843" i="4"/>
  <c r="AV843" i="4"/>
  <c r="G843" i="4"/>
  <c r="F843" i="4"/>
  <c r="CA843" i="4" s="1"/>
  <c r="E843" i="4"/>
  <c r="D843" i="4"/>
  <c r="AY843" i="4" s="1"/>
  <c r="C843" i="4"/>
  <c r="CG842" i="4"/>
  <c r="CF842" i="4"/>
  <c r="CC842" i="4" s="1"/>
  <c r="BV842" i="4" s="1"/>
  <c r="CD842" i="4"/>
  <c r="CA842" i="4"/>
  <c r="BZ842" i="4"/>
  <c r="AV842" i="4"/>
  <c r="G842" i="4"/>
  <c r="F842" i="4"/>
  <c r="E842" i="4"/>
  <c r="C842" i="4"/>
  <c r="CG841" i="4"/>
  <c r="CF841" i="4"/>
  <c r="CB841" i="4" s="1"/>
  <c r="CD841" i="4"/>
  <c r="BZ841" i="4"/>
  <c r="AV841" i="4"/>
  <c r="G841" i="4"/>
  <c r="F841" i="4"/>
  <c r="CA841" i="4" s="1"/>
  <c r="E841" i="4"/>
  <c r="D841" i="4"/>
  <c r="AY841" i="4" s="1"/>
  <c r="C841" i="4"/>
  <c r="CG840" i="4"/>
  <c r="CF840" i="4"/>
  <c r="BZ840" i="4"/>
  <c r="AV840" i="4"/>
  <c r="G840" i="4"/>
  <c r="F840" i="4"/>
  <c r="CA840" i="4" s="1"/>
  <c r="E840" i="4"/>
  <c r="C840" i="4"/>
  <c r="CG839" i="4"/>
  <c r="CF839" i="4"/>
  <c r="CB839" i="4" s="1"/>
  <c r="CD839" i="4"/>
  <c r="CC839" i="4"/>
  <c r="BV839" i="4" s="1"/>
  <c r="BZ839" i="4"/>
  <c r="CE839" i="4" s="1"/>
  <c r="AV839" i="4"/>
  <c r="G839" i="4"/>
  <c r="F839" i="4"/>
  <c r="CA839" i="4" s="1"/>
  <c r="E839" i="4"/>
  <c r="D839" i="4"/>
  <c r="AY839" i="4" s="1"/>
  <c r="C839" i="4"/>
  <c r="CG838" i="4"/>
  <c r="CF838" i="4"/>
  <c r="CD838" i="4" s="1"/>
  <c r="CB838" i="4"/>
  <c r="BZ838" i="4"/>
  <c r="CE838" i="4" s="1"/>
  <c r="AV838" i="4"/>
  <c r="G838" i="4"/>
  <c r="F838" i="4"/>
  <c r="E838" i="4"/>
  <c r="C838" i="4"/>
  <c r="CG837" i="4"/>
  <c r="CF837" i="4"/>
  <c r="CD837" i="4" s="1"/>
  <c r="CC837" i="4"/>
  <c r="BV837" i="4" s="1"/>
  <c r="CB837" i="4"/>
  <c r="BZ837" i="4"/>
  <c r="CE837" i="4" s="1"/>
  <c r="AV837" i="4"/>
  <c r="G837" i="4"/>
  <c r="F837" i="4"/>
  <c r="CA837" i="4" s="1"/>
  <c r="E837" i="4"/>
  <c r="D837" i="4"/>
  <c r="AY837" i="4" s="1"/>
  <c r="C837" i="4"/>
  <c r="CG836" i="4"/>
  <c r="CF836" i="4"/>
  <c r="CD836" i="4" s="1"/>
  <c r="CB836" i="4"/>
  <c r="BZ836" i="4"/>
  <c r="CE836" i="4" s="1"/>
  <c r="AV836" i="4"/>
  <c r="G836" i="4"/>
  <c r="F836" i="4"/>
  <c r="E836" i="4"/>
  <c r="C836" i="4"/>
  <c r="CG835" i="4"/>
  <c r="CF835" i="4"/>
  <c r="CD835" i="4" s="1"/>
  <c r="CC835" i="4"/>
  <c r="BV835" i="4" s="1"/>
  <c r="CB835" i="4"/>
  <c r="BZ835" i="4"/>
  <c r="CE835" i="4" s="1"/>
  <c r="AV835" i="4"/>
  <c r="G835" i="4"/>
  <c r="F835" i="4"/>
  <c r="CA835" i="4" s="1"/>
  <c r="E835" i="4"/>
  <c r="D835" i="4"/>
  <c r="AY835" i="4" s="1"/>
  <c r="C835" i="4"/>
  <c r="CG834" i="4"/>
  <c r="CF834" i="4"/>
  <c r="CD834" i="4" s="1"/>
  <c r="CB834" i="4"/>
  <c r="BZ834" i="4"/>
  <c r="CE834" i="4" s="1"/>
  <c r="AV834" i="4"/>
  <c r="G834" i="4"/>
  <c r="F834" i="4"/>
  <c r="E834" i="4"/>
  <c r="C834" i="4"/>
  <c r="CG833" i="4"/>
  <c r="CF833" i="4"/>
  <c r="CD833" i="4" s="1"/>
  <c r="CC833" i="4"/>
  <c r="BV833" i="4" s="1"/>
  <c r="CB833" i="4"/>
  <c r="BZ833" i="4"/>
  <c r="CE833" i="4" s="1"/>
  <c r="AV833" i="4"/>
  <c r="G833" i="4"/>
  <c r="F833" i="4"/>
  <c r="CA833" i="4" s="1"/>
  <c r="E833" i="4"/>
  <c r="D833" i="4"/>
  <c r="AY833" i="4" s="1"/>
  <c r="C833" i="4"/>
  <c r="CG832" i="4"/>
  <c r="CF832" i="4"/>
  <c r="CD832" i="4" s="1"/>
  <c r="CB832" i="4"/>
  <c r="BZ832" i="4"/>
  <c r="CE832" i="4" s="1"/>
  <c r="AV832" i="4"/>
  <c r="G832" i="4"/>
  <c r="F832" i="4"/>
  <c r="E832" i="4"/>
  <c r="C832" i="4"/>
  <c r="CG831" i="4"/>
  <c r="CF831" i="4"/>
  <c r="CD831" i="4" s="1"/>
  <c r="CC831" i="4"/>
  <c r="BV831" i="4" s="1"/>
  <c r="CB831" i="4"/>
  <c r="BZ831" i="4"/>
  <c r="CE831" i="4" s="1"/>
  <c r="AV831" i="4"/>
  <c r="G831" i="4"/>
  <c r="F831" i="4"/>
  <c r="CA831" i="4" s="1"/>
  <c r="E831" i="4"/>
  <c r="D831" i="4"/>
  <c r="AY831" i="4" s="1"/>
  <c r="C831" i="4"/>
  <c r="CG830" i="4"/>
  <c r="CF830" i="4"/>
  <c r="CD830" i="4" s="1"/>
  <c r="CB830" i="4"/>
  <c r="BZ830" i="4"/>
  <c r="AV830" i="4"/>
  <c r="G830" i="4"/>
  <c r="F830" i="4"/>
  <c r="E830" i="4"/>
  <c r="C830" i="4"/>
  <c r="CG829" i="4"/>
  <c r="CF829" i="4"/>
  <c r="CD829" i="4" s="1"/>
  <c r="CC829" i="4"/>
  <c r="BV829" i="4" s="1"/>
  <c r="BX829" i="4" s="1"/>
  <c r="CB829" i="4"/>
  <c r="BZ829" i="4"/>
  <c r="CE829" i="4" s="1"/>
  <c r="BW829" i="4"/>
  <c r="AV829" i="4"/>
  <c r="G829" i="4"/>
  <c r="F829" i="4"/>
  <c r="CA829" i="4" s="1"/>
  <c r="E829" i="4"/>
  <c r="D829" i="4" s="1"/>
  <c r="AY829" i="4" s="1"/>
  <c r="C829" i="4"/>
  <c r="CG828" i="4"/>
  <c r="CF828" i="4"/>
  <c r="CD828" i="4" s="1"/>
  <c r="CB828" i="4"/>
  <c r="BZ828" i="4"/>
  <c r="AV828" i="4"/>
  <c r="G828" i="4"/>
  <c r="F828" i="4"/>
  <c r="BY828" i="4" s="1"/>
  <c r="E828" i="4"/>
  <c r="C828" i="4"/>
  <c r="CG827" i="4"/>
  <c r="CF827" i="4"/>
  <c r="CD827" i="4" s="1"/>
  <c r="CC827" i="4"/>
  <c r="BV827" i="4" s="1"/>
  <c r="BX827" i="4" s="1"/>
  <c r="CB827" i="4"/>
  <c r="BZ827" i="4"/>
  <c r="CE827" i="4" s="1"/>
  <c r="BW827" i="4"/>
  <c r="AV827" i="4"/>
  <c r="G827" i="4"/>
  <c r="F827" i="4"/>
  <c r="CA827" i="4" s="1"/>
  <c r="E827" i="4"/>
  <c r="D827" i="4" s="1"/>
  <c r="AY827" i="4" s="1"/>
  <c r="C827" i="4"/>
  <c r="CG826" i="4"/>
  <c r="CF826" i="4"/>
  <c r="CD826" i="4" s="1"/>
  <c r="CB826" i="4"/>
  <c r="CA826" i="4"/>
  <c r="BZ826" i="4"/>
  <c r="AV826" i="4"/>
  <c r="G826" i="4"/>
  <c r="F826" i="4"/>
  <c r="E826" i="4"/>
  <c r="C826" i="4"/>
  <c r="CG825" i="4"/>
  <c r="CF825" i="4"/>
  <c r="CD825" i="4" s="1"/>
  <c r="CC825" i="4"/>
  <c r="BV825" i="4" s="1"/>
  <c r="CB825" i="4"/>
  <c r="BZ825" i="4"/>
  <c r="AV825" i="4"/>
  <c r="G825" i="4"/>
  <c r="F825" i="4"/>
  <c r="CA825" i="4" s="1"/>
  <c r="E825" i="4"/>
  <c r="D825" i="4"/>
  <c r="AY825" i="4" s="1"/>
  <c r="C825" i="4"/>
  <c r="CG824" i="4"/>
  <c r="CF824" i="4"/>
  <c r="CD824" i="4" s="1"/>
  <c r="CC824" i="4"/>
  <c r="CB824" i="4"/>
  <c r="CA824" i="4"/>
  <c r="BZ824" i="4"/>
  <c r="AV824" i="4"/>
  <c r="G824" i="4"/>
  <c r="F824" i="4"/>
  <c r="E824" i="4"/>
  <c r="C824" i="4"/>
  <c r="CG823" i="4"/>
  <c r="CF823" i="4"/>
  <c r="CE823" i="4"/>
  <c r="CD823" i="4"/>
  <c r="CC823" i="4"/>
  <c r="BV823" i="4" s="1"/>
  <c r="CB823" i="4"/>
  <c r="BZ823" i="4"/>
  <c r="AV823" i="4"/>
  <c r="G823" i="4"/>
  <c r="F823" i="4"/>
  <c r="E823" i="4"/>
  <c r="D823" i="4"/>
  <c r="AY823" i="4" s="1"/>
  <c r="C823" i="4"/>
  <c r="CG822" i="4"/>
  <c r="CF822" i="4"/>
  <c r="CD822" i="4" s="1"/>
  <c r="BZ822" i="4"/>
  <c r="AV822" i="4"/>
  <c r="G822" i="4"/>
  <c r="F822" i="4"/>
  <c r="BY822" i="4" s="1"/>
  <c r="E822" i="4"/>
  <c r="C822" i="4"/>
  <c r="CG821" i="4"/>
  <c r="CF821" i="4"/>
  <c r="BZ821" i="4"/>
  <c r="BY821" i="4"/>
  <c r="BW821" i="4"/>
  <c r="AV821" i="4"/>
  <c r="G821" i="4"/>
  <c r="F821" i="4"/>
  <c r="E821" i="4"/>
  <c r="D821" i="4" s="1"/>
  <c r="AY821" i="4" s="1"/>
  <c r="C821" i="4"/>
  <c r="CG820" i="4"/>
  <c r="CF820" i="4"/>
  <c r="CA820" i="4"/>
  <c r="BZ820" i="4"/>
  <c r="AV820" i="4"/>
  <c r="G820" i="4"/>
  <c r="F820" i="4"/>
  <c r="E820" i="4"/>
  <c r="C820" i="4"/>
  <c r="CG819" i="4"/>
  <c r="CF819" i="4"/>
  <c r="BZ819" i="4"/>
  <c r="AV819" i="4"/>
  <c r="G819" i="4"/>
  <c r="F819" i="4"/>
  <c r="E819" i="4"/>
  <c r="C819" i="4"/>
  <c r="CG818" i="4"/>
  <c r="CF818" i="4"/>
  <c r="CD818" i="4"/>
  <c r="CC818" i="4"/>
  <c r="BV818" i="4" s="1"/>
  <c r="CB818" i="4"/>
  <c r="CA818" i="4"/>
  <c r="BZ818" i="4"/>
  <c r="AV818" i="4"/>
  <c r="G818" i="4"/>
  <c r="F818" i="4"/>
  <c r="E818" i="4"/>
  <c r="C818" i="4"/>
  <c r="CG817" i="4"/>
  <c r="CF817" i="4"/>
  <c r="BZ817" i="4"/>
  <c r="BY817" i="4"/>
  <c r="BW817" i="4"/>
  <c r="AY817" i="4"/>
  <c r="AV817" i="4"/>
  <c r="G817" i="4"/>
  <c r="F817" i="4"/>
  <c r="D817" i="4" s="1"/>
  <c r="E817" i="4"/>
  <c r="C817" i="4"/>
  <c r="CG816" i="4"/>
  <c r="CF816" i="4"/>
  <c r="CA816" i="4"/>
  <c r="BZ816" i="4"/>
  <c r="AV816" i="4"/>
  <c r="G816" i="4"/>
  <c r="F816" i="4"/>
  <c r="E816" i="4"/>
  <c r="C816" i="4"/>
  <c r="CG815" i="4"/>
  <c r="CF815" i="4"/>
  <c r="BZ815" i="4"/>
  <c r="AV815" i="4"/>
  <c r="G815" i="4"/>
  <c r="F815" i="4"/>
  <c r="E815" i="4"/>
  <c r="C815" i="4"/>
  <c r="CG814" i="4"/>
  <c r="CF814" i="4"/>
  <c r="CB814" i="4"/>
  <c r="CA814" i="4"/>
  <c r="BZ814" i="4"/>
  <c r="AV814" i="4"/>
  <c r="G814" i="4"/>
  <c r="F814" i="4"/>
  <c r="E814" i="4"/>
  <c r="C814" i="4"/>
  <c r="CG813" i="4"/>
  <c r="CF813" i="4"/>
  <c r="BZ813" i="4"/>
  <c r="AV813" i="4"/>
  <c r="G813" i="4"/>
  <c r="F813" i="4"/>
  <c r="E813" i="4"/>
  <c r="C813" i="4"/>
  <c r="CG812" i="4"/>
  <c r="CF812" i="4"/>
  <c r="CD812" i="4" s="1"/>
  <c r="CC812" i="4"/>
  <c r="BV812" i="4" s="1"/>
  <c r="CB812" i="4"/>
  <c r="BZ812" i="4"/>
  <c r="AV812" i="4"/>
  <c r="G812" i="4"/>
  <c r="F812" i="4"/>
  <c r="E812" i="4"/>
  <c r="C812" i="4"/>
  <c r="CG811" i="4"/>
  <c r="CF811" i="4"/>
  <c r="CD811" i="4"/>
  <c r="BZ811" i="4"/>
  <c r="BW811" i="4"/>
  <c r="AV811" i="4"/>
  <c r="G811" i="4"/>
  <c r="F811" i="4"/>
  <c r="BY811" i="4" s="1"/>
  <c r="E811" i="4"/>
  <c r="D811" i="4"/>
  <c r="AY811" i="4" s="1"/>
  <c r="C811" i="4"/>
  <c r="CG810" i="4"/>
  <c r="CF810" i="4"/>
  <c r="BZ810" i="4"/>
  <c r="AV810" i="4"/>
  <c r="G810" i="4"/>
  <c r="F810" i="4"/>
  <c r="E810" i="4"/>
  <c r="C810" i="4"/>
  <c r="CG809" i="4"/>
  <c r="CF809" i="4"/>
  <c r="BZ809" i="4"/>
  <c r="AV809" i="4"/>
  <c r="G809" i="4"/>
  <c r="F809" i="4"/>
  <c r="CB809" i="4" s="1"/>
  <c r="E809" i="4"/>
  <c r="C809" i="4"/>
  <c r="CG808" i="4"/>
  <c r="CF808" i="4"/>
  <c r="CC808" i="4"/>
  <c r="BZ808" i="4"/>
  <c r="AV808" i="4"/>
  <c r="G808" i="4"/>
  <c r="F808" i="4"/>
  <c r="E808" i="4"/>
  <c r="C808" i="4"/>
  <c r="CG807" i="4"/>
  <c r="CF807" i="4"/>
  <c r="CD807" i="4"/>
  <c r="CC807" i="4"/>
  <c r="BV807" i="4" s="1"/>
  <c r="CB807" i="4"/>
  <c r="CE807" i="4" s="1"/>
  <c r="BZ807" i="4"/>
  <c r="AV807" i="4"/>
  <c r="G807" i="4"/>
  <c r="F807" i="4"/>
  <c r="E807" i="4"/>
  <c r="D807" i="4"/>
  <c r="AY807" i="4" s="1"/>
  <c r="C807" i="4"/>
  <c r="CG806" i="4"/>
  <c r="CF806" i="4"/>
  <c r="CB806" i="4" s="1"/>
  <c r="CD806" i="4"/>
  <c r="BZ806" i="4"/>
  <c r="AV806" i="4"/>
  <c r="G806" i="4"/>
  <c r="F806" i="4"/>
  <c r="E806" i="4"/>
  <c r="C806" i="4"/>
  <c r="CG805" i="4"/>
  <c r="CF805" i="4"/>
  <c r="BZ805" i="4"/>
  <c r="AV805" i="4"/>
  <c r="G805" i="4"/>
  <c r="F805" i="4"/>
  <c r="E805" i="4"/>
  <c r="D805" i="4"/>
  <c r="AY805" i="4" s="1"/>
  <c r="C805" i="4"/>
  <c r="CG804" i="4"/>
  <c r="CF804" i="4"/>
  <c r="CA804" i="4"/>
  <c r="BZ804" i="4"/>
  <c r="AV804" i="4"/>
  <c r="G804" i="4"/>
  <c r="F804" i="4"/>
  <c r="E804" i="4"/>
  <c r="C804" i="4"/>
  <c r="CG803" i="4"/>
  <c r="CF803" i="4"/>
  <c r="CD803" i="4" s="1"/>
  <c r="BZ803" i="4"/>
  <c r="AV803" i="4"/>
  <c r="G803" i="4"/>
  <c r="F803" i="4"/>
  <c r="E803" i="4"/>
  <c r="C803" i="4"/>
  <c r="CG802" i="4"/>
  <c r="CF802" i="4"/>
  <c r="CD802" i="4"/>
  <c r="CC802" i="4"/>
  <c r="BV802" i="4" s="1"/>
  <c r="CB802" i="4"/>
  <c r="CA802" i="4"/>
  <c r="BZ802" i="4"/>
  <c r="AV802" i="4"/>
  <c r="G802" i="4"/>
  <c r="F802" i="4"/>
  <c r="E802" i="4"/>
  <c r="C802" i="4"/>
  <c r="CG801" i="4"/>
  <c r="CF801" i="4"/>
  <c r="CB801" i="4" s="1"/>
  <c r="CD801" i="4"/>
  <c r="BZ801" i="4"/>
  <c r="AY801" i="4"/>
  <c r="AV801" i="4"/>
  <c r="G801" i="4"/>
  <c r="F801" i="4"/>
  <c r="D801" i="4" s="1"/>
  <c r="E801" i="4"/>
  <c r="C801" i="4"/>
  <c r="CG800" i="4"/>
  <c r="CF800" i="4"/>
  <c r="CD800" i="4"/>
  <c r="CA800" i="4"/>
  <c r="BZ800" i="4"/>
  <c r="AV800" i="4"/>
  <c r="G800" i="4"/>
  <c r="F800" i="4"/>
  <c r="E800" i="4"/>
  <c r="C800" i="4"/>
  <c r="CG799" i="4"/>
  <c r="CF799" i="4"/>
  <c r="BZ799" i="4"/>
  <c r="AV799" i="4"/>
  <c r="G799" i="4"/>
  <c r="F799" i="4"/>
  <c r="E799" i="4"/>
  <c r="D799" i="4"/>
  <c r="AY799" i="4" s="1"/>
  <c r="C799" i="4"/>
  <c r="CG798" i="4"/>
  <c r="CF798" i="4"/>
  <c r="CA798" i="4"/>
  <c r="BZ798" i="4"/>
  <c r="BY798" i="4"/>
  <c r="AV798" i="4"/>
  <c r="H798" i="4"/>
  <c r="G798" i="4"/>
  <c r="F798" i="4"/>
  <c r="CB798" i="4" s="1"/>
  <c r="E798" i="4"/>
  <c r="C798" i="4"/>
  <c r="CG797" i="4"/>
  <c r="CF797" i="4"/>
  <c r="CB797" i="4"/>
  <c r="BZ797" i="4"/>
  <c r="AV797" i="4"/>
  <c r="G797" i="4"/>
  <c r="F797" i="4"/>
  <c r="CD797" i="4" s="1"/>
  <c r="E797" i="4"/>
  <c r="C797" i="4"/>
  <c r="CG796" i="4"/>
  <c r="CF796" i="4"/>
  <c r="CB796" i="4" s="1"/>
  <c r="CD796" i="4"/>
  <c r="CA796" i="4"/>
  <c r="BZ796" i="4"/>
  <c r="AV796" i="4"/>
  <c r="G796" i="4"/>
  <c r="F796" i="4"/>
  <c r="E796" i="4"/>
  <c r="D796" i="4"/>
  <c r="AY796" i="4" s="1"/>
  <c r="C796" i="4"/>
  <c r="CG795" i="4"/>
  <c r="CF795" i="4"/>
  <c r="CB795" i="4"/>
  <c r="BZ795" i="4"/>
  <c r="CE795" i="4" s="1"/>
  <c r="AV795" i="4"/>
  <c r="G795" i="4"/>
  <c r="F795" i="4"/>
  <c r="CA795" i="4" s="1"/>
  <c r="E795" i="4"/>
  <c r="C795" i="4"/>
  <c r="CG794" i="4"/>
  <c r="CF794" i="4"/>
  <c r="CB794" i="4" s="1"/>
  <c r="CD794" i="4"/>
  <c r="CA794" i="4"/>
  <c r="BZ794" i="4"/>
  <c r="AV794" i="4"/>
  <c r="G794" i="4"/>
  <c r="F794" i="4"/>
  <c r="E794" i="4"/>
  <c r="D794" i="4"/>
  <c r="AY794" i="4" s="1"/>
  <c r="C794" i="4"/>
  <c r="CG793" i="4"/>
  <c r="CF793" i="4"/>
  <c r="CD793" i="4"/>
  <c r="BZ793" i="4"/>
  <c r="AV793" i="4"/>
  <c r="G793" i="4"/>
  <c r="F793" i="4"/>
  <c r="CA793" i="4" s="1"/>
  <c r="E793" i="4"/>
  <c r="C793" i="4"/>
  <c r="CG792" i="4"/>
  <c r="CF792" i="4"/>
  <c r="CB792" i="4" s="1"/>
  <c r="CC792" i="4"/>
  <c r="BV792" i="4" s="1"/>
  <c r="CA792" i="4"/>
  <c r="BZ792" i="4"/>
  <c r="AV792" i="4"/>
  <c r="G792" i="4"/>
  <c r="F792" i="4"/>
  <c r="E792" i="4"/>
  <c r="D792" i="4"/>
  <c r="AY792" i="4" s="1"/>
  <c r="C792" i="4"/>
  <c r="CG791" i="4"/>
  <c r="CF791" i="4"/>
  <c r="CE791" i="4"/>
  <c r="CD791" i="4"/>
  <c r="CC791" i="4"/>
  <c r="CB791" i="4"/>
  <c r="BZ791" i="4"/>
  <c r="BY791" i="4"/>
  <c r="BW791" i="4"/>
  <c r="BV791" i="4"/>
  <c r="BX791" i="4" s="1"/>
  <c r="AV791" i="4"/>
  <c r="G791" i="4"/>
  <c r="F791" i="4"/>
  <c r="H791" i="4" s="1"/>
  <c r="H792" i="4" s="1"/>
  <c r="E791" i="4"/>
  <c r="D791" i="4"/>
  <c r="AY791" i="4" s="1"/>
  <c r="C791" i="4"/>
  <c r="CG790" i="4"/>
  <c r="CF790" i="4"/>
  <c r="BZ790" i="4"/>
  <c r="BW790" i="4"/>
  <c r="AV790" i="4"/>
  <c r="H790" i="4"/>
  <c r="G790" i="4"/>
  <c r="F790" i="4"/>
  <c r="BY790" i="4" s="1"/>
  <c r="E790" i="4"/>
  <c r="D790" i="4" s="1"/>
  <c r="AY790" i="4" s="1"/>
  <c r="C790" i="4"/>
  <c r="CG789" i="4"/>
  <c r="CF789" i="4"/>
  <c r="CD789" i="4"/>
  <c r="CC789" i="4"/>
  <c r="CB789" i="4"/>
  <c r="CA789" i="4"/>
  <c r="BZ789" i="4"/>
  <c r="CE789" i="4" s="1"/>
  <c r="BV789" i="4"/>
  <c r="AV789" i="4"/>
  <c r="G789" i="4"/>
  <c r="E789" i="4"/>
  <c r="D789" i="4"/>
  <c r="AY789" i="4" s="1"/>
  <c r="C789" i="4"/>
  <c r="CG788" i="4"/>
  <c r="CF788" i="4"/>
  <c r="CD788" i="4"/>
  <c r="CC788" i="4"/>
  <c r="CB788" i="4"/>
  <c r="CE788" i="4" s="1"/>
  <c r="CA788" i="4"/>
  <c r="BZ788" i="4"/>
  <c r="BV788" i="4"/>
  <c r="AY788" i="4"/>
  <c r="AV788" i="4"/>
  <c r="G788" i="4"/>
  <c r="E788" i="4"/>
  <c r="D788" i="4"/>
  <c r="C788" i="4"/>
  <c r="CG787" i="4"/>
  <c r="CF787" i="4"/>
  <c r="CD787" i="4" s="1"/>
  <c r="CB787" i="4"/>
  <c r="CA787" i="4"/>
  <c r="BZ787" i="4"/>
  <c r="AV787" i="4"/>
  <c r="G787" i="4"/>
  <c r="E787" i="4"/>
  <c r="D787" i="4"/>
  <c r="AY787" i="4" s="1"/>
  <c r="C787" i="4"/>
  <c r="CG786" i="4"/>
  <c r="CF786" i="4"/>
  <c r="CD786" i="4" s="1"/>
  <c r="CB786" i="4"/>
  <c r="CA786" i="4"/>
  <c r="BZ786" i="4"/>
  <c r="AV786" i="4"/>
  <c r="G786" i="4"/>
  <c r="E786" i="4"/>
  <c r="D786" i="4"/>
  <c r="AY786" i="4" s="1"/>
  <c r="C786" i="4"/>
  <c r="CG785" i="4"/>
  <c r="CF785" i="4"/>
  <c r="CC785" i="4" s="1"/>
  <c r="BV785" i="4" s="1"/>
  <c r="CD785" i="4"/>
  <c r="CA785" i="4"/>
  <c r="BZ785" i="4"/>
  <c r="AV785" i="4"/>
  <c r="G785" i="4"/>
  <c r="E785" i="4"/>
  <c r="D785" i="4"/>
  <c r="AY785" i="4" s="1"/>
  <c r="C785" i="4"/>
  <c r="CG784" i="4"/>
  <c r="CF784" i="4"/>
  <c r="CC784" i="4" s="1"/>
  <c r="BV784" i="4" s="1"/>
  <c r="CD784" i="4"/>
  <c r="CB784" i="4"/>
  <c r="CA784" i="4"/>
  <c r="BZ784" i="4"/>
  <c r="AV784" i="4"/>
  <c r="G784" i="4"/>
  <c r="E784" i="4"/>
  <c r="D784" i="4"/>
  <c r="AY784" i="4" s="1"/>
  <c r="C784" i="4"/>
  <c r="CG783" i="4"/>
  <c r="CF783" i="4"/>
  <c r="CD783" i="4"/>
  <c r="CC783" i="4"/>
  <c r="CB783" i="4"/>
  <c r="CE783" i="4" s="1"/>
  <c r="CA783" i="4"/>
  <c r="BZ783" i="4"/>
  <c r="BV783" i="4"/>
  <c r="AY783" i="4"/>
  <c r="AV783" i="4"/>
  <c r="G783" i="4"/>
  <c r="E783" i="4"/>
  <c r="D783" i="4"/>
  <c r="C783" i="4"/>
  <c r="CG782" i="4"/>
  <c r="CF782" i="4"/>
  <c r="CD782" i="4" s="1"/>
  <c r="CA782" i="4"/>
  <c r="BZ782" i="4"/>
  <c r="AV782" i="4"/>
  <c r="G782" i="4"/>
  <c r="E782" i="4"/>
  <c r="D782" i="4"/>
  <c r="AY782" i="4" s="1"/>
  <c r="C782" i="4"/>
  <c r="CG781" i="4"/>
  <c r="CF781" i="4"/>
  <c r="CD781" i="4" s="1"/>
  <c r="CC781" i="4"/>
  <c r="BV781" i="4" s="1"/>
  <c r="CB781" i="4"/>
  <c r="CA781" i="4"/>
  <c r="BZ781" i="4"/>
  <c r="CE781" i="4" s="1"/>
  <c r="AV781" i="4"/>
  <c r="G781" i="4"/>
  <c r="E781" i="4"/>
  <c r="D781" i="4"/>
  <c r="AY781" i="4" s="1"/>
  <c r="C781" i="4"/>
  <c r="CG780" i="4"/>
  <c r="CF780" i="4"/>
  <c r="CC780" i="4"/>
  <c r="BV780" i="4" s="1"/>
  <c r="CA780" i="4"/>
  <c r="BZ780" i="4"/>
  <c r="AV780" i="4"/>
  <c r="G780" i="4"/>
  <c r="E780" i="4"/>
  <c r="D780" i="4"/>
  <c r="AY780" i="4" s="1"/>
  <c r="C780" i="4"/>
  <c r="CG779" i="4"/>
  <c r="CF779" i="4"/>
  <c r="CA779" i="4"/>
  <c r="BZ779" i="4"/>
  <c r="AV779" i="4"/>
  <c r="G779" i="4"/>
  <c r="E779" i="4"/>
  <c r="D779" i="4"/>
  <c r="AY779" i="4" s="1"/>
  <c r="C779" i="4"/>
  <c r="CG778" i="4"/>
  <c r="CF778" i="4"/>
  <c r="CD778" i="4"/>
  <c r="CC778" i="4"/>
  <c r="BV778" i="4" s="1"/>
  <c r="CB778" i="4"/>
  <c r="CA778" i="4"/>
  <c r="BZ778" i="4"/>
  <c r="CE778" i="4" s="1"/>
  <c r="AV778" i="4"/>
  <c r="G778" i="4"/>
  <c r="E778" i="4"/>
  <c r="D778" i="4"/>
  <c r="AY778" i="4" s="1"/>
  <c r="C778" i="4"/>
  <c r="CG777" i="4"/>
  <c r="CF777" i="4"/>
  <c r="CD777" i="4"/>
  <c r="CA777" i="4"/>
  <c r="BZ777" i="4"/>
  <c r="AV777" i="4"/>
  <c r="G777" i="4"/>
  <c r="E777" i="4"/>
  <c r="D777" i="4"/>
  <c r="AY777" i="4" s="1"/>
  <c r="C777" i="4"/>
  <c r="CG776" i="4"/>
  <c r="CF776" i="4"/>
  <c r="CC776" i="4" s="1"/>
  <c r="BV776" i="4" s="1"/>
  <c r="CD776" i="4"/>
  <c r="CB776" i="4"/>
  <c r="CA776" i="4"/>
  <c r="BZ776" i="4"/>
  <c r="CE776" i="4" s="1"/>
  <c r="AV776" i="4"/>
  <c r="G776" i="4"/>
  <c r="E776" i="4"/>
  <c r="D776" i="4"/>
  <c r="AY776" i="4" s="1"/>
  <c r="C776" i="4"/>
  <c r="CG775" i="4"/>
  <c r="CF775" i="4"/>
  <c r="CE775" i="4"/>
  <c r="CD775" i="4"/>
  <c r="CC775" i="4"/>
  <c r="CB775" i="4"/>
  <c r="CA775" i="4"/>
  <c r="BZ775" i="4"/>
  <c r="BV775" i="4"/>
  <c r="AV775" i="4"/>
  <c r="G775" i="4"/>
  <c r="E775" i="4"/>
  <c r="D775" i="4"/>
  <c r="AY775" i="4" s="1"/>
  <c r="C775" i="4"/>
  <c r="CG774" i="4"/>
  <c r="CF774" i="4"/>
  <c r="CD774" i="4" s="1"/>
  <c r="CA774" i="4"/>
  <c r="BZ774" i="4"/>
  <c r="AV774" i="4"/>
  <c r="G774" i="4"/>
  <c r="E774" i="4"/>
  <c r="D774" i="4"/>
  <c r="AY774" i="4" s="1"/>
  <c r="C774" i="4"/>
  <c r="CG773" i="4"/>
  <c r="CF773" i="4"/>
  <c r="CD773" i="4" s="1"/>
  <c r="CC773" i="4"/>
  <c r="BV773" i="4" s="1"/>
  <c r="CB773" i="4"/>
  <c r="CA773" i="4"/>
  <c r="BZ773" i="4"/>
  <c r="CE773" i="4" s="1"/>
  <c r="AV773" i="4"/>
  <c r="G773" i="4"/>
  <c r="E773" i="4"/>
  <c r="D773" i="4"/>
  <c r="AY773" i="4" s="1"/>
  <c r="C773" i="4"/>
  <c r="CG772" i="4"/>
  <c r="CF772" i="4"/>
  <c r="CC772" i="4"/>
  <c r="BV772" i="4" s="1"/>
  <c r="CA772" i="4"/>
  <c r="BZ772" i="4"/>
  <c r="AV772" i="4"/>
  <c r="G772" i="4"/>
  <c r="E772" i="4"/>
  <c r="D772" i="4"/>
  <c r="AY772" i="4" s="1"/>
  <c r="C772" i="4"/>
  <c r="CG771" i="4"/>
  <c r="CF771" i="4"/>
  <c r="CA771" i="4"/>
  <c r="BZ771" i="4"/>
  <c r="AV771" i="4"/>
  <c r="G771" i="4"/>
  <c r="E771" i="4"/>
  <c r="D771" i="4"/>
  <c r="AY771" i="4" s="1"/>
  <c r="C771" i="4"/>
  <c r="CG770" i="4"/>
  <c r="CF770" i="4"/>
  <c r="CD770" i="4"/>
  <c r="CC770" i="4"/>
  <c r="BV770" i="4" s="1"/>
  <c r="CB770" i="4"/>
  <c r="CA770" i="4"/>
  <c r="BZ770" i="4"/>
  <c r="AV770" i="4"/>
  <c r="G770" i="4"/>
  <c r="E770" i="4"/>
  <c r="D770" i="4"/>
  <c r="AY770" i="4" s="1"/>
  <c r="C770" i="4"/>
  <c r="CG769" i="4"/>
  <c r="CF769" i="4"/>
  <c r="CD769" i="4"/>
  <c r="CA769" i="4"/>
  <c r="BZ769" i="4"/>
  <c r="AV769" i="4"/>
  <c r="G769" i="4"/>
  <c r="E769" i="4"/>
  <c r="D769" i="4"/>
  <c r="AY769" i="4" s="1"/>
  <c r="C769" i="4"/>
  <c r="CG768" i="4"/>
  <c r="CF768" i="4"/>
  <c r="CC768" i="4" s="1"/>
  <c r="BV768" i="4" s="1"/>
  <c r="CD768" i="4"/>
  <c r="CB768" i="4"/>
  <c r="CA768" i="4"/>
  <c r="BZ768" i="4"/>
  <c r="AV768" i="4"/>
  <c r="G768" i="4"/>
  <c r="E768" i="4"/>
  <c r="D768" i="4"/>
  <c r="AY768" i="4" s="1"/>
  <c r="C768" i="4"/>
  <c r="CG767" i="4"/>
  <c r="CF767" i="4"/>
  <c r="CD767" i="4"/>
  <c r="CC767" i="4"/>
  <c r="BV767" i="4" s="1"/>
  <c r="CB767" i="4"/>
  <c r="CE767" i="4" s="1"/>
  <c r="CA767" i="4"/>
  <c r="BZ767" i="4"/>
  <c r="AV767" i="4"/>
  <c r="G767" i="4"/>
  <c r="E767" i="4"/>
  <c r="D767" i="4"/>
  <c r="AY767" i="4" s="1"/>
  <c r="C767" i="4"/>
  <c r="CG766" i="4"/>
  <c r="CF766" i="4"/>
  <c r="CA766" i="4"/>
  <c r="BZ766" i="4"/>
  <c r="AV766" i="4"/>
  <c r="G766" i="4"/>
  <c r="E766" i="4"/>
  <c r="D766" i="4"/>
  <c r="AY766" i="4" s="1"/>
  <c r="C766" i="4"/>
  <c r="CG765" i="4"/>
  <c r="CF765" i="4"/>
  <c r="CD765" i="4" s="1"/>
  <c r="CC765" i="4"/>
  <c r="BV765" i="4" s="1"/>
  <c r="CB765" i="4"/>
  <c r="CA765" i="4"/>
  <c r="BZ765" i="4"/>
  <c r="AV765" i="4"/>
  <c r="G765" i="4"/>
  <c r="E765" i="4"/>
  <c r="D765" i="4"/>
  <c r="AY765" i="4" s="1"/>
  <c r="C765" i="4"/>
  <c r="CG764" i="4"/>
  <c r="CF764" i="4"/>
  <c r="CB764" i="4" s="1"/>
  <c r="CE764" i="4"/>
  <c r="CD764" i="4"/>
  <c r="CC764" i="4"/>
  <c r="BV764" i="4" s="1"/>
  <c r="CA764" i="4"/>
  <c r="BZ764" i="4"/>
  <c r="AV764" i="4"/>
  <c r="G764" i="4"/>
  <c r="E764" i="4"/>
  <c r="D764" i="4"/>
  <c r="AY764" i="4" s="1"/>
  <c r="C764" i="4"/>
  <c r="CG763" i="4"/>
  <c r="CF763" i="4"/>
  <c r="CC763" i="4"/>
  <c r="BV763" i="4" s="1"/>
  <c r="CA763" i="4"/>
  <c r="BZ763" i="4"/>
  <c r="BN763" i="4"/>
  <c r="AV763" i="4"/>
  <c r="G763" i="4"/>
  <c r="E763" i="4"/>
  <c r="D763" i="4"/>
  <c r="AY763" i="4" s="1"/>
  <c r="C763" i="4"/>
  <c r="CG762" i="4"/>
  <c r="CF762" i="4"/>
  <c r="CD762" i="4"/>
  <c r="CC762" i="4"/>
  <c r="BV762" i="4" s="1"/>
  <c r="CB762" i="4"/>
  <c r="CE762" i="4" s="1"/>
  <c r="CA762" i="4"/>
  <c r="BZ762" i="4"/>
  <c r="AV762" i="4"/>
  <c r="G762" i="4"/>
  <c r="E762" i="4"/>
  <c r="D762" i="4"/>
  <c r="AY762" i="4" s="1"/>
  <c r="C762" i="4"/>
  <c r="CG761" i="4"/>
  <c r="CF761" i="4"/>
  <c r="CB761" i="4"/>
  <c r="CA761" i="4"/>
  <c r="BZ761" i="4"/>
  <c r="CE761" i="4" s="1"/>
  <c r="AV761" i="4"/>
  <c r="G761" i="4"/>
  <c r="E761" i="4"/>
  <c r="D761" i="4"/>
  <c r="AY761" i="4" s="1"/>
  <c r="C761" i="4"/>
  <c r="CG760" i="4"/>
  <c r="CF760" i="4"/>
  <c r="CD760" i="4" s="1"/>
  <c r="CC760" i="4"/>
  <c r="BV760" i="4" s="1"/>
  <c r="CB760" i="4"/>
  <c r="CA760" i="4"/>
  <c r="BZ760" i="4"/>
  <c r="CE760" i="4" s="1"/>
  <c r="AV760" i="4"/>
  <c r="G760" i="4"/>
  <c r="E760" i="4"/>
  <c r="D760" i="4"/>
  <c r="AY760" i="4" s="1"/>
  <c r="C760" i="4"/>
  <c r="CG759" i="4"/>
  <c r="CF759" i="4"/>
  <c r="CB759" i="4" s="1"/>
  <c r="CA759" i="4"/>
  <c r="BZ759" i="4"/>
  <c r="CE759" i="4" s="1"/>
  <c r="AV759" i="4"/>
  <c r="G759" i="4"/>
  <c r="E759" i="4"/>
  <c r="D759" i="4"/>
  <c r="AY759" i="4" s="1"/>
  <c r="C759" i="4"/>
  <c r="CG758" i="4"/>
  <c r="CF758" i="4"/>
  <c r="CA758" i="4"/>
  <c r="BZ758" i="4"/>
  <c r="AV758" i="4"/>
  <c r="G758" i="4"/>
  <c r="E758" i="4"/>
  <c r="D758" i="4"/>
  <c r="AY758" i="4" s="1"/>
  <c r="C758" i="4"/>
  <c r="CG757" i="4"/>
  <c r="CF757" i="4"/>
  <c r="CB757" i="4" s="1"/>
  <c r="CC757" i="4"/>
  <c r="CA757" i="4"/>
  <c r="BZ757" i="4"/>
  <c r="BV757" i="4"/>
  <c r="AV757" i="4"/>
  <c r="G757" i="4"/>
  <c r="E757" i="4"/>
  <c r="D757" i="4"/>
  <c r="AY757" i="4" s="1"/>
  <c r="C757" i="4"/>
  <c r="CG756" i="4"/>
  <c r="CF756" i="4"/>
  <c r="CB756" i="4" s="1"/>
  <c r="CD756" i="4"/>
  <c r="CA756" i="4"/>
  <c r="BZ756" i="4"/>
  <c r="AV756" i="4"/>
  <c r="G756" i="4"/>
  <c r="E756" i="4"/>
  <c r="D756" i="4"/>
  <c r="AY756" i="4" s="1"/>
  <c r="C756" i="4"/>
  <c r="CG755" i="4"/>
  <c r="CF755" i="4"/>
  <c r="CA755" i="4"/>
  <c r="BZ755" i="4"/>
  <c r="AV755" i="4"/>
  <c r="G755" i="4"/>
  <c r="E755" i="4"/>
  <c r="D755" i="4"/>
  <c r="AY755" i="4" s="1"/>
  <c r="C755" i="4"/>
  <c r="CG754" i="4"/>
  <c r="CF754" i="4"/>
  <c r="CE754" i="4"/>
  <c r="CD754" i="4"/>
  <c r="CC754" i="4"/>
  <c r="CB754" i="4"/>
  <c r="CA754" i="4"/>
  <c r="BZ754" i="4"/>
  <c r="BY754" i="4"/>
  <c r="BW754" i="4"/>
  <c r="BV754" i="4"/>
  <c r="BX754" i="4" s="1"/>
  <c r="AV754" i="4"/>
  <c r="H754" i="4"/>
  <c r="H755" i="4" s="1"/>
  <c r="G754" i="4"/>
  <c r="E754" i="4"/>
  <c r="D754" i="4" s="1"/>
  <c r="AY754" i="4" s="1"/>
  <c r="C754" i="4"/>
  <c r="CG753" i="4"/>
  <c r="CF753" i="4"/>
  <c r="BZ753" i="4"/>
  <c r="BY753" i="4"/>
  <c r="BW753" i="4"/>
  <c r="AV753" i="4"/>
  <c r="G753" i="4"/>
  <c r="F753" i="4"/>
  <c r="E753" i="4"/>
  <c r="D753" i="4"/>
  <c r="AY753" i="4" s="1"/>
  <c r="C753" i="4"/>
  <c r="CG752" i="4"/>
  <c r="CF752" i="4"/>
  <c r="BZ752" i="4"/>
  <c r="BN752" i="4"/>
  <c r="AV752" i="4"/>
  <c r="G752" i="4"/>
  <c r="F752" i="4"/>
  <c r="E752" i="4"/>
  <c r="C752" i="4"/>
  <c r="CG751" i="4"/>
  <c r="CF751" i="4"/>
  <c r="CC751" i="4" s="1"/>
  <c r="CA751" i="4"/>
  <c r="BZ751" i="4"/>
  <c r="AV751" i="4"/>
  <c r="G751" i="4"/>
  <c r="F751" i="4"/>
  <c r="E751" i="4"/>
  <c r="D751" i="4"/>
  <c r="AY751" i="4" s="1"/>
  <c r="C751" i="4"/>
  <c r="CG750" i="4"/>
  <c r="CF750" i="4"/>
  <c r="CD750" i="4"/>
  <c r="CC750" i="4"/>
  <c r="CB750" i="4"/>
  <c r="CE750" i="4" s="1"/>
  <c r="CA750" i="4"/>
  <c r="BZ750" i="4"/>
  <c r="AV750" i="4"/>
  <c r="G750" i="4"/>
  <c r="F750" i="4"/>
  <c r="E750" i="4"/>
  <c r="D750" i="4"/>
  <c r="AY750" i="4" s="1"/>
  <c r="C750" i="4"/>
  <c r="CG749" i="4"/>
  <c r="CF749" i="4"/>
  <c r="CC749" i="4"/>
  <c r="CA749" i="4"/>
  <c r="BZ749" i="4"/>
  <c r="AV749" i="4"/>
  <c r="G749" i="4"/>
  <c r="F749" i="4"/>
  <c r="D749" i="4" s="1"/>
  <c r="AY749" i="4" s="1"/>
  <c r="E749" i="4"/>
  <c r="C749" i="4"/>
  <c r="CG748" i="4"/>
  <c r="CF748" i="4"/>
  <c r="BZ748" i="4"/>
  <c r="AV748" i="4"/>
  <c r="G748" i="4"/>
  <c r="F748" i="4"/>
  <c r="E748" i="4"/>
  <c r="C748" i="4"/>
  <c r="CG747" i="4"/>
  <c r="CF747" i="4"/>
  <c r="CC747" i="4" s="1"/>
  <c r="CA747" i="4"/>
  <c r="BZ747" i="4"/>
  <c r="AV747" i="4"/>
  <c r="G747" i="4"/>
  <c r="F747" i="4"/>
  <c r="E747" i="4"/>
  <c r="D747" i="4"/>
  <c r="AY747" i="4" s="1"/>
  <c r="C747" i="4"/>
  <c r="CG746" i="4"/>
  <c r="CF746" i="4"/>
  <c r="CD746" i="4"/>
  <c r="CC746" i="4"/>
  <c r="CB746" i="4"/>
  <c r="CE746" i="4" s="1"/>
  <c r="CA746" i="4"/>
  <c r="BZ746" i="4"/>
  <c r="AV746" i="4"/>
  <c r="G746" i="4"/>
  <c r="F746" i="4"/>
  <c r="E746" i="4"/>
  <c r="D746" i="4"/>
  <c r="AY746" i="4" s="1"/>
  <c r="C746" i="4"/>
  <c r="CG745" i="4"/>
  <c r="CF745" i="4"/>
  <c r="CC745" i="4"/>
  <c r="CA745" i="4"/>
  <c r="BZ745" i="4"/>
  <c r="AV745" i="4"/>
  <c r="G745" i="4"/>
  <c r="F745" i="4"/>
  <c r="D745" i="4" s="1"/>
  <c r="AY745" i="4" s="1"/>
  <c r="E745" i="4"/>
  <c r="C745" i="4"/>
  <c r="CG744" i="4"/>
  <c r="CF744" i="4"/>
  <c r="BZ744" i="4"/>
  <c r="AV744" i="4"/>
  <c r="G744" i="4"/>
  <c r="F744" i="4"/>
  <c r="E744" i="4"/>
  <c r="C744" i="4"/>
  <c r="CG743" i="4"/>
  <c r="CF743" i="4"/>
  <c r="CC743" i="4" s="1"/>
  <c r="CA743" i="4"/>
  <c r="BZ743" i="4"/>
  <c r="AV743" i="4"/>
  <c r="G743" i="4"/>
  <c r="F743" i="4"/>
  <c r="E743" i="4"/>
  <c r="D743" i="4"/>
  <c r="AY743" i="4" s="1"/>
  <c r="C743" i="4"/>
  <c r="CG742" i="4"/>
  <c r="CF742" i="4"/>
  <c r="CD742" i="4"/>
  <c r="CC742" i="4"/>
  <c r="CB742" i="4"/>
  <c r="CE742" i="4" s="1"/>
  <c r="CA742" i="4"/>
  <c r="BZ742" i="4"/>
  <c r="AV742" i="4"/>
  <c r="G742" i="4"/>
  <c r="F742" i="4"/>
  <c r="E742" i="4"/>
  <c r="D742" i="4"/>
  <c r="AY742" i="4" s="1"/>
  <c r="C742" i="4"/>
  <c r="CG741" i="4"/>
  <c r="CF741" i="4"/>
  <c r="CB741" i="4" s="1"/>
  <c r="CD741" i="4"/>
  <c r="CA741" i="4"/>
  <c r="BZ741" i="4"/>
  <c r="AY741" i="4"/>
  <c r="AV741" i="4"/>
  <c r="G741" i="4"/>
  <c r="F741" i="4"/>
  <c r="E741" i="4"/>
  <c r="D741" i="4"/>
  <c r="C741" i="4"/>
  <c r="CG740" i="4"/>
  <c r="CF740" i="4"/>
  <c r="CB740" i="4"/>
  <c r="CA740" i="4"/>
  <c r="BZ740" i="4"/>
  <c r="AV740" i="4"/>
  <c r="G740" i="4"/>
  <c r="F740" i="4"/>
  <c r="E740" i="4"/>
  <c r="C740" i="4"/>
  <c r="CG739" i="4"/>
  <c r="CF739" i="4"/>
  <c r="CD739" i="4"/>
  <c r="CC739" i="4"/>
  <c r="CA739" i="4"/>
  <c r="BZ739" i="4"/>
  <c r="BV739" i="4"/>
  <c r="AV739" i="4"/>
  <c r="G739" i="4"/>
  <c r="F739" i="4"/>
  <c r="E739" i="4"/>
  <c r="C739" i="4"/>
  <c r="CG738" i="4"/>
  <c r="CF738" i="4"/>
  <c r="CD738" i="4" s="1"/>
  <c r="BZ738" i="4"/>
  <c r="AV738" i="4"/>
  <c r="G738" i="4"/>
  <c r="F738" i="4"/>
  <c r="E738" i="4"/>
  <c r="D738" i="4"/>
  <c r="AY738" i="4" s="1"/>
  <c r="C738" i="4"/>
  <c r="CG737" i="4"/>
  <c r="CF737" i="4"/>
  <c r="CD737" i="4"/>
  <c r="CC737" i="4"/>
  <c r="CB737" i="4"/>
  <c r="CA737" i="4"/>
  <c r="BZ737" i="4"/>
  <c r="CE737" i="4" s="1"/>
  <c r="BV737" i="4"/>
  <c r="AV737" i="4"/>
  <c r="G737" i="4"/>
  <c r="F737" i="4"/>
  <c r="E737" i="4"/>
  <c r="C737" i="4"/>
  <c r="CG736" i="4"/>
  <c r="CF736" i="4"/>
  <c r="CD736" i="4" s="1"/>
  <c r="BZ736" i="4"/>
  <c r="BY736" i="4"/>
  <c r="BW736" i="4"/>
  <c r="BN736" i="4"/>
  <c r="AV736" i="4"/>
  <c r="H736" i="4"/>
  <c r="H737" i="4" s="1"/>
  <c r="G736" i="4"/>
  <c r="F736" i="4"/>
  <c r="E736" i="4"/>
  <c r="C736" i="4"/>
  <c r="CG735" i="4"/>
  <c r="CF735" i="4"/>
  <c r="CE735" i="4"/>
  <c r="CD735" i="4"/>
  <c r="CC735" i="4"/>
  <c r="CB735" i="4"/>
  <c r="BZ735" i="4"/>
  <c r="BW735" i="4"/>
  <c r="BV735" i="4"/>
  <c r="BX735" i="4" s="1"/>
  <c r="AV735" i="4"/>
  <c r="G735" i="4"/>
  <c r="F735" i="4"/>
  <c r="CA735" i="4" s="1"/>
  <c r="E735" i="4"/>
  <c r="D735" i="4"/>
  <c r="AY735" i="4" s="1"/>
  <c r="C735" i="4"/>
  <c r="CG734" i="4"/>
  <c r="CF734" i="4"/>
  <c r="BZ734" i="4"/>
  <c r="BN734" i="4"/>
  <c r="AV734" i="4"/>
  <c r="H734" i="4"/>
  <c r="G734" i="4"/>
  <c r="F734" i="4"/>
  <c r="CA734" i="4" s="1"/>
  <c r="E734" i="4"/>
  <c r="C734" i="4"/>
  <c r="CG733" i="4"/>
  <c r="CF733" i="4"/>
  <c r="CC733" i="4"/>
  <c r="BV733" i="4" s="1"/>
  <c r="BX733" i="4" s="1"/>
  <c r="CA733" i="4"/>
  <c r="BZ733" i="4"/>
  <c r="BY733" i="4"/>
  <c r="BW733" i="4"/>
  <c r="AV733" i="4"/>
  <c r="E733" i="4"/>
  <c r="D733" i="4"/>
  <c r="AY733" i="4" s="1"/>
  <c r="C733" i="4"/>
  <c r="CG732" i="4"/>
  <c r="CF732" i="4"/>
  <c r="CD732" i="4"/>
  <c r="CA732" i="4"/>
  <c r="BZ732" i="4"/>
  <c r="BY732" i="4"/>
  <c r="BW732" i="4"/>
  <c r="AV732" i="4"/>
  <c r="E732" i="4"/>
  <c r="D732" i="4"/>
  <c r="AY732" i="4" s="1"/>
  <c r="C732" i="4"/>
  <c r="CG731" i="4"/>
  <c r="CF731" i="4"/>
  <c r="CA731" i="4"/>
  <c r="BZ731" i="4"/>
  <c r="BY731" i="4"/>
  <c r="BW731" i="4"/>
  <c r="AV731" i="4"/>
  <c r="G731" i="4"/>
  <c r="E731" i="4"/>
  <c r="D731" i="4"/>
  <c r="AY731" i="4" s="1"/>
  <c r="C731" i="4"/>
  <c r="CG730" i="4"/>
  <c r="CF730" i="4"/>
  <c r="BZ730" i="4"/>
  <c r="AV730" i="4"/>
  <c r="G730" i="4"/>
  <c r="F730" i="4"/>
  <c r="CA730" i="4" s="1"/>
  <c r="E730" i="4"/>
  <c r="C730" i="4"/>
  <c r="CG729" i="4"/>
  <c r="CF729" i="4"/>
  <c r="BZ729" i="4"/>
  <c r="AV729" i="4"/>
  <c r="G729" i="4"/>
  <c r="F729" i="4"/>
  <c r="E729" i="4"/>
  <c r="C729" i="4"/>
  <c r="CG728" i="4"/>
  <c r="CF728" i="4"/>
  <c r="CA728" i="4"/>
  <c r="BZ728" i="4"/>
  <c r="AV728" i="4"/>
  <c r="G728" i="4"/>
  <c r="F728" i="4"/>
  <c r="E728" i="4"/>
  <c r="C728" i="4"/>
  <c r="CG727" i="4"/>
  <c r="CF727" i="4"/>
  <c r="CD727" i="4"/>
  <c r="BZ727" i="4"/>
  <c r="BY727" i="4"/>
  <c r="AV727" i="4"/>
  <c r="G727" i="4"/>
  <c r="F727" i="4"/>
  <c r="D727" i="4" s="1"/>
  <c r="AY727" i="4" s="1"/>
  <c r="E727" i="4"/>
  <c r="C727" i="4"/>
  <c r="CG726" i="4"/>
  <c r="CF726" i="4"/>
  <c r="CC726" i="4"/>
  <c r="CA726" i="4"/>
  <c r="BZ726" i="4"/>
  <c r="AV726" i="4"/>
  <c r="G726" i="4"/>
  <c r="F726" i="4"/>
  <c r="E726" i="4"/>
  <c r="C726" i="4"/>
  <c r="CG725" i="4"/>
  <c r="CF725" i="4"/>
  <c r="CB725" i="4" s="1"/>
  <c r="CE725" i="4"/>
  <c r="CD725" i="4"/>
  <c r="CC725" i="4"/>
  <c r="BV725" i="4" s="1"/>
  <c r="BZ725" i="4"/>
  <c r="AV725" i="4"/>
  <c r="G725" i="4"/>
  <c r="F725" i="4"/>
  <c r="E725" i="4"/>
  <c r="D725" i="4"/>
  <c r="AY725" i="4" s="1"/>
  <c r="C725" i="4"/>
  <c r="CG724" i="4"/>
  <c r="CF724" i="4"/>
  <c r="BZ724" i="4"/>
  <c r="AV724" i="4"/>
  <c r="G724" i="4"/>
  <c r="F724" i="4"/>
  <c r="CB724" i="4" s="1"/>
  <c r="E724" i="4"/>
  <c r="C724" i="4"/>
  <c r="CG723" i="4"/>
  <c r="CF723" i="4"/>
  <c r="BZ723" i="4"/>
  <c r="AV723" i="4"/>
  <c r="G723" i="4"/>
  <c r="F723" i="4"/>
  <c r="E723" i="4"/>
  <c r="C723" i="4"/>
  <c r="CG722" i="4"/>
  <c r="CF722" i="4"/>
  <c r="CA722" i="4"/>
  <c r="BZ722" i="4"/>
  <c r="AV722" i="4"/>
  <c r="G722" i="4"/>
  <c r="F722" i="4"/>
  <c r="E722" i="4"/>
  <c r="C722" i="4"/>
  <c r="CG721" i="4"/>
  <c r="CF721" i="4"/>
  <c r="CB721" i="4" s="1"/>
  <c r="BZ721" i="4"/>
  <c r="AV721" i="4"/>
  <c r="G721" i="4"/>
  <c r="F721" i="4"/>
  <c r="E721" i="4"/>
  <c r="C721" i="4"/>
  <c r="CG720" i="4"/>
  <c r="CF720" i="4"/>
  <c r="CD720" i="4" s="1"/>
  <c r="CC720" i="4"/>
  <c r="CA720" i="4"/>
  <c r="BZ720" i="4"/>
  <c r="AV720" i="4"/>
  <c r="G720" i="4"/>
  <c r="F720" i="4"/>
  <c r="E720" i="4"/>
  <c r="C720" i="4"/>
  <c r="CG719" i="4"/>
  <c r="CF719" i="4"/>
  <c r="CB719" i="4" s="1"/>
  <c r="CE719" i="4"/>
  <c r="BZ719" i="4"/>
  <c r="BY719" i="4"/>
  <c r="AV719" i="4"/>
  <c r="G719" i="4"/>
  <c r="F719" i="4"/>
  <c r="E719" i="4"/>
  <c r="D719" i="4"/>
  <c r="AY719" i="4" s="1"/>
  <c r="C719" i="4"/>
  <c r="CG718" i="4"/>
  <c r="CF718" i="4"/>
  <c r="CD718" i="4" s="1"/>
  <c r="CC718" i="4"/>
  <c r="BZ718" i="4"/>
  <c r="BY718" i="4"/>
  <c r="AV718" i="4"/>
  <c r="H718" i="4"/>
  <c r="G718" i="4"/>
  <c r="F718" i="4"/>
  <c r="CA718" i="4" s="1"/>
  <c r="E718" i="4"/>
  <c r="C718" i="4"/>
  <c r="CG717" i="4"/>
  <c r="CF717" i="4"/>
  <c r="CD717" i="4"/>
  <c r="CC717" i="4"/>
  <c r="BZ717" i="4"/>
  <c r="AV717" i="4"/>
  <c r="G717" i="4"/>
  <c r="F717" i="4"/>
  <c r="E717" i="4"/>
  <c r="C717" i="4"/>
  <c r="CG716" i="4"/>
  <c r="CF716" i="4"/>
  <c r="CD716" i="4" s="1"/>
  <c r="CC716" i="4"/>
  <c r="BZ716" i="4"/>
  <c r="AV716" i="4"/>
  <c r="G716" i="4"/>
  <c r="F716" i="4"/>
  <c r="CA716" i="4" s="1"/>
  <c r="E716" i="4"/>
  <c r="C716" i="4"/>
  <c r="CG715" i="4"/>
  <c r="CF715" i="4"/>
  <c r="BZ715" i="4"/>
  <c r="AV715" i="4"/>
  <c r="G715" i="4"/>
  <c r="F715" i="4"/>
  <c r="E715" i="4"/>
  <c r="C715" i="4"/>
  <c r="CG714" i="4"/>
  <c r="CF714" i="4"/>
  <c r="BZ714" i="4"/>
  <c r="AV714" i="4"/>
  <c r="G714" i="4"/>
  <c r="F714" i="4"/>
  <c r="CA714" i="4" s="1"/>
  <c r="E714" i="4"/>
  <c r="C714" i="4"/>
  <c r="CG713" i="4"/>
  <c r="CF713" i="4"/>
  <c r="BZ713" i="4"/>
  <c r="AV713" i="4"/>
  <c r="G713" i="4"/>
  <c r="F713" i="4"/>
  <c r="E713" i="4"/>
  <c r="C713" i="4"/>
  <c r="CG712" i="4"/>
  <c r="CF712" i="4"/>
  <c r="CD712" i="4" s="1"/>
  <c r="BZ712" i="4"/>
  <c r="AV712" i="4"/>
  <c r="G712" i="4"/>
  <c r="F712" i="4"/>
  <c r="E712" i="4"/>
  <c r="C712" i="4"/>
  <c r="CG711" i="4"/>
  <c r="CF711" i="4"/>
  <c r="CD711" i="4" s="1"/>
  <c r="CE711" i="4"/>
  <c r="CC711" i="4"/>
  <c r="CB711" i="4"/>
  <c r="BZ711" i="4"/>
  <c r="BV711" i="4"/>
  <c r="AV711" i="4"/>
  <c r="G711" i="4"/>
  <c r="F711" i="4"/>
  <c r="E711" i="4"/>
  <c r="C711" i="4"/>
  <c r="CG710" i="4"/>
  <c r="CF710" i="4"/>
  <c r="CC710" i="4"/>
  <c r="CB710" i="4"/>
  <c r="BZ710" i="4"/>
  <c r="AV710" i="4"/>
  <c r="G710" i="4"/>
  <c r="F710" i="4"/>
  <c r="E710" i="4"/>
  <c r="C710" i="4"/>
  <c r="CG709" i="4"/>
  <c r="CF709" i="4"/>
  <c r="BZ709" i="4"/>
  <c r="AV709" i="4"/>
  <c r="G709" i="4"/>
  <c r="F709" i="4"/>
  <c r="E709" i="4"/>
  <c r="C709" i="4"/>
  <c r="CG708" i="4"/>
  <c r="CF708" i="4"/>
  <c r="CD708" i="4" s="1"/>
  <c r="CC708" i="4"/>
  <c r="BZ708" i="4"/>
  <c r="AV708" i="4"/>
  <c r="G708" i="4"/>
  <c r="F708" i="4"/>
  <c r="E708" i="4"/>
  <c r="C708" i="4"/>
  <c r="CG707" i="4"/>
  <c r="CF707" i="4"/>
  <c r="CE707" i="4"/>
  <c r="CD707" i="4"/>
  <c r="CC707" i="4"/>
  <c r="CB707" i="4"/>
  <c r="BZ707" i="4"/>
  <c r="BV707" i="4"/>
  <c r="AV707" i="4"/>
  <c r="G707" i="4"/>
  <c r="F707" i="4"/>
  <c r="E707" i="4"/>
  <c r="D707" i="4"/>
  <c r="AY707" i="4" s="1"/>
  <c r="C707" i="4"/>
  <c r="CG706" i="4"/>
  <c r="CF706" i="4"/>
  <c r="CD706" i="4" s="1"/>
  <c r="BZ706" i="4"/>
  <c r="AV706" i="4"/>
  <c r="G706" i="4"/>
  <c r="F706" i="4"/>
  <c r="E706" i="4"/>
  <c r="C706" i="4"/>
  <c r="CG705" i="4"/>
  <c r="CF705" i="4"/>
  <c r="BZ705" i="4"/>
  <c r="BN705" i="4"/>
  <c r="AV705" i="4"/>
  <c r="G705" i="4"/>
  <c r="F705" i="4"/>
  <c r="E705" i="4"/>
  <c r="C705" i="4"/>
  <c r="CG704" i="4"/>
  <c r="CF704" i="4"/>
  <c r="CD704" i="4"/>
  <c r="CC704" i="4"/>
  <c r="CB704" i="4"/>
  <c r="BZ704" i="4"/>
  <c r="BV704" i="4"/>
  <c r="AV704" i="4"/>
  <c r="G704" i="4"/>
  <c r="F704" i="4"/>
  <c r="E704" i="4"/>
  <c r="C704" i="4"/>
  <c r="CG703" i="4"/>
  <c r="CF703" i="4"/>
  <c r="CB703" i="4" s="1"/>
  <c r="CC703" i="4"/>
  <c r="BV703" i="4" s="1"/>
  <c r="BZ703" i="4"/>
  <c r="AV703" i="4"/>
  <c r="G703" i="4"/>
  <c r="F703" i="4"/>
  <c r="E703" i="4"/>
  <c r="D703" i="4"/>
  <c r="AY703" i="4" s="1"/>
  <c r="C703" i="4"/>
  <c r="CG702" i="4"/>
  <c r="CF702" i="4"/>
  <c r="CC702" i="4"/>
  <c r="BZ702" i="4"/>
  <c r="AV702" i="4"/>
  <c r="G702" i="4"/>
  <c r="F702" i="4"/>
  <c r="E702" i="4"/>
  <c r="C702" i="4"/>
  <c r="CG701" i="4"/>
  <c r="CF701" i="4"/>
  <c r="CD701" i="4"/>
  <c r="BZ701" i="4"/>
  <c r="AV701" i="4"/>
  <c r="G701" i="4"/>
  <c r="F701" i="4"/>
  <c r="D701" i="4" s="1"/>
  <c r="AY701" i="4" s="1"/>
  <c r="E701" i="4"/>
  <c r="C701" i="4"/>
  <c r="CG700" i="4"/>
  <c r="CF700" i="4"/>
  <c r="BZ700" i="4"/>
  <c r="AV700" i="4"/>
  <c r="G700" i="4"/>
  <c r="F700" i="4"/>
  <c r="E700" i="4"/>
  <c r="C700" i="4"/>
  <c r="CG699" i="4"/>
  <c r="CF699" i="4"/>
  <c r="CD699" i="4" s="1"/>
  <c r="CC699" i="4"/>
  <c r="CB699" i="4"/>
  <c r="CE699" i="4" s="1"/>
  <c r="BZ699" i="4"/>
  <c r="BX699" i="4"/>
  <c r="BW699" i="4"/>
  <c r="BV699" i="4"/>
  <c r="AV699" i="4"/>
  <c r="H699" i="4"/>
  <c r="G699" i="4"/>
  <c r="F699" i="4"/>
  <c r="E699" i="4"/>
  <c r="D699" i="4" s="1"/>
  <c r="AY699" i="4" s="1"/>
  <c r="C699" i="4"/>
  <c r="CG698" i="4"/>
  <c r="CF698" i="4"/>
  <c r="CD698" i="4" s="1"/>
  <c r="CB698" i="4"/>
  <c r="CA698" i="4"/>
  <c r="BZ698" i="4"/>
  <c r="CE698" i="4" s="1"/>
  <c r="AV698" i="4"/>
  <c r="G698" i="4"/>
  <c r="F698" i="4"/>
  <c r="E698" i="4"/>
  <c r="D698" i="4"/>
  <c r="AY698" i="4" s="1"/>
  <c r="C698" i="4"/>
  <c r="CG697" i="4"/>
  <c r="CF697" i="4"/>
  <c r="CA697" i="4"/>
  <c r="BZ697" i="4"/>
  <c r="AV697" i="4"/>
  <c r="H697" i="4"/>
  <c r="G697" i="4"/>
  <c r="F697" i="4"/>
  <c r="BY697" i="4" s="1"/>
  <c r="E697" i="4"/>
  <c r="D697" i="4"/>
  <c r="AY697" i="4" s="1"/>
  <c r="C697" i="4"/>
  <c r="CG696" i="4"/>
  <c r="CF696" i="4"/>
  <c r="CD696" i="4" s="1"/>
  <c r="CB696" i="4"/>
  <c r="CA696" i="4"/>
  <c r="BZ696" i="4"/>
  <c r="CE696" i="4" s="1"/>
  <c r="BW696" i="4"/>
  <c r="AV696" i="4"/>
  <c r="H696" i="4"/>
  <c r="G696" i="4"/>
  <c r="F696" i="4"/>
  <c r="BY696" i="4" s="1"/>
  <c r="E696" i="4"/>
  <c r="D696" i="4"/>
  <c r="AY696" i="4" s="1"/>
  <c r="C696" i="4"/>
  <c r="CG695" i="4"/>
  <c r="CF695" i="4"/>
  <c r="CD695" i="4" s="1"/>
  <c r="CA695" i="4"/>
  <c r="BZ695" i="4"/>
  <c r="AV695" i="4"/>
  <c r="G695" i="4"/>
  <c r="F695" i="4"/>
  <c r="E695" i="4"/>
  <c r="D695" i="4"/>
  <c r="AY695" i="4" s="1"/>
  <c r="C695" i="4"/>
  <c r="CG694" i="4"/>
  <c r="CF694" i="4"/>
  <c r="CD694" i="4" s="1"/>
  <c r="CE694" i="4"/>
  <c r="CB694" i="4"/>
  <c r="CA694" i="4"/>
  <c r="BZ694" i="4"/>
  <c r="AV694" i="4"/>
  <c r="G694" i="4"/>
  <c r="F694" i="4"/>
  <c r="E694" i="4"/>
  <c r="D694" i="4"/>
  <c r="AY694" i="4" s="1"/>
  <c r="C694" i="4"/>
  <c r="CG693" i="4"/>
  <c r="CF693" i="4"/>
  <c r="CD693" i="4"/>
  <c r="CA693" i="4"/>
  <c r="BZ693" i="4"/>
  <c r="AV693" i="4"/>
  <c r="H693" i="4"/>
  <c r="G693" i="4"/>
  <c r="F693" i="4"/>
  <c r="BY693" i="4" s="1"/>
  <c r="E693" i="4"/>
  <c r="D693" i="4"/>
  <c r="AY693" i="4" s="1"/>
  <c r="C693" i="4"/>
  <c r="CG692" i="4"/>
  <c r="CF692" i="4"/>
  <c r="CD692" i="4" s="1"/>
  <c r="CB692" i="4"/>
  <c r="CA692" i="4"/>
  <c r="BZ692" i="4"/>
  <c r="CE692" i="4" s="1"/>
  <c r="BW692" i="4"/>
  <c r="AV692" i="4"/>
  <c r="H692" i="4"/>
  <c r="G692" i="4"/>
  <c r="F692" i="4"/>
  <c r="BY692" i="4" s="1"/>
  <c r="E692" i="4"/>
  <c r="D692" i="4"/>
  <c r="AY692" i="4" s="1"/>
  <c r="C692" i="4"/>
  <c r="CG691" i="4"/>
  <c r="CF691" i="4"/>
  <c r="CD691" i="4" s="1"/>
  <c r="CA691" i="4"/>
  <c r="BZ691" i="4"/>
  <c r="BY691" i="4"/>
  <c r="BW691" i="4"/>
  <c r="AV691" i="4"/>
  <c r="H691" i="4"/>
  <c r="G691" i="4"/>
  <c r="E691" i="4"/>
  <c r="D691" i="4"/>
  <c r="AY691" i="4" s="1"/>
  <c r="C691" i="4"/>
  <c r="CG690" i="4"/>
  <c r="CF690" i="4"/>
  <c r="CE690" i="4"/>
  <c r="CD690" i="4"/>
  <c r="CC690" i="4"/>
  <c r="CB690" i="4"/>
  <c r="CA690" i="4"/>
  <c r="BZ690" i="4"/>
  <c r="BY690" i="4"/>
  <c r="BW690" i="4"/>
  <c r="BV690" i="4"/>
  <c r="BX690" i="4" s="1"/>
  <c r="AV690" i="4"/>
  <c r="H690" i="4"/>
  <c r="G690" i="4"/>
  <c r="E690" i="4"/>
  <c r="D690" i="4" s="1"/>
  <c r="AY690" i="4" s="1"/>
  <c r="C690" i="4"/>
  <c r="CG689" i="4"/>
  <c r="CF689" i="4"/>
  <c r="BZ689" i="4"/>
  <c r="AV689" i="4"/>
  <c r="G689" i="4"/>
  <c r="F689" i="4"/>
  <c r="CD689" i="4" s="1"/>
  <c r="E689" i="4"/>
  <c r="C689" i="4"/>
  <c r="CG688" i="4"/>
  <c r="CF688" i="4"/>
  <c r="CC688" i="4"/>
  <c r="BV688" i="4" s="1"/>
  <c r="BX688" i="4" s="1"/>
  <c r="BZ688" i="4"/>
  <c r="AV688" i="4"/>
  <c r="G688" i="4"/>
  <c r="F688" i="4"/>
  <c r="BW688" i="4" s="1"/>
  <c r="E688" i="4"/>
  <c r="C688" i="4"/>
  <c r="CG687" i="4"/>
  <c r="CF687" i="4"/>
  <c r="CC687" i="4" s="1"/>
  <c r="BV687" i="4" s="1"/>
  <c r="BX687" i="4" s="1"/>
  <c r="CD687" i="4"/>
  <c r="CB687" i="4"/>
  <c r="BZ687" i="4"/>
  <c r="BY687" i="4"/>
  <c r="BN687" i="4"/>
  <c r="AY687" i="4"/>
  <c r="AV687" i="4"/>
  <c r="H687" i="4"/>
  <c r="G687" i="4"/>
  <c r="F687" i="4"/>
  <c r="CA687" i="4" s="1"/>
  <c r="E687" i="4"/>
  <c r="D687" i="4"/>
  <c r="C687" i="4"/>
  <c r="CF686" i="4"/>
  <c r="BZ686" i="4"/>
  <c r="BY686" i="4"/>
  <c r="BW686" i="4"/>
  <c r="CF685" i="4"/>
  <c r="CC685" i="4"/>
  <c r="BV685" i="4" s="1"/>
  <c r="BX685" i="4" s="1"/>
  <c r="CA685" i="4"/>
  <c r="BZ685" i="4"/>
  <c r="BY685" i="4"/>
  <c r="BW685" i="4"/>
  <c r="CG684" i="4"/>
  <c r="CF684" i="4"/>
  <c r="CD684" i="4" s="1"/>
  <c r="CE684" i="4"/>
  <c r="CC684" i="4"/>
  <c r="CB684" i="4"/>
  <c r="CA684" i="4"/>
  <c r="BZ684" i="4"/>
  <c r="BY684" i="4"/>
  <c r="BW684" i="4"/>
  <c r="BN684" i="4"/>
  <c r="AV684" i="4"/>
  <c r="G684" i="4"/>
  <c r="F684" i="4"/>
  <c r="BV684" i="4" s="1"/>
  <c r="BX684" i="4" s="1"/>
  <c r="E684" i="4"/>
  <c r="C684" i="4"/>
  <c r="CG683" i="4"/>
  <c r="CF683" i="4"/>
  <c r="CC683" i="4" s="1"/>
  <c r="CD683" i="4"/>
  <c r="CB683" i="4"/>
  <c r="BZ683" i="4"/>
  <c r="BV683" i="4"/>
  <c r="BN683" i="4"/>
  <c r="AV683" i="4"/>
  <c r="G683" i="4"/>
  <c r="F683" i="4"/>
  <c r="CA683" i="4" s="1"/>
  <c r="E683" i="4"/>
  <c r="D683" i="4"/>
  <c r="AY683" i="4" s="1"/>
  <c r="C683" i="4"/>
  <c r="CG682" i="4"/>
  <c r="CF682" i="4"/>
  <c r="CE682" i="4"/>
  <c r="CD682" i="4"/>
  <c r="CC682" i="4"/>
  <c r="CB682" i="4"/>
  <c r="CA682" i="4"/>
  <c r="BZ682" i="4"/>
  <c r="BV682" i="4"/>
  <c r="BN682" i="4"/>
  <c r="AV682" i="4"/>
  <c r="G682" i="4"/>
  <c r="F682" i="4"/>
  <c r="E682" i="4"/>
  <c r="D682" i="4"/>
  <c r="AY682" i="4" s="1"/>
  <c r="C682" i="4"/>
  <c r="CG681" i="4"/>
  <c r="CF681" i="4"/>
  <c r="CA681" i="4"/>
  <c r="BZ681" i="4"/>
  <c r="BN681" i="4"/>
  <c r="AV681" i="4"/>
  <c r="G681" i="4"/>
  <c r="F681" i="4"/>
  <c r="E681" i="4"/>
  <c r="C681" i="4"/>
  <c r="CG680" i="4"/>
  <c r="CF680" i="4"/>
  <c r="BZ680" i="4"/>
  <c r="BN680" i="4"/>
  <c r="AV680" i="4"/>
  <c r="G680" i="4"/>
  <c r="F680" i="4"/>
  <c r="E680" i="4"/>
  <c r="C680" i="4"/>
  <c r="CG679" i="4"/>
  <c r="CF679" i="4"/>
  <c r="BZ679" i="4"/>
  <c r="BN679" i="4"/>
  <c r="AV679" i="4"/>
  <c r="G679" i="4"/>
  <c r="F679" i="4"/>
  <c r="E679" i="4"/>
  <c r="C679" i="4"/>
  <c r="CG678" i="4"/>
  <c r="CF678" i="4"/>
  <c r="CB678" i="4" s="1"/>
  <c r="CE678" i="4" s="1"/>
  <c r="CD678" i="4"/>
  <c r="CC678" i="4"/>
  <c r="BV678" i="4" s="1"/>
  <c r="CA678" i="4"/>
  <c r="BZ678" i="4"/>
  <c r="BN678" i="4"/>
  <c r="AV678" i="4"/>
  <c r="G678" i="4"/>
  <c r="F678" i="4"/>
  <c r="E678" i="4"/>
  <c r="D678" i="4"/>
  <c r="AY678" i="4" s="1"/>
  <c r="C678" i="4"/>
  <c r="CG677" i="4"/>
  <c r="CF677" i="4"/>
  <c r="BZ677" i="4"/>
  <c r="BN677" i="4"/>
  <c r="AV677" i="4"/>
  <c r="G677" i="4"/>
  <c r="F677" i="4"/>
  <c r="E677" i="4"/>
  <c r="D677" i="4"/>
  <c r="AY677" i="4" s="1"/>
  <c r="C677" i="4"/>
  <c r="CG676" i="4"/>
  <c r="CF676" i="4"/>
  <c r="CD676" i="4" s="1"/>
  <c r="CC676" i="4"/>
  <c r="CB676" i="4"/>
  <c r="CE676" i="4" s="1"/>
  <c r="CA676" i="4"/>
  <c r="BZ676" i="4"/>
  <c r="BN676" i="4"/>
  <c r="AV676" i="4"/>
  <c r="G676" i="4"/>
  <c r="F676" i="4"/>
  <c r="BV676" i="4" s="1"/>
  <c r="E676" i="4"/>
  <c r="C676" i="4"/>
  <c r="CG675" i="4"/>
  <c r="CF675" i="4"/>
  <c r="CC675" i="4" s="1"/>
  <c r="BZ675" i="4"/>
  <c r="BY675" i="4"/>
  <c r="BX675" i="4"/>
  <c r="BV675" i="4"/>
  <c r="AV675" i="4"/>
  <c r="G675" i="4"/>
  <c r="F675" i="4"/>
  <c r="E675" i="4"/>
  <c r="C675" i="4"/>
  <c r="CG674" i="4"/>
  <c r="CF674" i="4"/>
  <c r="CA674" i="4"/>
  <c r="BZ674" i="4"/>
  <c r="BY674" i="4"/>
  <c r="BW674" i="4"/>
  <c r="BN674" i="4"/>
  <c r="AV674" i="4"/>
  <c r="H674" i="4"/>
  <c r="G674" i="4"/>
  <c r="E674" i="4"/>
  <c r="D674" i="4" s="1"/>
  <c r="AY674" i="4" s="1"/>
  <c r="C674" i="4"/>
  <c r="CG673" i="4"/>
  <c r="CF673" i="4"/>
  <c r="CB673" i="4" s="1"/>
  <c r="BZ673" i="4"/>
  <c r="BY673" i="4"/>
  <c r="AV673" i="4"/>
  <c r="G673" i="4"/>
  <c r="F673" i="4"/>
  <c r="E673" i="4"/>
  <c r="C673" i="4"/>
  <c r="CG672" i="4"/>
  <c r="CF672" i="4"/>
  <c r="CD672" i="4"/>
  <c r="BZ672" i="4"/>
  <c r="AV672" i="4"/>
  <c r="G672" i="4"/>
  <c r="F672" i="4"/>
  <c r="E672" i="4"/>
  <c r="C672" i="4"/>
  <c r="CG671" i="4"/>
  <c r="CF671" i="4"/>
  <c r="BZ671" i="4"/>
  <c r="AV671" i="4"/>
  <c r="G671" i="4"/>
  <c r="F671" i="4"/>
  <c r="CD671" i="4" s="1"/>
  <c r="E671" i="4"/>
  <c r="C671" i="4"/>
  <c r="CG670" i="4"/>
  <c r="CF670" i="4"/>
  <c r="CC670" i="4" s="1"/>
  <c r="CD670" i="4"/>
  <c r="BZ670" i="4"/>
  <c r="BV670" i="4"/>
  <c r="AV670" i="4"/>
  <c r="G670" i="4"/>
  <c r="F670" i="4"/>
  <c r="E670" i="4"/>
  <c r="C670" i="4"/>
  <c r="CG669" i="4"/>
  <c r="CF669" i="4"/>
  <c r="BZ669" i="4"/>
  <c r="AV669" i="4"/>
  <c r="G669" i="4"/>
  <c r="F669" i="4"/>
  <c r="E669" i="4"/>
  <c r="C669" i="4"/>
  <c r="CG668" i="4"/>
  <c r="CF668" i="4"/>
  <c r="CD668" i="4"/>
  <c r="CC668" i="4"/>
  <c r="BV668" i="4" s="1"/>
  <c r="CB668" i="4"/>
  <c r="BZ668" i="4"/>
  <c r="CE668" i="4" s="1"/>
  <c r="AV668" i="4"/>
  <c r="G668" i="4"/>
  <c r="F668" i="4"/>
  <c r="E668" i="4"/>
  <c r="C668" i="4"/>
  <c r="CG667" i="4"/>
  <c r="CF667" i="4"/>
  <c r="BZ667" i="4"/>
  <c r="BN667" i="4"/>
  <c r="AV667" i="4"/>
  <c r="G667" i="4"/>
  <c r="F667" i="4"/>
  <c r="E667" i="4"/>
  <c r="D667" i="4"/>
  <c r="AY667" i="4" s="1"/>
  <c r="C667" i="4"/>
  <c r="CG666" i="4"/>
  <c r="CF666" i="4"/>
  <c r="CD666" i="4"/>
  <c r="BZ666" i="4"/>
  <c r="AV666" i="4"/>
  <c r="G666" i="4"/>
  <c r="F666" i="4"/>
  <c r="CC666" i="4" s="1"/>
  <c r="E666" i="4"/>
  <c r="C666" i="4"/>
  <c r="CG665" i="4"/>
  <c r="CF665" i="4"/>
  <c r="CC665" i="4"/>
  <c r="CA665" i="4"/>
  <c r="BZ665" i="4"/>
  <c r="AV665" i="4"/>
  <c r="G665" i="4"/>
  <c r="F665" i="4"/>
  <c r="E665" i="4"/>
  <c r="C665" i="4"/>
  <c r="CG664" i="4"/>
  <c r="CF664" i="4"/>
  <c r="CE664" i="4"/>
  <c r="CD664" i="4"/>
  <c r="CC664" i="4"/>
  <c r="BZ664" i="4"/>
  <c r="BV664" i="4"/>
  <c r="AV664" i="4"/>
  <c r="H664" i="4"/>
  <c r="G664" i="4"/>
  <c r="F664" i="4"/>
  <c r="CB664" i="4" s="1"/>
  <c r="E664" i="4"/>
  <c r="C664" i="4"/>
  <c r="CG663" i="4"/>
  <c r="CF663" i="4"/>
  <c r="CB663" i="4" s="1"/>
  <c r="CE663" i="4" s="1"/>
  <c r="CD663" i="4"/>
  <c r="CC663" i="4"/>
  <c r="BV663" i="4" s="1"/>
  <c r="BX663" i="4" s="1"/>
  <c r="BZ663" i="4"/>
  <c r="BY663" i="4"/>
  <c r="BW663" i="4"/>
  <c r="BN663" i="4"/>
  <c r="AV663" i="4"/>
  <c r="H663" i="4"/>
  <c r="G663" i="4"/>
  <c r="F663" i="4"/>
  <c r="E663" i="4"/>
  <c r="D663" i="4" s="1"/>
  <c r="AY663" i="4" s="1"/>
  <c r="C663" i="4"/>
  <c r="CG662" i="4"/>
  <c r="CF662" i="4"/>
  <c r="CA662" i="4"/>
  <c r="BZ662" i="4"/>
  <c r="BW662" i="4"/>
  <c r="AV662" i="4"/>
  <c r="H662" i="4"/>
  <c r="G662" i="4"/>
  <c r="F662" i="4"/>
  <c r="BY662" i="4" s="1"/>
  <c r="E662" i="4"/>
  <c r="D662" i="4"/>
  <c r="AY662" i="4" s="1"/>
  <c r="C662" i="4"/>
  <c r="CG661" i="4"/>
  <c r="CF661" i="4"/>
  <c r="CA661" i="4"/>
  <c r="BZ661" i="4"/>
  <c r="AV661" i="4"/>
  <c r="G661" i="4"/>
  <c r="F661" i="4"/>
  <c r="E661" i="4"/>
  <c r="D661" i="4"/>
  <c r="AY661" i="4" s="1"/>
  <c r="C661" i="4"/>
  <c r="CG660" i="4"/>
  <c r="CF660" i="4"/>
  <c r="CA660" i="4"/>
  <c r="BZ660" i="4"/>
  <c r="AV660" i="4"/>
  <c r="G660" i="4"/>
  <c r="F660" i="4"/>
  <c r="E660" i="4"/>
  <c r="D660" i="4"/>
  <c r="AY660" i="4" s="1"/>
  <c r="C660" i="4"/>
  <c r="CG659" i="4"/>
  <c r="CF659" i="4"/>
  <c r="BZ659" i="4"/>
  <c r="BN659" i="4"/>
  <c r="AV659" i="4"/>
  <c r="G659" i="4"/>
  <c r="F659" i="4"/>
  <c r="E659" i="4"/>
  <c r="D659" i="4"/>
  <c r="AY659" i="4" s="1"/>
  <c r="C659" i="4"/>
  <c r="CG658" i="4"/>
  <c r="CF658" i="4"/>
  <c r="CB658" i="4"/>
  <c r="BZ658" i="4"/>
  <c r="BN658" i="4"/>
  <c r="AV658" i="4"/>
  <c r="G658" i="4"/>
  <c r="F658" i="4"/>
  <c r="E658" i="4"/>
  <c r="C658" i="4"/>
  <c r="CG657" i="4"/>
  <c r="CF657" i="4"/>
  <c r="BZ657" i="4"/>
  <c r="AV657" i="4"/>
  <c r="G657" i="4"/>
  <c r="F657" i="4"/>
  <c r="CD657" i="4" s="1"/>
  <c r="E657" i="4"/>
  <c r="C657" i="4"/>
  <c r="CG656" i="4"/>
  <c r="CF656" i="4"/>
  <c r="CD656" i="4" s="1"/>
  <c r="CC656" i="4"/>
  <c r="CB656" i="4"/>
  <c r="BZ656" i="4"/>
  <c r="AV656" i="4"/>
  <c r="G656" i="4"/>
  <c r="F656" i="4"/>
  <c r="E656" i="4"/>
  <c r="C656" i="4"/>
  <c r="CG655" i="4"/>
  <c r="CF655" i="4"/>
  <c r="BZ655" i="4"/>
  <c r="AV655" i="4"/>
  <c r="G655" i="4"/>
  <c r="F655" i="4"/>
  <c r="E655" i="4"/>
  <c r="C655" i="4"/>
  <c r="CG654" i="4"/>
  <c r="CF654" i="4"/>
  <c r="CC654" i="4" s="1"/>
  <c r="CD654" i="4"/>
  <c r="BZ654" i="4"/>
  <c r="BV654" i="4"/>
  <c r="AV654" i="4"/>
  <c r="G654" i="4"/>
  <c r="F654" i="4"/>
  <c r="E654" i="4"/>
  <c r="C654" i="4"/>
  <c r="CG653" i="4"/>
  <c r="CF653" i="4"/>
  <c r="BZ653" i="4"/>
  <c r="AV653" i="4"/>
  <c r="G653" i="4"/>
  <c r="F653" i="4"/>
  <c r="E653" i="4"/>
  <c r="C653" i="4"/>
  <c r="CG652" i="4"/>
  <c r="CF652" i="4"/>
  <c r="CB652" i="4"/>
  <c r="BZ652" i="4"/>
  <c r="AV652" i="4"/>
  <c r="G652" i="4"/>
  <c r="F652" i="4"/>
  <c r="E652" i="4"/>
  <c r="C652" i="4"/>
  <c r="CG651" i="4"/>
  <c r="CF651" i="4"/>
  <c r="CB651" i="4" s="1"/>
  <c r="CD651" i="4"/>
  <c r="BZ651" i="4"/>
  <c r="AV651" i="4"/>
  <c r="G651" i="4"/>
  <c r="F651" i="4"/>
  <c r="BY651" i="4" s="1"/>
  <c r="E651" i="4"/>
  <c r="C651" i="4"/>
  <c r="CG650" i="4"/>
  <c r="CF650" i="4"/>
  <c r="CC650" i="4"/>
  <c r="BZ650" i="4"/>
  <c r="AV650" i="4"/>
  <c r="G650" i="4"/>
  <c r="F650" i="4"/>
  <c r="E650" i="4"/>
  <c r="C650" i="4"/>
  <c r="CG649" i="4"/>
  <c r="CF649" i="4"/>
  <c r="BZ649" i="4"/>
  <c r="AV649" i="4"/>
  <c r="G649" i="4"/>
  <c r="F649" i="4"/>
  <c r="E649" i="4"/>
  <c r="C649" i="4"/>
  <c r="CG648" i="4"/>
  <c r="CF648" i="4"/>
  <c r="CC648" i="4"/>
  <c r="BZ648" i="4"/>
  <c r="AV648" i="4"/>
  <c r="G648" i="4"/>
  <c r="F648" i="4"/>
  <c r="E648" i="4"/>
  <c r="C648" i="4"/>
  <c r="CG647" i="4"/>
  <c r="CF647" i="4"/>
  <c r="BZ647" i="4"/>
  <c r="AV647" i="4"/>
  <c r="G647" i="4"/>
  <c r="F647" i="4"/>
  <c r="E647" i="4"/>
  <c r="C647" i="4"/>
  <c r="CG646" i="4"/>
  <c r="CF646" i="4"/>
  <c r="CC646" i="4" s="1"/>
  <c r="BV646" i="4" s="1"/>
  <c r="CD646" i="4"/>
  <c r="BZ646" i="4"/>
  <c r="AV646" i="4"/>
  <c r="G646" i="4"/>
  <c r="F646" i="4"/>
  <c r="E646" i="4"/>
  <c r="C646" i="4"/>
  <c r="CG645" i="4"/>
  <c r="CF645" i="4"/>
  <c r="BZ645" i="4"/>
  <c r="AV645" i="4"/>
  <c r="G645" i="4"/>
  <c r="F645" i="4"/>
  <c r="E645" i="4"/>
  <c r="C645" i="4"/>
  <c r="CG644" i="4"/>
  <c r="CF644" i="4"/>
  <c r="BZ644" i="4"/>
  <c r="AV644" i="4"/>
  <c r="G644" i="4"/>
  <c r="F644" i="4"/>
  <c r="E644" i="4"/>
  <c r="C644" i="4"/>
  <c r="CG643" i="4"/>
  <c r="CF643" i="4"/>
  <c r="CB643" i="4" s="1"/>
  <c r="CD643" i="4"/>
  <c r="CC643" i="4"/>
  <c r="BV643" i="4" s="1"/>
  <c r="BZ643" i="4"/>
  <c r="CE643" i="4" s="1"/>
  <c r="BN643" i="4"/>
  <c r="AV643" i="4"/>
  <c r="G643" i="4"/>
  <c r="F643" i="4"/>
  <c r="E643" i="4"/>
  <c r="D643" i="4"/>
  <c r="AY643" i="4" s="1"/>
  <c r="C643" i="4"/>
  <c r="CG642" i="4"/>
  <c r="CF642" i="4"/>
  <c r="CB642" i="4" s="1"/>
  <c r="BZ642" i="4"/>
  <c r="AV642" i="4"/>
  <c r="G642" i="4"/>
  <c r="F642" i="4"/>
  <c r="E642" i="4"/>
  <c r="C642" i="4"/>
  <c r="CG641" i="4"/>
  <c r="CF641" i="4"/>
  <c r="CA641" i="4"/>
  <c r="BZ641" i="4"/>
  <c r="AV641" i="4"/>
  <c r="G641" i="4"/>
  <c r="F641" i="4"/>
  <c r="CB641" i="4" s="1"/>
  <c r="E641" i="4"/>
  <c r="D641" i="4"/>
  <c r="AY641" i="4" s="1"/>
  <c r="C641" i="4"/>
  <c r="CG640" i="4"/>
  <c r="CF640" i="4"/>
  <c r="CB640" i="4" s="1"/>
  <c r="CE640" i="4"/>
  <c r="CD640" i="4"/>
  <c r="CC640" i="4"/>
  <c r="BV640" i="4" s="1"/>
  <c r="CA640" i="4"/>
  <c r="BZ640" i="4"/>
  <c r="AV640" i="4"/>
  <c r="G640" i="4"/>
  <c r="F640" i="4"/>
  <c r="E640" i="4"/>
  <c r="D640" i="4"/>
  <c r="AY640" i="4" s="1"/>
  <c r="C640" i="4"/>
  <c r="CG639" i="4"/>
  <c r="CF639" i="4"/>
  <c r="CD639" i="4"/>
  <c r="BZ639" i="4"/>
  <c r="AV639" i="4"/>
  <c r="G639" i="4"/>
  <c r="F639" i="4"/>
  <c r="CA639" i="4" s="1"/>
  <c r="E639" i="4"/>
  <c r="C639" i="4"/>
  <c r="CG638" i="4"/>
  <c r="CF638" i="4"/>
  <c r="CD638" i="4"/>
  <c r="CC638" i="4"/>
  <c r="CA638" i="4"/>
  <c r="BZ638" i="4"/>
  <c r="AV638" i="4"/>
  <c r="G638" i="4"/>
  <c r="F638" i="4"/>
  <c r="E638" i="4"/>
  <c r="C638" i="4"/>
  <c r="CG637" i="4"/>
  <c r="CF637" i="4"/>
  <c r="CE637" i="4"/>
  <c r="CD637" i="4"/>
  <c r="CC637" i="4"/>
  <c r="CB637" i="4"/>
  <c r="BZ637" i="4"/>
  <c r="BV637" i="4"/>
  <c r="AV637" i="4"/>
  <c r="G637" i="4"/>
  <c r="F637" i="4"/>
  <c r="CA637" i="4" s="1"/>
  <c r="E637" i="4"/>
  <c r="D637" i="4"/>
  <c r="AY637" i="4" s="1"/>
  <c r="C637" i="4"/>
  <c r="CG636" i="4"/>
  <c r="CF636" i="4"/>
  <c r="BZ636" i="4"/>
  <c r="AV636" i="4"/>
  <c r="G636" i="4"/>
  <c r="F636" i="4"/>
  <c r="E636" i="4"/>
  <c r="C636" i="4"/>
  <c r="CG635" i="4"/>
  <c r="CF635" i="4"/>
  <c r="CB635" i="4"/>
  <c r="BZ635" i="4"/>
  <c r="CE635" i="4" s="1"/>
  <c r="AV635" i="4"/>
  <c r="G635" i="4"/>
  <c r="F635" i="4"/>
  <c r="E635" i="4"/>
  <c r="C635" i="4"/>
  <c r="CG634" i="4"/>
  <c r="CF634" i="4"/>
  <c r="CC634" i="4"/>
  <c r="BV634" i="4" s="1"/>
  <c r="BZ634" i="4"/>
  <c r="AV634" i="4"/>
  <c r="G634" i="4"/>
  <c r="F634" i="4"/>
  <c r="E634" i="4"/>
  <c r="C634" i="4"/>
  <c r="CG633" i="4"/>
  <c r="CF633" i="4"/>
  <c r="CA633" i="4"/>
  <c r="BZ633" i="4"/>
  <c r="AV633" i="4"/>
  <c r="H633" i="4"/>
  <c r="G633" i="4"/>
  <c r="F633" i="4"/>
  <c r="CB633" i="4" s="1"/>
  <c r="E633" i="4"/>
  <c r="D633" i="4"/>
  <c r="AY633" i="4" s="1"/>
  <c r="C633" i="4"/>
  <c r="CG632" i="4"/>
  <c r="CF632" i="4"/>
  <c r="CB632" i="4" s="1"/>
  <c r="CE632" i="4"/>
  <c r="CD632" i="4"/>
  <c r="CC632" i="4"/>
  <c r="BV632" i="4" s="1"/>
  <c r="BX632" i="4" s="1"/>
  <c r="BZ632" i="4"/>
  <c r="BW632" i="4"/>
  <c r="AV632" i="4"/>
  <c r="H632" i="4"/>
  <c r="G632" i="4"/>
  <c r="F632" i="4"/>
  <c r="BY632" i="4" s="1"/>
  <c r="E632" i="4"/>
  <c r="D632" i="4"/>
  <c r="AY632" i="4" s="1"/>
  <c r="C632" i="4"/>
  <c r="CG631" i="4"/>
  <c r="CF631" i="4"/>
  <c r="BZ631" i="4"/>
  <c r="AV631" i="4"/>
  <c r="G631" i="4"/>
  <c r="F631" i="4"/>
  <c r="E631" i="4"/>
  <c r="C631" i="4"/>
  <c r="CG630" i="4"/>
  <c r="CF630" i="4"/>
  <c r="CD630" i="4"/>
  <c r="CC630" i="4"/>
  <c r="CA630" i="4"/>
  <c r="BZ630" i="4"/>
  <c r="AV630" i="4"/>
  <c r="G630" i="4"/>
  <c r="F630" i="4"/>
  <c r="E630" i="4"/>
  <c r="C630" i="4"/>
  <c r="CG629" i="4"/>
  <c r="CF629" i="4"/>
  <c r="CE629" i="4"/>
  <c r="CD629" i="4"/>
  <c r="CC629" i="4"/>
  <c r="CB629" i="4"/>
  <c r="BZ629" i="4"/>
  <c r="BV629" i="4"/>
  <c r="AV629" i="4"/>
  <c r="G629" i="4"/>
  <c r="F629" i="4"/>
  <c r="CA629" i="4" s="1"/>
  <c r="E629" i="4"/>
  <c r="D629" i="4"/>
  <c r="AY629" i="4" s="1"/>
  <c r="C629" i="4"/>
  <c r="CG628" i="4"/>
  <c r="CF628" i="4"/>
  <c r="BZ628" i="4"/>
  <c r="AV628" i="4"/>
  <c r="G628" i="4"/>
  <c r="F628" i="4"/>
  <c r="E628" i="4"/>
  <c r="C628" i="4"/>
  <c r="CG627" i="4"/>
  <c r="CF627" i="4"/>
  <c r="CB627" i="4"/>
  <c r="BZ627" i="4"/>
  <c r="CE627" i="4" s="1"/>
  <c r="AV627" i="4"/>
  <c r="G627" i="4"/>
  <c r="F627" i="4"/>
  <c r="E627" i="4"/>
  <c r="C627" i="4"/>
  <c r="CG626" i="4"/>
  <c r="CF626" i="4"/>
  <c r="CC626" i="4"/>
  <c r="BZ626" i="4"/>
  <c r="BV626" i="4"/>
  <c r="AV626" i="4"/>
  <c r="G626" i="4"/>
  <c r="F626" i="4"/>
  <c r="E626" i="4"/>
  <c r="C626" i="4"/>
  <c r="CG625" i="4"/>
  <c r="CF625" i="4"/>
  <c r="CA625" i="4"/>
  <c r="BZ625" i="4"/>
  <c r="AV625" i="4"/>
  <c r="G625" i="4"/>
  <c r="F625" i="4"/>
  <c r="CB625" i="4" s="1"/>
  <c r="E625" i="4"/>
  <c r="D625" i="4"/>
  <c r="AY625" i="4" s="1"/>
  <c r="C625" i="4"/>
  <c r="CG624" i="4"/>
  <c r="CF624" i="4"/>
  <c r="CB624" i="4" s="1"/>
  <c r="CE624" i="4"/>
  <c r="CD624" i="4"/>
  <c r="CC624" i="4"/>
  <c r="BV624" i="4" s="1"/>
  <c r="CA624" i="4"/>
  <c r="BZ624" i="4"/>
  <c r="AV624" i="4"/>
  <c r="G624" i="4"/>
  <c r="F624" i="4"/>
  <c r="E624" i="4"/>
  <c r="D624" i="4"/>
  <c r="AY624" i="4" s="1"/>
  <c r="C624" i="4"/>
  <c r="CG623" i="4"/>
  <c r="CF623" i="4"/>
  <c r="CD623" i="4" s="1"/>
  <c r="CA623" i="4"/>
  <c r="BZ623" i="4"/>
  <c r="AV623" i="4"/>
  <c r="G623" i="4"/>
  <c r="F623" i="4"/>
  <c r="D623" i="4" s="1"/>
  <c r="AY623" i="4" s="1"/>
  <c r="E623" i="4"/>
  <c r="C623" i="4"/>
  <c r="CG622" i="4"/>
  <c r="CF622" i="4"/>
  <c r="CA622" i="4"/>
  <c r="BZ622" i="4"/>
  <c r="AV622" i="4"/>
  <c r="G622" i="4"/>
  <c r="F622" i="4"/>
  <c r="E622" i="4"/>
  <c r="D622" i="4"/>
  <c r="AY622" i="4" s="1"/>
  <c r="C622" i="4"/>
  <c r="CG621" i="4"/>
  <c r="CF621" i="4"/>
  <c r="CB621" i="4"/>
  <c r="CE621" i="4" s="1"/>
  <c r="BZ621" i="4"/>
  <c r="AV621" i="4"/>
  <c r="G621" i="4"/>
  <c r="F621" i="4"/>
  <c r="E621" i="4"/>
  <c r="C621" i="4"/>
  <c r="CG620" i="4"/>
  <c r="CF620" i="4"/>
  <c r="CC620" i="4" s="1"/>
  <c r="BV620" i="4" s="1"/>
  <c r="BX620" i="4" s="1"/>
  <c r="BZ620" i="4"/>
  <c r="BW620" i="4"/>
  <c r="AV620" i="4"/>
  <c r="H620" i="4"/>
  <c r="G620" i="4"/>
  <c r="F620" i="4"/>
  <c r="BY620" i="4" s="1"/>
  <c r="E620" i="4"/>
  <c r="D620" i="4"/>
  <c r="AY620" i="4" s="1"/>
  <c r="C620" i="4"/>
  <c r="CG619" i="4"/>
  <c r="CF619" i="4"/>
  <c r="BZ619" i="4"/>
  <c r="BY619" i="4"/>
  <c r="AV619" i="4"/>
  <c r="G619" i="4"/>
  <c r="F619" i="4"/>
  <c r="E619" i="4"/>
  <c r="D619" i="4"/>
  <c r="AY619" i="4" s="1"/>
  <c r="C619" i="4"/>
  <c r="CG618" i="4"/>
  <c r="CF618" i="4"/>
  <c r="CA618" i="4"/>
  <c r="BZ618" i="4"/>
  <c r="AV618" i="4"/>
  <c r="G618" i="4"/>
  <c r="F618" i="4"/>
  <c r="E618" i="4"/>
  <c r="D618" i="4"/>
  <c r="AY618" i="4" s="1"/>
  <c r="C618" i="4"/>
  <c r="CG617" i="4"/>
  <c r="CF617" i="4"/>
  <c r="CB617" i="4"/>
  <c r="CE617" i="4" s="1"/>
  <c r="BZ617" i="4"/>
  <c r="AV617" i="4"/>
  <c r="G617" i="4"/>
  <c r="F617" i="4"/>
  <c r="E617" i="4"/>
  <c r="D617" i="4"/>
  <c r="AY617" i="4" s="1"/>
  <c r="C617" i="4"/>
  <c r="CG616" i="4"/>
  <c r="CF616" i="4"/>
  <c r="CC616" i="4" s="1"/>
  <c r="CD616" i="4"/>
  <c r="CA616" i="4"/>
  <c r="BZ616" i="4"/>
  <c r="BV616" i="4"/>
  <c r="AV616" i="4"/>
  <c r="G616" i="4"/>
  <c r="F616" i="4"/>
  <c r="E616" i="4"/>
  <c r="D616" i="4"/>
  <c r="AY616" i="4" s="1"/>
  <c r="C616" i="4"/>
  <c r="CG615" i="4"/>
  <c r="CF615" i="4"/>
  <c r="BZ615" i="4"/>
  <c r="AV615" i="4"/>
  <c r="G615" i="4"/>
  <c r="F615" i="4"/>
  <c r="E615" i="4"/>
  <c r="C615" i="4"/>
  <c r="CG614" i="4"/>
  <c r="CF614" i="4"/>
  <c r="CC614" i="4"/>
  <c r="CB614" i="4"/>
  <c r="CE614" i="4" s="1"/>
  <c r="BZ614" i="4"/>
  <c r="BY614" i="4"/>
  <c r="AV614" i="4"/>
  <c r="G614" i="4"/>
  <c r="F614" i="4"/>
  <c r="E614" i="4"/>
  <c r="C614" i="4"/>
  <c r="CG613" i="4"/>
  <c r="CF613" i="4"/>
  <c r="CA613" i="4"/>
  <c r="BZ613" i="4"/>
  <c r="BY613" i="4"/>
  <c r="BW613" i="4"/>
  <c r="AV613" i="4"/>
  <c r="H613" i="4"/>
  <c r="G613" i="4"/>
  <c r="E613" i="4"/>
  <c r="D613" i="4"/>
  <c r="AY613" i="4" s="1"/>
  <c r="C613" i="4"/>
  <c r="CG612" i="4"/>
  <c r="CF612" i="4"/>
  <c r="CC612" i="4" s="1"/>
  <c r="BV612" i="4" s="1"/>
  <c r="BX612" i="4" s="1"/>
  <c r="CD612" i="4"/>
  <c r="CA612" i="4"/>
  <c r="BZ612" i="4"/>
  <c r="BW612" i="4"/>
  <c r="AY612" i="4"/>
  <c r="AV612" i="4"/>
  <c r="H612" i="4"/>
  <c r="G612" i="4"/>
  <c r="F612" i="4"/>
  <c r="BY612" i="4" s="1"/>
  <c r="E612" i="4"/>
  <c r="D612" i="4" s="1"/>
  <c r="C612" i="4"/>
  <c r="CG611" i="4"/>
  <c r="CF611" i="4"/>
  <c r="CD611" i="4"/>
  <c r="CB611" i="4"/>
  <c r="CA611" i="4"/>
  <c r="BZ611" i="4"/>
  <c r="CE611" i="4" s="1"/>
  <c r="AV611" i="4"/>
  <c r="H611" i="4"/>
  <c r="G611" i="4"/>
  <c r="F611" i="4"/>
  <c r="BY611" i="4" s="1"/>
  <c r="E611" i="4"/>
  <c r="D611" i="4"/>
  <c r="AY611" i="4" s="1"/>
  <c r="C611" i="4"/>
  <c r="CG610" i="4"/>
  <c r="CF610" i="4"/>
  <c r="CC610" i="4" s="1"/>
  <c r="CD610" i="4"/>
  <c r="CA610" i="4"/>
  <c r="BZ610" i="4"/>
  <c r="BW610" i="4"/>
  <c r="BV610" i="4"/>
  <c r="BX610" i="4" s="1"/>
  <c r="AY610" i="4"/>
  <c r="AV610" i="4"/>
  <c r="H610" i="4"/>
  <c r="G610" i="4"/>
  <c r="F610" i="4"/>
  <c r="BY610" i="4" s="1"/>
  <c r="E610" i="4"/>
  <c r="D610" i="4"/>
  <c r="C610" i="4"/>
  <c r="CG609" i="4"/>
  <c r="CF609" i="4"/>
  <c r="CB609" i="4" s="1"/>
  <c r="CD609" i="4"/>
  <c r="BZ609" i="4"/>
  <c r="CE609" i="4" s="1"/>
  <c r="BY609" i="4"/>
  <c r="AV609" i="4"/>
  <c r="G609" i="4"/>
  <c r="F609" i="4"/>
  <c r="BW609" i="4" s="1"/>
  <c r="E609" i="4"/>
  <c r="D609" i="4"/>
  <c r="AY609" i="4" s="1"/>
  <c r="C609" i="4"/>
  <c r="CG608" i="4"/>
  <c r="CF608" i="4"/>
  <c r="CB608" i="4" s="1"/>
  <c r="CA608" i="4"/>
  <c r="BZ608" i="4"/>
  <c r="AV608" i="4"/>
  <c r="G608" i="4"/>
  <c r="F608" i="4"/>
  <c r="E608" i="4"/>
  <c r="D608" i="4"/>
  <c r="AY608" i="4" s="1"/>
  <c r="C608" i="4"/>
  <c r="CG607" i="4"/>
  <c r="CF607" i="4"/>
  <c r="CD607" i="4"/>
  <c r="BZ607" i="4"/>
  <c r="AV607" i="4"/>
  <c r="G607" i="4"/>
  <c r="F607" i="4"/>
  <c r="E607" i="4"/>
  <c r="C607" i="4"/>
  <c r="CG606" i="4"/>
  <c r="CF606" i="4"/>
  <c r="CC606" i="4" s="1"/>
  <c r="BV606" i="4" s="1"/>
  <c r="CA606" i="4"/>
  <c r="BZ606" i="4"/>
  <c r="AV606" i="4"/>
  <c r="G606" i="4"/>
  <c r="F606" i="4"/>
  <c r="E606" i="4"/>
  <c r="D606" i="4"/>
  <c r="AY606" i="4" s="1"/>
  <c r="C606" i="4"/>
  <c r="CG605" i="4"/>
  <c r="CF605" i="4"/>
  <c r="CA605" i="4"/>
  <c r="BZ605" i="4"/>
  <c r="AV605" i="4"/>
  <c r="G605" i="4"/>
  <c r="F605" i="4"/>
  <c r="E605" i="4"/>
  <c r="C605" i="4"/>
  <c r="CG604" i="4"/>
  <c r="CF604" i="4"/>
  <c r="CD604" i="4"/>
  <c r="CC604" i="4"/>
  <c r="BV604" i="4" s="1"/>
  <c r="CB604" i="4"/>
  <c r="CA604" i="4"/>
  <c r="BZ604" i="4"/>
  <c r="CE604" i="4" s="1"/>
  <c r="AV604" i="4"/>
  <c r="G604" i="4"/>
  <c r="F604" i="4"/>
  <c r="E604" i="4"/>
  <c r="D604" i="4"/>
  <c r="AY604" i="4" s="1"/>
  <c r="C604" i="4"/>
  <c r="CG603" i="4"/>
  <c r="CF603" i="4"/>
  <c r="CB603" i="4" s="1"/>
  <c r="BZ603" i="4"/>
  <c r="AV603" i="4"/>
  <c r="G603" i="4"/>
  <c r="F603" i="4"/>
  <c r="CA603" i="4" s="1"/>
  <c r="E603" i="4"/>
  <c r="D603" i="4"/>
  <c r="AY603" i="4" s="1"/>
  <c r="C603" i="4"/>
  <c r="CG602" i="4"/>
  <c r="CF602" i="4"/>
  <c r="CD602" i="4" s="1"/>
  <c r="CB602" i="4"/>
  <c r="CA602" i="4"/>
  <c r="BZ602" i="4"/>
  <c r="CE602" i="4" s="1"/>
  <c r="AV602" i="4"/>
  <c r="G602" i="4"/>
  <c r="F602" i="4"/>
  <c r="E602" i="4"/>
  <c r="D602" i="4"/>
  <c r="AY602" i="4" s="1"/>
  <c r="C602" i="4"/>
  <c r="CG601" i="4"/>
  <c r="CF601" i="4"/>
  <c r="CD601" i="4"/>
  <c r="CB601" i="4"/>
  <c r="CE601" i="4" s="1"/>
  <c r="CA601" i="4"/>
  <c r="BZ601" i="4"/>
  <c r="AV601" i="4"/>
  <c r="G601" i="4"/>
  <c r="F601" i="4"/>
  <c r="D601" i="4" s="1"/>
  <c r="AY601" i="4" s="1"/>
  <c r="E601" i="4"/>
  <c r="C601" i="4"/>
  <c r="CG600" i="4"/>
  <c r="CF600" i="4"/>
  <c r="CE600" i="4"/>
  <c r="CB600" i="4"/>
  <c r="BZ600" i="4"/>
  <c r="AV600" i="4"/>
  <c r="G600" i="4"/>
  <c r="F600" i="4"/>
  <c r="E600" i="4"/>
  <c r="D600" i="4"/>
  <c r="AY600" i="4" s="1"/>
  <c r="C600" i="4"/>
  <c r="CG599" i="4"/>
  <c r="CF599" i="4"/>
  <c r="CD599" i="4" s="1"/>
  <c r="CB599" i="4"/>
  <c r="CA599" i="4"/>
  <c r="BZ599" i="4"/>
  <c r="CE599" i="4" s="1"/>
  <c r="AV599" i="4"/>
  <c r="G599" i="4"/>
  <c r="F599" i="4"/>
  <c r="E599" i="4"/>
  <c r="D599" i="4"/>
  <c r="AY599" i="4" s="1"/>
  <c r="C599" i="4"/>
  <c r="CG598" i="4"/>
  <c r="CF598" i="4"/>
  <c r="CC598" i="4" s="1"/>
  <c r="BV598" i="4" s="1"/>
  <c r="CD598" i="4"/>
  <c r="CA598" i="4"/>
  <c r="BZ598" i="4"/>
  <c r="AV598" i="4"/>
  <c r="G598" i="4"/>
  <c r="F598" i="4"/>
  <c r="E598" i="4"/>
  <c r="D598" i="4"/>
  <c r="AY598" i="4" s="1"/>
  <c r="C598" i="4"/>
  <c r="CG597" i="4"/>
  <c r="CF597" i="4"/>
  <c r="CD597" i="4" s="1"/>
  <c r="CE597" i="4"/>
  <c r="CB597" i="4"/>
  <c r="CA597" i="4"/>
  <c r="BZ597" i="4"/>
  <c r="AV597" i="4"/>
  <c r="G597" i="4"/>
  <c r="F597" i="4"/>
  <c r="E597" i="4"/>
  <c r="D597" i="4"/>
  <c r="AY597" i="4" s="1"/>
  <c r="C597" i="4"/>
  <c r="CG596" i="4"/>
  <c r="CF596" i="4"/>
  <c r="CC596" i="4" s="1"/>
  <c r="BV596" i="4" s="1"/>
  <c r="CD596" i="4"/>
  <c r="CA596" i="4"/>
  <c r="BZ596" i="4"/>
  <c r="AV596" i="4"/>
  <c r="G596" i="4"/>
  <c r="F596" i="4"/>
  <c r="E596" i="4"/>
  <c r="D596" i="4"/>
  <c r="AY596" i="4" s="1"/>
  <c r="C596" i="4"/>
  <c r="CG595" i="4"/>
  <c r="CF595" i="4"/>
  <c r="CD595" i="4" s="1"/>
  <c r="CB595" i="4"/>
  <c r="CA595" i="4"/>
  <c r="BZ595" i="4"/>
  <c r="CE595" i="4" s="1"/>
  <c r="AV595" i="4"/>
  <c r="G595" i="4"/>
  <c r="F595" i="4"/>
  <c r="E595" i="4"/>
  <c r="D595" i="4"/>
  <c r="AY595" i="4" s="1"/>
  <c r="C595" i="4"/>
  <c r="CG594" i="4"/>
  <c r="CF594" i="4"/>
  <c r="CC594" i="4" s="1"/>
  <c r="BV594" i="4" s="1"/>
  <c r="CD594" i="4"/>
  <c r="CA594" i="4"/>
  <c r="BZ594" i="4"/>
  <c r="AV594" i="4"/>
  <c r="G594" i="4"/>
  <c r="F594" i="4"/>
  <c r="E594" i="4"/>
  <c r="D594" i="4"/>
  <c r="AY594" i="4" s="1"/>
  <c r="C594" i="4"/>
  <c r="CG593" i="4"/>
  <c r="CF593" i="4"/>
  <c r="CD593" i="4" s="1"/>
  <c r="CE593" i="4"/>
  <c r="CB593" i="4"/>
  <c r="CA593" i="4"/>
  <c r="BZ593" i="4"/>
  <c r="AV593" i="4"/>
  <c r="G593" i="4"/>
  <c r="F593" i="4"/>
  <c r="E593" i="4"/>
  <c r="D593" i="4"/>
  <c r="AY593" i="4" s="1"/>
  <c r="C593" i="4"/>
  <c r="CG592" i="4"/>
  <c r="CF592" i="4"/>
  <c r="CA592" i="4"/>
  <c r="BZ592" i="4"/>
  <c r="AV592" i="4"/>
  <c r="G592" i="4"/>
  <c r="F592" i="4"/>
  <c r="E592" i="4"/>
  <c r="D592" i="4"/>
  <c r="AY592" i="4" s="1"/>
  <c r="C592" i="4"/>
  <c r="CG591" i="4"/>
  <c r="CF591" i="4"/>
  <c r="CD591" i="4" s="1"/>
  <c r="CB591" i="4"/>
  <c r="CE591" i="4" s="1"/>
  <c r="CA591" i="4"/>
  <c r="BZ591" i="4"/>
  <c r="AV591" i="4"/>
  <c r="G591" i="4"/>
  <c r="F591" i="4"/>
  <c r="E591" i="4"/>
  <c r="D591" i="4"/>
  <c r="AY591" i="4" s="1"/>
  <c r="C591" i="4"/>
  <c r="CG590" i="4"/>
  <c r="CF590" i="4"/>
  <c r="CD590" i="4"/>
  <c r="CA590" i="4"/>
  <c r="BZ590" i="4"/>
  <c r="AV590" i="4"/>
  <c r="G590" i="4"/>
  <c r="F590" i="4"/>
  <c r="E590" i="4"/>
  <c r="D590" i="4"/>
  <c r="AY590" i="4" s="1"/>
  <c r="C590" i="4"/>
  <c r="CG589" i="4"/>
  <c r="CF589" i="4"/>
  <c r="CD589" i="4" s="1"/>
  <c r="CB589" i="4"/>
  <c r="CA589" i="4"/>
  <c r="BZ589" i="4"/>
  <c r="CE589" i="4" s="1"/>
  <c r="AV589" i="4"/>
  <c r="G589" i="4"/>
  <c r="F589" i="4"/>
  <c r="E589" i="4"/>
  <c r="D589" i="4"/>
  <c r="AY589" i="4" s="1"/>
  <c r="C589" i="4"/>
  <c r="CG588" i="4"/>
  <c r="CF588" i="4"/>
  <c r="CD588" i="4"/>
  <c r="CA588" i="4"/>
  <c r="BZ588" i="4"/>
  <c r="AV588" i="4"/>
  <c r="G588" i="4"/>
  <c r="F588" i="4"/>
  <c r="E588" i="4"/>
  <c r="D588" i="4"/>
  <c r="AY588" i="4" s="1"/>
  <c r="C588" i="4"/>
  <c r="CG587" i="4"/>
  <c r="CF587" i="4"/>
  <c r="CD587" i="4" s="1"/>
  <c r="CB587" i="4"/>
  <c r="CA587" i="4"/>
  <c r="BZ587" i="4"/>
  <c r="CE587" i="4" s="1"/>
  <c r="AV587" i="4"/>
  <c r="G587" i="4"/>
  <c r="F587" i="4"/>
  <c r="E587" i="4"/>
  <c r="D587" i="4"/>
  <c r="AY587" i="4" s="1"/>
  <c r="C587" i="4"/>
  <c r="CG586" i="4"/>
  <c r="CF586" i="4"/>
  <c r="CB586" i="4" s="1"/>
  <c r="CE586" i="4"/>
  <c r="CA586" i="4"/>
  <c r="BZ586" i="4"/>
  <c r="AY586" i="4"/>
  <c r="AV586" i="4"/>
  <c r="G586" i="4"/>
  <c r="F586" i="4"/>
  <c r="E586" i="4"/>
  <c r="D586" i="4"/>
  <c r="C586" i="4"/>
  <c r="CG585" i="4"/>
  <c r="CF585" i="4"/>
  <c r="BZ585" i="4"/>
  <c r="AV585" i="4"/>
  <c r="G585" i="4"/>
  <c r="F585" i="4"/>
  <c r="CA585" i="4" s="1"/>
  <c r="E585" i="4"/>
  <c r="D585" i="4"/>
  <c r="AY585" i="4" s="1"/>
  <c r="C585" i="4"/>
  <c r="CG584" i="4"/>
  <c r="CF584" i="4"/>
  <c r="CB584" i="4" s="1"/>
  <c r="CA584" i="4"/>
  <c r="BZ584" i="4"/>
  <c r="AV584" i="4"/>
  <c r="G584" i="4"/>
  <c r="F584" i="4"/>
  <c r="E584" i="4"/>
  <c r="D584" i="4"/>
  <c r="AY584" i="4" s="1"/>
  <c r="C584" i="4"/>
  <c r="CG583" i="4"/>
  <c r="CF583" i="4"/>
  <c r="CA583" i="4"/>
  <c r="BZ583" i="4"/>
  <c r="AV583" i="4"/>
  <c r="G583" i="4"/>
  <c r="F583" i="4"/>
  <c r="E583" i="4"/>
  <c r="D583" i="4"/>
  <c r="AY583" i="4" s="1"/>
  <c r="C583" i="4"/>
  <c r="CG582" i="4"/>
  <c r="CF582" i="4"/>
  <c r="CB582" i="4" s="1"/>
  <c r="CD582" i="4"/>
  <c r="CC582" i="4"/>
  <c r="CA582" i="4"/>
  <c r="BZ582" i="4"/>
  <c r="BV582" i="4"/>
  <c r="AV582" i="4"/>
  <c r="G582" i="4"/>
  <c r="F582" i="4"/>
  <c r="E582" i="4"/>
  <c r="D582" i="4"/>
  <c r="AY582" i="4" s="1"/>
  <c r="C582" i="4"/>
  <c r="CG581" i="4"/>
  <c r="CF581" i="4"/>
  <c r="BZ581" i="4"/>
  <c r="AV581" i="4"/>
  <c r="G581" i="4"/>
  <c r="F581" i="4"/>
  <c r="CA581" i="4" s="1"/>
  <c r="E581" i="4"/>
  <c r="C581" i="4"/>
  <c r="CG580" i="4"/>
  <c r="CF580" i="4"/>
  <c r="CB580" i="4" s="1"/>
  <c r="CE580" i="4"/>
  <c r="CD580" i="4"/>
  <c r="CC580" i="4"/>
  <c r="BV580" i="4" s="1"/>
  <c r="CA580" i="4"/>
  <c r="BZ580" i="4"/>
  <c r="AY580" i="4"/>
  <c r="AV580" i="4"/>
  <c r="G580" i="4"/>
  <c r="F580" i="4"/>
  <c r="E580" i="4"/>
  <c r="D580" i="4"/>
  <c r="C580" i="4"/>
  <c r="CG579" i="4"/>
  <c r="CF579" i="4"/>
  <c r="BZ579" i="4"/>
  <c r="AV579" i="4"/>
  <c r="G579" i="4"/>
  <c r="F579" i="4"/>
  <c r="CA579" i="4" s="1"/>
  <c r="E579" i="4"/>
  <c r="D579" i="4"/>
  <c r="AY579" i="4" s="1"/>
  <c r="C579" i="4"/>
  <c r="CG578" i="4"/>
  <c r="CF578" i="4"/>
  <c r="CB578" i="4" s="1"/>
  <c r="CD578" i="4"/>
  <c r="CC578" i="4"/>
  <c r="BV578" i="4" s="1"/>
  <c r="CA578" i="4"/>
  <c r="BZ578" i="4"/>
  <c r="AV578" i="4"/>
  <c r="G578" i="4"/>
  <c r="F578" i="4"/>
  <c r="E578" i="4"/>
  <c r="D578" i="4"/>
  <c r="AY578" i="4" s="1"/>
  <c r="C578" i="4"/>
  <c r="CG577" i="4"/>
  <c r="CF577" i="4"/>
  <c r="CD577" i="4" s="1"/>
  <c r="CA577" i="4"/>
  <c r="BZ577" i="4"/>
  <c r="AV577" i="4"/>
  <c r="G577" i="4"/>
  <c r="F577" i="4"/>
  <c r="E577" i="4"/>
  <c r="C577" i="4"/>
  <c r="CG576" i="4"/>
  <c r="CF576" i="4"/>
  <c r="CB576" i="4" s="1"/>
  <c r="CE576" i="4"/>
  <c r="CD576" i="4"/>
  <c r="CC576" i="4"/>
  <c r="BV576" i="4" s="1"/>
  <c r="CA576" i="4"/>
  <c r="BZ576" i="4"/>
  <c r="AV576" i="4"/>
  <c r="G576" i="4"/>
  <c r="F576" i="4"/>
  <c r="E576" i="4"/>
  <c r="D576" i="4"/>
  <c r="AY576" i="4" s="1"/>
  <c r="C576" i="4"/>
  <c r="CG575" i="4"/>
  <c r="CF575" i="4"/>
  <c r="BZ575" i="4"/>
  <c r="AV575" i="4"/>
  <c r="G575" i="4"/>
  <c r="F575" i="4"/>
  <c r="E575" i="4"/>
  <c r="C575" i="4"/>
  <c r="CG574" i="4"/>
  <c r="CF574" i="4"/>
  <c r="CB574" i="4" s="1"/>
  <c r="CC574" i="4"/>
  <c r="BV574" i="4" s="1"/>
  <c r="CA574" i="4"/>
  <c r="BZ574" i="4"/>
  <c r="AV574" i="4"/>
  <c r="G574" i="4"/>
  <c r="F574" i="4"/>
  <c r="E574" i="4"/>
  <c r="D574" i="4"/>
  <c r="AY574" i="4" s="1"/>
  <c r="C574" i="4"/>
  <c r="CG573" i="4"/>
  <c r="CF573" i="4"/>
  <c r="BZ573" i="4"/>
  <c r="AV573" i="4"/>
  <c r="H573" i="4"/>
  <c r="BY573" i="4" s="1"/>
  <c r="G573" i="4"/>
  <c r="F573" i="4"/>
  <c r="E573" i="4"/>
  <c r="D573" i="4"/>
  <c r="AY573" i="4" s="1"/>
  <c r="C573" i="4"/>
  <c r="CG572" i="4"/>
  <c r="CF572" i="4"/>
  <c r="CD572" i="4" s="1"/>
  <c r="CA572" i="4"/>
  <c r="BZ572" i="4"/>
  <c r="BW572" i="4"/>
  <c r="AV572" i="4"/>
  <c r="H572" i="4"/>
  <c r="G572" i="4"/>
  <c r="F572" i="4"/>
  <c r="BY572" i="4" s="1"/>
  <c r="E572" i="4"/>
  <c r="D572" i="4"/>
  <c r="AY572" i="4" s="1"/>
  <c r="C572" i="4"/>
  <c r="CG571" i="4"/>
  <c r="CF571" i="4"/>
  <c r="BZ571" i="4"/>
  <c r="AV571" i="4"/>
  <c r="G571" i="4"/>
  <c r="F571" i="4"/>
  <c r="BY571" i="4" s="1"/>
  <c r="E571" i="4"/>
  <c r="C571" i="4"/>
  <c r="CG570" i="4"/>
  <c r="CF570" i="4"/>
  <c r="CD570" i="4"/>
  <c r="CC570" i="4"/>
  <c r="BV570" i="4" s="1"/>
  <c r="CB570" i="4"/>
  <c r="CE570" i="4" s="1"/>
  <c r="CA570" i="4"/>
  <c r="BZ570" i="4"/>
  <c r="AV570" i="4"/>
  <c r="G570" i="4"/>
  <c r="F570" i="4"/>
  <c r="E570" i="4"/>
  <c r="D570" i="4"/>
  <c r="AY570" i="4" s="1"/>
  <c r="C570" i="4"/>
  <c r="CG569" i="4"/>
  <c r="CF569" i="4"/>
  <c r="BZ569" i="4"/>
  <c r="AV569" i="4"/>
  <c r="G569" i="4"/>
  <c r="F569" i="4"/>
  <c r="E569" i="4"/>
  <c r="C569" i="4"/>
  <c r="CG568" i="4"/>
  <c r="CF568" i="4"/>
  <c r="CB568" i="4" s="1"/>
  <c r="CC568" i="4"/>
  <c r="BV568" i="4" s="1"/>
  <c r="CA568" i="4"/>
  <c r="BZ568" i="4"/>
  <c r="AV568" i="4"/>
  <c r="G568" i="4"/>
  <c r="F568" i="4"/>
  <c r="E568" i="4"/>
  <c r="D568" i="4"/>
  <c r="AY568" i="4" s="1"/>
  <c r="C568" i="4"/>
  <c r="CG567" i="4"/>
  <c r="CF567" i="4"/>
  <c r="BZ567" i="4"/>
  <c r="AV567" i="4"/>
  <c r="G567" i="4"/>
  <c r="F567" i="4"/>
  <c r="E567" i="4"/>
  <c r="D567" i="4"/>
  <c r="AY567" i="4" s="1"/>
  <c r="C567" i="4"/>
  <c r="CG566" i="4"/>
  <c r="CF566" i="4"/>
  <c r="CA566" i="4"/>
  <c r="BZ566" i="4"/>
  <c r="AV566" i="4"/>
  <c r="G566" i="4"/>
  <c r="F566" i="4"/>
  <c r="E566" i="4"/>
  <c r="D566" i="4"/>
  <c r="AY566" i="4" s="1"/>
  <c r="C566" i="4"/>
  <c r="CG565" i="4"/>
  <c r="CF565" i="4"/>
  <c r="CB565" i="4"/>
  <c r="BZ565" i="4"/>
  <c r="CE565" i="4" s="1"/>
  <c r="BY565" i="4"/>
  <c r="AV565" i="4"/>
  <c r="G565" i="4"/>
  <c r="F565" i="4"/>
  <c r="E565" i="4"/>
  <c r="D565" i="4"/>
  <c r="AY565" i="4" s="1"/>
  <c r="C565" i="4"/>
  <c r="CG564" i="4"/>
  <c r="CF564" i="4"/>
  <c r="CE564" i="4" s="1"/>
  <c r="CD564" i="4"/>
  <c r="CC564" i="4"/>
  <c r="CB564" i="4"/>
  <c r="CA564" i="4"/>
  <c r="BZ564" i="4"/>
  <c r="BY564" i="4"/>
  <c r="BW564" i="4"/>
  <c r="BV564" i="4"/>
  <c r="BX564" i="4" s="1"/>
  <c r="AV564" i="4"/>
  <c r="G564" i="4"/>
  <c r="E564" i="4"/>
  <c r="D564" i="4"/>
  <c r="AY564" i="4" s="1"/>
  <c r="C564" i="4"/>
  <c r="CF563" i="4"/>
  <c r="CD563" i="4"/>
  <c r="CC563" i="4"/>
  <c r="BV563" i="4" s="1"/>
  <c r="BX563" i="4" s="1"/>
  <c r="CB563" i="4"/>
  <c r="CE563" i="4" s="1"/>
  <c r="CA563" i="4"/>
  <c r="BZ563" i="4"/>
  <c r="BY563" i="4"/>
  <c r="BW563" i="4"/>
  <c r="CG562" i="4"/>
  <c r="CF562" i="4"/>
  <c r="CD562" i="4" s="1"/>
  <c r="BZ562" i="4"/>
  <c r="AV562" i="4"/>
  <c r="G562" i="4"/>
  <c r="F562" i="4"/>
  <c r="BY562" i="4" s="1"/>
  <c r="E562" i="4"/>
  <c r="C562" i="4"/>
  <c r="CG561" i="4"/>
  <c r="CF561" i="4"/>
  <c r="CB561" i="4"/>
  <c r="BZ561" i="4"/>
  <c r="CE561" i="4" s="1"/>
  <c r="AV561" i="4"/>
  <c r="G561" i="4"/>
  <c r="F561" i="4"/>
  <c r="BY561" i="4" s="1"/>
  <c r="E561" i="4"/>
  <c r="D561" i="4"/>
  <c r="AY561" i="4" s="1"/>
  <c r="C561" i="4"/>
  <c r="CG560" i="4"/>
  <c r="CF560" i="4"/>
  <c r="BZ560" i="4"/>
  <c r="AV560" i="4"/>
  <c r="G560" i="4"/>
  <c r="F560" i="4"/>
  <c r="E560" i="4"/>
  <c r="C560" i="4"/>
  <c r="CG559" i="4"/>
  <c r="CF559" i="4"/>
  <c r="CD559" i="4"/>
  <c r="CC559" i="4"/>
  <c r="CB559" i="4"/>
  <c r="CE559" i="4" s="1"/>
  <c r="BZ559" i="4"/>
  <c r="BW559" i="4"/>
  <c r="BV559" i="4"/>
  <c r="BX559" i="4" s="1"/>
  <c r="AY559" i="4"/>
  <c r="AV559" i="4"/>
  <c r="G559" i="4"/>
  <c r="F559" i="4"/>
  <c r="BY559" i="4" s="1"/>
  <c r="E559" i="4"/>
  <c r="D559" i="4"/>
  <c r="C559" i="4"/>
  <c r="CG558" i="4"/>
  <c r="CF558" i="4"/>
  <c r="CB558" i="4" s="1"/>
  <c r="CC558" i="4"/>
  <c r="BV558" i="4" s="1"/>
  <c r="BX558" i="4" s="1"/>
  <c r="CA558" i="4"/>
  <c r="BZ558" i="4"/>
  <c r="BY558" i="4"/>
  <c r="BW558" i="4"/>
  <c r="AY558" i="4"/>
  <c r="AV558" i="4"/>
  <c r="H558" i="4"/>
  <c r="G558" i="4"/>
  <c r="E558" i="4"/>
  <c r="D558" i="4"/>
  <c r="C558" i="4"/>
  <c r="CG557" i="4"/>
  <c r="CF557" i="4"/>
  <c r="CA557" i="4"/>
  <c r="BZ557" i="4"/>
  <c r="AV557" i="4"/>
  <c r="H557" i="4"/>
  <c r="G557" i="4"/>
  <c r="F557" i="4"/>
  <c r="BW557" i="4" s="1"/>
  <c r="E557" i="4"/>
  <c r="C557" i="4"/>
  <c r="CG556" i="4"/>
  <c r="CF556" i="4"/>
  <c r="CD556" i="4" s="1"/>
  <c r="CE556" i="4"/>
  <c r="CC556" i="4"/>
  <c r="CB556" i="4"/>
  <c r="CA556" i="4"/>
  <c r="BZ556" i="4"/>
  <c r="BW556" i="4"/>
  <c r="AY556" i="4"/>
  <c r="AV556" i="4"/>
  <c r="H556" i="4"/>
  <c r="G556" i="4"/>
  <c r="F556" i="4"/>
  <c r="BY556" i="4" s="1"/>
  <c r="E556" i="4"/>
  <c r="D556" i="4"/>
  <c r="C556" i="4"/>
  <c r="CG555" i="4"/>
  <c r="CF555" i="4"/>
  <c r="CC555" i="4" s="1"/>
  <c r="BV555" i="4" s="1"/>
  <c r="BX555" i="4" s="1"/>
  <c r="CD555" i="4"/>
  <c r="BZ555" i="4"/>
  <c r="AV555" i="4"/>
  <c r="G555" i="4"/>
  <c r="F555" i="4"/>
  <c r="CA555" i="4" s="1"/>
  <c r="E555" i="4"/>
  <c r="C555" i="4"/>
  <c r="CG554" i="4"/>
  <c r="CF554" i="4"/>
  <c r="CB554" i="4"/>
  <c r="BZ554" i="4"/>
  <c r="CE554" i="4" s="1"/>
  <c r="BY554" i="4"/>
  <c r="AV554" i="4"/>
  <c r="H554" i="4"/>
  <c r="G554" i="4"/>
  <c r="F554" i="4"/>
  <c r="E554" i="4"/>
  <c r="C554" i="4"/>
  <c r="CG553" i="4"/>
  <c r="CF553" i="4"/>
  <c r="CD553" i="4"/>
  <c r="CC553" i="4"/>
  <c r="BV553" i="4" s="1"/>
  <c r="BX553" i="4" s="1"/>
  <c r="CB553" i="4"/>
  <c r="CE553" i="4" s="1"/>
  <c r="CA553" i="4"/>
  <c r="BZ553" i="4"/>
  <c r="BY553" i="4"/>
  <c r="BW553" i="4"/>
  <c r="AY553" i="4"/>
  <c r="AV553" i="4"/>
  <c r="H553" i="4"/>
  <c r="G553" i="4"/>
  <c r="E553" i="4"/>
  <c r="D553" i="4"/>
  <c r="C553" i="4"/>
  <c r="CG552" i="4"/>
  <c r="CF552" i="4"/>
  <c r="CC552" i="4" s="1"/>
  <c r="BZ552" i="4"/>
  <c r="BY552" i="4"/>
  <c r="BW552" i="4"/>
  <c r="BV552" i="4"/>
  <c r="BX552" i="4" s="1"/>
  <c r="AV552" i="4"/>
  <c r="G552" i="4"/>
  <c r="F552" i="4"/>
  <c r="H552" i="4" s="1"/>
  <c r="E552" i="4"/>
  <c r="D552" i="4" s="1"/>
  <c r="AY552" i="4" s="1"/>
  <c r="C552" i="4"/>
  <c r="CG551" i="4"/>
  <c r="CF551" i="4"/>
  <c r="CD551" i="4"/>
  <c r="CC551" i="4"/>
  <c r="BV551" i="4" s="1"/>
  <c r="CB551" i="4"/>
  <c r="CA551" i="4"/>
  <c r="BZ551" i="4"/>
  <c r="CE551" i="4" s="1"/>
  <c r="AV551" i="4"/>
  <c r="G551" i="4"/>
  <c r="E551" i="4"/>
  <c r="D551" i="4"/>
  <c r="AY551" i="4" s="1"/>
  <c r="C551" i="4"/>
  <c r="CG550" i="4"/>
  <c r="CF550" i="4"/>
  <c r="CB550" i="4" s="1"/>
  <c r="CD550" i="4"/>
  <c r="CC550" i="4"/>
  <c r="BV550" i="4" s="1"/>
  <c r="CA550" i="4"/>
  <c r="BZ550" i="4"/>
  <c r="CE550" i="4" s="1"/>
  <c r="AV550" i="4"/>
  <c r="G550" i="4"/>
  <c r="E550" i="4"/>
  <c r="D550" i="4"/>
  <c r="AY550" i="4" s="1"/>
  <c r="C550" i="4"/>
  <c r="CG549" i="4"/>
  <c r="CF549" i="4"/>
  <c r="CD549" i="4" s="1"/>
  <c r="CB549" i="4"/>
  <c r="CA549" i="4"/>
  <c r="BZ549" i="4"/>
  <c r="AV549" i="4"/>
  <c r="G549" i="4"/>
  <c r="E549" i="4"/>
  <c r="D549" i="4"/>
  <c r="AY549" i="4" s="1"/>
  <c r="C549" i="4"/>
  <c r="CG548" i="4"/>
  <c r="CF548" i="4"/>
  <c r="CC548" i="4" s="1"/>
  <c r="BV548" i="4" s="1"/>
  <c r="CD548" i="4"/>
  <c r="CA548" i="4"/>
  <c r="BZ548" i="4"/>
  <c r="AV548" i="4"/>
  <c r="G548" i="4"/>
  <c r="E548" i="4"/>
  <c r="D548" i="4"/>
  <c r="AY548" i="4" s="1"/>
  <c r="C548" i="4"/>
  <c r="CG547" i="4"/>
  <c r="CF547" i="4"/>
  <c r="CC547" i="4" s="1"/>
  <c r="BV547" i="4" s="1"/>
  <c r="CD547" i="4"/>
  <c r="CB547" i="4"/>
  <c r="CA547" i="4"/>
  <c r="BZ547" i="4"/>
  <c r="CE547" i="4" s="1"/>
  <c r="AV547" i="4"/>
  <c r="G547" i="4"/>
  <c r="E547" i="4"/>
  <c r="D547" i="4"/>
  <c r="AY547" i="4" s="1"/>
  <c r="C547" i="4"/>
  <c r="CG546" i="4"/>
  <c r="CF546" i="4"/>
  <c r="CD546" i="4"/>
  <c r="CC546" i="4"/>
  <c r="BV546" i="4" s="1"/>
  <c r="BX546" i="4" s="1"/>
  <c r="CB546" i="4"/>
  <c r="CA546" i="4"/>
  <c r="BZ546" i="4"/>
  <c r="CE546" i="4" s="1"/>
  <c r="BY546" i="4"/>
  <c r="BW546" i="4"/>
  <c r="AV546" i="4"/>
  <c r="H546" i="4"/>
  <c r="H547" i="4" s="1"/>
  <c r="G546" i="4"/>
  <c r="E546" i="4"/>
  <c r="D546" i="4" s="1"/>
  <c r="AY546" i="4" s="1"/>
  <c r="C546" i="4"/>
  <c r="CG545" i="4"/>
  <c r="CF545" i="4"/>
  <c r="BZ545" i="4"/>
  <c r="AV545" i="4"/>
  <c r="G545" i="4"/>
  <c r="F545" i="4"/>
  <c r="E545" i="4"/>
  <c r="C545" i="4"/>
  <c r="CG544" i="4"/>
  <c r="CF544" i="4"/>
  <c r="CD544" i="4" s="1"/>
  <c r="CB544" i="4"/>
  <c r="CA544" i="4"/>
  <c r="BZ544" i="4"/>
  <c r="AV544" i="4"/>
  <c r="G544" i="4"/>
  <c r="F544" i="4"/>
  <c r="E544" i="4"/>
  <c r="C544" i="4"/>
  <c r="CG543" i="4"/>
  <c r="CF543" i="4"/>
  <c r="CC543" i="4" s="1"/>
  <c r="BV543" i="4" s="1"/>
  <c r="CD543" i="4"/>
  <c r="BZ543" i="4"/>
  <c r="AV543" i="4"/>
  <c r="G543" i="4"/>
  <c r="F543" i="4"/>
  <c r="E543" i="4"/>
  <c r="D543" i="4"/>
  <c r="AY543" i="4" s="1"/>
  <c r="C543" i="4"/>
  <c r="CG542" i="4"/>
  <c r="CF542" i="4"/>
  <c r="CD542" i="4" s="1"/>
  <c r="BZ542" i="4"/>
  <c r="AV542" i="4"/>
  <c r="G542" i="4"/>
  <c r="F542" i="4"/>
  <c r="E542" i="4"/>
  <c r="C542" i="4"/>
  <c r="CG541" i="4"/>
  <c r="CF541" i="4"/>
  <c r="CB541" i="4"/>
  <c r="BZ541" i="4"/>
  <c r="CE541" i="4" s="1"/>
  <c r="AV541" i="4"/>
  <c r="G541" i="4"/>
  <c r="F541" i="4"/>
  <c r="E541" i="4"/>
  <c r="D541" i="4"/>
  <c r="AY541" i="4" s="1"/>
  <c r="C541" i="4"/>
  <c r="CG540" i="4"/>
  <c r="CF540" i="4"/>
  <c r="BZ540" i="4"/>
  <c r="AV540" i="4"/>
  <c r="G540" i="4"/>
  <c r="F540" i="4"/>
  <c r="E540" i="4"/>
  <c r="C540" i="4"/>
  <c r="CG539" i="4"/>
  <c r="CF539" i="4"/>
  <c r="CD539" i="4"/>
  <c r="CC539" i="4"/>
  <c r="CB539" i="4"/>
  <c r="CE539" i="4" s="1"/>
  <c r="BZ539" i="4"/>
  <c r="BV539" i="4"/>
  <c r="AV539" i="4"/>
  <c r="G539" i="4"/>
  <c r="F539" i="4"/>
  <c r="E539" i="4"/>
  <c r="D539" i="4"/>
  <c r="AY539" i="4" s="1"/>
  <c r="C539" i="4"/>
  <c r="CG538" i="4"/>
  <c r="CF538" i="4"/>
  <c r="CB538" i="4" s="1"/>
  <c r="CD538" i="4"/>
  <c r="CC538" i="4"/>
  <c r="BV538" i="4" s="1"/>
  <c r="BZ538" i="4"/>
  <c r="AV538" i="4"/>
  <c r="G538" i="4"/>
  <c r="F538" i="4"/>
  <c r="E538" i="4"/>
  <c r="C538" i="4"/>
  <c r="CG537" i="4"/>
  <c r="CF537" i="4"/>
  <c r="CD537" i="4" s="1"/>
  <c r="BZ537" i="4"/>
  <c r="BY537" i="4"/>
  <c r="BW537" i="4"/>
  <c r="AV537" i="4"/>
  <c r="G537" i="4"/>
  <c r="F537" i="4"/>
  <c r="E537" i="4"/>
  <c r="D537" i="4" s="1"/>
  <c r="AY537" i="4" s="1"/>
  <c r="C537" i="4"/>
  <c r="CG536" i="4"/>
  <c r="CF536" i="4"/>
  <c r="CD536" i="4" s="1"/>
  <c r="CC536" i="4"/>
  <c r="BV536" i="4" s="1"/>
  <c r="BX536" i="4" s="1"/>
  <c r="CB536" i="4"/>
  <c r="CA536" i="4"/>
  <c r="BZ536" i="4"/>
  <c r="CE536" i="4" s="1"/>
  <c r="BY536" i="4"/>
  <c r="BW536" i="4"/>
  <c r="AV536" i="4"/>
  <c r="H536" i="4"/>
  <c r="G536" i="4"/>
  <c r="E536" i="4"/>
  <c r="D536" i="4"/>
  <c r="AY536" i="4" s="1"/>
  <c r="C536" i="4"/>
  <c r="CG535" i="4"/>
  <c r="CF535" i="4"/>
  <c r="CD535" i="4"/>
  <c r="CC535" i="4"/>
  <c r="CB535" i="4"/>
  <c r="CE535" i="4" s="1"/>
  <c r="CA535" i="4"/>
  <c r="BZ535" i="4"/>
  <c r="BV535" i="4"/>
  <c r="AV535" i="4"/>
  <c r="G535" i="4"/>
  <c r="E535" i="4"/>
  <c r="D535" i="4"/>
  <c r="AY535" i="4" s="1"/>
  <c r="C535" i="4"/>
  <c r="CG534" i="4"/>
  <c r="CF534" i="4"/>
  <c r="CC534" i="4" s="1"/>
  <c r="CD534" i="4"/>
  <c r="CA534" i="4"/>
  <c r="BZ534" i="4"/>
  <c r="BV534" i="4"/>
  <c r="AV534" i="4"/>
  <c r="G534" i="4"/>
  <c r="E534" i="4"/>
  <c r="D534" i="4"/>
  <c r="AY534" i="4" s="1"/>
  <c r="C534" i="4"/>
  <c r="CG533" i="4"/>
  <c r="CF533" i="4"/>
  <c r="CE533" i="4"/>
  <c r="CD533" i="4"/>
  <c r="CC533" i="4"/>
  <c r="CB533" i="4"/>
  <c r="CA533" i="4"/>
  <c r="BZ533" i="4"/>
  <c r="BV533" i="4"/>
  <c r="AV533" i="4"/>
  <c r="G533" i="4"/>
  <c r="E533" i="4"/>
  <c r="D533" i="4"/>
  <c r="AY533" i="4" s="1"/>
  <c r="C533" i="4"/>
  <c r="CG532" i="4"/>
  <c r="CF532" i="4"/>
  <c r="CD532" i="4"/>
  <c r="CC532" i="4"/>
  <c r="BV532" i="4" s="1"/>
  <c r="CB532" i="4"/>
  <c r="CA532" i="4"/>
  <c r="BZ532" i="4"/>
  <c r="CE532" i="4" s="1"/>
  <c r="AV532" i="4"/>
  <c r="G532" i="4"/>
  <c r="E532" i="4"/>
  <c r="D532" i="4"/>
  <c r="AY532" i="4" s="1"/>
  <c r="C532" i="4"/>
  <c r="CG531" i="4"/>
  <c r="CF531" i="4"/>
  <c r="CD531" i="4" s="1"/>
  <c r="CC531" i="4"/>
  <c r="BV531" i="4" s="1"/>
  <c r="CB531" i="4"/>
  <c r="CA531" i="4"/>
  <c r="BZ531" i="4"/>
  <c r="CE531" i="4" s="1"/>
  <c r="AV531" i="4"/>
  <c r="G531" i="4"/>
  <c r="E531" i="4"/>
  <c r="D531" i="4"/>
  <c r="AY531" i="4" s="1"/>
  <c r="C531" i="4"/>
  <c r="CG530" i="4"/>
  <c r="CF530" i="4"/>
  <c r="CD530" i="4"/>
  <c r="CC530" i="4"/>
  <c r="CB530" i="4"/>
  <c r="CE530" i="4" s="1"/>
  <c r="CA530" i="4"/>
  <c r="BZ530" i="4"/>
  <c r="BV530" i="4"/>
  <c r="AY530" i="4"/>
  <c r="AV530" i="4"/>
  <c r="G530" i="4"/>
  <c r="E530" i="4"/>
  <c r="D530" i="4"/>
  <c r="C530" i="4"/>
  <c r="CG529" i="4"/>
  <c r="CF529" i="4"/>
  <c r="CB529" i="4" s="1"/>
  <c r="CE529" i="4"/>
  <c r="CD529" i="4"/>
  <c r="CA529" i="4"/>
  <c r="BZ529" i="4"/>
  <c r="AV529" i="4"/>
  <c r="G529" i="4"/>
  <c r="E529" i="4"/>
  <c r="D529" i="4"/>
  <c r="AY529" i="4" s="1"/>
  <c r="C529" i="4"/>
  <c r="CG528" i="4"/>
  <c r="CF528" i="4"/>
  <c r="CD528" i="4" s="1"/>
  <c r="CA528" i="4"/>
  <c r="BZ528" i="4"/>
  <c r="AV528" i="4"/>
  <c r="G528" i="4"/>
  <c r="E528" i="4"/>
  <c r="D528" i="4"/>
  <c r="AY528" i="4" s="1"/>
  <c r="C528" i="4"/>
  <c r="CG527" i="4"/>
  <c r="CF527" i="4"/>
  <c r="CE527" i="4" s="1"/>
  <c r="CD527" i="4"/>
  <c r="CC527" i="4"/>
  <c r="BV527" i="4" s="1"/>
  <c r="CB527" i="4"/>
  <c r="CA527" i="4"/>
  <c r="BZ527" i="4"/>
  <c r="AV527" i="4"/>
  <c r="G527" i="4"/>
  <c r="E527" i="4"/>
  <c r="D527" i="4"/>
  <c r="AY527" i="4" s="1"/>
  <c r="C527" i="4"/>
  <c r="CG526" i="4"/>
  <c r="CF526" i="4"/>
  <c r="CC526" i="4" s="1"/>
  <c r="CE526" i="4"/>
  <c r="CD526" i="4"/>
  <c r="CB526" i="4"/>
  <c r="CA526" i="4"/>
  <c r="BZ526" i="4"/>
  <c r="BV526" i="4"/>
  <c r="AV526" i="4"/>
  <c r="G526" i="4"/>
  <c r="E526" i="4"/>
  <c r="D526" i="4"/>
  <c r="AY526" i="4" s="1"/>
  <c r="C526" i="4"/>
  <c r="CG525" i="4"/>
  <c r="CF525" i="4"/>
  <c r="CE525" i="4"/>
  <c r="CD525" i="4"/>
  <c r="CC525" i="4"/>
  <c r="BV525" i="4" s="1"/>
  <c r="CB525" i="4"/>
  <c r="CA525" i="4"/>
  <c r="BZ525" i="4"/>
  <c r="AV525" i="4"/>
  <c r="G525" i="4"/>
  <c r="E525" i="4"/>
  <c r="D525" i="4"/>
  <c r="AY525" i="4" s="1"/>
  <c r="C525" i="4"/>
  <c r="CG524" i="4"/>
  <c r="CF524" i="4"/>
  <c r="CD524" i="4" s="1"/>
  <c r="CA524" i="4"/>
  <c r="BZ524" i="4"/>
  <c r="AV524" i="4"/>
  <c r="G524" i="4"/>
  <c r="E524" i="4"/>
  <c r="D524" i="4"/>
  <c r="AY524" i="4" s="1"/>
  <c r="C524" i="4"/>
  <c r="CG523" i="4"/>
  <c r="CF523" i="4"/>
  <c r="CD523" i="4" s="1"/>
  <c r="CC523" i="4"/>
  <c r="BV523" i="4" s="1"/>
  <c r="CB523" i="4"/>
  <c r="CA523" i="4"/>
  <c r="BZ523" i="4"/>
  <c r="CE523" i="4" s="1"/>
  <c r="AV523" i="4"/>
  <c r="G523" i="4"/>
  <c r="E523" i="4"/>
  <c r="D523" i="4"/>
  <c r="AY523" i="4" s="1"/>
  <c r="C523" i="4"/>
  <c r="CG522" i="4"/>
  <c r="CF522" i="4"/>
  <c r="CD522" i="4"/>
  <c r="CC522" i="4"/>
  <c r="BV522" i="4" s="1"/>
  <c r="BX522" i="4" s="1"/>
  <c r="CB522" i="4"/>
  <c r="CA522" i="4"/>
  <c r="BZ522" i="4"/>
  <c r="CE522" i="4" s="1"/>
  <c r="BY522" i="4"/>
  <c r="BW522" i="4"/>
  <c r="AY522" i="4"/>
  <c r="AV522" i="4"/>
  <c r="H522" i="4"/>
  <c r="H523" i="4" s="1"/>
  <c r="G522" i="4"/>
  <c r="E522" i="4"/>
  <c r="D522" i="4"/>
  <c r="C522" i="4"/>
  <c r="CG521" i="4"/>
  <c r="CF521" i="4"/>
  <c r="CB521" i="4" s="1"/>
  <c r="CC521" i="4"/>
  <c r="BV521" i="4" s="1"/>
  <c r="BX521" i="4" s="1"/>
  <c r="BZ521" i="4"/>
  <c r="BW521" i="4"/>
  <c r="AV521" i="4"/>
  <c r="G521" i="4"/>
  <c r="F521" i="4"/>
  <c r="CA521" i="4" s="1"/>
  <c r="E521" i="4"/>
  <c r="D521" i="4"/>
  <c r="AY521" i="4" s="1"/>
  <c r="C521" i="4"/>
  <c r="CG520" i="4"/>
  <c r="CF520" i="4"/>
  <c r="CA520" i="4"/>
  <c r="BZ520" i="4"/>
  <c r="BY520" i="4"/>
  <c r="BW520" i="4"/>
  <c r="AV520" i="4"/>
  <c r="G520" i="4"/>
  <c r="F520" i="4"/>
  <c r="E520" i="4"/>
  <c r="D520" i="4"/>
  <c r="AY520" i="4" s="1"/>
  <c r="C520" i="4"/>
  <c r="CG519" i="4"/>
  <c r="CF519" i="4"/>
  <c r="CD519" i="4"/>
  <c r="CC519" i="4"/>
  <c r="CB519" i="4"/>
  <c r="CE519" i="4" s="1"/>
  <c r="CA519" i="4"/>
  <c r="BZ519" i="4"/>
  <c r="BW519" i="4"/>
  <c r="BV519" i="4"/>
  <c r="BX519" i="4" s="1"/>
  <c r="AY519" i="4"/>
  <c r="AV519" i="4"/>
  <c r="H519" i="4"/>
  <c r="G519" i="4"/>
  <c r="F519" i="4"/>
  <c r="BY519" i="4" s="1"/>
  <c r="E519" i="4"/>
  <c r="D519" i="4"/>
  <c r="C519" i="4"/>
  <c r="CG518" i="4"/>
  <c r="CF518" i="4"/>
  <c r="CD518" i="4" s="1"/>
  <c r="BZ518" i="4"/>
  <c r="BW518" i="4"/>
  <c r="AV518" i="4"/>
  <c r="G518" i="4"/>
  <c r="F518" i="4"/>
  <c r="E518" i="4"/>
  <c r="D518" i="4"/>
  <c r="AY518" i="4" s="1"/>
  <c r="C518" i="4"/>
  <c r="CG517" i="4"/>
  <c r="CF517" i="4"/>
  <c r="CD517" i="4"/>
  <c r="CC517" i="4"/>
  <c r="CB517" i="4"/>
  <c r="CE517" i="4" s="1"/>
  <c r="CA517" i="4"/>
  <c r="BZ517" i="4"/>
  <c r="BV517" i="4"/>
  <c r="AV517" i="4"/>
  <c r="G517" i="4"/>
  <c r="F517" i="4"/>
  <c r="E517" i="4"/>
  <c r="D517" i="4"/>
  <c r="AY517" i="4" s="1"/>
  <c r="C517" i="4"/>
  <c r="CG516" i="4"/>
  <c r="CF516" i="4"/>
  <c r="CD516" i="4" s="1"/>
  <c r="BZ516" i="4"/>
  <c r="AV516" i="4"/>
  <c r="G516" i="4"/>
  <c r="F516" i="4"/>
  <c r="E516" i="4"/>
  <c r="D516" i="4"/>
  <c r="AY516" i="4" s="1"/>
  <c r="C516" i="4"/>
  <c r="CG515" i="4"/>
  <c r="CF515" i="4"/>
  <c r="CD515" i="4"/>
  <c r="CC515" i="4"/>
  <c r="CB515" i="4"/>
  <c r="CE515" i="4" s="1"/>
  <c r="CA515" i="4"/>
  <c r="BZ515" i="4"/>
  <c r="BV515" i="4"/>
  <c r="AV515" i="4"/>
  <c r="G515" i="4"/>
  <c r="F515" i="4"/>
  <c r="E515" i="4"/>
  <c r="D515" i="4"/>
  <c r="AY515" i="4" s="1"/>
  <c r="C515" i="4"/>
  <c r="CG514" i="4"/>
  <c r="CF514" i="4"/>
  <c r="CD514" i="4" s="1"/>
  <c r="BZ514" i="4"/>
  <c r="AV514" i="4"/>
  <c r="G514" i="4"/>
  <c r="F514" i="4"/>
  <c r="E514" i="4"/>
  <c r="D514" i="4"/>
  <c r="AY514" i="4" s="1"/>
  <c r="C514" i="4"/>
  <c r="CG513" i="4"/>
  <c r="CF513" i="4"/>
  <c r="CD513" i="4"/>
  <c r="CC513" i="4"/>
  <c r="CB513" i="4"/>
  <c r="CE513" i="4" s="1"/>
  <c r="CA513" i="4"/>
  <c r="BZ513" i="4"/>
  <c r="BV513" i="4"/>
  <c r="AV513" i="4"/>
  <c r="G513" i="4"/>
  <c r="F513" i="4"/>
  <c r="E513" i="4"/>
  <c r="D513" i="4"/>
  <c r="AY513" i="4" s="1"/>
  <c r="C513" i="4"/>
  <c r="CG512" i="4"/>
  <c r="CF512" i="4"/>
  <c r="CD512" i="4" s="1"/>
  <c r="BZ512" i="4"/>
  <c r="AV512" i="4"/>
  <c r="G512" i="4"/>
  <c r="F512" i="4"/>
  <c r="E512" i="4"/>
  <c r="D512" i="4"/>
  <c r="AY512" i="4" s="1"/>
  <c r="C512" i="4"/>
  <c r="CG511" i="4"/>
  <c r="CF511" i="4"/>
  <c r="CD511" i="4"/>
  <c r="CC511" i="4"/>
  <c r="CB511" i="4"/>
  <c r="CE511" i="4" s="1"/>
  <c r="CA511" i="4"/>
  <c r="BZ511" i="4"/>
  <c r="BV511" i="4"/>
  <c r="AV511" i="4"/>
  <c r="G511" i="4"/>
  <c r="F511" i="4"/>
  <c r="E511" i="4"/>
  <c r="D511" i="4"/>
  <c r="AY511" i="4" s="1"/>
  <c r="C511" i="4"/>
  <c r="CG510" i="4"/>
  <c r="CF510" i="4"/>
  <c r="CD510" i="4" s="1"/>
  <c r="BZ510" i="4"/>
  <c r="AV510" i="4"/>
  <c r="G510" i="4"/>
  <c r="F510" i="4"/>
  <c r="E510" i="4"/>
  <c r="D510" i="4"/>
  <c r="AY510" i="4" s="1"/>
  <c r="C510" i="4"/>
  <c r="CG509" i="4"/>
  <c r="CF509" i="4"/>
  <c r="CD509" i="4"/>
  <c r="CC509" i="4"/>
  <c r="CB509" i="4"/>
  <c r="CE509" i="4" s="1"/>
  <c r="CA509" i="4"/>
  <c r="BZ509" i="4"/>
  <c r="BW509" i="4"/>
  <c r="BV509" i="4"/>
  <c r="BX509" i="4" s="1"/>
  <c r="AY509" i="4"/>
  <c r="AV509" i="4"/>
  <c r="H509" i="4"/>
  <c r="G509" i="4"/>
  <c r="F509" i="4"/>
  <c r="BY509" i="4" s="1"/>
  <c r="E509" i="4"/>
  <c r="D509" i="4"/>
  <c r="C509" i="4"/>
  <c r="CG508" i="4"/>
  <c r="CF508" i="4"/>
  <c r="CD508" i="4" s="1"/>
  <c r="BZ508" i="4"/>
  <c r="BW508" i="4"/>
  <c r="AV508" i="4"/>
  <c r="G508" i="4"/>
  <c r="F508" i="4"/>
  <c r="E508" i="4"/>
  <c r="D508" i="4"/>
  <c r="AY508" i="4" s="1"/>
  <c r="C508" i="4"/>
  <c r="CG507" i="4"/>
  <c r="CF507" i="4"/>
  <c r="CD507" i="4"/>
  <c r="CC507" i="4"/>
  <c r="CB507" i="4"/>
  <c r="CE507" i="4" s="1"/>
  <c r="CA507" i="4"/>
  <c r="BZ507" i="4"/>
  <c r="BV507" i="4"/>
  <c r="AV507" i="4"/>
  <c r="G507" i="4"/>
  <c r="F507" i="4"/>
  <c r="E507" i="4"/>
  <c r="D507" i="4"/>
  <c r="AY507" i="4" s="1"/>
  <c r="C507" i="4"/>
  <c r="CG506" i="4"/>
  <c r="CF506" i="4"/>
  <c r="CD506" i="4" s="1"/>
  <c r="BZ506" i="4"/>
  <c r="AV506" i="4"/>
  <c r="G506" i="4"/>
  <c r="F506" i="4"/>
  <c r="E506" i="4"/>
  <c r="D506" i="4"/>
  <c r="AY506" i="4" s="1"/>
  <c r="C506" i="4"/>
  <c r="CG505" i="4"/>
  <c r="CF505" i="4"/>
  <c r="CD505" i="4"/>
  <c r="CC505" i="4"/>
  <c r="CB505" i="4"/>
  <c r="CE505" i="4" s="1"/>
  <c r="CA505" i="4"/>
  <c r="BZ505" i="4"/>
  <c r="BV505" i="4"/>
  <c r="AV505" i="4"/>
  <c r="G505" i="4"/>
  <c r="F505" i="4"/>
  <c r="E505" i="4"/>
  <c r="D505" i="4"/>
  <c r="AY505" i="4" s="1"/>
  <c r="C505" i="4"/>
  <c r="CG504" i="4"/>
  <c r="CF504" i="4"/>
  <c r="CD504" i="4" s="1"/>
  <c r="BZ504" i="4"/>
  <c r="AV504" i="4"/>
  <c r="G504" i="4"/>
  <c r="F504" i="4"/>
  <c r="E504" i="4"/>
  <c r="D504" i="4"/>
  <c r="AY504" i="4" s="1"/>
  <c r="C504" i="4"/>
  <c r="CG503" i="4"/>
  <c r="CF503" i="4"/>
  <c r="CD503" i="4"/>
  <c r="CC503" i="4"/>
  <c r="CB503" i="4"/>
  <c r="CE503" i="4" s="1"/>
  <c r="CA503" i="4"/>
  <c r="BZ503" i="4"/>
  <c r="BV503" i="4"/>
  <c r="AV503" i="4"/>
  <c r="G503" i="4"/>
  <c r="F503" i="4"/>
  <c r="E503" i="4"/>
  <c r="D503" i="4"/>
  <c r="AY503" i="4" s="1"/>
  <c r="C503" i="4"/>
  <c r="CG502" i="4"/>
  <c r="CF502" i="4"/>
  <c r="CD502" i="4" s="1"/>
  <c r="BZ502" i="4"/>
  <c r="AV502" i="4"/>
  <c r="G502" i="4"/>
  <c r="F502" i="4"/>
  <c r="E502" i="4"/>
  <c r="D502" i="4"/>
  <c r="AY502" i="4" s="1"/>
  <c r="C502" i="4"/>
  <c r="CG501" i="4"/>
  <c r="CF501" i="4"/>
  <c r="CD501" i="4"/>
  <c r="CC501" i="4"/>
  <c r="CB501" i="4"/>
  <c r="CE501" i="4" s="1"/>
  <c r="CA501" i="4"/>
  <c r="BZ501" i="4"/>
  <c r="BW501" i="4"/>
  <c r="BV501" i="4"/>
  <c r="BX501" i="4" s="1"/>
  <c r="AY501" i="4"/>
  <c r="AV501" i="4"/>
  <c r="H501" i="4"/>
  <c r="G501" i="4"/>
  <c r="F501" i="4"/>
  <c r="BY501" i="4" s="1"/>
  <c r="E501" i="4"/>
  <c r="D501" i="4"/>
  <c r="C501" i="4"/>
  <c r="CG500" i="4"/>
  <c r="CF500" i="4"/>
  <c r="BZ500" i="4"/>
  <c r="BW500" i="4"/>
  <c r="AV500" i="4"/>
  <c r="G500" i="4"/>
  <c r="F500" i="4"/>
  <c r="E500" i="4"/>
  <c r="D500" i="4"/>
  <c r="AY500" i="4" s="1"/>
  <c r="C500" i="4"/>
  <c r="CG499" i="4"/>
  <c r="CF499" i="4"/>
  <c r="CD499" i="4"/>
  <c r="CC499" i="4"/>
  <c r="CB499" i="4"/>
  <c r="CE499" i="4" s="1"/>
  <c r="CA499" i="4"/>
  <c r="BZ499" i="4"/>
  <c r="BW499" i="4"/>
  <c r="BV499" i="4"/>
  <c r="BX499" i="4" s="1"/>
  <c r="AY499" i="4"/>
  <c r="AV499" i="4"/>
  <c r="H499" i="4"/>
  <c r="G499" i="4"/>
  <c r="F499" i="4"/>
  <c r="BY499" i="4" s="1"/>
  <c r="E499" i="4"/>
  <c r="D499" i="4"/>
  <c r="C499" i="4"/>
  <c r="CG498" i="4"/>
  <c r="CF498" i="4"/>
  <c r="BZ498" i="4"/>
  <c r="BW498" i="4"/>
  <c r="AV498" i="4"/>
  <c r="G498" i="4"/>
  <c r="F498" i="4"/>
  <c r="E498" i="4"/>
  <c r="D498" i="4" s="1"/>
  <c r="AY498" i="4" s="1"/>
  <c r="C498" i="4"/>
  <c r="CG497" i="4"/>
  <c r="CF497" i="4"/>
  <c r="CD497" i="4"/>
  <c r="CC497" i="4"/>
  <c r="CB497" i="4"/>
  <c r="CE497" i="4" s="1"/>
  <c r="CA497" i="4"/>
  <c r="BZ497" i="4"/>
  <c r="BW497" i="4"/>
  <c r="BV497" i="4"/>
  <c r="BX497" i="4" s="1"/>
  <c r="AY497" i="4"/>
  <c r="AV497" i="4"/>
  <c r="H497" i="4"/>
  <c r="G497" i="4"/>
  <c r="F497" i="4"/>
  <c r="BY497" i="4" s="1"/>
  <c r="E497" i="4"/>
  <c r="D497" i="4"/>
  <c r="C497" i="4"/>
  <c r="CG496" i="4"/>
  <c r="CF496" i="4"/>
  <c r="CA496" i="4"/>
  <c r="BZ496" i="4"/>
  <c r="BY496" i="4"/>
  <c r="BW496" i="4"/>
  <c r="AV496" i="4"/>
  <c r="G496" i="4"/>
  <c r="E496" i="4"/>
  <c r="D496" i="4"/>
  <c r="AY496" i="4" s="1"/>
  <c r="C496" i="4"/>
  <c r="CG495" i="4"/>
  <c r="CF495" i="4"/>
  <c r="CD495" i="4"/>
  <c r="CC495" i="4"/>
  <c r="CB495" i="4"/>
  <c r="BZ495" i="4"/>
  <c r="BY495" i="4"/>
  <c r="AV495" i="4"/>
  <c r="G495" i="4"/>
  <c r="F495" i="4"/>
  <c r="CA495" i="4" s="1"/>
  <c r="E495" i="4"/>
  <c r="C495" i="4"/>
  <c r="CG494" i="4"/>
  <c r="CF494" i="4"/>
  <c r="CB494" i="4" s="1"/>
  <c r="CC494" i="4"/>
  <c r="BV494" i="4" s="1"/>
  <c r="BZ494" i="4"/>
  <c r="AV494" i="4"/>
  <c r="G494" i="4"/>
  <c r="F494" i="4"/>
  <c r="CA494" i="4" s="1"/>
  <c r="E494" i="4"/>
  <c r="D494" i="4"/>
  <c r="AY494" i="4" s="1"/>
  <c r="C494" i="4"/>
  <c r="CG493" i="4"/>
  <c r="CF493" i="4"/>
  <c r="BZ493" i="4"/>
  <c r="AV493" i="4"/>
  <c r="G493" i="4"/>
  <c r="F493" i="4"/>
  <c r="CB493" i="4" s="1"/>
  <c r="E493" i="4"/>
  <c r="C493" i="4"/>
  <c r="CG492" i="4"/>
  <c r="CF492" i="4"/>
  <c r="CB492" i="4" s="1"/>
  <c r="CE492" i="4" s="1"/>
  <c r="BZ492" i="4"/>
  <c r="AV492" i="4"/>
  <c r="G492" i="4"/>
  <c r="F492" i="4"/>
  <c r="CA492" i="4" s="1"/>
  <c r="E492" i="4"/>
  <c r="D492" i="4"/>
  <c r="AY492" i="4" s="1"/>
  <c r="C492" i="4"/>
  <c r="CG491" i="4"/>
  <c r="CF491" i="4"/>
  <c r="BZ491" i="4"/>
  <c r="BY491" i="4"/>
  <c r="AV491" i="4"/>
  <c r="G491" i="4"/>
  <c r="F491" i="4"/>
  <c r="CB491" i="4" s="1"/>
  <c r="E491" i="4"/>
  <c r="C491" i="4"/>
  <c r="CG490" i="4"/>
  <c r="CF490" i="4"/>
  <c r="CB490" i="4" s="1"/>
  <c r="CC490" i="4"/>
  <c r="BV490" i="4" s="1"/>
  <c r="BX490" i="4" s="1"/>
  <c r="CA490" i="4"/>
  <c r="BZ490" i="4"/>
  <c r="BY490" i="4"/>
  <c r="BW490" i="4"/>
  <c r="AV490" i="4"/>
  <c r="H490" i="4"/>
  <c r="G490" i="4"/>
  <c r="E490" i="4"/>
  <c r="D490" i="4"/>
  <c r="AY490" i="4" s="1"/>
  <c r="C490" i="4"/>
  <c r="CG489" i="4"/>
  <c r="CF489" i="4"/>
  <c r="CA489" i="4"/>
  <c r="BZ489" i="4"/>
  <c r="BY489" i="4"/>
  <c r="AV489" i="4"/>
  <c r="H489" i="4"/>
  <c r="G489" i="4"/>
  <c r="F489" i="4"/>
  <c r="E489" i="4"/>
  <c r="C489" i="4"/>
  <c r="CG488" i="4"/>
  <c r="CF488" i="4"/>
  <c r="CD488" i="4"/>
  <c r="CC488" i="4"/>
  <c r="BV488" i="4" s="1"/>
  <c r="BX488" i="4" s="1"/>
  <c r="CB488" i="4"/>
  <c r="CE488" i="4" s="1"/>
  <c r="BZ488" i="4"/>
  <c r="BW488" i="4"/>
  <c r="AV488" i="4"/>
  <c r="G488" i="4"/>
  <c r="F488" i="4"/>
  <c r="CA488" i="4" s="1"/>
  <c r="E488" i="4"/>
  <c r="D488" i="4"/>
  <c r="AY488" i="4" s="1"/>
  <c r="C488" i="4"/>
  <c r="CG487" i="4"/>
  <c r="CF487" i="4"/>
  <c r="BZ487" i="4"/>
  <c r="BY487" i="4"/>
  <c r="AV487" i="4"/>
  <c r="H487" i="4"/>
  <c r="G487" i="4"/>
  <c r="F487" i="4"/>
  <c r="E487" i="4"/>
  <c r="C487" i="4"/>
  <c r="CG486" i="4"/>
  <c r="CF486" i="4"/>
  <c r="CE486" i="4"/>
  <c r="CD486" i="4"/>
  <c r="CC486" i="4"/>
  <c r="CB486" i="4"/>
  <c r="BZ486" i="4"/>
  <c r="BW486" i="4"/>
  <c r="BV486" i="4"/>
  <c r="AV486" i="4"/>
  <c r="G486" i="4"/>
  <c r="F486" i="4"/>
  <c r="CA486" i="4" s="1"/>
  <c r="E486" i="4"/>
  <c r="D486" i="4"/>
  <c r="AY486" i="4" s="1"/>
  <c r="C486" i="4"/>
  <c r="CG485" i="4"/>
  <c r="CF485" i="4"/>
  <c r="CA485" i="4"/>
  <c r="BZ485" i="4"/>
  <c r="AV485" i="4"/>
  <c r="G485" i="4"/>
  <c r="F485" i="4"/>
  <c r="E485" i="4"/>
  <c r="C485" i="4"/>
  <c r="CG484" i="4"/>
  <c r="CF484" i="4"/>
  <c r="CD484" i="4"/>
  <c r="CC484" i="4"/>
  <c r="BV484" i="4" s="1"/>
  <c r="CB484" i="4"/>
  <c r="CE484" i="4" s="1"/>
  <c r="BZ484" i="4"/>
  <c r="AV484" i="4"/>
  <c r="G484" i="4"/>
  <c r="F484" i="4"/>
  <c r="CA484" i="4" s="1"/>
  <c r="E484" i="4"/>
  <c r="D484" i="4"/>
  <c r="AY484" i="4" s="1"/>
  <c r="C484" i="4"/>
  <c r="CG483" i="4"/>
  <c r="CF483" i="4"/>
  <c r="BZ483" i="4"/>
  <c r="AV483" i="4"/>
  <c r="G483" i="4"/>
  <c r="F483" i="4"/>
  <c r="E483" i="4"/>
  <c r="C483" i="4"/>
  <c r="CG482" i="4"/>
  <c r="CF482" i="4"/>
  <c r="CE482" i="4"/>
  <c r="CD482" i="4"/>
  <c r="CC482" i="4"/>
  <c r="CB482" i="4"/>
  <c r="BZ482" i="4"/>
  <c r="BV482" i="4"/>
  <c r="AV482" i="4"/>
  <c r="G482" i="4"/>
  <c r="F482" i="4"/>
  <c r="CA482" i="4" s="1"/>
  <c r="E482" i="4"/>
  <c r="D482" i="4"/>
  <c r="AY482" i="4" s="1"/>
  <c r="C482" i="4"/>
  <c r="CG481" i="4"/>
  <c r="CF481" i="4"/>
  <c r="CA481" i="4"/>
  <c r="BZ481" i="4"/>
  <c r="AV481" i="4"/>
  <c r="G481" i="4"/>
  <c r="F481" i="4"/>
  <c r="E481" i="4"/>
  <c r="C481" i="4"/>
  <c r="CG480" i="4"/>
  <c r="CF480" i="4"/>
  <c r="CD480" i="4"/>
  <c r="CC480" i="4"/>
  <c r="BV480" i="4" s="1"/>
  <c r="CB480" i="4"/>
  <c r="CE480" i="4" s="1"/>
  <c r="BZ480" i="4"/>
  <c r="AV480" i="4"/>
  <c r="G480" i="4"/>
  <c r="F480" i="4"/>
  <c r="CA480" i="4" s="1"/>
  <c r="E480" i="4"/>
  <c r="D480" i="4"/>
  <c r="AY480" i="4" s="1"/>
  <c r="C480" i="4"/>
  <c r="CG479" i="4"/>
  <c r="CF479" i="4"/>
  <c r="BZ479" i="4"/>
  <c r="AV479" i="4"/>
  <c r="G479" i="4"/>
  <c r="F479" i="4"/>
  <c r="E479" i="4"/>
  <c r="C479" i="4"/>
  <c r="CG478" i="4"/>
  <c r="CF478" i="4"/>
  <c r="CE478" i="4"/>
  <c r="CD478" i="4"/>
  <c r="CC478" i="4"/>
  <c r="CB478" i="4"/>
  <c r="BZ478" i="4"/>
  <c r="BW478" i="4"/>
  <c r="BV478" i="4"/>
  <c r="BX478" i="4" s="1"/>
  <c r="BN478" i="4"/>
  <c r="AY478" i="4"/>
  <c r="AV478" i="4"/>
  <c r="G478" i="4"/>
  <c r="F478" i="4"/>
  <c r="CA478" i="4" s="1"/>
  <c r="E478" i="4"/>
  <c r="D478" i="4"/>
  <c r="C478" i="4"/>
  <c r="CG477" i="4"/>
  <c r="CF477" i="4"/>
  <c r="CD477" i="4"/>
  <c r="CC477" i="4"/>
  <c r="CB477" i="4"/>
  <c r="BZ477" i="4"/>
  <c r="CE477" i="4" s="1"/>
  <c r="BY477" i="4"/>
  <c r="AV477" i="4"/>
  <c r="H477" i="4"/>
  <c r="G477" i="4"/>
  <c r="F477" i="4"/>
  <c r="E477" i="4"/>
  <c r="C477" i="4"/>
  <c r="CG476" i="4"/>
  <c r="CF476" i="4"/>
  <c r="CB476" i="4" s="1"/>
  <c r="CD476" i="4"/>
  <c r="BZ476" i="4"/>
  <c r="BW476" i="4"/>
  <c r="AV476" i="4"/>
  <c r="G476" i="4"/>
  <c r="F476" i="4"/>
  <c r="E476" i="4"/>
  <c r="D476" i="4" s="1"/>
  <c r="AY476" i="4" s="1"/>
  <c r="C476" i="4"/>
  <c r="CG475" i="4"/>
  <c r="CF475" i="4"/>
  <c r="CA475" i="4"/>
  <c r="BZ475" i="4"/>
  <c r="AV475" i="4"/>
  <c r="G475" i="4"/>
  <c r="F475" i="4"/>
  <c r="CB475" i="4" s="1"/>
  <c r="E475" i="4"/>
  <c r="C475" i="4"/>
  <c r="CG474" i="4"/>
  <c r="CF474" i="4"/>
  <c r="CB474" i="4" s="1"/>
  <c r="CC474" i="4"/>
  <c r="BV474" i="4" s="1"/>
  <c r="BZ474" i="4"/>
  <c r="AV474" i="4"/>
  <c r="G474" i="4"/>
  <c r="F474" i="4"/>
  <c r="CA474" i="4" s="1"/>
  <c r="E474" i="4"/>
  <c r="D474" i="4"/>
  <c r="AY474" i="4" s="1"/>
  <c r="C474" i="4"/>
  <c r="CG473" i="4"/>
  <c r="CF473" i="4"/>
  <c r="BZ473" i="4"/>
  <c r="AV473" i="4"/>
  <c r="G473" i="4"/>
  <c r="F473" i="4"/>
  <c r="CB473" i="4" s="1"/>
  <c r="E473" i="4"/>
  <c r="C473" i="4"/>
  <c r="CG472" i="4"/>
  <c r="CF472" i="4"/>
  <c r="CB472" i="4" s="1"/>
  <c r="CD472" i="4"/>
  <c r="BZ472" i="4"/>
  <c r="BW472" i="4"/>
  <c r="AV472" i="4"/>
  <c r="G472" i="4"/>
  <c r="F472" i="4"/>
  <c r="E472" i="4"/>
  <c r="D472" i="4" s="1"/>
  <c r="AY472" i="4" s="1"/>
  <c r="C472" i="4"/>
  <c r="CG471" i="4"/>
  <c r="CF471" i="4"/>
  <c r="CA471" i="4"/>
  <c r="BZ471" i="4"/>
  <c r="AV471" i="4"/>
  <c r="G471" i="4"/>
  <c r="F471" i="4"/>
  <c r="CB471" i="4" s="1"/>
  <c r="E471" i="4"/>
  <c r="C471" i="4"/>
  <c r="CG470" i="4"/>
  <c r="CF470" i="4"/>
  <c r="BZ470" i="4"/>
  <c r="AV470" i="4"/>
  <c r="G470" i="4"/>
  <c r="F470" i="4"/>
  <c r="BY470" i="4" s="1"/>
  <c r="E470" i="4"/>
  <c r="D470" i="4"/>
  <c r="AY470" i="4" s="1"/>
  <c r="C470" i="4"/>
  <c r="CG469" i="4"/>
  <c r="CF469" i="4"/>
  <c r="CD469" i="4"/>
  <c r="CC469" i="4"/>
  <c r="BV469" i="4" s="1"/>
  <c r="CB469" i="4"/>
  <c r="CA469" i="4"/>
  <c r="BZ469" i="4"/>
  <c r="CE469" i="4" s="1"/>
  <c r="H469" i="4"/>
  <c r="BW469" i="4" s="1"/>
  <c r="G469" i="4"/>
  <c r="C469" i="4"/>
  <c r="CG468" i="4"/>
  <c r="CF468" i="4"/>
  <c r="CB468" i="4" s="1"/>
  <c r="CA468" i="4"/>
  <c r="BZ468" i="4"/>
  <c r="BY468" i="4"/>
  <c r="G468" i="4"/>
  <c r="C468" i="4"/>
  <c r="CG467" i="4"/>
  <c r="CF467" i="4"/>
  <c r="CA467" i="4"/>
  <c r="BZ467" i="4"/>
  <c r="BY467" i="4"/>
  <c r="BW467" i="4"/>
  <c r="AV467" i="4"/>
  <c r="H467" i="4"/>
  <c r="H468" i="4" s="1"/>
  <c r="BW468" i="4" s="1"/>
  <c r="G467" i="4"/>
  <c r="E467" i="4"/>
  <c r="D467" i="4"/>
  <c r="AY467" i="4" s="1"/>
  <c r="C467" i="4"/>
  <c r="CG466" i="4"/>
  <c r="CF466" i="4"/>
  <c r="CD466" i="4"/>
  <c r="CC466" i="4"/>
  <c r="BV466" i="4" s="1"/>
  <c r="BX466" i="4" s="1"/>
  <c r="CB466" i="4"/>
  <c r="CA466" i="4"/>
  <c r="BZ466" i="4"/>
  <c r="CE466" i="4" s="1"/>
  <c r="BW466" i="4"/>
  <c r="AY466" i="4"/>
  <c r="AV466" i="4"/>
  <c r="H466" i="4"/>
  <c r="G466" i="4"/>
  <c r="F466" i="4"/>
  <c r="BY466" i="4" s="1"/>
  <c r="E466" i="4"/>
  <c r="D466" i="4"/>
  <c r="C466" i="4"/>
  <c r="CG465" i="4"/>
  <c r="CF465" i="4"/>
  <c r="BZ465" i="4"/>
  <c r="BY465" i="4"/>
  <c r="AV465" i="4"/>
  <c r="G465" i="4"/>
  <c r="F465" i="4"/>
  <c r="CA465" i="4" s="1"/>
  <c r="E465" i="4"/>
  <c r="D465" i="4"/>
  <c r="AY465" i="4" s="1"/>
  <c r="C465" i="4"/>
  <c r="CG464" i="4"/>
  <c r="CF464" i="4"/>
  <c r="CC464" i="4"/>
  <c r="CA464" i="4"/>
  <c r="BZ464" i="4"/>
  <c r="BY464" i="4"/>
  <c r="AV464" i="4"/>
  <c r="G464" i="4"/>
  <c r="F464" i="4"/>
  <c r="E464" i="4"/>
  <c r="C464" i="4"/>
  <c r="CG463" i="4"/>
  <c r="CF463" i="4"/>
  <c r="CC463" i="4"/>
  <c r="BZ463" i="4"/>
  <c r="BY463" i="4"/>
  <c r="BW463" i="4"/>
  <c r="AV463" i="4"/>
  <c r="G463" i="4"/>
  <c r="F463" i="4"/>
  <c r="D463" i="4" s="1"/>
  <c r="AY463" i="4" s="1"/>
  <c r="E463" i="4"/>
  <c r="C463" i="4"/>
  <c r="CG462" i="4"/>
  <c r="CF462" i="4"/>
  <c r="BZ462" i="4"/>
  <c r="AV462" i="4"/>
  <c r="G462" i="4"/>
  <c r="F462" i="4"/>
  <c r="CA462" i="4" s="1"/>
  <c r="E462" i="4"/>
  <c r="C462" i="4"/>
  <c r="CG461" i="4"/>
  <c r="CF461" i="4"/>
  <c r="CB461" i="4" s="1"/>
  <c r="BZ461" i="4"/>
  <c r="AV461" i="4"/>
  <c r="G461" i="4"/>
  <c r="F461" i="4"/>
  <c r="BY461" i="4" s="1"/>
  <c r="E461" i="4"/>
  <c r="C461" i="4"/>
  <c r="CG460" i="4"/>
  <c r="CF460" i="4"/>
  <c r="CA460" i="4"/>
  <c r="BZ460" i="4"/>
  <c r="BY460" i="4"/>
  <c r="AV460" i="4"/>
  <c r="G460" i="4"/>
  <c r="F460" i="4"/>
  <c r="H460" i="4" s="1"/>
  <c r="E460" i="4"/>
  <c r="C460" i="4"/>
  <c r="CG459" i="4"/>
  <c r="CF459" i="4"/>
  <c r="CD459" i="4" s="1"/>
  <c r="BZ459" i="4"/>
  <c r="BY459" i="4"/>
  <c r="BW459" i="4"/>
  <c r="AV459" i="4"/>
  <c r="G459" i="4"/>
  <c r="F459" i="4"/>
  <c r="E459" i="4"/>
  <c r="D459" i="4" s="1"/>
  <c r="AY459" i="4" s="1"/>
  <c r="C459" i="4"/>
  <c r="CG458" i="4"/>
  <c r="CF458" i="4"/>
  <c r="CC458" i="4"/>
  <c r="CA458" i="4"/>
  <c r="BZ458" i="4"/>
  <c r="BY458" i="4"/>
  <c r="AV458" i="4"/>
  <c r="H458" i="4"/>
  <c r="G458" i="4"/>
  <c r="F458" i="4"/>
  <c r="E458" i="4"/>
  <c r="C458" i="4"/>
  <c r="CG457" i="4"/>
  <c r="CF457" i="4"/>
  <c r="CB457" i="4" s="1"/>
  <c r="CD457" i="4"/>
  <c r="CA457" i="4"/>
  <c r="BZ457" i="4"/>
  <c r="BY457" i="4"/>
  <c r="BW457" i="4"/>
  <c r="AV457" i="4"/>
  <c r="G457" i="4"/>
  <c r="E457" i="4"/>
  <c r="D457" i="4"/>
  <c r="AY457" i="4" s="1"/>
  <c r="C457" i="4"/>
  <c r="CG456" i="4"/>
  <c r="CF456" i="4"/>
  <c r="BZ456" i="4"/>
  <c r="BY456" i="4"/>
  <c r="BW456" i="4"/>
  <c r="AV456" i="4"/>
  <c r="H456" i="4"/>
  <c r="G456" i="4"/>
  <c r="F456" i="4"/>
  <c r="E456" i="4"/>
  <c r="D456" i="4"/>
  <c r="AY456" i="4" s="1"/>
  <c r="C456" i="4"/>
  <c r="CG455" i="4"/>
  <c r="CF455" i="4"/>
  <c r="CE455" i="4"/>
  <c r="CD455" i="4"/>
  <c r="CC455" i="4"/>
  <c r="CB455" i="4"/>
  <c r="CA455" i="4"/>
  <c r="BZ455" i="4"/>
  <c r="BV455" i="4"/>
  <c r="AV455" i="4"/>
  <c r="G455" i="4"/>
  <c r="F455" i="4"/>
  <c r="E455" i="4"/>
  <c r="D455" i="4"/>
  <c r="AY455" i="4" s="1"/>
  <c r="C455" i="4"/>
  <c r="CG454" i="4"/>
  <c r="CF454" i="4"/>
  <c r="BZ454" i="4"/>
  <c r="AV454" i="4"/>
  <c r="G454" i="4"/>
  <c r="F454" i="4"/>
  <c r="E454" i="4"/>
  <c r="D454" i="4"/>
  <c r="AY454" i="4" s="1"/>
  <c r="C454" i="4"/>
  <c r="CG453" i="4"/>
  <c r="CF453" i="4"/>
  <c r="CE453" i="4"/>
  <c r="CD453" i="4"/>
  <c r="CC453" i="4"/>
  <c r="CB453" i="4"/>
  <c r="CA453" i="4"/>
  <c r="BZ453" i="4"/>
  <c r="BV453" i="4"/>
  <c r="AV453" i="4"/>
  <c r="G453" i="4"/>
  <c r="F453" i="4"/>
  <c r="E453" i="4"/>
  <c r="D453" i="4"/>
  <c r="AY453" i="4" s="1"/>
  <c r="C453" i="4"/>
  <c r="CG452" i="4"/>
  <c r="CF452" i="4"/>
  <c r="BZ452" i="4"/>
  <c r="AV452" i="4"/>
  <c r="G452" i="4"/>
  <c r="F452" i="4"/>
  <c r="E452" i="4"/>
  <c r="C452" i="4"/>
  <c r="CG451" i="4"/>
  <c r="CF451" i="4"/>
  <c r="CE451" i="4" s="1"/>
  <c r="CD451" i="4"/>
  <c r="CC451" i="4"/>
  <c r="BV451" i="4" s="1"/>
  <c r="BX451" i="4" s="1"/>
  <c r="CB451" i="4"/>
  <c r="BZ451" i="4"/>
  <c r="BW451" i="4"/>
  <c r="AV451" i="4"/>
  <c r="H451" i="4"/>
  <c r="G451" i="4"/>
  <c r="F451" i="4"/>
  <c r="BY451" i="4" s="1"/>
  <c r="E451" i="4"/>
  <c r="D451" i="4" s="1"/>
  <c r="AY451" i="4" s="1"/>
  <c r="C451" i="4"/>
  <c r="CG450" i="4"/>
  <c r="CF450" i="4"/>
  <c r="CB450" i="4" s="1"/>
  <c r="BZ450" i="4"/>
  <c r="BW450" i="4"/>
  <c r="AV450" i="4"/>
  <c r="H450" i="4"/>
  <c r="G450" i="4"/>
  <c r="F450" i="4"/>
  <c r="BY450" i="4" s="1"/>
  <c r="E450" i="4"/>
  <c r="C450" i="4"/>
  <c r="CG449" i="4"/>
  <c r="CF449" i="4"/>
  <c r="CE449" i="4" s="1"/>
  <c r="CB449" i="4"/>
  <c r="CA449" i="4"/>
  <c r="BZ449" i="4"/>
  <c r="BY449" i="4"/>
  <c r="BW449" i="4"/>
  <c r="AV449" i="4"/>
  <c r="H449" i="4"/>
  <c r="G449" i="4"/>
  <c r="E449" i="4"/>
  <c r="D449" i="4"/>
  <c r="AY449" i="4" s="1"/>
  <c r="C449" i="4"/>
  <c r="CG448" i="4"/>
  <c r="CF448" i="4"/>
  <c r="CD448" i="4" s="1"/>
  <c r="CA448" i="4"/>
  <c r="BZ448" i="4"/>
  <c r="BY448" i="4"/>
  <c r="BW448" i="4"/>
  <c r="AV448" i="4"/>
  <c r="H448" i="4"/>
  <c r="G448" i="4"/>
  <c r="E448" i="4"/>
  <c r="D448" i="4"/>
  <c r="AY448" i="4" s="1"/>
  <c r="C448" i="4"/>
  <c r="CG447" i="4"/>
  <c r="CF447" i="4"/>
  <c r="CD447" i="4"/>
  <c r="CC447" i="4"/>
  <c r="CB447" i="4"/>
  <c r="CA447" i="4"/>
  <c r="BZ447" i="4"/>
  <c r="CE447" i="4" s="1"/>
  <c r="BY447" i="4"/>
  <c r="BW447" i="4"/>
  <c r="BV447" i="4"/>
  <c r="BX447" i="4" s="1"/>
  <c r="AV447" i="4"/>
  <c r="G447" i="4"/>
  <c r="E447" i="4"/>
  <c r="D447" i="4"/>
  <c r="AY447" i="4" s="1"/>
  <c r="C447" i="4"/>
  <c r="CG446" i="4"/>
  <c r="CF446" i="4"/>
  <c r="CC446" i="4" s="1"/>
  <c r="BV446" i="4" s="1"/>
  <c r="BX446" i="4" s="1"/>
  <c r="CE446" i="4"/>
  <c r="CD446" i="4"/>
  <c r="CB446" i="4"/>
  <c r="CA446" i="4"/>
  <c r="BZ446" i="4"/>
  <c r="BY446" i="4"/>
  <c r="BW446" i="4"/>
  <c r="BN446" i="4"/>
  <c r="AV446" i="4"/>
  <c r="G446" i="4"/>
  <c r="E446" i="4"/>
  <c r="D446" i="4"/>
  <c r="AY446" i="4" s="1"/>
  <c r="C446" i="4"/>
  <c r="CG445" i="4"/>
  <c r="CF445" i="4"/>
  <c r="CD445" i="4"/>
  <c r="CA445" i="4"/>
  <c r="BZ445" i="4"/>
  <c r="AV445" i="4"/>
  <c r="H445" i="4"/>
  <c r="G445" i="4"/>
  <c r="F445" i="4"/>
  <c r="E445" i="4"/>
  <c r="D445" i="4"/>
  <c r="AY445" i="4" s="1"/>
  <c r="C445" i="4"/>
  <c r="CG444" i="4"/>
  <c r="CF444" i="4"/>
  <c r="CE444" i="4"/>
  <c r="CD444" i="4"/>
  <c r="CC444" i="4"/>
  <c r="CB444" i="4"/>
  <c r="CA444" i="4"/>
  <c r="BZ444" i="4"/>
  <c r="BY444" i="4"/>
  <c r="BW444" i="4"/>
  <c r="BV444" i="4"/>
  <c r="BX444" i="4" s="1"/>
  <c r="AY444" i="4"/>
  <c r="AV444" i="4"/>
  <c r="H444" i="4"/>
  <c r="G444" i="4"/>
  <c r="E444" i="4"/>
  <c r="D444" i="4"/>
  <c r="C444" i="4"/>
  <c r="CG443" i="4"/>
  <c r="CF443" i="4"/>
  <c r="CB443" i="4" s="1"/>
  <c r="CE443" i="4" s="1"/>
  <c r="CC443" i="4"/>
  <c r="BV443" i="4" s="1"/>
  <c r="BX443" i="4" s="1"/>
  <c r="CA443" i="4"/>
  <c r="BZ443" i="4"/>
  <c r="BY443" i="4"/>
  <c r="BW443" i="4"/>
  <c r="AV443" i="4"/>
  <c r="G443" i="4"/>
  <c r="E443" i="4"/>
  <c r="D443" i="4"/>
  <c r="AY443" i="4" s="1"/>
  <c r="C443" i="4"/>
  <c r="CF442" i="4"/>
  <c r="CA442" i="4"/>
  <c r="BZ442" i="4"/>
  <c r="BY442" i="4"/>
  <c r="BW442" i="4"/>
  <c r="CG441" i="4"/>
  <c r="CF441" i="4"/>
  <c r="CE441" i="4"/>
  <c r="CD441" i="4"/>
  <c r="CC441" i="4"/>
  <c r="CB441" i="4"/>
  <c r="CA441" i="4"/>
  <c r="BZ441" i="4"/>
  <c r="BV441" i="4"/>
  <c r="AV441" i="4"/>
  <c r="G441" i="4"/>
  <c r="F441" i="4"/>
  <c r="E441" i="4"/>
  <c r="D441" i="4"/>
  <c r="AY441" i="4" s="1"/>
  <c r="C441" i="4"/>
  <c r="CG440" i="4"/>
  <c r="CF440" i="4"/>
  <c r="CD440" i="4"/>
  <c r="CB440" i="4"/>
  <c r="CE440" i="4" s="1"/>
  <c r="CA440" i="4"/>
  <c r="BZ440" i="4"/>
  <c r="BY440" i="4"/>
  <c r="AV440" i="4"/>
  <c r="H440" i="4"/>
  <c r="H441" i="4" s="1"/>
  <c r="BW441" i="4" s="1"/>
  <c r="G440" i="4"/>
  <c r="F440" i="4"/>
  <c r="BW440" i="4" s="1"/>
  <c r="E440" i="4"/>
  <c r="D440" i="4"/>
  <c r="AY440" i="4" s="1"/>
  <c r="C440" i="4"/>
  <c r="CG439" i="4"/>
  <c r="CF439" i="4"/>
  <c r="CD439" i="4" s="1"/>
  <c r="CB439" i="4"/>
  <c r="CE439" i="4" s="1"/>
  <c r="CA439" i="4"/>
  <c r="BZ439" i="4"/>
  <c r="BY439" i="4"/>
  <c r="BW439" i="4"/>
  <c r="AV439" i="4"/>
  <c r="H439" i="4"/>
  <c r="G439" i="4"/>
  <c r="E439" i="4"/>
  <c r="D439" i="4"/>
  <c r="AY439" i="4" s="1"/>
  <c r="C439" i="4"/>
  <c r="CG438" i="4"/>
  <c r="CF438" i="4"/>
  <c r="CB438" i="4" s="1"/>
  <c r="CE438" i="4"/>
  <c r="CD438" i="4"/>
  <c r="CA438" i="4"/>
  <c r="BZ438" i="4"/>
  <c r="AV438" i="4"/>
  <c r="G438" i="4"/>
  <c r="E438" i="4"/>
  <c r="D438" i="4"/>
  <c r="AY438" i="4" s="1"/>
  <c r="C438" i="4"/>
  <c r="CG437" i="4"/>
  <c r="CF437" i="4"/>
  <c r="CD437" i="4" s="1"/>
  <c r="CB437" i="4"/>
  <c r="CA437" i="4"/>
  <c r="BZ437" i="4"/>
  <c r="AV437" i="4"/>
  <c r="H437" i="4"/>
  <c r="H438" i="4" s="1"/>
  <c r="G437" i="4"/>
  <c r="F437" i="4"/>
  <c r="BY437" i="4" s="1"/>
  <c r="E437" i="4"/>
  <c r="C437" i="4"/>
  <c r="CG436" i="4"/>
  <c r="CF436" i="4"/>
  <c r="CD436" i="4"/>
  <c r="CC436" i="4"/>
  <c r="BV436" i="4" s="1"/>
  <c r="BX436" i="4" s="1"/>
  <c r="CB436" i="4"/>
  <c r="CE436" i="4" s="1"/>
  <c r="BZ436" i="4"/>
  <c r="BY436" i="4"/>
  <c r="BW436" i="4"/>
  <c r="AV436" i="4"/>
  <c r="H436" i="4"/>
  <c r="G436" i="4"/>
  <c r="E436" i="4"/>
  <c r="D436" i="4" s="1"/>
  <c r="AY436" i="4" s="1"/>
  <c r="C436" i="4"/>
  <c r="CG435" i="4"/>
  <c r="CF435" i="4"/>
  <c r="CD435" i="4" s="1"/>
  <c r="CA435" i="4"/>
  <c r="BZ435" i="4"/>
  <c r="BY435" i="4"/>
  <c r="BW435" i="4"/>
  <c r="AV435" i="4"/>
  <c r="H435" i="4"/>
  <c r="G435" i="4"/>
  <c r="E435" i="4"/>
  <c r="D435" i="4" s="1"/>
  <c r="AY435" i="4" s="1"/>
  <c r="C435" i="4"/>
  <c r="CG434" i="4"/>
  <c r="CF434" i="4"/>
  <c r="CC434" i="4"/>
  <c r="BV434" i="4" s="1"/>
  <c r="BX434" i="4" s="1"/>
  <c r="CA434" i="4"/>
  <c r="BZ434" i="4"/>
  <c r="BY434" i="4"/>
  <c r="BW434" i="4"/>
  <c r="AY434" i="4"/>
  <c r="AV434" i="4"/>
  <c r="H434" i="4"/>
  <c r="G434" i="4"/>
  <c r="E434" i="4"/>
  <c r="D434" i="4"/>
  <c r="C434" i="4"/>
  <c r="CG433" i="4"/>
  <c r="CF433" i="4"/>
  <c r="CB433" i="4" s="1"/>
  <c r="CA433" i="4"/>
  <c r="BZ433" i="4"/>
  <c r="CE433" i="4" s="1"/>
  <c r="BY433" i="4"/>
  <c r="BW433" i="4"/>
  <c r="AV433" i="4"/>
  <c r="E433" i="4"/>
  <c r="D433" i="4"/>
  <c r="AY433" i="4" s="1"/>
  <c r="C433" i="4"/>
  <c r="CG432" i="4"/>
  <c r="CF432" i="4"/>
  <c r="CC432" i="4" s="1"/>
  <c r="BV432" i="4" s="1"/>
  <c r="BX432" i="4" s="1"/>
  <c r="CA432" i="4"/>
  <c r="BZ432" i="4"/>
  <c r="BY432" i="4"/>
  <c r="BW432" i="4"/>
  <c r="AV432" i="4"/>
  <c r="E432" i="4"/>
  <c r="D432" i="4"/>
  <c r="AY432" i="4" s="1"/>
  <c r="C432" i="4"/>
  <c r="CG431" i="4"/>
  <c r="CF431" i="4"/>
  <c r="CD431" i="4" s="1"/>
  <c r="CC431" i="4"/>
  <c r="BV431" i="4" s="1"/>
  <c r="CA431" i="4"/>
  <c r="BZ431" i="4"/>
  <c r="BY431" i="4"/>
  <c r="BX431" i="4"/>
  <c r="BW431" i="4"/>
  <c r="AV431" i="4"/>
  <c r="E431" i="4"/>
  <c r="D431" i="4"/>
  <c r="AY431" i="4" s="1"/>
  <c r="C431" i="4"/>
  <c r="CG430" i="4"/>
  <c r="CF430" i="4"/>
  <c r="CD430" i="4" s="1"/>
  <c r="CC430" i="4"/>
  <c r="BV430" i="4" s="1"/>
  <c r="BX430" i="4" s="1"/>
  <c r="CA430" i="4"/>
  <c r="BZ430" i="4"/>
  <c r="BY430" i="4"/>
  <c r="BW430" i="4"/>
  <c r="AV430" i="4"/>
  <c r="E430" i="4"/>
  <c r="D430" i="4"/>
  <c r="AY430" i="4" s="1"/>
  <c r="C430" i="4"/>
  <c r="CG429" i="4"/>
  <c r="CF429" i="4"/>
  <c r="CD429" i="4"/>
  <c r="CC429" i="4"/>
  <c r="CB429" i="4"/>
  <c r="CA429" i="4"/>
  <c r="BZ429" i="4"/>
  <c r="CE429" i="4" s="1"/>
  <c r="BY429" i="4"/>
  <c r="BW429" i="4"/>
  <c r="BV429" i="4"/>
  <c r="BX429" i="4" s="1"/>
  <c r="AV429" i="4"/>
  <c r="E429" i="4"/>
  <c r="D429" i="4"/>
  <c r="AY429" i="4" s="1"/>
  <c r="C429" i="4"/>
  <c r="CG428" i="4"/>
  <c r="CF428" i="4"/>
  <c r="CC428" i="4" s="1"/>
  <c r="BV428" i="4" s="1"/>
  <c r="BX428" i="4" s="1"/>
  <c r="CE428" i="4"/>
  <c r="CB428" i="4"/>
  <c r="CA428" i="4"/>
  <c r="BZ428" i="4"/>
  <c r="BY428" i="4"/>
  <c r="BW428" i="4"/>
  <c r="AV428" i="4"/>
  <c r="E428" i="4"/>
  <c r="D428" i="4"/>
  <c r="AY428" i="4" s="1"/>
  <c r="C428" i="4"/>
  <c r="CG427" i="4"/>
  <c r="CF427" i="4"/>
  <c r="CD427" i="4" s="1"/>
  <c r="CA427" i="4"/>
  <c r="BZ427" i="4"/>
  <c r="BY427" i="4"/>
  <c r="BW427" i="4"/>
  <c r="AV427" i="4"/>
  <c r="E427" i="4"/>
  <c r="D427" i="4"/>
  <c r="AY427" i="4" s="1"/>
  <c r="C427" i="4"/>
  <c r="CG426" i="4"/>
  <c r="CF426" i="4"/>
  <c r="CD426" i="4"/>
  <c r="CC426" i="4"/>
  <c r="BV426" i="4" s="1"/>
  <c r="BX426" i="4" s="1"/>
  <c r="CB426" i="4"/>
  <c r="CA426" i="4"/>
  <c r="BZ426" i="4"/>
  <c r="CE426" i="4" s="1"/>
  <c r="BY426" i="4"/>
  <c r="BW426" i="4"/>
  <c r="AV426" i="4"/>
  <c r="E426" i="4"/>
  <c r="D426" i="4"/>
  <c r="AY426" i="4" s="1"/>
  <c r="C426" i="4"/>
  <c r="CG425" i="4"/>
  <c r="CF425" i="4"/>
  <c r="CD425" i="4"/>
  <c r="CC425" i="4"/>
  <c r="BV425" i="4" s="1"/>
  <c r="BX425" i="4" s="1"/>
  <c r="CB425" i="4"/>
  <c r="CA425" i="4"/>
  <c r="BZ425" i="4"/>
  <c r="CE425" i="4" s="1"/>
  <c r="BY425" i="4"/>
  <c r="BW425" i="4"/>
  <c r="AV425" i="4"/>
  <c r="E425" i="4"/>
  <c r="D425" i="4"/>
  <c r="AY425" i="4" s="1"/>
  <c r="C425" i="4"/>
  <c r="CG424" i="4"/>
  <c r="CF424" i="4"/>
  <c r="CB424" i="4" s="1"/>
  <c r="CE424" i="4" s="1"/>
  <c r="CD424" i="4"/>
  <c r="CC424" i="4"/>
  <c r="CA424" i="4"/>
  <c r="BZ424" i="4"/>
  <c r="BY424" i="4"/>
  <c r="BW424" i="4"/>
  <c r="BV424" i="4"/>
  <c r="BX424" i="4" s="1"/>
  <c r="AV424" i="4"/>
  <c r="E424" i="4"/>
  <c r="D424" i="4"/>
  <c r="AY424" i="4" s="1"/>
  <c r="C424" i="4"/>
  <c r="CG423" i="4"/>
  <c r="CF423" i="4"/>
  <c r="CD423" i="4" s="1"/>
  <c r="CB423" i="4"/>
  <c r="CE423" i="4" s="1"/>
  <c r="CA423" i="4"/>
  <c r="BZ423" i="4"/>
  <c r="BY423" i="4"/>
  <c r="BW423" i="4"/>
  <c r="AV423" i="4"/>
  <c r="E423" i="4"/>
  <c r="D423" i="4"/>
  <c r="AY423" i="4" s="1"/>
  <c r="C423" i="4"/>
  <c r="CG422" i="4"/>
  <c r="CF422" i="4"/>
  <c r="CC422" i="4"/>
  <c r="BV422" i="4" s="1"/>
  <c r="BX422" i="4" s="1"/>
  <c r="CA422" i="4"/>
  <c r="BZ422" i="4"/>
  <c r="BY422" i="4"/>
  <c r="BW422" i="4"/>
  <c r="AV422" i="4"/>
  <c r="E422" i="4"/>
  <c r="D422" i="4"/>
  <c r="AY422" i="4" s="1"/>
  <c r="C422" i="4"/>
  <c r="CG421" i="4"/>
  <c r="CF421" i="4"/>
  <c r="CB421" i="4" s="1"/>
  <c r="CD421" i="4"/>
  <c r="CA421" i="4"/>
  <c r="BZ421" i="4"/>
  <c r="BY421" i="4"/>
  <c r="BW421" i="4"/>
  <c r="AV421" i="4"/>
  <c r="E421" i="4"/>
  <c r="D421" i="4"/>
  <c r="AY421" i="4" s="1"/>
  <c r="C421" i="4"/>
  <c r="CG420" i="4"/>
  <c r="CF420" i="4"/>
  <c r="CC420" i="4" s="1"/>
  <c r="BV420" i="4" s="1"/>
  <c r="BX420" i="4" s="1"/>
  <c r="CE420" i="4"/>
  <c r="CB420" i="4"/>
  <c r="CA420" i="4"/>
  <c r="BZ420" i="4"/>
  <c r="BY420" i="4"/>
  <c r="BW420" i="4"/>
  <c r="AV420" i="4"/>
  <c r="E420" i="4"/>
  <c r="D420" i="4"/>
  <c r="AY420" i="4" s="1"/>
  <c r="C420" i="4"/>
  <c r="CG419" i="4"/>
  <c r="CF419" i="4"/>
  <c r="CD419" i="4" s="1"/>
  <c r="CA419" i="4"/>
  <c r="BZ419" i="4"/>
  <c r="BY419" i="4"/>
  <c r="BW419" i="4"/>
  <c r="BN419" i="4"/>
  <c r="AV419" i="4"/>
  <c r="H419" i="4"/>
  <c r="G419" i="4"/>
  <c r="E419" i="4"/>
  <c r="D419" i="4" s="1"/>
  <c r="AY419" i="4" s="1"/>
  <c r="C419" i="4"/>
  <c r="CG418" i="4"/>
  <c r="CF418" i="4"/>
  <c r="CC418" i="4" s="1"/>
  <c r="BV418" i="4" s="1"/>
  <c r="BX418" i="4" s="1"/>
  <c r="CD418" i="4"/>
  <c r="CB418" i="4"/>
  <c r="CE418" i="4" s="1"/>
  <c r="CA418" i="4"/>
  <c r="BZ418" i="4"/>
  <c r="BY418" i="4"/>
  <c r="BW418" i="4"/>
  <c r="AV418" i="4"/>
  <c r="E418" i="4"/>
  <c r="D418" i="4"/>
  <c r="AY418" i="4" s="1"/>
  <c r="C418" i="4"/>
  <c r="CG417" i="4"/>
  <c r="CF417" i="4"/>
  <c r="CC417" i="4"/>
  <c r="BV417" i="4" s="1"/>
  <c r="BX417" i="4" s="1"/>
  <c r="CA417" i="4"/>
  <c r="BZ417" i="4"/>
  <c r="BY417" i="4"/>
  <c r="BW417" i="4"/>
  <c r="AV417" i="4"/>
  <c r="E417" i="4"/>
  <c r="D417" i="4"/>
  <c r="AY417" i="4" s="1"/>
  <c r="C417" i="4"/>
  <c r="CG416" i="4"/>
  <c r="CF416" i="4"/>
  <c r="CB416" i="4" s="1"/>
  <c r="CD416" i="4"/>
  <c r="CA416" i="4"/>
  <c r="BZ416" i="4"/>
  <c r="BY416" i="4"/>
  <c r="BW416" i="4"/>
  <c r="AV416" i="4"/>
  <c r="E416" i="4"/>
  <c r="D416" i="4"/>
  <c r="AY416" i="4" s="1"/>
  <c r="C416" i="4"/>
  <c r="CG415" i="4"/>
  <c r="CF415" i="4"/>
  <c r="CC415" i="4" s="1"/>
  <c r="BV415" i="4" s="1"/>
  <c r="BX415" i="4" s="1"/>
  <c r="CE415" i="4"/>
  <c r="CB415" i="4"/>
  <c r="CA415" i="4"/>
  <c r="BZ415" i="4"/>
  <c r="BY415" i="4"/>
  <c r="BW415" i="4"/>
  <c r="AV415" i="4"/>
  <c r="E415" i="4"/>
  <c r="D415" i="4"/>
  <c r="AY415" i="4" s="1"/>
  <c r="C415" i="4"/>
  <c r="CG414" i="4"/>
  <c r="CF414" i="4"/>
  <c r="CD414" i="4" s="1"/>
  <c r="CA414" i="4"/>
  <c r="BZ414" i="4"/>
  <c r="BY414" i="4"/>
  <c r="BW414" i="4"/>
  <c r="AV414" i="4"/>
  <c r="H414" i="4"/>
  <c r="G414" i="4"/>
  <c r="E414" i="4"/>
  <c r="D414" i="4"/>
  <c r="AY414" i="4" s="1"/>
  <c r="C414" i="4"/>
  <c r="CG413" i="4"/>
  <c r="CF413" i="4"/>
  <c r="CB413" i="4" s="1"/>
  <c r="CE413" i="4" s="1"/>
  <c r="CD413" i="4"/>
  <c r="CC413" i="4"/>
  <c r="CA413" i="4"/>
  <c r="BZ413" i="4"/>
  <c r="BY413" i="4"/>
  <c r="BW413" i="4"/>
  <c r="BV413" i="4"/>
  <c r="BX413" i="4" s="1"/>
  <c r="AV413" i="4"/>
  <c r="G413" i="4"/>
  <c r="E413" i="4"/>
  <c r="D413" i="4"/>
  <c r="AY413" i="4" s="1"/>
  <c r="C413" i="4"/>
  <c r="CG412" i="4"/>
  <c r="CF412" i="4"/>
  <c r="CC412" i="4"/>
  <c r="BV412" i="4" s="1"/>
  <c r="BX412" i="4" s="1"/>
  <c r="CA412" i="4"/>
  <c r="BZ412" i="4"/>
  <c r="BY412" i="4"/>
  <c r="BW412" i="4"/>
  <c r="AV412" i="4"/>
  <c r="G412" i="4"/>
  <c r="E412" i="4"/>
  <c r="D412" i="4"/>
  <c r="AY412" i="4" s="1"/>
  <c r="C412" i="4"/>
  <c r="CG411" i="4"/>
  <c r="CF411" i="4"/>
  <c r="CC411" i="4" s="1"/>
  <c r="BV411" i="4" s="1"/>
  <c r="BX411" i="4" s="1"/>
  <c r="CE411" i="4"/>
  <c r="CB411" i="4"/>
  <c r="CA411" i="4"/>
  <c r="BZ411" i="4"/>
  <c r="BY411" i="4"/>
  <c r="BW411" i="4"/>
  <c r="AV411" i="4"/>
  <c r="G411" i="4"/>
  <c r="E411" i="4"/>
  <c r="D411" i="4"/>
  <c r="AY411" i="4" s="1"/>
  <c r="C411" i="4"/>
  <c r="CG410" i="4"/>
  <c r="CF410" i="4"/>
  <c r="CD410" i="4"/>
  <c r="CC410" i="4"/>
  <c r="BV410" i="4" s="1"/>
  <c r="BX410" i="4" s="1"/>
  <c r="CB410" i="4"/>
  <c r="CA410" i="4"/>
  <c r="BZ410" i="4"/>
  <c r="CE410" i="4" s="1"/>
  <c r="BY410" i="4"/>
  <c r="BW410" i="4"/>
  <c r="AV410" i="4"/>
  <c r="G410" i="4"/>
  <c r="E410" i="4"/>
  <c r="D410" i="4"/>
  <c r="AY410" i="4" s="1"/>
  <c r="C410" i="4"/>
  <c r="CG409" i="4"/>
  <c r="CF409" i="4"/>
  <c r="CB409" i="4" s="1"/>
  <c r="CE409" i="4" s="1"/>
  <c r="CD409" i="4"/>
  <c r="CC409" i="4"/>
  <c r="BV409" i="4" s="1"/>
  <c r="BX409" i="4" s="1"/>
  <c r="CA409" i="4"/>
  <c r="BZ409" i="4"/>
  <c r="BY409" i="4"/>
  <c r="BW409" i="4"/>
  <c r="AV409" i="4"/>
  <c r="G409" i="4"/>
  <c r="E409" i="4"/>
  <c r="D409" i="4"/>
  <c r="AY409" i="4" s="1"/>
  <c r="C409" i="4"/>
  <c r="CG408" i="4"/>
  <c r="CF408" i="4"/>
  <c r="CD408" i="4" s="1"/>
  <c r="CC408" i="4"/>
  <c r="BV408" i="4" s="1"/>
  <c r="BX408" i="4" s="1"/>
  <c r="CA408" i="4"/>
  <c r="BZ408" i="4"/>
  <c r="BY408" i="4"/>
  <c r="BW408" i="4"/>
  <c r="AV408" i="4"/>
  <c r="G408" i="4"/>
  <c r="E408" i="4"/>
  <c r="D408" i="4"/>
  <c r="AY408" i="4" s="1"/>
  <c r="C408" i="4"/>
  <c r="CG407" i="4"/>
  <c r="CF407" i="4"/>
  <c r="CD407" i="4" s="1"/>
  <c r="CE407" i="4"/>
  <c r="CC407" i="4"/>
  <c r="BV407" i="4" s="1"/>
  <c r="BX407" i="4" s="1"/>
  <c r="CB407" i="4"/>
  <c r="CA407" i="4"/>
  <c r="BZ407" i="4"/>
  <c r="BY407" i="4"/>
  <c r="BW407" i="4"/>
  <c r="AV407" i="4"/>
  <c r="G407" i="4"/>
  <c r="E407" i="4"/>
  <c r="D407" i="4"/>
  <c r="AY407" i="4" s="1"/>
  <c r="C407" i="4"/>
  <c r="CG406" i="4"/>
  <c r="CF406" i="4"/>
  <c r="CD406" i="4"/>
  <c r="CC406" i="4"/>
  <c r="BV406" i="4" s="1"/>
  <c r="BX406" i="4" s="1"/>
  <c r="CB406" i="4"/>
  <c r="CE406" i="4" s="1"/>
  <c r="CA406" i="4"/>
  <c r="BZ406" i="4"/>
  <c r="BY406" i="4"/>
  <c r="BW406" i="4"/>
  <c r="AV406" i="4"/>
  <c r="G406" i="4"/>
  <c r="E406" i="4"/>
  <c r="D406" i="4"/>
  <c r="AY406" i="4" s="1"/>
  <c r="C406" i="4"/>
  <c r="CG405" i="4"/>
  <c r="CF405" i="4"/>
  <c r="CB405" i="4" s="1"/>
  <c r="CE405" i="4" s="1"/>
  <c r="CD405" i="4"/>
  <c r="CC405" i="4"/>
  <c r="BV405" i="4" s="1"/>
  <c r="BX405" i="4" s="1"/>
  <c r="CA405" i="4"/>
  <c r="BZ405" i="4"/>
  <c r="BY405" i="4"/>
  <c r="BW405" i="4"/>
  <c r="AV405" i="4"/>
  <c r="G405" i="4"/>
  <c r="E405" i="4"/>
  <c r="D405" i="4"/>
  <c r="AY405" i="4" s="1"/>
  <c r="C405" i="4"/>
  <c r="CG404" i="4"/>
  <c r="CF404" i="4"/>
  <c r="CD404" i="4" s="1"/>
  <c r="CC404" i="4"/>
  <c r="BV404" i="4" s="1"/>
  <c r="BX404" i="4" s="1"/>
  <c r="CA404" i="4"/>
  <c r="BZ404" i="4"/>
  <c r="BY404" i="4"/>
  <c r="BW404" i="4"/>
  <c r="AV404" i="4"/>
  <c r="G404" i="4"/>
  <c r="E404" i="4"/>
  <c r="D404" i="4"/>
  <c r="AY404" i="4" s="1"/>
  <c r="C404" i="4"/>
  <c r="CG403" i="4"/>
  <c r="CF403" i="4"/>
  <c r="CD403" i="4" s="1"/>
  <c r="CE403" i="4"/>
  <c r="CC403" i="4"/>
  <c r="BV403" i="4" s="1"/>
  <c r="BX403" i="4" s="1"/>
  <c r="CB403" i="4"/>
  <c r="CA403" i="4"/>
  <c r="BZ403" i="4"/>
  <c r="BY403" i="4"/>
  <c r="BW403" i="4"/>
  <c r="BN403" i="4"/>
  <c r="AV403" i="4"/>
  <c r="G403" i="4"/>
  <c r="E403" i="4"/>
  <c r="D403" i="4"/>
  <c r="AY403" i="4" s="1"/>
  <c r="C403" i="4"/>
  <c r="CG402" i="4"/>
  <c r="CF402" i="4"/>
  <c r="CD402" i="4"/>
  <c r="CC402" i="4"/>
  <c r="CB402" i="4"/>
  <c r="CA402" i="4"/>
  <c r="BZ402" i="4"/>
  <c r="CE402" i="4" s="1"/>
  <c r="BY402" i="4"/>
  <c r="BW402" i="4"/>
  <c r="BV402" i="4"/>
  <c r="BX402" i="4" s="1"/>
  <c r="AY402" i="4"/>
  <c r="AV402" i="4"/>
  <c r="H402" i="4"/>
  <c r="G402" i="4"/>
  <c r="E402" i="4"/>
  <c r="D402" i="4"/>
  <c r="C402" i="4"/>
  <c r="CG401" i="4"/>
  <c r="CF401" i="4"/>
  <c r="CD401" i="4" s="1"/>
  <c r="CC401" i="4"/>
  <c r="BV401" i="4" s="1"/>
  <c r="BX401" i="4" s="1"/>
  <c r="CA401" i="4"/>
  <c r="BZ401" i="4"/>
  <c r="BY401" i="4"/>
  <c r="BW401" i="4"/>
  <c r="AV401" i="4"/>
  <c r="S401" i="4"/>
  <c r="G401" i="4"/>
  <c r="E401" i="4"/>
  <c r="D401" i="4"/>
  <c r="AY401" i="4" s="1"/>
  <c r="C401" i="4"/>
  <c r="CG400" i="4"/>
  <c r="CF400" i="4"/>
  <c r="CD400" i="4" s="1"/>
  <c r="CA400" i="4"/>
  <c r="BZ400" i="4"/>
  <c r="BY400" i="4"/>
  <c r="BW400" i="4"/>
  <c r="AV400" i="4"/>
  <c r="S400" i="4"/>
  <c r="G400" i="4"/>
  <c r="E400" i="4"/>
  <c r="D400" i="4"/>
  <c r="AY400" i="4" s="1"/>
  <c r="C400" i="4"/>
  <c r="CG399" i="4"/>
  <c r="CF399" i="4"/>
  <c r="CB399" i="4" s="1"/>
  <c r="CE399" i="4" s="1"/>
  <c r="CD399" i="4"/>
  <c r="CC399" i="4"/>
  <c r="BV399" i="4" s="1"/>
  <c r="BX399" i="4" s="1"/>
  <c r="CA399" i="4"/>
  <c r="BZ399" i="4"/>
  <c r="BY399" i="4"/>
  <c r="BW399" i="4"/>
  <c r="AV399" i="4"/>
  <c r="S399" i="4"/>
  <c r="G399" i="4"/>
  <c r="E399" i="4"/>
  <c r="D399" i="4"/>
  <c r="AY399" i="4" s="1"/>
  <c r="C399" i="4"/>
  <c r="CG398" i="4"/>
  <c r="CF398" i="4"/>
  <c r="CB398" i="4" s="1"/>
  <c r="CD398" i="4"/>
  <c r="CA398" i="4"/>
  <c r="BZ398" i="4"/>
  <c r="BY398" i="4"/>
  <c r="BW398" i="4"/>
  <c r="AV398" i="4"/>
  <c r="S398" i="4"/>
  <c r="G398" i="4"/>
  <c r="E398" i="4"/>
  <c r="D398" i="4"/>
  <c r="AY398" i="4" s="1"/>
  <c r="C398" i="4"/>
  <c r="CG397" i="4"/>
  <c r="CF397" i="4"/>
  <c r="CD397" i="4"/>
  <c r="CC397" i="4"/>
  <c r="BV397" i="4" s="1"/>
  <c r="BX397" i="4" s="1"/>
  <c r="CB397" i="4"/>
  <c r="CE397" i="4" s="1"/>
  <c r="CA397" i="4"/>
  <c r="BZ397" i="4"/>
  <c r="BY397" i="4"/>
  <c r="BW397" i="4"/>
  <c r="AV397" i="4"/>
  <c r="S397" i="4"/>
  <c r="G397" i="4"/>
  <c r="E397" i="4"/>
  <c r="D397" i="4"/>
  <c r="AY397" i="4" s="1"/>
  <c r="C397" i="4"/>
  <c r="CG396" i="4"/>
  <c r="CF396" i="4"/>
  <c r="CB396" i="4"/>
  <c r="CA396" i="4"/>
  <c r="BZ396" i="4"/>
  <c r="BY396" i="4"/>
  <c r="BW396" i="4"/>
  <c r="AV396" i="4"/>
  <c r="H396" i="4"/>
  <c r="G396" i="4"/>
  <c r="E396" i="4"/>
  <c r="D396" i="4"/>
  <c r="AY396" i="4" s="1"/>
  <c r="C396" i="4"/>
  <c r="CG395" i="4"/>
  <c r="CF395" i="4"/>
  <c r="CB395" i="4" s="1"/>
  <c r="CE395" i="4" s="1"/>
  <c r="CC395" i="4"/>
  <c r="BV395" i="4" s="1"/>
  <c r="CA395" i="4"/>
  <c r="BZ395" i="4"/>
  <c r="BY395" i="4"/>
  <c r="BW395" i="4"/>
  <c r="AV395" i="4"/>
  <c r="S395" i="4"/>
  <c r="G395" i="4"/>
  <c r="E395" i="4"/>
  <c r="D395" i="4"/>
  <c r="AY395" i="4" s="1"/>
  <c r="C395" i="4"/>
  <c r="CG394" i="4"/>
  <c r="CF394" i="4"/>
  <c r="CD394" i="4"/>
  <c r="CC394" i="4"/>
  <c r="CB394" i="4"/>
  <c r="CA394" i="4"/>
  <c r="BZ394" i="4"/>
  <c r="CE394" i="4" s="1"/>
  <c r="BY394" i="4"/>
  <c r="BW394" i="4"/>
  <c r="BV394" i="4"/>
  <c r="BX394" i="4" s="1"/>
  <c r="AV394" i="4"/>
  <c r="S394" i="4"/>
  <c r="G394" i="4"/>
  <c r="E394" i="4"/>
  <c r="D394" i="4"/>
  <c r="AY394" i="4" s="1"/>
  <c r="C394" i="4"/>
  <c r="CG393" i="4"/>
  <c r="CF393" i="4"/>
  <c r="CD393" i="4" s="1"/>
  <c r="CC393" i="4"/>
  <c r="BV393" i="4" s="1"/>
  <c r="BX393" i="4" s="1"/>
  <c r="CA393" i="4"/>
  <c r="BZ393" i="4"/>
  <c r="BY393" i="4"/>
  <c r="BW393" i="4"/>
  <c r="AV393" i="4"/>
  <c r="S393" i="4"/>
  <c r="G393" i="4"/>
  <c r="E393" i="4"/>
  <c r="D393" i="4"/>
  <c r="AY393" i="4" s="1"/>
  <c r="C393" i="4"/>
  <c r="CG392" i="4"/>
  <c r="CF392" i="4"/>
  <c r="CB392" i="4" s="1"/>
  <c r="CA392" i="4"/>
  <c r="BZ392" i="4"/>
  <c r="BY392" i="4"/>
  <c r="BW392" i="4"/>
  <c r="AV392" i="4"/>
  <c r="S392" i="4"/>
  <c r="G392" i="4"/>
  <c r="E392" i="4"/>
  <c r="D392" i="4"/>
  <c r="AY392" i="4" s="1"/>
  <c r="C392" i="4"/>
  <c r="CG391" i="4"/>
  <c r="CF391" i="4"/>
  <c r="CE391" i="4"/>
  <c r="CD391" i="4"/>
  <c r="CC391" i="4"/>
  <c r="BV391" i="4" s="1"/>
  <c r="CB391" i="4"/>
  <c r="CA391" i="4"/>
  <c r="BZ391" i="4"/>
  <c r="BY391" i="4"/>
  <c r="BW391" i="4"/>
  <c r="AV391" i="4"/>
  <c r="S391" i="4"/>
  <c r="G391" i="4"/>
  <c r="E391" i="4"/>
  <c r="D391" i="4"/>
  <c r="AY391" i="4" s="1"/>
  <c r="C391" i="4"/>
  <c r="CG390" i="4"/>
  <c r="CF390" i="4"/>
  <c r="CD390" i="4"/>
  <c r="CA390" i="4"/>
  <c r="BZ390" i="4"/>
  <c r="BY390" i="4"/>
  <c r="BW390" i="4"/>
  <c r="AV390" i="4"/>
  <c r="S390" i="4"/>
  <c r="G390" i="4"/>
  <c r="E390" i="4"/>
  <c r="D390" i="4"/>
  <c r="AY390" i="4" s="1"/>
  <c r="C390" i="4"/>
  <c r="CG389" i="4"/>
  <c r="CF389" i="4"/>
  <c r="CD389" i="4"/>
  <c r="CC389" i="4"/>
  <c r="BV389" i="4" s="1"/>
  <c r="BX389" i="4" s="1"/>
  <c r="CB389" i="4"/>
  <c r="CE389" i="4" s="1"/>
  <c r="CA389" i="4"/>
  <c r="BZ389" i="4"/>
  <c r="BY389" i="4"/>
  <c r="BW389" i="4"/>
  <c r="AV389" i="4"/>
  <c r="S389" i="4"/>
  <c r="G389" i="4"/>
  <c r="E389" i="4"/>
  <c r="D389" i="4"/>
  <c r="AY389" i="4" s="1"/>
  <c r="C389" i="4"/>
  <c r="CG388" i="4"/>
  <c r="CF388" i="4"/>
  <c r="CC388" i="4" s="1"/>
  <c r="CB388" i="4"/>
  <c r="CA388" i="4"/>
  <c r="BZ388" i="4"/>
  <c r="BY388" i="4"/>
  <c r="BW388" i="4"/>
  <c r="BV388" i="4"/>
  <c r="BX388" i="4" s="1"/>
  <c r="AV388" i="4"/>
  <c r="H388" i="4"/>
  <c r="G388" i="4"/>
  <c r="E388" i="4"/>
  <c r="D388" i="4"/>
  <c r="AY388" i="4" s="1"/>
  <c r="C388" i="4"/>
  <c r="CG387" i="4"/>
  <c r="CF387" i="4"/>
  <c r="CB387" i="4" s="1"/>
  <c r="CE387" i="4" s="1"/>
  <c r="CC387" i="4"/>
  <c r="BV387" i="4" s="1"/>
  <c r="BX387" i="4" s="1"/>
  <c r="CA387" i="4"/>
  <c r="BZ387" i="4"/>
  <c r="BY387" i="4"/>
  <c r="BW387" i="4"/>
  <c r="AV387" i="4"/>
  <c r="H387" i="4"/>
  <c r="G387" i="4"/>
  <c r="E387" i="4"/>
  <c r="D387" i="4" s="1"/>
  <c r="AY387" i="4" s="1"/>
  <c r="C387" i="4"/>
  <c r="CG386" i="4"/>
  <c r="CF386" i="4"/>
  <c r="CC386" i="4" s="1"/>
  <c r="CD386" i="4"/>
  <c r="CB386" i="4"/>
  <c r="CA386" i="4"/>
  <c r="BZ386" i="4"/>
  <c r="BY386" i="4"/>
  <c r="BW386" i="4"/>
  <c r="BV386" i="4"/>
  <c r="BX386" i="4" s="1"/>
  <c r="AV386" i="4"/>
  <c r="H386" i="4"/>
  <c r="G386" i="4"/>
  <c r="E386" i="4"/>
  <c r="D386" i="4"/>
  <c r="AY386" i="4" s="1"/>
  <c r="C386" i="4"/>
  <c r="CG385" i="4"/>
  <c r="CF385" i="4"/>
  <c r="CD385" i="4" s="1"/>
  <c r="CC385" i="4"/>
  <c r="BV385" i="4" s="1"/>
  <c r="CA385" i="4"/>
  <c r="BZ385" i="4"/>
  <c r="BY385" i="4"/>
  <c r="BW385" i="4"/>
  <c r="AY385" i="4"/>
  <c r="AV385" i="4"/>
  <c r="H385" i="4"/>
  <c r="G385" i="4"/>
  <c r="E385" i="4"/>
  <c r="D385" i="4" s="1"/>
  <c r="C385" i="4"/>
  <c r="CG384" i="4"/>
  <c r="CF384" i="4"/>
  <c r="CB384" i="4" s="1"/>
  <c r="CA384" i="4"/>
  <c r="BZ384" i="4"/>
  <c r="BY384" i="4"/>
  <c r="BW384" i="4"/>
  <c r="AV384" i="4"/>
  <c r="H384" i="4"/>
  <c r="G384" i="4"/>
  <c r="E384" i="4"/>
  <c r="D384" i="4"/>
  <c r="AY384" i="4" s="1"/>
  <c r="C384" i="4"/>
  <c r="CG383" i="4"/>
  <c r="CF383" i="4"/>
  <c r="CE383" i="4"/>
  <c r="CD383" i="4"/>
  <c r="CC383" i="4"/>
  <c r="BV383" i="4" s="1"/>
  <c r="CB383" i="4"/>
  <c r="CA383" i="4"/>
  <c r="BZ383" i="4"/>
  <c r="BY383" i="4"/>
  <c r="BW383" i="4"/>
  <c r="AV383" i="4"/>
  <c r="H383" i="4"/>
  <c r="G383" i="4"/>
  <c r="E383" i="4"/>
  <c r="D383" i="4" s="1"/>
  <c r="AY383" i="4" s="1"/>
  <c r="C383" i="4"/>
  <c r="CG382" i="4"/>
  <c r="CF382" i="4"/>
  <c r="CD382" i="4" s="1"/>
  <c r="CA382" i="4"/>
  <c r="BZ382" i="4"/>
  <c r="BY382" i="4"/>
  <c r="BW382" i="4"/>
  <c r="AV382" i="4"/>
  <c r="E382" i="4"/>
  <c r="D382" i="4"/>
  <c r="AY382" i="4" s="1"/>
  <c r="C382" i="4"/>
  <c r="CG381" i="4"/>
  <c r="CF381" i="4"/>
  <c r="CB381" i="4" s="1"/>
  <c r="CE381" i="4" s="1"/>
  <c r="CC381" i="4"/>
  <c r="BV381" i="4" s="1"/>
  <c r="CA381" i="4"/>
  <c r="BZ381" i="4"/>
  <c r="BY381" i="4"/>
  <c r="BW381" i="4"/>
  <c r="AV381" i="4"/>
  <c r="E381" i="4"/>
  <c r="D381" i="4"/>
  <c r="AY381" i="4" s="1"/>
  <c r="C381" i="4"/>
  <c r="CG380" i="4"/>
  <c r="CF380" i="4"/>
  <c r="CB380" i="4" s="1"/>
  <c r="CA380" i="4"/>
  <c r="BZ380" i="4"/>
  <c r="BY380" i="4"/>
  <c r="BW380" i="4"/>
  <c r="AV380" i="4"/>
  <c r="E380" i="4"/>
  <c r="D380" i="4"/>
  <c r="AY380" i="4" s="1"/>
  <c r="C380" i="4"/>
  <c r="CG379" i="4"/>
  <c r="CF379" i="4"/>
  <c r="CE379" i="4"/>
  <c r="CD379" i="4"/>
  <c r="CC379" i="4"/>
  <c r="BV379" i="4" s="1"/>
  <c r="BX379" i="4" s="1"/>
  <c r="CB379" i="4"/>
  <c r="CA379" i="4"/>
  <c r="BZ379" i="4"/>
  <c r="BY379" i="4"/>
  <c r="BW379" i="4"/>
  <c r="AV379" i="4"/>
  <c r="H379" i="4"/>
  <c r="G379" i="4"/>
  <c r="E379" i="4"/>
  <c r="D379" i="4" s="1"/>
  <c r="AY379" i="4" s="1"/>
  <c r="C379" i="4"/>
  <c r="CG378" i="4"/>
  <c r="CF378" i="4"/>
  <c r="CC378" i="4" s="1"/>
  <c r="CB378" i="4"/>
  <c r="CA378" i="4"/>
  <c r="BZ378" i="4"/>
  <c r="CE378" i="4" s="1"/>
  <c r="BY378" i="4"/>
  <c r="BX378" i="4"/>
  <c r="BW378" i="4"/>
  <c r="BV378" i="4"/>
  <c r="AV378" i="4"/>
  <c r="E378" i="4"/>
  <c r="D378" i="4"/>
  <c r="AY378" i="4" s="1"/>
  <c r="C378" i="4"/>
  <c r="CG377" i="4"/>
  <c r="CF377" i="4"/>
  <c r="CD377" i="4" s="1"/>
  <c r="CC377" i="4"/>
  <c r="BV377" i="4" s="1"/>
  <c r="CA377" i="4"/>
  <c r="BZ377" i="4"/>
  <c r="BY377" i="4"/>
  <c r="BW377" i="4"/>
  <c r="AV377" i="4"/>
  <c r="E377" i="4"/>
  <c r="D377" i="4"/>
  <c r="AY377" i="4" s="1"/>
  <c r="C377" i="4"/>
  <c r="CG376" i="4"/>
  <c r="CF376" i="4"/>
  <c r="CD376" i="4"/>
  <c r="CA376" i="4"/>
  <c r="BZ376" i="4"/>
  <c r="BY376" i="4"/>
  <c r="BW376" i="4"/>
  <c r="AV376" i="4"/>
  <c r="E376" i="4"/>
  <c r="D376" i="4"/>
  <c r="AY376" i="4" s="1"/>
  <c r="C376" i="4"/>
  <c r="CG375" i="4"/>
  <c r="CF375" i="4"/>
  <c r="CB375" i="4" s="1"/>
  <c r="CE375" i="4" s="1"/>
  <c r="CC375" i="4"/>
  <c r="BV375" i="4" s="1"/>
  <c r="CA375" i="4"/>
  <c r="BZ375" i="4"/>
  <c r="BY375" i="4"/>
  <c r="BW375" i="4"/>
  <c r="AV375" i="4"/>
  <c r="E375" i="4"/>
  <c r="D375" i="4"/>
  <c r="AY375" i="4" s="1"/>
  <c r="C375" i="4"/>
  <c r="CG374" i="4"/>
  <c r="CF374" i="4"/>
  <c r="CB374" i="4" s="1"/>
  <c r="CA374" i="4"/>
  <c r="BZ374" i="4"/>
  <c r="BY374" i="4"/>
  <c r="BW374" i="4"/>
  <c r="AV374" i="4"/>
  <c r="H374" i="4"/>
  <c r="G374" i="4"/>
  <c r="E374" i="4"/>
  <c r="D374" i="4"/>
  <c r="AY374" i="4" s="1"/>
  <c r="C374" i="4"/>
  <c r="CG373" i="4"/>
  <c r="CF373" i="4"/>
  <c r="CE373" i="4"/>
  <c r="CD373" i="4"/>
  <c r="CC373" i="4"/>
  <c r="BV373" i="4" s="1"/>
  <c r="BX373" i="4" s="1"/>
  <c r="CB373" i="4"/>
  <c r="CA373" i="4"/>
  <c r="BZ373" i="4"/>
  <c r="BY373" i="4"/>
  <c r="BW373" i="4"/>
  <c r="AY373" i="4"/>
  <c r="AV373" i="4"/>
  <c r="E373" i="4"/>
  <c r="D373" i="4"/>
  <c r="C373" i="4"/>
  <c r="CG372" i="4"/>
  <c r="CF372" i="4"/>
  <c r="CD372" i="4"/>
  <c r="CB372" i="4"/>
  <c r="CA372" i="4"/>
  <c r="BZ372" i="4"/>
  <c r="BY372" i="4"/>
  <c r="BW372" i="4"/>
  <c r="AV372" i="4"/>
  <c r="E372" i="4"/>
  <c r="D372" i="4"/>
  <c r="AY372" i="4" s="1"/>
  <c r="C372" i="4"/>
  <c r="CG371" i="4"/>
  <c r="CF371" i="4"/>
  <c r="CD371" i="4" s="1"/>
  <c r="CC371" i="4"/>
  <c r="BV371" i="4" s="1"/>
  <c r="CA371" i="4"/>
  <c r="BZ371" i="4"/>
  <c r="BY371" i="4"/>
  <c r="BW371" i="4"/>
  <c r="AV371" i="4"/>
  <c r="H371" i="4"/>
  <c r="G371" i="4"/>
  <c r="E371" i="4"/>
  <c r="D371" i="4" s="1"/>
  <c r="AY371" i="4" s="1"/>
  <c r="C371" i="4"/>
  <c r="CG370" i="4"/>
  <c r="CF370" i="4"/>
  <c r="CB370" i="4" s="1"/>
  <c r="CA370" i="4"/>
  <c r="BZ370" i="4"/>
  <c r="BY370" i="4"/>
  <c r="BW370" i="4"/>
  <c r="AV370" i="4"/>
  <c r="E370" i="4"/>
  <c r="D370" i="4"/>
  <c r="AY370" i="4" s="1"/>
  <c r="C370" i="4"/>
  <c r="CG369" i="4"/>
  <c r="CF369" i="4"/>
  <c r="CD369" i="4"/>
  <c r="CC369" i="4"/>
  <c r="BV369" i="4" s="1"/>
  <c r="BX369" i="4" s="1"/>
  <c r="CB369" i="4"/>
  <c r="CE369" i="4" s="1"/>
  <c r="CA369" i="4"/>
  <c r="BZ369" i="4"/>
  <c r="BY369" i="4"/>
  <c r="BW369" i="4"/>
  <c r="AV369" i="4"/>
  <c r="E369" i="4"/>
  <c r="D369" i="4"/>
  <c r="AY369" i="4" s="1"/>
  <c r="C369" i="4"/>
  <c r="CG368" i="4"/>
  <c r="CF368" i="4"/>
  <c r="CD368" i="4"/>
  <c r="CC368" i="4"/>
  <c r="CB368" i="4"/>
  <c r="CA368" i="4"/>
  <c r="BZ368" i="4"/>
  <c r="CE368" i="4" s="1"/>
  <c r="BY368" i="4"/>
  <c r="BW368" i="4"/>
  <c r="BV368" i="4"/>
  <c r="BX368" i="4" s="1"/>
  <c r="AV368" i="4"/>
  <c r="E368" i="4"/>
  <c r="D368" i="4"/>
  <c r="AY368" i="4" s="1"/>
  <c r="C368" i="4"/>
  <c r="CG367" i="4"/>
  <c r="CF367" i="4"/>
  <c r="CE367" i="4"/>
  <c r="CD367" i="4"/>
  <c r="CC367" i="4"/>
  <c r="BV367" i="4" s="1"/>
  <c r="CB367" i="4"/>
  <c r="CA367" i="4"/>
  <c r="BZ367" i="4"/>
  <c r="BY367" i="4"/>
  <c r="BW367" i="4"/>
  <c r="AV367" i="4"/>
  <c r="H367" i="4"/>
  <c r="G367" i="4"/>
  <c r="E367" i="4"/>
  <c r="D367" i="4" s="1"/>
  <c r="AY367" i="4" s="1"/>
  <c r="C367" i="4"/>
  <c r="CG366" i="4"/>
  <c r="CF366" i="4"/>
  <c r="CD366" i="4" s="1"/>
  <c r="CA366" i="4"/>
  <c r="BZ366" i="4"/>
  <c r="BY366" i="4"/>
  <c r="BW366" i="4"/>
  <c r="AV366" i="4"/>
  <c r="E366" i="4"/>
  <c r="D366" i="4"/>
  <c r="AY366" i="4" s="1"/>
  <c r="C366" i="4"/>
  <c r="CG365" i="4"/>
  <c r="CF365" i="4"/>
  <c r="CB365" i="4" s="1"/>
  <c r="CE365" i="4" s="1"/>
  <c r="CC365" i="4"/>
  <c r="BV365" i="4" s="1"/>
  <c r="BX365" i="4" s="1"/>
  <c r="CA365" i="4"/>
  <c r="BZ365" i="4"/>
  <c r="BY365" i="4"/>
  <c r="BW365" i="4"/>
  <c r="AV365" i="4"/>
  <c r="E365" i="4"/>
  <c r="D365" i="4"/>
  <c r="AY365" i="4" s="1"/>
  <c r="C365" i="4"/>
  <c r="CG364" i="4"/>
  <c r="CF364" i="4"/>
  <c r="CB364" i="4"/>
  <c r="CA364" i="4"/>
  <c r="BZ364" i="4"/>
  <c r="BY364" i="4"/>
  <c r="BW364" i="4"/>
  <c r="AV364" i="4"/>
  <c r="H364" i="4"/>
  <c r="G364" i="4"/>
  <c r="E364" i="4"/>
  <c r="D364" i="4"/>
  <c r="AY364" i="4" s="1"/>
  <c r="C364" i="4"/>
  <c r="CG363" i="4"/>
  <c r="CF363" i="4"/>
  <c r="CE363" i="4"/>
  <c r="CD363" i="4"/>
  <c r="CC363" i="4"/>
  <c r="BV363" i="4" s="1"/>
  <c r="CB363" i="4"/>
  <c r="CA363" i="4"/>
  <c r="BZ363" i="4"/>
  <c r="BY363" i="4"/>
  <c r="BW363" i="4"/>
  <c r="AV363" i="4"/>
  <c r="E363" i="4"/>
  <c r="D363" i="4"/>
  <c r="AY363" i="4" s="1"/>
  <c r="C363" i="4"/>
  <c r="CG362" i="4"/>
  <c r="CF362" i="4"/>
  <c r="CD362" i="4"/>
  <c r="CB362" i="4"/>
  <c r="CA362" i="4"/>
  <c r="BZ362" i="4"/>
  <c r="BY362" i="4"/>
  <c r="BW362" i="4"/>
  <c r="AV362" i="4"/>
  <c r="E362" i="4"/>
  <c r="D362" i="4"/>
  <c r="AY362" i="4" s="1"/>
  <c r="C362" i="4"/>
  <c r="CG361" i="4"/>
  <c r="CF361" i="4"/>
  <c r="CC361" i="4"/>
  <c r="BV361" i="4" s="1"/>
  <c r="CA361" i="4"/>
  <c r="BZ361" i="4"/>
  <c r="BY361" i="4"/>
  <c r="BX361" i="4"/>
  <c r="BW361" i="4"/>
  <c r="AV361" i="4"/>
  <c r="E361" i="4"/>
  <c r="D361" i="4"/>
  <c r="AY361" i="4" s="1"/>
  <c r="C361" i="4"/>
  <c r="CG360" i="4"/>
  <c r="CF360" i="4"/>
  <c r="CA360" i="4"/>
  <c r="BZ360" i="4"/>
  <c r="BY360" i="4"/>
  <c r="BW360" i="4"/>
  <c r="AV360" i="4"/>
  <c r="E360" i="4"/>
  <c r="D360" i="4"/>
  <c r="AY360" i="4" s="1"/>
  <c r="C360" i="4"/>
  <c r="CG359" i="4"/>
  <c r="CF359" i="4"/>
  <c r="CB359" i="4" s="1"/>
  <c r="CE359" i="4" s="1"/>
  <c r="CC359" i="4"/>
  <c r="BV359" i="4" s="1"/>
  <c r="CA359" i="4"/>
  <c r="BZ359" i="4"/>
  <c r="BY359" i="4"/>
  <c r="BW359" i="4"/>
  <c r="AV359" i="4"/>
  <c r="E359" i="4"/>
  <c r="D359" i="4"/>
  <c r="AY359" i="4" s="1"/>
  <c r="C359" i="4"/>
  <c r="CG358" i="4"/>
  <c r="CF358" i="4"/>
  <c r="CC358" i="4" s="1"/>
  <c r="CD358" i="4"/>
  <c r="CB358" i="4"/>
  <c r="CA358" i="4"/>
  <c r="BZ358" i="4"/>
  <c r="CE358" i="4" s="1"/>
  <c r="BY358" i="4"/>
  <c r="BX358" i="4"/>
  <c r="BW358" i="4"/>
  <c r="BV358" i="4"/>
  <c r="AV358" i="4"/>
  <c r="H358" i="4"/>
  <c r="G358" i="4"/>
  <c r="E358" i="4"/>
  <c r="D358" i="4"/>
  <c r="AY358" i="4" s="1"/>
  <c r="C358" i="4"/>
  <c r="CG357" i="4"/>
  <c r="CF357" i="4"/>
  <c r="CE357" i="4"/>
  <c r="CD357" i="4"/>
  <c r="CC357" i="4"/>
  <c r="BV357" i="4" s="1"/>
  <c r="BX357" i="4" s="1"/>
  <c r="CB357" i="4"/>
  <c r="CA357" i="4"/>
  <c r="BZ357" i="4"/>
  <c r="BY357" i="4"/>
  <c r="BW357" i="4"/>
  <c r="AV357" i="4"/>
  <c r="E357" i="4"/>
  <c r="D357" i="4"/>
  <c r="AY357" i="4" s="1"/>
  <c r="C357" i="4"/>
  <c r="CG356" i="4"/>
  <c r="CF356" i="4"/>
  <c r="CC356" i="4" s="1"/>
  <c r="CD356" i="4"/>
  <c r="CB356" i="4"/>
  <c r="CE356" i="4" s="1"/>
  <c r="CA356" i="4"/>
  <c r="BZ356" i="4"/>
  <c r="BY356" i="4"/>
  <c r="BW356" i="4"/>
  <c r="BV356" i="4"/>
  <c r="BX356" i="4" s="1"/>
  <c r="AV356" i="4"/>
  <c r="E356" i="4"/>
  <c r="D356" i="4"/>
  <c r="AY356" i="4" s="1"/>
  <c r="C356" i="4"/>
  <c r="CG355" i="4"/>
  <c r="CF355" i="4"/>
  <c r="CC355" i="4"/>
  <c r="BV355" i="4" s="1"/>
  <c r="BX355" i="4" s="1"/>
  <c r="CA355" i="4"/>
  <c r="BZ355" i="4"/>
  <c r="BY355" i="4"/>
  <c r="BW355" i="4"/>
  <c r="AV355" i="4"/>
  <c r="E355" i="4"/>
  <c r="D355" i="4"/>
  <c r="AY355" i="4" s="1"/>
  <c r="C355" i="4"/>
  <c r="CG354" i="4"/>
  <c r="CF354" i="4"/>
  <c r="CC354" i="4" s="1"/>
  <c r="CD354" i="4"/>
  <c r="CA354" i="4"/>
  <c r="BZ354" i="4"/>
  <c r="BY354" i="4"/>
  <c r="BX354" i="4"/>
  <c r="BW354" i="4"/>
  <c r="BV354" i="4"/>
  <c r="AV354" i="4"/>
  <c r="E354" i="4"/>
  <c r="D354" i="4"/>
  <c r="AY354" i="4" s="1"/>
  <c r="C354" i="4"/>
  <c r="CG353" i="4"/>
  <c r="CF353" i="4"/>
  <c r="CB353" i="4" s="1"/>
  <c r="CE353" i="4" s="1"/>
  <c r="CC353" i="4"/>
  <c r="BV353" i="4" s="1"/>
  <c r="CA353" i="4"/>
  <c r="BZ353" i="4"/>
  <c r="BY353" i="4"/>
  <c r="BW353" i="4"/>
  <c r="AV353" i="4"/>
  <c r="E353" i="4"/>
  <c r="D353" i="4"/>
  <c r="AY353" i="4" s="1"/>
  <c r="C353" i="4"/>
  <c r="CG352" i="4"/>
  <c r="CF352" i="4"/>
  <c r="CC352" i="4" s="1"/>
  <c r="CD352" i="4"/>
  <c r="CB352" i="4"/>
  <c r="CA352" i="4"/>
  <c r="BZ352" i="4"/>
  <c r="CE352" i="4" s="1"/>
  <c r="BY352" i="4"/>
  <c r="BX352" i="4"/>
  <c r="BW352" i="4"/>
  <c r="BV352" i="4"/>
  <c r="AV352" i="4"/>
  <c r="H352" i="4"/>
  <c r="G352" i="4"/>
  <c r="E352" i="4"/>
  <c r="D352" i="4"/>
  <c r="AY352" i="4" s="1"/>
  <c r="C352" i="4"/>
  <c r="CG351" i="4"/>
  <c r="CF351" i="4"/>
  <c r="CE351" i="4"/>
  <c r="CD351" i="4"/>
  <c r="CC351" i="4"/>
  <c r="BV351" i="4" s="1"/>
  <c r="BX351" i="4" s="1"/>
  <c r="CB351" i="4"/>
  <c r="CA351" i="4"/>
  <c r="BZ351" i="4"/>
  <c r="BY351" i="4"/>
  <c r="BW351" i="4"/>
  <c r="AV351" i="4"/>
  <c r="E351" i="4"/>
  <c r="D351" i="4"/>
  <c r="AY351" i="4" s="1"/>
  <c r="C351" i="4"/>
  <c r="CG350" i="4"/>
  <c r="CF350" i="4"/>
  <c r="CC350" i="4" s="1"/>
  <c r="CB350" i="4"/>
  <c r="CE350" i="4" s="1"/>
  <c r="CA350" i="4"/>
  <c r="BZ350" i="4"/>
  <c r="BY350" i="4"/>
  <c r="BW350" i="4"/>
  <c r="BV350" i="4"/>
  <c r="BX350" i="4" s="1"/>
  <c r="AV350" i="4"/>
  <c r="E350" i="4"/>
  <c r="D350" i="4"/>
  <c r="AY350" i="4" s="1"/>
  <c r="C350" i="4"/>
  <c r="CG349" i="4"/>
  <c r="CF349" i="4"/>
  <c r="CC349" i="4"/>
  <c r="BV349" i="4" s="1"/>
  <c r="BX349" i="4" s="1"/>
  <c r="CA349" i="4"/>
  <c r="BZ349" i="4"/>
  <c r="BY349" i="4"/>
  <c r="BW349" i="4"/>
  <c r="AV349" i="4"/>
  <c r="E349" i="4"/>
  <c r="D349" i="4"/>
  <c r="AY349" i="4" s="1"/>
  <c r="C349" i="4"/>
  <c r="CG348" i="4"/>
  <c r="CF348" i="4"/>
  <c r="CC348" i="4" s="1"/>
  <c r="CD348" i="4"/>
  <c r="CA348" i="4"/>
  <c r="BZ348" i="4"/>
  <c r="BY348" i="4"/>
  <c r="BX348" i="4"/>
  <c r="BW348" i="4"/>
  <c r="BV348" i="4"/>
  <c r="AV348" i="4"/>
  <c r="H348" i="4"/>
  <c r="G348" i="4"/>
  <c r="E348" i="4"/>
  <c r="D348" i="4" s="1"/>
  <c r="AY348" i="4" s="1"/>
  <c r="C348" i="4"/>
  <c r="CG347" i="4"/>
  <c r="CF347" i="4"/>
  <c r="CD347" i="4"/>
  <c r="CC347" i="4"/>
  <c r="BV347" i="4" s="1"/>
  <c r="CB347" i="4"/>
  <c r="CE347" i="4" s="1"/>
  <c r="CA347" i="4"/>
  <c r="BZ347" i="4"/>
  <c r="BY347" i="4"/>
  <c r="BW347" i="4"/>
  <c r="AV347" i="4"/>
  <c r="E347" i="4"/>
  <c r="D347" i="4"/>
  <c r="AY347" i="4" s="1"/>
  <c r="C347" i="4"/>
  <c r="CG346" i="4"/>
  <c r="CF346" i="4"/>
  <c r="CB346" i="4" s="1"/>
  <c r="CA346" i="4"/>
  <c r="BZ346" i="4"/>
  <c r="BY346" i="4"/>
  <c r="BW346" i="4"/>
  <c r="AV346" i="4"/>
  <c r="E346" i="4"/>
  <c r="D346" i="4"/>
  <c r="AY346" i="4" s="1"/>
  <c r="C346" i="4"/>
  <c r="CG345" i="4"/>
  <c r="CF345" i="4"/>
  <c r="CE345" i="4"/>
  <c r="CD345" i="4"/>
  <c r="CC345" i="4"/>
  <c r="CB345" i="4"/>
  <c r="CA345" i="4"/>
  <c r="BZ345" i="4"/>
  <c r="BY345" i="4"/>
  <c r="BW345" i="4"/>
  <c r="BV345" i="4"/>
  <c r="AV345" i="4"/>
  <c r="E345" i="4"/>
  <c r="D345" i="4"/>
  <c r="AY345" i="4" s="1"/>
  <c r="C345" i="4"/>
  <c r="CG344" i="4"/>
  <c r="CF344" i="4"/>
  <c r="CC344" i="4" s="1"/>
  <c r="BV344" i="4" s="1"/>
  <c r="BX344" i="4" s="1"/>
  <c r="CA344" i="4"/>
  <c r="BZ344" i="4"/>
  <c r="BY344" i="4"/>
  <c r="BW344" i="4"/>
  <c r="AV344" i="4"/>
  <c r="G344" i="4"/>
  <c r="E344" i="4"/>
  <c r="D344" i="4"/>
  <c r="AY344" i="4" s="1"/>
  <c r="C344" i="4"/>
  <c r="CG343" i="4"/>
  <c r="CF343" i="4"/>
  <c r="CC343" i="4" s="1"/>
  <c r="CD343" i="4"/>
  <c r="CA343" i="4"/>
  <c r="BZ343" i="4"/>
  <c r="BY343" i="4"/>
  <c r="BX343" i="4"/>
  <c r="BW343" i="4"/>
  <c r="BV343" i="4"/>
  <c r="AV343" i="4"/>
  <c r="E343" i="4"/>
  <c r="D343" i="4"/>
  <c r="AY343" i="4" s="1"/>
  <c r="C343" i="4"/>
  <c r="CG342" i="4"/>
  <c r="CF342" i="4"/>
  <c r="CA342" i="4"/>
  <c r="BZ342" i="4"/>
  <c r="BY342" i="4"/>
  <c r="BW342" i="4"/>
  <c r="AV342" i="4"/>
  <c r="E342" i="4"/>
  <c r="D342" i="4"/>
  <c r="AY342" i="4" s="1"/>
  <c r="C342" i="4"/>
  <c r="CG341" i="4"/>
  <c r="CF341" i="4"/>
  <c r="CC341" i="4" s="1"/>
  <c r="CB341" i="4"/>
  <c r="CA341" i="4"/>
  <c r="BZ341" i="4"/>
  <c r="BY341" i="4"/>
  <c r="BW341" i="4"/>
  <c r="BV341" i="4"/>
  <c r="BX341" i="4" s="1"/>
  <c r="AV341" i="4"/>
  <c r="E341" i="4"/>
  <c r="D341" i="4"/>
  <c r="AY341" i="4" s="1"/>
  <c r="C341" i="4"/>
  <c r="CG340" i="4"/>
  <c r="CF340" i="4"/>
  <c r="CD340" i="4"/>
  <c r="CC340" i="4"/>
  <c r="BV340" i="4" s="1"/>
  <c r="BX340" i="4" s="1"/>
  <c r="CB340" i="4"/>
  <c r="CA340" i="4"/>
  <c r="BZ340" i="4"/>
  <c r="CE340" i="4" s="1"/>
  <c r="BY340" i="4"/>
  <c r="BW340" i="4"/>
  <c r="BN340" i="4"/>
  <c r="AV340" i="4"/>
  <c r="H340" i="4"/>
  <c r="G340" i="4"/>
  <c r="E340" i="4"/>
  <c r="D340" i="4"/>
  <c r="AY340" i="4" s="1"/>
  <c r="C340" i="4"/>
  <c r="CG339" i="4"/>
  <c r="CF339" i="4"/>
  <c r="CB339" i="4" s="1"/>
  <c r="CD339" i="4"/>
  <c r="CC339" i="4"/>
  <c r="BV339" i="4" s="1"/>
  <c r="BX339" i="4" s="1"/>
  <c r="CA339" i="4"/>
  <c r="BZ339" i="4"/>
  <c r="BY339" i="4"/>
  <c r="BW339" i="4"/>
  <c r="AV339" i="4"/>
  <c r="E339" i="4"/>
  <c r="D339" i="4"/>
  <c r="AY339" i="4" s="1"/>
  <c r="C339" i="4"/>
  <c r="CG338" i="4"/>
  <c r="CF338" i="4"/>
  <c r="CC338" i="4" s="1"/>
  <c r="BV338" i="4" s="1"/>
  <c r="BX338" i="4" s="1"/>
  <c r="CD338" i="4"/>
  <c r="CA338" i="4"/>
  <c r="BZ338" i="4"/>
  <c r="BY338" i="4"/>
  <c r="BW338" i="4"/>
  <c r="AV338" i="4"/>
  <c r="E338" i="4"/>
  <c r="D338" i="4"/>
  <c r="AY338" i="4" s="1"/>
  <c r="C338" i="4"/>
  <c r="CG337" i="4"/>
  <c r="CF337" i="4"/>
  <c r="CC337" i="4" s="1"/>
  <c r="BV337" i="4" s="1"/>
  <c r="BX337" i="4" s="1"/>
  <c r="CA337" i="4"/>
  <c r="BZ337" i="4"/>
  <c r="BY337" i="4"/>
  <c r="BW337" i="4"/>
  <c r="AV337" i="4"/>
  <c r="H337" i="4"/>
  <c r="G337" i="4"/>
  <c r="E337" i="4"/>
  <c r="D337" i="4" s="1"/>
  <c r="AY337" i="4" s="1"/>
  <c r="C337" i="4"/>
  <c r="CG336" i="4"/>
  <c r="CF336" i="4"/>
  <c r="CC336" i="4" s="1"/>
  <c r="BV336" i="4" s="1"/>
  <c r="BX336" i="4" s="1"/>
  <c r="CD336" i="4"/>
  <c r="CB336" i="4"/>
  <c r="CA336" i="4"/>
  <c r="BZ336" i="4"/>
  <c r="BY336" i="4"/>
  <c r="BW336" i="4"/>
  <c r="AV336" i="4"/>
  <c r="E336" i="4"/>
  <c r="D336" i="4"/>
  <c r="AY336" i="4" s="1"/>
  <c r="C336" i="4"/>
  <c r="CG335" i="4"/>
  <c r="CF335" i="4"/>
  <c r="CE335" i="4"/>
  <c r="CD335" i="4"/>
  <c r="CC335" i="4"/>
  <c r="BV335" i="4" s="1"/>
  <c r="BX335" i="4" s="1"/>
  <c r="CB335" i="4"/>
  <c r="CA335" i="4"/>
  <c r="BZ335" i="4"/>
  <c r="BY335" i="4"/>
  <c r="BW335" i="4"/>
  <c r="AV335" i="4"/>
  <c r="E335" i="4"/>
  <c r="D335" i="4"/>
  <c r="AY335" i="4" s="1"/>
  <c r="C335" i="4"/>
  <c r="CG334" i="4"/>
  <c r="CF334" i="4"/>
  <c r="CD334" i="4" s="1"/>
  <c r="CE334" i="4"/>
  <c r="CC334" i="4"/>
  <c r="BV334" i="4" s="1"/>
  <c r="BX334" i="4" s="1"/>
  <c r="CB334" i="4"/>
  <c r="CA334" i="4"/>
  <c r="BZ334" i="4"/>
  <c r="BY334" i="4"/>
  <c r="BW334" i="4"/>
  <c r="AV334" i="4"/>
  <c r="E334" i="4"/>
  <c r="D334" i="4"/>
  <c r="AY334" i="4" s="1"/>
  <c r="C334" i="4"/>
  <c r="CG333" i="4"/>
  <c r="CF333" i="4"/>
  <c r="CB333" i="4" s="1"/>
  <c r="CD333" i="4"/>
  <c r="CA333" i="4"/>
  <c r="BZ333" i="4"/>
  <c r="CE333" i="4" s="1"/>
  <c r="BY333" i="4"/>
  <c r="BW333" i="4"/>
  <c r="AV333" i="4"/>
  <c r="E333" i="4"/>
  <c r="D333" i="4"/>
  <c r="AY333" i="4" s="1"/>
  <c r="C333" i="4"/>
  <c r="CG332" i="4"/>
  <c r="CF332" i="4"/>
  <c r="CC332" i="4" s="1"/>
  <c r="BV332" i="4" s="1"/>
  <c r="BX332" i="4" s="1"/>
  <c r="CA332" i="4"/>
  <c r="BZ332" i="4"/>
  <c r="BY332" i="4"/>
  <c r="BW332" i="4"/>
  <c r="AV332" i="4"/>
  <c r="H332" i="4"/>
  <c r="G332" i="4"/>
  <c r="E332" i="4"/>
  <c r="D332" i="4"/>
  <c r="AY332" i="4" s="1"/>
  <c r="C332" i="4"/>
  <c r="CG331" i="4"/>
  <c r="CF331" i="4"/>
  <c r="CE331" i="4"/>
  <c r="CD331" i="4"/>
  <c r="CC331" i="4"/>
  <c r="CB331" i="4"/>
  <c r="CA331" i="4"/>
  <c r="BZ331" i="4"/>
  <c r="BY331" i="4"/>
  <c r="BW331" i="4"/>
  <c r="BV331" i="4"/>
  <c r="BX331" i="4" s="1"/>
  <c r="AV331" i="4"/>
  <c r="G331" i="4"/>
  <c r="E331" i="4"/>
  <c r="D331" i="4"/>
  <c r="AY331" i="4" s="1"/>
  <c r="C331" i="4"/>
  <c r="CG330" i="4"/>
  <c r="CF330" i="4"/>
  <c r="CB330" i="4" s="1"/>
  <c r="BZ330" i="4"/>
  <c r="BW330" i="4"/>
  <c r="AV330" i="4"/>
  <c r="G330" i="4"/>
  <c r="F330" i="4"/>
  <c r="CA330" i="4" s="1"/>
  <c r="E330" i="4"/>
  <c r="D330" i="4" s="1"/>
  <c r="AY330" i="4" s="1"/>
  <c r="C330" i="4"/>
  <c r="CG329" i="4"/>
  <c r="CF329" i="4"/>
  <c r="CD329" i="4" s="1"/>
  <c r="CC329" i="4"/>
  <c r="BV329" i="4" s="1"/>
  <c r="BX329" i="4" s="1"/>
  <c r="CA329" i="4"/>
  <c r="BZ329" i="4"/>
  <c r="BY329" i="4"/>
  <c r="BW329" i="4"/>
  <c r="AV329" i="4"/>
  <c r="H329" i="4"/>
  <c r="G329" i="4"/>
  <c r="E329" i="4"/>
  <c r="D329" i="4" s="1"/>
  <c r="AY329" i="4" s="1"/>
  <c r="C329" i="4"/>
  <c r="CG328" i="4"/>
  <c r="CF328" i="4"/>
  <c r="CE328" i="4"/>
  <c r="CD328" i="4"/>
  <c r="CC328" i="4"/>
  <c r="BV328" i="4" s="1"/>
  <c r="BX328" i="4" s="1"/>
  <c r="CB328" i="4"/>
  <c r="CA328" i="4"/>
  <c r="BZ328" i="4"/>
  <c r="BY328" i="4"/>
  <c r="BW328" i="4"/>
  <c r="AY328" i="4"/>
  <c r="AV328" i="4"/>
  <c r="H328" i="4"/>
  <c r="G328" i="4"/>
  <c r="E328" i="4"/>
  <c r="D328" i="4"/>
  <c r="C328" i="4"/>
  <c r="CG327" i="4"/>
  <c r="CF327" i="4"/>
  <c r="CB327" i="4" s="1"/>
  <c r="CA327" i="4"/>
  <c r="BZ327" i="4"/>
  <c r="BY327" i="4"/>
  <c r="BW327" i="4"/>
  <c r="AV327" i="4"/>
  <c r="H327" i="4"/>
  <c r="G327" i="4"/>
  <c r="E327" i="4"/>
  <c r="D327" i="4" s="1"/>
  <c r="AY327" i="4" s="1"/>
  <c r="C327" i="4"/>
  <c r="CG326" i="4"/>
  <c r="CF326" i="4"/>
  <c r="CB326" i="4" s="1"/>
  <c r="CD326" i="4"/>
  <c r="CC326" i="4"/>
  <c r="BV326" i="4" s="1"/>
  <c r="BX326" i="4" s="1"/>
  <c r="CA326" i="4"/>
  <c r="BZ326" i="4"/>
  <c r="BY326" i="4"/>
  <c r="BW326" i="4"/>
  <c r="AV326" i="4"/>
  <c r="E326" i="4"/>
  <c r="D326" i="4"/>
  <c r="AY326" i="4" s="1"/>
  <c r="C326" i="4"/>
  <c r="CG325" i="4"/>
  <c r="CF325" i="4"/>
  <c r="CD325" i="4"/>
  <c r="CC325" i="4"/>
  <c r="CB325" i="4"/>
  <c r="CA325" i="4"/>
  <c r="BZ325" i="4"/>
  <c r="CE325" i="4" s="1"/>
  <c r="BY325" i="4"/>
  <c r="BW325" i="4"/>
  <c r="BV325" i="4"/>
  <c r="BX325" i="4" s="1"/>
  <c r="AV325" i="4"/>
  <c r="E325" i="4"/>
  <c r="D325" i="4"/>
  <c r="AY325" i="4" s="1"/>
  <c r="C325" i="4"/>
  <c r="CG324" i="4"/>
  <c r="CF324" i="4"/>
  <c r="CC324" i="4" s="1"/>
  <c r="BV324" i="4" s="1"/>
  <c r="BX324" i="4" s="1"/>
  <c r="CD324" i="4"/>
  <c r="CB324" i="4"/>
  <c r="CA324" i="4"/>
  <c r="BZ324" i="4"/>
  <c r="CE324" i="4" s="1"/>
  <c r="BY324" i="4"/>
  <c r="BW324" i="4"/>
  <c r="AV324" i="4"/>
  <c r="E324" i="4"/>
  <c r="D324" i="4"/>
  <c r="AY324" i="4" s="1"/>
  <c r="C324" i="4"/>
  <c r="CG323" i="4"/>
  <c r="CF323" i="4"/>
  <c r="CD323" i="4" s="1"/>
  <c r="CC323" i="4"/>
  <c r="BV323" i="4" s="1"/>
  <c r="BX323" i="4" s="1"/>
  <c r="CA323" i="4"/>
  <c r="BZ323" i="4"/>
  <c r="BY323" i="4"/>
  <c r="BW323" i="4"/>
  <c r="AV323" i="4"/>
  <c r="E323" i="4"/>
  <c r="D323" i="4"/>
  <c r="AY323" i="4" s="1"/>
  <c r="C323" i="4"/>
  <c r="CG322" i="4"/>
  <c r="CF322" i="4"/>
  <c r="CC322" i="4" s="1"/>
  <c r="BV322" i="4" s="1"/>
  <c r="BX322" i="4" s="1"/>
  <c r="CD322" i="4"/>
  <c r="CB322" i="4"/>
  <c r="CA322" i="4"/>
  <c r="BZ322" i="4"/>
  <c r="CE322" i="4" s="1"/>
  <c r="BY322" i="4"/>
  <c r="BW322" i="4"/>
  <c r="AV322" i="4"/>
  <c r="E322" i="4"/>
  <c r="D322" i="4"/>
  <c r="AY322" i="4" s="1"/>
  <c r="C322" i="4"/>
  <c r="CG321" i="4"/>
  <c r="CF321" i="4"/>
  <c r="CB321" i="4" s="1"/>
  <c r="CE321" i="4"/>
  <c r="CC321" i="4"/>
  <c r="CA321" i="4"/>
  <c r="BZ321" i="4"/>
  <c r="BY321" i="4"/>
  <c r="BW321" i="4"/>
  <c r="BV321" i="4"/>
  <c r="BX321" i="4" s="1"/>
  <c r="AV321" i="4"/>
  <c r="H321" i="4"/>
  <c r="G321" i="4"/>
  <c r="E321" i="4"/>
  <c r="D321" i="4"/>
  <c r="AY321" i="4" s="1"/>
  <c r="C321" i="4"/>
  <c r="CG320" i="4"/>
  <c r="CF320" i="4"/>
  <c r="CD320" i="4"/>
  <c r="CC320" i="4"/>
  <c r="CB320" i="4"/>
  <c r="CA320" i="4"/>
  <c r="BZ320" i="4"/>
  <c r="CE320" i="4" s="1"/>
  <c r="BY320" i="4"/>
  <c r="BX320" i="4"/>
  <c r="BW320" i="4"/>
  <c r="BV320" i="4"/>
  <c r="AV320" i="4"/>
  <c r="E320" i="4"/>
  <c r="D320" i="4"/>
  <c r="AY320" i="4" s="1"/>
  <c r="C320" i="4"/>
  <c r="CG319" i="4"/>
  <c r="CF319" i="4"/>
  <c r="CE319" i="4"/>
  <c r="CD319" i="4"/>
  <c r="CC319" i="4"/>
  <c r="CB319" i="4"/>
  <c r="CA319" i="4"/>
  <c r="BZ319" i="4"/>
  <c r="BY319" i="4"/>
  <c r="BW319" i="4"/>
  <c r="BV319" i="4"/>
  <c r="BX319" i="4" s="1"/>
  <c r="AV319" i="4"/>
  <c r="E319" i="4"/>
  <c r="D319" i="4"/>
  <c r="AY319" i="4" s="1"/>
  <c r="C319" i="4"/>
  <c r="CG318" i="4"/>
  <c r="CF318" i="4"/>
  <c r="CE318" i="4"/>
  <c r="CD318" i="4"/>
  <c r="CC318" i="4"/>
  <c r="CB318" i="4"/>
  <c r="CA318" i="4"/>
  <c r="BZ318" i="4"/>
  <c r="BY318" i="4"/>
  <c r="BW318" i="4"/>
  <c r="BV318" i="4"/>
  <c r="BX318" i="4" s="1"/>
  <c r="AY318" i="4"/>
  <c r="AV318" i="4"/>
  <c r="H318" i="4"/>
  <c r="G318" i="4"/>
  <c r="E318" i="4"/>
  <c r="D318" i="4"/>
  <c r="C318" i="4"/>
  <c r="CG317" i="4"/>
  <c r="CF317" i="4"/>
  <c r="CB317" i="4" s="1"/>
  <c r="CE317" i="4"/>
  <c r="CD317" i="4"/>
  <c r="CA317" i="4"/>
  <c r="BZ317" i="4"/>
  <c r="BY317" i="4"/>
  <c r="BW317" i="4"/>
  <c r="AV317" i="4"/>
  <c r="E317" i="4"/>
  <c r="D317" i="4"/>
  <c r="AY317" i="4" s="1"/>
  <c r="C317" i="4"/>
  <c r="CG316" i="4"/>
  <c r="CF316" i="4"/>
  <c r="CC316" i="4" s="1"/>
  <c r="CD316" i="4"/>
  <c r="CA316" i="4"/>
  <c r="BZ316" i="4"/>
  <c r="BY316" i="4"/>
  <c r="BW316" i="4"/>
  <c r="BX316" i="4" s="1"/>
  <c r="BV316" i="4"/>
  <c r="AV316" i="4"/>
  <c r="E316" i="4"/>
  <c r="D316" i="4"/>
  <c r="AY316" i="4" s="1"/>
  <c r="C316" i="4"/>
  <c r="CG315" i="4"/>
  <c r="CF315" i="4"/>
  <c r="CD315" i="4" s="1"/>
  <c r="CA315" i="4"/>
  <c r="BZ315" i="4"/>
  <c r="BY315" i="4"/>
  <c r="BW315" i="4"/>
  <c r="AV315" i="4"/>
  <c r="H315" i="4"/>
  <c r="G315" i="4"/>
  <c r="E315" i="4"/>
  <c r="D315" i="4"/>
  <c r="AY315" i="4" s="1"/>
  <c r="C315" i="4"/>
  <c r="CG314" i="4"/>
  <c r="CF314" i="4"/>
  <c r="CD314" i="4" s="1"/>
  <c r="CC314" i="4"/>
  <c r="BV314" i="4" s="1"/>
  <c r="BX314" i="4" s="1"/>
  <c r="CA314" i="4"/>
  <c r="BZ314" i="4"/>
  <c r="BY314" i="4"/>
  <c r="BW314" i="4"/>
  <c r="AV314" i="4"/>
  <c r="E314" i="4"/>
  <c r="D314" i="4"/>
  <c r="AY314" i="4" s="1"/>
  <c r="C314" i="4"/>
  <c r="CG313" i="4"/>
  <c r="CF313" i="4"/>
  <c r="CC313" i="4" s="1"/>
  <c r="BV313" i="4" s="1"/>
  <c r="BX313" i="4" s="1"/>
  <c r="CD313" i="4"/>
  <c r="CB313" i="4"/>
  <c r="CA313" i="4"/>
  <c r="BZ313" i="4"/>
  <c r="CE313" i="4" s="1"/>
  <c r="BY313" i="4"/>
  <c r="BW313" i="4"/>
  <c r="AV313" i="4"/>
  <c r="E313" i="4"/>
  <c r="D313" i="4"/>
  <c r="AY313" i="4" s="1"/>
  <c r="C313" i="4"/>
  <c r="CG312" i="4"/>
  <c r="CF312" i="4"/>
  <c r="CD312" i="4" s="1"/>
  <c r="CE312" i="4"/>
  <c r="CC312" i="4"/>
  <c r="BV312" i="4" s="1"/>
  <c r="BX312" i="4" s="1"/>
  <c r="CB312" i="4"/>
  <c r="CA312" i="4"/>
  <c r="BZ312" i="4"/>
  <c r="BY312" i="4"/>
  <c r="BW312" i="4"/>
  <c r="AV312" i="4"/>
  <c r="H312" i="4"/>
  <c r="G312" i="4"/>
  <c r="E312" i="4"/>
  <c r="D312" i="4" s="1"/>
  <c r="AY312" i="4" s="1"/>
  <c r="C312" i="4"/>
  <c r="CG311" i="4"/>
  <c r="CF311" i="4"/>
  <c r="CB311" i="4" s="1"/>
  <c r="CA311" i="4"/>
  <c r="BZ311" i="4"/>
  <c r="BY311" i="4"/>
  <c r="BW311" i="4"/>
  <c r="AV311" i="4"/>
  <c r="E311" i="4"/>
  <c r="D311" i="4"/>
  <c r="AY311" i="4" s="1"/>
  <c r="C311" i="4"/>
  <c r="CG310" i="4"/>
  <c r="CF310" i="4"/>
  <c r="CC310" i="4" s="1"/>
  <c r="BV310" i="4" s="1"/>
  <c r="BX310" i="4" s="1"/>
  <c r="CA310" i="4"/>
  <c r="BZ310" i="4"/>
  <c r="BY310" i="4"/>
  <c r="BW310" i="4"/>
  <c r="BN310" i="4"/>
  <c r="AV310" i="4"/>
  <c r="E310" i="4"/>
  <c r="D310" i="4"/>
  <c r="AY310" i="4" s="1"/>
  <c r="C310" i="4"/>
  <c r="CG309" i="4"/>
  <c r="CF309" i="4"/>
  <c r="CD309" i="4" s="1"/>
  <c r="CC309" i="4"/>
  <c r="BV309" i="4" s="1"/>
  <c r="BX309" i="4" s="1"/>
  <c r="CA309" i="4"/>
  <c r="BZ309" i="4"/>
  <c r="BY309" i="4"/>
  <c r="BW309" i="4"/>
  <c r="AV309" i="4"/>
  <c r="E309" i="4"/>
  <c r="D309" i="4"/>
  <c r="AY309" i="4" s="1"/>
  <c r="C309" i="4"/>
  <c r="CG308" i="4"/>
  <c r="CF308" i="4"/>
  <c r="CC308" i="4" s="1"/>
  <c r="BV308" i="4" s="1"/>
  <c r="BX308" i="4" s="1"/>
  <c r="CD308" i="4"/>
  <c r="CB308" i="4"/>
  <c r="CA308" i="4"/>
  <c r="BZ308" i="4"/>
  <c r="CE308" i="4" s="1"/>
  <c r="BY308" i="4"/>
  <c r="BW308" i="4"/>
  <c r="AV308" i="4"/>
  <c r="E308" i="4"/>
  <c r="D308" i="4"/>
  <c r="AY308" i="4" s="1"/>
  <c r="C308" i="4"/>
  <c r="CG307" i="4"/>
  <c r="CF307" i="4"/>
  <c r="CD307" i="4" s="1"/>
  <c r="CE307" i="4"/>
  <c r="CC307" i="4"/>
  <c r="BV307" i="4" s="1"/>
  <c r="BX307" i="4" s="1"/>
  <c r="CB307" i="4"/>
  <c r="CA307" i="4"/>
  <c r="BZ307" i="4"/>
  <c r="BY307" i="4"/>
  <c r="BW307" i="4"/>
  <c r="AV307" i="4"/>
  <c r="H307" i="4"/>
  <c r="G307" i="4"/>
  <c r="E307" i="4"/>
  <c r="D307" i="4" s="1"/>
  <c r="AY307" i="4" s="1"/>
  <c r="C307" i="4"/>
  <c r="CG306" i="4"/>
  <c r="CF306" i="4"/>
  <c r="CB306" i="4" s="1"/>
  <c r="CA306" i="4"/>
  <c r="BZ306" i="4"/>
  <c r="BY306" i="4"/>
  <c r="BW306" i="4"/>
  <c r="AV306" i="4"/>
  <c r="E306" i="4"/>
  <c r="D306" i="4"/>
  <c r="AY306" i="4" s="1"/>
  <c r="C306" i="4"/>
  <c r="CG305" i="4"/>
  <c r="CF305" i="4"/>
  <c r="CB305" i="4" s="1"/>
  <c r="CE305" i="4" s="1"/>
  <c r="CC305" i="4"/>
  <c r="BV305" i="4" s="1"/>
  <c r="BX305" i="4" s="1"/>
  <c r="CA305" i="4"/>
  <c r="BZ305" i="4"/>
  <c r="BY305" i="4"/>
  <c r="BW305" i="4"/>
  <c r="AV305" i="4"/>
  <c r="E305" i="4"/>
  <c r="D305" i="4"/>
  <c r="AY305" i="4" s="1"/>
  <c r="C305" i="4"/>
  <c r="CG304" i="4"/>
  <c r="CF304" i="4"/>
  <c r="CD304" i="4" s="1"/>
  <c r="CB304" i="4"/>
  <c r="CA304" i="4"/>
  <c r="BZ304" i="4"/>
  <c r="CE304" i="4" s="1"/>
  <c r="BY304" i="4"/>
  <c r="BW304" i="4"/>
  <c r="AV304" i="4"/>
  <c r="E304" i="4"/>
  <c r="D304" i="4"/>
  <c r="AY304" i="4" s="1"/>
  <c r="C304" i="4"/>
  <c r="CG303" i="4"/>
  <c r="CF303" i="4"/>
  <c r="CD303" i="4" s="1"/>
  <c r="CC303" i="4"/>
  <c r="BV303" i="4" s="1"/>
  <c r="BX303" i="4" s="1"/>
  <c r="CA303" i="4"/>
  <c r="BZ303" i="4"/>
  <c r="BY303" i="4"/>
  <c r="BW303" i="4"/>
  <c r="AV303" i="4"/>
  <c r="H303" i="4"/>
  <c r="G303" i="4"/>
  <c r="E303" i="4"/>
  <c r="D303" i="4" s="1"/>
  <c r="AY303" i="4" s="1"/>
  <c r="C303" i="4"/>
  <c r="CG302" i="4"/>
  <c r="CF302" i="4"/>
  <c r="CC302" i="4" s="1"/>
  <c r="BV302" i="4" s="1"/>
  <c r="BX302" i="4" s="1"/>
  <c r="CD302" i="4"/>
  <c r="CA302" i="4"/>
  <c r="BZ302" i="4"/>
  <c r="BY302" i="4"/>
  <c r="BW302" i="4"/>
  <c r="AV302" i="4"/>
  <c r="E302" i="4"/>
  <c r="D302" i="4"/>
  <c r="AY302" i="4" s="1"/>
  <c r="C302" i="4"/>
  <c r="CG301" i="4"/>
  <c r="CF301" i="4"/>
  <c r="CE301" i="4"/>
  <c r="CD301" i="4"/>
  <c r="CC301" i="4"/>
  <c r="BV301" i="4" s="1"/>
  <c r="BX301" i="4" s="1"/>
  <c r="CB301" i="4"/>
  <c r="CA301" i="4"/>
  <c r="BZ301" i="4"/>
  <c r="BY301" i="4"/>
  <c r="BW301" i="4"/>
  <c r="AV301" i="4"/>
  <c r="E301" i="4"/>
  <c r="D301" i="4"/>
  <c r="AY301" i="4" s="1"/>
  <c r="C301" i="4"/>
  <c r="CG300" i="4"/>
  <c r="CF300" i="4"/>
  <c r="CB300" i="4" s="1"/>
  <c r="CA300" i="4"/>
  <c r="BZ300" i="4"/>
  <c r="CE300" i="4" s="1"/>
  <c r="BY300" i="4"/>
  <c r="BW300" i="4"/>
  <c r="AV300" i="4"/>
  <c r="E300" i="4"/>
  <c r="D300" i="4"/>
  <c r="AY300" i="4" s="1"/>
  <c r="C300" i="4"/>
  <c r="CG299" i="4"/>
  <c r="CF299" i="4"/>
  <c r="CC299" i="4" s="1"/>
  <c r="BV299" i="4" s="1"/>
  <c r="BX299" i="4" s="1"/>
  <c r="CA299" i="4"/>
  <c r="BZ299" i="4"/>
  <c r="BY299" i="4"/>
  <c r="BW299" i="4"/>
  <c r="AV299" i="4"/>
  <c r="E299" i="4"/>
  <c r="D299" i="4"/>
  <c r="AY299" i="4" s="1"/>
  <c r="C299" i="4"/>
  <c r="CG298" i="4"/>
  <c r="CF298" i="4"/>
  <c r="CD298" i="4" s="1"/>
  <c r="CB298" i="4"/>
  <c r="CA298" i="4"/>
  <c r="BZ298" i="4"/>
  <c r="CE298" i="4" s="1"/>
  <c r="BY298" i="4"/>
  <c r="BW298" i="4"/>
  <c r="AV298" i="4"/>
  <c r="E298" i="4"/>
  <c r="D298" i="4"/>
  <c r="AY298" i="4" s="1"/>
  <c r="C298" i="4"/>
  <c r="CG297" i="4"/>
  <c r="CF297" i="4"/>
  <c r="CD297" i="4" s="1"/>
  <c r="CC297" i="4"/>
  <c r="BV297" i="4" s="1"/>
  <c r="BX297" i="4" s="1"/>
  <c r="CA297" i="4"/>
  <c r="BZ297" i="4"/>
  <c r="BY297" i="4"/>
  <c r="BW297" i="4"/>
  <c r="AV297" i="4"/>
  <c r="H297" i="4"/>
  <c r="G297" i="4"/>
  <c r="E297" i="4"/>
  <c r="D297" i="4" s="1"/>
  <c r="AY297" i="4" s="1"/>
  <c r="C297" i="4"/>
  <c r="CG296" i="4"/>
  <c r="CF296" i="4"/>
  <c r="CC296" i="4" s="1"/>
  <c r="BV296" i="4" s="1"/>
  <c r="BX296" i="4" s="1"/>
  <c r="CD296" i="4"/>
  <c r="CA296" i="4"/>
  <c r="BZ296" i="4"/>
  <c r="BY296" i="4"/>
  <c r="BW296" i="4"/>
  <c r="AV296" i="4"/>
  <c r="E296" i="4"/>
  <c r="D296" i="4"/>
  <c r="AY296" i="4" s="1"/>
  <c r="C296" i="4"/>
  <c r="CG295" i="4"/>
  <c r="CF295" i="4"/>
  <c r="CB295" i="4" s="1"/>
  <c r="CE295" i="4" s="1"/>
  <c r="CD295" i="4"/>
  <c r="CC295" i="4"/>
  <c r="BV295" i="4" s="1"/>
  <c r="BX295" i="4" s="1"/>
  <c r="CA295" i="4"/>
  <c r="BZ295" i="4"/>
  <c r="BY295" i="4"/>
  <c r="BW295" i="4"/>
  <c r="AV295" i="4"/>
  <c r="E295" i="4"/>
  <c r="D295" i="4"/>
  <c r="AY295" i="4" s="1"/>
  <c r="C295" i="4"/>
  <c r="CG294" i="4"/>
  <c r="CF294" i="4"/>
  <c r="CB294" i="4" s="1"/>
  <c r="CA294" i="4"/>
  <c r="BZ294" i="4"/>
  <c r="BY294" i="4"/>
  <c r="BW294" i="4"/>
  <c r="AV294" i="4"/>
  <c r="E294" i="4"/>
  <c r="D294" i="4"/>
  <c r="AY294" i="4" s="1"/>
  <c r="C294" i="4"/>
  <c r="CG293" i="4"/>
  <c r="CF293" i="4"/>
  <c r="CC293" i="4" s="1"/>
  <c r="BV293" i="4" s="1"/>
  <c r="BX293" i="4" s="1"/>
  <c r="CA293" i="4"/>
  <c r="BZ293" i="4"/>
  <c r="BY293" i="4"/>
  <c r="BW293" i="4"/>
  <c r="AV293" i="4"/>
  <c r="E293" i="4"/>
  <c r="D293" i="4"/>
  <c r="AY293" i="4" s="1"/>
  <c r="C293" i="4"/>
  <c r="CG292" i="4"/>
  <c r="CF292" i="4"/>
  <c r="CD292" i="4" s="1"/>
  <c r="CB292" i="4"/>
  <c r="CA292" i="4"/>
  <c r="BZ292" i="4"/>
  <c r="CE292" i="4" s="1"/>
  <c r="BY292" i="4"/>
  <c r="BW292" i="4"/>
  <c r="AV292" i="4"/>
  <c r="G292" i="4"/>
  <c r="E292" i="4"/>
  <c r="D292" i="4"/>
  <c r="AY292" i="4" s="1"/>
  <c r="C292" i="4"/>
  <c r="CG291" i="4"/>
  <c r="CF291" i="4"/>
  <c r="CD291" i="4"/>
  <c r="CC291" i="4"/>
  <c r="CB291" i="4"/>
  <c r="CA291" i="4"/>
  <c r="BZ291" i="4"/>
  <c r="CE291" i="4" s="1"/>
  <c r="BY291" i="4"/>
  <c r="BW291" i="4"/>
  <c r="BV291" i="4"/>
  <c r="BX291" i="4" s="1"/>
  <c r="AV291" i="4"/>
  <c r="G291" i="4"/>
  <c r="E291" i="4"/>
  <c r="D291" i="4"/>
  <c r="AY291" i="4" s="1"/>
  <c r="C291" i="4"/>
  <c r="CG290" i="4"/>
  <c r="CF290" i="4"/>
  <c r="CD290" i="4"/>
  <c r="CA290" i="4"/>
  <c r="BZ290" i="4"/>
  <c r="BY290" i="4"/>
  <c r="BW290" i="4"/>
  <c r="AV290" i="4"/>
  <c r="H290" i="4"/>
  <c r="G290" i="4"/>
  <c r="E290" i="4"/>
  <c r="D290" i="4"/>
  <c r="AY290" i="4" s="1"/>
  <c r="C290" i="4"/>
  <c r="CG289" i="4"/>
  <c r="CF289" i="4"/>
  <c r="CC289" i="4" s="1"/>
  <c r="BV289" i="4" s="1"/>
  <c r="BX289" i="4" s="1"/>
  <c r="CA289" i="4"/>
  <c r="BZ289" i="4"/>
  <c r="BY289" i="4"/>
  <c r="BW289" i="4"/>
  <c r="AV289" i="4"/>
  <c r="G289" i="4"/>
  <c r="E289" i="4"/>
  <c r="D289" i="4"/>
  <c r="AY289" i="4" s="1"/>
  <c r="C289" i="4"/>
  <c r="CG288" i="4"/>
  <c r="CF288" i="4"/>
  <c r="CD288" i="4" s="1"/>
  <c r="CC288" i="4"/>
  <c r="BV288" i="4" s="1"/>
  <c r="BX288" i="4" s="1"/>
  <c r="CA288" i="4"/>
  <c r="BZ288" i="4"/>
  <c r="BY288" i="4"/>
  <c r="BW288" i="4"/>
  <c r="AV288" i="4"/>
  <c r="H288" i="4"/>
  <c r="G288" i="4"/>
  <c r="E288" i="4"/>
  <c r="D288" i="4" s="1"/>
  <c r="AY288" i="4" s="1"/>
  <c r="C288" i="4"/>
  <c r="CG287" i="4"/>
  <c r="CF287" i="4"/>
  <c r="CD287" i="4"/>
  <c r="CA287" i="4"/>
  <c r="BZ287" i="4"/>
  <c r="BY287" i="4"/>
  <c r="BW287" i="4"/>
  <c r="AV287" i="4"/>
  <c r="E287" i="4"/>
  <c r="D287" i="4"/>
  <c r="AY287" i="4" s="1"/>
  <c r="C287" i="4"/>
  <c r="CG286" i="4"/>
  <c r="CF286" i="4"/>
  <c r="CB286" i="4" s="1"/>
  <c r="CE286" i="4" s="1"/>
  <c r="CD286" i="4"/>
  <c r="CC286" i="4"/>
  <c r="BV286" i="4" s="1"/>
  <c r="BX286" i="4" s="1"/>
  <c r="CA286" i="4"/>
  <c r="BZ286" i="4"/>
  <c r="BY286" i="4"/>
  <c r="BW286" i="4"/>
  <c r="AV286" i="4"/>
  <c r="E286" i="4"/>
  <c r="D286" i="4"/>
  <c r="AY286" i="4" s="1"/>
  <c r="C286" i="4"/>
  <c r="CG285" i="4"/>
  <c r="CF285" i="4"/>
  <c r="CB285" i="4" s="1"/>
  <c r="CA285" i="4"/>
  <c r="BZ285" i="4"/>
  <c r="BY285" i="4"/>
  <c r="BW285" i="4"/>
  <c r="AV285" i="4"/>
  <c r="E285" i="4"/>
  <c r="D285" i="4"/>
  <c r="AY285" i="4" s="1"/>
  <c r="C285" i="4"/>
  <c r="CG284" i="4"/>
  <c r="CF284" i="4"/>
  <c r="CC284" i="4" s="1"/>
  <c r="BV284" i="4" s="1"/>
  <c r="BX284" i="4" s="1"/>
  <c r="CA284" i="4"/>
  <c r="BZ284" i="4"/>
  <c r="BY284" i="4"/>
  <c r="BW284" i="4"/>
  <c r="AV284" i="4"/>
  <c r="E284" i="4"/>
  <c r="D284" i="4"/>
  <c r="AY284" i="4" s="1"/>
  <c r="C284" i="4"/>
  <c r="CG283" i="4"/>
  <c r="CF283" i="4"/>
  <c r="CD283" i="4" s="1"/>
  <c r="CB283" i="4"/>
  <c r="CA283" i="4"/>
  <c r="BZ283" i="4"/>
  <c r="CE283" i="4" s="1"/>
  <c r="BY283" i="4"/>
  <c r="BW283" i="4"/>
  <c r="AV283" i="4"/>
  <c r="H283" i="4"/>
  <c r="G283" i="4"/>
  <c r="E283" i="4"/>
  <c r="D283" i="4"/>
  <c r="AY283" i="4" s="1"/>
  <c r="C283" i="4"/>
  <c r="CG282" i="4"/>
  <c r="CF282" i="4"/>
  <c r="CE282" i="4"/>
  <c r="CD282" i="4"/>
  <c r="CC282" i="4"/>
  <c r="BV282" i="4" s="1"/>
  <c r="BX282" i="4" s="1"/>
  <c r="CB282" i="4"/>
  <c r="CA282" i="4"/>
  <c r="BZ282" i="4"/>
  <c r="BY282" i="4"/>
  <c r="BW282" i="4"/>
  <c r="AV282" i="4"/>
  <c r="E282" i="4"/>
  <c r="D282" i="4"/>
  <c r="AY282" i="4" s="1"/>
  <c r="C282" i="4"/>
  <c r="CG281" i="4"/>
  <c r="CF281" i="4"/>
  <c r="CD281" i="4"/>
  <c r="CA281" i="4"/>
  <c r="BZ281" i="4"/>
  <c r="BY281" i="4"/>
  <c r="BW281" i="4"/>
  <c r="AV281" i="4"/>
  <c r="E281" i="4"/>
  <c r="D281" i="4"/>
  <c r="AY281" i="4" s="1"/>
  <c r="C281" i="4"/>
  <c r="CG280" i="4"/>
  <c r="CF280" i="4"/>
  <c r="CB280" i="4" s="1"/>
  <c r="CE280" i="4" s="1"/>
  <c r="CD280" i="4"/>
  <c r="CC280" i="4"/>
  <c r="CA280" i="4"/>
  <c r="BZ280" i="4"/>
  <c r="BY280" i="4"/>
  <c r="BW280" i="4"/>
  <c r="BV280" i="4"/>
  <c r="BX280" i="4" s="1"/>
  <c r="AV280" i="4"/>
  <c r="E280" i="4"/>
  <c r="D280" i="4"/>
  <c r="AY280" i="4" s="1"/>
  <c r="C280" i="4"/>
  <c r="CG279" i="4"/>
  <c r="CF279" i="4"/>
  <c r="CB279" i="4" s="1"/>
  <c r="CA279" i="4"/>
  <c r="BZ279" i="4"/>
  <c r="BY279" i="4"/>
  <c r="BW279" i="4"/>
  <c r="AV279" i="4"/>
  <c r="H279" i="4"/>
  <c r="G279" i="4"/>
  <c r="E279" i="4"/>
  <c r="D279" i="4"/>
  <c r="AY279" i="4" s="1"/>
  <c r="C279" i="4"/>
  <c r="CG278" i="4"/>
  <c r="CF278" i="4"/>
  <c r="CD278" i="4" s="1"/>
  <c r="CC278" i="4"/>
  <c r="BV278" i="4" s="1"/>
  <c r="BX278" i="4" s="1"/>
  <c r="CB278" i="4"/>
  <c r="CA278" i="4"/>
  <c r="BZ278" i="4"/>
  <c r="CE278" i="4" s="1"/>
  <c r="BY278" i="4"/>
  <c r="BW278" i="4"/>
  <c r="AY278" i="4"/>
  <c r="AV278" i="4"/>
  <c r="E278" i="4"/>
  <c r="D278" i="4"/>
  <c r="C278" i="4"/>
  <c r="CG277" i="4"/>
  <c r="CF277" i="4"/>
  <c r="CD277" i="4"/>
  <c r="CC277" i="4"/>
  <c r="CB277" i="4"/>
  <c r="CA277" i="4"/>
  <c r="BZ277" i="4"/>
  <c r="CE277" i="4" s="1"/>
  <c r="BY277" i="4"/>
  <c r="BW277" i="4"/>
  <c r="BV277" i="4"/>
  <c r="BX277" i="4" s="1"/>
  <c r="AV277" i="4"/>
  <c r="E277" i="4"/>
  <c r="D277" i="4"/>
  <c r="AY277" i="4" s="1"/>
  <c r="C277" i="4"/>
  <c r="CG276" i="4"/>
  <c r="CF276" i="4"/>
  <c r="CE276" i="4"/>
  <c r="CD276" i="4"/>
  <c r="CC276" i="4"/>
  <c r="BV276" i="4" s="1"/>
  <c r="BX276" i="4" s="1"/>
  <c r="CB276" i="4"/>
  <c r="CA276" i="4"/>
  <c r="BZ276" i="4"/>
  <c r="BY276" i="4"/>
  <c r="BW276" i="4"/>
  <c r="AV276" i="4"/>
  <c r="E276" i="4"/>
  <c r="D276" i="4"/>
  <c r="AY276" i="4" s="1"/>
  <c r="C276" i="4"/>
  <c r="CG275" i="4"/>
  <c r="CF275" i="4"/>
  <c r="CD275" i="4"/>
  <c r="CA275" i="4"/>
  <c r="BZ275" i="4"/>
  <c r="BY275" i="4"/>
  <c r="BW275" i="4"/>
  <c r="AV275" i="4"/>
  <c r="E275" i="4"/>
  <c r="D275" i="4"/>
  <c r="AY275" i="4" s="1"/>
  <c r="C275" i="4"/>
  <c r="CG274" i="4"/>
  <c r="CF274" i="4"/>
  <c r="CB274" i="4" s="1"/>
  <c r="CE274" i="4" s="1"/>
  <c r="CD274" i="4"/>
  <c r="CC274" i="4"/>
  <c r="BV274" i="4" s="1"/>
  <c r="BX274" i="4" s="1"/>
  <c r="CA274" i="4"/>
  <c r="BZ274" i="4"/>
  <c r="BY274" i="4"/>
  <c r="BW274" i="4"/>
  <c r="AV274" i="4"/>
  <c r="E274" i="4"/>
  <c r="D274" i="4"/>
  <c r="AY274" i="4" s="1"/>
  <c r="C274" i="4"/>
  <c r="CG273" i="4"/>
  <c r="CF273" i="4"/>
  <c r="CB273" i="4" s="1"/>
  <c r="BZ273" i="4"/>
  <c r="CE273" i="4" s="1"/>
  <c r="AV273" i="4"/>
  <c r="G273" i="4"/>
  <c r="F273" i="4"/>
  <c r="CA273" i="4" s="1"/>
  <c r="E273" i="4"/>
  <c r="D273" i="4"/>
  <c r="AY273" i="4" s="1"/>
  <c r="C273" i="4"/>
  <c r="CG272" i="4"/>
  <c r="CF272" i="4"/>
  <c r="CD272" i="4"/>
  <c r="CC272" i="4"/>
  <c r="CB272" i="4"/>
  <c r="CA272" i="4"/>
  <c r="BZ272" i="4"/>
  <c r="CE272" i="4" s="1"/>
  <c r="BV272" i="4"/>
  <c r="AV272" i="4"/>
  <c r="G272" i="4"/>
  <c r="F272" i="4"/>
  <c r="E272" i="4"/>
  <c r="C272" i="4"/>
  <c r="CG271" i="4"/>
  <c r="CF271" i="4"/>
  <c r="CB271" i="4" s="1"/>
  <c r="BZ271" i="4"/>
  <c r="CE271" i="4" s="1"/>
  <c r="AV271" i="4"/>
  <c r="G271" i="4"/>
  <c r="F271" i="4"/>
  <c r="CA271" i="4" s="1"/>
  <c r="E271" i="4"/>
  <c r="D271" i="4"/>
  <c r="AY271" i="4" s="1"/>
  <c r="C271" i="4"/>
  <c r="CG270" i="4"/>
  <c r="CF270" i="4"/>
  <c r="CD270" i="4"/>
  <c r="CC270" i="4"/>
  <c r="CB270" i="4"/>
  <c r="CA270" i="4"/>
  <c r="BZ270" i="4"/>
  <c r="CE270" i="4" s="1"/>
  <c r="BV270" i="4"/>
  <c r="AV270" i="4"/>
  <c r="G270" i="4"/>
  <c r="F270" i="4"/>
  <c r="E270" i="4"/>
  <c r="C270" i="4"/>
  <c r="CG269" i="4"/>
  <c r="CF269" i="4"/>
  <c r="CB269" i="4" s="1"/>
  <c r="BZ269" i="4"/>
  <c r="BW269" i="4"/>
  <c r="AV269" i="4"/>
  <c r="G269" i="4"/>
  <c r="F269" i="4"/>
  <c r="CA269" i="4" s="1"/>
  <c r="E269" i="4"/>
  <c r="D269" i="4" s="1"/>
  <c r="AY269" i="4" s="1"/>
  <c r="C269" i="4"/>
  <c r="CG268" i="4"/>
  <c r="CF268" i="4"/>
  <c r="CD268" i="4"/>
  <c r="CC268" i="4"/>
  <c r="CB268" i="4"/>
  <c r="CA268" i="4"/>
  <c r="BZ268" i="4"/>
  <c r="CE268" i="4" s="1"/>
  <c r="BV268" i="4"/>
  <c r="BX268" i="4" s="1"/>
  <c r="AV268" i="4"/>
  <c r="H268" i="4"/>
  <c r="G268" i="4"/>
  <c r="F268" i="4"/>
  <c r="BW268" i="4" s="1"/>
  <c r="E268" i="4"/>
  <c r="C268" i="4"/>
  <c r="CG267" i="4"/>
  <c r="CF267" i="4"/>
  <c r="CB267" i="4" s="1"/>
  <c r="CA267" i="4"/>
  <c r="BZ267" i="4"/>
  <c r="BY267" i="4"/>
  <c r="BW267" i="4"/>
  <c r="AV267" i="4"/>
  <c r="E267" i="4"/>
  <c r="D267" i="4"/>
  <c r="AY267" i="4" s="1"/>
  <c r="C267" i="4"/>
  <c r="CG266" i="4"/>
  <c r="CF266" i="4"/>
  <c r="CC266" i="4" s="1"/>
  <c r="BV266" i="4" s="1"/>
  <c r="BX266" i="4" s="1"/>
  <c r="CA266" i="4"/>
  <c r="BZ266" i="4"/>
  <c r="BY266" i="4"/>
  <c r="BW266" i="4"/>
  <c r="BN266" i="4"/>
  <c r="AV266" i="4"/>
  <c r="E266" i="4"/>
  <c r="D266" i="4"/>
  <c r="AY266" i="4" s="1"/>
  <c r="C266" i="4"/>
  <c r="CG265" i="4"/>
  <c r="CF265" i="4"/>
  <c r="CD265" i="4" s="1"/>
  <c r="CC265" i="4"/>
  <c r="BV265" i="4" s="1"/>
  <c r="BX265" i="4" s="1"/>
  <c r="CB265" i="4"/>
  <c r="CA265" i="4"/>
  <c r="BZ265" i="4"/>
  <c r="CE265" i="4" s="1"/>
  <c r="BY265" i="4"/>
  <c r="BW265" i="4"/>
  <c r="AV265" i="4"/>
  <c r="E265" i="4"/>
  <c r="D265" i="4"/>
  <c r="AY265" i="4" s="1"/>
  <c r="C265" i="4"/>
  <c r="CG264" i="4"/>
  <c r="CF264" i="4"/>
  <c r="CD264" i="4"/>
  <c r="CC264" i="4"/>
  <c r="CB264" i="4"/>
  <c r="CA264" i="4"/>
  <c r="BZ264" i="4"/>
  <c r="BY264" i="4"/>
  <c r="BW264" i="4"/>
  <c r="BV264" i="4"/>
  <c r="BX264" i="4" s="1"/>
  <c r="AV264" i="4"/>
  <c r="H264" i="4"/>
  <c r="G264" i="4"/>
  <c r="E264" i="4"/>
  <c r="D264" i="4" s="1"/>
  <c r="AY264" i="4" s="1"/>
  <c r="C264" i="4"/>
  <c r="CG263" i="4"/>
  <c r="CF263" i="4"/>
  <c r="CD263" i="4" s="1"/>
  <c r="CC263" i="4"/>
  <c r="BV263" i="4" s="1"/>
  <c r="BX263" i="4" s="1"/>
  <c r="CA263" i="4"/>
  <c r="BZ263" i="4"/>
  <c r="BY263" i="4"/>
  <c r="BW263" i="4"/>
  <c r="AY263" i="4"/>
  <c r="AV263" i="4"/>
  <c r="E263" i="4"/>
  <c r="D263" i="4"/>
  <c r="C263" i="4"/>
  <c r="CG262" i="4"/>
  <c r="CF262" i="4"/>
  <c r="BZ262" i="4"/>
  <c r="AV262" i="4"/>
  <c r="G262" i="4"/>
  <c r="F262" i="4"/>
  <c r="CA262" i="4" s="1"/>
  <c r="E262" i="4"/>
  <c r="C262" i="4"/>
  <c r="CG261" i="4"/>
  <c r="CF261" i="4"/>
  <c r="CD261" i="4"/>
  <c r="CC261" i="4"/>
  <c r="CB261" i="4"/>
  <c r="CA261" i="4"/>
  <c r="BZ261" i="4"/>
  <c r="CE261" i="4" s="1"/>
  <c r="BV261" i="4"/>
  <c r="BX261" i="4" s="1"/>
  <c r="AV261" i="4"/>
  <c r="H261" i="4"/>
  <c r="G261" i="4"/>
  <c r="F261" i="4"/>
  <c r="BW261" i="4" s="1"/>
  <c r="E261" i="4"/>
  <c r="C261" i="4"/>
  <c r="CG260" i="4"/>
  <c r="CF260" i="4"/>
  <c r="BZ260" i="4"/>
  <c r="BY260" i="4"/>
  <c r="BW260" i="4"/>
  <c r="AV260" i="4"/>
  <c r="H260" i="4"/>
  <c r="G260" i="4"/>
  <c r="E260" i="4"/>
  <c r="D260" i="4"/>
  <c r="AY260" i="4" s="1"/>
  <c r="C260" i="4"/>
  <c r="CG259" i="4"/>
  <c r="CF259" i="4"/>
  <c r="CD259" i="4" s="1"/>
  <c r="CC259" i="4"/>
  <c r="BV259" i="4" s="1"/>
  <c r="BX259" i="4" s="1"/>
  <c r="CB259" i="4"/>
  <c r="CA259" i="4"/>
  <c r="BZ259" i="4"/>
  <c r="CE259" i="4" s="1"/>
  <c r="BY259" i="4"/>
  <c r="BW259" i="4"/>
  <c r="AV259" i="4"/>
  <c r="G259" i="4"/>
  <c r="E259" i="4"/>
  <c r="D259" i="4"/>
  <c r="AY259" i="4" s="1"/>
  <c r="C259" i="4"/>
  <c r="CG258" i="4"/>
  <c r="CF258" i="4"/>
  <c r="CE258" i="4"/>
  <c r="CD258" i="4"/>
  <c r="CC258" i="4"/>
  <c r="BV258" i="4" s="1"/>
  <c r="BX258" i="4" s="1"/>
  <c r="CB258" i="4"/>
  <c r="CA258" i="4"/>
  <c r="BZ258" i="4"/>
  <c r="BY258" i="4"/>
  <c r="BW258" i="4"/>
  <c r="AY258" i="4"/>
  <c r="AV258" i="4"/>
  <c r="E258" i="4"/>
  <c r="D258" i="4"/>
  <c r="C258" i="4"/>
  <c r="CG257" i="4"/>
  <c r="CF257" i="4"/>
  <c r="CD257" i="4" s="1"/>
  <c r="CA257" i="4"/>
  <c r="BZ257" i="4"/>
  <c r="BY257" i="4"/>
  <c r="BW257" i="4"/>
  <c r="AV257" i="4"/>
  <c r="E257" i="4"/>
  <c r="D257" i="4"/>
  <c r="AY257" i="4" s="1"/>
  <c r="C257" i="4"/>
  <c r="CG256" i="4"/>
  <c r="CF256" i="4"/>
  <c r="CD256" i="4" s="1"/>
  <c r="CC256" i="4"/>
  <c r="BV256" i="4" s="1"/>
  <c r="BX256" i="4" s="1"/>
  <c r="CA256" i="4"/>
  <c r="BZ256" i="4"/>
  <c r="BY256" i="4"/>
  <c r="BW256" i="4"/>
  <c r="AV256" i="4"/>
  <c r="E256" i="4"/>
  <c r="D256" i="4"/>
  <c r="AY256" i="4" s="1"/>
  <c r="C256" i="4"/>
  <c r="CG255" i="4"/>
  <c r="CF255" i="4"/>
  <c r="CA255" i="4"/>
  <c r="BZ255" i="4"/>
  <c r="BY255" i="4"/>
  <c r="BW255" i="4"/>
  <c r="AV255" i="4"/>
  <c r="E255" i="4"/>
  <c r="D255" i="4"/>
  <c r="AY255" i="4" s="1"/>
  <c r="C255" i="4"/>
  <c r="CG254" i="4"/>
  <c r="CF254" i="4"/>
  <c r="CC254" i="4" s="1"/>
  <c r="BV254" i="4" s="1"/>
  <c r="BX254" i="4" s="1"/>
  <c r="CA254" i="4"/>
  <c r="BZ254" i="4"/>
  <c r="BY254" i="4"/>
  <c r="BW254" i="4"/>
  <c r="AV254" i="4"/>
  <c r="E254" i="4"/>
  <c r="D254" i="4"/>
  <c r="AY254" i="4" s="1"/>
  <c r="C254" i="4"/>
  <c r="CG253" i="4"/>
  <c r="CF253" i="4"/>
  <c r="CD253" i="4" s="1"/>
  <c r="CB253" i="4"/>
  <c r="CA253" i="4"/>
  <c r="BZ253" i="4"/>
  <c r="CE253" i="4" s="1"/>
  <c r="BY253" i="4"/>
  <c r="BW253" i="4"/>
  <c r="AV253" i="4"/>
  <c r="E253" i="4"/>
  <c r="D253" i="4"/>
  <c r="AY253" i="4" s="1"/>
  <c r="C253" i="4"/>
  <c r="CG252" i="4"/>
  <c r="CF252" i="4"/>
  <c r="CD252" i="4" s="1"/>
  <c r="CC252" i="4"/>
  <c r="BV252" i="4" s="1"/>
  <c r="BX252" i="4" s="1"/>
  <c r="CB252" i="4"/>
  <c r="CA252" i="4"/>
  <c r="BZ252" i="4"/>
  <c r="CE252" i="4" s="1"/>
  <c r="BY252" i="4"/>
  <c r="BW252" i="4"/>
  <c r="AV252" i="4"/>
  <c r="E252" i="4"/>
  <c r="D252" i="4"/>
  <c r="AY252" i="4" s="1"/>
  <c r="C252" i="4"/>
  <c r="CG251" i="4"/>
  <c r="CF251" i="4"/>
  <c r="CD251" i="4"/>
  <c r="CC251" i="4"/>
  <c r="CB251" i="4"/>
  <c r="CA251" i="4"/>
  <c r="BZ251" i="4"/>
  <c r="BY251" i="4"/>
  <c r="BW251" i="4"/>
  <c r="BV251" i="4"/>
  <c r="BX251" i="4" s="1"/>
  <c r="AV251" i="4"/>
  <c r="E251" i="4"/>
  <c r="D251" i="4"/>
  <c r="AY251" i="4" s="1"/>
  <c r="C251" i="4"/>
  <c r="CG250" i="4"/>
  <c r="CF250" i="4"/>
  <c r="CE250" i="4"/>
  <c r="CD250" i="4"/>
  <c r="CC250" i="4"/>
  <c r="BV250" i="4" s="1"/>
  <c r="CB250" i="4"/>
  <c r="CA250" i="4"/>
  <c r="BZ250" i="4"/>
  <c r="BY250" i="4"/>
  <c r="BW250" i="4"/>
  <c r="AV250" i="4"/>
  <c r="H250" i="4"/>
  <c r="G250" i="4"/>
  <c r="E250" i="4"/>
  <c r="D250" i="4" s="1"/>
  <c r="AY250" i="4" s="1"/>
  <c r="C250" i="4"/>
  <c r="CG249" i="4"/>
  <c r="CF249" i="4"/>
  <c r="CA249" i="4"/>
  <c r="BZ249" i="4"/>
  <c r="BY249" i="4"/>
  <c r="BW249" i="4"/>
  <c r="BN249" i="4"/>
  <c r="AV249" i="4"/>
  <c r="E249" i="4"/>
  <c r="D249" i="4"/>
  <c r="AY249" i="4" s="1"/>
  <c r="C249" i="4"/>
  <c r="CG248" i="4"/>
  <c r="CF248" i="4"/>
  <c r="CD248" i="4" s="1"/>
  <c r="CB248" i="4"/>
  <c r="CA248" i="4"/>
  <c r="BZ248" i="4"/>
  <c r="BY248" i="4"/>
  <c r="BW248" i="4"/>
  <c r="AV248" i="4"/>
  <c r="E248" i="4"/>
  <c r="D248" i="4"/>
  <c r="AY248" i="4" s="1"/>
  <c r="C248" i="4"/>
  <c r="CG247" i="4"/>
  <c r="CF247" i="4"/>
  <c r="CD247" i="4" s="1"/>
  <c r="CC247" i="4"/>
  <c r="CA247" i="4"/>
  <c r="BZ247" i="4"/>
  <c r="AV247" i="4"/>
  <c r="G247" i="4"/>
  <c r="F247" i="4"/>
  <c r="E247" i="4"/>
  <c r="C247" i="4"/>
  <c r="CG246" i="4"/>
  <c r="CF246" i="4"/>
  <c r="BZ246" i="4"/>
  <c r="AV246" i="4"/>
  <c r="G246" i="4"/>
  <c r="F246" i="4"/>
  <c r="D246" i="4" s="1"/>
  <c r="AY246" i="4" s="1"/>
  <c r="E246" i="4"/>
  <c r="C246" i="4"/>
  <c r="CG245" i="4"/>
  <c r="CF245" i="4"/>
  <c r="CD245" i="4" s="1"/>
  <c r="CC245" i="4"/>
  <c r="BV245" i="4" s="1"/>
  <c r="BX245" i="4" s="1"/>
  <c r="CB245" i="4"/>
  <c r="CA245" i="4"/>
  <c r="BZ245" i="4"/>
  <c r="CE245" i="4" s="1"/>
  <c r="BY245" i="4"/>
  <c r="BW245" i="4"/>
  <c r="AV245" i="4"/>
  <c r="E245" i="4"/>
  <c r="D245" i="4"/>
  <c r="AY245" i="4" s="1"/>
  <c r="C245" i="4"/>
  <c r="CG244" i="4"/>
  <c r="CF244" i="4"/>
  <c r="CD244" i="4"/>
  <c r="CC244" i="4"/>
  <c r="CB244" i="4"/>
  <c r="CA244" i="4"/>
  <c r="BZ244" i="4"/>
  <c r="BY244" i="4"/>
  <c r="BW244" i="4"/>
  <c r="BV244" i="4"/>
  <c r="BX244" i="4" s="1"/>
  <c r="AY244" i="4"/>
  <c r="AV244" i="4"/>
  <c r="H244" i="4"/>
  <c r="G244" i="4"/>
  <c r="E244" i="4"/>
  <c r="D244" i="4" s="1"/>
  <c r="C244" i="4"/>
  <c r="CG243" i="4"/>
  <c r="CF243" i="4"/>
  <c r="CC243" i="4" s="1"/>
  <c r="BZ243" i="4"/>
  <c r="AV243" i="4"/>
  <c r="G243" i="4"/>
  <c r="F243" i="4"/>
  <c r="E243" i="4"/>
  <c r="D243" i="4"/>
  <c r="AY243" i="4" s="1"/>
  <c r="C243" i="4"/>
  <c r="CG242" i="4"/>
  <c r="CF242" i="4"/>
  <c r="BZ242" i="4"/>
  <c r="AV242" i="4"/>
  <c r="G242" i="4"/>
  <c r="F242" i="4"/>
  <c r="CA242" i="4" s="1"/>
  <c r="E242" i="4"/>
  <c r="C242" i="4"/>
  <c r="CG241" i="4"/>
  <c r="CF241" i="4"/>
  <c r="BZ241" i="4"/>
  <c r="AV241" i="4"/>
  <c r="G241" i="4"/>
  <c r="F241" i="4"/>
  <c r="E241" i="4"/>
  <c r="D241" i="4"/>
  <c r="AY241" i="4" s="1"/>
  <c r="C241" i="4"/>
  <c r="CG240" i="4"/>
  <c r="CF240" i="4"/>
  <c r="CD240" i="4" s="1"/>
  <c r="CC240" i="4"/>
  <c r="CB240" i="4"/>
  <c r="CA240" i="4"/>
  <c r="BZ240" i="4"/>
  <c r="BN240" i="4"/>
  <c r="AV240" i="4"/>
  <c r="G240" i="4"/>
  <c r="F240" i="4"/>
  <c r="E240" i="4"/>
  <c r="C240" i="4"/>
  <c r="CG239" i="4"/>
  <c r="CF239" i="4"/>
  <c r="BZ239" i="4"/>
  <c r="BN239" i="4"/>
  <c r="AV239" i="4"/>
  <c r="G239" i="4"/>
  <c r="F239" i="4"/>
  <c r="E239" i="4"/>
  <c r="D239" i="4"/>
  <c r="AY239" i="4" s="1"/>
  <c r="C239" i="4"/>
  <c r="CG238" i="4"/>
  <c r="CF238" i="4"/>
  <c r="CE238" i="4"/>
  <c r="CD238" i="4"/>
  <c r="CC238" i="4"/>
  <c r="BV238" i="4" s="1"/>
  <c r="CB238" i="4"/>
  <c r="CA238" i="4"/>
  <c r="BZ238" i="4"/>
  <c r="BN238" i="4"/>
  <c r="AV238" i="4"/>
  <c r="G238" i="4"/>
  <c r="F238" i="4"/>
  <c r="E238" i="4"/>
  <c r="D238" i="4"/>
  <c r="AY238" i="4" s="1"/>
  <c r="C238" i="4"/>
  <c r="CG237" i="4"/>
  <c r="CF237" i="4"/>
  <c r="BZ237" i="4"/>
  <c r="BN237" i="4"/>
  <c r="AV237" i="4"/>
  <c r="G237" i="4"/>
  <c r="F237" i="4"/>
  <c r="E237" i="4"/>
  <c r="C237" i="4"/>
  <c r="CG236" i="4"/>
  <c r="CF236" i="4"/>
  <c r="CC236" i="4" s="1"/>
  <c r="BZ236" i="4"/>
  <c r="BY236" i="4"/>
  <c r="BW236" i="4"/>
  <c r="AV236" i="4"/>
  <c r="G236" i="4"/>
  <c r="F236" i="4"/>
  <c r="E236" i="4"/>
  <c r="D236" i="4"/>
  <c r="AY236" i="4" s="1"/>
  <c r="C236" i="4"/>
  <c r="CG235" i="4"/>
  <c r="CF235" i="4"/>
  <c r="CD235" i="4" s="1"/>
  <c r="CC235" i="4"/>
  <c r="BV235" i="4" s="1"/>
  <c r="BX235" i="4" s="1"/>
  <c r="CB235" i="4"/>
  <c r="CA235" i="4"/>
  <c r="BZ235" i="4"/>
  <c r="BY235" i="4"/>
  <c r="BW235" i="4"/>
  <c r="AV235" i="4"/>
  <c r="E235" i="4"/>
  <c r="D235" i="4"/>
  <c r="AY235" i="4" s="1"/>
  <c r="C235" i="4"/>
  <c r="CG234" i="4"/>
  <c r="CF234" i="4"/>
  <c r="CD234" i="4"/>
  <c r="CC234" i="4"/>
  <c r="CB234" i="4"/>
  <c r="CA234" i="4"/>
  <c r="BZ234" i="4"/>
  <c r="CE234" i="4" s="1"/>
  <c r="BY234" i="4"/>
  <c r="BW234" i="4"/>
  <c r="BV234" i="4"/>
  <c r="BX234" i="4" s="1"/>
  <c r="AV234" i="4"/>
  <c r="E234" i="4"/>
  <c r="D234" i="4"/>
  <c r="AY234" i="4" s="1"/>
  <c r="C234" i="4"/>
  <c r="CG233" i="4"/>
  <c r="CF233" i="4"/>
  <c r="CE233" i="4"/>
  <c r="CD233" i="4"/>
  <c r="CC233" i="4"/>
  <c r="CB233" i="4"/>
  <c r="CA233" i="4"/>
  <c r="BZ233" i="4"/>
  <c r="BY233" i="4"/>
  <c r="BW233" i="4"/>
  <c r="BV233" i="4"/>
  <c r="BX233" i="4" s="1"/>
  <c r="AV233" i="4"/>
  <c r="H233" i="4"/>
  <c r="G233" i="4"/>
  <c r="E233" i="4"/>
  <c r="D233" i="4" s="1"/>
  <c r="AY233" i="4" s="1"/>
  <c r="C233" i="4"/>
  <c r="CG232" i="4"/>
  <c r="CF232" i="4"/>
  <c r="CA232" i="4"/>
  <c r="BZ232" i="4"/>
  <c r="BY232" i="4"/>
  <c r="BW232" i="4"/>
  <c r="AV232" i="4"/>
  <c r="E232" i="4"/>
  <c r="D232" i="4"/>
  <c r="AY232" i="4" s="1"/>
  <c r="C232" i="4"/>
  <c r="CG231" i="4"/>
  <c r="CF231" i="4"/>
  <c r="CA231" i="4"/>
  <c r="BZ231" i="4"/>
  <c r="BY231" i="4"/>
  <c r="BW231" i="4"/>
  <c r="AV231" i="4"/>
  <c r="E231" i="4"/>
  <c r="D231" i="4"/>
  <c r="AY231" i="4" s="1"/>
  <c r="C231" i="4"/>
  <c r="CG230" i="4"/>
  <c r="CF230" i="4"/>
  <c r="CB230" i="4" s="1"/>
  <c r="CA230" i="4"/>
  <c r="BZ230" i="4"/>
  <c r="BY230" i="4"/>
  <c r="BW230" i="4"/>
  <c r="AV230" i="4"/>
  <c r="E230" i="4"/>
  <c r="D230" i="4"/>
  <c r="AY230" i="4" s="1"/>
  <c r="C230" i="4"/>
  <c r="CG229" i="4"/>
  <c r="CF229" i="4"/>
  <c r="CD229" i="4" s="1"/>
  <c r="CC229" i="4"/>
  <c r="BV229" i="4" s="1"/>
  <c r="CB229" i="4"/>
  <c r="CA229" i="4"/>
  <c r="BZ229" i="4"/>
  <c r="CE229" i="4" s="1"/>
  <c r="BY229" i="4"/>
  <c r="BX229" i="4"/>
  <c r="BW229" i="4"/>
  <c r="AV229" i="4"/>
  <c r="E229" i="4"/>
  <c r="D229" i="4"/>
  <c r="AY229" i="4" s="1"/>
  <c r="C229" i="4"/>
  <c r="CG228" i="4"/>
  <c r="CF228" i="4"/>
  <c r="CD228" i="4"/>
  <c r="CC228" i="4"/>
  <c r="CB228" i="4"/>
  <c r="CA228" i="4"/>
  <c r="BZ228" i="4"/>
  <c r="BY228" i="4"/>
  <c r="BW228" i="4"/>
  <c r="BV228" i="4"/>
  <c r="BX228" i="4" s="1"/>
  <c r="AV228" i="4"/>
  <c r="E228" i="4"/>
  <c r="D228" i="4"/>
  <c r="AY228" i="4" s="1"/>
  <c r="C228" i="4"/>
  <c r="CG227" i="4"/>
  <c r="CF227" i="4"/>
  <c r="CD227" i="4"/>
  <c r="CC227" i="4"/>
  <c r="CB227" i="4"/>
  <c r="CE227" i="4" s="1"/>
  <c r="CA227" i="4"/>
  <c r="BZ227" i="4"/>
  <c r="BY227" i="4"/>
  <c r="BW227" i="4"/>
  <c r="BV227" i="4"/>
  <c r="AV227" i="4"/>
  <c r="E227" i="4"/>
  <c r="D227" i="4"/>
  <c r="AY227" i="4" s="1"/>
  <c r="C227" i="4"/>
  <c r="CG226" i="4"/>
  <c r="CF226" i="4"/>
  <c r="CA226" i="4"/>
  <c r="BZ226" i="4"/>
  <c r="BY226" i="4"/>
  <c r="BW226" i="4"/>
  <c r="AV226" i="4"/>
  <c r="E226" i="4"/>
  <c r="D226" i="4"/>
  <c r="AY226" i="4" s="1"/>
  <c r="C226" i="4"/>
  <c r="CG225" i="4"/>
  <c r="CF225" i="4"/>
  <c r="CE225" i="4" s="1"/>
  <c r="CB225" i="4"/>
  <c r="CA225" i="4"/>
  <c r="BZ225" i="4"/>
  <c r="BY225" i="4"/>
  <c r="BW225" i="4"/>
  <c r="BN225" i="4"/>
  <c r="AV225" i="4"/>
  <c r="E225" i="4"/>
  <c r="D225" i="4"/>
  <c r="AY225" i="4" s="1"/>
  <c r="C225" i="4"/>
  <c r="CG224" i="4"/>
  <c r="CF224" i="4"/>
  <c r="CB224" i="4" s="1"/>
  <c r="CD224" i="4"/>
  <c r="CA224" i="4"/>
  <c r="BZ224" i="4"/>
  <c r="CE224" i="4" s="1"/>
  <c r="BY224" i="4"/>
  <c r="BW224" i="4"/>
  <c r="BN224" i="4"/>
  <c r="AV224" i="4"/>
  <c r="E224" i="4"/>
  <c r="D224" i="4"/>
  <c r="AY224" i="4" s="1"/>
  <c r="C224" i="4"/>
  <c r="CG223" i="4"/>
  <c r="CF223" i="4"/>
  <c r="CD223" i="4" s="1"/>
  <c r="CC223" i="4"/>
  <c r="BV223" i="4" s="1"/>
  <c r="BX223" i="4" s="1"/>
  <c r="CA223" i="4"/>
  <c r="BZ223" i="4"/>
  <c r="BY223" i="4"/>
  <c r="BW223" i="4"/>
  <c r="BN223" i="4"/>
  <c r="AV223" i="4"/>
  <c r="E223" i="4"/>
  <c r="D223" i="4"/>
  <c r="AY223" i="4" s="1"/>
  <c r="C223" i="4"/>
  <c r="CG222" i="4"/>
  <c r="CF222" i="4"/>
  <c r="CD222" i="4"/>
  <c r="CC222" i="4"/>
  <c r="CB222" i="4"/>
  <c r="CA222" i="4"/>
  <c r="BZ222" i="4"/>
  <c r="CE222" i="4" s="1"/>
  <c r="BY222" i="4"/>
  <c r="BW222" i="4"/>
  <c r="BV222" i="4"/>
  <c r="BN222" i="4"/>
  <c r="AV222" i="4"/>
  <c r="E222" i="4"/>
  <c r="D222" i="4"/>
  <c r="AY222" i="4" s="1"/>
  <c r="C222" i="4"/>
  <c r="CG221" i="4"/>
  <c r="CF221" i="4"/>
  <c r="CD221" i="4" s="1"/>
  <c r="CE221" i="4"/>
  <c r="CC221" i="4"/>
  <c r="BV221" i="4" s="1"/>
  <c r="BX221" i="4" s="1"/>
  <c r="CB221" i="4"/>
  <c r="CA221" i="4"/>
  <c r="BZ221" i="4"/>
  <c r="BY221" i="4"/>
  <c r="BW221" i="4"/>
  <c r="AV221" i="4"/>
  <c r="H221" i="4"/>
  <c r="G221" i="4"/>
  <c r="E221" i="4"/>
  <c r="D221" i="4" s="1"/>
  <c r="AY221" i="4" s="1"/>
  <c r="C221" i="4"/>
  <c r="CG220" i="4"/>
  <c r="CF220" i="4"/>
  <c r="CC220" i="4" s="1"/>
  <c r="BV220" i="4" s="1"/>
  <c r="BX220" i="4" s="1"/>
  <c r="CA220" i="4"/>
  <c r="BZ220" i="4"/>
  <c r="BY220" i="4"/>
  <c r="BW220" i="4"/>
  <c r="AV220" i="4"/>
  <c r="E220" i="4"/>
  <c r="D220" i="4"/>
  <c r="AY220" i="4" s="1"/>
  <c r="C220" i="4"/>
  <c r="CG219" i="4"/>
  <c r="CF219" i="4"/>
  <c r="CD219" i="4" s="1"/>
  <c r="CE219" i="4"/>
  <c r="CC219" i="4"/>
  <c r="BV219" i="4" s="1"/>
  <c r="CB219" i="4"/>
  <c r="CA219" i="4"/>
  <c r="BZ219" i="4"/>
  <c r="BY219" i="4"/>
  <c r="BX219" i="4"/>
  <c r="BW219" i="4"/>
  <c r="BN219" i="4"/>
  <c r="AV219" i="4"/>
  <c r="E219" i="4"/>
  <c r="D219" i="4"/>
  <c r="AY219" i="4" s="1"/>
  <c r="C219" i="4"/>
  <c r="CG218" i="4"/>
  <c r="CF218" i="4"/>
  <c r="CE218" i="4"/>
  <c r="CD218" i="4"/>
  <c r="CC218" i="4"/>
  <c r="CB218" i="4"/>
  <c r="CA218" i="4"/>
  <c r="BZ218" i="4"/>
  <c r="BY218" i="4"/>
  <c r="BW218" i="4"/>
  <c r="BV218" i="4"/>
  <c r="BX218" i="4" s="1"/>
  <c r="BN218" i="4"/>
  <c r="AV218" i="4"/>
  <c r="E218" i="4"/>
  <c r="D218" i="4"/>
  <c r="AY218" i="4" s="1"/>
  <c r="C218" i="4"/>
  <c r="CG217" i="4"/>
  <c r="CF217" i="4"/>
  <c r="CA217" i="4"/>
  <c r="BZ217" i="4"/>
  <c r="BY217" i="4"/>
  <c r="BW217" i="4"/>
  <c r="AV217" i="4"/>
  <c r="E217" i="4"/>
  <c r="D217" i="4"/>
  <c r="AY217" i="4" s="1"/>
  <c r="C217" i="4"/>
  <c r="CG216" i="4"/>
  <c r="CF216" i="4"/>
  <c r="CA216" i="4"/>
  <c r="BZ216" i="4"/>
  <c r="BY216" i="4"/>
  <c r="BW216" i="4"/>
  <c r="AV216" i="4"/>
  <c r="E216" i="4"/>
  <c r="D216" i="4"/>
  <c r="AY216" i="4" s="1"/>
  <c r="C216" i="4"/>
  <c r="CG215" i="4"/>
  <c r="CF215" i="4"/>
  <c r="BZ215" i="4"/>
  <c r="AV215" i="4"/>
  <c r="G215" i="4"/>
  <c r="F215" i="4"/>
  <c r="BY215" i="4" s="1"/>
  <c r="E215" i="4"/>
  <c r="C215" i="4"/>
  <c r="CG214" i="4"/>
  <c r="CF214" i="4"/>
  <c r="CE214" i="4"/>
  <c r="CC214" i="4"/>
  <c r="BV214" i="4" s="1"/>
  <c r="CB214" i="4"/>
  <c r="BZ214" i="4"/>
  <c r="AV214" i="4"/>
  <c r="H214" i="4"/>
  <c r="G214" i="4"/>
  <c r="F214" i="4"/>
  <c r="BY214" i="4" s="1"/>
  <c r="E214" i="4"/>
  <c r="C214" i="4"/>
  <c r="CG213" i="4"/>
  <c r="CF213" i="4"/>
  <c r="CB213" i="4" s="1"/>
  <c r="CA213" i="4"/>
  <c r="BZ213" i="4"/>
  <c r="AV213" i="4"/>
  <c r="G213" i="4"/>
  <c r="E213" i="4"/>
  <c r="D213" i="4"/>
  <c r="AY213" i="4" s="1"/>
  <c r="C213" i="4"/>
  <c r="CG212" i="4"/>
  <c r="CF212" i="4"/>
  <c r="CD212" i="4" s="1"/>
  <c r="CA212" i="4"/>
  <c r="BZ212" i="4"/>
  <c r="AV212" i="4"/>
  <c r="G212" i="4"/>
  <c r="E212" i="4"/>
  <c r="D212" i="4"/>
  <c r="AY212" i="4" s="1"/>
  <c r="C212" i="4"/>
  <c r="CF211" i="4"/>
  <c r="CD211" i="4" s="1"/>
  <c r="CB211" i="4"/>
  <c r="CA211" i="4"/>
  <c r="BZ211" i="4"/>
  <c r="CE211" i="4" s="1"/>
  <c r="BY211" i="4"/>
  <c r="BW211" i="4"/>
  <c r="H211" i="4"/>
  <c r="H212" i="4" s="1"/>
  <c r="CF210" i="4"/>
  <c r="CC210" i="4" s="1"/>
  <c r="BV210" i="4" s="1"/>
  <c r="BX210" i="4" s="1"/>
  <c r="CD210" i="4"/>
  <c r="CA210" i="4"/>
  <c r="BZ210" i="4"/>
  <c r="BY210" i="4"/>
  <c r="BW210" i="4"/>
  <c r="CG209" i="4"/>
  <c r="CF209" i="4"/>
  <c r="CD209" i="4" s="1"/>
  <c r="CA209" i="4"/>
  <c r="BZ209" i="4"/>
  <c r="BW209" i="4"/>
  <c r="AV209" i="4"/>
  <c r="H209" i="4"/>
  <c r="G209" i="4"/>
  <c r="F209" i="4"/>
  <c r="BY209" i="4" s="1"/>
  <c r="E209" i="4"/>
  <c r="D209" i="4" s="1"/>
  <c r="AY209" i="4" s="1"/>
  <c r="C209" i="4"/>
  <c r="CG208" i="4"/>
  <c r="CF208" i="4"/>
  <c r="CB208" i="4" s="1"/>
  <c r="CD208" i="4"/>
  <c r="CA208" i="4"/>
  <c r="BZ208" i="4"/>
  <c r="AV208" i="4"/>
  <c r="G208" i="4"/>
  <c r="F208" i="4"/>
  <c r="E208" i="4"/>
  <c r="C208" i="4"/>
  <c r="CG207" i="4"/>
  <c r="CF207" i="4"/>
  <c r="CC207" i="4" s="1"/>
  <c r="BV207" i="4" s="1"/>
  <c r="CD207" i="4"/>
  <c r="CA207" i="4"/>
  <c r="BZ207" i="4"/>
  <c r="AV207" i="4"/>
  <c r="G207" i="4"/>
  <c r="F207" i="4"/>
  <c r="E207" i="4"/>
  <c r="D207" i="4"/>
  <c r="AY207" i="4" s="1"/>
  <c r="C207" i="4"/>
  <c r="CG206" i="4"/>
  <c r="CF206" i="4"/>
  <c r="CD206" i="4" s="1"/>
  <c r="BZ206" i="4"/>
  <c r="AV206" i="4"/>
  <c r="G206" i="4"/>
  <c r="F206" i="4"/>
  <c r="E206" i="4"/>
  <c r="D206" i="4"/>
  <c r="AY206" i="4" s="1"/>
  <c r="C206" i="4"/>
  <c r="CG205" i="4"/>
  <c r="CF205" i="4"/>
  <c r="CD205" i="4" s="1"/>
  <c r="CC205" i="4"/>
  <c r="BV205" i="4" s="1"/>
  <c r="BX205" i="4" s="1"/>
  <c r="CA205" i="4"/>
  <c r="BZ205" i="4"/>
  <c r="AV205" i="4"/>
  <c r="G205" i="4"/>
  <c r="F205" i="4"/>
  <c r="E205" i="4"/>
  <c r="D205" i="4"/>
  <c r="AY205" i="4" s="1"/>
  <c r="C205" i="4"/>
  <c r="CG204" i="4"/>
  <c r="CF204" i="4"/>
  <c r="CC204" i="4" s="1"/>
  <c r="BV204" i="4" s="1"/>
  <c r="BX204" i="4" s="1"/>
  <c r="CD204" i="4"/>
  <c r="CA204" i="4"/>
  <c r="BZ204" i="4"/>
  <c r="BY204" i="4"/>
  <c r="BW204" i="4"/>
  <c r="AV204" i="4"/>
  <c r="H204" i="4"/>
  <c r="H205" i="4" s="1"/>
  <c r="BW205" i="4" s="1"/>
  <c r="G204" i="4"/>
  <c r="E204" i="4"/>
  <c r="D204" i="4" s="1"/>
  <c r="AY204" i="4" s="1"/>
  <c r="C204" i="4"/>
  <c r="CG203" i="4"/>
  <c r="CF203" i="4"/>
  <c r="CD203" i="4" s="1"/>
  <c r="BZ203" i="4"/>
  <c r="AV203" i="4"/>
  <c r="G203" i="4"/>
  <c r="F203" i="4"/>
  <c r="CA203" i="4" s="1"/>
  <c r="E203" i="4"/>
  <c r="D203" i="4"/>
  <c r="AY203" i="4" s="1"/>
  <c r="C203" i="4"/>
  <c r="CG202" i="4"/>
  <c r="CF202" i="4"/>
  <c r="CC202" i="4" s="1"/>
  <c r="BV202" i="4" s="1"/>
  <c r="CD202" i="4"/>
  <c r="CB202" i="4"/>
  <c r="CA202" i="4"/>
  <c r="BZ202" i="4"/>
  <c r="CE202" i="4" s="1"/>
  <c r="AV202" i="4"/>
  <c r="G202" i="4"/>
  <c r="F202" i="4"/>
  <c r="E202" i="4"/>
  <c r="C202" i="4"/>
  <c r="CG201" i="4"/>
  <c r="CF201" i="4"/>
  <c r="CD201" i="4" s="1"/>
  <c r="BZ201" i="4"/>
  <c r="AV201" i="4"/>
  <c r="G201" i="4"/>
  <c r="F201" i="4"/>
  <c r="CA201" i="4" s="1"/>
  <c r="E201" i="4"/>
  <c r="D201" i="4"/>
  <c r="AY201" i="4" s="1"/>
  <c r="C201" i="4"/>
  <c r="CG200" i="4"/>
  <c r="CF200" i="4"/>
  <c r="CC200" i="4" s="1"/>
  <c r="BV200" i="4" s="1"/>
  <c r="CD200" i="4"/>
  <c r="CB200" i="4"/>
  <c r="CA200" i="4"/>
  <c r="BZ200" i="4"/>
  <c r="CE200" i="4" s="1"/>
  <c r="AV200" i="4"/>
  <c r="H200" i="4"/>
  <c r="G200" i="4"/>
  <c r="F200" i="4"/>
  <c r="BY200" i="4" s="1"/>
  <c r="E200" i="4"/>
  <c r="C200" i="4"/>
  <c r="CG199" i="4"/>
  <c r="CF199" i="4"/>
  <c r="CD199" i="4" s="1"/>
  <c r="BZ199" i="4"/>
  <c r="BY199" i="4"/>
  <c r="BW199" i="4"/>
  <c r="AV199" i="4"/>
  <c r="H199" i="4"/>
  <c r="G199" i="4"/>
  <c r="E199" i="4"/>
  <c r="D199" i="4"/>
  <c r="AY199" i="4" s="1"/>
  <c r="C199" i="4"/>
  <c r="CG198" i="4"/>
  <c r="CF198" i="4"/>
  <c r="CD198" i="4" s="1"/>
  <c r="CC198" i="4"/>
  <c r="CA198" i="4"/>
  <c r="BZ198" i="4"/>
  <c r="AV198" i="4"/>
  <c r="H198" i="4"/>
  <c r="G198" i="4"/>
  <c r="F198" i="4"/>
  <c r="BY198" i="4" s="1"/>
  <c r="E198" i="4"/>
  <c r="C198" i="4"/>
  <c r="CF197" i="4"/>
  <c r="CC197" i="4" s="1"/>
  <c r="BV197" i="4" s="1"/>
  <c r="BX197" i="4" s="1"/>
  <c r="CD197" i="4"/>
  <c r="BZ197" i="4"/>
  <c r="BY197" i="4"/>
  <c r="BW197" i="4"/>
  <c r="BN197" i="4"/>
  <c r="AY197" i="4"/>
  <c r="AV197" i="4"/>
  <c r="G197" i="4"/>
  <c r="CF196" i="4"/>
  <c r="CE196" i="4"/>
  <c r="CD196" i="4"/>
  <c r="CC196" i="4"/>
  <c r="BV196" i="4" s="1"/>
  <c r="BX196" i="4" s="1"/>
  <c r="CB196" i="4"/>
  <c r="CA196" i="4"/>
  <c r="BZ196" i="4"/>
  <c r="BY196" i="4"/>
  <c r="BW196" i="4"/>
  <c r="BN196" i="4"/>
  <c r="AY196" i="4"/>
  <c r="AV196" i="4"/>
  <c r="G196" i="4"/>
  <c r="CF195" i="4"/>
  <c r="CC195" i="4" s="1"/>
  <c r="BV195" i="4" s="1"/>
  <c r="BX195" i="4" s="1"/>
  <c r="CD195" i="4"/>
  <c r="CB195" i="4"/>
  <c r="CA195" i="4"/>
  <c r="BZ195" i="4"/>
  <c r="CE195" i="4" s="1"/>
  <c r="BY195" i="4"/>
  <c r="BW195" i="4"/>
  <c r="BN195" i="4"/>
  <c r="AY195" i="4"/>
  <c r="AV195" i="4"/>
  <c r="G195" i="4"/>
  <c r="CG194" i="4"/>
  <c r="CF194" i="4"/>
  <c r="CC194" i="4" s="1"/>
  <c r="BV194" i="4" s="1"/>
  <c r="BX194" i="4" s="1"/>
  <c r="CD194" i="4"/>
  <c r="CB194" i="4"/>
  <c r="CA194" i="4"/>
  <c r="BZ194" i="4"/>
  <c r="CE194" i="4" s="1"/>
  <c r="BY194" i="4"/>
  <c r="BN194" i="4"/>
  <c r="AY194" i="4"/>
  <c r="AV194" i="4"/>
  <c r="H194" i="4"/>
  <c r="G194" i="4"/>
  <c r="F194" i="4"/>
  <c r="BW194" i="4" s="1"/>
  <c r="E194" i="4"/>
  <c r="D194" i="4"/>
  <c r="C194" i="4"/>
  <c r="CG193" i="4"/>
  <c r="CF193" i="4"/>
  <c r="CA193" i="4"/>
  <c r="BZ193" i="4"/>
  <c r="BY193" i="4"/>
  <c r="BW193" i="4"/>
  <c r="AV193" i="4"/>
  <c r="H193" i="4"/>
  <c r="G193" i="4"/>
  <c r="E193" i="4"/>
  <c r="D193" i="4" s="1"/>
  <c r="AY193" i="4" s="1"/>
  <c r="C193" i="4"/>
  <c r="CG192" i="4"/>
  <c r="CF192" i="4"/>
  <c r="CC192" i="4" s="1"/>
  <c r="BV192" i="4" s="1"/>
  <c r="BX192" i="4" s="1"/>
  <c r="CD192" i="4"/>
  <c r="CB192" i="4"/>
  <c r="CA192" i="4"/>
  <c r="BZ192" i="4"/>
  <c r="CE192" i="4" s="1"/>
  <c r="BY192" i="4"/>
  <c r="BW192" i="4"/>
  <c r="AV192" i="4"/>
  <c r="H192" i="4"/>
  <c r="G192" i="4"/>
  <c r="E192" i="4"/>
  <c r="D192" i="4" s="1"/>
  <c r="AY192" i="4" s="1"/>
  <c r="C192" i="4"/>
  <c r="CG191" i="4"/>
  <c r="CF191" i="4"/>
  <c r="CE191" i="4"/>
  <c r="CD191" i="4"/>
  <c r="CC191" i="4"/>
  <c r="CB191" i="4"/>
  <c r="CA191" i="4"/>
  <c r="BZ191" i="4"/>
  <c r="BY191" i="4"/>
  <c r="BW191" i="4"/>
  <c r="BV191" i="4"/>
  <c r="BX191" i="4" s="1"/>
  <c r="AV191" i="4"/>
  <c r="H191" i="4"/>
  <c r="G191" i="4"/>
  <c r="E191" i="4"/>
  <c r="D191" i="4" s="1"/>
  <c r="AY191" i="4" s="1"/>
  <c r="C191" i="4"/>
  <c r="CG190" i="4"/>
  <c r="CF190" i="4"/>
  <c r="CD190" i="4" s="1"/>
  <c r="CB190" i="4"/>
  <c r="BZ190" i="4"/>
  <c r="CE190" i="4" s="1"/>
  <c r="BY190" i="4"/>
  <c r="BN190" i="4"/>
  <c r="AV190" i="4"/>
  <c r="H190" i="4"/>
  <c r="G190" i="4"/>
  <c r="F190" i="4"/>
  <c r="BW190" i="4" s="1"/>
  <c r="E190" i="4"/>
  <c r="C190" i="4"/>
  <c r="CG189" i="4"/>
  <c r="CF189" i="4"/>
  <c r="BZ189" i="4"/>
  <c r="BW189" i="4"/>
  <c r="AV189" i="4"/>
  <c r="G189" i="4"/>
  <c r="F189" i="4"/>
  <c r="CD189" i="4" s="1"/>
  <c r="E189" i="4"/>
  <c r="D189" i="4"/>
  <c r="AY189" i="4" s="1"/>
  <c r="C189" i="4"/>
  <c r="CG188" i="4"/>
  <c r="CF188" i="4"/>
  <c r="CD188" i="4" s="1"/>
  <c r="CC188" i="4"/>
  <c r="CA188" i="4"/>
  <c r="BZ188" i="4"/>
  <c r="AV188" i="4"/>
  <c r="H188" i="4"/>
  <c r="G188" i="4"/>
  <c r="F188" i="4"/>
  <c r="BY188" i="4" s="1"/>
  <c r="E188" i="4"/>
  <c r="C188" i="4"/>
  <c r="CG187" i="4"/>
  <c r="CF187" i="4"/>
  <c r="BZ187" i="4"/>
  <c r="BW187" i="4"/>
  <c r="AV187" i="4"/>
  <c r="G187" i="4"/>
  <c r="F187" i="4"/>
  <c r="CD187" i="4" s="1"/>
  <c r="E187" i="4"/>
  <c r="D187" i="4"/>
  <c r="AY187" i="4" s="1"/>
  <c r="C187" i="4"/>
  <c r="CG186" i="4"/>
  <c r="CF186" i="4"/>
  <c r="CD186" i="4" s="1"/>
  <c r="CC186" i="4"/>
  <c r="CA186" i="4"/>
  <c r="BZ186" i="4"/>
  <c r="AV186" i="4"/>
  <c r="H186" i="4"/>
  <c r="G186" i="4"/>
  <c r="F186" i="4"/>
  <c r="BY186" i="4" s="1"/>
  <c r="E186" i="4"/>
  <c r="C186" i="4"/>
  <c r="CG185" i="4"/>
  <c r="CF185" i="4"/>
  <c r="CE185" i="4"/>
  <c r="CD185" i="4"/>
  <c r="CC185" i="4"/>
  <c r="CB185" i="4"/>
  <c r="CA185" i="4"/>
  <c r="BZ185" i="4"/>
  <c r="BY185" i="4"/>
  <c r="BW185" i="4"/>
  <c r="BV185" i="4"/>
  <c r="BX185" i="4" s="1"/>
  <c r="AV185" i="4"/>
  <c r="H185" i="4"/>
  <c r="G185" i="4"/>
  <c r="E185" i="4"/>
  <c r="D185" i="4" s="1"/>
  <c r="AY185" i="4" s="1"/>
  <c r="C185" i="4"/>
  <c r="CG184" i="4"/>
  <c r="CF184" i="4"/>
  <c r="CD184" i="4" s="1"/>
  <c r="CB184" i="4"/>
  <c r="BZ184" i="4"/>
  <c r="CE184" i="4" s="1"/>
  <c r="AV184" i="4"/>
  <c r="G184" i="4"/>
  <c r="F184" i="4"/>
  <c r="BY184" i="4" s="1"/>
  <c r="E184" i="4"/>
  <c r="C184" i="4"/>
  <c r="CG183" i="4"/>
  <c r="CF183" i="4"/>
  <c r="CC183" i="4" s="1"/>
  <c r="BV183" i="4" s="1"/>
  <c r="BX183" i="4" s="1"/>
  <c r="CD183" i="4"/>
  <c r="BZ183" i="4"/>
  <c r="BW183" i="4"/>
  <c r="AV183" i="4"/>
  <c r="H183" i="4"/>
  <c r="G183" i="4"/>
  <c r="F183" i="4"/>
  <c r="BY183" i="4" s="1"/>
  <c r="E183" i="4"/>
  <c r="D183" i="4" s="1"/>
  <c r="AY183" i="4" s="1"/>
  <c r="C183" i="4"/>
  <c r="CG182" i="4"/>
  <c r="CF182" i="4"/>
  <c r="CD182" i="4" s="1"/>
  <c r="CB182" i="4"/>
  <c r="CA182" i="4"/>
  <c r="BZ182" i="4"/>
  <c r="CE182" i="4" s="1"/>
  <c r="BY182" i="4"/>
  <c r="BW182" i="4"/>
  <c r="AV182" i="4"/>
  <c r="H182" i="4"/>
  <c r="G182" i="4"/>
  <c r="E182" i="4"/>
  <c r="D182" i="4" s="1"/>
  <c r="AY182" i="4" s="1"/>
  <c r="C182" i="4"/>
  <c r="CG181" i="4"/>
  <c r="CF181" i="4"/>
  <c r="CE181" i="4"/>
  <c r="CC181" i="4"/>
  <c r="CB181" i="4"/>
  <c r="CA181" i="4"/>
  <c r="BZ181" i="4"/>
  <c r="AV181" i="4"/>
  <c r="G181" i="4"/>
  <c r="F181" i="4"/>
  <c r="E181" i="4"/>
  <c r="D181" i="4"/>
  <c r="AY181" i="4" s="1"/>
  <c r="C181" i="4"/>
  <c r="CG180" i="4"/>
  <c r="CF180" i="4"/>
  <c r="BZ180" i="4"/>
  <c r="AV180" i="4"/>
  <c r="G180" i="4"/>
  <c r="F180" i="4"/>
  <c r="E180" i="4"/>
  <c r="C180" i="4"/>
  <c r="CG179" i="4"/>
  <c r="CF179" i="4"/>
  <c r="CE179" i="4"/>
  <c r="CC179" i="4"/>
  <c r="CB179" i="4"/>
  <c r="CA179" i="4"/>
  <c r="BZ179" i="4"/>
  <c r="AV179" i="4"/>
  <c r="G179" i="4"/>
  <c r="F179" i="4"/>
  <c r="E179" i="4"/>
  <c r="D179" i="4"/>
  <c r="AY179" i="4" s="1"/>
  <c r="C179" i="4"/>
  <c r="CG178" i="4"/>
  <c r="CF178" i="4"/>
  <c r="BZ178" i="4"/>
  <c r="AV178" i="4"/>
  <c r="G178" i="4"/>
  <c r="F178" i="4"/>
  <c r="E178" i="4"/>
  <c r="C178" i="4"/>
  <c r="CG177" i="4"/>
  <c r="CF177" i="4"/>
  <c r="CE177" i="4"/>
  <c r="CC177" i="4"/>
  <c r="CB177" i="4"/>
  <c r="CA177" i="4"/>
  <c r="BZ177" i="4"/>
  <c r="AV177" i="4"/>
  <c r="G177" i="4"/>
  <c r="F177" i="4"/>
  <c r="E177" i="4"/>
  <c r="D177" i="4"/>
  <c r="AY177" i="4" s="1"/>
  <c r="C177" i="4"/>
  <c r="CG176" i="4"/>
  <c r="CF176" i="4"/>
  <c r="BZ176" i="4"/>
  <c r="AV176" i="4"/>
  <c r="G176" i="4"/>
  <c r="F176" i="4"/>
  <c r="E176" i="4"/>
  <c r="C176" i="4"/>
  <c r="CG175" i="4"/>
  <c r="CF175" i="4"/>
  <c r="CD175" i="4" s="1"/>
  <c r="CE175" i="4"/>
  <c r="CC175" i="4"/>
  <c r="CB175" i="4"/>
  <c r="CA175" i="4"/>
  <c r="BZ175" i="4"/>
  <c r="AV175" i="4"/>
  <c r="G175" i="4"/>
  <c r="F175" i="4"/>
  <c r="E175" i="4"/>
  <c r="D175" i="4"/>
  <c r="AY175" i="4" s="1"/>
  <c r="C175" i="4"/>
  <c r="CG174" i="4"/>
  <c r="CF174" i="4"/>
  <c r="BZ174" i="4"/>
  <c r="AV174" i="4"/>
  <c r="G174" i="4"/>
  <c r="F174" i="4"/>
  <c r="E174" i="4"/>
  <c r="C174" i="4"/>
  <c r="CG173" i="4"/>
  <c r="CF173" i="4"/>
  <c r="CD173" i="4" s="1"/>
  <c r="CE173" i="4"/>
  <c r="CC173" i="4"/>
  <c r="CB173" i="4"/>
  <c r="CA173" i="4"/>
  <c r="BZ173" i="4"/>
  <c r="AV173" i="4"/>
  <c r="G173" i="4"/>
  <c r="F173" i="4"/>
  <c r="E173" i="4"/>
  <c r="D173" i="4"/>
  <c r="AY173" i="4" s="1"/>
  <c r="C173" i="4"/>
  <c r="CG172" i="4"/>
  <c r="CF172" i="4"/>
  <c r="BZ172" i="4"/>
  <c r="AV172" i="4"/>
  <c r="G172" i="4"/>
  <c r="F172" i="4"/>
  <c r="E172" i="4"/>
  <c r="C172" i="4"/>
  <c r="CG171" i="4"/>
  <c r="CF171" i="4"/>
  <c r="CD171" i="4" s="1"/>
  <c r="CE171" i="4"/>
  <c r="CC171" i="4"/>
  <c r="CB171" i="4"/>
  <c r="CA171" i="4"/>
  <c r="BZ171" i="4"/>
  <c r="AV171" i="4"/>
  <c r="G171" i="4"/>
  <c r="F171" i="4"/>
  <c r="E171" i="4"/>
  <c r="D171" i="4"/>
  <c r="AY171" i="4" s="1"/>
  <c r="C171" i="4"/>
  <c r="CG170" i="4"/>
  <c r="CF170" i="4"/>
  <c r="BZ170" i="4"/>
  <c r="AV170" i="4"/>
  <c r="G170" i="4"/>
  <c r="F170" i="4"/>
  <c r="E170" i="4"/>
  <c r="C170" i="4"/>
  <c r="CG169" i="4"/>
  <c r="CF169" i="4"/>
  <c r="CD169" i="4" s="1"/>
  <c r="CE169" i="4"/>
  <c r="CC169" i="4"/>
  <c r="CB169" i="4"/>
  <c r="CA169" i="4"/>
  <c r="BZ169" i="4"/>
  <c r="AV169" i="4"/>
  <c r="G169" i="4"/>
  <c r="F169" i="4"/>
  <c r="E169" i="4"/>
  <c r="D169" i="4"/>
  <c r="AY169" i="4" s="1"/>
  <c r="C169" i="4"/>
  <c r="CG168" i="4"/>
  <c r="CF168" i="4"/>
  <c r="BZ168" i="4"/>
  <c r="AV168" i="4"/>
  <c r="G168" i="4"/>
  <c r="F168" i="4"/>
  <c r="E168" i="4"/>
  <c r="C168" i="4"/>
  <c r="CG167" i="4"/>
  <c r="CF167" i="4"/>
  <c r="CD167" i="4" s="1"/>
  <c r="CE167" i="4"/>
  <c r="CC167" i="4"/>
  <c r="CB167" i="4"/>
  <c r="CA167" i="4"/>
  <c r="BZ167" i="4"/>
  <c r="AV167" i="4"/>
  <c r="G167" i="4"/>
  <c r="F167" i="4"/>
  <c r="E167" i="4"/>
  <c r="D167" i="4"/>
  <c r="AY167" i="4" s="1"/>
  <c r="C167" i="4"/>
  <c r="CG166" i="4"/>
  <c r="CF166" i="4"/>
  <c r="BZ166" i="4"/>
  <c r="AV166" i="4"/>
  <c r="G166" i="4"/>
  <c r="F166" i="4"/>
  <c r="E166" i="4"/>
  <c r="C166" i="4"/>
  <c r="CG165" i="4"/>
  <c r="CF165" i="4"/>
  <c r="CD165" i="4" s="1"/>
  <c r="CE165" i="4"/>
  <c r="CC165" i="4"/>
  <c r="CB165" i="4"/>
  <c r="CA165" i="4"/>
  <c r="BZ165" i="4"/>
  <c r="AV165" i="4"/>
  <c r="G165" i="4"/>
  <c r="F165" i="4"/>
  <c r="E165" i="4"/>
  <c r="D165" i="4"/>
  <c r="AY165" i="4" s="1"/>
  <c r="C165" i="4"/>
  <c r="CG164" i="4"/>
  <c r="CF164" i="4"/>
  <c r="BZ164" i="4"/>
  <c r="AV164" i="4"/>
  <c r="G164" i="4"/>
  <c r="F164" i="4"/>
  <c r="E164" i="4"/>
  <c r="C164" i="4"/>
  <c r="CG163" i="4"/>
  <c r="CF163" i="4"/>
  <c r="CD163" i="4" s="1"/>
  <c r="CE163" i="4"/>
  <c r="CC163" i="4"/>
  <c r="CB163" i="4"/>
  <c r="CA163" i="4"/>
  <c r="BZ163" i="4"/>
  <c r="AV163" i="4"/>
  <c r="G163" i="4"/>
  <c r="F163" i="4"/>
  <c r="E163" i="4"/>
  <c r="D163" i="4"/>
  <c r="AY163" i="4" s="1"/>
  <c r="C163" i="4"/>
  <c r="CG162" i="4"/>
  <c r="CF162" i="4"/>
  <c r="BZ162" i="4"/>
  <c r="AV162" i="4"/>
  <c r="G162" i="4"/>
  <c r="F162" i="4"/>
  <c r="E162" i="4"/>
  <c r="C162" i="4"/>
  <c r="CG161" i="4"/>
  <c r="CF161" i="4"/>
  <c r="CD161" i="4" s="1"/>
  <c r="CC161" i="4"/>
  <c r="CB161" i="4"/>
  <c r="CE161" i="4" s="1"/>
  <c r="CA161" i="4"/>
  <c r="BZ161" i="4"/>
  <c r="AV161" i="4"/>
  <c r="G161" i="4"/>
  <c r="F161" i="4"/>
  <c r="E161" i="4"/>
  <c r="D161" i="4"/>
  <c r="AY161" i="4" s="1"/>
  <c r="C161" i="4"/>
  <c r="CG160" i="4"/>
  <c r="CF160" i="4"/>
  <c r="BZ160" i="4"/>
  <c r="AV160" i="4"/>
  <c r="G160" i="4"/>
  <c r="F160" i="4"/>
  <c r="E160" i="4"/>
  <c r="C160" i="4"/>
  <c r="CG159" i="4"/>
  <c r="CF159" i="4"/>
  <c r="CD159" i="4" s="1"/>
  <c r="CC159" i="4"/>
  <c r="CB159" i="4"/>
  <c r="CE159" i="4" s="1"/>
  <c r="CA159" i="4"/>
  <c r="BZ159" i="4"/>
  <c r="AV159" i="4"/>
  <c r="G159" i="4"/>
  <c r="F159" i="4"/>
  <c r="E159" i="4"/>
  <c r="D159" i="4"/>
  <c r="AY159" i="4" s="1"/>
  <c r="C159" i="4"/>
  <c r="CG158" i="4"/>
  <c r="CF158" i="4"/>
  <c r="BZ158" i="4"/>
  <c r="AV158" i="4"/>
  <c r="G158" i="4"/>
  <c r="F158" i="4"/>
  <c r="E158" i="4"/>
  <c r="C158" i="4"/>
  <c r="CG157" i="4"/>
  <c r="CF157" i="4"/>
  <c r="CD157" i="4" s="1"/>
  <c r="CC157" i="4"/>
  <c r="CB157" i="4"/>
  <c r="CE157" i="4" s="1"/>
  <c r="CA157" i="4"/>
  <c r="BZ157" i="4"/>
  <c r="AV157" i="4"/>
  <c r="G157" i="4"/>
  <c r="F157" i="4"/>
  <c r="E157" i="4"/>
  <c r="D157" i="4"/>
  <c r="AY157" i="4" s="1"/>
  <c r="C157" i="4"/>
  <c r="CG156" i="4"/>
  <c r="CF156" i="4"/>
  <c r="BZ156" i="4"/>
  <c r="AV156" i="4"/>
  <c r="G156" i="4"/>
  <c r="F156" i="4"/>
  <c r="E156" i="4"/>
  <c r="C156" i="4"/>
  <c r="CG155" i="4"/>
  <c r="CF155" i="4"/>
  <c r="CD155" i="4" s="1"/>
  <c r="CC155" i="4"/>
  <c r="CB155" i="4"/>
  <c r="CE155" i="4" s="1"/>
  <c r="CA155" i="4"/>
  <c r="BZ155" i="4"/>
  <c r="AV155" i="4"/>
  <c r="G155" i="4"/>
  <c r="F155" i="4"/>
  <c r="E155" i="4"/>
  <c r="D155" i="4"/>
  <c r="AY155" i="4" s="1"/>
  <c r="C155" i="4"/>
  <c r="CG154" i="4"/>
  <c r="CF154" i="4"/>
  <c r="BZ154" i="4"/>
  <c r="AV154" i="4"/>
  <c r="G154" i="4"/>
  <c r="F154" i="4"/>
  <c r="CA154" i="4" s="1"/>
  <c r="E154" i="4"/>
  <c r="C154" i="4"/>
  <c r="CG153" i="4"/>
  <c r="CF153" i="4"/>
  <c r="CD153" i="4" s="1"/>
  <c r="CC153" i="4"/>
  <c r="CB153" i="4"/>
  <c r="CE153" i="4" s="1"/>
  <c r="CA153" i="4"/>
  <c r="BZ153" i="4"/>
  <c r="AV153" i="4"/>
  <c r="G153" i="4"/>
  <c r="F153" i="4"/>
  <c r="E153" i="4"/>
  <c r="D153" i="4"/>
  <c r="AY153" i="4" s="1"/>
  <c r="C153" i="4"/>
  <c r="CG152" i="4"/>
  <c r="CF152" i="4"/>
  <c r="CA152" i="4"/>
  <c r="BZ152" i="4"/>
  <c r="AV152" i="4"/>
  <c r="G152" i="4"/>
  <c r="F152" i="4"/>
  <c r="E152" i="4"/>
  <c r="C152" i="4"/>
  <c r="CG151" i="4"/>
  <c r="CF151" i="4"/>
  <c r="CD151" i="4" s="1"/>
  <c r="CE151" i="4"/>
  <c r="CC151" i="4"/>
  <c r="CB151" i="4"/>
  <c r="CA151" i="4"/>
  <c r="BZ151" i="4"/>
  <c r="AY151" i="4"/>
  <c r="AV151" i="4"/>
  <c r="G151" i="4"/>
  <c r="F151" i="4"/>
  <c r="E151" i="4"/>
  <c r="D151" i="4"/>
  <c r="C151" i="4"/>
  <c r="CG150" i="4"/>
  <c r="CF150" i="4"/>
  <c r="CA150" i="4"/>
  <c r="BZ150" i="4"/>
  <c r="AV150" i="4"/>
  <c r="G150" i="4"/>
  <c r="F150" i="4"/>
  <c r="E150" i="4"/>
  <c r="C150" i="4"/>
  <c r="CG149" i="4"/>
  <c r="CF149" i="4"/>
  <c r="CD149" i="4" s="1"/>
  <c r="CC149" i="4"/>
  <c r="CB149" i="4"/>
  <c r="CE149" i="4" s="1"/>
  <c r="CA149" i="4"/>
  <c r="BZ149" i="4"/>
  <c r="AV149" i="4"/>
  <c r="G149" i="4"/>
  <c r="F149" i="4"/>
  <c r="E149" i="4"/>
  <c r="D149" i="4"/>
  <c r="AY149" i="4" s="1"/>
  <c r="C149" i="4"/>
  <c r="CG148" i="4"/>
  <c r="CF148" i="4"/>
  <c r="BZ148" i="4"/>
  <c r="AV148" i="4"/>
  <c r="H148" i="4"/>
  <c r="H149" i="4" s="1"/>
  <c r="H150" i="4" s="1"/>
  <c r="G148" i="4"/>
  <c r="F148" i="4"/>
  <c r="E148" i="4"/>
  <c r="C148" i="4"/>
  <c r="CG147" i="4"/>
  <c r="CF147" i="4"/>
  <c r="CD147" i="4" s="1"/>
  <c r="CC147" i="4"/>
  <c r="CB147" i="4"/>
  <c r="CE147" i="4" s="1"/>
  <c r="BZ147" i="4"/>
  <c r="BW147" i="4"/>
  <c r="AV147" i="4"/>
  <c r="H147" i="4"/>
  <c r="G147" i="4"/>
  <c r="F147" i="4"/>
  <c r="BY147" i="4" s="1"/>
  <c r="E147" i="4"/>
  <c r="D147" i="4"/>
  <c r="AY147" i="4" s="1"/>
  <c r="C147" i="4"/>
  <c r="CG146" i="4"/>
  <c r="CF146" i="4"/>
  <c r="BZ146" i="4"/>
  <c r="BY146" i="4"/>
  <c r="AV146" i="4"/>
  <c r="G146" i="4"/>
  <c r="F146" i="4"/>
  <c r="CA146" i="4" s="1"/>
  <c r="E146" i="4"/>
  <c r="C146" i="4"/>
  <c r="CG145" i="4"/>
  <c r="CF145" i="4"/>
  <c r="CD145" i="4" s="1"/>
  <c r="CE145" i="4"/>
  <c r="CC145" i="4"/>
  <c r="CB145" i="4"/>
  <c r="BZ145" i="4"/>
  <c r="BW145" i="4"/>
  <c r="AV145" i="4"/>
  <c r="H145" i="4"/>
  <c r="G145" i="4"/>
  <c r="F145" i="4"/>
  <c r="BY145" i="4" s="1"/>
  <c r="E145" i="4"/>
  <c r="D145" i="4"/>
  <c r="AY145" i="4" s="1"/>
  <c r="C145" i="4"/>
  <c r="CG144" i="4"/>
  <c r="CF144" i="4"/>
  <c r="BZ144" i="4"/>
  <c r="AV144" i="4"/>
  <c r="G144" i="4"/>
  <c r="F144" i="4"/>
  <c r="CA144" i="4" s="1"/>
  <c r="E144" i="4"/>
  <c r="C144" i="4"/>
  <c r="CG143" i="4"/>
  <c r="CF143" i="4"/>
  <c r="CD143" i="4" s="1"/>
  <c r="CE143" i="4"/>
  <c r="CC143" i="4"/>
  <c r="CB143" i="4"/>
  <c r="BZ143" i="4"/>
  <c r="BW143" i="4"/>
  <c r="AV143" i="4"/>
  <c r="H143" i="4"/>
  <c r="G143" i="4"/>
  <c r="F143" i="4"/>
  <c r="BY143" i="4" s="1"/>
  <c r="E143" i="4"/>
  <c r="D143" i="4"/>
  <c r="AY143" i="4" s="1"/>
  <c r="C143" i="4"/>
  <c r="CG142" i="4"/>
  <c r="CF142" i="4"/>
  <c r="BZ142" i="4"/>
  <c r="BY142" i="4"/>
  <c r="BN142" i="4"/>
  <c r="AV142" i="4"/>
  <c r="G142" i="4"/>
  <c r="F142" i="4"/>
  <c r="CA142" i="4" s="1"/>
  <c r="E142" i="4"/>
  <c r="C142" i="4"/>
  <c r="CG141" i="4"/>
  <c r="CF141" i="4"/>
  <c r="CB141" i="4" s="1"/>
  <c r="CD141" i="4"/>
  <c r="CC141" i="4"/>
  <c r="BV141" i="4" s="1"/>
  <c r="BX141" i="4" s="1"/>
  <c r="CA141" i="4"/>
  <c r="BZ141" i="4"/>
  <c r="BY141" i="4"/>
  <c r="BW141" i="4"/>
  <c r="BN141" i="4"/>
  <c r="AV141" i="4"/>
  <c r="H141" i="4"/>
  <c r="G141" i="4"/>
  <c r="E141" i="4"/>
  <c r="D141" i="4" s="1"/>
  <c r="AY141" i="4" s="1"/>
  <c r="C141" i="4"/>
  <c r="CG140" i="4"/>
  <c r="CF140" i="4"/>
  <c r="CB140" i="4"/>
  <c r="BZ140" i="4"/>
  <c r="AV140" i="4"/>
  <c r="G140" i="4"/>
  <c r="F140" i="4"/>
  <c r="BY140" i="4" s="1"/>
  <c r="E140" i="4"/>
  <c r="C140" i="4"/>
  <c r="CG139" i="4"/>
  <c r="CF139" i="4"/>
  <c r="CB139" i="4" s="1"/>
  <c r="BZ139" i="4"/>
  <c r="AV139" i="4"/>
  <c r="G139" i="4"/>
  <c r="F139" i="4"/>
  <c r="E139" i="4"/>
  <c r="C139" i="4"/>
  <c r="CG138" i="4"/>
  <c r="CF138" i="4"/>
  <c r="CD138" i="4" s="1"/>
  <c r="CB138" i="4"/>
  <c r="BZ138" i="4"/>
  <c r="CE138" i="4" s="1"/>
  <c r="BY138" i="4"/>
  <c r="AV138" i="4"/>
  <c r="G138" i="4"/>
  <c r="F138" i="4"/>
  <c r="E138" i="4"/>
  <c r="C138" i="4"/>
  <c r="CG137" i="4"/>
  <c r="CF137" i="4"/>
  <c r="CB137" i="4" s="1"/>
  <c r="BZ137" i="4"/>
  <c r="AV137" i="4"/>
  <c r="G137" i="4"/>
  <c r="F137" i="4"/>
  <c r="CA137" i="4" s="1"/>
  <c r="E137" i="4"/>
  <c r="C137" i="4"/>
  <c r="CG136" i="4"/>
  <c r="CF136" i="4"/>
  <c r="CD136" i="4" s="1"/>
  <c r="CB136" i="4"/>
  <c r="BZ136" i="4"/>
  <c r="AV136" i="4"/>
  <c r="G136" i="4"/>
  <c r="F136" i="4"/>
  <c r="E136" i="4"/>
  <c r="C136" i="4"/>
  <c r="CG135" i="4"/>
  <c r="CF135" i="4"/>
  <c r="CB135" i="4" s="1"/>
  <c r="CD135" i="4"/>
  <c r="CC135" i="4"/>
  <c r="BV135" i="4" s="1"/>
  <c r="BZ135" i="4"/>
  <c r="AV135" i="4"/>
  <c r="G135" i="4"/>
  <c r="F135" i="4"/>
  <c r="CA135" i="4" s="1"/>
  <c r="E135" i="4"/>
  <c r="C135" i="4"/>
  <c r="CG134" i="4"/>
  <c r="CF134" i="4"/>
  <c r="CD134" i="4" s="1"/>
  <c r="CB134" i="4"/>
  <c r="CA134" i="4"/>
  <c r="BZ134" i="4"/>
  <c r="BY134" i="4"/>
  <c r="BW134" i="4"/>
  <c r="AV134" i="4"/>
  <c r="H134" i="4"/>
  <c r="G134" i="4"/>
  <c r="E134" i="4"/>
  <c r="D134" i="4" s="1"/>
  <c r="AY134" i="4" s="1"/>
  <c r="C134" i="4"/>
  <c r="CG133" i="4"/>
  <c r="CF133" i="4"/>
  <c r="CD133" i="4" s="1"/>
  <c r="CE133" i="4"/>
  <c r="CC133" i="4"/>
  <c r="CB133" i="4"/>
  <c r="CA133" i="4"/>
  <c r="BZ133" i="4"/>
  <c r="AY133" i="4"/>
  <c r="AV133" i="4"/>
  <c r="G133" i="4"/>
  <c r="F133" i="4"/>
  <c r="E133" i="4"/>
  <c r="D133" i="4"/>
  <c r="C133" i="4"/>
  <c r="CG132" i="4"/>
  <c r="CF132" i="4"/>
  <c r="CA132" i="4"/>
  <c r="BZ132" i="4"/>
  <c r="AV132" i="4"/>
  <c r="H132" i="4"/>
  <c r="H133" i="4" s="1"/>
  <c r="BW133" i="4" s="1"/>
  <c r="G132" i="4"/>
  <c r="F132" i="4"/>
  <c r="BY132" i="4" s="1"/>
  <c r="E132" i="4"/>
  <c r="C132" i="4"/>
  <c r="CG131" i="4"/>
  <c r="CF131" i="4"/>
  <c r="CD131" i="4" s="1"/>
  <c r="CC131" i="4"/>
  <c r="BV131" i="4" s="1"/>
  <c r="CB131" i="4"/>
  <c r="CE131" i="4" s="1"/>
  <c r="CA131" i="4"/>
  <c r="BZ131" i="4"/>
  <c r="BW131" i="4"/>
  <c r="AY131" i="4"/>
  <c r="AV131" i="4"/>
  <c r="H131" i="4"/>
  <c r="BY131" i="4" s="1"/>
  <c r="G131" i="4"/>
  <c r="E131" i="4"/>
  <c r="D131" i="4"/>
  <c r="C131" i="4"/>
  <c r="CG130" i="4"/>
  <c r="CF130" i="4"/>
  <c r="CA130" i="4"/>
  <c r="BZ130" i="4"/>
  <c r="BW130" i="4"/>
  <c r="AV130" i="4"/>
  <c r="H130" i="4"/>
  <c r="G130" i="4"/>
  <c r="F130" i="4"/>
  <c r="BY130" i="4" s="1"/>
  <c r="E130" i="4"/>
  <c r="D130" i="4"/>
  <c r="AY130" i="4" s="1"/>
  <c r="C130" i="4"/>
  <c r="CG129" i="4"/>
  <c r="CF129" i="4"/>
  <c r="CC129" i="4" s="1"/>
  <c r="BV129" i="4" s="1"/>
  <c r="BX129" i="4" s="1"/>
  <c r="CD129" i="4"/>
  <c r="CB129" i="4"/>
  <c r="CA129" i="4"/>
  <c r="BZ129" i="4"/>
  <c r="BW129" i="4"/>
  <c r="AV129" i="4"/>
  <c r="H129" i="4"/>
  <c r="G129" i="4"/>
  <c r="F129" i="4"/>
  <c r="BY129" i="4" s="1"/>
  <c r="E129" i="4"/>
  <c r="D129" i="4"/>
  <c r="AY129" i="4" s="1"/>
  <c r="C129" i="4"/>
  <c r="CG128" i="4"/>
  <c r="CF128" i="4"/>
  <c r="CA128" i="4"/>
  <c r="BZ128" i="4"/>
  <c r="BW128" i="4"/>
  <c r="AV128" i="4"/>
  <c r="H128" i="4"/>
  <c r="G128" i="4"/>
  <c r="F128" i="4"/>
  <c r="BY128" i="4" s="1"/>
  <c r="E128" i="4"/>
  <c r="D128" i="4" s="1"/>
  <c r="AY128" i="4" s="1"/>
  <c r="C128" i="4"/>
  <c r="CG127" i="4"/>
  <c r="CF127" i="4"/>
  <c r="CC127" i="4" s="1"/>
  <c r="BV127" i="4" s="1"/>
  <c r="BX127" i="4" s="1"/>
  <c r="CD127" i="4"/>
  <c r="CB127" i="4"/>
  <c r="CA127" i="4"/>
  <c r="BZ127" i="4"/>
  <c r="CE127" i="4" s="1"/>
  <c r="BW127" i="4"/>
  <c r="AV127" i="4"/>
  <c r="H127" i="4"/>
  <c r="G127" i="4"/>
  <c r="F127" i="4"/>
  <c r="BY127" i="4" s="1"/>
  <c r="E127" i="4"/>
  <c r="D127" i="4"/>
  <c r="AY127" i="4" s="1"/>
  <c r="C127" i="4"/>
  <c r="CG126" i="4"/>
  <c r="CF126" i="4"/>
  <c r="CA126" i="4"/>
  <c r="BZ126" i="4"/>
  <c r="AV126" i="4"/>
  <c r="G126" i="4"/>
  <c r="F126" i="4"/>
  <c r="E126" i="4"/>
  <c r="D126" i="4"/>
  <c r="AY126" i="4" s="1"/>
  <c r="C126" i="4"/>
  <c r="CG125" i="4"/>
  <c r="CF125" i="4"/>
  <c r="CC125" i="4" s="1"/>
  <c r="BV125" i="4" s="1"/>
  <c r="CD125" i="4"/>
  <c r="CB125" i="4"/>
  <c r="CA125" i="4"/>
  <c r="BZ125" i="4"/>
  <c r="CE125" i="4" s="1"/>
  <c r="AV125" i="4"/>
  <c r="H125" i="4"/>
  <c r="G125" i="4"/>
  <c r="F125" i="4"/>
  <c r="E125" i="4"/>
  <c r="D125" i="4"/>
  <c r="AY125" i="4" s="1"/>
  <c r="C125" i="4"/>
  <c r="CG124" i="4"/>
  <c r="CF124" i="4"/>
  <c r="CA124" i="4"/>
  <c r="BZ124" i="4"/>
  <c r="AV124" i="4"/>
  <c r="G124" i="4"/>
  <c r="F124" i="4"/>
  <c r="BY124" i="4" s="1"/>
  <c r="E124" i="4"/>
  <c r="D124" i="4"/>
  <c r="AY124" i="4" s="1"/>
  <c r="C124" i="4"/>
  <c r="CG123" i="4"/>
  <c r="CF123" i="4"/>
  <c r="CC123" i="4" s="1"/>
  <c r="CD123" i="4"/>
  <c r="CB123" i="4"/>
  <c r="CE123" i="4" s="1"/>
  <c r="CA123" i="4"/>
  <c r="BZ123" i="4"/>
  <c r="BV123" i="4"/>
  <c r="BX123" i="4" s="1"/>
  <c r="BN123" i="4"/>
  <c r="AV123" i="4"/>
  <c r="G123" i="4"/>
  <c r="F123" i="4"/>
  <c r="H123" i="4" s="1"/>
  <c r="H124" i="4" s="1"/>
  <c r="BW124" i="4" s="1"/>
  <c r="E123" i="4"/>
  <c r="D123" i="4"/>
  <c r="AY123" i="4" s="1"/>
  <c r="C123" i="4"/>
  <c r="CG122" i="4"/>
  <c r="CF122" i="4"/>
  <c r="CA122" i="4"/>
  <c r="BZ122" i="4"/>
  <c r="BY122" i="4"/>
  <c r="BN122" i="4"/>
  <c r="AV122" i="4"/>
  <c r="G122" i="4"/>
  <c r="F122" i="4"/>
  <c r="E122" i="4"/>
  <c r="C122" i="4"/>
  <c r="CF121" i="4"/>
  <c r="CD121" i="4" s="1"/>
  <c r="CC121" i="4"/>
  <c r="BV121" i="4" s="1"/>
  <c r="CB121" i="4"/>
  <c r="CE121" i="4" s="1"/>
  <c r="CA121" i="4"/>
  <c r="BZ121" i="4"/>
  <c r="H121" i="4"/>
  <c r="BY121" i="4" s="1"/>
  <c r="CF120" i="4"/>
  <c r="CA120" i="4"/>
  <c r="BZ120" i="4"/>
  <c r="BY120" i="4"/>
  <c r="CF119" i="4"/>
  <c r="CD119" i="4" s="1"/>
  <c r="CC119" i="4"/>
  <c r="BV119" i="4" s="1"/>
  <c r="BX119" i="4" s="1"/>
  <c r="CB119" i="4"/>
  <c r="CE119" i="4" s="1"/>
  <c r="CA119" i="4"/>
  <c r="BZ119" i="4"/>
  <c r="BY119" i="4"/>
  <c r="BW119" i="4"/>
  <c r="H119" i="4"/>
  <c r="H120" i="4" s="1"/>
  <c r="BW120" i="4" s="1"/>
  <c r="CG118" i="4"/>
  <c r="CF118" i="4"/>
  <c r="CD118" i="4"/>
  <c r="CC118" i="4"/>
  <c r="CB118" i="4"/>
  <c r="CA118" i="4"/>
  <c r="BZ118" i="4"/>
  <c r="BY118" i="4"/>
  <c r="BW118" i="4"/>
  <c r="BV118" i="4"/>
  <c r="BX118" i="4" s="1"/>
  <c r="AY118" i="4"/>
  <c r="AV118" i="4"/>
  <c r="H118" i="4"/>
  <c r="G118" i="4"/>
  <c r="E118" i="4"/>
  <c r="D118" i="4" s="1"/>
  <c r="C118" i="4"/>
  <c r="CG117" i="4"/>
  <c r="CF117" i="4"/>
  <c r="BZ117" i="4"/>
  <c r="AV117" i="4"/>
  <c r="G117" i="4"/>
  <c r="F117" i="4"/>
  <c r="BY117" i="4" s="1"/>
  <c r="E117" i="4"/>
  <c r="C117" i="4"/>
  <c r="CG116" i="4"/>
  <c r="CF116" i="4"/>
  <c r="CC116" i="4" s="1"/>
  <c r="BZ116" i="4"/>
  <c r="AV116" i="4"/>
  <c r="G116" i="4"/>
  <c r="F116" i="4"/>
  <c r="BY116" i="4" s="1"/>
  <c r="E116" i="4"/>
  <c r="C116" i="4"/>
  <c r="CG115" i="4"/>
  <c r="CF115" i="4"/>
  <c r="CD115" i="4" s="1"/>
  <c r="CC115" i="4"/>
  <c r="CB115" i="4"/>
  <c r="CE115" i="4" s="1"/>
  <c r="BZ115" i="4"/>
  <c r="BW115" i="4"/>
  <c r="AV115" i="4"/>
  <c r="H115" i="4"/>
  <c r="G115" i="4"/>
  <c r="F115" i="4"/>
  <c r="BY115" i="4" s="1"/>
  <c r="E115" i="4"/>
  <c r="D115" i="4"/>
  <c r="AY115" i="4" s="1"/>
  <c r="C115" i="4"/>
  <c r="CG114" i="4"/>
  <c r="CF114" i="4"/>
  <c r="CD114" i="4" s="1"/>
  <c r="BZ114" i="4"/>
  <c r="AV114" i="4"/>
  <c r="G114" i="4"/>
  <c r="F114" i="4"/>
  <c r="E114" i="4"/>
  <c r="C114" i="4"/>
  <c r="CG113" i="4"/>
  <c r="CF113" i="4"/>
  <c r="CB113" i="4"/>
  <c r="BZ113" i="4"/>
  <c r="AV113" i="4"/>
  <c r="G113" i="4"/>
  <c r="F113" i="4"/>
  <c r="E113" i="4"/>
  <c r="D113" i="4"/>
  <c r="AY113" i="4" s="1"/>
  <c r="C113" i="4"/>
  <c r="CG112" i="4"/>
  <c r="CF112" i="4"/>
  <c r="BZ112" i="4"/>
  <c r="AV112" i="4"/>
  <c r="G112" i="4"/>
  <c r="F112" i="4"/>
  <c r="BY112" i="4" s="1"/>
  <c r="E112" i="4"/>
  <c r="C112" i="4"/>
  <c r="CG111" i="4"/>
  <c r="CF111" i="4"/>
  <c r="CD111" i="4" s="1"/>
  <c r="CC111" i="4"/>
  <c r="CB111" i="4"/>
  <c r="CE111" i="4" s="1"/>
  <c r="BZ111" i="4"/>
  <c r="BW111" i="4"/>
  <c r="AV111" i="4"/>
  <c r="H111" i="4"/>
  <c r="G111" i="4"/>
  <c r="F111" i="4"/>
  <c r="BY111" i="4" s="1"/>
  <c r="E111" i="4"/>
  <c r="D111" i="4"/>
  <c r="AY111" i="4" s="1"/>
  <c r="C111" i="4"/>
  <c r="CG110" i="4"/>
  <c r="CF110" i="4"/>
  <c r="CD110" i="4" s="1"/>
  <c r="BZ110" i="4"/>
  <c r="BW110" i="4"/>
  <c r="AV110" i="4"/>
  <c r="G110" i="4"/>
  <c r="F110" i="4"/>
  <c r="BY110" i="4" s="1"/>
  <c r="E110" i="4"/>
  <c r="C110" i="4"/>
  <c r="CG109" i="4"/>
  <c r="CF109" i="4"/>
  <c r="CB109" i="4"/>
  <c r="BZ109" i="4"/>
  <c r="BY109" i="4"/>
  <c r="AV109" i="4"/>
  <c r="H109" i="4"/>
  <c r="G109" i="4"/>
  <c r="F109" i="4"/>
  <c r="BW109" i="4" s="1"/>
  <c r="E109" i="4"/>
  <c r="D109" i="4"/>
  <c r="AY109" i="4" s="1"/>
  <c r="C109" i="4"/>
  <c r="CG108" i="4"/>
  <c r="CF108" i="4"/>
  <c r="BZ108" i="4"/>
  <c r="AV108" i="4"/>
  <c r="G108" i="4"/>
  <c r="F108" i="4"/>
  <c r="BY108" i="4" s="1"/>
  <c r="E108" i="4"/>
  <c r="C108" i="4"/>
  <c r="CG107" i="4"/>
  <c r="CF107" i="4"/>
  <c r="CD107" i="4" s="1"/>
  <c r="CC107" i="4"/>
  <c r="CB107" i="4"/>
  <c r="BZ107" i="4"/>
  <c r="BW107" i="4"/>
  <c r="AV107" i="4"/>
  <c r="H107" i="4"/>
  <c r="G107" i="4"/>
  <c r="F107" i="4"/>
  <c r="BY107" i="4" s="1"/>
  <c r="E107" i="4"/>
  <c r="D107" i="4"/>
  <c r="AY107" i="4" s="1"/>
  <c r="C107" i="4"/>
  <c r="CG106" i="4"/>
  <c r="CF106" i="4"/>
  <c r="CD106" i="4" s="1"/>
  <c r="BZ106" i="4"/>
  <c r="AV106" i="4"/>
  <c r="G106" i="4"/>
  <c r="F106" i="4"/>
  <c r="E106" i="4"/>
  <c r="C106" i="4"/>
  <c r="CG105" i="4"/>
  <c r="CF105" i="4"/>
  <c r="CB105" i="4"/>
  <c r="CA105" i="4"/>
  <c r="BZ105" i="4"/>
  <c r="AV105" i="4"/>
  <c r="G105" i="4"/>
  <c r="F105" i="4"/>
  <c r="E105" i="4"/>
  <c r="D105" i="4"/>
  <c r="AY105" i="4" s="1"/>
  <c r="C105" i="4"/>
  <c r="CG104" i="4"/>
  <c r="CF104" i="4"/>
  <c r="BZ104" i="4"/>
  <c r="AV104" i="4"/>
  <c r="G104" i="4"/>
  <c r="F104" i="4"/>
  <c r="E104" i="4"/>
  <c r="C104" i="4"/>
  <c r="CG103" i="4"/>
  <c r="CF103" i="4"/>
  <c r="CD103" i="4" s="1"/>
  <c r="CC103" i="4"/>
  <c r="CB103" i="4"/>
  <c r="CA103" i="4"/>
  <c r="BZ103" i="4"/>
  <c r="AV103" i="4"/>
  <c r="G103" i="4"/>
  <c r="F103" i="4"/>
  <c r="E103" i="4"/>
  <c r="D103" i="4"/>
  <c r="AY103" i="4" s="1"/>
  <c r="C103" i="4"/>
  <c r="CG102" i="4"/>
  <c r="CF102" i="4"/>
  <c r="CD102" i="4" s="1"/>
  <c r="BZ102" i="4"/>
  <c r="AV102" i="4"/>
  <c r="G102" i="4"/>
  <c r="F102" i="4"/>
  <c r="E102" i="4"/>
  <c r="C102" i="4"/>
  <c r="CG101" i="4"/>
  <c r="CF101" i="4"/>
  <c r="CB101" i="4"/>
  <c r="CA101" i="4"/>
  <c r="BZ101" i="4"/>
  <c r="AV101" i="4"/>
  <c r="G101" i="4"/>
  <c r="F101" i="4"/>
  <c r="E101" i="4"/>
  <c r="D101" i="4"/>
  <c r="AY101" i="4" s="1"/>
  <c r="C101" i="4"/>
  <c r="CG100" i="4"/>
  <c r="CF100" i="4"/>
  <c r="CA100" i="4"/>
  <c r="BZ100" i="4"/>
  <c r="AV100" i="4"/>
  <c r="G100" i="4"/>
  <c r="F100" i="4"/>
  <c r="E100" i="4"/>
  <c r="C100" i="4"/>
  <c r="CG99" i="4"/>
  <c r="CF99" i="4"/>
  <c r="CD99" i="4" s="1"/>
  <c r="CC99" i="4"/>
  <c r="CB99" i="4"/>
  <c r="CA99" i="4"/>
  <c r="BZ99" i="4"/>
  <c r="AV99" i="4"/>
  <c r="G99" i="4"/>
  <c r="F99" i="4"/>
  <c r="E99" i="4"/>
  <c r="D99" i="4"/>
  <c r="AY99" i="4" s="1"/>
  <c r="C99" i="4"/>
  <c r="CG98" i="4"/>
  <c r="CF98" i="4"/>
  <c r="CD98" i="4" s="1"/>
  <c r="BZ98" i="4"/>
  <c r="BW98" i="4"/>
  <c r="BN98" i="4"/>
  <c r="AV98" i="4"/>
  <c r="G98" i="4"/>
  <c r="F98" i="4"/>
  <c r="BY98" i="4" s="1"/>
  <c r="E98" i="4"/>
  <c r="C98" i="4"/>
  <c r="CG97" i="4"/>
  <c r="CF97" i="4"/>
  <c r="CC97" i="4" s="1"/>
  <c r="BV97" i="4" s="1"/>
  <c r="BZ97" i="4"/>
  <c r="AV97" i="4"/>
  <c r="G97" i="4"/>
  <c r="F97" i="4"/>
  <c r="E97" i="4"/>
  <c r="C97" i="4"/>
  <c r="CG96" i="4"/>
  <c r="CF96" i="4"/>
  <c r="CB96" i="4" s="1"/>
  <c r="BZ96" i="4"/>
  <c r="AV96" i="4"/>
  <c r="G96" i="4"/>
  <c r="F96" i="4"/>
  <c r="E96" i="4"/>
  <c r="C96" i="4"/>
  <c r="CG95" i="4"/>
  <c r="CF95" i="4"/>
  <c r="CB95" i="4" s="1"/>
  <c r="CD95" i="4"/>
  <c r="CC95" i="4"/>
  <c r="BV95" i="4" s="1"/>
  <c r="BZ95" i="4"/>
  <c r="AV95" i="4"/>
  <c r="G95" i="4"/>
  <c r="F95" i="4"/>
  <c r="E95" i="4"/>
  <c r="C95" i="4"/>
  <c r="CG94" i="4"/>
  <c r="CF94" i="4"/>
  <c r="CD94" i="4" s="1"/>
  <c r="CC94" i="4"/>
  <c r="BZ94" i="4"/>
  <c r="AV94" i="4"/>
  <c r="G94" i="4"/>
  <c r="F94" i="4"/>
  <c r="E94" i="4"/>
  <c r="C94" i="4"/>
  <c r="CG93" i="4"/>
  <c r="CF93" i="4"/>
  <c r="CD93" i="4" s="1"/>
  <c r="BZ93" i="4"/>
  <c r="AV93" i="4"/>
  <c r="G93" i="4"/>
  <c r="F93" i="4"/>
  <c r="E93" i="4"/>
  <c r="C93" i="4"/>
  <c r="CG92" i="4"/>
  <c r="CF92" i="4"/>
  <c r="CD92" i="4"/>
  <c r="CC92" i="4"/>
  <c r="BZ92" i="4"/>
  <c r="BY92" i="4"/>
  <c r="AV92" i="4"/>
  <c r="G92" i="4"/>
  <c r="F92" i="4"/>
  <c r="E92" i="4"/>
  <c r="C92" i="4"/>
  <c r="CG91" i="4"/>
  <c r="CF91" i="4"/>
  <c r="CD91" i="4" s="1"/>
  <c r="CC91" i="4"/>
  <c r="BZ91" i="4"/>
  <c r="BY91" i="4"/>
  <c r="AV91" i="4"/>
  <c r="G91" i="4"/>
  <c r="F91" i="4"/>
  <c r="BV91" i="4" s="1"/>
  <c r="BX91" i="4" s="1"/>
  <c r="E91" i="4"/>
  <c r="C91" i="4"/>
  <c r="CG90" i="4"/>
  <c r="CF90" i="4"/>
  <c r="CD90" i="4" s="1"/>
  <c r="BZ90" i="4"/>
  <c r="AV90" i="4"/>
  <c r="G90" i="4"/>
  <c r="F90" i="4"/>
  <c r="E90" i="4"/>
  <c r="C90" i="4"/>
  <c r="CG89" i="4"/>
  <c r="CF89" i="4"/>
  <c r="CC89" i="4" s="1"/>
  <c r="BV89" i="4" s="1"/>
  <c r="BZ89" i="4"/>
  <c r="AV89" i="4"/>
  <c r="G89" i="4"/>
  <c r="F89" i="4"/>
  <c r="E89" i="4"/>
  <c r="C89" i="4"/>
  <c r="CG88" i="4"/>
  <c r="CF88" i="4"/>
  <c r="CB88" i="4" s="1"/>
  <c r="BZ88" i="4"/>
  <c r="AV88" i="4"/>
  <c r="G88" i="4"/>
  <c r="F88" i="4"/>
  <c r="E88" i="4"/>
  <c r="C88" i="4"/>
  <c r="CG87" i="4"/>
  <c r="CF87" i="4"/>
  <c r="CB87" i="4" s="1"/>
  <c r="CD87" i="4"/>
  <c r="CC87" i="4"/>
  <c r="BV87" i="4" s="1"/>
  <c r="BX87" i="4" s="1"/>
  <c r="BZ87" i="4"/>
  <c r="AV87" i="4"/>
  <c r="G87" i="4"/>
  <c r="F87" i="4"/>
  <c r="E87" i="4"/>
  <c r="C87" i="4"/>
  <c r="CG86" i="4"/>
  <c r="CF86" i="4"/>
  <c r="CD86" i="4" s="1"/>
  <c r="CC86" i="4"/>
  <c r="BZ86" i="4"/>
  <c r="AV86" i="4"/>
  <c r="G86" i="4"/>
  <c r="F86" i="4"/>
  <c r="E86" i="4"/>
  <c r="C86" i="4"/>
  <c r="CG85" i="4"/>
  <c r="CF85" i="4"/>
  <c r="CD85" i="4" s="1"/>
  <c r="BZ85" i="4"/>
  <c r="AV85" i="4"/>
  <c r="G85" i="4"/>
  <c r="F85" i="4"/>
  <c r="E85" i="4"/>
  <c r="C85" i="4"/>
  <c r="CG84" i="4"/>
  <c r="CF84" i="4"/>
  <c r="CD84" i="4"/>
  <c r="CC84" i="4"/>
  <c r="BZ84" i="4"/>
  <c r="AV84" i="4"/>
  <c r="G84" i="4"/>
  <c r="F84" i="4"/>
  <c r="E84" i="4"/>
  <c r="C84" i="4"/>
  <c r="CG83" i="4"/>
  <c r="CF83" i="4"/>
  <c r="CD83" i="4" s="1"/>
  <c r="CC83" i="4"/>
  <c r="BZ83" i="4"/>
  <c r="AV83" i="4"/>
  <c r="G83" i="4"/>
  <c r="F83" i="4"/>
  <c r="BV83" i="4" s="1"/>
  <c r="E83" i="4"/>
  <c r="C83" i="4"/>
  <c r="CG82" i="4"/>
  <c r="CF82" i="4"/>
  <c r="CD82" i="4" s="1"/>
  <c r="BZ82" i="4"/>
  <c r="AV82" i="4"/>
  <c r="G82" i="4"/>
  <c r="F82" i="4"/>
  <c r="E82" i="4"/>
  <c r="C82" i="4"/>
  <c r="CG81" i="4"/>
  <c r="CF81" i="4"/>
  <c r="CC81" i="4" s="1"/>
  <c r="BV81" i="4" s="1"/>
  <c r="BZ81" i="4"/>
  <c r="AV81" i="4"/>
  <c r="G81" i="4"/>
  <c r="F81" i="4"/>
  <c r="E81" i="4"/>
  <c r="C81" i="4"/>
  <c r="CG80" i="4"/>
  <c r="CF80" i="4"/>
  <c r="BZ80" i="4"/>
  <c r="AV80" i="4"/>
  <c r="G80" i="4"/>
  <c r="F80" i="4"/>
  <c r="E80" i="4"/>
  <c r="C80" i="4"/>
  <c r="CG79" i="4"/>
  <c r="CF79" i="4"/>
  <c r="CB79" i="4" s="1"/>
  <c r="CD79" i="4"/>
  <c r="CC79" i="4"/>
  <c r="BV79" i="4" s="1"/>
  <c r="BZ79" i="4"/>
  <c r="AV79" i="4"/>
  <c r="G79" i="4"/>
  <c r="F79" i="4"/>
  <c r="E79" i="4"/>
  <c r="C79" i="4"/>
  <c r="CG78" i="4"/>
  <c r="CF78" i="4"/>
  <c r="CD78" i="4" s="1"/>
  <c r="CC78" i="4"/>
  <c r="BZ78" i="4"/>
  <c r="AV78" i="4"/>
  <c r="G78" i="4"/>
  <c r="F78" i="4"/>
  <c r="E78" i="4"/>
  <c r="C78" i="4"/>
  <c r="CG77" i="4"/>
  <c r="CF77" i="4"/>
  <c r="BZ77" i="4"/>
  <c r="AV77" i="4"/>
  <c r="G77" i="4"/>
  <c r="F77" i="4"/>
  <c r="E77" i="4"/>
  <c r="C77" i="4"/>
  <c r="CG76" i="4"/>
  <c r="CF76" i="4"/>
  <c r="CD76" i="4"/>
  <c r="CC76" i="4"/>
  <c r="BZ76" i="4"/>
  <c r="BY76" i="4"/>
  <c r="AV76" i="4"/>
  <c r="G76" i="4"/>
  <c r="F76" i="4"/>
  <c r="E76" i="4"/>
  <c r="C76" i="4"/>
  <c r="CG75" i="4"/>
  <c r="CF75" i="4"/>
  <c r="CD75" i="4" s="1"/>
  <c r="CC75" i="4"/>
  <c r="BZ75" i="4"/>
  <c r="BY75" i="4"/>
  <c r="AV75" i="4"/>
  <c r="G75" i="4"/>
  <c r="F75" i="4"/>
  <c r="BV75" i="4" s="1"/>
  <c r="BX75" i="4" s="1"/>
  <c r="E75" i="4"/>
  <c r="C75" i="4"/>
  <c r="CG74" i="4"/>
  <c r="CF74" i="4"/>
  <c r="CD74" i="4" s="1"/>
  <c r="BZ74" i="4"/>
  <c r="AV74" i="4"/>
  <c r="G74" i="4"/>
  <c r="F74" i="4"/>
  <c r="E74" i="4"/>
  <c r="C74" i="4"/>
  <c r="CG73" i="4"/>
  <c r="CF73" i="4"/>
  <c r="BZ73" i="4"/>
  <c r="AV73" i="4"/>
  <c r="G73" i="4"/>
  <c r="F73" i="4"/>
  <c r="E73" i="4"/>
  <c r="C73" i="4"/>
  <c r="CG72" i="4"/>
  <c r="CF72" i="4"/>
  <c r="CD72" i="4" s="1"/>
  <c r="BZ72" i="4"/>
  <c r="AV72" i="4"/>
  <c r="G72" i="4"/>
  <c r="F72" i="4"/>
  <c r="E72" i="4"/>
  <c r="C72" i="4"/>
  <c r="CG71" i="4"/>
  <c r="CF71" i="4"/>
  <c r="CB71" i="4" s="1"/>
  <c r="CD71" i="4"/>
  <c r="CC71" i="4"/>
  <c r="BV71" i="4" s="1"/>
  <c r="BZ71" i="4"/>
  <c r="AV71" i="4"/>
  <c r="G71" i="4"/>
  <c r="F71" i="4"/>
  <c r="E71" i="4"/>
  <c r="C71" i="4"/>
  <c r="CG70" i="4"/>
  <c r="CF70" i="4"/>
  <c r="BZ70" i="4"/>
  <c r="AV70" i="4"/>
  <c r="G70" i="4"/>
  <c r="F70" i="4"/>
  <c r="E70" i="4"/>
  <c r="C70" i="4"/>
  <c r="CG69" i="4"/>
  <c r="CF69" i="4"/>
  <c r="CD69" i="4" s="1"/>
  <c r="CB69" i="4"/>
  <c r="BZ69" i="4"/>
  <c r="CE69" i="4" s="1"/>
  <c r="AV69" i="4"/>
  <c r="G69" i="4"/>
  <c r="F69" i="4"/>
  <c r="E69" i="4"/>
  <c r="C69" i="4"/>
  <c r="CG68" i="4"/>
  <c r="CF68" i="4"/>
  <c r="CD68" i="4"/>
  <c r="CC68" i="4"/>
  <c r="BZ68" i="4"/>
  <c r="AV68" i="4"/>
  <c r="G68" i="4"/>
  <c r="F68" i="4"/>
  <c r="E68" i="4"/>
  <c r="C68" i="4"/>
  <c r="CG67" i="4"/>
  <c r="CF67" i="4"/>
  <c r="CD67" i="4" s="1"/>
  <c r="CC67" i="4"/>
  <c r="BZ67" i="4"/>
  <c r="AV67" i="4"/>
  <c r="G67" i="4"/>
  <c r="F67" i="4"/>
  <c r="BV67" i="4" s="1"/>
  <c r="E67" i="4"/>
  <c r="C67" i="4"/>
  <c r="CG66" i="4"/>
  <c r="CF66" i="4"/>
  <c r="CD66" i="4" s="1"/>
  <c r="CB66" i="4"/>
  <c r="BZ66" i="4"/>
  <c r="AV66" i="4"/>
  <c r="G66" i="4"/>
  <c r="F66" i="4"/>
  <c r="E66" i="4"/>
  <c r="C66" i="4"/>
  <c r="CG65" i="4"/>
  <c r="CF65" i="4"/>
  <c r="BZ65" i="4"/>
  <c r="AV65" i="4"/>
  <c r="G65" i="4"/>
  <c r="F65" i="4"/>
  <c r="E65" i="4"/>
  <c r="C65" i="4"/>
  <c r="CG64" i="4"/>
  <c r="CF64" i="4"/>
  <c r="CD64" i="4"/>
  <c r="BZ64" i="4"/>
  <c r="AV64" i="4"/>
  <c r="G64" i="4"/>
  <c r="F64" i="4"/>
  <c r="E64" i="4"/>
  <c r="C64" i="4"/>
  <c r="CG63" i="4"/>
  <c r="CF63" i="4"/>
  <c r="CB63" i="4" s="1"/>
  <c r="CD63" i="4"/>
  <c r="CC63" i="4"/>
  <c r="BV63" i="4" s="1"/>
  <c r="BZ63" i="4"/>
  <c r="AV63" i="4"/>
  <c r="G63" i="4"/>
  <c r="F63" i="4"/>
  <c r="E63" i="4"/>
  <c r="C63" i="4"/>
  <c r="CG62" i="4"/>
  <c r="CF62" i="4"/>
  <c r="BZ62" i="4"/>
  <c r="AV62" i="4"/>
  <c r="G62" i="4"/>
  <c r="F62" i="4"/>
  <c r="CC62" i="4" s="1"/>
  <c r="E62" i="4"/>
  <c r="C62" i="4"/>
  <c r="CG61" i="4"/>
  <c r="CF61" i="4"/>
  <c r="BZ61" i="4"/>
  <c r="AV61" i="4"/>
  <c r="G61" i="4"/>
  <c r="F61" i="4"/>
  <c r="E61" i="4"/>
  <c r="C61" i="4"/>
  <c r="CG60" i="4"/>
  <c r="CF60" i="4"/>
  <c r="CD60" i="4"/>
  <c r="CC60" i="4"/>
  <c r="BZ60" i="4"/>
  <c r="BY60" i="4"/>
  <c r="AV60" i="4"/>
  <c r="G60" i="4"/>
  <c r="F60" i="4"/>
  <c r="E60" i="4"/>
  <c r="C60" i="4"/>
  <c r="CG59" i="4"/>
  <c r="CF59" i="4"/>
  <c r="CD59" i="4" s="1"/>
  <c r="CC59" i="4"/>
  <c r="BZ59" i="4"/>
  <c r="BY59" i="4"/>
  <c r="AV59" i="4"/>
  <c r="G59" i="4"/>
  <c r="F59" i="4"/>
  <c r="BV59" i="4" s="1"/>
  <c r="E59" i="4"/>
  <c r="C59" i="4"/>
  <c r="CG58" i="4"/>
  <c r="CF58" i="4"/>
  <c r="CD58" i="4" s="1"/>
  <c r="CB58" i="4"/>
  <c r="BZ58" i="4"/>
  <c r="AV58" i="4"/>
  <c r="G58" i="4"/>
  <c r="F58" i="4"/>
  <c r="E58" i="4"/>
  <c r="C58" i="4"/>
  <c r="CG57" i="4"/>
  <c r="CF57" i="4"/>
  <c r="BZ57" i="4"/>
  <c r="BY57" i="4"/>
  <c r="AV57" i="4"/>
  <c r="G57" i="4"/>
  <c r="F57" i="4"/>
  <c r="E57" i="4"/>
  <c r="C57" i="4"/>
  <c r="CG56" i="4"/>
  <c r="CF56" i="4"/>
  <c r="BZ56" i="4"/>
  <c r="BY56" i="4"/>
  <c r="AV56" i="4"/>
  <c r="G56" i="4"/>
  <c r="F56" i="4"/>
  <c r="E56" i="4"/>
  <c r="C56" i="4"/>
  <c r="CG55" i="4"/>
  <c r="CF55" i="4"/>
  <c r="CB55" i="4" s="1"/>
  <c r="CD55" i="4"/>
  <c r="CC55" i="4"/>
  <c r="BV55" i="4" s="1"/>
  <c r="BX55" i="4" s="1"/>
  <c r="BZ55" i="4"/>
  <c r="AV55" i="4"/>
  <c r="G55" i="4"/>
  <c r="F55" i="4"/>
  <c r="E55" i="4"/>
  <c r="C55" i="4"/>
  <c r="CG54" i="4"/>
  <c r="CF54" i="4"/>
  <c r="BZ54" i="4"/>
  <c r="AV54" i="4"/>
  <c r="G54" i="4"/>
  <c r="F54" i="4"/>
  <c r="CC54" i="4" s="1"/>
  <c r="E54" i="4"/>
  <c r="C54" i="4"/>
  <c r="CG53" i="4"/>
  <c r="CF53" i="4"/>
  <c r="CC53" i="4" s="1"/>
  <c r="CD53" i="4"/>
  <c r="CB53" i="4"/>
  <c r="BZ53" i="4"/>
  <c r="CE53" i="4" s="1"/>
  <c r="AV53" i="4"/>
  <c r="G53" i="4"/>
  <c r="F53" i="4"/>
  <c r="E53" i="4"/>
  <c r="C53" i="4"/>
  <c r="CG52" i="4"/>
  <c r="CF52" i="4"/>
  <c r="CD52" i="4"/>
  <c r="CC52" i="4"/>
  <c r="BZ52" i="4"/>
  <c r="AV52" i="4"/>
  <c r="G52" i="4"/>
  <c r="F52" i="4"/>
  <c r="E52" i="4"/>
  <c r="C52" i="4"/>
  <c r="CG51" i="4"/>
  <c r="CF51" i="4"/>
  <c r="BZ51" i="4"/>
  <c r="AV51" i="4"/>
  <c r="G51" i="4"/>
  <c r="F51" i="4"/>
  <c r="E51" i="4"/>
  <c r="C51" i="4"/>
  <c r="CG50" i="4"/>
  <c r="CF50" i="4"/>
  <c r="CD50" i="4"/>
  <c r="BZ50" i="4"/>
  <c r="AV50" i="4"/>
  <c r="G50" i="4"/>
  <c r="F50" i="4"/>
  <c r="CB50" i="4" s="1"/>
  <c r="CE50" i="4" s="1"/>
  <c r="E50" i="4"/>
  <c r="C50" i="4"/>
  <c r="CG49" i="4"/>
  <c r="CF49" i="4"/>
  <c r="CD49" i="4" s="1"/>
  <c r="CC49" i="4"/>
  <c r="CB49" i="4"/>
  <c r="BZ49" i="4"/>
  <c r="BV49" i="4"/>
  <c r="BX49" i="4" s="1"/>
  <c r="BM49" i="4"/>
  <c r="AV49" i="4"/>
  <c r="H49" i="4"/>
  <c r="G49" i="4"/>
  <c r="F49" i="4"/>
  <c r="BW49" i="4" s="1"/>
  <c r="E49" i="4"/>
  <c r="D49" i="4"/>
  <c r="AY49" i="4" s="1"/>
  <c r="C49" i="4"/>
  <c r="CG48" i="4"/>
  <c r="CF48" i="4"/>
  <c r="CA48" i="4"/>
  <c r="BZ48" i="4"/>
  <c r="BW48" i="4"/>
  <c r="AV48" i="4"/>
  <c r="H48" i="4"/>
  <c r="G48" i="4"/>
  <c r="F48" i="4"/>
  <c r="BY48" i="4" s="1"/>
  <c r="E48" i="4"/>
  <c r="D48" i="4"/>
  <c r="AY48" i="4" s="1"/>
  <c r="C48" i="4"/>
  <c r="CG47" i="4"/>
  <c r="CF47" i="4"/>
  <c r="CE47" i="4"/>
  <c r="CD47" i="4"/>
  <c r="CC47" i="4"/>
  <c r="CB47" i="4"/>
  <c r="CA47" i="4"/>
  <c r="BZ47" i="4"/>
  <c r="BV47" i="4"/>
  <c r="BX47" i="4" s="1"/>
  <c r="AV47" i="4"/>
  <c r="H47" i="4"/>
  <c r="G47" i="4"/>
  <c r="F47" i="4"/>
  <c r="BY47" i="4" s="1"/>
  <c r="E47" i="4"/>
  <c r="C47" i="4"/>
  <c r="CG46" i="4"/>
  <c r="CF46" i="4"/>
  <c r="CC46" i="4" s="1"/>
  <c r="BZ46" i="4"/>
  <c r="AV46" i="4"/>
  <c r="G46" i="4"/>
  <c r="F46" i="4"/>
  <c r="E46" i="4"/>
  <c r="C46" i="4"/>
  <c r="CG45" i="4"/>
  <c r="CF45" i="4"/>
  <c r="CC45" i="4"/>
  <c r="CB45" i="4"/>
  <c r="BZ45" i="4"/>
  <c r="AV45" i="4"/>
  <c r="G45" i="4"/>
  <c r="F45" i="4"/>
  <c r="E45" i="4"/>
  <c r="C45" i="4"/>
  <c r="CG44" i="4"/>
  <c r="CF44" i="4"/>
  <c r="BZ44" i="4"/>
  <c r="AV44" i="4"/>
  <c r="G44" i="4"/>
  <c r="F44" i="4"/>
  <c r="E44" i="4"/>
  <c r="C44" i="4"/>
  <c r="CG43" i="4"/>
  <c r="CF43" i="4"/>
  <c r="BZ43" i="4"/>
  <c r="AV43" i="4"/>
  <c r="G43" i="4"/>
  <c r="F43" i="4"/>
  <c r="CC43" i="4" s="1"/>
  <c r="E43" i="4"/>
  <c r="C43" i="4"/>
  <c r="CG42" i="4"/>
  <c r="CF42" i="4"/>
  <c r="BZ42" i="4"/>
  <c r="AV42" i="4"/>
  <c r="G42" i="4"/>
  <c r="F42" i="4"/>
  <c r="E42" i="4"/>
  <c r="C42" i="4"/>
  <c r="CG41" i="4"/>
  <c r="CF41" i="4"/>
  <c r="BZ41" i="4"/>
  <c r="AV41" i="4"/>
  <c r="G41" i="4"/>
  <c r="F41" i="4"/>
  <c r="E41" i="4"/>
  <c r="C41" i="4"/>
  <c r="CG40" i="4"/>
  <c r="CF40" i="4"/>
  <c r="BZ40" i="4"/>
  <c r="AV40" i="4"/>
  <c r="G40" i="4"/>
  <c r="F40" i="4"/>
  <c r="E40" i="4"/>
  <c r="C40" i="4"/>
  <c r="CG39" i="4"/>
  <c r="CF39" i="4"/>
  <c r="CC39" i="4"/>
  <c r="CB39" i="4"/>
  <c r="BZ39" i="4"/>
  <c r="CE39" i="4" s="1"/>
  <c r="AV39" i="4"/>
  <c r="G39" i="4"/>
  <c r="F39" i="4"/>
  <c r="E39" i="4"/>
  <c r="C39" i="4"/>
  <c r="CG38" i="4"/>
  <c r="CF38" i="4"/>
  <c r="CD38" i="4" s="1"/>
  <c r="BZ38" i="4"/>
  <c r="AV38" i="4"/>
  <c r="G38" i="4"/>
  <c r="F38" i="4"/>
  <c r="E38" i="4"/>
  <c r="C38" i="4"/>
  <c r="CG37" i="4"/>
  <c r="CF37" i="4"/>
  <c r="CC37" i="4"/>
  <c r="CB37" i="4"/>
  <c r="BZ37" i="4"/>
  <c r="BY37" i="4"/>
  <c r="AV37" i="4"/>
  <c r="G37" i="4"/>
  <c r="F37" i="4"/>
  <c r="E37" i="4"/>
  <c r="C37" i="4"/>
  <c r="CG36" i="4"/>
  <c r="CF36" i="4"/>
  <c r="BZ36" i="4"/>
  <c r="BY36" i="4"/>
  <c r="AV36" i="4"/>
  <c r="G36" i="4"/>
  <c r="F36" i="4"/>
  <c r="E36" i="4"/>
  <c r="C36" i="4"/>
  <c r="CG35" i="4"/>
  <c r="CF35" i="4"/>
  <c r="CD35" i="4" s="1"/>
  <c r="CC35" i="4"/>
  <c r="CB35" i="4"/>
  <c r="BZ35" i="4"/>
  <c r="AV35" i="4"/>
  <c r="G35" i="4"/>
  <c r="F35" i="4"/>
  <c r="E35" i="4"/>
  <c r="C35" i="4"/>
  <c r="CG34" i="4"/>
  <c r="CF34" i="4"/>
  <c r="CD34" i="4"/>
  <c r="CC34" i="4"/>
  <c r="BZ34" i="4"/>
  <c r="BY34" i="4"/>
  <c r="BV34" i="4"/>
  <c r="BX34" i="4" s="1"/>
  <c r="AV34" i="4"/>
  <c r="G34" i="4"/>
  <c r="F34" i="4"/>
  <c r="E34" i="4"/>
  <c r="C34" i="4"/>
  <c r="CG33" i="4"/>
  <c r="CF33" i="4"/>
  <c r="BZ33" i="4"/>
  <c r="AV33" i="4"/>
  <c r="G33" i="4"/>
  <c r="F33" i="4"/>
  <c r="E33" i="4"/>
  <c r="C33" i="4"/>
  <c r="CG32" i="4"/>
  <c r="CF32" i="4"/>
  <c r="CB32" i="4" s="1"/>
  <c r="CD32" i="4"/>
  <c r="CC32" i="4"/>
  <c r="BV32" i="4" s="1"/>
  <c r="BX32" i="4" s="1"/>
  <c r="BZ32" i="4"/>
  <c r="AV32" i="4"/>
  <c r="G32" i="4"/>
  <c r="F32" i="4"/>
  <c r="E32" i="4"/>
  <c r="C32" i="4"/>
  <c r="CG31" i="4"/>
  <c r="CF31" i="4"/>
  <c r="CB31" i="4"/>
  <c r="BZ31" i="4"/>
  <c r="CE31" i="4" s="1"/>
  <c r="AV31" i="4"/>
  <c r="G31" i="4"/>
  <c r="F31" i="4"/>
  <c r="E31" i="4"/>
  <c r="C31" i="4"/>
  <c r="CG30" i="4"/>
  <c r="CF30" i="4"/>
  <c r="BZ30" i="4"/>
  <c r="AV30" i="4"/>
  <c r="G30" i="4"/>
  <c r="F30" i="4"/>
  <c r="E30" i="4"/>
  <c r="C30" i="4"/>
  <c r="CG29" i="4"/>
  <c r="CF29" i="4"/>
  <c r="BZ29" i="4"/>
  <c r="AV29" i="4"/>
  <c r="G29" i="4"/>
  <c r="F29" i="4"/>
  <c r="E29" i="4"/>
  <c r="C29" i="4"/>
  <c r="CG28" i="4"/>
  <c r="CF28" i="4"/>
  <c r="CB28" i="4" s="1"/>
  <c r="CD28" i="4"/>
  <c r="CC28" i="4"/>
  <c r="BV28" i="4" s="1"/>
  <c r="BZ28" i="4"/>
  <c r="AV28" i="4"/>
  <c r="G28" i="4"/>
  <c r="F28" i="4"/>
  <c r="E28" i="4"/>
  <c r="C28" i="4"/>
  <c r="CG27" i="4"/>
  <c r="CF27" i="4"/>
  <c r="CB27" i="4"/>
  <c r="BZ27" i="4"/>
  <c r="CE27" i="4" s="1"/>
  <c r="AV27" i="4"/>
  <c r="G27" i="4"/>
  <c r="F27" i="4"/>
  <c r="E27" i="4"/>
  <c r="C27" i="4"/>
  <c r="CG26" i="4"/>
  <c r="CF26" i="4"/>
  <c r="BZ26" i="4"/>
  <c r="BY26" i="4"/>
  <c r="AV26" i="4"/>
  <c r="G26" i="4"/>
  <c r="F26" i="4"/>
  <c r="E26" i="4"/>
  <c r="C26" i="4"/>
  <c r="CG25" i="4"/>
  <c r="CF25" i="4"/>
  <c r="BZ25" i="4"/>
  <c r="AV25" i="4"/>
  <c r="G25" i="4"/>
  <c r="F25" i="4"/>
  <c r="E25" i="4"/>
  <c r="C25" i="4"/>
  <c r="CG24" i="4"/>
  <c r="CF24" i="4"/>
  <c r="CB24" i="4" s="1"/>
  <c r="CD24" i="4"/>
  <c r="CC24" i="4"/>
  <c r="BV24" i="4" s="1"/>
  <c r="BZ24" i="4"/>
  <c r="AV24" i="4"/>
  <c r="G24" i="4"/>
  <c r="F24" i="4"/>
  <c r="E24" i="4"/>
  <c r="C24" i="4"/>
  <c r="CG23" i="4"/>
  <c r="CF23" i="4"/>
  <c r="CB23" i="4"/>
  <c r="BZ23" i="4"/>
  <c r="AV23" i="4"/>
  <c r="G23" i="4"/>
  <c r="F23" i="4"/>
  <c r="E23" i="4"/>
  <c r="C23" i="4"/>
  <c r="CG22" i="4"/>
  <c r="CF22" i="4"/>
  <c r="BZ22" i="4"/>
  <c r="BY22" i="4"/>
  <c r="AV22" i="4"/>
  <c r="G22" i="4"/>
  <c r="F22" i="4"/>
  <c r="E22" i="4"/>
  <c r="D22" i="4"/>
  <c r="AY22" i="4" s="1"/>
  <c r="C22" i="4"/>
  <c r="CG21" i="4"/>
  <c r="CF21" i="4"/>
  <c r="CD21" i="4" s="1"/>
  <c r="CA21" i="4"/>
  <c r="BZ21" i="4"/>
  <c r="BY21" i="4"/>
  <c r="BW21" i="4"/>
  <c r="AV21" i="4"/>
  <c r="H21" i="4"/>
  <c r="G21" i="4"/>
  <c r="E21" i="4"/>
  <c r="D21" i="4"/>
  <c r="AY21" i="4" s="1"/>
  <c r="C21" i="4"/>
  <c r="CG20" i="4"/>
  <c r="CF20" i="4"/>
  <c r="CA20" i="4"/>
  <c r="BZ20" i="4"/>
  <c r="BW20" i="4"/>
  <c r="AV20" i="4"/>
  <c r="H20" i="4"/>
  <c r="G20" i="4"/>
  <c r="F20" i="4"/>
  <c r="BY20" i="4" s="1"/>
  <c r="E20" i="4"/>
  <c r="D20" i="4"/>
  <c r="AY20" i="4" s="1"/>
  <c r="C20" i="4"/>
  <c r="CG19" i="4"/>
  <c r="CF19" i="4"/>
  <c r="CB19" i="4"/>
  <c r="CE19" i="4" s="1"/>
  <c r="CA19" i="4"/>
  <c r="BZ19" i="4"/>
  <c r="BY19" i="4"/>
  <c r="BW19" i="4"/>
  <c r="AV19" i="4"/>
  <c r="H19" i="4"/>
  <c r="G19" i="4"/>
  <c r="E19" i="4"/>
  <c r="D19" i="4" s="1"/>
  <c r="AY19" i="4" s="1"/>
  <c r="C19" i="4"/>
  <c r="CG18" i="4"/>
  <c r="CF18" i="4"/>
  <c r="CD18" i="4"/>
  <c r="CC18" i="4"/>
  <c r="BV18" i="4" s="1"/>
  <c r="BX18" i="4" s="1"/>
  <c r="CB18" i="4"/>
  <c r="CA18" i="4"/>
  <c r="BZ18" i="4"/>
  <c r="CE18" i="4" s="1"/>
  <c r="BW18" i="4"/>
  <c r="AY18" i="4"/>
  <c r="AV18" i="4"/>
  <c r="H18" i="4"/>
  <c r="G18" i="4"/>
  <c r="F18" i="4"/>
  <c r="BY18" i="4" s="1"/>
  <c r="E18" i="4"/>
  <c r="D18" i="4"/>
  <c r="C18" i="4"/>
  <c r="CG17" i="4"/>
  <c r="CF17" i="4"/>
  <c r="CD17" i="4"/>
  <c r="BZ17" i="4"/>
  <c r="AV17" i="4"/>
  <c r="H17" i="4"/>
  <c r="G17" i="4"/>
  <c r="F17" i="4"/>
  <c r="BY17" i="4" s="1"/>
  <c r="E17" i="4"/>
  <c r="C17" i="4"/>
  <c r="CG16" i="4"/>
  <c r="CF16" i="4"/>
  <c r="CE16" i="4"/>
  <c r="CD16" i="4"/>
  <c r="CC16" i="4"/>
  <c r="CB16" i="4"/>
  <c r="CA16" i="4"/>
  <c r="BZ16" i="4"/>
  <c r="BV16" i="4"/>
  <c r="AV16" i="4"/>
  <c r="G16" i="4"/>
  <c r="F16" i="4"/>
  <c r="E16" i="4"/>
  <c r="D16" i="4"/>
  <c r="AY16" i="4" s="1"/>
  <c r="C16" i="4"/>
  <c r="CG15" i="4"/>
  <c r="CF15" i="4"/>
  <c r="BZ15" i="4"/>
  <c r="AV15" i="4"/>
  <c r="G15" i="4"/>
  <c r="F15" i="4"/>
  <c r="H15" i="4" s="1"/>
  <c r="E15" i="4"/>
  <c r="D15" i="4"/>
  <c r="AY15" i="4" s="1"/>
  <c r="C15" i="4"/>
  <c r="CG14" i="4"/>
  <c r="CF14" i="4"/>
  <c r="CD14" i="4"/>
  <c r="CC14" i="4"/>
  <c r="CB14" i="4"/>
  <c r="CA14" i="4"/>
  <c r="BZ14" i="4"/>
  <c r="CE14" i="4" s="1"/>
  <c r="BW14" i="4"/>
  <c r="BV14" i="4"/>
  <c r="BX14" i="4" s="1"/>
  <c r="AV14" i="4"/>
  <c r="H14" i="4"/>
  <c r="G14" i="4"/>
  <c r="F14" i="4"/>
  <c r="BY14" i="4" s="1"/>
  <c r="E14" i="4"/>
  <c r="D14" i="4"/>
  <c r="AY14" i="4" s="1"/>
  <c r="C14" i="4"/>
  <c r="CG13" i="4"/>
  <c r="CF13" i="4"/>
  <c r="CD13" i="4"/>
  <c r="CA13" i="4"/>
  <c r="BZ13" i="4"/>
  <c r="BY13" i="4"/>
  <c r="BW13" i="4"/>
  <c r="AV13" i="4"/>
  <c r="H13" i="4"/>
  <c r="G13" i="4"/>
  <c r="E13" i="4"/>
  <c r="D13" i="4" s="1"/>
  <c r="AY13" i="4" s="1"/>
  <c r="C13" i="4"/>
  <c r="CG12" i="4"/>
  <c r="CF12" i="4"/>
  <c r="CB12" i="4"/>
  <c r="BZ12" i="4"/>
  <c r="AV12" i="4"/>
  <c r="G12" i="4"/>
  <c r="F12" i="4"/>
  <c r="BY12" i="4" s="1"/>
  <c r="E12" i="4"/>
  <c r="C12" i="4"/>
  <c r="CG11" i="4"/>
  <c r="CF11" i="4"/>
  <c r="CC11" i="4"/>
  <c r="BZ11" i="4"/>
  <c r="AV11" i="4"/>
  <c r="G11" i="4"/>
  <c r="F11" i="4"/>
  <c r="E11" i="4"/>
  <c r="C11" i="4"/>
  <c r="CG10" i="4"/>
  <c r="CF10" i="4"/>
  <c r="CD10" i="4"/>
  <c r="CC10" i="4"/>
  <c r="CB10" i="4"/>
  <c r="BZ10" i="4"/>
  <c r="AV10" i="4"/>
  <c r="G10" i="4"/>
  <c r="F10" i="4"/>
  <c r="E10" i="4"/>
  <c r="C10" i="4"/>
  <c r="CG9" i="4"/>
  <c r="CF9" i="4"/>
  <c r="CD9" i="4"/>
  <c r="CC9" i="4"/>
  <c r="BZ9" i="4"/>
  <c r="AV9" i="4"/>
  <c r="G9" i="4"/>
  <c r="F9" i="4"/>
  <c r="E9" i="4"/>
  <c r="C9" i="4"/>
  <c r="CG8" i="4"/>
  <c r="CF8" i="4"/>
  <c r="CD8" i="4"/>
  <c r="CC8" i="4"/>
  <c r="BZ8" i="4"/>
  <c r="AV8" i="4"/>
  <c r="G8" i="4"/>
  <c r="F8" i="4"/>
  <c r="E8" i="4"/>
  <c r="C8" i="4"/>
  <c r="CG7" i="4"/>
  <c r="CF7" i="4"/>
  <c r="CC7" i="4" s="1"/>
  <c r="CD7" i="4"/>
  <c r="BZ7" i="4"/>
  <c r="AV7" i="4"/>
  <c r="G7" i="4"/>
  <c r="F7" i="4"/>
  <c r="E7" i="4"/>
  <c r="C7" i="4"/>
  <c r="CG6" i="4"/>
  <c r="CF6" i="4"/>
  <c r="CD6" i="4"/>
  <c r="CC6" i="4"/>
  <c r="CB6" i="4"/>
  <c r="BZ6" i="4"/>
  <c r="BV6" i="4"/>
  <c r="AV6" i="4"/>
  <c r="G6" i="4"/>
  <c r="F6" i="4"/>
  <c r="E6" i="4"/>
  <c r="C6" i="4"/>
  <c r="CG5" i="4"/>
  <c r="CF5" i="4"/>
  <c r="CB5" i="4" s="1"/>
  <c r="BZ5" i="4"/>
  <c r="BY5" i="4"/>
  <c r="BW5" i="4"/>
  <c r="AY5" i="4"/>
  <c r="AV5" i="4"/>
  <c r="G5" i="4"/>
  <c r="F5" i="4"/>
  <c r="E5" i="4"/>
  <c r="D5" i="4"/>
  <c r="C5" i="4"/>
  <c r="CG4" i="4"/>
  <c r="CF4" i="4"/>
  <c r="CD4" i="4"/>
  <c r="CC4" i="4"/>
  <c r="BZ4" i="4"/>
  <c r="BY4" i="4"/>
  <c r="BV4" i="4"/>
  <c r="BX4" i="4" s="1"/>
  <c r="AV4" i="4"/>
  <c r="H4" i="4"/>
  <c r="G4" i="4"/>
  <c r="F4" i="4"/>
  <c r="E4" i="4"/>
  <c r="C4" i="4"/>
  <c r="CG3" i="4"/>
  <c r="CF3" i="4"/>
  <c r="CB3" i="4" s="1"/>
  <c r="BZ3" i="4"/>
  <c r="BY3" i="4"/>
  <c r="BW3" i="4"/>
  <c r="AV3" i="4"/>
  <c r="G3" i="4"/>
  <c r="F3" i="4"/>
  <c r="E3" i="4"/>
  <c r="D3" i="4"/>
  <c r="AY3" i="4" s="1"/>
  <c r="C3" i="4"/>
  <c r="BI2" i="4"/>
  <c r="BH2" i="4"/>
  <c r="BG2" i="4"/>
  <c r="BE2" i="4"/>
  <c r="AT1" i="4"/>
  <c r="BN1814" i="3"/>
  <c r="BL1814" i="3"/>
  <c r="BK1814" i="3"/>
  <c r="BM1814" i="3" s="1"/>
  <c r="E1814" i="3"/>
  <c r="F1814" i="3" s="1"/>
  <c r="D1814" i="3"/>
  <c r="BN1813" i="3"/>
  <c r="BL1813" i="3"/>
  <c r="BK1813" i="3"/>
  <c r="BM1813" i="3" s="1"/>
  <c r="E1813" i="3"/>
  <c r="C1813" i="3" s="1"/>
  <c r="BC1813" i="3" s="1"/>
  <c r="D1813" i="3"/>
  <c r="BN1812" i="3"/>
  <c r="BL1812" i="3"/>
  <c r="BM1812" i="3" s="1"/>
  <c r="BK1812" i="3"/>
  <c r="F1812" i="3"/>
  <c r="E1812" i="3"/>
  <c r="D1812" i="3"/>
  <c r="C1812" i="3"/>
  <c r="BC1812" i="3" s="1"/>
  <c r="BN1811" i="3"/>
  <c r="BM1811" i="3"/>
  <c r="BL1811" i="3"/>
  <c r="BK1811" i="3"/>
  <c r="D1811" i="3"/>
  <c r="C1811" i="3"/>
  <c r="BC1811" i="3" s="1"/>
  <c r="BN1810" i="3"/>
  <c r="BM1810" i="3"/>
  <c r="BL1810" i="3"/>
  <c r="BK1810" i="3"/>
  <c r="D1810" i="3"/>
  <c r="C1810" i="3"/>
  <c r="BC1810" i="3" s="1"/>
  <c r="BN1809" i="3"/>
  <c r="BM1809" i="3"/>
  <c r="BL1809" i="3"/>
  <c r="BK1809" i="3"/>
  <c r="D1809" i="3"/>
  <c r="C1809" i="3"/>
  <c r="BC1809" i="3" s="1"/>
  <c r="BN1808" i="3"/>
  <c r="BM1808" i="3"/>
  <c r="BL1808" i="3"/>
  <c r="BK1808" i="3"/>
  <c r="D1808" i="3"/>
  <c r="C1808" i="3"/>
  <c r="BC1808" i="3" s="1"/>
  <c r="BN1807" i="3"/>
  <c r="BM1807" i="3"/>
  <c r="BL1807" i="3"/>
  <c r="BK1807" i="3"/>
  <c r="BC1807" i="3"/>
  <c r="E1807" i="3"/>
  <c r="F1807" i="3" s="1"/>
  <c r="F1808" i="3" s="1"/>
  <c r="F1809" i="3" s="1"/>
  <c r="F1810" i="3" s="1"/>
  <c r="F1811" i="3" s="1"/>
  <c r="D1807" i="3"/>
  <c r="C1807" i="3"/>
  <c r="BN1806" i="3"/>
  <c r="BK1806" i="3"/>
  <c r="E1806" i="3"/>
  <c r="F1806" i="3" s="1"/>
  <c r="D1806" i="3"/>
  <c r="C1806" i="3"/>
  <c r="BC1806" i="3" s="1"/>
  <c r="BN1805" i="3"/>
  <c r="BL1805" i="3"/>
  <c r="BM1805" i="3" s="1"/>
  <c r="BK1805" i="3"/>
  <c r="E1805" i="3"/>
  <c r="F1805" i="3" s="1"/>
  <c r="D1805" i="3"/>
  <c r="C1805" i="3" s="1"/>
  <c r="BC1805" i="3" s="1"/>
  <c r="BN1804" i="3"/>
  <c r="BK1804" i="3"/>
  <c r="E1804" i="3"/>
  <c r="BL1804" i="3" s="1"/>
  <c r="BM1804" i="3" s="1"/>
  <c r="D1804" i="3"/>
  <c r="BN1803" i="3"/>
  <c r="BK1803" i="3"/>
  <c r="F1803" i="3"/>
  <c r="E1803" i="3"/>
  <c r="BL1803" i="3" s="1"/>
  <c r="D1803" i="3"/>
  <c r="BN1802" i="3"/>
  <c r="BL1802" i="3"/>
  <c r="BK1802" i="3"/>
  <c r="BM1802" i="3" s="1"/>
  <c r="F1802" i="3"/>
  <c r="E1802" i="3"/>
  <c r="C1802" i="3" s="1"/>
  <c r="BC1802" i="3" s="1"/>
  <c r="D1802" i="3"/>
  <c r="BN1801" i="3"/>
  <c r="BK1801" i="3"/>
  <c r="E1801" i="3"/>
  <c r="C1801" i="3" s="1"/>
  <c r="BC1801" i="3" s="1"/>
  <c r="D1801" i="3"/>
  <c r="BN1800" i="3"/>
  <c r="BL1800" i="3"/>
  <c r="BK1800" i="3"/>
  <c r="BM1800" i="3" s="1"/>
  <c r="F1800" i="3"/>
  <c r="E1800" i="3"/>
  <c r="D1800" i="3"/>
  <c r="C1800" i="3"/>
  <c r="BC1800" i="3" s="1"/>
  <c r="BN1799" i="3"/>
  <c r="BM1799" i="3"/>
  <c r="BL1799" i="3"/>
  <c r="BK1799" i="3"/>
  <c r="E1799" i="3"/>
  <c r="F1799" i="3" s="1"/>
  <c r="D1799" i="3"/>
  <c r="C1799" i="3"/>
  <c r="BC1799" i="3" s="1"/>
  <c r="BN1798" i="3"/>
  <c r="BK1798" i="3"/>
  <c r="E1798" i="3"/>
  <c r="F1798" i="3" s="1"/>
  <c r="D1798" i="3"/>
  <c r="C1798" i="3"/>
  <c r="BC1798" i="3" s="1"/>
  <c r="BN1797" i="3"/>
  <c r="BL1797" i="3"/>
  <c r="BM1797" i="3" s="1"/>
  <c r="BK1797" i="3"/>
  <c r="E1797" i="3"/>
  <c r="F1797" i="3" s="1"/>
  <c r="D1797" i="3"/>
  <c r="C1797" i="3" s="1"/>
  <c r="BC1797" i="3" s="1"/>
  <c r="BN1796" i="3"/>
  <c r="BK1796" i="3"/>
  <c r="E1796" i="3"/>
  <c r="BL1796" i="3" s="1"/>
  <c r="BM1796" i="3" s="1"/>
  <c r="D1796" i="3"/>
  <c r="BN1795" i="3"/>
  <c r="BK1795" i="3"/>
  <c r="BM1795" i="3" s="1"/>
  <c r="F1795" i="3"/>
  <c r="E1795" i="3"/>
  <c r="BL1795" i="3" s="1"/>
  <c r="D1795" i="3"/>
  <c r="BN1794" i="3"/>
  <c r="BL1794" i="3"/>
  <c r="BK1794" i="3"/>
  <c r="BM1794" i="3" s="1"/>
  <c r="F1794" i="3"/>
  <c r="E1794" i="3"/>
  <c r="C1794" i="3" s="1"/>
  <c r="BC1794" i="3" s="1"/>
  <c r="D1794" i="3"/>
  <c r="BN1793" i="3"/>
  <c r="BK1793" i="3"/>
  <c r="E1793" i="3"/>
  <c r="C1793" i="3" s="1"/>
  <c r="BC1793" i="3" s="1"/>
  <c r="D1793" i="3"/>
  <c r="BN1792" i="3"/>
  <c r="BL1792" i="3"/>
  <c r="BK1792" i="3"/>
  <c r="BM1792" i="3" s="1"/>
  <c r="F1792" i="3"/>
  <c r="E1792" i="3"/>
  <c r="D1792" i="3"/>
  <c r="C1792" i="3"/>
  <c r="BC1792" i="3" s="1"/>
  <c r="BN1791" i="3"/>
  <c r="BM1791" i="3"/>
  <c r="BL1791" i="3"/>
  <c r="BK1791" i="3"/>
  <c r="BC1791" i="3"/>
  <c r="E1791" i="3"/>
  <c r="F1791" i="3" s="1"/>
  <c r="D1791" i="3"/>
  <c r="C1791" i="3"/>
  <c r="BN1790" i="3"/>
  <c r="BK1790" i="3"/>
  <c r="E1790" i="3"/>
  <c r="D1790" i="3"/>
  <c r="C1790" i="3"/>
  <c r="BC1790" i="3" s="1"/>
  <c r="BN1789" i="3"/>
  <c r="BL1789" i="3"/>
  <c r="BM1789" i="3" s="1"/>
  <c r="BK1789" i="3"/>
  <c r="E1789" i="3"/>
  <c r="D1789" i="3"/>
  <c r="C1789" i="3"/>
  <c r="BC1789" i="3" s="1"/>
  <c r="BN1788" i="3"/>
  <c r="BK1788" i="3"/>
  <c r="E1788" i="3"/>
  <c r="BL1788" i="3" s="1"/>
  <c r="BM1788" i="3" s="1"/>
  <c r="D1788" i="3"/>
  <c r="BN1787" i="3"/>
  <c r="BK1787" i="3"/>
  <c r="BM1787" i="3" s="1"/>
  <c r="F1787" i="3"/>
  <c r="E1787" i="3"/>
  <c r="BL1787" i="3" s="1"/>
  <c r="D1787" i="3"/>
  <c r="BN1786" i="3"/>
  <c r="BL1786" i="3"/>
  <c r="BK1786" i="3"/>
  <c r="BM1786" i="3" s="1"/>
  <c r="F1786" i="3"/>
  <c r="E1786" i="3"/>
  <c r="C1786" i="3" s="1"/>
  <c r="BC1786" i="3" s="1"/>
  <c r="D1786" i="3"/>
  <c r="BN1785" i="3"/>
  <c r="BL1785" i="3"/>
  <c r="BK1785" i="3"/>
  <c r="BM1785" i="3" s="1"/>
  <c r="BC1785" i="3"/>
  <c r="BB1785" i="3"/>
  <c r="F1785" i="3"/>
  <c r="E1785" i="3"/>
  <c r="D1785" i="3"/>
  <c r="C1785" i="3"/>
  <c r="BN1784" i="3"/>
  <c r="BM1784" i="3"/>
  <c r="BL1784" i="3"/>
  <c r="BK1784" i="3"/>
  <c r="BC1784" i="3"/>
  <c r="E1784" i="3"/>
  <c r="F1784" i="3" s="1"/>
  <c r="D1784" i="3"/>
  <c r="C1784" i="3"/>
  <c r="BN1783" i="3"/>
  <c r="BK1783" i="3"/>
  <c r="BB1783" i="3"/>
  <c r="E1783" i="3"/>
  <c r="F1783" i="3" s="1"/>
  <c r="D1783" i="3"/>
  <c r="C1783" i="3" s="1"/>
  <c r="BC1783" i="3" s="1"/>
  <c r="BN1782" i="3"/>
  <c r="BK1782" i="3"/>
  <c r="E1782" i="3"/>
  <c r="BL1782" i="3" s="1"/>
  <c r="BM1782" i="3" s="1"/>
  <c r="D1782" i="3"/>
  <c r="BN1781" i="3"/>
  <c r="BK1781" i="3"/>
  <c r="F1781" i="3"/>
  <c r="E1781" i="3"/>
  <c r="BL1781" i="3" s="1"/>
  <c r="D1781" i="3"/>
  <c r="BN1780" i="3"/>
  <c r="BL1780" i="3"/>
  <c r="BK1780" i="3"/>
  <c r="BM1780" i="3" s="1"/>
  <c r="F1780" i="3"/>
  <c r="E1780" i="3"/>
  <c r="C1780" i="3" s="1"/>
  <c r="BC1780" i="3" s="1"/>
  <c r="D1780" i="3"/>
  <c r="BN1779" i="3"/>
  <c r="BK1779" i="3"/>
  <c r="E1779" i="3"/>
  <c r="C1779" i="3" s="1"/>
  <c r="BC1779" i="3" s="1"/>
  <c r="D1779" i="3"/>
  <c r="BN1778" i="3"/>
  <c r="BL1778" i="3"/>
  <c r="BK1778" i="3"/>
  <c r="BM1778" i="3" s="1"/>
  <c r="E1778" i="3"/>
  <c r="D1778" i="3"/>
  <c r="C1778" i="3"/>
  <c r="BC1778" i="3" s="1"/>
  <c r="BN1777" i="3"/>
  <c r="BM1777" i="3"/>
  <c r="BL1777" i="3"/>
  <c r="BK1777" i="3"/>
  <c r="BC1777" i="3"/>
  <c r="E1777" i="3"/>
  <c r="F1777" i="3" s="1"/>
  <c r="F1778" i="3" s="1"/>
  <c r="D1777" i="3"/>
  <c r="C1777" i="3"/>
  <c r="BN1776" i="3"/>
  <c r="BK1776" i="3"/>
  <c r="E1776" i="3"/>
  <c r="F1776" i="3" s="1"/>
  <c r="D1776" i="3"/>
  <c r="C1776" i="3"/>
  <c r="BC1776" i="3" s="1"/>
  <c r="BN1775" i="3"/>
  <c r="BL1775" i="3"/>
  <c r="BM1775" i="3" s="1"/>
  <c r="BK1775" i="3"/>
  <c r="E1775" i="3"/>
  <c r="F1775" i="3" s="1"/>
  <c r="D1775" i="3"/>
  <c r="C1775" i="3" s="1"/>
  <c r="BC1775" i="3" s="1"/>
  <c r="BN1774" i="3"/>
  <c r="BK1774" i="3"/>
  <c r="E1774" i="3"/>
  <c r="BL1774" i="3" s="1"/>
  <c r="BM1774" i="3" s="1"/>
  <c r="D1774" i="3"/>
  <c r="BN1773" i="3"/>
  <c r="BK1773" i="3"/>
  <c r="BM1773" i="3" s="1"/>
  <c r="F1773" i="3"/>
  <c r="E1773" i="3"/>
  <c r="BL1773" i="3" s="1"/>
  <c r="D1773" i="3"/>
  <c r="BN1772" i="3"/>
  <c r="BL1772" i="3"/>
  <c r="BK1772" i="3"/>
  <c r="BM1772" i="3" s="1"/>
  <c r="F1772" i="3"/>
  <c r="E1772" i="3"/>
  <c r="C1772" i="3" s="1"/>
  <c r="BC1772" i="3" s="1"/>
  <c r="D1772" i="3"/>
  <c r="BN1771" i="3"/>
  <c r="BK1771" i="3"/>
  <c r="E1771" i="3"/>
  <c r="C1771" i="3" s="1"/>
  <c r="BC1771" i="3" s="1"/>
  <c r="D1771" i="3"/>
  <c r="BN1770" i="3"/>
  <c r="BL1770" i="3"/>
  <c r="BK1770" i="3"/>
  <c r="BM1770" i="3" s="1"/>
  <c r="BB1770" i="3"/>
  <c r="E1770" i="3"/>
  <c r="F1770" i="3" s="1"/>
  <c r="D1770" i="3"/>
  <c r="C1770" i="3"/>
  <c r="BC1770" i="3" s="1"/>
  <c r="BN1769" i="3"/>
  <c r="BK1769" i="3"/>
  <c r="E1769" i="3"/>
  <c r="D1769" i="3"/>
  <c r="C1769" i="3"/>
  <c r="BC1769" i="3" s="1"/>
  <c r="BN1768" i="3"/>
  <c r="BL1768" i="3"/>
  <c r="BM1768" i="3" s="1"/>
  <c r="BK1768" i="3"/>
  <c r="E1768" i="3"/>
  <c r="D1768" i="3"/>
  <c r="C1768" i="3"/>
  <c r="BC1768" i="3" s="1"/>
  <c r="BN1767" i="3"/>
  <c r="BK1767" i="3"/>
  <c r="E1767" i="3"/>
  <c r="BL1767" i="3" s="1"/>
  <c r="BM1767" i="3" s="1"/>
  <c r="D1767" i="3"/>
  <c r="BN1766" i="3"/>
  <c r="BK1766" i="3"/>
  <c r="F1766" i="3"/>
  <c r="E1766" i="3"/>
  <c r="BL1766" i="3" s="1"/>
  <c r="D1766" i="3"/>
  <c r="BN1765" i="3"/>
  <c r="BL1765" i="3"/>
  <c r="BK1765" i="3"/>
  <c r="BM1765" i="3" s="1"/>
  <c r="E1765" i="3"/>
  <c r="C1765" i="3" s="1"/>
  <c r="BC1765" i="3" s="1"/>
  <c r="D1765" i="3"/>
  <c r="BN1764" i="3"/>
  <c r="BK1764" i="3"/>
  <c r="E1764" i="3"/>
  <c r="C1764" i="3" s="1"/>
  <c r="BC1764" i="3" s="1"/>
  <c r="D1764" i="3"/>
  <c r="BN1763" i="3"/>
  <c r="BL1763" i="3"/>
  <c r="BK1763" i="3"/>
  <c r="BM1763" i="3" s="1"/>
  <c r="E1763" i="3"/>
  <c r="D1763" i="3"/>
  <c r="C1763" i="3"/>
  <c r="BC1763" i="3" s="1"/>
  <c r="BN1762" i="3"/>
  <c r="BM1762" i="3"/>
  <c r="BL1762" i="3"/>
  <c r="BK1762" i="3"/>
  <c r="E1762" i="3"/>
  <c r="D1762" i="3"/>
  <c r="C1762" i="3"/>
  <c r="BC1762" i="3" s="1"/>
  <c r="BN1761" i="3"/>
  <c r="BK1761" i="3"/>
  <c r="E1761" i="3"/>
  <c r="D1761" i="3"/>
  <c r="C1761" i="3"/>
  <c r="BC1761" i="3" s="1"/>
  <c r="BN1760" i="3"/>
  <c r="BL1760" i="3"/>
  <c r="BM1760" i="3" s="1"/>
  <c r="BK1760" i="3"/>
  <c r="E1760" i="3"/>
  <c r="D1760" i="3"/>
  <c r="C1760" i="3"/>
  <c r="BC1760" i="3" s="1"/>
  <c r="BN1759" i="3"/>
  <c r="BK1759" i="3"/>
  <c r="E1759" i="3"/>
  <c r="BL1759" i="3" s="1"/>
  <c r="BM1759" i="3" s="1"/>
  <c r="D1759" i="3"/>
  <c r="BN1758" i="3"/>
  <c r="BK1758" i="3"/>
  <c r="BM1758" i="3" s="1"/>
  <c r="E1758" i="3"/>
  <c r="BL1758" i="3" s="1"/>
  <c r="D1758" i="3"/>
  <c r="BN1757" i="3"/>
  <c r="BL1757" i="3"/>
  <c r="BK1757" i="3"/>
  <c r="BM1757" i="3" s="1"/>
  <c r="E1757" i="3"/>
  <c r="C1757" i="3" s="1"/>
  <c r="BC1757" i="3" s="1"/>
  <c r="D1757" i="3"/>
  <c r="BN1756" i="3"/>
  <c r="BK1756" i="3"/>
  <c r="E1756" i="3"/>
  <c r="C1756" i="3" s="1"/>
  <c r="BC1756" i="3" s="1"/>
  <c r="D1756" i="3"/>
  <c r="BN1755" i="3"/>
  <c r="BL1755" i="3"/>
  <c r="BK1755" i="3"/>
  <c r="BM1755" i="3" s="1"/>
  <c r="F1755" i="3"/>
  <c r="E1755" i="3"/>
  <c r="D1755" i="3"/>
  <c r="C1755" i="3"/>
  <c r="BC1755" i="3" s="1"/>
  <c r="BN1754" i="3"/>
  <c r="BM1754" i="3"/>
  <c r="BL1754" i="3"/>
  <c r="BK1754" i="3"/>
  <c r="BC1754" i="3"/>
  <c r="E1754" i="3"/>
  <c r="F1754" i="3" s="1"/>
  <c r="D1754" i="3"/>
  <c r="C1754" i="3"/>
  <c r="BN1753" i="3"/>
  <c r="BK1753" i="3"/>
  <c r="E1753" i="3"/>
  <c r="F1753" i="3" s="1"/>
  <c r="D1753" i="3"/>
  <c r="C1753" i="3"/>
  <c r="BC1753" i="3" s="1"/>
  <c r="BN1752" i="3"/>
  <c r="BL1752" i="3"/>
  <c r="BM1752" i="3" s="1"/>
  <c r="BK1752" i="3"/>
  <c r="E1752" i="3"/>
  <c r="D1752" i="3"/>
  <c r="C1752" i="3"/>
  <c r="BC1752" i="3" s="1"/>
  <c r="BN1751" i="3"/>
  <c r="BK1751" i="3"/>
  <c r="E1751" i="3"/>
  <c r="BL1751" i="3" s="1"/>
  <c r="BM1751" i="3" s="1"/>
  <c r="D1751" i="3"/>
  <c r="BN1750" i="3"/>
  <c r="E1750" i="3"/>
  <c r="BL1750" i="3" s="1"/>
  <c r="BM1750" i="3" s="1"/>
  <c r="D1750" i="3"/>
  <c r="C1750" i="3"/>
  <c r="BN1749" i="3"/>
  <c r="BL1749" i="3"/>
  <c r="BM1749" i="3" s="1"/>
  <c r="BK1749" i="3"/>
  <c r="E1749" i="3"/>
  <c r="F1749" i="3" s="1"/>
  <c r="D1749" i="3"/>
  <c r="C1749" i="3" s="1"/>
  <c r="BC1749" i="3" s="1"/>
  <c r="BN1748" i="3"/>
  <c r="BK1748" i="3"/>
  <c r="E1748" i="3"/>
  <c r="BL1748" i="3" s="1"/>
  <c r="BM1748" i="3" s="1"/>
  <c r="D1748" i="3"/>
  <c r="BN1747" i="3"/>
  <c r="BK1747" i="3"/>
  <c r="BM1747" i="3" s="1"/>
  <c r="F1747" i="3"/>
  <c r="E1747" i="3"/>
  <c r="BL1747" i="3" s="1"/>
  <c r="D1747" i="3"/>
  <c r="BN1746" i="3"/>
  <c r="BL1746" i="3"/>
  <c r="BK1746" i="3"/>
  <c r="BM1746" i="3" s="1"/>
  <c r="F1746" i="3"/>
  <c r="E1746" i="3"/>
  <c r="C1746" i="3" s="1"/>
  <c r="BC1746" i="3" s="1"/>
  <c r="D1746" i="3"/>
  <c r="BN1745" i="3"/>
  <c r="BK1745" i="3"/>
  <c r="E1745" i="3"/>
  <c r="C1745" i="3" s="1"/>
  <c r="BC1745" i="3" s="1"/>
  <c r="D1745" i="3"/>
  <c r="BN1744" i="3"/>
  <c r="BL1744" i="3"/>
  <c r="BK1744" i="3"/>
  <c r="BM1744" i="3" s="1"/>
  <c r="E1744" i="3"/>
  <c r="D1744" i="3"/>
  <c r="C1744" i="3"/>
  <c r="BC1744" i="3" s="1"/>
  <c r="BN1743" i="3"/>
  <c r="BM1743" i="3"/>
  <c r="BL1743" i="3"/>
  <c r="BK1743" i="3"/>
  <c r="E1743" i="3"/>
  <c r="D1743" i="3"/>
  <c r="C1743" i="3"/>
  <c r="BC1743" i="3" s="1"/>
  <c r="BN1742" i="3"/>
  <c r="BK1742" i="3"/>
  <c r="E1742" i="3"/>
  <c r="D1742" i="3"/>
  <c r="C1742" i="3"/>
  <c r="BC1742" i="3" s="1"/>
  <c r="BN1741" i="3"/>
  <c r="BL1741" i="3"/>
  <c r="BM1741" i="3" s="1"/>
  <c r="BK1741" i="3"/>
  <c r="E1741" i="3"/>
  <c r="D1741" i="3"/>
  <c r="C1741" i="3"/>
  <c r="BC1741" i="3" s="1"/>
  <c r="BN1740" i="3"/>
  <c r="E1740" i="3"/>
  <c r="BL1740" i="3" s="1"/>
  <c r="BM1740" i="3" s="1"/>
  <c r="C1740" i="3"/>
  <c r="BN1739" i="3"/>
  <c r="BM1739" i="3"/>
  <c r="BL1739" i="3"/>
  <c r="BK1739" i="3"/>
  <c r="F1739" i="3"/>
  <c r="D1739" i="3"/>
  <c r="C1739" i="3"/>
  <c r="BC1739" i="3" s="1"/>
  <c r="BN1738" i="3"/>
  <c r="BK1738" i="3"/>
  <c r="E1738" i="3"/>
  <c r="D1738" i="3"/>
  <c r="C1738" i="3"/>
  <c r="BC1738" i="3" s="1"/>
  <c r="BN1737" i="3"/>
  <c r="BL1737" i="3"/>
  <c r="BM1737" i="3" s="1"/>
  <c r="BK1737" i="3"/>
  <c r="E1737" i="3"/>
  <c r="D1737" i="3"/>
  <c r="C1737" i="3"/>
  <c r="BC1737" i="3" s="1"/>
  <c r="BN1736" i="3"/>
  <c r="BK1736" i="3"/>
  <c r="E1736" i="3"/>
  <c r="BL1736" i="3" s="1"/>
  <c r="BM1736" i="3" s="1"/>
  <c r="D1736" i="3"/>
  <c r="BN1735" i="3"/>
  <c r="E1735" i="3"/>
  <c r="BL1735" i="3" s="1"/>
  <c r="BM1735" i="3" s="1"/>
  <c r="C1735" i="3"/>
  <c r="BN1734" i="3"/>
  <c r="BL1734" i="3"/>
  <c r="BM1734" i="3" s="1"/>
  <c r="BK1734" i="3"/>
  <c r="F1734" i="3"/>
  <c r="D1734" i="3"/>
  <c r="C1734" i="3"/>
  <c r="BC1734" i="3" s="1"/>
  <c r="BN1733" i="3"/>
  <c r="BL1733" i="3"/>
  <c r="BM1733" i="3" s="1"/>
  <c r="BK1733" i="3"/>
  <c r="E1733" i="3"/>
  <c r="F1733" i="3" s="1"/>
  <c r="D1733" i="3"/>
  <c r="C1733" i="3" s="1"/>
  <c r="BC1733" i="3" s="1"/>
  <c r="BN1732" i="3"/>
  <c r="BK1732" i="3"/>
  <c r="E1732" i="3"/>
  <c r="BL1732" i="3" s="1"/>
  <c r="BM1732" i="3" s="1"/>
  <c r="D1732" i="3"/>
  <c r="BM1731" i="3"/>
  <c r="BL1731" i="3"/>
  <c r="BN1730" i="3"/>
  <c r="BK1730" i="3"/>
  <c r="E1730" i="3"/>
  <c r="C1730" i="3" s="1"/>
  <c r="BC1730" i="3" s="1"/>
  <c r="D1730" i="3"/>
  <c r="BN1729" i="3"/>
  <c r="BL1729" i="3"/>
  <c r="BK1729" i="3"/>
  <c r="BM1729" i="3" s="1"/>
  <c r="F1729" i="3"/>
  <c r="E1729" i="3"/>
  <c r="D1729" i="3"/>
  <c r="C1729" i="3"/>
  <c r="BC1729" i="3" s="1"/>
  <c r="BN1728" i="3"/>
  <c r="BM1728" i="3"/>
  <c r="BL1728" i="3"/>
  <c r="BK1728" i="3"/>
  <c r="BC1728" i="3"/>
  <c r="E1728" i="3"/>
  <c r="F1728" i="3" s="1"/>
  <c r="D1728" i="3"/>
  <c r="C1728" i="3"/>
  <c r="BN1727" i="3"/>
  <c r="BK1727" i="3"/>
  <c r="E1727" i="3"/>
  <c r="F1727" i="3" s="1"/>
  <c r="D1727" i="3"/>
  <c r="C1727" i="3"/>
  <c r="BC1727" i="3" s="1"/>
  <c r="BN1726" i="3"/>
  <c r="BL1726" i="3"/>
  <c r="BM1726" i="3" s="1"/>
  <c r="BK1726" i="3"/>
  <c r="E1726" i="3"/>
  <c r="D1726" i="3"/>
  <c r="C1726" i="3"/>
  <c r="BC1726" i="3" s="1"/>
  <c r="BN1725" i="3"/>
  <c r="BK1725" i="3"/>
  <c r="E1725" i="3"/>
  <c r="BL1725" i="3" s="1"/>
  <c r="BM1725" i="3" s="1"/>
  <c r="D1725" i="3"/>
  <c r="BN1724" i="3"/>
  <c r="BK1724" i="3"/>
  <c r="F1724" i="3"/>
  <c r="E1724" i="3"/>
  <c r="BL1724" i="3" s="1"/>
  <c r="D1724" i="3"/>
  <c r="BN1723" i="3"/>
  <c r="BL1723" i="3"/>
  <c r="BK1723" i="3"/>
  <c r="BM1723" i="3" s="1"/>
  <c r="E1723" i="3"/>
  <c r="C1723" i="3"/>
  <c r="BC1723" i="3" s="1"/>
  <c r="BN1722" i="3"/>
  <c r="BL1722" i="3"/>
  <c r="BK1722" i="3"/>
  <c r="BM1722" i="3" s="1"/>
  <c r="BC1722" i="3"/>
  <c r="F1722" i="3"/>
  <c r="F1723" i="3" s="1"/>
  <c r="D1722" i="3"/>
  <c r="C1722" i="3"/>
  <c r="BN1721" i="3"/>
  <c r="BL1721" i="3"/>
  <c r="BK1721" i="3"/>
  <c r="BM1721" i="3" s="1"/>
  <c r="F1721" i="3"/>
  <c r="E1721" i="3"/>
  <c r="C1721" i="3" s="1"/>
  <c r="BC1721" i="3" s="1"/>
  <c r="D1721" i="3"/>
  <c r="BN1720" i="3"/>
  <c r="BK1720" i="3"/>
  <c r="E1720" i="3"/>
  <c r="C1720" i="3" s="1"/>
  <c r="BC1720" i="3" s="1"/>
  <c r="D1720" i="3"/>
  <c r="BN1719" i="3"/>
  <c r="BL1719" i="3"/>
  <c r="BK1719" i="3"/>
  <c r="BM1719" i="3" s="1"/>
  <c r="BB1719" i="3"/>
  <c r="E1719" i="3"/>
  <c r="F1719" i="3" s="1"/>
  <c r="D1719" i="3"/>
  <c r="C1719" i="3"/>
  <c r="BC1719" i="3" s="1"/>
  <c r="BM1718" i="3"/>
  <c r="BL1718" i="3"/>
  <c r="BN1717" i="3"/>
  <c r="BK1717" i="3"/>
  <c r="E1717" i="3"/>
  <c r="BL1717" i="3" s="1"/>
  <c r="BM1717" i="3" s="1"/>
  <c r="D1717" i="3"/>
  <c r="BM1716" i="3"/>
  <c r="BL1716" i="3"/>
  <c r="BN1715" i="3"/>
  <c r="BK1715" i="3"/>
  <c r="E1715" i="3"/>
  <c r="C1715" i="3" s="1"/>
  <c r="BC1715" i="3" s="1"/>
  <c r="D1715" i="3"/>
  <c r="BN1714" i="3"/>
  <c r="BL1714" i="3"/>
  <c r="BK1714" i="3"/>
  <c r="BM1714" i="3" s="1"/>
  <c r="BB1714" i="3"/>
  <c r="E1714" i="3"/>
  <c r="F1714" i="3" s="1"/>
  <c r="D1714" i="3"/>
  <c r="C1714" i="3"/>
  <c r="BC1714" i="3" s="1"/>
  <c r="BN1713" i="3"/>
  <c r="BK1713" i="3"/>
  <c r="BB1713" i="3"/>
  <c r="E1713" i="3"/>
  <c r="F1713" i="3" s="1"/>
  <c r="D1713" i="3"/>
  <c r="C1713" i="3" s="1"/>
  <c r="BC1713" i="3" s="1"/>
  <c r="BN1712" i="3"/>
  <c r="BK1712" i="3"/>
  <c r="E1712" i="3"/>
  <c r="BL1712" i="3" s="1"/>
  <c r="BM1712" i="3" s="1"/>
  <c r="D1712" i="3"/>
  <c r="BN1711" i="3"/>
  <c r="BK1711" i="3"/>
  <c r="F1711" i="3"/>
  <c r="E1711" i="3"/>
  <c r="BL1711" i="3" s="1"/>
  <c r="D1711" i="3"/>
  <c r="BN1710" i="3"/>
  <c r="BL1710" i="3"/>
  <c r="BK1710" i="3"/>
  <c r="BM1710" i="3" s="1"/>
  <c r="F1710" i="3"/>
  <c r="E1710" i="3"/>
  <c r="C1710" i="3" s="1"/>
  <c r="BC1710" i="3" s="1"/>
  <c r="D1710" i="3"/>
  <c r="BN1709" i="3"/>
  <c r="BL1709" i="3"/>
  <c r="BK1709" i="3"/>
  <c r="BM1709" i="3" s="1"/>
  <c r="BC1709" i="3"/>
  <c r="C1709" i="3"/>
  <c r="BN1708" i="3"/>
  <c r="BL1708" i="3"/>
  <c r="BK1708" i="3"/>
  <c r="BM1708" i="3" s="1"/>
  <c r="C1708" i="3"/>
  <c r="BC1708" i="3" s="1"/>
  <c r="BN1707" i="3"/>
  <c r="BL1707" i="3"/>
  <c r="BM1707" i="3" s="1"/>
  <c r="BK1707" i="3"/>
  <c r="C1707" i="3"/>
  <c r="BC1707" i="3" s="1"/>
  <c r="BN1706" i="3"/>
  <c r="BM1706" i="3"/>
  <c r="BL1706" i="3"/>
  <c r="BK1706" i="3"/>
  <c r="C1706" i="3"/>
  <c r="BC1706" i="3" s="1"/>
  <c r="BN1705" i="3"/>
  <c r="BL1705" i="3"/>
  <c r="BK1705" i="3"/>
  <c r="BM1705" i="3" s="1"/>
  <c r="BC1705" i="3"/>
  <c r="C1705" i="3"/>
  <c r="BN1704" i="3"/>
  <c r="BL1704" i="3"/>
  <c r="BK1704" i="3"/>
  <c r="BM1704" i="3" s="1"/>
  <c r="C1704" i="3"/>
  <c r="BC1704" i="3" s="1"/>
  <c r="BN1703" i="3"/>
  <c r="BL1703" i="3"/>
  <c r="BM1703" i="3" s="1"/>
  <c r="BK1703" i="3"/>
  <c r="C1703" i="3"/>
  <c r="BC1703" i="3" s="1"/>
  <c r="BN1702" i="3"/>
  <c r="BM1702" i="3"/>
  <c r="BL1702" i="3"/>
  <c r="BK1702" i="3"/>
  <c r="BC1702" i="3"/>
  <c r="C1702" i="3"/>
  <c r="BN1701" i="3"/>
  <c r="BL1701" i="3"/>
  <c r="BK1701" i="3"/>
  <c r="BM1701" i="3" s="1"/>
  <c r="BC1701" i="3"/>
  <c r="C1701" i="3"/>
  <c r="BN1700" i="3"/>
  <c r="BL1700" i="3"/>
  <c r="BK1700" i="3"/>
  <c r="BM1700" i="3" s="1"/>
  <c r="C1700" i="3"/>
  <c r="BC1700" i="3" s="1"/>
  <c r="BN1699" i="3"/>
  <c r="BL1699" i="3"/>
  <c r="BM1699" i="3" s="1"/>
  <c r="BK1699" i="3"/>
  <c r="C1699" i="3"/>
  <c r="BC1699" i="3" s="1"/>
  <c r="BN1698" i="3"/>
  <c r="BM1698" i="3"/>
  <c r="BL1698" i="3"/>
  <c r="BK1698" i="3"/>
  <c r="BC1698" i="3"/>
  <c r="C1698" i="3"/>
  <c r="BN1697" i="3"/>
  <c r="BL1697" i="3"/>
  <c r="BK1697" i="3"/>
  <c r="BM1697" i="3" s="1"/>
  <c r="C1697" i="3"/>
  <c r="BC1697" i="3" s="1"/>
  <c r="BN1696" i="3"/>
  <c r="BL1696" i="3"/>
  <c r="BK1696" i="3"/>
  <c r="BM1696" i="3" s="1"/>
  <c r="C1696" i="3"/>
  <c r="BC1696" i="3" s="1"/>
  <c r="BN1695" i="3"/>
  <c r="BL1695" i="3"/>
  <c r="BM1695" i="3" s="1"/>
  <c r="BK1695" i="3"/>
  <c r="C1695" i="3"/>
  <c r="BC1695" i="3" s="1"/>
  <c r="BN1694" i="3"/>
  <c r="BM1694" i="3"/>
  <c r="BL1694" i="3"/>
  <c r="BK1694" i="3"/>
  <c r="C1694" i="3"/>
  <c r="BC1694" i="3" s="1"/>
  <c r="BN1693" i="3"/>
  <c r="BL1693" i="3"/>
  <c r="BK1693" i="3"/>
  <c r="BM1693" i="3" s="1"/>
  <c r="C1693" i="3"/>
  <c r="BC1693" i="3" s="1"/>
  <c r="BN1692" i="3"/>
  <c r="BL1692" i="3"/>
  <c r="BK1692" i="3"/>
  <c r="BM1692" i="3" s="1"/>
  <c r="C1692" i="3"/>
  <c r="BC1692" i="3" s="1"/>
  <c r="BN1691" i="3"/>
  <c r="BL1691" i="3"/>
  <c r="BM1691" i="3" s="1"/>
  <c r="BK1691" i="3"/>
  <c r="C1691" i="3"/>
  <c r="BC1691" i="3" s="1"/>
  <c r="BN1690" i="3"/>
  <c r="BM1690" i="3"/>
  <c r="BL1690" i="3"/>
  <c r="BK1690" i="3"/>
  <c r="BC1690" i="3"/>
  <c r="C1690" i="3"/>
  <c r="BN1689" i="3"/>
  <c r="BL1689" i="3"/>
  <c r="BK1689" i="3"/>
  <c r="BM1689" i="3" s="1"/>
  <c r="BC1689" i="3"/>
  <c r="C1689" i="3"/>
  <c r="BN1688" i="3"/>
  <c r="BL1688" i="3"/>
  <c r="BK1688" i="3"/>
  <c r="BM1688" i="3" s="1"/>
  <c r="C1688" i="3"/>
  <c r="BC1688" i="3" s="1"/>
  <c r="BN1687" i="3"/>
  <c r="BL1687" i="3"/>
  <c r="BM1687" i="3" s="1"/>
  <c r="BK1687" i="3"/>
  <c r="C1687" i="3"/>
  <c r="BC1687" i="3" s="1"/>
  <c r="BN1686" i="3"/>
  <c r="BM1686" i="3"/>
  <c r="BL1686" i="3"/>
  <c r="BK1686" i="3"/>
  <c r="BC1686" i="3"/>
  <c r="C1686" i="3"/>
  <c r="BN1685" i="3"/>
  <c r="BL1685" i="3"/>
  <c r="BK1685" i="3"/>
  <c r="BM1685" i="3" s="1"/>
  <c r="BC1685" i="3"/>
  <c r="C1685" i="3"/>
  <c r="BN1684" i="3"/>
  <c r="BL1684" i="3"/>
  <c r="BK1684" i="3"/>
  <c r="BM1684" i="3" s="1"/>
  <c r="C1684" i="3"/>
  <c r="BC1684" i="3" s="1"/>
  <c r="BN1683" i="3"/>
  <c r="BL1683" i="3"/>
  <c r="BM1683" i="3" s="1"/>
  <c r="BK1683" i="3"/>
  <c r="C1683" i="3"/>
  <c r="BC1683" i="3" s="1"/>
  <c r="BN1682" i="3"/>
  <c r="BM1682" i="3"/>
  <c r="BL1682" i="3"/>
  <c r="BK1682" i="3"/>
  <c r="C1682" i="3"/>
  <c r="BC1682" i="3" s="1"/>
  <c r="BN1681" i="3"/>
  <c r="BL1681" i="3"/>
  <c r="BK1681" i="3"/>
  <c r="BM1681" i="3" s="1"/>
  <c r="C1681" i="3"/>
  <c r="BC1681" i="3" s="1"/>
  <c r="BN1680" i="3"/>
  <c r="BL1680" i="3"/>
  <c r="BK1680" i="3"/>
  <c r="BM1680" i="3" s="1"/>
  <c r="C1680" i="3"/>
  <c r="BC1680" i="3" s="1"/>
  <c r="BN1679" i="3"/>
  <c r="BL1679" i="3"/>
  <c r="BM1679" i="3" s="1"/>
  <c r="BK1679" i="3"/>
  <c r="C1679" i="3"/>
  <c r="BC1679" i="3" s="1"/>
  <c r="BN1678" i="3"/>
  <c r="BM1678" i="3"/>
  <c r="BL1678" i="3"/>
  <c r="BK1678" i="3"/>
  <c r="C1678" i="3"/>
  <c r="BC1678" i="3" s="1"/>
  <c r="BN1677" i="3"/>
  <c r="BL1677" i="3"/>
  <c r="BK1677" i="3"/>
  <c r="BM1677" i="3" s="1"/>
  <c r="BB1677" i="3"/>
  <c r="C1677" i="3"/>
  <c r="BC1677" i="3" s="1"/>
  <c r="BN1676" i="3"/>
  <c r="BL1676" i="3"/>
  <c r="BK1676" i="3"/>
  <c r="BM1676" i="3" s="1"/>
  <c r="BC1676" i="3"/>
  <c r="C1676" i="3"/>
  <c r="BN1675" i="3"/>
  <c r="BM1675" i="3"/>
  <c r="BL1675" i="3"/>
  <c r="BK1675" i="3"/>
  <c r="C1675" i="3"/>
  <c r="BC1675" i="3" s="1"/>
  <c r="BN1674" i="3"/>
  <c r="BM1674" i="3"/>
  <c r="BL1674" i="3"/>
  <c r="BK1674" i="3"/>
  <c r="C1674" i="3"/>
  <c r="BC1674" i="3" s="1"/>
  <c r="BN1673" i="3"/>
  <c r="BL1673" i="3"/>
  <c r="BK1673" i="3"/>
  <c r="BM1673" i="3" s="1"/>
  <c r="C1673" i="3"/>
  <c r="BC1673" i="3" s="1"/>
  <c r="BN1672" i="3"/>
  <c r="BL1672" i="3"/>
  <c r="BK1672" i="3"/>
  <c r="BM1672" i="3" s="1"/>
  <c r="BC1672" i="3"/>
  <c r="C1672" i="3"/>
  <c r="BN1671" i="3"/>
  <c r="BM1671" i="3"/>
  <c r="BL1671" i="3"/>
  <c r="BK1671" i="3"/>
  <c r="C1671" i="3"/>
  <c r="BC1671" i="3" s="1"/>
  <c r="BN1670" i="3"/>
  <c r="BM1670" i="3"/>
  <c r="BL1670" i="3"/>
  <c r="BK1670" i="3"/>
  <c r="C1670" i="3"/>
  <c r="BC1670" i="3" s="1"/>
  <c r="BN1669" i="3"/>
  <c r="BL1669" i="3"/>
  <c r="BK1669" i="3"/>
  <c r="C1669" i="3"/>
  <c r="BC1669" i="3" s="1"/>
  <c r="BN1668" i="3"/>
  <c r="BL1668" i="3"/>
  <c r="BK1668" i="3"/>
  <c r="BM1668" i="3" s="1"/>
  <c r="BC1668" i="3"/>
  <c r="C1668" i="3"/>
  <c r="BN1667" i="3"/>
  <c r="BM1667" i="3"/>
  <c r="BL1667" i="3"/>
  <c r="BK1667" i="3"/>
  <c r="C1667" i="3"/>
  <c r="BC1667" i="3" s="1"/>
  <c r="BN1666" i="3"/>
  <c r="BM1666" i="3"/>
  <c r="BL1666" i="3"/>
  <c r="BK1666" i="3"/>
  <c r="C1666" i="3"/>
  <c r="BC1666" i="3" s="1"/>
  <c r="BN1665" i="3"/>
  <c r="BL1665" i="3"/>
  <c r="BK1665" i="3"/>
  <c r="BM1665" i="3" s="1"/>
  <c r="C1665" i="3"/>
  <c r="BC1665" i="3" s="1"/>
  <c r="BN1664" i="3"/>
  <c r="BL1664" i="3"/>
  <c r="BK1664" i="3"/>
  <c r="BM1664" i="3" s="1"/>
  <c r="C1664" i="3"/>
  <c r="BC1664" i="3" s="1"/>
  <c r="BN1663" i="3"/>
  <c r="BM1663" i="3"/>
  <c r="BL1663" i="3"/>
  <c r="BK1663" i="3"/>
  <c r="C1663" i="3"/>
  <c r="BC1663" i="3" s="1"/>
  <c r="BN1662" i="3"/>
  <c r="BM1662" i="3"/>
  <c r="BL1662" i="3"/>
  <c r="BK1662" i="3"/>
  <c r="C1662" i="3"/>
  <c r="BC1662" i="3" s="1"/>
  <c r="BN1661" i="3"/>
  <c r="BL1661" i="3"/>
  <c r="BK1661" i="3"/>
  <c r="BM1661" i="3" s="1"/>
  <c r="C1661" i="3"/>
  <c r="BC1661" i="3" s="1"/>
  <c r="BN1660" i="3"/>
  <c r="BL1660" i="3"/>
  <c r="BK1660" i="3"/>
  <c r="BM1660" i="3" s="1"/>
  <c r="C1660" i="3"/>
  <c r="BC1660" i="3" s="1"/>
  <c r="BN1659" i="3"/>
  <c r="BM1659" i="3"/>
  <c r="BL1659" i="3"/>
  <c r="BK1659" i="3"/>
  <c r="C1659" i="3"/>
  <c r="BC1659" i="3" s="1"/>
  <c r="BN1658" i="3"/>
  <c r="BM1658" i="3"/>
  <c r="BL1658" i="3"/>
  <c r="BK1658" i="3"/>
  <c r="C1658" i="3"/>
  <c r="BC1658" i="3" s="1"/>
  <c r="BN1657" i="3"/>
  <c r="BL1657" i="3"/>
  <c r="BK1657" i="3"/>
  <c r="C1657" i="3"/>
  <c r="BC1657" i="3" s="1"/>
  <c r="BN1656" i="3"/>
  <c r="BL1656" i="3"/>
  <c r="BK1656" i="3"/>
  <c r="BM1656" i="3" s="1"/>
  <c r="C1656" i="3"/>
  <c r="BC1656" i="3" s="1"/>
  <c r="BN1655" i="3"/>
  <c r="BM1655" i="3"/>
  <c r="BL1655" i="3"/>
  <c r="BK1655" i="3"/>
  <c r="C1655" i="3"/>
  <c r="BC1655" i="3" s="1"/>
  <c r="BN1654" i="3"/>
  <c r="BM1654" i="3"/>
  <c r="BL1654" i="3"/>
  <c r="BK1654" i="3"/>
  <c r="C1654" i="3"/>
  <c r="BC1654" i="3" s="1"/>
  <c r="BN1653" i="3"/>
  <c r="BL1653" i="3"/>
  <c r="BK1653" i="3"/>
  <c r="BM1653" i="3" s="1"/>
  <c r="C1653" i="3"/>
  <c r="BC1653" i="3" s="1"/>
  <c r="BN1652" i="3"/>
  <c r="BL1652" i="3"/>
  <c r="BK1652" i="3"/>
  <c r="BM1652" i="3" s="1"/>
  <c r="C1652" i="3"/>
  <c r="BC1652" i="3" s="1"/>
  <c r="BN1651" i="3"/>
  <c r="BM1651" i="3"/>
  <c r="BL1651" i="3"/>
  <c r="BK1651" i="3"/>
  <c r="C1651" i="3"/>
  <c r="BC1651" i="3" s="1"/>
  <c r="BN1650" i="3"/>
  <c r="BM1650" i="3"/>
  <c r="BL1650" i="3"/>
  <c r="BK1650" i="3"/>
  <c r="C1650" i="3"/>
  <c r="BC1650" i="3" s="1"/>
  <c r="BN1649" i="3"/>
  <c r="BL1649" i="3"/>
  <c r="BK1649" i="3"/>
  <c r="C1649" i="3"/>
  <c r="BC1649" i="3" s="1"/>
  <c r="BN1648" i="3"/>
  <c r="BL1648" i="3"/>
  <c r="BK1648" i="3"/>
  <c r="BM1648" i="3" s="1"/>
  <c r="C1648" i="3"/>
  <c r="BC1648" i="3" s="1"/>
  <c r="BN1647" i="3"/>
  <c r="BM1647" i="3"/>
  <c r="BL1647" i="3"/>
  <c r="BK1647" i="3"/>
  <c r="C1647" i="3"/>
  <c r="BC1647" i="3" s="1"/>
  <c r="BN1646" i="3"/>
  <c r="BM1646" i="3"/>
  <c r="BL1646" i="3"/>
  <c r="BK1646" i="3"/>
  <c r="C1646" i="3"/>
  <c r="BC1646" i="3" s="1"/>
  <c r="BN1645" i="3"/>
  <c r="BL1645" i="3"/>
  <c r="BK1645" i="3"/>
  <c r="C1645" i="3"/>
  <c r="BC1645" i="3" s="1"/>
  <c r="BN1644" i="3"/>
  <c r="BL1644" i="3"/>
  <c r="BK1644" i="3"/>
  <c r="BM1644" i="3" s="1"/>
  <c r="C1644" i="3"/>
  <c r="BC1644" i="3" s="1"/>
  <c r="BN1643" i="3"/>
  <c r="BM1643" i="3"/>
  <c r="BL1643" i="3"/>
  <c r="BK1643" i="3"/>
  <c r="C1643" i="3"/>
  <c r="BC1643" i="3" s="1"/>
  <c r="BN1642" i="3"/>
  <c r="BM1642" i="3"/>
  <c r="BL1642" i="3"/>
  <c r="BK1642" i="3"/>
  <c r="C1642" i="3"/>
  <c r="BC1642" i="3" s="1"/>
  <c r="BN1641" i="3"/>
  <c r="BL1641" i="3"/>
  <c r="BK1641" i="3"/>
  <c r="BM1641" i="3" s="1"/>
  <c r="C1641" i="3"/>
  <c r="BC1641" i="3" s="1"/>
  <c r="BN1640" i="3"/>
  <c r="BL1640" i="3"/>
  <c r="BK1640" i="3"/>
  <c r="BM1640" i="3" s="1"/>
  <c r="C1640" i="3"/>
  <c r="BC1640" i="3" s="1"/>
  <c r="BN1639" i="3"/>
  <c r="BM1639" i="3"/>
  <c r="BL1639" i="3"/>
  <c r="BK1639" i="3"/>
  <c r="C1639" i="3"/>
  <c r="BC1639" i="3" s="1"/>
  <c r="BN1638" i="3"/>
  <c r="BM1638" i="3"/>
  <c r="BL1638" i="3"/>
  <c r="BK1638" i="3"/>
  <c r="C1638" i="3"/>
  <c r="BC1638" i="3" s="1"/>
  <c r="BN1637" i="3"/>
  <c r="BL1637" i="3"/>
  <c r="BK1637" i="3"/>
  <c r="C1637" i="3"/>
  <c r="BC1637" i="3" s="1"/>
  <c r="BN1636" i="3"/>
  <c r="BL1636" i="3"/>
  <c r="BK1636" i="3"/>
  <c r="BM1636" i="3" s="1"/>
  <c r="C1636" i="3"/>
  <c r="BC1636" i="3" s="1"/>
  <c r="BN1635" i="3"/>
  <c r="BM1635" i="3"/>
  <c r="BL1635" i="3"/>
  <c r="BK1635" i="3"/>
  <c r="C1635" i="3"/>
  <c r="BC1635" i="3" s="1"/>
  <c r="BN1634" i="3"/>
  <c r="BM1634" i="3"/>
  <c r="BL1634" i="3"/>
  <c r="BK1634" i="3"/>
  <c r="C1634" i="3"/>
  <c r="BC1634" i="3" s="1"/>
  <c r="BN1633" i="3"/>
  <c r="BL1633" i="3"/>
  <c r="BK1633" i="3"/>
  <c r="BM1633" i="3" s="1"/>
  <c r="C1633" i="3"/>
  <c r="BC1633" i="3" s="1"/>
  <c r="BN1632" i="3"/>
  <c r="BL1632" i="3"/>
  <c r="BK1632" i="3"/>
  <c r="BM1632" i="3" s="1"/>
  <c r="C1632" i="3"/>
  <c r="BC1632" i="3" s="1"/>
  <c r="BN1631" i="3"/>
  <c r="BM1631" i="3"/>
  <c r="BL1631" i="3"/>
  <c r="BK1631" i="3"/>
  <c r="C1631" i="3"/>
  <c r="BC1631" i="3" s="1"/>
  <c r="BN1630" i="3"/>
  <c r="BM1630" i="3"/>
  <c r="BL1630" i="3"/>
  <c r="BK1630" i="3"/>
  <c r="C1630" i="3"/>
  <c r="BC1630" i="3" s="1"/>
  <c r="BN1629" i="3"/>
  <c r="BL1629" i="3"/>
  <c r="BK1629" i="3"/>
  <c r="C1629" i="3"/>
  <c r="BC1629" i="3" s="1"/>
  <c r="BN1628" i="3"/>
  <c r="BL1628" i="3"/>
  <c r="BK1628" i="3"/>
  <c r="BM1628" i="3" s="1"/>
  <c r="C1628" i="3"/>
  <c r="BC1628" i="3" s="1"/>
  <c r="BN1627" i="3"/>
  <c r="BM1627" i="3"/>
  <c r="BL1627" i="3"/>
  <c r="BK1627" i="3"/>
  <c r="C1627" i="3"/>
  <c r="BC1627" i="3" s="1"/>
  <c r="BN1626" i="3"/>
  <c r="BM1626" i="3"/>
  <c r="BL1626" i="3"/>
  <c r="BK1626" i="3"/>
  <c r="C1626" i="3"/>
  <c r="BC1626" i="3" s="1"/>
  <c r="BN1625" i="3"/>
  <c r="BL1625" i="3"/>
  <c r="BK1625" i="3"/>
  <c r="BM1625" i="3" s="1"/>
  <c r="C1625" i="3"/>
  <c r="BC1625" i="3" s="1"/>
  <c r="BN1624" i="3"/>
  <c r="BL1624" i="3"/>
  <c r="BK1624" i="3"/>
  <c r="BM1624" i="3" s="1"/>
  <c r="C1624" i="3"/>
  <c r="BC1624" i="3" s="1"/>
  <c r="BN1623" i="3"/>
  <c r="BM1623" i="3"/>
  <c r="BL1623" i="3"/>
  <c r="BK1623" i="3"/>
  <c r="C1623" i="3"/>
  <c r="BC1623" i="3" s="1"/>
  <c r="BN1622" i="3"/>
  <c r="BM1622" i="3"/>
  <c r="BL1622" i="3"/>
  <c r="BK1622" i="3"/>
  <c r="C1622" i="3"/>
  <c r="BC1622" i="3" s="1"/>
  <c r="BN1621" i="3"/>
  <c r="BL1621" i="3"/>
  <c r="BK1621" i="3"/>
  <c r="C1621" i="3"/>
  <c r="BC1621" i="3" s="1"/>
  <c r="BN1620" i="3"/>
  <c r="BL1620" i="3"/>
  <c r="BK1620" i="3"/>
  <c r="BM1620" i="3" s="1"/>
  <c r="C1620" i="3"/>
  <c r="BC1620" i="3" s="1"/>
  <c r="BN1619" i="3"/>
  <c r="BM1619" i="3"/>
  <c r="BL1619" i="3"/>
  <c r="BK1619" i="3"/>
  <c r="C1619" i="3"/>
  <c r="BC1619" i="3" s="1"/>
  <c r="BN1618" i="3"/>
  <c r="BM1618" i="3"/>
  <c r="BL1618" i="3"/>
  <c r="BK1618" i="3"/>
  <c r="C1618" i="3"/>
  <c r="BC1618" i="3" s="1"/>
  <c r="BN1617" i="3"/>
  <c r="BL1617" i="3"/>
  <c r="BK1617" i="3"/>
  <c r="C1617" i="3"/>
  <c r="BC1617" i="3" s="1"/>
  <c r="BN1616" i="3"/>
  <c r="BL1616" i="3"/>
  <c r="BK1616" i="3"/>
  <c r="BM1616" i="3" s="1"/>
  <c r="C1616" i="3"/>
  <c r="BC1616" i="3" s="1"/>
  <c r="BN1615" i="3"/>
  <c r="BM1615" i="3"/>
  <c r="BL1615" i="3"/>
  <c r="BK1615" i="3"/>
  <c r="BC1615" i="3"/>
  <c r="C1615" i="3"/>
  <c r="BN1614" i="3"/>
  <c r="BM1614" i="3"/>
  <c r="BL1614" i="3"/>
  <c r="BK1614" i="3"/>
  <c r="BC1614" i="3"/>
  <c r="C1614" i="3"/>
  <c r="BN1613" i="3"/>
  <c r="BL1613" i="3"/>
  <c r="BK1613" i="3"/>
  <c r="BM1613" i="3" s="1"/>
  <c r="C1613" i="3"/>
  <c r="BC1613" i="3" s="1"/>
  <c r="BN1612" i="3"/>
  <c r="BL1612" i="3"/>
  <c r="BK1612" i="3"/>
  <c r="BM1612" i="3" s="1"/>
  <c r="C1612" i="3"/>
  <c r="BC1612" i="3" s="1"/>
  <c r="BN1611" i="3"/>
  <c r="BM1611" i="3"/>
  <c r="BL1611" i="3"/>
  <c r="BK1611" i="3"/>
  <c r="C1611" i="3"/>
  <c r="BC1611" i="3" s="1"/>
  <c r="BN1610" i="3"/>
  <c r="BM1610" i="3"/>
  <c r="BL1610" i="3"/>
  <c r="BK1610" i="3"/>
  <c r="BC1610" i="3"/>
  <c r="C1610" i="3"/>
  <c r="BN1609" i="3"/>
  <c r="BL1609" i="3"/>
  <c r="BK1609" i="3"/>
  <c r="C1609" i="3"/>
  <c r="BC1609" i="3" s="1"/>
  <c r="BN1608" i="3"/>
  <c r="BL1608" i="3"/>
  <c r="BK1608" i="3"/>
  <c r="BM1608" i="3" s="1"/>
  <c r="C1608" i="3"/>
  <c r="BC1608" i="3" s="1"/>
  <c r="BN1607" i="3"/>
  <c r="BM1607" i="3"/>
  <c r="BL1607" i="3"/>
  <c r="BK1607" i="3"/>
  <c r="C1607" i="3"/>
  <c r="BC1607" i="3" s="1"/>
  <c r="BN1606" i="3"/>
  <c r="BM1606" i="3"/>
  <c r="BL1606" i="3"/>
  <c r="BK1606" i="3"/>
  <c r="C1606" i="3"/>
  <c r="BC1606" i="3" s="1"/>
  <c r="BN1605" i="3"/>
  <c r="BL1605" i="3"/>
  <c r="BK1605" i="3"/>
  <c r="BM1605" i="3" s="1"/>
  <c r="C1605" i="3"/>
  <c r="BC1605" i="3" s="1"/>
  <c r="BN1604" i="3"/>
  <c r="BL1604" i="3"/>
  <c r="BK1604" i="3"/>
  <c r="BM1604" i="3" s="1"/>
  <c r="C1604" i="3"/>
  <c r="BC1604" i="3" s="1"/>
  <c r="BN1603" i="3"/>
  <c r="BM1603" i="3"/>
  <c r="BL1603" i="3"/>
  <c r="BK1603" i="3"/>
  <c r="C1603" i="3"/>
  <c r="BC1603" i="3" s="1"/>
  <c r="BN1602" i="3"/>
  <c r="BM1602" i="3"/>
  <c r="BL1602" i="3"/>
  <c r="BK1602" i="3"/>
  <c r="BC1602" i="3"/>
  <c r="C1602" i="3"/>
  <c r="BN1601" i="3"/>
  <c r="BL1601" i="3"/>
  <c r="BK1601" i="3"/>
  <c r="BM1601" i="3" s="1"/>
  <c r="C1601" i="3"/>
  <c r="BC1601" i="3" s="1"/>
  <c r="BN1600" i="3"/>
  <c r="BL1600" i="3"/>
  <c r="BK1600" i="3"/>
  <c r="BM1600" i="3" s="1"/>
  <c r="C1600" i="3"/>
  <c r="BC1600" i="3" s="1"/>
  <c r="BN1599" i="3"/>
  <c r="BM1599" i="3"/>
  <c r="BL1599" i="3"/>
  <c r="BK1599" i="3"/>
  <c r="C1599" i="3"/>
  <c r="BC1599" i="3" s="1"/>
  <c r="BN1598" i="3"/>
  <c r="BM1598" i="3"/>
  <c r="BL1598" i="3"/>
  <c r="BK1598" i="3"/>
  <c r="BC1598" i="3"/>
  <c r="C1598" i="3"/>
  <c r="BN1597" i="3"/>
  <c r="BL1597" i="3"/>
  <c r="BK1597" i="3"/>
  <c r="C1597" i="3"/>
  <c r="BC1597" i="3" s="1"/>
  <c r="BN1596" i="3"/>
  <c r="BL1596" i="3"/>
  <c r="BK1596" i="3"/>
  <c r="BM1596" i="3" s="1"/>
  <c r="C1596" i="3"/>
  <c r="BC1596" i="3" s="1"/>
  <c r="BN1595" i="3"/>
  <c r="BM1595" i="3"/>
  <c r="BL1595" i="3"/>
  <c r="BK1595" i="3"/>
  <c r="BC1595" i="3"/>
  <c r="C1595" i="3"/>
  <c r="BN1594" i="3"/>
  <c r="BM1594" i="3"/>
  <c r="BL1594" i="3"/>
  <c r="BK1594" i="3"/>
  <c r="C1594" i="3"/>
  <c r="BC1594" i="3" s="1"/>
  <c r="BN1593" i="3"/>
  <c r="BL1593" i="3"/>
  <c r="BK1593" i="3"/>
  <c r="BM1593" i="3" s="1"/>
  <c r="C1593" i="3"/>
  <c r="BC1593" i="3" s="1"/>
  <c r="BN1592" i="3"/>
  <c r="BL1592" i="3"/>
  <c r="BK1592" i="3"/>
  <c r="BM1592" i="3" s="1"/>
  <c r="C1592" i="3"/>
  <c r="BC1592" i="3" s="1"/>
  <c r="BN1591" i="3"/>
  <c r="BM1591" i="3"/>
  <c r="BL1591" i="3"/>
  <c r="BK1591" i="3"/>
  <c r="BC1591" i="3"/>
  <c r="C1591" i="3"/>
  <c r="BN1590" i="3"/>
  <c r="BM1590" i="3"/>
  <c r="BL1590" i="3"/>
  <c r="BK1590" i="3"/>
  <c r="C1590" i="3"/>
  <c r="BC1590" i="3" s="1"/>
  <c r="BN1589" i="3"/>
  <c r="BL1589" i="3"/>
  <c r="BK1589" i="3"/>
  <c r="C1589" i="3"/>
  <c r="BC1589" i="3" s="1"/>
  <c r="BN1588" i="3"/>
  <c r="BL1588" i="3"/>
  <c r="BK1588" i="3"/>
  <c r="BM1588" i="3" s="1"/>
  <c r="C1588" i="3"/>
  <c r="BC1588" i="3" s="1"/>
  <c r="BN1587" i="3"/>
  <c r="BM1587" i="3"/>
  <c r="BL1587" i="3"/>
  <c r="BK1587" i="3"/>
  <c r="C1587" i="3"/>
  <c r="BC1587" i="3" s="1"/>
  <c r="BN1586" i="3"/>
  <c r="BM1586" i="3"/>
  <c r="BL1586" i="3"/>
  <c r="BK1586" i="3"/>
  <c r="C1586" i="3"/>
  <c r="BC1586" i="3" s="1"/>
  <c r="BN1585" i="3"/>
  <c r="BL1585" i="3"/>
  <c r="BK1585" i="3"/>
  <c r="C1585" i="3"/>
  <c r="BC1585" i="3" s="1"/>
  <c r="BN1584" i="3"/>
  <c r="BL1584" i="3"/>
  <c r="BK1584" i="3"/>
  <c r="BM1584" i="3" s="1"/>
  <c r="C1584" i="3"/>
  <c r="BC1584" i="3" s="1"/>
  <c r="BN1583" i="3"/>
  <c r="BM1583" i="3"/>
  <c r="BL1583" i="3"/>
  <c r="BK1583" i="3"/>
  <c r="BC1583" i="3"/>
  <c r="C1583" i="3"/>
  <c r="BN1582" i="3"/>
  <c r="BM1582" i="3"/>
  <c r="BL1582" i="3"/>
  <c r="BK1582" i="3"/>
  <c r="C1582" i="3"/>
  <c r="BC1582" i="3" s="1"/>
  <c r="BN1581" i="3"/>
  <c r="BL1581" i="3"/>
  <c r="BK1581" i="3"/>
  <c r="BM1581" i="3" s="1"/>
  <c r="C1581" i="3"/>
  <c r="BC1581" i="3" s="1"/>
  <c r="BN1580" i="3"/>
  <c r="BL1580" i="3"/>
  <c r="BK1580" i="3"/>
  <c r="BM1580" i="3" s="1"/>
  <c r="C1580" i="3"/>
  <c r="BC1580" i="3" s="1"/>
  <c r="BN1579" i="3"/>
  <c r="BM1579" i="3"/>
  <c r="BL1579" i="3"/>
  <c r="BK1579" i="3"/>
  <c r="BC1579" i="3"/>
  <c r="C1579" i="3"/>
  <c r="BN1578" i="3"/>
  <c r="BL1578" i="3"/>
  <c r="BK1578" i="3"/>
  <c r="BM1578" i="3" s="1"/>
  <c r="C1578" i="3"/>
  <c r="BC1578" i="3" s="1"/>
  <c r="BN1577" i="3"/>
  <c r="BL1577" i="3"/>
  <c r="BK1577" i="3"/>
  <c r="C1577" i="3"/>
  <c r="BC1577" i="3" s="1"/>
  <c r="BN1576" i="3"/>
  <c r="BL1576" i="3"/>
  <c r="BK1576" i="3"/>
  <c r="BM1576" i="3" s="1"/>
  <c r="C1576" i="3"/>
  <c r="BC1576" i="3" s="1"/>
  <c r="BN1575" i="3"/>
  <c r="BM1575" i="3"/>
  <c r="BL1575" i="3"/>
  <c r="BK1575" i="3"/>
  <c r="C1575" i="3"/>
  <c r="BC1575" i="3" s="1"/>
  <c r="BN1574" i="3"/>
  <c r="BM1574" i="3"/>
  <c r="BL1574" i="3"/>
  <c r="BK1574" i="3"/>
  <c r="C1574" i="3"/>
  <c r="BC1574" i="3" s="1"/>
  <c r="BN1573" i="3"/>
  <c r="BL1573" i="3"/>
  <c r="BK1573" i="3"/>
  <c r="BM1573" i="3" s="1"/>
  <c r="C1573" i="3"/>
  <c r="BC1573" i="3" s="1"/>
  <c r="BN1572" i="3"/>
  <c r="BL1572" i="3"/>
  <c r="BK1572" i="3"/>
  <c r="BM1572" i="3" s="1"/>
  <c r="C1572" i="3"/>
  <c r="BC1572" i="3" s="1"/>
  <c r="BN1571" i="3"/>
  <c r="BM1571" i="3"/>
  <c r="BL1571" i="3"/>
  <c r="BK1571" i="3"/>
  <c r="C1571" i="3"/>
  <c r="BC1571" i="3" s="1"/>
  <c r="BN1570" i="3"/>
  <c r="BL1570" i="3"/>
  <c r="BK1570" i="3"/>
  <c r="BM1570" i="3" s="1"/>
  <c r="BC1570" i="3"/>
  <c r="C1570" i="3"/>
  <c r="BN1569" i="3"/>
  <c r="BL1569" i="3"/>
  <c r="BK1569" i="3"/>
  <c r="BM1569" i="3" s="1"/>
  <c r="C1569" i="3"/>
  <c r="BC1569" i="3" s="1"/>
  <c r="BN1568" i="3"/>
  <c r="BL1568" i="3"/>
  <c r="BK1568" i="3"/>
  <c r="BM1568" i="3" s="1"/>
  <c r="C1568" i="3"/>
  <c r="BC1568" i="3" s="1"/>
  <c r="BN1567" i="3"/>
  <c r="BM1567" i="3"/>
  <c r="BL1567" i="3"/>
  <c r="BK1567" i="3"/>
  <c r="BC1567" i="3"/>
  <c r="C1567" i="3"/>
  <c r="BN1566" i="3"/>
  <c r="BM1566" i="3"/>
  <c r="BL1566" i="3"/>
  <c r="BK1566" i="3"/>
  <c r="C1566" i="3"/>
  <c r="BC1566" i="3" s="1"/>
  <c r="BN1565" i="3"/>
  <c r="BL1565" i="3"/>
  <c r="BK1565" i="3"/>
  <c r="C1565" i="3"/>
  <c r="BC1565" i="3" s="1"/>
  <c r="BN1564" i="3"/>
  <c r="BL1564" i="3"/>
  <c r="BK1564" i="3"/>
  <c r="BM1564" i="3" s="1"/>
  <c r="C1564" i="3"/>
  <c r="BC1564" i="3" s="1"/>
  <c r="BN1563" i="3"/>
  <c r="BM1563" i="3"/>
  <c r="BL1563" i="3"/>
  <c r="BK1563" i="3"/>
  <c r="BC1563" i="3"/>
  <c r="C1563" i="3"/>
  <c r="BN1562" i="3"/>
  <c r="BM1562" i="3"/>
  <c r="BL1562" i="3"/>
  <c r="BK1562" i="3"/>
  <c r="C1562" i="3"/>
  <c r="BC1562" i="3" s="1"/>
  <c r="BN1561" i="3"/>
  <c r="BL1561" i="3"/>
  <c r="BK1561" i="3"/>
  <c r="BM1561" i="3" s="1"/>
  <c r="C1561" i="3"/>
  <c r="BC1561" i="3" s="1"/>
  <c r="BN1560" i="3"/>
  <c r="BL1560" i="3"/>
  <c r="BK1560" i="3"/>
  <c r="BM1560" i="3" s="1"/>
  <c r="C1560" i="3"/>
  <c r="BC1560" i="3" s="1"/>
  <c r="BN1559" i="3"/>
  <c r="BM1559" i="3"/>
  <c r="BL1559" i="3"/>
  <c r="BK1559" i="3"/>
  <c r="BC1559" i="3"/>
  <c r="C1559" i="3"/>
  <c r="BN1558" i="3"/>
  <c r="BL1558" i="3"/>
  <c r="BK1558" i="3"/>
  <c r="BM1558" i="3" s="1"/>
  <c r="BC1558" i="3"/>
  <c r="C1558" i="3"/>
  <c r="BN1557" i="3"/>
  <c r="BL1557" i="3"/>
  <c r="BK1557" i="3"/>
  <c r="C1557" i="3"/>
  <c r="BC1557" i="3" s="1"/>
  <c r="BN1556" i="3"/>
  <c r="BL1556" i="3"/>
  <c r="BK1556" i="3"/>
  <c r="BM1556" i="3" s="1"/>
  <c r="C1556" i="3"/>
  <c r="BC1556" i="3" s="1"/>
  <c r="BN1555" i="3"/>
  <c r="BM1555" i="3"/>
  <c r="BL1555" i="3"/>
  <c r="BK1555" i="3"/>
  <c r="C1555" i="3"/>
  <c r="BC1555" i="3" s="1"/>
  <c r="BN1554" i="3"/>
  <c r="BM1554" i="3"/>
  <c r="BL1554" i="3"/>
  <c r="BK1554" i="3"/>
  <c r="BC1554" i="3"/>
  <c r="C1554" i="3"/>
  <c r="BN1553" i="3"/>
  <c r="BL1553" i="3"/>
  <c r="BK1553" i="3"/>
  <c r="C1553" i="3"/>
  <c r="BC1553" i="3" s="1"/>
  <c r="BN1552" i="3"/>
  <c r="BL1552" i="3"/>
  <c r="BK1552" i="3"/>
  <c r="BM1552" i="3" s="1"/>
  <c r="C1552" i="3"/>
  <c r="BC1552" i="3" s="1"/>
  <c r="BN1551" i="3"/>
  <c r="BM1551" i="3"/>
  <c r="BL1551" i="3"/>
  <c r="BK1551" i="3"/>
  <c r="C1551" i="3"/>
  <c r="BC1551" i="3" s="1"/>
  <c r="BN1550" i="3"/>
  <c r="BL1550" i="3"/>
  <c r="BK1550" i="3"/>
  <c r="BM1550" i="3" s="1"/>
  <c r="BC1550" i="3"/>
  <c r="C1550" i="3"/>
  <c r="BN1549" i="3"/>
  <c r="BL1549" i="3"/>
  <c r="BK1549" i="3"/>
  <c r="BM1549" i="3" s="1"/>
  <c r="C1549" i="3"/>
  <c r="BC1549" i="3" s="1"/>
  <c r="BN1548" i="3"/>
  <c r="BL1548" i="3"/>
  <c r="BK1548" i="3"/>
  <c r="BM1548" i="3" s="1"/>
  <c r="C1548" i="3"/>
  <c r="BC1548" i="3" s="1"/>
  <c r="BN1547" i="3"/>
  <c r="BM1547" i="3"/>
  <c r="BL1547" i="3"/>
  <c r="BK1547" i="3"/>
  <c r="BC1547" i="3"/>
  <c r="C1547" i="3"/>
  <c r="BN1546" i="3"/>
  <c r="BL1546" i="3"/>
  <c r="BK1546" i="3"/>
  <c r="BM1546" i="3" s="1"/>
  <c r="C1546" i="3"/>
  <c r="BC1546" i="3" s="1"/>
  <c r="BN1545" i="3"/>
  <c r="BL1545" i="3"/>
  <c r="BK1545" i="3"/>
  <c r="C1545" i="3"/>
  <c r="BC1545" i="3" s="1"/>
  <c r="BN1544" i="3"/>
  <c r="BL1544" i="3"/>
  <c r="BK1544" i="3"/>
  <c r="BM1544" i="3" s="1"/>
  <c r="C1544" i="3"/>
  <c r="BC1544" i="3" s="1"/>
  <c r="BN1543" i="3"/>
  <c r="BM1543" i="3"/>
  <c r="BL1543" i="3"/>
  <c r="BK1543" i="3"/>
  <c r="BC1543" i="3"/>
  <c r="C1543" i="3"/>
  <c r="BN1542" i="3"/>
  <c r="BM1542" i="3"/>
  <c r="BL1542" i="3"/>
  <c r="BK1542" i="3"/>
  <c r="BC1542" i="3"/>
  <c r="C1542" i="3"/>
  <c r="BN1541" i="3"/>
  <c r="BL1541" i="3"/>
  <c r="BK1541" i="3"/>
  <c r="BM1541" i="3" s="1"/>
  <c r="C1541" i="3"/>
  <c r="BC1541" i="3" s="1"/>
  <c r="BN1540" i="3"/>
  <c r="BL1540" i="3"/>
  <c r="BK1540" i="3"/>
  <c r="C1540" i="3"/>
  <c r="BC1540" i="3" s="1"/>
  <c r="BN1539" i="3"/>
  <c r="BM1539" i="3"/>
  <c r="BL1539" i="3"/>
  <c r="BK1539" i="3"/>
  <c r="BC1539" i="3"/>
  <c r="C1539" i="3"/>
  <c r="BN1538" i="3"/>
  <c r="BL1538" i="3"/>
  <c r="BK1538" i="3"/>
  <c r="BM1538" i="3" s="1"/>
  <c r="C1538" i="3"/>
  <c r="BC1538" i="3" s="1"/>
  <c r="BN1537" i="3"/>
  <c r="BL1537" i="3"/>
  <c r="BK1537" i="3"/>
  <c r="BM1537" i="3" s="1"/>
  <c r="C1537" i="3"/>
  <c r="BC1537" i="3" s="1"/>
  <c r="BN1536" i="3"/>
  <c r="BL1536" i="3"/>
  <c r="BK1536" i="3"/>
  <c r="C1536" i="3"/>
  <c r="BC1536" i="3" s="1"/>
  <c r="BN1535" i="3"/>
  <c r="BM1535" i="3"/>
  <c r="BL1535" i="3"/>
  <c r="BK1535" i="3"/>
  <c r="C1535" i="3"/>
  <c r="BC1535" i="3" s="1"/>
  <c r="BN1534" i="3"/>
  <c r="BM1534" i="3"/>
  <c r="BL1534" i="3"/>
  <c r="BK1534" i="3"/>
  <c r="BC1534" i="3"/>
  <c r="C1534" i="3"/>
  <c r="BN1533" i="3"/>
  <c r="BL1533" i="3"/>
  <c r="BK1533" i="3"/>
  <c r="C1533" i="3"/>
  <c r="BC1533" i="3" s="1"/>
  <c r="BN1532" i="3"/>
  <c r="BL1532" i="3"/>
  <c r="BK1532" i="3"/>
  <c r="BM1532" i="3" s="1"/>
  <c r="C1532" i="3"/>
  <c r="BC1532" i="3" s="1"/>
  <c r="BN1531" i="3"/>
  <c r="BM1531" i="3"/>
  <c r="BL1531" i="3"/>
  <c r="BK1531" i="3"/>
  <c r="BC1531" i="3"/>
  <c r="C1531" i="3"/>
  <c r="BN1530" i="3"/>
  <c r="BM1530" i="3"/>
  <c r="BL1530" i="3"/>
  <c r="BK1530" i="3"/>
  <c r="C1530" i="3"/>
  <c r="BC1530" i="3" s="1"/>
  <c r="BN1529" i="3"/>
  <c r="BL1529" i="3"/>
  <c r="BK1529" i="3"/>
  <c r="BM1529" i="3" s="1"/>
  <c r="C1529" i="3"/>
  <c r="BC1529" i="3" s="1"/>
  <c r="BN1528" i="3"/>
  <c r="BL1528" i="3"/>
  <c r="BK1528" i="3"/>
  <c r="C1528" i="3"/>
  <c r="BC1528" i="3" s="1"/>
  <c r="BN1527" i="3"/>
  <c r="BM1527" i="3"/>
  <c r="BL1527" i="3"/>
  <c r="BK1527" i="3"/>
  <c r="BC1527" i="3"/>
  <c r="C1527" i="3"/>
  <c r="BN1526" i="3"/>
  <c r="BL1526" i="3"/>
  <c r="BK1526" i="3"/>
  <c r="BM1526" i="3" s="1"/>
  <c r="BC1526" i="3"/>
  <c r="C1526" i="3"/>
  <c r="BN1525" i="3"/>
  <c r="BL1525" i="3"/>
  <c r="BK1525" i="3"/>
  <c r="C1525" i="3"/>
  <c r="BC1525" i="3" s="1"/>
  <c r="BN1524" i="3"/>
  <c r="BL1524" i="3"/>
  <c r="BK1524" i="3"/>
  <c r="BM1524" i="3" s="1"/>
  <c r="BC1524" i="3"/>
  <c r="C1524" i="3"/>
  <c r="BN1523" i="3"/>
  <c r="BM1523" i="3"/>
  <c r="BL1523" i="3"/>
  <c r="BK1523" i="3"/>
  <c r="C1523" i="3"/>
  <c r="BC1523" i="3" s="1"/>
  <c r="BN1522" i="3"/>
  <c r="BM1522" i="3"/>
  <c r="BL1522" i="3"/>
  <c r="BK1522" i="3"/>
  <c r="C1522" i="3"/>
  <c r="BC1522" i="3" s="1"/>
  <c r="BN1521" i="3"/>
  <c r="BL1521" i="3"/>
  <c r="BK1521" i="3"/>
  <c r="C1521" i="3"/>
  <c r="BC1521" i="3" s="1"/>
  <c r="BN1520" i="3"/>
  <c r="BL1520" i="3"/>
  <c r="BK1520" i="3"/>
  <c r="BM1520" i="3" s="1"/>
  <c r="C1520" i="3"/>
  <c r="BC1520" i="3" s="1"/>
  <c r="BN1519" i="3"/>
  <c r="BM1519" i="3"/>
  <c r="BL1519" i="3"/>
  <c r="BK1519" i="3"/>
  <c r="BC1519" i="3"/>
  <c r="C1519" i="3"/>
  <c r="BN1518" i="3"/>
  <c r="BL1518" i="3"/>
  <c r="BK1518" i="3"/>
  <c r="BM1518" i="3" s="1"/>
  <c r="BC1518" i="3"/>
  <c r="C1518" i="3"/>
  <c r="BN1517" i="3"/>
  <c r="BL1517" i="3"/>
  <c r="BK1517" i="3"/>
  <c r="BM1517" i="3" s="1"/>
  <c r="C1517" i="3"/>
  <c r="BC1517" i="3" s="1"/>
  <c r="BN1516" i="3"/>
  <c r="BL1516" i="3"/>
  <c r="BK1516" i="3"/>
  <c r="BC1516" i="3"/>
  <c r="C1516" i="3"/>
  <c r="BN1515" i="3"/>
  <c r="BM1515" i="3"/>
  <c r="BL1515" i="3"/>
  <c r="BK1515" i="3"/>
  <c r="C1515" i="3"/>
  <c r="BC1515" i="3" s="1"/>
  <c r="BN1514" i="3"/>
  <c r="BL1514" i="3"/>
  <c r="BK1514" i="3"/>
  <c r="BM1514" i="3" s="1"/>
  <c r="BC1514" i="3"/>
  <c r="C1514" i="3"/>
  <c r="BN1513" i="3"/>
  <c r="BL1513" i="3"/>
  <c r="BK1513" i="3"/>
  <c r="C1513" i="3"/>
  <c r="BC1513" i="3" s="1"/>
  <c r="BN1512" i="3"/>
  <c r="BL1512" i="3"/>
  <c r="BK1512" i="3"/>
  <c r="BM1512" i="3" s="1"/>
  <c r="C1512" i="3"/>
  <c r="BC1512" i="3" s="1"/>
  <c r="BN1511" i="3"/>
  <c r="BM1511" i="3"/>
  <c r="BL1511" i="3"/>
  <c r="BK1511" i="3"/>
  <c r="BC1511" i="3"/>
  <c r="C1511" i="3"/>
  <c r="BN1510" i="3"/>
  <c r="BM1510" i="3"/>
  <c r="BL1510" i="3"/>
  <c r="BK1510" i="3"/>
  <c r="BC1510" i="3"/>
  <c r="C1510" i="3"/>
  <c r="BN1509" i="3"/>
  <c r="BL1509" i="3"/>
  <c r="BK1509" i="3"/>
  <c r="BM1509" i="3" s="1"/>
  <c r="C1509" i="3"/>
  <c r="BC1509" i="3" s="1"/>
  <c r="BN1508" i="3"/>
  <c r="BL1508" i="3"/>
  <c r="BK1508" i="3"/>
  <c r="C1508" i="3"/>
  <c r="BC1508" i="3" s="1"/>
  <c r="BN1507" i="3"/>
  <c r="BM1507" i="3"/>
  <c r="BL1507" i="3"/>
  <c r="BK1507" i="3"/>
  <c r="C1507" i="3"/>
  <c r="BC1507" i="3" s="1"/>
  <c r="BN1506" i="3"/>
  <c r="BL1506" i="3"/>
  <c r="BK1506" i="3"/>
  <c r="BM1506" i="3" s="1"/>
  <c r="BC1506" i="3"/>
  <c r="C1506" i="3"/>
  <c r="BN1505" i="3"/>
  <c r="BL1505" i="3"/>
  <c r="BK1505" i="3"/>
  <c r="BM1505" i="3" s="1"/>
  <c r="C1505" i="3"/>
  <c r="BC1505" i="3" s="1"/>
  <c r="BN1504" i="3"/>
  <c r="BL1504" i="3"/>
  <c r="BK1504" i="3"/>
  <c r="C1504" i="3"/>
  <c r="BC1504" i="3" s="1"/>
  <c r="BN1503" i="3"/>
  <c r="BM1503" i="3"/>
  <c r="BL1503" i="3"/>
  <c r="BK1503" i="3"/>
  <c r="BC1503" i="3"/>
  <c r="C1503" i="3"/>
  <c r="BN1502" i="3"/>
  <c r="BM1502" i="3"/>
  <c r="BL1502" i="3"/>
  <c r="BK1502" i="3"/>
  <c r="BC1502" i="3"/>
  <c r="C1502" i="3"/>
  <c r="BN1501" i="3"/>
  <c r="BL1501" i="3"/>
  <c r="BK1501" i="3"/>
  <c r="C1501" i="3"/>
  <c r="BC1501" i="3" s="1"/>
  <c r="BN1500" i="3"/>
  <c r="BL1500" i="3"/>
  <c r="BK1500" i="3"/>
  <c r="BM1500" i="3" s="1"/>
  <c r="C1500" i="3"/>
  <c r="BC1500" i="3" s="1"/>
  <c r="BN1499" i="3"/>
  <c r="BM1499" i="3"/>
  <c r="BL1499" i="3"/>
  <c r="BK1499" i="3"/>
  <c r="C1499" i="3"/>
  <c r="BC1499" i="3" s="1"/>
  <c r="BN1498" i="3"/>
  <c r="BM1498" i="3"/>
  <c r="BL1498" i="3"/>
  <c r="BK1498" i="3"/>
  <c r="C1498" i="3"/>
  <c r="BC1498" i="3" s="1"/>
  <c r="BN1497" i="3"/>
  <c r="BL1497" i="3"/>
  <c r="BK1497" i="3"/>
  <c r="BM1497" i="3" s="1"/>
  <c r="C1497" i="3"/>
  <c r="BC1497" i="3" s="1"/>
  <c r="BN1496" i="3"/>
  <c r="BL1496" i="3"/>
  <c r="BK1496" i="3"/>
  <c r="C1496" i="3"/>
  <c r="BC1496" i="3" s="1"/>
  <c r="BN1495" i="3"/>
  <c r="BM1495" i="3"/>
  <c r="BL1495" i="3"/>
  <c r="BK1495" i="3"/>
  <c r="BC1495" i="3"/>
  <c r="C1495" i="3"/>
  <c r="BN1494" i="3"/>
  <c r="BL1494" i="3"/>
  <c r="BK1494" i="3"/>
  <c r="BM1494" i="3" s="1"/>
  <c r="C1494" i="3"/>
  <c r="BC1494" i="3" s="1"/>
  <c r="BN1493" i="3"/>
  <c r="BL1493" i="3"/>
  <c r="BK1493" i="3"/>
  <c r="C1493" i="3"/>
  <c r="BC1493" i="3" s="1"/>
  <c r="BN1492" i="3"/>
  <c r="BL1492" i="3"/>
  <c r="BK1492" i="3"/>
  <c r="BM1492" i="3" s="1"/>
  <c r="C1492" i="3"/>
  <c r="BC1492" i="3" s="1"/>
  <c r="BN1491" i="3"/>
  <c r="BM1491" i="3"/>
  <c r="BL1491" i="3"/>
  <c r="BK1491" i="3"/>
  <c r="BC1491" i="3"/>
  <c r="C1491" i="3"/>
  <c r="BN1490" i="3"/>
  <c r="BM1490" i="3"/>
  <c r="BL1490" i="3"/>
  <c r="BK1490" i="3"/>
  <c r="BC1490" i="3"/>
  <c r="C1490" i="3"/>
  <c r="BN1489" i="3"/>
  <c r="BL1489" i="3"/>
  <c r="BK1489" i="3"/>
  <c r="C1489" i="3"/>
  <c r="BC1489" i="3" s="1"/>
  <c r="BN1488" i="3"/>
  <c r="BL1488" i="3"/>
  <c r="BK1488" i="3"/>
  <c r="BM1488" i="3" s="1"/>
  <c r="C1488" i="3"/>
  <c r="BC1488" i="3" s="1"/>
  <c r="BN1487" i="3"/>
  <c r="BM1487" i="3"/>
  <c r="BL1487" i="3"/>
  <c r="BK1487" i="3"/>
  <c r="BC1487" i="3"/>
  <c r="C1487" i="3"/>
  <c r="BN1486" i="3"/>
  <c r="BL1486" i="3"/>
  <c r="BK1486" i="3"/>
  <c r="BM1486" i="3" s="1"/>
  <c r="BC1486" i="3"/>
  <c r="C1486" i="3"/>
  <c r="BN1485" i="3"/>
  <c r="BL1485" i="3"/>
  <c r="BK1485" i="3"/>
  <c r="BM1485" i="3" s="1"/>
  <c r="C1485" i="3"/>
  <c r="BC1485" i="3" s="1"/>
  <c r="BN1484" i="3"/>
  <c r="BL1484" i="3"/>
  <c r="BK1484" i="3"/>
  <c r="C1484" i="3"/>
  <c r="BC1484" i="3" s="1"/>
  <c r="BN1483" i="3"/>
  <c r="BM1483" i="3"/>
  <c r="BL1483" i="3"/>
  <c r="BK1483" i="3"/>
  <c r="C1483" i="3"/>
  <c r="BC1483" i="3" s="1"/>
  <c r="BN1482" i="3"/>
  <c r="BL1482" i="3"/>
  <c r="BK1482" i="3"/>
  <c r="BM1482" i="3" s="1"/>
  <c r="C1482" i="3"/>
  <c r="BC1482" i="3" s="1"/>
  <c r="BN1481" i="3"/>
  <c r="BL1481" i="3"/>
  <c r="BK1481" i="3"/>
  <c r="C1481" i="3"/>
  <c r="BC1481" i="3" s="1"/>
  <c r="BN1480" i="3"/>
  <c r="BL1480" i="3"/>
  <c r="BK1480" i="3"/>
  <c r="BM1480" i="3" s="1"/>
  <c r="C1480" i="3"/>
  <c r="BC1480" i="3" s="1"/>
  <c r="BN1479" i="3"/>
  <c r="BM1479" i="3"/>
  <c r="BL1479" i="3"/>
  <c r="BK1479" i="3"/>
  <c r="C1479" i="3"/>
  <c r="BC1479" i="3" s="1"/>
  <c r="BN1478" i="3"/>
  <c r="BM1478" i="3"/>
  <c r="BL1478" i="3"/>
  <c r="BK1478" i="3"/>
  <c r="C1478" i="3"/>
  <c r="BC1478" i="3" s="1"/>
  <c r="BN1477" i="3"/>
  <c r="BL1477" i="3"/>
  <c r="BK1477" i="3"/>
  <c r="BM1477" i="3" s="1"/>
  <c r="BC1477" i="3"/>
  <c r="C1477" i="3"/>
  <c r="BN1476" i="3"/>
  <c r="BL1476" i="3"/>
  <c r="BK1476" i="3"/>
  <c r="BM1476" i="3" s="1"/>
  <c r="C1476" i="3"/>
  <c r="BC1476" i="3" s="1"/>
  <c r="BN1475" i="3"/>
  <c r="BM1475" i="3"/>
  <c r="BL1475" i="3"/>
  <c r="BK1475" i="3"/>
  <c r="BC1475" i="3"/>
  <c r="C1475" i="3"/>
  <c r="BN1474" i="3"/>
  <c r="BL1474" i="3"/>
  <c r="BK1474" i="3"/>
  <c r="BM1474" i="3" s="1"/>
  <c r="BC1474" i="3"/>
  <c r="C1474" i="3"/>
  <c r="BN1473" i="3"/>
  <c r="BL1473" i="3"/>
  <c r="BK1473" i="3"/>
  <c r="BM1473" i="3" s="1"/>
  <c r="C1473" i="3"/>
  <c r="BC1473" i="3" s="1"/>
  <c r="BN1472" i="3"/>
  <c r="BL1472" i="3"/>
  <c r="BK1472" i="3"/>
  <c r="C1472" i="3"/>
  <c r="BC1472" i="3" s="1"/>
  <c r="BN1471" i="3"/>
  <c r="BL1471" i="3"/>
  <c r="BM1471" i="3" s="1"/>
  <c r="BK1471" i="3"/>
  <c r="C1471" i="3"/>
  <c r="BC1471" i="3" s="1"/>
  <c r="BN1470" i="3"/>
  <c r="BL1470" i="3"/>
  <c r="BK1470" i="3"/>
  <c r="BM1470" i="3" s="1"/>
  <c r="C1470" i="3"/>
  <c r="BC1470" i="3" s="1"/>
  <c r="BN1469" i="3"/>
  <c r="BL1469" i="3"/>
  <c r="BK1469" i="3"/>
  <c r="C1469" i="3"/>
  <c r="BC1469" i="3" s="1"/>
  <c r="BN1468" i="3"/>
  <c r="BL1468" i="3"/>
  <c r="BK1468" i="3"/>
  <c r="C1468" i="3"/>
  <c r="BC1468" i="3" s="1"/>
  <c r="BN1467" i="3"/>
  <c r="BL1467" i="3"/>
  <c r="BM1467" i="3" s="1"/>
  <c r="BK1467" i="3"/>
  <c r="C1467" i="3"/>
  <c r="BC1467" i="3" s="1"/>
  <c r="BN1466" i="3"/>
  <c r="BM1466" i="3"/>
  <c r="BL1466" i="3"/>
  <c r="BK1466" i="3"/>
  <c r="C1466" i="3"/>
  <c r="BC1466" i="3" s="1"/>
  <c r="BN1465" i="3"/>
  <c r="BL1465" i="3"/>
  <c r="BK1465" i="3"/>
  <c r="BC1465" i="3"/>
  <c r="C1465" i="3"/>
  <c r="BN1464" i="3"/>
  <c r="BL1464" i="3"/>
  <c r="BK1464" i="3"/>
  <c r="C1464" i="3"/>
  <c r="BC1464" i="3" s="1"/>
  <c r="BN1463" i="3"/>
  <c r="BM1463" i="3"/>
  <c r="BL1463" i="3"/>
  <c r="BK1463" i="3"/>
  <c r="C1463" i="3"/>
  <c r="BC1463" i="3" s="1"/>
  <c r="BN1462" i="3"/>
  <c r="BM1462" i="3"/>
  <c r="BL1462" i="3"/>
  <c r="BK1462" i="3"/>
  <c r="C1462" i="3"/>
  <c r="BC1462" i="3" s="1"/>
  <c r="BN1461" i="3"/>
  <c r="BL1461" i="3"/>
  <c r="BK1461" i="3"/>
  <c r="BM1461" i="3" s="1"/>
  <c r="C1461" i="3"/>
  <c r="BC1461" i="3" s="1"/>
  <c r="BN1460" i="3"/>
  <c r="BL1460" i="3"/>
  <c r="BK1460" i="3"/>
  <c r="C1460" i="3"/>
  <c r="BC1460" i="3" s="1"/>
  <c r="BN1459" i="3"/>
  <c r="BM1459" i="3"/>
  <c r="BL1459" i="3"/>
  <c r="BK1459" i="3"/>
  <c r="C1459" i="3"/>
  <c r="BC1459" i="3" s="1"/>
  <c r="BN1458" i="3"/>
  <c r="BL1458" i="3"/>
  <c r="BK1458" i="3"/>
  <c r="BM1458" i="3" s="1"/>
  <c r="C1458" i="3"/>
  <c r="BC1458" i="3" s="1"/>
  <c r="BN1457" i="3"/>
  <c r="BL1457" i="3"/>
  <c r="BK1457" i="3"/>
  <c r="BM1457" i="3" s="1"/>
  <c r="C1457" i="3"/>
  <c r="BC1457" i="3" s="1"/>
  <c r="BN1456" i="3"/>
  <c r="BL1456" i="3"/>
  <c r="BK1456" i="3"/>
  <c r="C1456" i="3"/>
  <c r="BC1456" i="3" s="1"/>
  <c r="BN1455" i="3"/>
  <c r="BL1455" i="3"/>
  <c r="BM1455" i="3" s="1"/>
  <c r="BK1455" i="3"/>
  <c r="C1455" i="3"/>
  <c r="BC1455" i="3" s="1"/>
  <c r="BN1454" i="3"/>
  <c r="BL1454" i="3"/>
  <c r="BK1454" i="3"/>
  <c r="BM1454" i="3" s="1"/>
  <c r="C1454" i="3"/>
  <c r="BC1454" i="3" s="1"/>
  <c r="BN1453" i="3"/>
  <c r="BL1453" i="3"/>
  <c r="BK1453" i="3"/>
  <c r="C1453" i="3"/>
  <c r="BC1453" i="3" s="1"/>
  <c r="BN1452" i="3"/>
  <c r="BL1452" i="3"/>
  <c r="BK1452" i="3"/>
  <c r="BC1452" i="3"/>
  <c r="C1452" i="3"/>
  <c r="BN1451" i="3"/>
  <c r="BL1451" i="3"/>
  <c r="BM1451" i="3" s="1"/>
  <c r="BK1451" i="3"/>
  <c r="BC1451" i="3"/>
  <c r="C1451" i="3"/>
  <c r="BN1450" i="3"/>
  <c r="BM1450" i="3"/>
  <c r="BL1450" i="3"/>
  <c r="BK1450" i="3"/>
  <c r="BC1450" i="3"/>
  <c r="C1450" i="3"/>
  <c r="BN1449" i="3"/>
  <c r="BL1449" i="3"/>
  <c r="BK1449" i="3"/>
  <c r="BM1449" i="3" s="1"/>
  <c r="BC1449" i="3"/>
  <c r="C1449" i="3"/>
  <c r="BN1448" i="3"/>
  <c r="BL1448" i="3"/>
  <c r="BK1448" i="3"/>
  <c r="BC1448" i="3"/>
  <c r="C1448" i="3"/>
  <c r="BN1447" i="3"/>
  <c r="BM1447" i="3"/>
  <c r="BL1447" i="3"/>
  <c r="BK1447" i="3"/>
  <c r="BC1447" i="3"/>
  <c r="C1447" i="3"/>
  <c r="BN1446" i="3"/>
  <c r="BL1446" i="3"/>
  <c r="BM1446" i="3" s="1"/>
  <c r="BK1446" i="3"/>
  <c r="C1446" i="3"/>
  <c r="BC1446" i="3" s="1"/>
  <c r="BN1445" i="3"/>
  <c r="BL1445" i="3"/>
  <c r="BK1445" i="3"/>
  <c r="BM1445" i="3" s="1"/>
  <c r="C1445" i="3"/>
  <c r="BC1445" i="3" s="1"/>
  <c r="BN1444" i="3"/>
  <c r="BL1444" i="3"/>
  <c r="BK1444" i="3"/>
  <c r="C1444" i="3"/>
  <c r="BC1444" i="3" s="1"/>
  <c r="BN1443" i="3"/>
  <c r="BL1443" i="3"/>
  <c r="BM1443" i="3" s="1"/>
  <c r="BK1443" i="3"/>
  <c r="C1443" i="3"/>
  <c r="BC1443" i="3" s="1"/>
  <c r="BN1442" i="3"/>
  <c r="BL1442" i="3"/>
  <c r="BK1442" i="3"/>
  <c r="BM1442" i="3" s="1"/>
  <c r="BC1442" i="3"/>
  <c r="C1442" i="3"/>
  <c r="BN1441" i="3"/>
  <c r="BL1441" i="3"/>
  <c r="BK1441" i="3"/>
  <c r="BM1441" i="3" s="1"/>
  <c r="C1441" i="3"/>
  <c r="BC1441" i="3" s="1"/>
  <c r="BN1440" i="3"/>
  <c r="BL1440" i="3"/>
  <c r="BK1440" i="3"/>
  <c r="C1440" i="3"/>
  <c r="BC1440" i="3" s="1"/>
  <c r="BN1439" i="3"/>
  <c r="BL1439" i="3"/>
  <c r="BM1439" i="3" s="1"/>
  <c r="BK1439" i="3"/>
  <c r="C1439" i="3"/>
  <c r="BC1439" i="3" s="1"/>
  <c r="BN1438" i="3"/>
  <c r="BL1438" i="3"/>
  <c r="BK1438" i="3"/>
  <c r="BM1438" i="3" s="1"/>
  <c r="C1438" i="3"/>
  <c r="BC1438" i="3" s="1"/>
  <c r="BN1437" i="3"/>
  <c r="BL1437" i="3"/>
  <c r="BK1437" i="3"/>
  <c r="C1437" i="3"/>
  <c r="BC1437" i="3" s="1"/>
  <c r="BN1436" i="3"/>
  <c r="BL1436" i="3"/>
  <c r="BK1436" i="3"/>
  <c r="BC1436" i="3"/>
  <c r="C1436" i="3"/>
  <c r="BN1435" i="3"/>
  <c r="BL1435" i="3"/>
  <c r="BM1435" i="3" s="1"/>
  <c r="BK1435" i="3"/>
  <c r="BC1435" i="3"/>
  <c r="C1435" i="3"/>
  <c r="BN1434" i="3"/>
  <c r="BM1434" i="3"/>
  <c r="BL1434" i="3"/>
  <c r="BK1434" i="3"/>
  <c r="BC1434" i="3"/>
  <c r="C1434" i="3"/>
  <c r="BN1433" i="3"/>
  <c r="BL1433" i="3"/>
  <c r="BK1433" i="3"/>
  <c r="BM1433" i="3" s="1"/>
  <c r="BC1433" i="3"/>
  <c r="C1433" i="3"/>
  <c r="BN1432" i="3"/>
  <c r="BL1432" i="3"/>
  <c r="BK1432" i="3"/>
  <c r="BC1432" i="3"/>
  <c r="C1432" i="3"/>
  <c r="BN1431" i="3"/>
  <c r="BM1431" i="3"/>
  <c r="BL1431" i="3"/>
  <c r="BK1431" i="3"/>
  <c r="C1431" i="3"/>
  <c r="BC1431" i="3" s="1"/>
  <c r="BN1430" i="3"/>
  <c r="BL1430" i="3"/>
  <c r="BM1430" i="3" s="1"/>
  <c r="BK1430" i="3"/>
  <c r="BC1430" i="3"/>
  <c r="C1430" i="3"/>
  <c r="BN1429" i="3"/>
  <c r="BL1429" i="3"/>
  <c r="BK1429" i="3"/>
  <c r="BM1429" i="3" s="1"/>
  <c r="C1429" i="3"/>
  <c r="BC1429" i="3" s="1"/>
  <c r="BN1428" i="3"/>
  <c r="BL1428" i="3"/>
  <c r="BK1428" i="3"/>
  <c r="BC1428" i="3"/>
  <c r="C1428" i="3"/>
  <c r="BN1427" i="3"/>
  <c r="BL1427" i="3"/>
  <c r="BM1427" i="3" s="1"/>
  <c r="BK1427" i="3"/>
  <c r="BC1427" i="3"/>
  <c r="C1427" i="3"/>
  <c r="BN1426" i="3"/>
  <c r="BL1426" i="3"/>
  <c r="BK1426" i="3"/>
  <c r="BM1426" i="3" s="1"/>
  <c r="C1426" i="3"/>
  <c r="BC1426" i="3" s="1"/>
  <c r="BN1425" i="3"/>
  <c r="BL1425" i="3"/>
  <c r="BK1425" i="3"/>
  <c r="BM1425" i="3" s="1"/>
  <c r="C1425" i="3"/>
  <c r="BC1425" i="3" s="1"/>
  <c r="BN1424" i="3"/>
  <c r="BL1424" i="3"/>
  <c r="BK1424" i="3"/>
  <c r="C1424" i="3"/>
  <c r="BC1424" i="3" s="1"/>
  <c r="BN1423" i="3"/>
  <c r="BL1423" i="3"/>
  <c r="BM1423" i="3" s="1"/>
  <c r="BK1423" i="3"/>
  <c r="BC1423" i="3"/>
  <c r="C1423" i="3"/>
  <c r="BN1422" i="3"/>
  <c r="BL1422" i="3"/>
  <c r="BK1422" i="3"/>
  <c r="BM1422" i="3" s="1"/>
  <c r="C1422" i="3"/>
  <c r="BC1422" i="3" s="1"/>
  <c r="BN1421" i="3"/>
  <c r="BM1421" i="3"/>
  <c r="BL1421" i="3"/>
  <c r="BK1421" i="3"/>
  <c r="BC1421" i="3"/>
  <c r="C1421" i="3"/>
  <c r="BN1420" i="3"/>
  <c r="BL1420" i="3"/>
  <c r="BK1420" i="3"/>
  <c r="BM1420" i="3" s="1"/>
  <c r="BC1420" i="3"/>
  <c r="C1420" i="3"/>
  <c r="BN1419" i="3"/>
  <c r="BM1419" i="3"/>
  <c r="BL1419" i="3"/>
  <c r="BK1419" i="3"/>
  <c r="C1419" i="3"/>
  <c r="BC1419" i="3" s="1"/>
  <c r="BN1418" i="3"/>
  <c r="BL1418" i="3"/>
  <c r="BK1418" i="3"/>
  <c r="BM1418" i="3" s="1"/>
  <c r="BC1418" i="3"/>
  <c r="C1418" i="3"/>
  <c r="BN1417" i="3"/>
  <c r="BM1417" i="3"/>
  <c r="BL1417" i="3"/>
  <c r="BK1417" i="3"/>
  <c r="C1417" i="3"/>
  <c r="BC1417" i="3" s="1"/>
  <c r="BN1416" i="3"/>
  <c r="BL1416" i="3"/>
  <c r="BK1416" i="3"/>
  <c r="BC1416" i="3"/>
  <c r="C1416" i="3"/>
  <c r="BN1415" i="3"/>
  <c r="BL1415" i="3"/>
  <c r="BM1415" i="3" s="1"/>
  <c r="BK1415" i="3"/>
  <c r="BC1415" i="3"/>
  <c r="C1415" i="3"/>
  <c r="BN1414" i="3"/>
  <c r="BM1414" i="3"/>
  <c r="BL1414" i="3"/>
  <c r="BK1414" i="3"/>
  <c r="BC1414" i="3"/>
  <c r="C1414" i="3"/>
  <c r="BN1413" i="3"/>
  <c r="BL1413" i="3"/>
  <c r="BM1413" i="3" s="1"/>
  <c r="BK1413" i="3"/>
  <c r="BC1413" i="3"/>
  <c r="C1413" i="3"/>
  <c r="BN1412" i="3"/>
  <c r="BL1412" i="3"/>
  <c r="BK1412" i="3"/>
  <c r="BM1412" i="3" s="1"/>
  <c r="C1412" i="3"/>
  <c r="BC1412" i="3" s="1"/>
  <c r="BN1411" i="3"/>
  <c r="BM1411" i="3"/>
  <c r="BL1411" i="3"/>
  <c r="BK1411" i="3"/>
  <c r="C1411" i="3"/>
  <c r="BC1411" i="3" s="1"/>
  <c r="BN1410" i="3"/>
  <c r="BM1410" i="3"/>
  <c r="BL1410" i="3"/>
  <c r="BK1410" i="3"/>
  <c r="BC1410" i="3"/>
  <c r="C1410" i="3"/>
  <c r="BN1409" i="3"/>
  <c r="BM1409" i="3"/>
  <c r="BL1409" i="3"/>
  <c r="BK1409" i="3"/>
  <c r="BC1409" i="3"/>
  <c r="C1409" i="3"/>
  <c r="BN1408" i="3"/>
  <c r="BL1408" i="3"/>
  <c r="BK1408" i="3"/>
  <c r="BC1408" i="3"/>
  <c r="C1408" i="3"/>
  <c r="BN1407" i="3"/>
  <c r="BM1407" i="3"/>
  <c r="BL1407" i="3"/>
  <c r="BK1407" i="3"/>
  <c r="C1407" i="3"/>
  <c r="BC1407" i="3" s="1"/>
  <c r="BN1406" i="3"/>
  <c r="BL1406" i="3"/>
  <c r="BM1406" i="3" s="1"/>
  <c r="BK1406" i="3"/>
  <c r="C1406" i="3"/>
  <c r="BC1406" i="3" s="1"/>
  <c r="BN1405" i="3"/>
  <c r="BL1405" i="3"/>
  <c r="BK1405" i="3"/>
  <c r="BM1405" i="3" s="1"/>
  <c r="C1405" i="3"/>
  <c r="BC1405" i="3" s="1"/>
  <c r="BN1404" i="3"/>
  <c r="BL1404" i="3"/>
  <c r="BK1404" i="3"/>
  <c r="BM1404" i="3" s="1"/>
  <c r="C1404" i="3"/>
  <c r="BC1404" i="3" s="1"/>
  <c r="BN1403" i="3"/>
  <c r="BM1403" i="3"/>
  <c r="BL1403" i="3"/>
  <c r="BK1403" i="3"/>
  <c r="C1403" i="3"/>
  <c r="BC1403" i="3" s="1"/>
  <c r="BN1402" i="3"/>
  <c r="BM1402" i="3"/>
  <c r="BL1402" i="3"/>
  <c r="BK1402" i="3"/>
  <c r="C1402" i="3"/>
  <c r="BC1402" i="3" s="1"/>
  <c r="BN1401" i="3"/>
  <c r="BL1401" i="3"/>
  <c r="BK1401" i="3"/>
  <c r="BM1401" i="3" s="1"/>
  <c r="C1401" i="3"/>
  <c r="BC1401" i="3" s="1"/>
  <c r="BN1400" i="3"/>
  <c r="BL1400" i="3"/>
  <c r="BK1400" i="3"/>
  <c r="C1400" i="3"/>
  <c r="BC1400" i="3" s="1"/>
  <c r="BN1399" i="3"/>
  <c r="BL1399" i="3"/>
  <c r="BM1399" i="3" s="1"/>
  <c r="BK1399" i="3"/>
  <c r="C1399" i="3"/>
  <c r="BC1399" i="3" s="1"/>
  <c r="BN1398" i="3"/>
  <c r="BL1398" i="3"/>
  <c r="BK1398" i="3"/>
  <c r="BM1398" i="3" s="1"/>
  <c r="BC1398" i="3"/>
  <c r="C1398" i="3"/>
  <c r="BN1397" i="3"/>
  <c r="BL1397" i="3"/>
  <c r="BK1397" i="3"/>
  <c r="BM1397" i="3" s="1"/>
  <c r="C1397" i="3"/>
  <c r="BC1397" i="3" s="1"/>
  <c r="BN1396" i="3"/>
  <c r="BL1396" i="3"/>
  <c r="BK1396" i="3"/>
  <c r="C1396" i="3"/>
  <c r="BC1396" i="3" s="1"/>
  <c r="BN1395" i="3"/>
  <c r="BM1395" i="3"/>
  <c r="BL1395" i="3"/>
  <c r="BK1395" i="3"/>
  <c r="C1395" i="3"/>
  <c r="BC1395" i="3" s="1"/>
  <c r="BN1394" i="3"/>
  <c r="BL1394" i="3"/>
  <c r="BK1394" i="3"/>
  <c r="BM1394" i="3" s="1"/>
  <c r="C1394" i="3"/>
  <c r="BC1394" i="3" s="1"/>
  <c r="BN1393" i="3"/>
  <c r="BL1393" i="3"/>
  <c r="BK1393" i="3"/>
  <c r="BM1393" i="3" s="1"/>
  <c r="C1393" i="3"/>
  <c r="BC1393" i="3" s="1"/>
  <c r="BN1392" i="3"/>
  <c r="BL1392" i="3"/>
  <c r="BK1392" i="3"/>
  <c r="C1392" i="3"/>
  <c r="BC1392" i="3" s="1"/>
  <c r="BN1391" i="3"/>
  <c r="BL1391" i="3"/>
  <c r="BM1391" i="3" s="1"/>
  <c r="BK1391" i="3"/>
  <c r="C1391" i="3"/>
  <c r="BC1391" i="3" s="1"/>
  <c r="BN1390" i="3"/>
  <c r="BL1390" i="3"/>
  <c r="BK1390" i="3"/>
  <c r="BM1390" i="3" s="1"/>
  <c r="C1390" i="3"/>
  <c r="BC1390" i="3" s="1"/>
  <c r="BN1389" i="3"/>
  <c r="BM1389" i="3"/>
  <c r="BL1389" i="3"/>
  <c r="BK1389" i="3"/>
  <c r="C1389" i="3"/>
  <c r="BC1389" i="3" s="1"/>
  <c r="BN1388" i="3"/>
  <c r="BL1388" i="3"/>
  <c r="BK1388" i="3"/>
  <c r="BM1388" i="3" s="1"/>
  <c r="C1388" i="3"/>
  <c r="BC1388" i="3" s="1"/>
  <c r="BN1387" i="3"/>
  <c r="BM1387" i="3"/>
  <c r="BL1387" i="3"/>
  <c r="BK1387" i="3"/>
  <c r="C1387" i="3"/>
  <c r="BC1387" i="3" s="1"/>
  <c r="BN1386" i="3"/>
  <c r="BL1386" i="3"/>
  <c r="BK1386" i="3"/>
  <c r="BM1386" i="3" s="1"/>
  <c r="C1386" i="3"/>
  <c r="BC1386" i="3" s="1"/>
  <c r="BN1385" i="3"/>
  <c r="BM1385" i="3"/>
  <c r="BL1385" i="3"/>
  <c r="BK1385" i="3"/>
  <c r="C1385" i="3"/>
  <c r="BC1385" i="3" s="1"/>
  <c r="BN1384" i="3"/>
  <c r="BL1384" i="3"/>
  <c r="BK1384" i="3"/>
  <c r="C1384" i="3"/>
  <c r="BC1384" i="3" s="1"/>
  <c r="BN1383" i="3"/>
  <c r="BL1383" i="3"/>
  <c r="BM1383" i="3" s="1"/>
  <c r="BK1383" i="3"/>
  <c r="C1383" i="3"/>
  <c r="BC1383" i="3" s="1"/>
  <c r="BN1382" i="3"/>
  <c r="BM1382" i="3"/>
  <c r="BL1382" i="3"/>
  <c r="BK1382" i="3"/>
  <c r="C1382" i="3"/>
  <c r="BC1382" i="3" s="1"/>
  <c r="BN1381" i="3"/>
  <c r="BL1381" i="3"/>
  <c r="BM1381" i="3" s="1"/>
  <c r="BK1381" i="3"/>
  <c r="C1381" i="3"/>
  <c r="BC1381" i="3" s="1"/>
  <c r="BN1380" i="3"/>
  <c r="BL1380" i="3"/>
  <c r="BK1380" i="3"/>
  <c r="BM1380" i="3" s="1"/>
  <c r="C1380" i="3"/>
  <c r="BC1380" i="3" s="1"/>
  <c r="BN1379" i="3"/>
  <c r="BM1379" i="3"/>
  <c r="BL1379" i="3"/>
  <c r="BK1379" i="3"/>
  <c r="C1379" i="3"/>
  <c r="BC1379" i="3" s="1"/>
  <c r="BN1378" i="3"/>
  <c r="BM1378" i="3"/>
  <c r="BL1378" i="3"/>
  <c r="BK1378" i="3"/>
  <c r="C1378" i="3"/>
  <c r="BC1378" i="3" s="1"/>
  <c r="BN1377" i="3"/>
  <c r="BM1377" i="3"/>
  <c r="BL1377" i="3"/>
  <c r="BK1377" i="3"/>
  <c r="C1377" i="3"/>
  <c r="BC1377" i="3" s="1"/>
  <c r="BN1376" i="3"/>
  <c r="BL1376" i="3"/>
  <c r="BK1376" i="3"/>
  <c r="C1376" i="3"/>
  <c r="BC1376" i="3" s="1"/>
  <c r="BN1375" i="3"/>
  <c r="BM1375" i="3"/>
  <c r="BL1375" i="3"/>
  <c r="BK1375" i="3"/>
  <c r="C1375" i="3"/>
  <c r="BC1375" i="3" s="1"/>
  <c r="BN1374" i="3"/>
  <c r="BL1374" i="3"/>
  <c r="BM1374" i="3" s="1"/>
  <c r="BK1374" i="3"/>
  <c r="C1374" i="3"/>
  <c r="BC1374" i="3" s="1"/>
  <c r="BN1373" i="3"/>
  <c r="BL1373" i="3"/>
  <c r="BK1373" i="3"/>
  <c r="BM1373" i="3" s="1"/>
  <c r="C1373" i="3"/>
  <c r="BC1373" i="3" s="1"/>
  <c r="BN1372" i="3"/>
  <c r="BL1372" i="3"/>
  <c r="BK1372" i="3"/>
  <c r="BM1372" i="3" s="1"/>
  <c r="C1372" i="3"/>
  <c r="BC1372" i="3" s="1"/>
  <c r="BN1371" i="3"/>
  <c r="BM1371" i="3"/>
  <c r="BL1371" i="3"/>
  <c r="BK1371" i="3"/>
  <c r="C1371" i="3"/>
  <c r="BC1371" i="3" s="1"/>
  <c r="BN1370" i="3"/>
  <c r="BM1370" i="3"/>
  <c r="BL1370" i="3"/>
  <c r="BK1370" i="3"/>
  <c r="BC1370" i="3"/>
  <c r="C1370" i="3"/>
  <c r="BN1369" i="3"/>
  <c r="BL1369" i="3"/>
  <c r="BK1369" i="3"/>
  <c r="BM1369" i="3" s="1"/>
  <c r="C1369" i="3"/>
  <c r="BC1369" i="3" s="1"/>
  <c r="BN1368" i="3"/>
  <c r="BL1368" i="3"/>
  <c r="BK1368" i="3"/>
  <c r="C1368" i="3"/>
  <c r="BC1368" i="3" s="1"/>
  <c r="BN1367" i="3"/>
  <c r="BL1367" i="3"/>
  <c r="BM1367" i="3" s="1"/>
  <c r="BK1367" i="3"/>
  <c r="C1367" i="3"/>
  <c r="BC1367" i="3" s="1"/>
  <c r="BN1366" i="3"/>
  <c r="BL1366" i="3"/>
  <c r="BK1366" i="3"/>
  <c r="BM1366" i="3" s="1"/>
  <c r="C1366" i="3"/>
  <c r="BC1366" i="3" s="1"/>
  <c r="BN1365" i="3"/>
  <c r="BL1365" i="3"/>
  <c r="BK1365" i="3"/>
  <c r="BM1365" i="3" s="1"/>
  <c r="C1365" i="3"/>
  <c r="BC1365" i="3" s="1"/>
  <c r="BN1364" i="3"/>
  <c r="BL1364" i="3"/>
  <c r="BK1364" i="3"/>
  <c r="C1364" i="3"/>
  <c r="BC1364" i="3" s="1"/>
  <c r="BN1363" i="3"/>
  <c r="BM1363" i="3"/>
  <c r="BL1363" i="3"/>
  <c r="BK1363" i="3"/>
  <c r="C1363" i="3"/>
  <c r="BC1363" i="3" s="1"/>
  <c r="BN1362" i="3"/>
  <c r="BL1362" i="3"/>
  <c r="BK1362" i="3"/>
  <c r="BM1362" i="3" s="1"/>
  <c r="BC1362" i="3"/>
  <c r="C1362" i="3"/>
  <c r="BN1361" i="3"/>
  <c r="BL1361" i="3"/>
  <c r="BK1361" i="3"/>
  <c r="BM1361" i="3" s="1"/>
  <c r="C1361" i="3"/>
  <c r="BC1361" i="3" s="1"/>
  <c r="BN1360" i="3"/>
  <c r="BL1360" i="3"/>
  <c r="BK1360" i="3"/>
  <c r="C1360" i="3"/>
  <c r="BC1360" i="3" s="1"/>
  <c r="BN1359" i="3"/>
  <c r="BL1359" i="3"/>
  <c r="BM1359" i="3" s="1"/>
  <c r="BK1359" i="3"/>
  <c r="C1359" i="3"/>
  <c r="BC1359" i="3" s="1"/>
  <c r="BN1358" i="3"/>
  <c r="BL1358" i="3"/>
  <c r="BK1358" i="3"/>
  <c r="BM1358" i="3" s="1"/>
  <c r="C1358" i="3"/>
  <c r="BC1358" i="3" s="1"/>
  <c r="BN1357" i="3"/>
  <c r="BM1357" i="3"/>
  <c r="BL1357" i="3"/>
  <c r="BK1357" i="3"/>
  <c r="C1357" i="3"/>
  <c r="BC1357" i="3" s="1"/>
  <c r="BN1356" i="3"/>
  <c r="BL1356" i="3"/>
  <c r="BK1356" i="3"/>
  <c r="BM1356" i="3" s="1"/>
  <c r="C1356" i="3"/>
  <c r="BC1356" i="3" s="1"/>
  <c r="BN1355" i="3"/>
  <c r="BM1355" i="3"/>
  <c r="BL1355" i="3"/>
  <c r="BK1355" i="3"/>
  <c r="C1355" i="3"/>
  <c r="BC1355" i="3" s="1"/>
  <c r="BN1354" i="3"/>
  <c r="BL1354" i="3"/>
  <c r="BK1354" i="3"/>
  <c r="BM1354" i="3" s="1"/>
  <c r="C1354" i="3"/>
  <c r="BC1354" i="3" s="1"/>
  <c r="BN1353" i="3"/>
  <c r="BM1353" i="3"/>
  <c r="BL1353" i="3"/>
  <c r="BK1353" i="3"/>
  <c r="C1353" i="3"/>
  <c r="BC1353" i="3" s="1"/>
  <c r="BN1352" i="3"/>
  <c r="BL1352" i="3"/>
  <c r="BK1352" i="3"/>
  <c r="BC1352" i="3"/>
  <c r="C1352" i="3"/>
  <c r="BN1351" i="3"/>
  <c r="BL1351" i="3"/>
  <c r="BM1351" i="3" s="1"/>
  <c r="BK1351" i="3"/>
  <c r="BC1351" i="3"/>
  <c r="C1351" i="3"/>
  <c r="BN1350" i="3"/>
  <c r="BM1350" i="3"/>
  <c r="BL1350" i="3"/>
  <c r="BK1350" i="3"/>
  <c r="BB1350" i="3"/>
  <c r="C1350" i="3"/>
  <c r="BC1350" i="3" s="1"/>
  <c r="BN1349" i="3"/>
  <c r="BM1349" i="3"/>
  <c r="BL1349" i="3"/>
  <c r="BK1349" i="3"/>
  <c r="BC1349" i="3"/>
  <c r="BB1349" i="3"/>
  <c r="C1349" i="3"/>
  <c r="BN1348" i="3"/>
  <c r="BL1348" i="3"/>
  <c r="BM1348" i="3" s="1"/>
  <c r="BK1348" i="3"/>
  <c r="BB1348" i="3"/>
  <c r="C1348" i="3"/>
  <c r="BC1348" i="3" s="1"/>
  <c r="BN1347" i="3"/>
  <c r="BM1347" i="3"/>
  <c r="BL1347" i="3"/>
  <c r="BK1347" i="3"/>
  <c r="BC1347" i="3"/>
  <c r="BB1347" i="3"/>
  <c r="C1347" i="3"/>
  <c r="BN1346" i="3"/>
  <c r="BL1346" i="3"/>
  <c r="BK1346" i="3"/>
  <c r="BM1346" i="3" s="1"/>
  <c r="BC1346" i="3"/>
  <c r="BB1346" i="3"/>
  <c r="C1346" i="3"/>
  <c r="BN1345" i="3"/>
  <c r="BL1345" i="3"/>
  <c r="BK1345" i="3"/>
  <c r="BM1345" i="3" s="1"/>
  <c r="BC1345" i="3"/>
  <c r="C1345" i="3"/>
  <c r="BN1344" i="3"/>
  <c r="BM1344" i="3"/>
  <c r="BL1344" i="3"/>
  <c r="BK1344" i="3"/>
  <c r="BC1344" i="3"/>
  <c r="C1344" i="3"/>
  <c r="BN1343" i="3"/>
  <c r="BL1343" i="3"/>
  <c r="BM1343" i="3" s="1"/>
  <c r="BK1343" i="3"/>
  <c r="BC1343" i="3"/>
  <c r="C1343" i="3"/>
  <c r="BN1342" i="3"/>
  <c r="BL1342" i="3"/>
  <c r="BK1342" i="3"/>
  <c r="BM1342" i="3" s="1"/>
  <c r="BC1342" i="3"/>
  <c r="C1342" i="3"/>
  <c r="BN1341" i="3"/>
  <c r="BL1341" i="3"/>
  <c r="BK1341" i="3"/>
  <c r="BM1341" i="3" s="1"/>
  <c r="BC1341" i="3"/>
  <c r="C1341" i="3"/>
  <c r="BN1340" i="3"/>
  <c r="BM1340" i="3"/>
  <c r="BL1340" i="3"/>
  <c r="BK1340" i="3"/>
  <c r="BC1340" i="3"/>
  <c r="C1340" i="3"/>
  <c r="BN1339" i="3"/>
  <c r="BL1339" i="3"/>
  <c r="BM1339" i="3" s="1"/>
  <c r="BK1339" i="3"/>
  <c r="BC1339" i="3"/>
  <c r="C1339" i="3"/>
  <c r="BN1338" i="3"/>
  <c r="BL1338" i="3"/>
  <c r="BK1338" i="3"/>
  <c r="BM1338" i="3" s="1"/>
  <c r="BC1338" i="3"/>
  <c r="C1338" i="3"/>
  <c r="BN1337" i="3"/>
  <c r="BL1337" i="3"/>
  <c r="BK1337" i="3"/>
  <c r="BM1337" i="3" s="1"/>
  <c r="BC1337" i="3"/>
  <c r="C1337" i="3"/>
  <c r="BN1336" i="3"/>
  <c r="BM1336" i="3"/>
  <c r="BL1336" i="3"/>
  <c r="BK1336" i="3"/>
  <c r="BC1336" i="3"/>
  <c r="C1336" i="3"/>
  <c r="BN1335" i="3"/>
  <c r="BL1335" i="3"/>
  <c r="BM1335" i="3" s="1"/>
  <c r="BK1335" i="3"/>
  <c r="BC1335" i="3"/>
  <c r="C1335" i="3"/>
  <c r="BN1334" i="3"/>
  <c r="BL1334" i="3"/>
  <c r="BK1334" i="3"/>
  <c r="BM1334" i="3" s="1"/>
  <c r="BC1334" i="3"/>
  <c r="BB1334" i="3"/>
  <c r="C1334" i="3"/>
  <c r="BN1333" i="3"/>
  <c r="BL1333" i="3"/>
  <c r="BK1333" i="3"/>
  <c r="BM1333" i="3" s="1"/>
  <c r="C1333" i="3"/>
  <c r="BC1333" i="3" s="1"/>
  <c r="BN1332" i="3"/>
  <c r="BL1332" i="3"/>
  <c r="BK1332" i="3"/>
  <c r="BM1332" i="3" s="1"/>
  <c r="BB1332" i="3"/>
  <c r="C1332" i="3"/>
  <c r="BC1332" i="3" s="1"/>
  <c r="BN1331" i="3"/>
  <c r="BM1331" i="3"/>
  <c r="BL1331" i="3"/>
  <c r="BK1331" i="3"/>
  <c r="C1331" i="3"/>
  <c r="BC1331" i="3" s="1"/>
  <c r="BN1330" i="3"/>
  <c r="BL1330" i="3"/>
  <c r="BM1330" i="3" s="1"/>
  <c r="BK1330" i="3"/>
  <c r="C1330" i="3"/>
  <c r="BC1330" i="3" s="1"/>
  <c r="BN1329" i="3"/>
  <c r="BL1329" i="3"/>
  <c r="BK1329" i="3"/>
  <c r="BM1329" i="3" s="1"/>
  <c r="BC1329" i="3"/>
  <c r="C1329" i="3"/>
  <c r="BN1328" i="3"/>
  <c r="BL1328" i="3"/>
  <c r="BK1328" i="3"/>
  <c r="BM1328" i="3" s="1"/>
  <c r="BC1328" i="3"/>
  <c r="BB1328" i="3"/>
  <c r="C1328" i="3"/>
  <c r="BN1327" i="3"/>
  <c r="BL1327" i="3"/>
  <c r="BK1327" i="3"/>
  <c r="BM1327" i="3" s="1"/>
  <c r="C1327" i="3"/>
  <c r="BC1327" i="3" s="1"/>
  <c r="BN1326" i="3"/>
  <c r="BM1326" i="3"/>
  <c r="BL1326" i="3"/>
  <c r="BK1326" i="3"/>
  <c r="C1326" i="3"/>
  <c r="BC1326" i="3" s="1"/>
  <c r="BN1325" i="3"/>
  <c r="BM1325" i="3"/>
  <c r="BL1325" i="3"/>
  <c r="BK1325" i="3"/>
  <c r="C1325" i="3"/>
  <c r="BC1325" i="3" s="1"/>
  <c r="BN1324" i="3"/>
  <c r="BL1324" i="3"/>
  <c r="BK1324" i="3"/>
  <c r="BM1324" i="3" s="1"/>
  <c r="C1324" i="3"/>
  <c r="BC1324" i="3" s="1"/>
  <c r="BN1323" i="3"/>
  <c r="BL1323" i="3"/>
  <c r="BK1323" i="3"/>
  <c r="BM1323" i="3" s="1"/>
  <c r="C1323" i="3"/>
  <c r="BC1323" i="3" s="1"/>
  <c r="BN1322" i="3"/>
  <c r="BM1322" i="3"/>
  <c r="BL1322" i="3"/>
  <c r="BK1322" i="3"/>
  <c r="C1322" i="3"/>
  <c r="BC1322" i="3" s="1"/>
  <c r="BN1321" i="3"/>
  <c r="BM1321" i="3"/>
  <c r="BL1321" i="3"/>
  <c r="BK1321" i="3"/>
  <c r="BC1321" i="3"/>
  <c r="C1321" i="3"/>
  <c r="BN1320" i="3"/>
  <c r="BL1320" i="3"/>
  <c r="BK1320" i="3"/>
  <c r="BM1320" i="3" s="1"/>
  <c r="C1320" i="3"/>
  <c r="BC1320" i="3" s="1"/>
  <c r="BN1319" i="3"/>
  <c r="BL1319" i="3"/>
  <c r="BK1319" i="3"/>
  <c r="BM1319" i="3" s="1"/>
  <c r="C1319" i="3"/>
  <c r="BC1319" i="3" s="1"/>
  <c r="BN1318" i="3"/>
  <c r="BM1318" i="3"/>
  <c r="BL1318" i="3"/>
  <c r="BK1318" i="3"/>
  <c r="C1318" i="3"/>
  <c r="BC1318" i="3" s="1"/>
  <c r="BN1317" i="3"/>
  <c r="BM1317" i="3"/>
  <c r="BL1317" i="3"/>
  <c r="BK1317" i="3"/>
  <c r="BC1317" i="3"/>
  <c r="C1317" i="3"/>
  <c r="BN1316" i="3"/>
  <c r="BL1316" i="3"/>
  <c r="BK1316" i="3"/>
  <c r="BM1316" i="3" s="1"/>
  <c r="C1316" i="3"/>
  <c r="BC1316" i="3" s="1"/>
  <c r="BN1315" i="3"/>
  <c r="BL1315" i="3"/>
  <c r="BK1315" i="3"/>
  <c r="BM1315" i="3" s="1"/>
  <c r="C1315" i="3"/>
  <c r="BC1315" i="3" s="1"/>
  <c r="BN1314" i="3"/>
  <c r="BM1314" i="3"/>
  <c r="BL1314" i="3"/>
  <c r="BK1314" i="3"/>
  <c r="C1314" i="3"/>
  <c r="BC1314" i="3" s="1"/>
  <c r="BN1313" i="3"/>
  <c r="BM1313" i="3"/>
  <c r="BL1313" i="3"/>
  <c r="BK1313" i="3"/>
  <c r="C1313" i="3"/>
  <c r="BC1313" i="3" s="1"/>
  <c r="BN1312" i="3"/>
  <c r="BL1312" i="3"/>
  <c r="BK1312" i="3"/>
  <c r="BM1312" i="3" s="1"/>
  <c r="C1312" i="3"/>
  <c r="BC1312" i="3" s="1"/>
  <c r="BN1311" i="3"/>
  <c r="BL1311" i="3"/>
  <c r="BK1311" i="3"/>
  <c r="BM1311" i="3" s="1"/>
  <c r="C1311" i="3"/>
  <c r="BC1311" i="3" s="1"/>
  <c r="BN1310" i="3"/>
  <c r="BM1310" i="3"/>
  <c r="BL1310" i="3"/>
  <c r="BK1310" i="3"/>
  <c r="C1310" i="3"/>
  <c r="BC1310" i="3" s="1"/>
  <c r="BN1309" i="3"/>
  <c r="BM1309" i="3"/>
  <c r="BL1309" i="3"/>
  <c r="BK1309" i="3"/>
  <c r="BC1309" i="3"/>
  <c r="C1309" i="3"/>
  <c r="BN1308" i="3"/>
  <c r="BL1308" i="3"/>
  <c r="BK1308" i="3"/>
  <c r="BM1308" i="3" s="1"/>
  <c r="C1308" i="3"/>
  <c r="BC1308" i="3" s="1"/>
  <c r="BN1307" i="3"/>
  <c r="BL1307" i="3"/>
  <c r="BK1307" i="3"/>
  <c r="BM1307" i="3" s="1"/>
  <c r="C1307" i="3"/>
  <c r="BC1307" i="3" s="1"/>
  <c r="BN1306" i="3"/>
  <c r="BM1306" i="3"/>
  <c r="BL1306" i="3"/>
  <c r="BK1306" i="3"/>
  <c r="C1306" i="3"/>
  <c r="BC1306" i="3" s="1"/>
  <c r="BN1305" i="3"/>
  <c r="BM1305" i="3"/>
  <c r="BL1305" i="3"/>
  <c r="BK1305" i="3"/>
  <c r="C1305" i="3"/>
  <c r="BC1305" i="3" s="1"/>
  <c r="BN1304" i="3"/>
  <c r="BL1304" i="3"/>
  <c r="BK1304" i="3"/>
  <c r="BM1304" i="3" s="1"/>
  <c r="C1304" i="3"/>
  <c r="BC1304" i="3" s="1"/>
  <c r="BN1303" i="3"/>
  <c r="BL1303" i="3"/>
  <c r="BK1303" i="3"/>
  <c r="BM1303" i="3" s="1"/>
  <c r="C1303" i="3"/>
  <c r="BC1303" i="3" s="1"/>
  <c r="BN1302" i="3"/>
  <c r="BM1302" i="3"/>
  <c r="BL1302" i="3"/>
  <c r="BK1302" i="3"/>
  <c r="C1302" i="3"/>
  <c r="BC1302" i="3" s="1"/>
  <c r="BN1301" i="3"/>
  <c r="BM1301" i="3"/>
  <c r="BL1301" i="3"/>
  <c r="BK1301" i="3"/>
  <c r="C1301" i="3"/>
  <c r="BC1301" i="3" s="1"/>
  <c r="BN1300" i="3"/>
  <c r="BL1300" i="3"/>
  <c r="BK1300" i="3"/>
  <c r="BM1300" i="3" s="1"/>
  <c r="C1300" i="3"/>
  <c r="BC1300" i="3" s="1"/>
  <c r="BN1299" i="3"/>
  <c r="BL1299" i="3"/>
  <c r="BK1299" i="3"/>
  <c r="BM1299" i="3" s="1"/>
  <c r="C1299" i="3"/>
  <c r="BC1299" i="3" s="1"/>
  <c r="BN1298" i="3"/>
  <c r="BM1298" i="3"/>
  <c r="BL1298" i="3"/>
  <c r="BK1298" i="3"/>
  <c r="C1298" i="3"/>
  <c r="BC1298" i="3" s="1"/>
  <c r="BN1297" i="3"/>
  <c r="BM1297" i="3"/>
  <c r="BL1297" i="3"/>
  <c r="BK1297" i="3"/>
  <c r="C1297" i="3"/>
  <c r="BC1297" i="3" s="1"/>
  <c r="BN1296" i="3"/>
  <c r="BL1296" i="3"/>
  <c r="BK1296" i="3"/>
  <c r="BM1296" i="3" s="1"/>
  <c r="C1296" i="3"/>
  <c r="BC1296" i="3" s="1"/>
  <c r="BN1295" i="3"/>
  <c r="BL1295" i="3"/>
  <c r="BK1295" i="3"/>
  <c r="BM1295" i="3" s="1"/>
  <c r="C1295" i="3"/>
  <c r="BC1295" i="3" s="1"/>
  <c r="BN1294" i="3"/>
  <c r="BM1294" i="3"/>
  <c r="BL1294" i="3"/>
  <c r="BK1294" i="3"/>
  <c r="C1294" i="3"/>
  <c r="BC1294" i="3" s="1"/>
  <c r="BN1293" i="3"/>
  <c r="BM1293" i="3"/>
  <c r="BL1293" i="3"/>
  <c r="BK1293" i="3"/>
  <c r="C1293" i="3"/>
  <c r="BC1293" i="3" s="1"/>
  <c r="BN1292" i="3"/>
  <c r="BL1292" i="3"/>
  <c r="BK1292" i="3"/>
  <c r="BM1292" i="3" s="1"/>
  <c r="C1292" i="3"/>
  <c r="BC1292" i="3" s="1"/>
  <c r="BN1291" i="3"/>
  <c r="BL1291" i="3"/>
  <c r="BK1291" i="3"/>
  <c r="BM1291" i="3" s="1"/>
  <c r="C1291" i="3"/>
  <c r="BC1291" i="3" s="1"/>
  <c r="BN1290" i="3"/>
  <c r="BM1290" i="3"/>
  <c r="BL1290" i="3"/>
  <c r="BK1290" i="3"/>
  <c r="C1290" i="3"/>
  <c r="BC1290" i="3" s="1"/>
  <c r="BN1289" i="3"/>
  <c r="BM1289" i="3"/>
  <c r="BL1289" i="3"/>
  <c r="BK1289" i="3"/>
  <c r="C1289" i="3"/>
  <c r="BC1289" i="3" s="1"/>
  <c r="BN1288" i="3"/>
  <c r="BL1288" i="3"/>
  <c r="BK1288" i="3"/>
  <c r="BM1288" i="3" s="1"/>
  <c r="C1288" i="3"/>
  <c r="BC1288" i="3" s="1"/>
  <c r="BN1287" i="3"/>
  <c r="BL1287" i="3"/>
  <c r="BK1287" i="3"/>
  <c r="BM1287" i="3" s="1"/>
  <c r="C1287" i="3"/>
  <c r="BC1287" i="3" s="1"/>
  <c r="BN1286" i="3"/>
  <c r="BM1286" i="3"/>
  <c r="BL1286" i="3"/>
  <c r="BK1286" i="3"/>
  <c r="C1286" i="3"/>
  <c r="BC1286" i="3" s="1"/>
  <c r="BN1285" i="3"/>
  <c r="BM1285" i="3"/>
  <c r="BL1285" i="3"/>
  <c r="BK1285" i="3"/>
  <c r="C1285" i="3"/>
  <c r="BC1285" i="3" s="1"/>
  <c r="BN1284" i="3"/>
  <c r="BL1284" i="3"/>
  <c r="BK1284" i="3"/>
  <c r="BM1284" i="3" s="1"/>
  <c r="C1284" i="3"/>
  <c r="BC1284" i="3" s="1"/>
  <c r="BN1283" i="3"/>
  <c r="BL1283" i="3"/>
  <c r="BK1283" i="3"/>
  <c r="BM1283" i="3" s="1"/>
  <c r="C1283" i="3"/>
  <c r="BC1283" i="3" s="1"/>
  <c r="BN1282" i="3"/>
  <c r="BM1282" i="3"/>
  <c r="BL1282" i="3"/>
  <c r="BK1282" i="3"/>
  <c r="C1282" i="3"/>
  <c r="BC1282" i="3" s="1"/>
  <c r="BN1281" i="3"/>
  <c r="BM1281" i="3"/>
  <c r="BL1281" i="3"/>
  <c r="BK1281" i="3"/>
  <c r="C1281" i="3"/>
  <c r="BC1281" i="3" s="1"/>
  <c r="BN1280" i="3"/>
  <c r="BL1280" i="3"/>
  <c r="BK1280" i="3"/>
  <c r="BM1280" i="3" s="1"/>
  <c r="C1280" i="3"/>
  <c r="BC1280" i="3" s="1"/>
  <c r="BN1279" i="3"/>
  <c r="BL1279" i="3"/>
  <c r="BK1279" i="3"/>
  <c r="BM1279" i="3" s="1"/>
  <c r="C1279" i="3"/>
  <c r="BC1279" i="3" s="1"/>
  <c r="BN1278" i="3"/>
  <c r="BM1278" i="3"/>
  <c r="BL1278" i="3"/>
  <c r="BK1278" i="3"/>
  <c r="C1278" i="3"/>
  <c r="BC1278" i="3" s="1"/>
  <c r="BN1277" i="3"/>
  <c r="BM1277" i="3"/>
  <c r="BL1277" i="3"/>
  <c r="BK1277" i="3"/>
  <c r="BC1277" i="3"/>
  <c r="C1277" i="3"/>
  <c r="BN1276" i="3"/>
  <c r="BL1276" i="3"/>
  <c r="BK1276" i="3"/>
  <c r="BM1276" i="3" s="1"/>
  <c r="C1276" i="3"/>
  <c r="BC1276" i="3" s="1"/>
  <c r="BN1275" i="3"/>
  <c r="BL1275" i="3"/>
  <c r="BK1275" i="3"/>
  <c r="BM1275" i="3" s="1"/>
  <c r="C1275" i="3"/>
  <c r="BC1275" i="3" s="1"/>
  <c r="BN1274" i="3"/>
  <c r="BL1274" i="3"/>
  <c r="BM1274" i="3" s="1"/>
  <c r="BK1274" i="3"/>
  <c r="C1274" i="3"/>
  <c r="BC1274" i="3" s="1"/>
  <c r="BN1273" i="3"/>
  <c r="BM1273" i="3"/>
  <c r="BL1273" i="3"/>
  <c r="BK1273" i="3"/>
  <c r="C1273" i="3"/>
  <c r="BC1273" i="3" s="1"/>
  <c r="BN1272" i="3"/>
  <c r="BL1272" i="3"/>
  <c r="BK1272" i="3"/>
  <c r="BM1272" i="3" s="1"/>
  <c r="BB1272" i="3"/>
  <c r="C1272" i="3"/>
  <c r="BC1272" i="3" s="1"/>
  <c r="BN1271" i="3"/>
  <c r="BL1271" i="3"/>
  <c r="BK1271" i="3"/>
  <c r="BM1271" i="3" s="1"/>
  <c r="C1271" i="3"/>
  <c r="BC1271" i="3" s="1"/>
  <c r="BN1270" i="3"/>
  <c r="BM1270" i="3"/>
  <c r="BL1270" i="3"/>
  <c r="BK1270" i="3"/>
  <c r="C1270" i="3"/>
  <c r="BC1270" i="3" s="1"/>
  <c r="BN1269" i="3"/>
  <c r="BL1269" i="3"/>
  <c r="BK1269" i="3"/>
  <c r="BM1269" i="3" s="1"/>
  <c r="BB1269" i="3"/>
  <c r="C1269" i="3"/>
  <c r="BC1269" i="3" s="1"/>
  <c r="BN1268" i="3"/>
  <c r="BM1268" i="3"/>
  <c r="BL1268" i="3"/>
  <c r="BK1268" i="3"/>
  <c r="BB1268" i="3"/>
  <c r="C1268" i="3"/>
  <c r="BC1268" i="3" s="1"/>
  <c r="BN1267" i="3"/>
  <c r="BL1267" i="3"/>
  <c r="BK1267" i="3"/>
  <c r="BM1267" i="3" s="1"/>
  <c r="C1267" i="3"/>
  <c r="BC1267" i="3" s="1"/>
  <c r="BN1266" i="3"/>
  <c r="BL1266" i="3"/>
  <c r="BK1266" i="3"/>
  <c r="BM1266" i="3" s="1"/>
  <c r="C1266" i="3"/>
  <c r="BC1266" i="3" s="1"/>
  <c r="BN1265" i="3"/>
  <c r="BM1265" i="3"/>
  <c r="BL1265" i="3"/>
  <c r="BK1265" i="3"/>
  <c r="C1265" i="3"/>
  <c r="BC1265" i="3" s="1"/>
  <c r="BN1264" i="3"/>
  <c r="BL1264" i="3"/>
  <c r="BK1264" i="3"/>
  <c r="BM1264" i="3" s="1"/>
  <c r="C1264" i="3"/>
  <c r="BC1264" i="3" s="1"/>
  <c r="BN1263" i="3"/>
  <c r="BL1263" i="3"/>
  <c r="BK1263" i="3"/>
  <c r="BM1263" i="3" s="1"/>
  <c r="BC1263" i="3"/>
  <c r="C1263" i="3"/>
  <c r="BN1262" i="3"/>
  <c r="BL1262" i="3"/>
  <c r="BK1262" i="3"/>
  <c r="BM1262" i="3" s="1"/>
  <c r="BC1262" i="3"/>
  <c r="C1262" i="3"/>
  <c r="BN1261" i="3"/>
  <c r="BM1261" i="3"/>
  <c r="BL1261" i="3"/>
  <c r="BK1261" i="3"/>
  <c r="BC1261" i="3"/>
  <c r="C1261" i="3"/>
  <c r="BN1260" i="3"/>
  <c r="BL1260" i="3"/>
  <c r="BK1260" i="3"/>
  <c r="BM1260" i="3" s="1"/>
  <c r="BC1260" i="3"/>
  <c r="C1260" i="3"/>
  <c r="BN1259" i="3"/>
  <c r="BL1259" i="3"/>
  <c r="BK1259" i="3"/>
  <c r="BM1259" i="3" s="1"/>
  <c r="BC1259" i="3"/>
  <c r="C1259" i="3"/>
  <c r="BN1258" i="3"/>
  <c r="BL1258" i="3"/>
  <c r="BK1258" i="3"/>
  <c r="BM1258" i="3" s="1"/>
  <c r="BC1258" i="3"/>
  <c r="C1258" i="3"/>
  <c r="BN1257" i="3"/>
  <c r="BM1257" i="3"/>
  <c r="BL1257" i="3"/>
  <c r="BK1257" i="3"/>
  <c r="BC1257" i="3"/>
  <c r="C1257" i="3"/>
  <c r="BN1256" i="3"/>
  <c r="BL1256" i="3"/>
  <c r="BK1256" i="3"/>
  <c r="BM1256" i="3" s="1"/>
  <c r="BC1256" i="3"/>
  <c r="C1256" i="3"/>
  <c r="BN1255" i="3"/>
  <c r="BL1255" i="3"/>
  <c r="BK1255" i="3"/>
  <c r="BM1255" i="3" s="1"/>
  <c r="BC1255" i="3"/>
  <c r="C1255" i="3"/>
  <c r="BN1254" i="3"/>
  <c r="BL1254" i="3"/>
  <c r="BK1254" i="3"/>
  <c r="BM1254" i="3" s="1"/>
  <c r="BC1254" i="3"/>
  <c r="C1254" i="3"/>
  <c r="BN1253" i="3"/>
  <c r="BM1253" i="3"/>
  <c r="BL1253" i="3"/>
  <c r="BK1253" i="3"/>
  <c r="BC1253" i="3"/>
  <c r="C1253" i="3"/>
  <c r="BN1252" i="3"/>
  <c r="BL1252" i="3"/>
  <c r="BK1252" i="3"/>
  <c r="BM1252" i="3" s="1"/>
  <c r="C1252" i="3"/>
  <c r="BC1252" i="3" s="1"/>
  <c r="BN1251" i="3"/>
  <c r="BL1251" i="3"/>
  <c r="BK1251" i="3"/>
  <c r="BM1251" i="3" s="1"/>
  <c r="C1251" i="3"/>
  <c r="BC1251" i="3" s="1"/>
  <c r="BN1250" i="3"/>
  <c r="BL1250" i="3"/>
  <c r="BK1250" i="3"/>
  <c r="BM1250" i="3" s="1"/>
  <c r="C1250" i="3"/>
  <c r="BC1250" i="3" s="1"/>
  <c r="BN1249" i="3"/>
  <c r="BM1249" i="3"/>
  <c r="BL1249" i="3"/>
  <c r="BK1249" i="3"/>
  <c r="C1249" i="3"/>
  <c r="BC1249" i="3" s="1"/>
  <c r="BN1248" i="3"/>
  <c r="BL1248" i="3"/>
  <c r="BK1248" i="3"/>
  <c r="BM1248" i="3" s="1"/>
  <c r="BC1248" i="3"/>
  <c r="C1248" i="3"/>
  <c r="BN1247" i="3"/>
  <c r="BL1247" i="3"/>
  <c r="BK1247" i="3"/>
  <c r="BM1247" i="3" s="1"/>
  <c r="C1247" i="3"/>
  <c r="BC1247" i="3" s="1"/>
  <c r="BN1246" i="3"/>
  <c r="BL1246" i="3"/>
  <c r="BK1246" i="3"/>
  <c r="BM1246" i="3" s="1"/>
  <c r="C1246" i="3"/>
  <c r="BC1246" i="3" s="1"/>
  <c r="BN1245" i="3"/>
  <c r="BM1245" i="3"/>
  <c r="BL1245" i="3"/>
  <c r="BK1245" i="3"/>
  <c r="C1245" i="3"/>
  <c r="BC1245" i="3" s="1"/>
  <c r="BN1244" i="3"/>
  <c r="BL1244" i="3"/>
  <c r="BK1244" i="3"/>
  <c r="BM1244" i="3" s="1"/>
  <c r="BC1244" i="3"/>
  <c r="C1244" i="3"/>
  <c r="BN1243" i="3"/>
  <c r="BL1243" i="3"/>
  <c r="BK1243" i="3"/>
  <c r="BM1243" i="3" s="1"/>
  <c r="BC1243" i="3"/>
  <c r="C1243" i="3"/>
  <c r="BN1242" i="3"/>
  <c r="BL1242" i="3"/>
  <c r="BK1242" i="3"/>
  <c r="BM1242" i="3" s="1"/>
  <c r="BC1242" i="3"/>
  <c r="BB1242" i="3"/>
  <c r="C1242" i="3"/>
  <c r="BN1241" i="3"/>
  <c r="BL1241" i="3"/>
  <c r="BK1241" i="3"/>
  <c r="BM1241" i="3" s="1"/>
  <c r="C1241" i="3"/>
  <c r="BC1241" i="3" s="1"/>
  <c r="BN1240" i="3"/>
  <c r="BM1240" i="3"/>
  <c r="BL1240" i="3"/>
  <c r="BK1240" i="3"/>
  <c r="C1240" i="3"/>
  <c r="BC1240" i="3" s="1"/>
  <c r="BN1239" i="3"/>
  <c r="BM1239" i="3"/>
  <c r="BL1239" i="3"/>
  <c r="BK1239" i="3"/>
  <c r="BC1239" i="3"/>
  <c r="C1239" i="3"/>
  <c r="BN1238" i="3"/>
  <c r="BL1238" i="3"/>
  <c r="BK1238" i="3"/>
  <c r="BM1238" i="3" s="1"/>
  <c r="C1238" i="3"/>
  <c r="BC1238" i="3" s="1"/>
  <c r="BN1237" i="3"/>
  <c r="BL1237" i="3"/>
  <c r="BK1237" i="3"/>
  <c r="BM1237" i="3" s="1"/>
  <c r="C1237" i="3"/>
  <c r="BC1237" i="3" s="1"/>
  <c r="BN1236" i="3"/>
  <c r="BM1236" i="3"/>
  <c r="BL1236" i="3"/>
  <c r="BK1236" i="3"/>
  <c r="C1236" i="3"/>
  <c r="BC1236" i="3" s="1"/>
  <c r="BN1235" i="3"/>
  <c r="BM1235" i="3"/>
  <c r="BL1235" i="3"/>
  <c r="BK1235" i="3"/>
  <c r="BC1235" i="3"/>
  <c r="C1235" i="3"/>
  <c r="BN1234" i="3"/>
  <c r="BL1234" i="3"/>
  <c r="BK1234" i="3"/>
  <c r="BM1234" i="3" s="1"/>
  <c r="C1234" i="3"/>
  <c r="BC1234" i="3" s="1"/>
  <c r="BN1233" i="3"/>
  <c r="BL1233" i="3"/>
  <c r="BK1233" i="3"/>
  <c r="BM1233" i="3" s="1"/>
  <c r="C1233" i="3"/>
  <c r="BC1233" i="3" s="1"/>
  <c r="BN1232" i="3"/>
  <c r="BM1232" i="3"/>
  <c r="BL1232" i="3"/>
  <c r="BK1232" i="3"/>
  <c r="C1232" i="3"/>
  <c r="BC1232" i="3" s="1"/>
  <c r="BN1231" i="3"/>
  <c r="BM1231" i="3"/>
  <c r="BL1231" i="3"/>
  <c r="BK1231" i="3"/>
  <c r="BC1231" i="3"/>
  <c r="C1231" i="3"/>
  <c r="BK1230" i="3"/>
  <c r="C1230" i="3"/>
  <c r="BK1229" i="3"/>
  <c r="C1229" i="3"/>
  <c r="BK1228" i="3"/>
  <c r="C1228" i="3"/>
  <c r="BK1227" i="3"/>
  <c r="C1227" i="3"/>
  <c r="BK1226" i="3"/>
  <c r="C1226" i="3"/>
  <c r="BK1225" i="3"/>
  <c r="C1225" i="3"/>
  <c r="BK1224" i="3"/>
  <c r="C1224" i="3"/>
  <c r="BK1223" i="3"/>
  <c r="C1223" i="3"/>
  <c r="BK1222" i="3"/>
  <c r="C1222" i="3"/>
  <c r="BK1221" i="3"/>
  <c r="C1221" i="3"/>
  <c r="BK1220" i="3"/>
  <c r="C1220" i="3"/>
  <c r="BK1219" i="3"/>
  <c r="C1219" i="3"/>
  <c r="BK1218" i="3"/>
  <c r="C1218" i="3"/>
  <c r="BK1217" i="3"/>
  <c r="C1217" i="3"/>
  <c r="BK1216" i="3"/>
  <c r="C1216" i="3"/>
  <c r="BK1215" i="3"/>
  <c r="C1215" i="3"/>
  <c r="BK1214" i="3"/>
  <c r="C1214" i="3"/>
  <c r="BK1213" i="3"/>
  <c r="C1213" i="3"/>
  <c r="BK1212" i="3"/>
  <c r="C1212" i="3"/>
  <c r="BK1211" i="3"/>
  <c r="C1211" i="3"/>
  <c r="BK1210" i="3"/>
  <c r="C1210" i="3"/>
  <c r="BK1209" i="3"/>
  <c r="C1209" i="3"/>
  <c r="BK1208" i="3"/>
  <c r="C1208" i="3"/>
  <c r="BK1207" i="3"/>
  <c r="C1207" i="3"/>
  <c r="BK1206" i="3"/>
  <c r="C1206" i="3"/>
  <c r="BK1205" i="3"/>
  <c r="C1205" i="3"/>
  <c r="BK1204" i="3"/>
  <c r="C1204" i="3"/>
  <c r="BK1203" i="3"/>
  <c r="C1203" i="3"/>
  <c r="BK1202" i="3"/>
  <c r="C1202" i="3"/>
  <c r="BK1201" i="3"/>
  <c r="C1201" i="3"/>
  <c r="BK1200" i="3"/>
  <c r="C1200" i="3"/>
  <c r="BK1199" i="3"/>
  <c r="C1199" i="3"/>
  <c r="BK1198" i="3"/>
  <c r="C1198" i="3"/>
  <c r="BK1197" i="3"/>
  <c r="C1197" i="3"/>
  <c r="BK1196" i="3"/>
  <c r="C1196" i="3"/>
  <c r="BK1195" i="3"/>
  <c r="C1195" i="3"/>
  <c r="BK1194" i="3"/>
  <c r="C1194" i="3"/>
  <c r="BK1193" i="3"/>
  <c r="C1193" i="3"/>
  <c r="BK1192" i="3"/>
  <c r="C1192" i="3"/>
  <c r="BK1191" i="3"/>
  <c r="C1191" i="3"/>
  <c r="BK1190" i="3"/>
  <c r="C1190" i="3"/>
  <c r="BK1189" i="3"/>
  <c r="C1189" i="3"/>
  <c r="BK1188" i="3"/>
  <c r="C1188" i="3"/>
  <c r="BK1187" i="3"/>
  <c r="C1187" i="3"/>
  <c r="BK1186" i="3"/>
  <c r="C1186" i="3"/>
  <c r="BK1185" i="3"/>
  <c r="C1185" i="3"/>
  <c r="BK1184" i="3"/>
  <c r="C1184" i="3"/>
  <c r="BK1183" i="3"/>
  <c r="C1183" i="3"/>
  <c r="BK1182" i="3"/>
  <c r="C1182" i="3"/>
  <c r="BK1181" i="3"/>
  <c r="C1181" i="3"/>
  <c r="BK1180" i="3"/>
  <c r="C1180" i="3"/>
  <c r="BK1179" i="3"/>
  <c r="C1179" i="3"/>
  <c r="BK1178" i="3"/>
  <c r="C1178" i="3"/>
  <c r="BK1177" i="3"/>
  <c r="C1177" i="3"/>
  <c r="BK1176" i="3"/>
  <c r="C1176" i="3"/>
  <c r="BK1175" i="3"/>
  <c r="C1175" i="3"/>
  <c r="BK1174" i="3"/>
  <c r="C1174" i="3"/>
  <c r="BK1173" i="3"/>
  <c r="C1173" i="3"/>
  <c r="BK1172" i="3"/>
  <c r="C1172" i="3"/>
  <c r="BK1171" i="3"/>
  <c r="C1171" i="3"/>
  <c r="BK1170" i="3"/>
  <c r="C1170" i="3"/>
  <c r="BK1169" i="3"/>
  <c r="C1169" i="3"/>
  <c r="BK1168" i="3"/>
  <c r="C1168" i="3"/>
  <c r="BK1167" i="3"/>
  <c r="C1167" i="3"/>
  <c r="BK1166" i="3"/>
  <c r="C1166" i="3"/>
  <c r="BK1165" i="3"/>
  <c r="C1165" i="3"/>
  <c r="BK1164" i="3"/>
  <c r="C1164" i="3"/>
  <c r="BK1163" i="3"/>
  <c r="C1163" i="3"/>
  <c r="BK1162" i="3"/>
  <c r="C1162" i="3"/>
  <c r="BK1161" i="3"/>
  <c r="C1161" i="3"/>
  <c r="BK1160" i="3"/>
  <c r="C1160" i="3"/>
  <c r="BK1159" i="3"/>
  <c r="C1159" i="3"/>
  <c r="BK1158" i="3"/>
  <c r="C1158" i="3"/>
  <c r="BK1157" i="3"/>
  <c r="C1157" i="3"/>
  <c r="BK1156" i="3"/>
  <c r="C1156" i="3"/>
  <c r="BK1155" i="3"/>
  <c r="C1155" i="3"/>
  <c r="BK1154" i="3"/>
  <c r="C1154" i="3"/>
  <c r="BK1153" i="3"/>
  <c r="C1153" i="3"/>
  <c r="BK1152" i="3"/>
  <c r="C1152" i="3"/>
  <c r="BK1151" i="3"/>
  <c r="C1151" i="3"/>
  <c r="BK1150" i="3"/>
  <c r="C1150" i="3"/>
  <c r="BK1149" i="3"/>
  <c r="C1149" i="3"/>
  <c r="BK1148" i="3"/>
  <c r="C1148" i="3"/>
  <c r="BK1147" i="3"/>
  <c r="C1147" i="3"/>
  <c r="BK1146" i="3"/>
  <c r="C1146" i="3"/>
  <c r="BK1145" i="3"/>
  <c r="C1145" i="3"/>
  <c r="BK1144" i="3"/>
  <c r="C1144" i="3"/>
  <c r="BK1143" i="3"/>
  <c r="C1143" i="3"/>
  <c r="BK1142" i="3"/>
  <c r="C1142" i="3"/>
  <c r="BK1141" i="3"/>
  <c r="C1141" i="3"/>
  <c r="BK1140" i="3"/>
  <c r="C1140" i="3"/>
  <c r="BK1139" i="3"/>
  <c r="C1139" i="3"/>
  <c r="BK1138" i="3"/>
  <c r="C1138" i="3"/>
  <c r="BK1137" i="3"/>
  <c r="C1137" i="3"/>
  <c r="BK1136" i="3"/>
  <c r="C1136" i="3"/>
  <c r="BK1135" i="3"/>
  <c r="C1135" i="3"/>
  <c r="BK1134" i="3"/>
  <c r="C1134" i="3"/>
  <c r="BK1133" i="3"/>
  <c r="C1133" i="3"/>
  <c r="BK1132" i="3"/>
  <c r="C1132" i="3"/>
  <c r="BK1131" i="3"/>
  <c r="C1131" i="3"/>
  <c r="BK1130" i="3"/>
  <c r="C1130" i="3"/>
  <c r="BK1129" i="3"/>
  <c r="C1129" i="3"/>
  <c r="BK1128" i="3"/>
  <c r="C1128" i="3"/>
  <c r="BK1127" i="3"/>
  <c r="C1127" i="3"/>
  <c r="BK1126" i="3"/>
  <c r="C1126" i="3"/>
  <c r="BK1125" i="3"/>
  <c r="C1125" i="3"/>
  <c r="BK1124" i="3"/>
  <c r="C1124" i="3"/>
  <c r="BK1123" i="3"/>
  <c r="C1123" i="3"/>
  <c r="BK1122" i="3"/>
  <c r="C1122" i="3"/>
  <c r="BK1121" i="3"/>
  <c r="C1121" i="3"/>
  <c r="BK1120" i="3"/>
  <c r="C1120" i="3"/>
  <c r="BK1119" i="3"/>
  <c r="C1119" i="3"/>
  <c r="BK1118" i="3"/>
  <c r="C1118" i="3"/>
  <c r="BK1117" i="3"/>
  <c r="C1117" i="3"/>
  <c r="BK1116" i="3"/>
  <c r="C1116" i="3"/>
  <c r="BK1115" i="3"/>
  <c r="C1115" i="3"/>
  <c r="BK1114" i="3"/>
  <c r="C1114" i="3"/>
  <c r="BK1113" i="3"/>
  <c r="C1113" i="3"/>
  <c r="BK1112" i="3"/>
  <c r="C1112" i="3"/>
  <c r="BK1111" i="3"/>
  <c r="C1111" i="3"/>
  <c r="BK1110" i="3"/>
  <c r="C1110" i="3"/>
  <c r="BK1109" i="3"/>
  <c r="C1109" i="3"/>
  <c r="BK1108" i="3"/>
  <c r="C1108" i="3"/>
  <c r="BK1107" i="3"/>
  <c r="C1107" i="3"/>
  <c r="BK1106" i="3"/>
  <c r="C1106" i="3"/>
  <c r="BK1105" i="3"/>
  <c r="C1105" i="3"/>
  <c r="BK1104" i="3"/>
  <c r="C1104" i="3"/>
  <c r="BK1103" i="3"/>
  <c r="C1103" i="3"/>
  <c r="BK1102" i="3"/>
  <c r="C1102" i="3"/>
  <c r="BK1101" i="3"/>
  <c r="C1101" i="3"/>
  <c r="BK1100" i="3"/>
  <c r="C1100" i="3"/>
  <c r="BK1099" i="3"/>
  <c r="C1099" i="3"/>
  <c r="BK1098" i="3"/>
  <c r="C1098" i="3"/>
  <c r="BK1097" i="3"/>
  <c r="C1097" i="3"/>
  <c r="BK1096" i="3"/>
  <c r="C1096" i="3"/>
  <c r="BK1095" i="3"/>
  <c r="C1095" i="3"/>
  <c r="BK1094" i="3"/>
  <c r="C1094" i="3"/>
  <c r="BK1093" i="3"/>
  <c r="C1093" i="3"/>
  <c r="BK1092" i="3"/>
  <c r="C1092" i="3"/>
  <c r="BK1091" i="3"/>
  <c r="C1091" i="3"/>
  <c r="BK1090" i="3"/>
  <c r="C1090" i="3"/>
  <c r="BK1089" i="3"/>
  <c r="C1089" i="3"/>
  <c r="BK1088" i="3"/>
  <c r="C1088" i="3"/>
  <c r="BK1087" i="3"/>
  <c r="C1087" i="3"/>
  <c r="BK1086" i="3"/>
  <c r="C1086" i="3"/>
  <c r="BK1085" i="3"/>
  <c r="C1085" i="3"/>
  <c r="BK1084" i="3"/>
  <c r="C1084" i="3"/>
  <c r="BK1083" i="3"/>
  <c r="C1083" i="3"/>
  <c r="BK1082" i="3"/>
  <c r="C1082" i="3"/>
  <c r="BK1081" i="3"/>
  <c r="C1081" i="3"/>
  <c r="BK1080" i="3"/>
  <c r="C1080" i="3"/>
  <c r="BK1079" i="3"/>
  <c r="C1079" i="3"/>
  <c r="BK1078" i="3"/>
  <c r="C1078" i="3"/>
  <c r="BK1077" i="3"/>
  <c r="C1077" i="3"/>
  <c r="BK1076" i="3"/>
  <c r="C1076" i="3"/>
  <c r="BK1075" i="3"/>
  <c r="C1075" i="3"/>
  <c r="BK1074" i="3"/>
  <c r="C1074" i="3"/>
  <c r="BK1073" i="3"/>
  <c r="C1073" i="3"/>
  <c r="BK1072" i="3"/>
  <c r="C1072" i="3"/>
  <c r="BK1071" i="3"/>
  <c r="C1071" i="3"/>
  <c r="BK1070" i="3"/>
  <c r="C1070" i="3"/>
  <c r="BK1069" i="3"/>
  <c r="C1069" i="3"/>
  <c r="BK1068" i="3"/>
  <c r="C1068" i="3"/>
  <c r="BK1067" i="3"/>
  <c r="C1067" i="3"/>
  <c r="BK1066" i="3"/>
  <c r="C1066" i="3"/>
  <c r="BK1065" i="3"/>
  <c r="C1065" i="3"/>
  <c r="BK1064" i="3"/>
  <c r="C1064" i="3"/>
  <c r="BK1063" i="3"/>
  <c r="C1063" i="3"/>
  <c r="BK1062" i="3"/>
  <c r="C1062" i="3"/>
  <c r="BK1061" i="3"/>
  <c r="C1061" i="3"/>
  <c r="BK1060" i="3"/>
  <c r="C1060" i="3"/>
  <c r="BK1059" i="3"/>
  <c r="C1059" i="3"/>
  <c r="BK1058" i="3"/>
  <c r="C1058" i="3"/>
  <c r="BK1057" i="3"/>
  <c r="C1057" i="3"/>
  <c r="BK1056" i="3"/>
  <c r="C1056" i="3"/>
  <c r="BK1055" i="3"/>
  <c r="C1055" i="3"/>
  <c r="BK1054" i="3"/>
  <c r="C1054" i="3"/>
  <c r="BK1053" i="3"/>
  <c r="C1053" i="3"/>
  <c r="BK1052" i="3"/>
  <c r="C1052" i="3"/>
  <c r="BK1051" i="3"/>
  <c r="C1051" i="3"/>
  <c r="BK1050" i="3"/>
  <c r="C1050" i="3"/>
  <c r="BK1049" i="3"/>
  <c r="C1049" i="3"/>
  <c r="BK1048" i="3"/>
  <c r="C1048" i="3"/>
  <c r="BK1047" i="3"/>
  <c r="C1047" i="3"/>
  <c r="BK1046" i="3"/>
  <c r="C1046" i="3"/>
  <c r="BK1045" i="3"/>
  <c r="C1045" i="3"/>
  <c r="BK1044" i="3"/>
  <c r="C1044" i="3"/>
  <c r="BK1043" i="3"/>
  <c r="C1043" i="3"/>
  <c r="BK1042" i="3"/>
  <c r="C1042" i="3"/>
  <c r="BK1041" i="3"/>
  <c r="C1041" i="3"/>
  <c r="BK1040" i="3"/>
  <c r="C1040" i="3"/>
  <c r="BK1039" i="3"/>
  <c r="C1039" i="3"/>
  <c r="BK1038" i="3"/>
  <c r="C1038" i="3"/>
  <c r="BK1037" i="3"/>
  <c r="C1037" i="3"/>
  <c r="BK1036" i="3"/>
  <c r="C1036" i="3"/>
  <c r="BK1035" i="3"/>
  <c r="C1035" i="3"/>
  <c r="BK1034" i="3"/>
  <c r="C1034" i="3"/>
  <c r="BK1033" i="3"/>
  <c r="C1033" i="3"/>
  <c r="BK1032" i="3"/>
  <c r="C1032" i="3"/>
  <c r="BK1031" i="3"/>
  <c r="C1031" i="3"/>
  <c r="BK1030" i="3"/>
  <c r="C1030" i="3"/>
  <c r="BK1029" i="3"/>
  <c r="C1029" i="3"/>
  <c r="BK1028" i="3"/>
  <c r="C1028" i="3"/>
  <c r="BK1027" i="3"/>
  <c r="C1027" i="3"/>
  <c r="BK1026" i="3"/>
  <c r="C1026" i="3"/>
  <c r="BK1025" i="3"/>
  <c r="C1025" i="3"/>
  <c r="BK1024" i="3"/>
  <c r="C1024" i="3"/>
  <c r="BK1023" i="3"/>
  <c r="C1023" i="3"/>
  <c r="BK1022" i="3"/>
  <c r="C1022" i="3"/>
  <c r="BK1021" i="3"/>
  <c r="C1021" i="3"/>
  <c r="BK1020" i="3"/>
  <c r="C1020" i="3"/>
  <c r="BK1019" i="3"/>
  <c r="C1019" i="3"/>
  <c r="BK1018" i="3"/>
  <c r="C1018" i="3"/>
  <c r="BK1017" i="3"/>
  <c r="C1017" i="3"/>
  <c r="BK1016" i="3"/>
  <c r="C1016" i="3"/>
  <c r="BK1015" i="3"/>
  <c r="C1015" i="3"/>
  <c r="BK1014" i="3"/>
  <c r="C1014" i="3"/>
  <c r="BK1013" i="3"/>
  <c r="C1013" i="3"/>
  <c r="BK1012" i="3"/>
  <c r="C1012" i="3"/>
  <c r="BK1011" i="3"/>
  <c r="C1011" i="3"/>
  <c r="BK1010" i="3"/>
  <c r="C1010" i="3"/>
  <c r="BK1009" i="3"/>
  <c r="C1009" i="3"/>
  <c r="BK1008" i="3"/>
  <c r="C1008" i="3"/>
  <c r="BK1007" i="3"/>
  <c r="C1007" i="3"/>
  <c r="BK1006" i="3"/>
  <c r="C1006" i="3"/>
  <c r="BK1005" i="3"/>
  <c r="C1005" i="3"/>
  <c r="BK1004" i="3"/>
  <c r="C1004" i="3"/>
  <c r="BK1003" i="3"/>
  <c r="C1003" i="3"/>
  <c r="BK1002" i="3"/>
  <c r="C1002" i="3"/>
  <c r="BK1001" i="3"/>
  <c r="C1001" i="3"/>
  <c r="BK1000" i="3"/>
  <c r="C1000" i="3"/>
  <c r="BK999" i="3"/>
  <c r="C999" i="3"/>
  <c r="BK998" i="3"/>
  <c r="C998" i="3"/>
  <c r="BK997" i="3"/>
  <c r="C997" i="3"/>
  <c r="BK996" i="3"/>
  <c r="C996" i="3"/>
  <c r="BK995" i="3"/>
  <c r="C995" i="3"/>
  <c r="BK994" i="3"/>
  <c r="C994" i="3"/>
  <c r="BK993" i="3"/>
  <c r="C993" i="3"/>
  <c r="BK992" i="3"/>
  <c r="C992" i="3"/>
  <c r="BK991" i="3"/>
  <c r="C991" i="3"/>
  <c r="BK990" i="3"/>
  <c r="C990" i="3"/>
  <c r="BK989" i="3"/>
  <c r="C989" i="3"/>
  <c r="BK988" i="3"/>
  <c r="C988" i="3"/>
  <c r="BK987" i="3"/>
  <c r="C987" i="3"/>
  <c r="BK986" i="3"/>
  <c r="C986" i="3"/>
  <c r="BK985" i="3"/>
  <c r="C985" i="3"/>
  <c r="BK984" i="3"/>
  <c r="C984" i="3"/>
  <c r="BK983" i="3"/>
  <c r="C983" i="3"/>
  <c r="BK982" i="3"/>
  <c r="C982" i="3"/>
  <c r="BK981" i="3"/>
  <c r="C981" i="3"/>
  <c r="BK980" i="3"/>
  <c r="C980" i="3"/>
  <c r="BK979" i="3"/>
  <c r="C979" i="3"/>
  <c r="BK978" i="3"/>
  <c r="C978" i="3"/>
  <c r="BK977" i="3"/>
  <c r="C977" i="3"/>
  <c r="BK976" i="3"/>
  <c r="C976" i="3"/>
  <c r="BK975" i="3"/>
  <c r="C975" i="3"/>
  <c r="BK974" i="3"/>
  <c r="C974" i="3"/>
  <c r="BK973" i="3"/>
  <c r="C973" i="3"/>
  <c r="BK972" i="3"/>
  <c r="C972" i="3"/>
  <c r="BK971" i="3"/>
  <c r="C971" i="3"/>
  <c r="BK970" i="3"/>
  <c r="C970" i="3"/>
  <c r="BK969" i="3"/>
  <c r="C969" i="3"/>
  <c r="BK968" i="3"/>
  <c r="C968" i="3"/>
  <c r="BK967" i="3"/>
  <c r="C967" i="3"/>
  <c r="BK966" i="3"/>
  <c r="C966" i="3"/>
  <c r="BK965" i="3"/>
  <c r="C965" i="3"/>
  <c r="BK964" i="3"/>
  <c r="C964" i="3"/>
  <c r="BK963" i="3"/>
  <c r="C963" i="3"/>
  <c r="BK962" i="3"/>
  <c r="C962" i="3"/>
  <c r="BK961" i="3"/>
  <c r="C961" i="3"/>
  <c r="BK960" i="3"/>
  <c r="C960" i="3"/>
  <c r="BK959" i="3"/>
  <c r="C959" i="3"/>
  <c r="BK958" i="3"/>
  <c r="C958" i="3"/>
  <c r="BK957" i="3"/>
  <c r="C957" i="3"/>
  <c r="BK956" i="3"/>
  <c r="C956" i="3"/>
  <c r="BK955" i="3"/>
  <c r="C955" i="3"/>
  <c r="BK954" i="3"/>
  <c r="C954" i="3"/>
  <c r="BK953" i="3"/>
  <c r="C953" i="3"/>
  <c r="BK952" i="3"/>
  <c r="C952" i="3"/>
  <c r="BK951" i="3"/>
  <c r="C951" i="3"/>
  <c r="BK950" i="3"/>
  <c r="C950" i="3"/>
  <c r="BK949" i="3"/>
  <c r="C949" i="3"/>
  <c r="BK948" i="3"/>
  <c r="C948" i="3"/>
  <c r="BK947" i="3"/>
  <c r="C947" i="3"/>
  <c r="BK946" i="3"/>
  <c r="C946" i="3"/>
  <c r="BK945" i="3"/>
  <c r="C945" i="3"/>
  <c r="BK944" i="3"/>
  <c r="C944" i="3"/>
  <c r="BK943" i="3"/>
  <c r="C943" i="3"/>
  <c r="BK942" i="3"/>
  <c r="C942" i="3"/>
  <c r="BK941" i="3"/>
  <c r="C941" i="3"/>
  <c r="BK940" i="3"/>
  <c r="C940" i="3"/>
  <c r="BK939" i="3"/>
  <c r="C939" i="3"/>
  <c r="BK938" i="3"/>
  <c r="C938" i="3"/>
  <c r="BK937" i="3"/>
  <c r="C937" i="3"/>
  <c r="BK936" i="3"/>
  <c r="C936" i="3"/>
  <c r="BK935" i="3"/>
  <c r="C935" i="3"/>
  <c r="BK934" i="3"/>
  <c r="C934" i="3"/>
  <c r="BK933" i="3"/>
  <c r="C933" i="3"/>
  <c r="BK932" i="3"/>
  <c r="C932" i="3"/>
  <c r="BK931" i="3"/>
  <c r="C931" i="3"/>
  <c r="BK930" i="3"/>
  <c r="C930" i="3"/>
  <c r="BK929" i="3"/>
  <c r="C929" i="3"/>
  <c r="BK928" i="3"/>
  <c r="C928" i="3"/>
  <c r="BK927" i="3"/>
  <c r="C927" i="3"/>
  <c r="BK926" i="3"/>
  <c r="C926" i="3"/>
  <c r="BK925" i="3"/>
  <c r="C925" i="3"/>
  <c r="BK924" i="3"/>
  <c r="C924" i="3"/>
  <c r="BK923" i="3"/>
  <c r="C923" i="3"/>
  <c r="BK922" i="3"/>
  <c r="C922" i="3"/>
  <c r="BK921" i="3"/>
  <c r="C921" i="3"/>
  <c r="BK920" i="3"/>
  <c r="C920" i="3"/>
  <c r="BK919" i="3"/>
  <c r="C919" i="3"/>
  <c r="BK918" i="3"/>
  <c r="C918" i="3"/>
  <c r="BK917" i="3"/>
  <c r="C917" i="3"/>
  <c r="BK916" i="3"/>
  <c r="C916" i="3"/>
  <c r="BK915" i="3"/>
  <c r="C915" i="3"/>
  <c r="BK914" i="3"/>
  <c r="C914" i="3"/>
  <c r="BK913" i="3"/>
  <c r="C913" i="3"/>
  <c r="BK912" i="3"/>
  <c r="C912" i="3"/>
  <c r="BK911" i="3"/>
  <c r="C911" i="3"/>
  <c r="BK910" i="3"/>
  <c r="C910" i="3"/>
  <c r="BK909" i="3"/>
  <c r="C909" i="3"/>
  <c r="BK908" i="3"/>
  <c r="C908" i="3"/>
  <c r="BK907" i="3"/>
  <c r="C907" i="3"/>
  <c r="BK906" i="3"/>
  <c r="C906" i="3"/>
  <c r="BK905" i="3"/>
  <c r="C905" i="3"/>
  <c r="BK904" i="3"/>
  <c r="C904" i="3"/>
  <c r="BK903" i="3"/>
  <c r="C903" i="3"/>
  <c r="BK902" i="3"/>
  <c r="C902" i="3"/>
  <c r="BK901" i="3"/>
  <c r="C901" i="3"/>
  <c r="BK900" i="3"/>
  <c r="C900" i="3"/>
  <c r="BK899" i="3"/>
  <c r="C899" i="3"/>
  <c r="BK898" i="3"/>
  <c r="C898" i="3"/>
  <c r="BK897" i="3"/>
  <c r="C897" i="3"/>
  <c r="BK896" i="3"/>
  <c r="C896" i="3"/>
  <c r="BK895" i="3"/>
  <c r="C895" i="3"/>
  <c r="BK894" i="3"/>
  <c r="C894" i="3"/>
  <c r="BK893" i="3"/>
  <c r="C893" i="3"/>
  <c r="BK892" i="3"/>
  <c r="C892" i="3"/>
  <c r="BK891" i="3"/>
  <c r="C891" i="3"/>
  <c r="BK890" i="3"/>
  <c r="C890" i="3"/>
  <c r="BK889" i="3"/>
  <c r="C889" i="3"/>
  <c r="BK888" i="3"/>
  <c r="C888" i="3"/>
  <c r="BK887" i="3"/>
  <c r="C887" i="3"/>
  <c r="BK886" i="3"/>
  <c r="C886" i="3"/>
  <c r="BK885" i="3"/>
  <c r="C885" i="3"/>
  <c r="BK884" i="3"/>
  <c r="C884" i="3"/>
  <c r="BK883" i="3"/>
  <c r="C883" i="3"/>
  <c r="BK882" i="3"/>
  <c r="C882" i="3"/>
  <c r="BK881" i="3"/>
  <c r="C881" i="3"/>
  <c r="BK880" i="3"/>
  <c r="C880" i="3"/>
  <c r="BK879" i="3"/>
  <c r="C879" i="3"/>
  <c r="BK878" i="3"/>
  <c r="C878" i="3"/>
  <c r="BK877" i="3"/>
  <c r="C877" i="3"/>
  <c r="BK876" i="3"/>
  <c r="C876" i="3"/>
  <c r="BK875" i="3"/>
  <c r="C875" i="3"/>
  <c r="BK874" i="3"/>
  <c r="C874" i="3"/>
  <c r="BK873" i="3"/>
  <c r="C873" i="3"/>
  <c r="BK872" i="3"/>
  <c r="C872" i="3"/>
  <c r="BK871" i="3"/>
  <c r="C871" i="3"/>
  <c r="BK870" i="3"/>
  <c r="C870" i="3"/>
  <c r="BK869" i="3"/>
  <c r="C869" i="3"/>
  <c r="BK868" i="3"/>
  <c r="C868" i="3"/>
  <c r="BK867" i="3"/>
  <c r="C867" i="3"/>
  <c r="BK866" i="3"/>
  <c r="C866" i="3"/>
  <c r="BK865" i="3"/>
  <c r="C865" i="3"/>
  <c r="BK864" i="3"/>
  <c r="C864" i="3"/>
  <c r="BK863" i="3"/>
  <c r="C863" i="3"/>
  <c r="BK862" i="3"/>
  <c r="C862" i="3"/>
  <c r="BK861" i="3"/>
  <c r="C861" i="3"/>
  <c r="BK860" i="3"/>
  <c r="C860" i="3"/>
  <c r="BK859" i="3"/>
  <c r="C859" i="3"/>
  <c r="BK858" i="3"/>
  <c r="C858" i="3"/>
  <c r="BK857" i="3"/>
  <c r="C857" i="3"/>
  <c r="BK856" i="3"/>
  <c r="C856" i="3"/>
  <c r="BK855" i="3"/>
  <c r="C855" i="3"/>
  <c r="BK854" i="3"/>
  <c r="C854" i="3"/>
  <c r="BK853" i="3"/>
  <c r="C853" i="3"/>
  <c r="BK852" i="3"/>
  <c r="C852" i="3"/>
  <c r="BK851" i="3"/>
  <c r="C851" i="3"/>
  <c r="BK850" i="3"/>
  <c r="C850" i="3"/>
  <c r="BK849" i="3"/>
  <c r="C849" i="3"/>
  <c r="BK848" i="3"/>
  <c r="C848" i="3"/>
  <c r="BK847" i="3"/>
  <c r="C847" i="3"/>
  <c r="BK846" i="3"/>
  <c r="C846" i="3"/>
  <c r="BK845" i="3"/>
  <c r="C845" i="3"/>
  <c r="BK844" i="3"/>
  <c r="C844" i="3"/>
  <c r="BK843" i="3"/>
  <c r="C843" i="3"/>
  <c r="BK842" i="3"/>
  <c r="C842" i="3"/>
  <c r="BK841" i="3"/>
  <c r="C841" i="3"/>
  <c r="BK840" i="3"/>
  <c r="C840" i="3"/>
  <c r="BK839" i="3"/>
  <c r="C839" i="3"/>
  <c r="BK838" i="3"/>
  <c r="C838" i="3"/>
  <c r="BK837" i="3"/>
  <c r="C837" i="3"/>
  <c r="BK836" i="3"/>
  <c r="C836" i="3"/>
  <c r="BK835" i="3"/>
  <c r="C835" i="3"/>
  <c r="BK834" i="3"/>
  <c r="C834" i="3"/>
  <c r="BK833" i="3"/>
  <c r="C833" i="3"/>
  <c r="BK832" i="3"/>
  <c r="C832" i="3"/>
  <c r="BK831" i="3"/>
  <c r="C831" i="3"/>
  <c r="BK830" i="3"/>
  <c r="C830" i="3"/>
  <c r="BK829" i="3"/>
  <c r="C829" i="3"/>
  <c r="BK828" i="3"/>
  <c r="C828" i="3"/>
  <c r="BK827" i="3"/>
  <c r="C827" i="3"/>
  <c r="BK826" i="3"/>
  <c r="C826" i="3"/>
  <c r="BK825" i="3"/>
  <c r="C825" i="3"/>
  <c r="BK824" i="3"/>
  <c r="C824" i="3"/>
  <c r="BK823" i="3"/>
  <c r="C823" i="3"/>
  <c r="BK822" i="3"/>
  <c r="C822" i="3"/>
  <c r="BK821" i="3"/>
  <c r="C821" i="3"/>
  <c r="BK820" i="3"/>
  <c r="C820" i="3"/>
  <c r="BK819" i="3"/>
  <c r="C819" i="3"/>
  <c r="BK818" i="3"/>
  <c r="C818" i="3"/>
  <c r="BK817" i="3"/>
  <c r="C817" i="3"/>
  <c r="BK816" i="3"/>
  <c r="C816" i="3"/>
  <c r="BK815" i="3"/>
  <c r="C815" i="3"/>
  <c r="BK814" i="3"/>
  <c r="C814" i="3"/>
  <c r="BK813" i="3"/>
  <c r="C813" i="3"/>
  <c r="BK812" i="3"/>
  <c r="C812" i="3"/>
  <c r="BK811" i="3"/>
  <c r="C811" i="3"/>
  <c r="BK810" i="3"/>
  <c r="C810" i="3"/>
  <c r="BK809" i="3"/>
  <c r="C809" i="3"/>
  <c r="BK808" i="3"/>
  <c r="C808" i="3"/>
  <c r="BK807" i="3"/>
  <c r="C807" i="3"/>
  <c r="BK806" i="3"/>
  <c r="C806" i="3"/>
  <c r="BK805" i="3"/>
  <c r="C805" i="3"/>
  <c r="BK804" i="3"/>
  <c r="C804" i="3"/>
  <c r="BK803" i="3"/>
  <c r="C803" i="3"/>
  <c r="BK802" i="3"/>
  <c r="C802" i="3"/>
  <c r="BK801" i="3"/>
  <c r="C801" i="3"/>
  <c r="BK800" i="3"/>
  <c r="C800" i="3"/>
  <c r="BK799" i="3"/>
  <c r="C799" i="3"/>
  <c r="BK798" i="3"/>
  <c r="C798" i="3"/>
  <c r="BK797" i="3"/>
  <c r="C797" i="3"/>
  <c r="BK796" i="3"/>
  <c r="C796" i="3"/>
  <c r="BK795" i="3"/>
  <c r="C795" i="3"/>
  <c r="BK794" i="3"/>
  <c r="C794" i="3"/>
  <c r="BK793" i="3"/>
  <c r="C793" i="3"/>
  <c r="BK792" i="3"/>
  <c r="C792" i="3"/>
  <c r="BK791" i="3"/>
  <c r="C791" i="3"/>
  <c r="BK790" i="3"/>
  <c r="C790" i="3"/>
  <c r="BK789" i="3"/>
  <c r="C789" i="3"/>
  <c r="BK788" i="3"/>
  <c r="C788" i="3"/>
  <c r="BK787" i="3"/>
  <c r="C787" i="3"/>
  <c r="BK786" i="3"/>
  <c r="C786" i="3"/>
  <c r="BK785" i="3"/>
  <c r="C785" i="3"/>
  <c r="BK784" i="3"/>
  <c r="C784" i="3"/>
  <c r="BK783" i="3"/>
  <c r="C783" i="3"/>
  <c r="BK782" i="3"/>
  <c r="C782" i="3"/>
  <c r="BK781" i="3"/>
  <c r="C781" i="3"/>
  <c r="BK780" i="3"/>
  <c r="C780" i="3"/>
  <c r="BK779" i="3"/>
  <c r="C779" i="3"/>
  <c r="BK778" i="3"/>
  <c r="C778" i="3"/>
  <c r="BK777" i="3"/>
  <c r="C777" i="3"/>
  <c r="BK776" i="3"/>
  <c r="C776" i="3"/>
  <c r="BK775" i="3"/>
  <c r="C775" i="3"/>
  <c r="BK774" i="3"/>
  <c r="C774" i="3"/>
  <c r="BK773" i="3"/>
  <c r="C773" i="3"/>
  <c r="BK772" i="3"/>
  <c r="C772" i="3"/>
  <c r="BK771" i="3"/>
  <c r="C771" i="3"/>
  <c r="BK770" i="3"/>
  <c r="C770" i="3"/>
  <c r="BK769" i="3"/>
  <c r="C769" i="3"/>
  <c r="BK768" i="3"/>
  <c r="C768" i="3"/>
  <c r="BK767" i="3"/>
  <c r="C767" i="3"/>
  <c r="BK766" i="3"/>
  <c r="C766" i="3"/>
  <c r="BK765" i="3"/>
  <c r="C765" i="3"/>
  <c r="BK764" i="3"/>
  <c r="C764" i="3"/>
  <c r="BK763" i="3"/>
  <c r="C763" i="3"/>
  <c r="BK762" i="3"/>
  <c r="C762" i="3"/>
  <c r="BK761" i="3"/>
  <c r="C761" i="3"/>
  <c r="BK760" i="3"/>
  <c r="C760" i="3"/>
  <c r="BK759" i="3"/>
  <c r="C759" i="3"/>
  <c r="BK758" i="3"/>
  <c r="C758" i="3"/>
  <c r="BK757" i="3"/>
  <c r="C757" i="3"/>
  <c r="BK756" i="3"/>
  <c r="C756" i="3"/>
  <c r="BK755" i="3"/>
  <c r="C755" i="3"/>
  <c r="BK754" i="3"/>
  <c r="C754" i="3"/>
  <c r="BK753" i="3"/>
  <c r="C753" i="3"/>
  <c r="BK752" i="3"/>
  <c r="C752" i="3"/>
  <c r="BK751" i="3"/>
  <c r="C751" i="3"/>
  <c r="BK750" i="3"/>
  <c r="C750" i="3"/>
  <c r="BK749" i="3"/>
  <c r="C749" i="3"/>
  <c r="BK748" i="3"/>
  <c r="C748" i="3"/>
  <c r="BK747" i="3"/>
  <c r="C747" i="3"/>
  <c r="BK746" i="3"/>
  <c r="C746" i="3"/>
  <c r="BK745" i="3"/>
  <c r="C745" i="3"/>
  <c r="BK744" i="3"/>
  <c r="C744" i="3"/>
  <c r="BK743" i="3"/>
  <c r="C743" i="3"/>
  <c r="BK742" i="3"/>
  <c r="C742" i="3"/>
  <c r="BK741" i="3"/>
  <c r="C741" i="3"/>
  <c r="BK740" i="3"/>
  <c r="C740" i="3"/>
  <c r="BK739" i="3"/>
  <c r="C739" i="3"/>
  <c r="BK738" i="3"/>
  <c r="C738" i="3"/>
  <c r="BK737" i="3"/>
  <c r="C737" i="3"/>
  <c r="BK736" i="3"/>
  <c r="C736" i="3"/>
  <c r="BK735" i="3"/>
  <c r="C735" i="3"/>
  <c r="BK734" i="3"/>
  <c r="C734" i="3"/>
  <c r="BK733" i="3"/>
  <c r="C733" i="3"/>
  <c r="BK732" i="3"/>
  <c r="C732" i="3"/>
  <c r="BK731" i="3"/>
  <c r="C731" i="3"/>
  <c r="BK730" i="3"/>
  <c r="C730" i="3"/>
  <c r="BK729" i="3"/>
  <c r="C729" i="3"/>
  <c r="BK728" i="3"/>
  <c r="C728" i="3"/>
  <c r="BK727" i="3"/>
  <c r="C727" i="3"/>
  <c r="BK726" i="3"/>
  <c r="C726" i="3"/>
  <c r="BK725" i="3"/>
  <c r="C725" i="3"/>
  <c r="BK724" i="3"/>
  <c r="C724" i="3"/>
  <c r="BK723" i="3"/>
  <c r="C723" i="3"/>
  <c r="BK722" i="3"/>
  <c r="C722" i="3"/>
  <c r="BK721" i="3"/>
  <c r="C721" i="3"/>
  <c r="BK720" i="3"/>
  <c r="C720" i="3"/>
  <c r="BK719" i="3"/>
  <c r="C719" i="3"/>
  <c r="BK718" i="3"/>
  <c r="C718" i="3"/>
  <c r="BK717" i="3"/>
  <c r="C717" i="3"/>
  <c r="BK716" i="3"/>
  <c r="C716" i="3"/>
  <c r="BK715" i="3"/>
  <c r="C715" i="3"/>
  <c r="BK714" i="3"/>
  <c r="C714" i="3"/>
  <c r="BK713" i="3"/>
  <c r="C713" i="3"/>
  <c r="BK712" i="3"/>
  <c r="C712" i="3"/>
  <c r="BK711" i="3"/>
  <c r="C711" i="3"/>
  <c r="BK710" i="3"/>
  <c r="C710" i="3"/>
  <c r="BK709" i="3"/>
  <c r="C709" i="3"/>
  <c r="BK708" i="3"/>
  <c r="C708" i="3"/>
  <c r="BK707" i="3"/>
  <c r="C707" i="3"/>
  <c r="BK706" i="3"/>
  <c r="C706" i="3"/>
  <c r="BK705" i="3"/>
  <c r="C705" i="3"/>
  <c r="BK704" i="3"/>
  <c r="C704" i="3"/>
  <c r="BK703" i="3"/>
  <c r="C703" i="3"/>
  <c r="BK702" i="3"/>
  <c r="C702" i="3"/>
  <c r="BK701" i="3"/>
  <c r="C701" i="3"/>
  <c r="BK700" i="3"/>
  <c r="C700" i="3"/>
  <c r="BK699" i="3"/>
  <c r="C699" i="3"/>
  <c r="BK698" i="3"/>
  <c r="C698" i="3"/>
  <c r="BK697" i="3"/>
  <c r="C697" i="3"/>
  <c r="BK696" i="3"/>
  <c r="C696" i="3"/>
  <c r="BK695" i="3"/>
  <c r="C695" i="3"/>
  <c r="BK694" i="3"/>
  <c r="C694" i="3"/>
  <c r="BK693" i="3"/>
  <c r="C693" i="3"/>
  <c r="BK692" i="3"/>
  <c r="C692" i="3"/>
  <c r="BK691" i="3"/>
  <c r="C691" i="3"/>
  <c r="BK690" i="3"/>
  <c r="C690" i="3"/>
  <c r="BK689" i="3"/>
  <c r="C689" i="3"/>
  <c r="BK688" i="3"/>
  <c r="C688" i="3"/>
  <c r="BK687" i="3"/>
  <c r="C687" i="3"/>
  <c r="BK686" i="3"/>
  <c r="C686" i="3"/>
  <c r="BK685" i="3"/>
  <c r="C685" i="3"/>
  <c r="BK684" i="3"/>
  <c r="C684" i="3"/>
  <c r="BK683" i="3"/>
  <c r="C683" i="3"/>
  <c r="BK682" i="3"/>
  <c r="C682" i="3"/>
  <c r="BK681" i="3"/>
  <c r="C681" i="3"/>
  <c r="BK680" i="3"/>
  <c r="C680" i="3"/>
  <c r="BK679" i="3"/>
  <c r="C679" i="3"/>
  <c r="BK678" i="3"/>
  <c r="C678" i="3"/>
  <c r="BK677" i="3"/>
  <c r="C677" i="3"/>
  <c r="BK676" i="3"/>
  <c r="C676" i="3"/>
  <c r="BK675" i="3"/>
  <c r="C675" i="3"/>
  <c r="BK674" i="3"/>
  <c r="C674" i="3"/>
  <c r="BK673" i="3"/>
  <c r="C673" i="3"/>
  <c r="BK672" i="3"/>
  <c r="C672" i="3"/>
  <c r="BK671" i="3"/>
  <c r="C671" i="3"/>
  <c r="BK670" i="3"/>
  <c r="C670" i="3"/>
  <c r="BK669" i="3"/>
  <c r="C669" i="3"/>
  <c r="BK668" i="3"/>
  <c r="C668" i="3"/>
  <c r="BK667" i="3"/>
  <c r="C667" i="3"/>
  <c r="BK666" i="3"/>
  <c r="C666" i="3"/>
  <c r="BK665" i="3"/>
  <c r="C665" i="3"/>
  <c r="BK664" i="3"/>
  <c r="C664" i="3"/>
  <c r="BK663" i="3"/>
  <c r="C663" i="3"/>
  <c r="BK662" i="3"/>
  <c r="C662" i="3"/>
  <c r="BK661" i="3"/>
  <c r="C661" i="3"/>
  <c r="BK660" i="3"/>
  <c r="C660" i="3"/>
  <c r="BK659" i="3"/>
  <c r="C659" i="3"/>
  <c r="BK658" i="3"/>
  <c r="C658" i="3"/>
  <c r="BK657" i="3"/>
  <c r="C657" i="3"/>
  <c r="BK656" i="3"/>
  <c r="C656" i="3"/>
  <c r="BK655" i="3"/>
  <c r="C655" i="3"/>
  <c r="BK654" i="3"/>
  <c r="C654" i="3"/>
  <c r="BK653" i="3"/>
  <c r="C653" i="3"/>
  <c r="BK652" i="3"/>
  <c r="C652" i="3"/>
  <c r="BK651" i="3"/>
  <c r="C651" i="3"/>
  <c r="BK650" i="3"/>
  <c r="C650" i="3"/>
  <c r="BK649" i="3"/>
  <c r="C649" i="3"/>
  <c r="BK648" i="3"/>
  <c r="C648" i="3"/>
  <c r="BK647" i="3"/>
  <c r="C647" i="3"/>
  <c r="BK646" i="3"/>
  <c r="C646" i="3"/>
  <c r="BK645" i="3"/>
  <c r="C645" i="3"/>
  <c r="BK644" i="3"/>
  <c r="C644" i="3"/>
  <c r="BK643" i="3"/>
  <c r="C643" i="3"/>
  <c r="BK642" i="3"/>
  <c r="C642" i="3"/>
  <c r="BK641" i="3"/>
  <c r="C641" i="3"/>
  <c r="BK640" i="3"/>
  <c r="C640" i="3"/>
  <c r="BK639" i="3"/>
  <c r="C639" i="3"/>
  <c r="BK638" i="3"/>
  <c r="C638" i="3"/>
  <c r="BK637" i="3"/>
  <c r="C637" i="3"/>
  <c r="BK636" i="3"/>
  <c r="C636" i="3"/>
  <c r="BK635" i="3"/>
  <c r="C635" i="3"/>
  <c r="BK634" i="3"/>
  <c r="C634" i="3"/>
  <c r="BK633" i="3"/>
  <c r="C633" i="3"/>
  <c r="BK632" i="3"/>
  <c r="C632" i="3"/>
  <c r="BK631" i="3"/>
  <c r="C631" i="3"/>
  <c r="BK630" i="3"/>
  <c r="C630" i="3"/>
  <c r="BK629" i="3"/>
  <c r="C629" i="3"/>
  <c r="BK628" i="3"/>
  <c r="C628" i="3"/>
  <c r="BK627" i="3"/>
  <c r="C627" i="3"/>
  <c r="BK626" i="3"/>
  <c r="C626" i="3"/>
  <c r="BK625" i="3"/>
  <c r="C625" i="3"/>
  <c r="BK624" i="3"/>
  <c r="C624" i="3"/>
  <c r="BK623" i="3"/>
  <c r="C623" i="3"/>
  <c r="BK622" i="3"/>
  <c r="C622" i="3"/>
  <c r="BK621" i="3"/>
  <c r="C621" i="3"/>
  <c r="BK620" i="3"/>
  <c r="C620" i="3"/>
  <c r="BK619" i="3"/>
  <c r="C619" i="3"/>
  <c r="BK618" i="3"/>
  <c r="C618" i="3"/>
  <c r="BK617" i="3"/>
  <c r="C617" i="3"/>
  <c r="BK616" i="3"/>
  <c r="C616" i="3"/>
  <c r="BK615" i="3"/>
  <c r="C615" i="3"/>
  <c r="BK614" i="3"/>
  <c r="C614" i="3"/>
  <c r="BK613" i="3"/>
  <c r="C613" i="3"/>
  <c r="BK612" i="3"/>
  <c r="C612" i="3"/>
  <c r="BK611" i="3"/>
  <c r="C611" i="3"/>
  <c r="BK610" i="3"/>
  <c r="C610" i="3"/>
  <c r="BK609" i="3"/>
  <c r="C609" i="3"/>
  <c r="BK608" i="3"/>
  <c r="C608" i="3"/>
  <c r="BK607" i="3"/>
  <c r="C607" i="3"/>
  <c r="BK606" i="3"/>
  <c r="C606" i="3"/>
  <c r="BK605" i="3"/>
  <c r="C605" i="3"/>
  <c r="BK604" i="3"/>
  <c r="C604" i="3"/>
  <c r="BK603" i="3"/>
  <c r="C603" i="3"/>
  <c r="BK602" i="3"/>
  <c r="C602" i="3"/>
  <c r="BK601" i="3"/>
  <c r="C601" i="3"/>
  <c r="BK600" i="3"/>
  <c r="C600" i="3"/>
  <c r="BK599" i="3"/>
  <c r="C599" i="3"/>
  <c r="BK598" i="3"/>
  <c r="C598" i="3"/>
  <c r="BK597" i="3"/>
  <c r="C597" i="3"/>
  <c r="BK596" i="3"/>
  <c r="C596" i="3"/>
  <c r="BK595" i="3"/>
  <c r="C595" i="3"/>
  <c r="BK594" i="3"/>
  <c r="C594" i="3"/>
  <c r="BK593" i="3"/>
  <c r="C593" i="3"/>
  <c r="BK592" i="3"/>
  <c r="C592" i="3"/>
  <c r="BK591" i="3"/>
  <c r="C591" i="3"/>
  <c r="BK590" i="3"/>
  <c r="C590" i="3"/>
  <c r="BK589" i="3"/>
  <c r="C589" i="3"/>
  <c r="BK588" i="3"/>
  <c r="C588" i="3"/>
  <c r="BK587" i="3"/>
  <c r="C587" i="3"/>
  <c r="BK586" i="3"/>
  <c r="C586" i="3"/>
  <c r="BK585" i="3"/>
  <c r="C585" i="3"/>
  <c r="BK584" i="3"/>
  <c r="C584" i="3"/>
  <c r="BK583" i="3"/>
  <c r="C583" i="3"/>
  <c r="BK582" i="3"/>
  <c r="C582" i="3"/>
  <c r="BK581" i="3"/>
  <c r="C581" i="3"/>
  <c r="BK580" i="3"/>
  <c r="C580" i="3"/>
  <c r="BK579" i="3"/>
  <c r="C579" i="3"/>
  <c r="BK578" i="3"/>
  <c r="C578" i="3"/>
  <c r="BK577" i="3"/>
  <c r="C577" i="3"/>
  <c r="BK576" i="3"/>
  <c r="C576" i="3"/>
  <c r="BK575" i="3"/>
  <c r="C575" i="3"/>
  <c r="BK574" i="3"/>
  <c r="C574" i="3"/>
  <c r="BK573" i="3"/>
  <c r="C573" i="3"/>
  <c r="BK572" i="3"/>
  <c r="C572" i="3"/>
  <c r="BK571" i="3"/>
  <c r="C571" i="3"/>
  <c r="BK570" i="3"/>
  <c r="C570" i="3"/>
  <c r="BK569" i="3"/>
  <c r="C569" i="3"/>
  <c r="BK568" i="3"/>
  <c r="C568" i="3"/>
  <c r="BK567" i="3"/>
  <c r="C567" i="3"/>
  <c r="BK566" i="3"/>
  <c r="C566" i="3"/>
  <c r="BK565" i="3"/>
  <c r="C565" i="3"/>
  <c r="BK564" i="3"/>
  <c r="C564" i="3"/>
  <c r="BK563" i="3"/>
  <c r="C563" i="3"/>
  <c r="BK562" i="3"/>
  <c r="C562" i="3"/>
  <c r="BK561" i="3"/>
  <c r="C561" i="3"/>
  <c r="BK560" i="3"/>
  <c r="C560" i="3"/>
  <c r="BK559" i="3"/>
  <c r="C559" i="3"/>
  <c r="BK558" i="3"/>
  <c r="C558" i="3"/>
  <c r="BK557" i="3"/>
  <c r="C557" i="3"/>
  <c r="BK556" i="3"/>
  <c r="C556" i="3"/>
  <c r="BK555" i="3"/>
  <c r="C555" i="3"/>
  <c r="BK554" i="3"/>
  <c r="C554" i="3"/>
  <c r="BK553" i="3"/>
  <c r="C553" i="3"/>
  <c r="BK552" i="3"/>
  <c r="C552" i="3"/>
  <c r="BK551" i="3"/>
  <c r="C551" i="3"/>
  <c r="BK550" i="3"/>
  <c r="C550" i="3"/>
  <c r="BK549" i="3"/>
  <c r="C549" i="3"/>
  <c r="BK548" i="3"/>
  <c r="C548" i="3"/>
  <c r="BK547" i="3"/>
  <c r="C547" i="3"/>
  <c r="BK546" i="3"/>
  <c r="C546" i="3"/>
  <c r="BK545" i="3"/>
  <c r="C545" i="3"/>
  <c r="BK544" i="3"/>
  <c r="C544" i="3"/>
  <c r="BK543" i="3"/>
  <c r="C543" i="3"/>
  <c r="BK542" i="3"/>
  <c r="C542" i="3"/>
  <c r="BK541" i="3"/>
  <c r="C541" i="3"/>
  <c r="BK540" i="3"/>
  <c r="C540" i="3"/>
  <c r="BK539" i="3"/>
  <c r="C539" i="3"/>
  <c r="BK538" i="3"/>
  <c r="C538" i="3"/>
  <c r="BK537" i="3"/>
  <c r="C537" i="3"/>
  <c r="BK536" i="3"/>
  <c r="C536" i="3"/>
  <c r="BK535" i="3"/>
  <c r="C535" i="3"/>
  <c r="BK534" i="3"/>
  <c r="C534" i="3"/>
  <c r="BK533" i="3"/>
  <c r="C533" i="3"/>
  <c r="BK532" i="3"/>
  <c r="C532" i="3"/>
  <c r="BK531" i="3"/>
  <c r="C531" i="3"/>
  <c r="BK530" i="3"/>
  <c r="C530" i="3"/>
  <c r="BK529" i="3"/>
  <c r="C529" i="3"/>
  <c r="BK528" i="3"/>
  <c r="C528" i="3"/>
  <c r="BK527" i="3"/>
  <c r="C527" i="3"/>
  <c r="BK526" i="3"/>
  <c r="C526" i="3"/>
  <c r="BK525" i="3"/>
  <c r="C525" i="3"/>
  <c r="BK524" i="3"/>
  <c r="C524" i="3"/>
  <c r="BK523" i="3"/>
  <c r="C523" i="3"/>
  <c r="BK522" i="3"/>
  <c r="C522" i="3"/>
  <c r="BK521" i="3"/>
  <c r="C521" i="3"/>
  <c r="BK520" i="3"/>
  <c r="C520" i="3"/>
  <c r="BK519" i="3"/>
  <c r="C519" i="3"/>
  <c r="BK518" i="3"/>
  <c r="C518" i="3"/>
  <c r="BK517" i="3"/>
  <c r="C517" i="3"/>
  <c r="BK516" i="3"/>
  <c r="C516" i="3"/>
  <c r="BK515" i="3"/>
  <c r="C515" i="3"/>
  <c r="BK514" i="3"/>
  <c r="C514" i="3"/>
  <c r="BK513" i="3"/>
  <c r="C513" i="3"/>
  <c r="BK512" i="3"/>
  <c r="C512" i="3"/>
  <c r="BK511" i="3"/>
  <c r="C511" i="3"/>
  <c r="BK510" i="3"/>
  <c r="C510" i="3"/>
  <c r="BK509" i="3"/>
  <c r="C509" i="3"/>
  <c r="BK508" i="3"/>
  <c r="C508" i="3"/>
  <c r="BK507" i="3"/>
  <c r="C507" i="3"/>
  <c r="BK506" i="3"/>
  <c r="C506" i="3"/>
  <c r="BK505" i="3"/>
  <c r="C505" i="3"/>
  <c r="BK504" i="3"/>
  <c r="C504" i="3"/>
  <c r="BK503" i="3"/>
  <c r="C503" i="3"/>
  <c r="BK502" i="3"/>
  <c r="C502" i="3"/>
  <c r="BK501" i="3"/>
  <c r="C501" i="3"/>
  <c r="BK500" i="3"/>
  <c r="C500" i="3"/>
  <c r="BK499" i="3"/>
  <c r="C499" i="3"/>
  <c r="BK498" i="3"/>
  <c r="C498" i="3"/>
  <c r="BK497" i="3"/>
  <c r="C497" i="3"/>
  <c r="BK496" i="3"/>
  <c r="C496" i="3"/>
  <c r="BK495" i="3"/>
  <c r="C495" i="3"/>
  <c r="BK494" i="3"/>
  <c r="C494" i="3"/>
  <c r="BK493" i="3"/>
  <c r="C493" i="3"/>
  <c r="BK492" i="3"/>
  <c r="C492" i="3"/>
  <c r="BK491" i="3"/>
  <c r="C491" i="3"/>
  <c r="BK490" i="3"/>
  <c r="C490" i="3"/>
  <c r="BK489" i="3"/>
  <c r="C489" i="3"/>
  <c r="BK488" i="3"/>
  <c r="C488" i="3"/>
  <c r="BK487" i="3"/>
  <c r="C487" i="3"/>
  <c r="BK486" i="3"/>
  <c r="C486" i="3"/>
  <c r="BK485" i="3"/>
  <c r="C485" i="3"/>
  <c r="BK484" i="3"/>
  <c r="C484" i="3"/>
  <c r="BK483" i="3"/>
  <c r="C483" i="3"/>
  <c r="BK482" i="3"/>
  <c r="C482" i="3"/>
  <c r="BK481" i="3"/>
  <c r="C481" i="3"/>
  <c r="BK480" i="3"/>
  <c r="C480" i="3"/>
  <c r="BK479" i="3"/>
  <c r="C479" i="3"/>
  <c r="BK478" i="3"/>
  <c r="C478" i="3"/>
  <c r="BK477" i="3"/>
  <c r="C477" i="3"/>
  <c r="BK476" i="3"/>
  <c r="C476" i="3"/>
  <c r="BK475" i="3"/>
  <c r="C475" i="3"/>
  <c r="BK474" i="3"/>
  <c r="C474" i="3"/>
  <c r="BK473" i="3"/>
  <c r="C473" i="3"/>
  <c r="BK472" i="3"/>
  <c r="C472" i="3"/>
  <c r="BK471" i="3"/>
  <c r="C471" i="3"/>
  <c r="BK470" i="3"/>
  <c r="C470" i="3"/>
  <c r="BK469" i="3"/>
  <c r="C469" i="3"/>
  <c r="BK468" i="3"/>
  <c r="C468" i="3"/>
  <c r="BK467" i="3"/>
  <c r="C467" i="3"/>
  <c r="BK466" i="3"/>
  <c r="C466" i="3"/>
  <c r="BK465" i="3"/>
  <c r="C465" i="3"/>
  <c r="BK464" i="3"/>
  <c r="C464" i="3"/>
  <c r="BK463" i="3"/>
  <c r="C463" i="3"/>
  <c r="BK462" i="3"/>
  <c r="C462" i="3"/>
  <c r="BK461" i="3"/>
  <c r="C461" i="3"/>
  <c r="BK460" i="3"/>
  <c r="C460" i="3"/>
  <c r="BK459" i="3"/>
  <c r="C459" i="3"/>
  <c r="BK458" i="3"/>
  <c r="C458" i="3"/>
  <c r="BK457" i="3"/>
  <c r="C457" i="3"/>
  <c r="BK456" i="3"/>
  <c r="C456" i="3"/>
  <c r="BK455" i="3"/>
  <c r="C455" i="3"/>
  <c r="BK454" i="3"/>
  <c r="C454" i="3"/>
  <c r="BK453" i="3"/>
  <c r="C453" i="3"/>
  <c r="BK452" i="3"/>
  <c r="C452" i="3"/>
  <c r="BK451" i="3"/>
  <c r="C451" i="3"/>
  <c r="BK450" i="3"/>
  <c r="C450" i="3"/>
  <c r="BK449" i="3"/>
  <c r="C449" i="3"/>
  <c r="BK448" i="3"/>
  <c r="C448" i="3"/>
  <c r="BK447" i="3"/>
  <c r="C447" i="3"/>
  <c r="BK446" i="3"/>
  <c r="C446" i="3"/>
  <c r="BK445" i="3"/>
  <c r="C445" i="3"/>
  <c r="BK444" i="3"/>
  <c r="C444" i="3"/>
  <c r="BK443" i="3"/>
  <c r="C443" i="3"/>
  <c r="BK442" i="3"/>
  <c r="C442" i="3"/>
  <c r="BK441" i="3"/>
  <c r="C441" i="3"/>
  <c r="BK440" i="3"/>
  <c r="C440" i="3"/>
  <c r="BK439" i="3"/>
  <c r="C439" i="3"/>
  <c r="BK438" i="3"/>
  <c r="C438" i="3"/>
  <c r="BK437" i="3"/>
  <c r="C437" i="3"/>
  <c r="BK436" i="3"/>
  <c r="C436" i="3"/>
  <c r="BK435" i="3"/>
  <c r="C435" i="3"/>
  <c r="BK434" i="3"/>
  <c r="C434" i="3"/>
  <c r="BK433" i="3"/>
  <c r="C433" i="3"/>
  <c r="BK432" i="3"/>
  <c r="C432" i="3"/>
  <c r="BK431" i="3"/>
  <c r="C431" i="3"/>
  <c r="BK430" i="3"/>
  <c r="C430" i="3"/>
  <c r="BK429" i="3"/>
  <c r="C429" i="3"/>
  <c r="BK428" i="3"/>
  <c r="C428" i="3"/>
  <c r="BK427" i="3"/>
  <c r="C427" i="3"/>
  <c r="BK426" i="3"/>
  <c r="C426" i="3"/>
  <c r="BK425" i="3"/>
  <c r="C425" i="3"/>
  <c r="BK424" i="3"/>
  <c r="C424" i="3"/>
  <c r="BK423" i="3"/>
  <c r="C423" i="3"/>
  <c r="BK422" i="3"/>
  <c r="C422" i="3"/>
  <c r="BK421" i="3"/>
  <c r="C421" i="3"/>
  <c r="BK420" i="3"/>
  <c r="C420" i="3"/>
  <c r="BK419" i="3"/>
  <c r="C419" i="3"/>
  <c r="BK418" i="3"/>
  <c r="C418" i="3"/>
  <c r="BK417" i="3"/>
  <c r="C417" i="3"/>
  <c r="BK416" i="3"/>
  <c r="C416" i="3"/>
  <c r="BK415" i="3"/>
  <c r="C415" i="3"/>
  <c r="BK414" i="3"/>
  <c r="C414" i="3"/>
  <c r="BK413" i="3"/>
  <c r="C413" i="3"/>
  <c r="BK412" i="3"/>
  <c r="C412" i="3"/>
  <c r="BK411" i="3"/>
  <c r="C411" i="3"/>
  <c r="BK410" i="3"/>
  <c r="C410" i="3"/>
  <c r="BK409" i="3"/>
  <c r="C409" i="3"/>
  <c r="BK408" i="3"/>
  <c r="C408" i="3"/>
  <c r="BK407" i="3"/>
  <c r="C407" i="3"/>
  <c r="BK406" i="3"/>
  <c r="C406" i="3"/>
  <c r="BK405" i="3"/>
  <c r="C405" i="3"/>
  <c r="BK404" i="3"/>
  <c r="C404" i="3"/>
  <c r="BK403" i="3"/>
  <c r="C403" i="3"/>
  <c r="BK402" i="3"/>
  <c r="C402" i="3"/>
  <c r="BK401" i="3"/>
  <c r="C401" i="3"/>
  <c r="BK400" i="3"/>
  <c r="C400" i="3"/>
  <c r="BK399" i="3"/>
  <c r="C399" i="3"/>
  <c r="BK398" i="3"/>
  <c r="C398" i="3"/>
  <c r="BK397" i="3"/>
  <c r="C397" i="3"/>
  <c r="BK396" i="3"/>
  <c r="C396" i="3"/>
  <c r="BK395" i="3"/>
  <c r="C395" i="3"/>
  <c r="BK394" i="3"/>
  <c r="C394" i="3"/>
  <c r="BK393" i="3"/>
  <c r="C393" i="3"/>
  <c r="BK392" i="3"/>
  <c r="C392" i="3"/>
  <c r="BK391" i="3"/>
  <c r="C391" i="3"/>
  <c r="BK390" i="3"/>
  <c r="C390" i="3"/>
  <c r="BK389" i="3"/>
  <c r="C389" i="3"/>
  <c r="BK388" i="3"/>
  <c r="C388" i="3"/>
  <c r="BK387" i="3"/>
  <c r="C387" i="3"/>
  <c r="BK386" i="3"/>
  <c r="C386" i="3"/>
  <c r="BK385" i="3"/>
  <c r="C385" i="3"/>
  <c r="BK384" i="3"/>
  <c r="C384" i="3"/>
  <c r="BK383" i="3"/>
  <c r="C383" i="3"/>
  <c r="BK382" i="3"/>
  <c r="C382" i="3"/>
  <c r="BK381" i="3"/>
  <c r="C381" i="3"/>
  <c r="BK380" i="3"/>
  <c r="C380" i="3"/>
  <c r="BK379" i="3"/>
  <c r="C379" i="3"/>
  <c r="BK378" i="3"/>
  <c r="C378" i="3"/>
  <c r="BK377" i="3"/>
  <c r="C377" i="3"/>
  <c r="BK376" i="3"/>
  <c r="C376" i="3"/>
  <c r="BK375" i="3"/>
  <c r="C375" i="3"/>
  <c r="BK374" i="3"/>
  <c r="C374" i="3"/>
  <c r="BK373" i="3"/>
  <c r="C373" i="3"/>
  <c r="BK372" i="3"/>
  <c r="C372" i="3"/>
  <c r="BK371" i="3"/>
  <c r="C371" i="3"/>
  <c r="BK370" i="3"/>
  <c r="C370" i="3"/>
  <c r="BK369" i="3"/>
  <c r="C369" i="3"/>
  <c r="BK368" i="3"/>
  <c r="C368" i="3"/>
  <c r="BK367" i="3"/>
  <c r="C367" i="3"/>
  <c r="BK366" i="3"/>
  <c r="C366" i="3"/>
  <c r="BK365" i="3"/>
  <c r="C365" i="3"/>
  <c r="BK364" i="3"/>
  <c r="C364" i="3"/>
  <c r="BK363" i="3"/>
  <c r="C363" i="3"/>
  <c r="BK362" i="3"/>
  <c r="C362" i="3"/>
  <c r="BK361" i="3"/>
  <c r="C361" i="3"/>
  <c r="BK360" i="3"/>
  <c r="C360" i="3"/>
  <c r="BK359" i="3"/>
  <c r="C359" i="3"/>
  <c r="BK358" i="3"/>
  <c r="C358" i="3"/>
  <c r="BK357" i="3"/>
  <c r="C357" i="3"/>
  <c r="BK356" i="3"/>
  <c r="C356" i="3"/>
  <c r="BK355" i="3"/>
  <c r="C355" i="3"/>
  <c r="BK354" i="3"/>
  <c r="C354" i="3"/>
  <c r="BK353" i="3"/>
  <c r="C353" i="3"/>
  <c r="BK352" i="3"/>
  <c r="C352" i="3"/>
  <c r="BK351" i="3"/>
  <c r="C351" i="3"/>
  <c r="BK350" i="3"/>
  <c r="C350" i="3"/>
  <c r="BK349" i="3"/>
  <c r="C349" i="3"/>
  <c r="BK348" i="3"/>
  <c r="C348" i="3"/>
  <c r="BK347" i="3"/>
  <c r="C347" i="3"/>
  <c r="BK346" i="3"/>
  <c r="C346" i="3"/>
  <c r="BK345" i="3"/>
  <c r="C345" i="3"/>
  <c r="BK344" i="3"/>
  <c r="C344" i="3"/>
  <c r="BK343" i="3"/>
  <c r="C343" i="3"/>
  <c r="BK342" i="3"/>
  <c r="C342" i="3"/>
  <c r="BK341" i="3"/>
  <c r="C341" i="3"/>
  <c r="BK340" i="3"/>
  <c r="C340" i="3"/>
  <c r="BK339" i="3"/>
  <c r="C339" i="3"/>
  <c r="BK338" i="3"/>
  <c r="C338" i="3"/>
  <c r="BK337" i="3"/>
  <c r="C337" i="3"/>
  <c r="BK336" i="3"/>
  <c r="C336" i="3"/>
  <c r="BK335" i="3"/>
  <c r="C335" i="3"/>
  <c r="BK334" i="3"/>
  <c r="C334" i="3"/>
  <c r="BK333" i="3"/>
  <c r="C333" i="3"/>
  <c r="BK332" i="3"/>
  <c r="C332" i="3"/>
  <c r="BK331" i="3"/>
  <c r="C331" i="3"/>
  <c r="BK330" i="3"/>
  <c r="C330" i="3"/>
  <c r="BK329" i="3"/>
  <c r="C329" i="3"/>
  <c r="BK328" i="3"/>
  <c r="C328" i="3"/>
  <c r="BK327" i="3"/>
  <c r="C327" i="3"/>
  <c r="BK326" i="3"/>
  <c r="C326" i="3"/>
  <c r="BK325" i="3"/>
  <c r="C325" i="3"/>
  <c r="BK324" i="3"/>
  <c r="C324" i="3"/>
  <c r="BK323" i="3"/>
  <c r="C323" i="3"/>
  <c r="BK322" i="3"/>
  <c r="C322" i="3"/>
  <c r="BK321" i="3"/>
  <c r="C321" i="3"/>
  <c r="BK320" i="3"/>
  <c r="C320" i="3"/>
  <c r="BK319" i="3"/>
  <c r="C319" i="3"/>
  <c r="BK318" i="3"/>
  <c r="C318" i="3"/>
  <c r="BK317" i="3"/>
  <c r="C317" i="3"/>
  <c r="BK316" i="3"/>
  <c r="C316" i="3"/>
  <c r="BK315" i="3"/>
  <c r="C315" i="3"/>
  <c r="BK314" i="3"/>
  <c r="C314" i="3"/>
  <c r="BK313" i="3"/>
  <c r="C313" i="3"/>
  <c r="BK312" i="3"/>
  <c r="C312" i="3"/>
  <c r="BK311" i="3"/>
  <c r="C311" i="3"/>
  <c r="BK310" i="3"/>
  <c r="C310" i="3"/>
  <c r="BK309" i="3"/>
  <c r="C309" i="3"/>
  <c r="BK308" i="3"/>
  <c r="C308" i="3"/>
  <c r="BK307" i="3"/>
  <c r="C307" i="3"/>
  <c r="BK306" i="3"/>
  <c r="C306" i="3"/>
  <c r="BK305" i="3"/>
  <c r="C305" i="3"/>
  <c r="BK304" i="3"/>
  <c r="C304" i="3"/>
  <c r="BK303" i="3"/>
  <c r="C303" i="3"/>
  <c r="BK302" i="3"/>
  <c r="C302" i="3"/>
  <c r="BK301" i="3"/>
  <c r="C301" i="3"/>
  <c r="BK300" i="3"/>
  <c r="C300" i="3"/>
  <c r="BK299" i="3"/>
  <c r="C299" i="3"/>
  <c r="BK298" i="3"/>
  <c r="C298" i="3"/>
  <c r="BK297" i="3"/>
  <c r="C297" i="3"/>
  <c r="BK296" i="3"/>
  <c r="C296" i="3"/>
  <c r="BK295" i="3"/>
  <c r="C295" i="3"/>
  <c r="BK294" i="3"/>
  <c r="C294" i="3"/>
  <c r="BK293" i="3"/>
  <c r="C293" i="3"/>
  <c r="BK292" i="3"/>
  <c r="C292" i="3"/>
  <c r="BK291" i="3"/>
  <c r="C291" i="3"/>
  <c r="BK290" i="3"/>
  <c r="C290" i="3"/>
  <c r="BK289" i="3"/>
  <c r="C289" i="3"/>
  <c r="BK288" i="3"/>
  <c r="C288" i="3"/>
  <c r="BK287" i="3"/>
  <c r="C287" i="3"/>
  <c r="BK286" i="3"/>
  <c r="C286" i="3"/>
  <c r="BK285" i="3"/>
  <c r="C285" i="3"/>
  <c r="BK284" i="3"/>
  <c r="C284" i="3"/>
  <c r="BK283" i="3"/>
  <c r="C283" i="3"/>
  <c r="BK282" i="3"/>
  <c r="C282" i="3"/>
  <c r="BK281" i="3"/>
  <c r="C281" i="3"/>
  <c r="BK280" i="3"/>
  <c r="C280" i="3"/>
  <c r="BK279" i="3"/>
  <c r="C279" i="3"/>
  <c r="BK278" i="3"/>
  <c r="C278" i="3"/>
  <c r="BK277" i="3"/>
  <c r="C277" i="3"/>
  <c r="BK276" i="3"/>
  <c r="C276" i="3"/>
  <c r="BK275" i="3"/>
  <c r="C275" i="3"/>
  <c r="BK274" i="3"/>
  <c r="C274" i="3"/>
  <c r="BK273" i="3"/>
  <c r="C273" i="3"/>
  <c r="BK272" i="3"/>
  <c r="C272" i="3"/>
  <c r="BK271" i="3"/>
  <c r="C271" i="3"/>
  <c r="BK270" i="3"/>
  <c r="C270" i="3"/>
  <c r="BK269" i="3"/>
  <c r="C269" i="3"/>
  <c r="BK268" i="3"/>
  <c r="C268" i="3"/>
  <c r="BK267" i="3"/>
  <c r="C267" i="3"/>
  <c r="BK266" i="3"/>
  <c r="C266" i="3"/>
  <c r="BK265" i="3"/>
  <c r="C265" i="3"/>
  <c r="BK264" i="3"/>
  <c r="C264" i="3"/>
  <c r="BK263" i="3"/>
  <c r="C263" i="3"/>
  <c r="BK262" i="3"/>
  <c r="C262" i="3"/>
  <c r="BK261" i="3"/>
  <c r="C261" i="3"/>
  <c r="BK260" i="3"/>
  <c r="C260" i="3"/>
  <c r="BK259" i="3"/>
  <c r="C259" i="3"/>
  <c r="BK258" i="3"/>
  <c r="C258" i="3"/>
  <c r="BK257" i="3"/>
  <c r="C257" i="3"/>
  <c r="BK256" i="3"/>
  <c r="C256" i="3"/>
  <c r="BK255" i="3"/>
  <c r="C255" i="3"/>
  <c r="BK254" i="3"/>
  <c r="C254" i="3"/>
  <c r="BK253" i="3"/>
  <c r="C253" i="3"/>
  <c r="BK252" i="3"/>
  <c r="C252" i="3"/>
  <c r="BK251" i="3"/>
  <c r="C251" i="3"/>
  <c r="BK250" i="3"/>
  <c r="C250" i="3"/>
  <c r="BK249" i="3"/>
  <c r="C249" i="3"/>
  <c r="BK248" i="3"/>
  <c r="C248" i="3"/>
  <c r="BK247" i="3"/>
  <c r="C247" i="3"/>
  <c r="BK246" i="3"/>
  <c r="C246" i="3"/>
  <c r="BK245" i="3"/>
  <c r="C245" i="3"/>
  <c r="BK244" i="3"/>
  <c r="C244" i="3"/>
  <c r="BK243" i="3"/>
  <c r="C243" i="3"/>
  <c r="BK242" i="3"/>
  <c r="C242" i="3"/>
  <c r="BK241" i="3"/>
  <c r="C241" i="3"/>
  <c r="BK240" i="3"/>
  <c r="C240" i="3"/>
  <c r="BK239" i="3"/>
  <c r="C239" i="3"/>
  <c r="BK238" i="3"/>
  <c r="C238" i="3"/>
  <c r="BK237" i="3"/>
  <c r="C237" i="3"/>
  <c r="BK236" i="3"/>
  <c r="C236" i="3"/>
  <c r="BK235" i="3"/>
  <c r="C235" i="3"/>
  <c r="BK234" i="3"/>
  <c r="C234" i="3"/>
  <c r="BK233" i="3"/>
  <c r="C233" i="3"/>
  <c r="BK232" i="3"/>
  <c r="C232" i="3"/>
  <c r="BK231" i="3"/>
  <c r="C231" i="3"/>
  <c r="BK230" i="3"/>
  <c r="C230" i="3"/>
  <c r="BK229" i="3"/>
  <c r="C229" i="3"/>
  <c r="BK228" i="3"/>
  <c r="C228" i="3"/>
  <c r="BK227" i="3"/>
  <c r="C227" i="3"/>
  <c r="BK226" i="3"/>
  <c r="C226" i="3"/>
  <c r="BK225" i="3"/>
  <c r="C225" i="3"/>
  <c r="BK224" i="3"/>
  <c r="C224" i="3"/>
  <c r="BK223" i="3"/>
  <c r="C223" i="3"/>
  <c r="BK222" i="3"/>
  <c r="C222" i="3"/>
  <c r="BK221" i="3"/>
  <c r="C221" i="3"/>
  <c r="BK220" i="3"/>
  <c r="C220" i="3"/>
  <c r="BK219" i="3"/>
  <c r="C219" i="3"/>
  <c r="BK218" i="3"/>
  <c r="C218" i="3"/>
  <c r="BK217" i="3"/>
  <c r="C217" i="3"/>
  <c r="BK216" i="3"/>
  <c r="C216" i="3"/>
  <c r="BK215" i="3"/>
  <c r="C215" i="3"/>
  <c r="BK214" i="3"/>
  <c r="C214" i="3"/>
  <c r="BK213" i="3"/>
  <c r="C213" i="3"/>
  <c r="BK212" i="3"/>
  <c r="C212" i="3"/>
  <c r="BK211" i="3"/>
  <c r="C211" i="3"/>
  <c r="BK210" i="3"/>
  <c r="C210" i="3"/>
  <c r="BK209" i="3"/>
  <c r="C209" i="3"/>
  <c r="BK208" i="3"/>
  <c r="C208" i="3"/>
  <c r="BK207" i="3"/>
  <c r="C207" i="3"/>
  <c r="BK206" i="3"/>
  <c r="C206" i="3"/>
  <c r="BK205" i="3"/>
  <c r="C205" i="3"/>
  <c r="BK204" i="3"/>
  <c r="C204" i="3"/>
  <c r="BK203" i="3"/>
  <c r="C203" i="3"/>
  <c r="BK202" i="3"/>
  <c r="C202" i="3"/>
  <c r="BK201" i="3"/>
  <c r="C201" i="3"/>
  <c r="BK200" i="3"/>
  <c r="C200" i="3"/>
  <c r="BK199" i="3"/>
  <c r="C199" i="3"/>
  <c r="BK198" i="3"/>
  <c r="C198" i="3"/>
  <c r="BK197" i="3"/>
  <c r="C197" i="3"/>
  <c r="BK196" i="3"/>
  <c r="C196" i="3"/>
  <c r="BK195" i="3"/>
  <c r="C195" i="3"/>
  <c r="BK194" i="3"/>
  <c r="C194" i="3"/>
  <c r="BK193" i="3"/>
  <c r="C193" i="3"/>
  <c r="BK192" i="3"/>
  <c r="C192" i="3"/>
  <c r="BK191" i="3"/>
  <c r="C191" i="3"/>
  <c r="BK190" i="3"/>
  <c r="C190" i="3"/>
  <c r="BK189" i="3"/>
  <c r="C189" i="3"/>
  <c r="BK188" i="3"/>
  <c r="C188" i="3"/>
  <c r="BK187" i="3"/>
  <c r="C187" i="3"/>
  <c r="BK186" i="3"/>
  <c r="C186" i="3"/>
  <c r="BK185" i="3"/>
  <c r="C185" i="3"/>
  <c r="BK184" i="3"/>
  <c r="C184" i="3"/>
  <c r="BK183" i="3"/>
  <c r="C183" i="3"/>
  <c r="BK182" i="3"/>
  <c r="C182" i="3"/>
  <c r="BK181" i="3"/>
  <c r="C181" i="3"/>
  <c r="BK180" i="3"/>
  <c r="C180" i="3"/>
  <c r="BK179" i="3"/>
  <c r="C179" i="3"/>
  <c r="BK178" i="3"/>
  <c r="C178" i="3"/>
  <c r="BK177" i="3"/>
  <c r="C177" i="3"/>
  <c r="BK176" i="3"/>
  <c r="C176" i="3"/>
  <c r="BK175" i="3"/>
  <c r="C175" i="3"/>
  <c r="BK174" i="3"/>
  <c r="C174" i="3"/>
  <c r="BK173" i="3"/>
  <c r="C173" i="3"/>
  <c r="BK172" i="3"/>
  <c r="C172" i="3"/>
  <c r="BK171" i="3"/>
  <c r="C171" i="3"/>
  <c r="BK170" i="3"/>
  <c r="C170" i="3"/>
  <c r="BK169" i="3"/>
  <c r="C169" i="3"/>
  <c r="BK168" i="3"/>
  <c r="C168" i="3"/>
  <c r="BK167" i="3"/>
  <c r="C167" i="3"/>
  <c r="BK166" i="3"/>
  <c r="C166" i="3"/>
  <c r="BK165" i="3"/>
  <c r="C165" i="3"/>
  <c r="BK164" i="3"/>
  <c r="C164" i="3"/>
  <c r="BK163" i="3"/>
  <c r="C163" i="3"/>
  <c r="BK162" i="3"/>
  <c r="C162" i="3"/>
  <c r="BK161" i="3"/>
  <c r="C161" i="3"/>
  <c r="BK160" i="3"/>
  <c r="C160" i="3"/>
  <c r="BK159" i="3"/>
  <c r="C159" i="3"/>
  <c r="BK158" i="3"/>
  <c r="C158" i="3"/>
  <c r="BK157" i="3"/>
  <c r="C157" i="3"/>
  <c r="BK156" i="3"/>
  <c r="C156" i="3"/>
  <c r="BK155" i="3"/>
  <c r="C155" i="3"/>
  <c r="BK154" i="3"/>
  <c r="C154" i="3"/>
  <c r="BK153" i="3"/>
  <c r="C153" i="3"/>
  <c r="BK152" i="3"/>
  <c r="C152" i="3"/>
  <c r="BK151" i="3"/>
  <c r="C151" i="3"/>
  <c r="BK150" i="3"/>
  <c r="C150" i="3"/>
  <c r="BK149" i="3"/>
  <c r="C149" i="3"/>
  <c r="BK148" i="3"/>
  <c r="C148" i="3"/>
  <c r="BK147" i="3"/>
  <c r="C147" i="3"/>
  <c r="BK146" i="3"/>
  <c r="C146" i="3"/>
  <c r="BK145" i="3"/>
  <c r="C145" i="3"/>
  <c r="BK144" i="3"/>
  <c r="C144" i="3"/>
  <c r="BK143" i="3"/>
  <c r="C143" i="3"/>
  <c r="BK142" i="3"/>
  <c r="C142" i="3"/>
  <c r="BK141" i="3"/>
  <c r="C141" i="3"/>
  <c r="BK140" i="3"/>
  <c r="C140" i="3"/>
  <c r="BK139" i="3"/>
  <c r="C139" i="3"/>
  <c r="BK138" i="3"/>
  <c r="C138" i="3"/>
  <c r="BK137" i="3"/>
  <c r="C137" i="3"/>
  <c r="BK136" i="3"/>
  <c r="C136" i="3"/>
  <c r="BK135" i="3"/>
  <c r="C135" i="3"/>
  <c r="BK134" i="3"/>
  <c r="C134" i="3"/>
  <c r="BK133" i="3"/>
  <c r="C133" i="3"/>
  <c r="BK132" i="3"/>
  <c r="C132" i="3"/>
  <c r="BK131" i="3"/>
  <c r="C131" i="3"/>
  <c r="BK130" i="3"/>
  <c r="C130" i="3"/>
  <c r="BK129" i="3"/>
  <c r="C129" i="3"/>
  <c r="BK128" i="3"/>
  <c r="C128" i="3"/>
  <c r="BK127" i="3"/>
  <c r="C127" i="3"/>
  <c r="BK126" i="3"/>
  <c r="C126" i="3"/>
  <c r="BK125" i="3"/>
  <c r="C125" i="3"/>
  <c r="BK124" i="3"/>
  <c r="C124" i="3"/>
  <c r="BK123" i="3"/>
  <c r="C123" i="3"/>
  <c r="BK122" i="3"/>
  <c r="C122" i="3"/>
  <c r="BK121" i="3"/>
  <c r="C121" i="3"/>
  <c r="BK120" i="3"/>
  <c r="C120" i="3"/>
  <c r="BK119" i="3"/>
  <c r="C119" i="3"/>
  <c r="BK118" i="3"/>
  <c r="C118" i="3"/>
  <c r="BK117" i="3"/>
  <c r="C117" i="3"/>
  <c r="BK116" i="3"/>
  <c r="C116" i="3"/>
  <c r="BK115" i="3"/>
  <c r="C115" i="3"/>
  <c r="BK114" i="3"/>
  <c r="C114" i="3"/>
  <c r="BK113" i="3"/>
  <c r="C113" i="3"/>
  <c r="BK112" i="3"/>
  <c r="C112" i="3"/>
  <c r="BK111" i="3"/>
  <c r="C111" i="3"/>
  <c r="BK110" i="3"/>
  <c r="C110" i="3"/>
  <c r="BK109" i="3"/>
  <c r="C109" i="3"/>
  <c r="BK108" i="3"/>
  <c r="C108" i="3"/>
  <c r="BK107" i="3"/>
  <c r="C107" i="3"/>
  <c r="BK106" i="3"/>
  <c r="C106" i="3"/>
  <c r="BK105" i="3"/>
  <c r="C105" i="3"/>
  <c r="BK104" i="3"/>
  <c r="C104" i="3"/>
  <c r="BK103" i="3"/>
  <c r="C103" i="3"/>
  <c r="BK102" i="3"/>
  <c r="C102" i="3"/>
  <c r="BK101" i="3"/>
  <c r="C101" i="3"/>
  <c r="BK100" i="3"/>
  <c r="C100" i="3"/>
  <c r="BK99" i="3"/>
  <c r="C99" i="3"/>
  <c r="BK98" i="3"/>
  <c r="C98" i="3"/>
  <c r="BK97" i="3"/>
  <c r="C97" i="3"/>
  <c r="BK96" i="3"/>
  <c r="C96" i="3"/>
  <c r="BK95" i="3"/>
  <c r="C95" i="3"/>
  <c r="BK94" i="3"/>
  <c r="C94" i="3"/>
  <c r="BK93" i="3"/>
  <c r="C93" i="3"/>
  <c r="BK92" i="3"/>
  <c r="C92" i="3"/>
  <c r="BK91" i="3"/>
  <c r="C91" i="3"/>
  <c r="BK90" i="3"/>
  <c r="C90" i="3"/>
  <c r="BK89" i="3"/>
  <c r="C89" i="3"/>
  <c r="BK88" i="3"/>
  <c r="C88" i="3"/>
  <c r="BK87" i="3"/>
  <c r="C87" i="3"/>
  <c r="BK86" i="3"/>
  <c r="C86" i="3"/>
  <c r="BK85" i="3"/>
  <c r="C85" i="3"/>
  <c r="BK84" i="3"/>
  <c r="C84" i="3"/>
  <c r="BK83" i="3"/>
  <c r="C83" i="3"/>
  <c r="BK82" i="3"/>
  <c r="C82" i="3"/>
  <c r="BK81" i="3"/>
  <c r="C81" i="3"/>
  <c r="BK80" i="3"/>
  <c r="C80" i="3"/>
  <c r="BK79" i="3"/>
  <c r="C79" i="3"/>
  <c r="BK78" i="3"/>
  <c r="C78" i="3"/>
  <c r="BK77" i="3"/>
  <c r="C77" i="3"/>
  <c r="BK76" i="3"/>
  <c r="C76" i="3"/>
  <c r="BK75" i="3"/>
  <c r="C75" i="3"/>
  <c r="BK74" i="3"/>
  <c r="C74" i="3"/>
  <c r="BK73" i="3"/>
  <c r="C73" i="3"/>
  <c r="BK72" i="3"/>
  <c r="C72" i="3"/>
  <c r="BK71" i="3"/>
  <c r="C71" i="3"/>
  <c r="BK70" i="3"/>
  <c r="C70" i="3"/>
  <c r="BK69" i="3"/>
  <c r="C69" i="3"/>
  <c r="BK68" i="3"/>
  <c r="C68" i="3"/>
  <c r="BK67" i="3"/>
  <c r="C67" i="3"/>
  <c r="BK66" i="3"/>
  <c r="C66" i="3"/>
  <c r="BK65" i="3"/>
  <c r="C65" i="3"/>
  <c r="BK64" i="3"/>
  <c r="C64" i="3"/>
  <c r="BK63" i="3"/>
  <c r="C63" i="3"/>
  <c r="BK62" i="3"/>
  <c r="C62" i="3"/>
  <c r="BK61" i="3"/>
  <c r="C61" i="3"/>
  <c r="BK60" i="3"/>
  <c r="C60" i="3"/>
  <c r="BK59" i="3"/>
  <c r="C59" i="3"/>
  <c r="BK58" i="3"/>
  <c r="C58" i="3"/>
  <c r="BK57" i="3"/>
  <c r="C57" i="3"/>
  <c r="BK56" i="3"/>
  <c r="C56" i="3"/>
  <c r="BK55" i="3"/>
  <c r="C55" i="3"/>
  <c r="BK54" i="3"/>
  <c r="C54" i="3"/>
  <c r="BK53" i="3"/>
  <c r="C53" i="3"/>
  <c r="BK52" i="3"/>
  <c r="C52" i="3"/>
  <c r="BK51" i="3"/>
  <c r="C51" i="3"/>
  <c r="BK50" i="3"/>
  <c r="C50" i="3"/>
  <c r="BK49" i="3"/>
  <c r="C49" i="3"/>
  <c r="BK48" i="3"/>
  <c r="C48" i="3"/>
  <c r="BK47" i="3"/>
  <c r="C47" i="3"/>
  <c r="BK46" i="3"/>
  <c r="C46" i="3"/>
  <c r="BK45" i="3"/>
  <c r="C45" i="3"/>
  <c r="BK44" i="3"/>
  <c r="C44" i="3"/>
  <c r="BK43" i="3"/>
  <c r="C43" i="3"/>
  <c r="BK42" i="3"/>
  <c r="C42" i="3"/>
  <c r="BK41" i="3"/>
  <c r="C41" i="3"/>
  <c r="BK40" i="3"/>
  <c r="C40" i="3"/>
  <c r="BK39" i="3"/>
  <c r="C39" i="3"/>
  <c r="BK38" i="3"/>
  <c r="C38" i="3"/>
  <c r="BK37" i="3"/>
  <c r="C37" i="3"/>
  <c r="BK36" i="3"/>
  <c r="C36" i="3"/>
  <c r="BK35" i="3"/>
  <c r="C35" i="3"/>
  <c r="BK34" i="3"/>
  <c r="C34" i="3"/>
  <c r="BK33" i="3"/>
  <c r="C33" i="3"/>
  <c r="BK32" i="3"/>
  <c r="C32" i="3"/>
  <c r="BK31" i="3"/>
  <c r="C31" i="3"/>
  <c r="BK30" i="3"/>
  <c r="C30" i="3"/>
  <c r="BK29" i="3"/>
  <c r="C29" i="3"/>
  <c r="BK28" i="3"/>
  <c r="C28" i="3"/>
  <c r="BK27" i="3"/>
  <c r="C27" i="3"/>
  <c r="BK26" i="3"/>
  <c r="C26" i="3"/>
  <c r="BK25" i="3"/>
  <c r="C25" i="3"/>
  <c r="BK24" i="3"/>
  <c r="C24" i="3"/>
  <c r="BK23" i="3"/>
  <c r="C23" i="3"/>
  <c r="BK22" i="3"/>
  <c r="C22" i="3"/>
  <c r="BK21" i="3"/>
  <c r="C21" i="3"/>
  <c r="BK20" i="3"/>
  <c r="C20" i="3"/>
  <c r="BK19" i="3"/>
  <c r="C19" i="3"/>
  <c r="BK18" i="3"/>
  <c r="C18" i="3"/>
  <c r="BK17" i="3"/>
  <c r="C17" i="3"/>
  <c r="BK16" i="3"/>
  <c r="C16" i="3"/>
  <c r="BK15" i="3"/>
  <c r="C15" i="3"/>
  <c r="BK14" i="3"/>
  <c r="C14" i="3"/>
  <c r="BK13" i="3"/>
  <c r="C13" i="3"/>
  <c r="BK12" i="3"/>
  <c r="C12" i="3"/>
  <c r="BK11" i="3"/>
  <c r="C11" i="3"/>
  <c r="BK10" i="3"/>
  <c r="C10" i="3"/>
  <c r="BK9" i="3"/>
  <c r="C9" i="3"/>
  <c r="BK8" i="3"/>
  <c r="C8" i="3"/>
  <c r="BK7" i="3"/>
  <c r="C7" i="3"/>
  <c r="BK6" i="3"/>
  <c r="C6" i="3"/>
  <c r="BK5" i="3"/>
  <c r="C5" i="3"/>
  <c r="BK4" i="3"/>
  <c r="C4" i="3"/>
  <c r="BK3" i="3"/>
  <c r="C3" i="3"/>
  <c r="AN1" i="3"/>
  <c r="B751" i="2"/>
  <c r="C1230" i="1"/>
  <c r="B1230" i="1"/>
  <c r="C1229" i="1"/>
  <c r="D1229" i="1" s="1"/>
  <c r="B1229" i="1"/>
  <c r="D1228" i="1"/>
  <c r="C1228" i="1"/>
  <c r="C1227" i="1"/>
  <c r="B1227" i="1"/>
  <c r="C1226" i="1"/>
  <c r="D1226" i="1" s="1"/>
  <c r="D1227" i="1" s="1"/>
  <c r="B1226" i="1"/>
  <c r="D1225" i="1"/>
  <c r="C1225" i="1"/>
  <c r="C1224" i="1"/>
  <c r="B1224" i="1"/>
  <c r="C1223" i="1"/>
  <c r="D1223" i="1" s="1"/>
  <c r="D1224" i="1" s="1"/>
  <c r="B1223" i="1"/>
  <c r="D1222" i="1"/>
  <c r="C1222" i="1"/>
  <c r="B1222" i="1"/>
  <c r="C1221" i="1"/>
  <c r="D1221" i="1" s="1"/>
  <c r="B1221" i="1"/>
  <c r="D1220" i="1"/>
  <c r="C1220" i="1"/>
  <c r="C1219" i="1"/>
  <c r="B1219" i="1"/>
  <c r="C1218" i="1"/>
  <c r="D1218" i="1" s="1"/>
  <c r="D1219" i="1" s="1"/>
  <c r="B1218" i="1"/>
  <c r="D1217" i="1"/>
  <c r="C1217" i="1"/>
  <c r="C1216" i="1"/>
  <c r="B1216" i="1"/>
  <c r="C1215" i="1"/>
  <c r="D1215" i="1" s="1"/>
  <c r="D1216" i="1" s="1"/>
  <c r="B1215" i="1"/>
  <c r="D1214" i="1"/>
  <c r="C1214" i="1"/>
  <c r="B1214" i="1"/>
  <c r="C1213" i="1"/>
  <c r="D1213" i="1" s="1"/>
  <c r="C1212" i="1"/>
  <c r="B1212" i="1"/>
  <c r="C1211" i="1"/>
  <c r="B1211" i="1"/>
  <c r="C1210" i="1"/>
  <c r="D1210" i="1" s="1"/>
  <c r="D1211" i="1" s="1"/>
  <c r="B1210" i="1"/>
  <c r="C1209" i="1"/>
  <c r="B1209" i="1"/>
  <c r="C1208" i="1"/>
  <c r="D1208" i="1" s="1"/>
  <c r="D1209" i="1" s="1"/>
  <c r="B1208" i="1"/>
  <c r="D1207" i="1"/>
  <c r="C1207" i="1"/>
  <c r="D1206" i="1"/>
  <c r="C1206" i="1"/>
  <c r="B1206" i="1"/>
  <c r="C1205" i="1"/>
  <c r="B1205" i="1"/>
  <c r="C1204" i="1"/>
  <c r="B1204" i="1"/>
  <c r="C1203" i="1"/>
  <c r="D1203" i="1" s="1"/>
  <c r="D1204" i="1" s="1"/>
  <c r="B1203" i="1"/>
  <c r="D1202" i="1"/>
  <c r="C1202" i="1"/>
  <c r="B1202" i="1"/>
  <c r="C1201" i="1"/>
  <c r="D1201" i="1" s="1"/>
  <c r="C1200" i="1"/>
  <c r="B1200" i="1"/>
  <c r="C1199" i="1"/>
  <c r="B1199" i="1"/>
  <c r="C1198" i="1"/>
  <c r="B1198" i="1"/>
  <c r="C1197" i="1"/>
  <c r="B1197" i="1"/>
  <c r="C1196" i="1"/>
  <c r="D1196" i="1" s="1"/>
  <c r="D1197" i="1" s="1"/>
  <c r="B1196" i="1"/>
  <c r="D1195" i="1"/>
  <c r="C1195" i="1"/>
  <c r="D1194" i="1"/>
  <c r="C1194" i="1"/>
  <c r="B1194" i="1"/>
  <c r="C1193" i="1"/>
  <c r="D1193" i="1" s="1"/>
  <c r="B1193" i="1"/>
  <c r="C1192" i="1"/>
  <c r="B1192" i="1"/>
  <c r="C1191" i="1"/>
  <c r="B1191" i="1"/>
  <c r="C1190" i="1"/>
  <c r="B1190" i="1"/>
  <c r="C1189" i="1"/>
  <c r="D1189" i="1" s="1"/>
  <c r="D1190" i="1" s="1"/>
  <c r="B1189" i="1"/>
  <c r="D1188" i="1"/>
  <c r="C1188" i="1"/>
  <c r="B1188" i="1"/>
  <c r="C1187" i="1"/>
  <c r="D1187" i="1" s="1"/>
  <c r="B1187" i="1"/>
  <c r="C1186" i="1"/>
  <c r="B1186" i="1"/>
  <c r="C1185" i="1"/>
  <c r="D1185" i="1" s="1"/>
  <c r="D1186" i="1" s="1"/>
  <c r="B1185" i="1"/>
  <c r="C1184" i="1"/>
  <c r="B1184" i="1"/>
  <c r="C1183" i="1"/>
  <c r="D1183" i="1" s="1"/>
  <c r="D1184" i="1" s="1"/>
  <c r="B1183" i="1"/>
  <c r="D1182" i="1"/>
  <c r="C1182" i="1"/>
  <c r="B1182" i="1"/>
  <c r="C1181" i="1"/>
  <c r="D1181" i="1" s="1"/>
  <c r="B1181" i="1"/>
  <c r="C1180" i="1"/>
  <c r="B1180" i="1"/>
  <c r="C1179" i="1"/>
  <c r="D1179" i="1" s="1"/>
  <c r="B1179" i="1"/>
  <c r="C1178" i="1"/>
  <c r="B1178" i="1"/>
  <c r="D1177" i="1"/>
  <c r="D1178" i="1" s="1"/>
  <c r="C1177" i="1"/>
  <c r="B1177" i="1"/>
  <c r="C1176" i="1"/>
  <c r="B1176" i="1"/>
  <c r="C1175" i="1"/>
  <c r="D1175" i="1" s="1"/>
  <c r="D1176" i="1" s="1"/>
  <c r="B1175" i="1"/>
  <c r="D1174" i="1"/>
  <c r="C1174" i="1"/>
  <c r="B1174" i="1"/>
  <c r="C1173" i="1"/>
  <c r="D1173" i="1" s="1"/>
  <c r="C1172" i="1"/>
  <c r="B1172" i="1"/>
  <c r="C1171" i="1"/>
  <c r="B1171" i="1"/>
  <c r="C1170" i="1"/>
  <c r="B1170" i="1"/>
  <c r="C1169" i="1"/>
  <c r="B1169" i="1"/>
  <c r="C1168" i="1"/>
  <c r="D1168" i="1" s="1"/>
  <c r="B1168" i="1"/>
  <c r="D1167" i="1"/>
  <c r="C1167" i="1"/>
  <c r="C1166" i="1"/>
  <c r="D1166" i="1" s="1"/>
  <c r="B1166" i="1"/>
  <c r="C1165" i="1"/>
  <c r="D1165" i="1" s="1"/>
  <c r="B1165" i="1"/>
  <c r="C1164" i="1"/>
  <c r="B1164" i="1"/>
  <c r="C1163" i="1"/>
  <c r="B1163" i="1"/>
  <c r="C1162" i="1"/>
  <c r="B1162" i="1"/>
  <c r="C1161" i="1"/>
  <c r="D1161" i="1" s="1"/>
  <c r="D1162" i="1" s="1"/>
  <c r="D1163" i="1" s="1"/>
  <c r="D1164" i="1" s="1"/>
  <c r="B1161" i="1"/>
  <c r="D1160" i="1"/>
  <c r="C1160" i="1"/>
  <c r="B1160" i="1"/>
  <c r="C1159" i="1"/>
  <c r="D1159" i="1" s="1"/>
  <c r="B1159" i="1"/>
  <c r="C1158" i="1"/>
  <c r="B1158" i="1"/>
  <c r="C1157" i="1"/>
  <c r="B1157" i="1"/>
  <c r="C1156" i="1"/>
  <c r="B1156" i="1"/>
  <c r="D1155" i="1"/>
  <c r="D1156" i="1" s="1"/>
  <c r="C1155" i="1"/>
  <c r="B1155" i="1"/>
  <c r="D1154" i="1"/>
  <c r="C1154" i="1"/>
  <c r="B1154" i="1"/>
  <c r="C1153" i="1"/>
  <c r="D1153" i="1" s="1"/>
  <c r="B1153" i="1"/>
  <c r="C1152" i="1"/>
  <c r="B1152" i="1"/>
  <c r="C1151" i="1"/>
  <c r="B1151" i="1"/>
  <c r="C1150" i="1"/>
  <c r="B1150" i="1"/>
  <c r="C1149" i="1"/>
  <c r="D1149" i="1" s="1"/>
  <c r="B1149" i="1"/>
  <c r="D1148" i="1"/>
  <c r="C1148" i="1"/>
  <c r="C1147" i="1"/>
  <c r="B1147" i="1"/>
  <c r="C1146" i="1"/>
  <c r="D1146" i="1" s="1"/>
  <c r="B1146" i="1"/>
  <c r="D1145" i="1"/>
  <c r="C1145" i="1"/>
  <c r="C1144" i="1"/>
  <c r="B1144" i="1"/>
  <c r="C1143" i="1"/>
  <c r="D1143" i="1" s="1"/>
  <c r="B1143" i="1"/>
  <c r="D1142" i="1"/>
  <c r="C1142" i="1"/>
  <c r="B1142" i="1"/>
  <c r="D1141" i="1"/>
  <c r="C1141" i="1"/>
  <c r="B1141" i="1"/>
  <c r="D1140" i="1"/>
  <c r="C1140" i="1"/>
  <c r="C1139" i="1"/>
  <c r="B1139" i="1"/>
  <c r="C1138" i="1"/>
  <c r="B1138" i="1"/>
  <c r="C1137" i="1"/>
  <c r="B1137" i="1"/>
  <c r="C1136" i="1"/>
  <c r="D1136" i="1" s="1"/>
  <c r="D1137" i="1" s="1"/>
  <c r="D1138" i="1" s="1"/>
  <c r="D1139" i="1" s="1"/>
  <c r="B1136" i="1"/>
  <c r="D1135" i="1"/>
  <c r="C1135" i="1"/>
  <c r="D1134" i="1"/>
  <c r="C1134" i="1"/>
  <c r="B1134" i="1"/>
  <c r="C1133" i="1"/>
  <c r="D1133" i="1" s="1"/>
  <c r="B1133" i="1"/>
  <c r="C1132" i="1"/>
  <c r="B1132" i="1"/>
  <c r="C1131" i="1"/>
  <c r="D1131" i="1" s="1"/>
  <c r="D1132" i="1" s="1"/>
  <c r="B1131" i="1"/>
  <c r="C1130" i="1"/>
  <c r="D1130" i="1" s="1"/>
  <c r="B1130" i="1"/>
  <c r="C1129" i="1"/>
  <c r="D1129" i="1" s="1"/>
  <c r="B1129" i="1"/>
  <c r="D1128" i="1"/>
  <c r="C1128" i="1"/>
  <c r="B1128" i="1"/>
  <c r="C1127" i="1"/>
  <c r="B1127" i="1"/>
  <c r="C1126" i="1"/>
  <c r="B1126" i="1"/>
  <c r="C1125" i="1"/>
  <c r="D1125" i="1" s="1"/>
  <c r="D1126" i="1" s="1"/>
  <c r="D1127" i="1" s="1"/>
  <c r="B1125" i="1"/>
  <c r="D1124" i="1"/>
  <c r="C1124" i="1"/>
  <c r="B1124" i="1"/>
  <c r="C1123" i="1"/>
  <c r="D1123" i="1" s="1"/>
  <c r="B1123" i="1"/>
  <c r="C1122" i="1"/>
  <c r="D1122" i="1" s="1"/>
  <c r="B1122" i="1"/>
  <c r="C1121" i="1"/>
  <c r="D1121" i="1" s="1"/>
  <c r="B1121" i="1"/>
  <c r="D1120" i="1"/>
  <c r="C1120" i="1"/>
  <c r="B1120" i="1"/>
  <c r="D1119" i="1"/>
  <c r="C1119" i="1"/>
  <c r="B1119" i="1"/>
  <c r="D1118" i="1"/>
  <c r="C1118" i="1"/>
  <c r="C1117" i="1"/>
  <c r="B1117" i="1"/>
  <c r="D1116" i="1"/>
  <c r="D1117" i="1" s="1"/>
  <c r="C1116" i="1"/>
  <c r="B1116" i="1"/>
  <c r="D1115" i="1"/>
  <c r="C1115" i="1"/>
  <c r="C1114" i="1"/>
  <c r="B1114" i="1"/>
  <c r="D1113" i="1"/>
  <c r="D1114" i="1" s="1"/>
  <c r="C1113" i="1"/>
  <c r="B1113" i="1"/>
  <c r="D1112" i="1"/>
  <c r="C1112" i="1"/>
  <c r="B1112" i="1"/>
  <c r="C1111" i="1"/>
  <c r="D1111" i="1" s="1"/>
  <c r="B1111" i="1"/>
  <c r="D1110" i="1"/>
  <c r="C1110" i="1"/>
  <c r="C1109" i="1"/>
  <c r="B1109" i="1"/>
  <c r="C1108" i="1"/>
  <c r="D1108" i="1" s="1"/>
  <c r="D1109" i="1" s="1"/>
  <c r="B1108" i="1"/>
  <c r="D1107" i="1"/>
  <c r="C1107" i="1"/>
  <c r="C1106" i="1"/>
  <c r="B1106" i="1"/>
  <c r="C1105" i="1"/>
  <c r="D1105" i="1" s="1"/>
  <c r="D1106" i="1" s="1"/>
  <c r="B1105" i="1"/>
  <c r="D1104" i="1"/>
  <c r="C1104" i="1"/>
  <c r="B1104" i="1"/>
  <c r="C1103" i="1"/>
  <c r="D1103" i="1" s="1"/>
  <c r="C1102" i="1"/>
  <c r="D1102" i="1" s="1"/>
  <c r="B1102" i="1"/>
  <c r="C1101" i="1"/>
  <c r="B1101" i="1"/>
  <c r="C1100" i="1"/>
  <c r="D1100" i="1" s="1"/>
  <c r="D1101" i="1" s="1"/>
  <c r="C1099" i="1"/>
  <c r="B1099" i="1"/>
  <c r="C1098" i="1"/>
  <c r="B1098" i="1"/>
  <c r="C1097" i="1"/>
  <c r="D1097" i="1" s="1"/>
  <c r="D1098" i="1" s="1"/>
  <c r="B1097" i="1"/>
  <c r="C1096" i="1"/>
  <c r="D1096" i="1" s="1"/>
  <c r="C1095" i="1"/>
  <c r="B1095" i="1"/>
  <c r="C1094" i="1"/>
  <c r="B1094" i="1"/>
  <c r="C1093" i="1"/>
  <c r="D1093" i="1" s="1"/>
  <c r="C1092" i="1"/>
  <c r="B1092" i="1"/>
  <c r="C1091" i="1"/>
  <c r="D1091" i="1" s="1"/>
  <c r="D1092" i="1" s="1"/>
  <c r="B1091" i="1"/>
  <c r="C1090" i="1"/>
  <c r="D1090" i="1" s="1"/>
  <c r="B1090" i="1"/>
  <c r="C1089" i="1"/>
  <c r="B1089" i="1"/>
  <c r="C1088" i="1"/>
  <c r="B1088" i="1"/>
  <c r="C1087" i="1"/>
  <c r="B1087" i="1"/>
  <c r="C1086" i="1"/>
  <c r="B1086" i="1"/>
  <c r="C1085" i="1"/>
  <c r="D1085" i="1" s="1"/>
  <c r="D1086" i="1" s="1"/>
  <c r="D1087" i="1" s="1"/>
  <c r="D1088" i="1" s="1"/>
  <c r="B1085" i="1"/>
  <c r="D1084" i="1"/>
  <c r="C1084" i="1"/>
  <c r="C1083" i="1"/>
  <c r="B1083" i="1"/>
  <c r="C1082" i="1"/>
  <c r="D1082" i="1" s="1"/>
  <c r="D1083" i="1" s="1"/>
  <c r="B1082" i="1"/>
  <c r="D1081" i="1"/>
  <c r="C1081" i="1"/>
  <c r="C1080" i="1"/>
  <c r="B1080" i="1"/>
  <c r="C1079" i="1"/>
  <c r="D1079" i="1" s="1"/>
  <c r="D1080" i="1" s="1"/>
  <c r="B1079" i="1"/>
  <c r="C1078" i="1"/>
  <c r="D1078" i="1" s="1"/>
  <c r="B1078" i="1"/>
  <c r="C1077" i="1"/>
  <c r="D1077" i="1" s="1"/>
  <c r="B1077" i="1"/>
  <c r="C1076" i="1"/>
  <c r="D1076" i="1" s="1"/>
  <c r="B1076" i="1"/>
  <c r="D1075" i="1"/>
  <c r="C1075" i="1"/>
  <c r="B1075" i="1"/>
  <c r="C1074" i="1"/>
  <c r="B1074" i="1"/>
  <c r="C1073" i="1"/>
  <c r="B1073" i="1"/>
  <c r="C1072" i="1"/>
  <c r="B1072" i="1"/>
  <c r="C1071" i="1"/>
  <c r="B1071" i="1"/>
  <c r="C1070" i="1"/>
  <c r="B1070" i="1"/>
  <c r="C1069" i="1"/>
  <c r="D1069" i="1" s="1"/>
  <c r="B1069" i="1"/>
  <c r="C1068" i="1"/>
  <c r="D1068" i="1" s="1"/>
  <c r="B1068" i="1"/>
  <c r="D1067" i="1"/>
  <c r="C1067" i="1"/>
  <c r="B1067" i="1"/>
  <c r="D1066" i="1"/>
  <c r="C1066" i="1"/>
  <c r="B1066" i="1"/>
  <c r="C1065" i="1"/>
  <c r="B1065" i="1"/>
  <c r="C1064" i="1"/>
  <c r="B1064" i="1"/>
  <c r="C1063" i="1"/>
  <c r="D1063" i="1" s="1"/>
  <c r="D1064" i="1" s="1"/>
  <c r="D1065" i="1" s="1"/>
  <c r="B1063" i="1"/>
  <c r="C1062" i="1"/>
  <c r="B1062" i="1"/>
  <c r="C1061" i="1"/>
  <c r="B1061" i="1"/>
  <c r="C1060" i="1"/>
  <c r="D1060" i="1" s="1"/>
  <c r="B1060" i="1"/>
  <c r="C1059" i="1"/>
  <c r="B1059" i="1"/>
  <c r="C1058" i="1"/>
  <c r="B1058" i="1"/>
  <c r="D1057" i="1"/>
  <c r="D1058" i="1" s="1"/>
  <c r="D1059" i="1" s="1"/>
  <c r="C1057" i="1"/>
  <c r="B1057" i="1"/>
  <c r="C1056" i="1"/>
  <c r="B1056" i="1"/>
  <c r="C1055" i="1"/>
  <c r="D1055" i="1" s="1"/>
  <c r="D1056" i="1" s="1"/>
  <c r="B1055" i="1"/>
  <c r="C1054" i="1"/>
  <c r="D1054" i="1" s="1"/>
  <c r="B1054" i="1"/>
  <c r="C1053" i="1"/>
  <c r="B1053" i="1"/>
  <c r="C1052" i="1"/>
  <c r="B1052" i="1"/>
  <c r="C1051" i="1"/>
  <c r="B1051" i="1"/>
  <c r="C1050" i="1"/>
  <c r="B1050" i="1"/>
  <c r="D1049" i="1"/>
  <c r="D1050" i="1" s="1"/>
  <c r="D1051" i="1" s="1"/>
  <c r="C1049" i="1"/>
  <c r="B1049" i="1"/>
  <c r="C1048" i="1"/>
  <c r="B1048" i="1"/>
  <c r="C1047" i="1"/>
  <c r="D1047" i="1" s="1"/>
  <c r="D1048" i="1" s="1"/>
  <c r="B1047" i="1"/>
  <c r="C1046" i="1"/>
  <c r="D1046" i="1" s="1"/>
  <c r="B1046" i="1"/>
  <c r="C1045" i="1"/>
  <c r="D1045" i="1" s="1"/>
  <c r="B1045" i="1"/>
  <c r="C1044" i="1"/>
  <c r="D1044" i="1" s="1"/>
  <c r="B1044" i="1"/>
  <c r="D1043" i="1"/>
  <c r="C1043" i="1"/>
  <c r="B1043" i="1"/>
  <c r="C1042" i="1"/>
  <c r="B1042" i="1"/>
  <c r="D1041" i="1"/>
  <c r="D1042" i="1" s="1"/>
  <c r="C1041" i="1"/>
  <c r="B1041" i="1"/>
  <c r="D1040" i="1"/>
  <c r="C1040" i="1"/>
  <c r="B1040" i="1"/>
  <c r="C1039" i="1"/>
  <c r="B1039" i="1"/>
  <c r="C1038" i="1"/>
  <c r="B1038" i="1"/>
  <c r="C1037" i="1"/>
  <c r="D1037" i="1" s="1"/>
  <c r="B1037" i="1"/>
  <c r="C1036" i="1"/>
  <c r="D1036" i="1" s="1"/>
  <c r="B1036" i="1"/>
  <c r="D1035" i="1"/>
  <c r="C1035" i="1"/>
  <c r="C1034" i="1"/>
  <c r="B1034" i="1"/>
  <c r="C1033" i="1"/>
  <c r="B1033" i="1"/>
  <c r="C1032" i="1"/>
  <c r="B1032" i="1"/>
  <c r="C1031" i="1"/>
  <c r="B1031" i="1"/>
  <c r="D1030" i="1"/>
  <c r="D1031" i="1" s="1"/>
  <c r="D1032" i="1" s="1"/>
  <c r="C1030" i="1"/>
  <c r="C1029" i="1"/>
  <c r="B1029" i="1"/>
  <c r="C1028" i="1"/>
  <c r="B1028" i="1"/>
  <c r="D1027" i="1"/>
  <c r="D1028" i="1" s="1"/>
  <c r="D1029" i="1" s="1"/>
  <c r="C1027" i="1"/>
  <c r="B1027" i="1"/>
  <c r="C1026" i="1"/>
  <c r="B1026" i="1"/>
  <c r="C1025" i="1"/>
  <c r="D1025" i="1" s="1"/>
  <c r="D1026" i="1" s="1"/>
  <c r="B1025" i="1"/>
  <c r="C1024" i="1"/>
  <c r="D1024" i="1" s="1"/>
  <c r="B1024" i="1"/>
  <c r="C1023" i="1"/>
  <c r="D1023" i="1" s="1"/>
  <c r="B1023" i="1"/>
  <c r="C1022" i="1"/>
  <c r="D1022" i="1" s="1"/>
  <c r="C1021" i="1"/>
  <c r="B1021" i="1"/>
  <c r="C1020" i="1"/>
  <c r="B1020" i="1"/>
  <c r="C1019" i="1"/>
  <c r="D1019" i="1" s="1"/>
  <c r="B1019" i="1"/>
  <c r="D1018" i="1"/>
  <c r="C1018" i="1"/>
  <c r="B1018" i="1"/>
  <c r="D1017" i="1"/>
  <c r="C1017" i="1"/>
  <c r="C1016" i="1"/>
  <c r="D1016" i="1" s="1"/>
  <c r="B1016" i="1"/>
  <c r="D1015" i="1"/>
  <c r="C1015" i="1"/>
  <c r="B1015" i="1"/>
  <c r="D1014" i="1"/>
  <c r="C1014" i="1"/>
  <c r="B1014" i="1"/>
  <c r="D1013" i="1"/>
  <c r="C1013" i="1"/>
  <c r="C1012" i="1"/>
  <c r="B1012" i="1"/>
  <c r="C1011" i="1"/>
  <c r="B1011" i="1"/>
  <c r="C1010" i="1"/>
  <c r="B1010" i="1"/>
  <c r="C1009" i="1"/>
  <c r="B1009" i="1"/>
  <c r="C1008" i="1"/>
  <c r="D1008" i="1" s="1"/>
  <c r="D1009" i="1" s="1"/>
  <c r="D1010" i="1" s="1"/>
  <c r="D1011" i="1" s="1"/>
  <c r="D1012" i="1" s="1"/>
  <c r="C1007" i="1"/>
  <c r="B1007" i="1"/>
  <c r="C1006" i="1"/>
  <c r="B1006" i="1"/>
  <c r="C1005" i="1"/>
  <c r="D1005" i="1" s="1"/>
  <c r="D1006" i="1" s="1"/>
  <c r="D1007" i="1" s="1"/>
  <c r="B1005" i="1"/>
  <c r="C1004" i="1"/>
  <c r="B1004" i="1"/>
  <c r="C1003" i="1"/>
  <c r="B1003" i="1"/>
  <c r="C1002" i="1"/>
  <c r="D1002" i="1" s="1"/>
  <c r="B1002" i="1"/>
  <c r="D1001" i="1"/>
  <c r="C1001" i="1"/>
  <c r="B1001" i="1"/>
  <c r="D1000" i="1"/>
  <c r="C1000" i="1"/>
  <c r="C999" i="1"/>
  <c r="B999" i="1"/>
  <c r="C998" i="1"/>
  <c r="B998" i="1"/>
  <c r="C997" i="1"/>
  <c r="B997" i="1"/>
  <c r="D996" i="1"/>
  <c r="D997" i="1" s="1"/>
  <c r="D998" i="1" s="1"/>
  <c r="C996" i="1"/>
  <c r="C995" i="1"/>
  <c r="B995" i="1"/>
  <c r="C994" i="1"/>
  <c r="B994" i="1"/>
  <c r="D993" i="1"/>
  <c r="D994" i="1" s="1"/>
  <c r="D995" i="1" s="1"/>
  <c r="C993" i="1"/>
  <c r="B993" i="1"/>
  <c r="C992" i="1"/>
  <c r="B992" i="1"/>
  <c r="C991" i="1"/>
  <c r="B991" i="1"/>
  <c r="C990" i="1"/>
  <c r="D990" i="1" s="1"/>
  <c r="B990" i="1"/>
  <c r="C989" i="1"/>
  <c r="D989" i="1" s="1"/>
  <c r="B989" i="1"/>
  <c r="C988" i="1"/>
  <c r="D988" i="1" s="1"/>
  <c r="C987" i="1"/>
  <c r="B987" i="1"/>
  <c r="C986" i="1"/>
  <c r="D986" i="1" s="1"/>
  <c r="B986" i="1"/>
  <c r="C985" i="1"/>
  <c r="D985" i="1" s="1"/>
  <c r="C984" i="1"/>
  <c r="B984" i="1"/>
  <c r="C983" i="1"/>
  <c r="B983" i="1"/>
  <c r="C982" i="1"/>
  <c r="D982" i="1" s="1"/>
  <c r="B982" i="1"/>
  <c r="D981" i="1"/>
  <c r="C981" i="1"/>
  <c r="B981" i="1"/>
  <c r="C980" i="1"/>
  <c r="B980" i="1"/>
  <c r="D979" i="1"/>
  <c r="D980" i="1" s="1"/>
  <c r="C979" i="1"/>
  <c r="B979" i="1"/>
  <c r="D978" i="1"/>
  <c r="C978" i="1"/>
  <c r="B978" i="1"/>
  <c r="C977" i="1"/>
  <c r="B977" i="1"/>
  <c r="C976" i="1"/>
  <c r="B976" i="1"/>
  <c r="C975" i="1"/>
  <c r="D975" i="1" s="1"/>
  <c r="B975" i="1"/>
  <c r="C974" i="1"/>
  <c r="D974" i="1" s="1"/>
  <c r="B974" i="1"/>
  <c r="D973" i="1"/>
  <c r="C973" i="1"/>
  <c r="B973" i="1"/>
  <c r="D972" i="1"/>
  <c r="C972" i="1"/>
  <c r="B972" i="1"/>
  <c r="C971" i="1"/>
  <c r="B971" i="1"/>
  <c r="C970" i="1"/>
  <c r="B970" i="1"/>
  <c r="C969" i="1"/>
  <c r="D969" i="1" s="1"/>
  <c r="D970" i="1" s="1"/>
  <c r="D971" i="1" s="1"/>
  <c r="B969" i="1"/>
  <c r="C968" i="1"/>
  <c r="B968" i="1"/>
  <c r="C967" i="1"/>
  <c r="B967" i="1"/>
  <c r="C966" i="1"/>
  <c r="D966" i="1" s="1"/>
  <c r="B966" i="1"/>
  <c r="C965" i="1"/>
  <c r="B965" i="1"/>
  <c r="C964" i="1"/>
  <c r="B964" i="1"/>
  <c r="D963" i="1"/>
  <c r="D964" i="1" s="1"/>
  <c r="D965" i="1" s="1"/>
  <c r="C963" i="1"/>
  <c r="B963" i="1"/>
  <c r="D962" i="1"/>
  <c r="C962" i="1"/>
  <c r="C961" i="1"/>
  <c r="B961" i="1"/>
  <c r="D960" i="1"/>
  <c r="D961" i="1" s="1"/>
  <c r="C960" i="1"/>
  <c r="B960" i="1"/>
  <c r="D959" i="1"/>
  <c r="C959" i="1"/>
  <c r="C958" i="1"/>
  <c r="B958" i="1"/>
  <c r="D957" i="1"/>
  <c r="D958" i="1" s="1"/>
  <c r="C957" i="1"/>
  <c r="B957" i="1"/>
  <c r="D956" i="1"/>
  <c r="C956" i="1"/>
  <c r="B956" i="1"/>
  <c r="C955" i="1"/>
  <c r="D955" i="1" s="1"/>
  <c r="C954" i="1"/>
  <c r="B954" i="1"/>
  <c r="C953" i="1"/>
  <c r="B953" i="1"/>
  <c r="C952" i="1"/>
  <c r="D952" i="1" s="1"/>
  <c r="D953" i="1" s="1"/>
  <c r="D954" i="1" s="1"/>
  <c r="C951" i="1"/>
  <c r="B951" i="1"/>
  <c r="C950" i="1"/>
  <c r="B950" i="1"/>
  <c r="C949" i="1"/>
  <c r="D949" i="1" s="1"/>
  <c r="D950" i="1" s="1"/>
  <c r="D951" i="1" s="1"/>
  <c r="B949" i="1"/>
  <c r="C948" i="1"/>
  <c r="D948" i="1" s="1"/>
  <c r="C947" i="1"/>
  <c r="B947" i="1"/>
  <c r="C946" i="1"/>
  <c r="B946" i="1"/>
  <c r="C945" i="1"/>
  <c r="D945" i="1" s="1"/>
  <c r="C944" i="1"/>
  <c r="B944" i="1"/>
  <c r="C943" i="1"/>
  <c r="B943" i="1"/>
  <c r="C942" i="1"/>
  <c r="D942" i="1" s="1"/>
  <c r="B942" i="1"/>
  <c r="C941" i="1"/>
  <c r="D941" i="1" s="1"/>
  <c r="B941" i="1"/>
  <c r="C940" i="1"/>
  <c r="D940" i="1" s="1"/>
  <c r="B940" i="1"/>
  <c r="D939" i="1"/>
  <c r="C939" i="1"/>
  <c r="B939" i="1"/>
  <c r="D938" i="1"/>
  <c r="C938" i="1"/>
  <c r="C937" i="1"/>
  <c r="D937" i="1" s="1"/>
  <c r="B937" i="1"/>
  <c r="D936" i="1"/>
  <c r="C936" i="1"/>
  <c r="B936" i="1"/>
  <c r="D935" i="1"/>
  <c r="C935" i="1"/>
  <c r="C934" i="1"/>
  <c r="D934" i="1" s="1"/>
  <c r="B934" i="1"/>
  <c r="D933" i="1"/>
  <c r="C933" i="1"/>
  <c r="B933" i="1"/>
  <c r="D932" i="1"/>
  <c r="C932" i="1"/>
  <c r="B932" i="1"/>
  <c r="D931" i="1"/>
  <c r="C931" i="1"/>
  <c r="C930" i="1"/>
  <c r="B930" i="1"/>
  <c r="C929" i="1"/>
  <c r="B929" i="1"/>
  <c r="D928" i="1"/>
  <c r="D929" i="1" s="1"/>
  <c r="D930" i="1" s="1"/>
  <c r="C928" i="1"/>
  <c r="C927" i="1"/>
  <c r="B927" i="1"/>
  <c r="C926" i="1"/>
  <c r="B926" i="1"/>
  <c r="D925" i="1"/>
  <c r="D926" i="1" s="1"/>
  <c r="D927" i="1" s="1"/>
  <c r="C925" i="1"/>
  <c r="B925" i="1"/>
  <c r="D924" i="1"/>
  <c r="C924" i="1"/>
  <c r="C923" i="1"/>
  <c r="B923" i="1"/>
  <c r="D922" i="1"/>
  <c r="D923" i="1" s="1"/>
  <c r="C922" i="1"/>
  <c r="B922" i="1"/>
  <c r="D921" i="1"/>
  <c r="C921" i="1"/>
  <c r="C920" i="1"/>
  <c r="B920" i="1"/>
  <c r="D919" i="1"/>
  <c r="D920" i="1" s="1"/>
  <c r="C919" i="1"/>
  <c r="B919" i="1"/>
  <c r="D918" i="1"/>
  <c r="C918" i="1"/>
  <c r="B918" i="1"/>
  <c r="C917" i="1"/>
  <c r="D917" i="1" s="1"/>
  <c r="C916" i="1"/>
  <c r="B916" i="1"/>
  <c r="C915" i="1"/>
  <c r="B915" i="1"/>
  <c r="C914" i="1"/>
  <c r="D914" i="1" s="1"/>
  <c r="D915" i="1" s="1"/>
  <c r="D916" i="1" s="1"/>
  <c r="C913" i="1"/>
  <c r="B913" i="1"/>
  <c r="C912" i="1"/>
  <c r="B912" i="1"/>
  <c r="C911" i="1"/>
  <c r="D911" i="1" s="1"/>
  <c r="D912" i="1" s="1"/>
  <c r="D913" i="1" s="1"/>
  <c r="B911" i="1"/>
  <c r="C910" i="1"/>
  <c r="D910" i="1" s="1"/>
  <c r="C909" i="1"/>
  <c r="B909" i="1"/>
  <c r="C908" i="1"/>
  <c r="B908" i="1"/>
  <c r="C907" i="1"/>
  <c r="D907" i="1" s="1"/>
  <c r="C906" i="1"/>
  <c r="B906" i="1"/>
  <c r="C905" i="1"/>
  <c r="B905" i="1"/>
  <c r="C904" i="1"/>
  <c r="D904" i="1" s="1"/>
  <c r="B904" i="1"/>
  <c r="C903" i="1"/>
  <c r="D903" i="1" s="1"/>
  <c r="C902" i="1"/>
  <c r="B902" i="1"/>
  <c r="C901" i="1"/>
  <c r="B901" i="1"/>
  <c r="C900" i="1"/>
  <c r="D900" i="1" s="1"/>
  <c r="C899" i="1"/>
  <c r="B899" i="1"/>
  <c r="C898" i="1"/>
  <c r="B898" i="1"/>
  <c r="C897" i="1"/>
  <c r="D897" i="1" s="1"/>
  <c r="B897" i="1"/>
  <c r="C896" i="1"/>
  <c r="D896" i="1" s="1"/>
  <c r="C895" i="1"/>
  <c r="B895" i="1"/>
  <c r="C894" i="1"/>
  <c r="B894" i="1"/>
  <c r="C893" i="1"/>
  <c r="D893" i="1" s="1"/>
  <c r="C892" i="1"/>
  <c r="B892" i="1"/>
  <c r="C891" i="1"/>
  <c r="B891" i="1"/>
  <c r="C890" i="1"/>
  <c r="D890" i="1" s="1"/>
  <c r="B890" i="1"/>
  <c r="D889" i="1"/>
  <c r="C889" i="1"/>
  <c r="C888" i="1"/>
  <c r="D888" i="1" s="1"/>
  <c r="B888" i="1"/>
  <c r="C887" i="1"/>
  <c r="D887" i="1" s="1"/>
  <c r="B887" i="1"/>
  <c r="D886" i="1"/>
  <c r="C886" i="1"/>
  <c r="C885" i="1"/>
  <c r="B885" i="1"/>
  <c r="C884" i="1"/>
  <c r="D884" i="1" s="1"/>
  <c r="B884" i="1"/>
  <c r="D883" i="1"/>
  <c r="C883" i="1"/>
  <c r="B883" i="1"/>
  <c r="D882" i="1"/>
  <c r="C882" i="1"/>
  <c r="C881" i="1"/>
  <c r="D881" i="1" s="1"/>
  <c r="B881" i="1"/>
  <c r="D880" i="1"/>
  <c r="C880" i="1"/>
  <c r="B880" i="1"/>
  <c r="D879" i="1"/>
  <c r="C879" i="1"/>
  <c r="C878" i="1"/>
  <c r="D878" i="1" s="1"/>
  <c r="B878" i="1"/>
  <c r="D877" i="1"/>
  <c r="C877" i="1"/>
  <c r="B877" i="1"/>
  <c r="D876" i="1"/>
  <c r="C876" i="1"/>
  <c r="B876" i="1"/>
  <c r="D875" i="1"/>
  <c r="C875" i="1"/>
  <c r="C874" i="1"/>
  <c r="B874" i="1"/>
  <c r="C873" i="1"/>
  <c r="B873" i="1"/>
  <c r="D872" i="1"/>
  <c r="D873" i="1" s="1"/>
  <c r="D874" i="1" s="1"/>
  <c r="C872" i="1"/>
  <c r="C871" i="1"/>
  <c r="B871" i="1"/>
  <c r="C870" i="1"/>
  <c r="B870" i="1"/>
  <c r="D869" i="1"/>
  <c r="D870" i="1" s="1"/>
  <c r="D871" i="1" s="1"/>
  <c r="C869" i="1"/>
  <c r="B869" i="1"/>
  <c r="D868" i="1"/>
  <c r="C868" i="1"/>
  <c r="C867" i="1"/>
  <c r="B867" i="1"/>
  <c r="D866" i="1"/>
  <c r="D867" i="1" s="1"/>
  <c r="C866" i="1"/>
  <c r="B866" i="1"/>
  <c r="D865" i="1"/>
  <c r="C865" i="1"/>
  <c r="C864" i="1"/>
  <c r="B864" i="1"/>
  <c r="D863" i="1"/>
  <c r="D864" i="1" s="1"/>
  <c r="C863" i="1"/>
  <c r="B863" i="1"/>
  <c r="D862" i="1"/>
  <c r="C862" i="1"/>
  <c r="B862" i="1"/>
  <c r="C861" i="1"/>
  <c r="D861" i="1" s="1"/>
  <c r="C860" i="1"/>
  <c r="B860" i="1"/>
  <c r="C859" i="1"/>
  <c r="B859" i="1"/>
  <c r="C858" i="1"/>
  <c r="D858" i="1" s="1"/>
  <c r="D859" i="1" s="1"/>
  <c r="D860" i="1" s="1"/>
  <c r="C857" i="1"/>
  <c r="B857" i="1"/>
  <c r="C856" i="1"/>
  <c r="B856" i="1"/>
  <c r="C855" i="1"/>
  <c r="D855" i="1" s="1"/>
  <c r="D856" i="1" s="1"/>
  <c r="D857" i="1" s="1"/>
  <c r="B855" i="1"/>
  <c r="C854" i="1"/>
  <c r="D854" i="1" s="1"/>
  <c r="C853" i="1"/>
  <c r="B853" i="1"/>
  <c r="C852" i="1"/>
  <c r="B852" i="1"/>
  <c r="C851" i="1"/>
  <c r="D851" i="1" s="1"/>
  <c r="C850" i="1"/>
  <c r="B850" i="1"/>
  <c r="C849" i="1"/>
  <c r="B849" i="1"/>
  <c r="C848" i="1"/>
  <c r="D848" i="1" s="1"/>
  <c r="B848" i="1"/>
  <c r="C847" i="1"/>
  <c r="D847" i="1" s="1"/>
  <c r="C846" i="1"/>
  <c r="B846" i="1"/>
  <c r="C845" i="1"/>
  <c r="B845" i="1"/>
  <c r="C844" i="1"/>
  <c r="D844" i="1" s="1"/>
  <c r="C843" i="1"/>
  <c r="B843" i="1"/>
  <c r="C842" i="1"/>
  <c r="B842" i="1"/>
  <c r="C841" i="1"/>
  <c r="D841" i="1" s="1"/>
  <c r="B841" i="1"/>
  <c r="C840" i="1"/>
  <c r="D840" i="1" s="1"/>
  <c r="C839" i="1"/>
  <c r="B839" i="1"/>
  <c r="C838" i="1"/>
  <c r="B838" i="1"/>
  <c r="C837" i="1"/>
  <c r="D837" i="1" s="1"/>
  <c r="C836" i="1"/>
  <c r="B836" i="1"/>
  <c r="C835" i="1"/>
  <c r="B835" i="1"/>
  <c r="C834" i="1"/>
  <c r="D834" i="1" s="1"/>
  <c r="B834" i="1"/>
  <c r="D833" i="1"/>
  <c r="C833" i="1"/>
  <c r="C832" i="1"/>
  <c r="D832" i="1" s="1"/>
  <c r="B832" i="1"/>
  <c r="C831" i="1"/>
  <c r="D831" i="1" s="1"/>
  <c r="B831" i="1"/>
  <c r="D830" i="1"/>
  <c r="C830" i="1"/>
  <c r="B830" i="1"/>
  <c r="D829" i="1"/>
  <c r="C829" i="1"/>
  <c r="C828" i="1"/>
  <c r="D828" i="1" s="1"/>
  <c r="B828" i="1"/>
  <c r="D827" i="1"/>
  <c r="C827" i="1"/>
  <c r="B827" i="1"/>
  <c r="D826" i="1"/>
  <c r="C826" i="1"/>
  <c r="B826" i="1"/>
  <c r="D825" i="1"/>
  <c r="C825" i="1"/>
  <c r="B825" i="1"/>
  <c r="D824" i="1"/>
  <c r="C824" i="1"/>
  <c r="B824" i="1"/>
  <c r="C823" i="1"/>
  <c r="D823" i="1" s="1"/>
  <c r="B823" i="1"/>
  <c r="C822" i="1"/>
  <c r="B822" i="1"/>
  <c r="C821" i="1"/>
  <c r="D821" i="1" s="1"/>
  <c r="B821" i="1"/>
  <c r="C820" i="1"/>
  <c r="D820" i="1" s="1"/>
  <c r="B820" i="1"/>
  <c r="C819" i="1"/>
  <c r="B819" i="1"/>
  <c r="C818" i="1"/>
  <c r="B818" i="1"/>
  <c r="C817" i="1"/>
  <c r="B817" i="1"/>
  <c r="C816" i="1"/>
  <c r="B816" i="1"/>
  <c r="C815" i="1"/>
  <c r="D815" i="1" s="1"/>
  <c r="D816" i="1" s="1"/>
  <c r="D817" i="1" s="1"/>
  <c r="D818" i="1" s="1"/>
  <c r="D819" i="1" s="1"/>
  <c r="B815" i="1"/>
  <c r="C814" i="1"/>
  <c r="D814" i="1" s="1"/>
  <c r="B814" i="1"/>
  <c r="C813" i="1"/>
  <c r="D813" i="1" s="1"/>
  <c r="B813" i="1"/>
  <c r="C812" i="1"/>
  <c r="B812" i="1"/>
  <c r="C811" i="1"/>
  <c r="B811" i="1"/>
  <c r="C810" i="1"/>
  <c r="B810" i="1"/>
  <c r="C809" i="1"/>
  <c r="B809" i="1"/>
  <c r="C808" i="1"/>
  <c r="B808" i="1"/>
  <c r="C807" i="1"/>
  <c r="B807" i="1"/>
  <c r="C806" i="1"/>
  <c r="B806" i="1"/>
  <c r="C805" i="1"/>
  <c r="D805" i="1" s="1"/>
  <c r="B805" i="1"/>
  <c r="C804" i="1"/>
  <c r="D804" i="1" s="1"/>
  <c r="B804" i="1"/>
  <c r="C803" i="1"/>
  <c r="B803" i="1"/>
  <c r="C802" i="1"/>
  <c r="B802" i="1"/>
  <c r="C801" i="1"/>
  <c r="B801" i="1"/>
  <c r="C800" i="1"/>
  <c r="B800" i="1"/>
  <c r="C799" i="1"/>
  <c r="D799" i="1" s="1"/>
  <c r="D800" i="1" s="1"/>
  <c r="D801" i="1" s="1"/>
  <c r="D802" i="1" s="1"/>
  <c r="D803" i="1" s="1"/>
  <c r="B799" i="1"/>
  <c r="C798" i="1"/>
  <c r="D798" i="1" s="1"/>
  <c r="B798" i="1"/>
  <c r="C797" i="1"/>
  <c r="D797" i="1" s="1"/>
  <c r="B797" i="1"/>
  <c r="C796" i="1"/>
  <c r="D796" i="1" s="1"/>
  <c r="B796" i="1"/>
  <c r="D795" i="1"/>
  <c r="C795" i="1"/>
  <c r="B795" i="1"/>
  <c r="D794" i="1"/>
  <c r="C794" i="1"/>
  <c r="B794" i="1"/>
  <c r="D793" i="1"/>
  <c r="C793" i="1"/>
  <c r="B793" i="1"/>
  <c r="D792" i="1"/>
  <c r="C792" i="1"/>
  <c r="B792" i="1"/>
  <c r="C791" i="1"/>
  <c r="D791" i="1" s="1"/>
  <c r="B791" i="1"/>
  <c r="C790" i="1"/>
  <c r="B790" i="1"/>
  <c r="C789" i="1"/>
  <c r="D789" i="1" s="1"/>
  <c r="B789" i="1"/>
  <c r="C788" i="1"/>
  <c r="D788" i="1" s="1"/>
  <c r="B788" i="1"/>
  <c r="D787" i="1"/>
  <c r="C787" i="1"/>
  <c r="B787" i="1"/>
  <c r="D786" i="1"/>
  <c r="C786" i="1"/>
  <c r="B786" i="1"/>
  <c r="D785" i="1"/>
  <c r="C785" i="1"/>
  <c r="B785" i="1"/>
  <c r="C784" i="1"/>
  <c r="B784" i="1"/>
  <c r="C783" i="1"/>
  <c r="B783" i="1"/>
  <c r="C782" i="1"/>
  <c r="D782" i="1" s="1"/>
  <c r="B782" i="1"/>
  <c r="C781" i="1"/>
  <c r="D781" i="1" s="1"/>
  <c r="B781" i="1"/>
  <c r="C780" i="1"/>
  <c r="D780" i="1" s="1"/>
  <c r="B780" i="1"/>
  <c r="C779" i="1"/>
  <c r="B779" i="1"/>
  <c r="C778" i="1"/>
  <c r="B778" i="1"/>
  <c r="D777" i="1"/>
  <c r="D778" i="1" s="1"/>
  <c r="D779" i="1" s="1"/>
  <c r="C777" i="1"/>
  <c r="B777" i="1"/>
  <c r="D776" i="1"/>
  <c r="C776" i="1"/>
  <c r="B776" i="1"/>
  <c r="C775" i="1"/>
  <c r="D775" i="1" s="1"/>
  <c r="B775" i="1"/>
  <c r="C774" i="1"/>
  <c r="D774" i="1" s="1"/>
  <c r="B774" i="1"/>
  <c r="C773" i="1"/>
  <c r="D773" i="1" s="1"/>
  <c r="B773" i="1"/>
  <c r="C772" i="1"/>
  <c r="D772" i="1" s="1"/>
  <c r="B772" i="1"/>
  <c r="D771" i="1"/>
  <c r="C771" i="1"/>
  <c r="B771" i="1"/>
  <c r="D770" i="1"/>
  <c r="C770" i="1"/>
  <c r="B770" i="1"/>
  <c r="D769" i="1"/>
  <c r="C769" i="1"/>
  <c r="B769" i="1"/>
  <c r="C768" i="1"/>
  <c r="B768" i="1"/>
  <c r="C767" i="1"/>
  <c r="B767" i="1"/>
  <c r="C766" i="1"/>
  <c r="B766" i="1"/>
  <c r="C765" i="1"/>
  <c r="D765" i="1" s="1"/>
  <c r="B765" i="1"/>
  <c r="C764" i="1"/>
  <c r="D764" i="1" s="1"/>
  <c r="B764" i="1"/>
  <c r="C763" i="1"/>
  <c r="B763" i="1"/>
  <c r="C762" i="1"/>
  <c r="B762" i="1"/>
  <c r="C761" i="1"/>
  <c r="B761" i="1"/>
  <c r="C760" i="1"/>
  <c r="B760" i="1"/>
  <c r="C759" i="1"/>
  <c r="D759" i="1" s="1"/>
  <c r="D760" i="1" s="1"/>
  <c r="D761" i="1" s="1"/>
  <c r="D762" i="1" s="1"/>
  <c r="D763" i="1" s="1"/>
  <c r="B759" i="1"/>
  <c r="C758" i="1"/>
  <c r="D758" i="1" s="1"/>
  <c r="B758" i="1"/>
  <c r="C757" i="1"/>
  <c r="B757" i="1"/>
  <c r="C756" i="1"/>
  <c r="B756" i="1"/>
  <c r="C755" i="1"/>
  <c r="B755" i="1"/>
  <c r="C754" i="1"/>
  <c r="B754" i="1"/>
  <c r="D753" i="1"/>
  <c r="D754" i="1" s="1"/>
  <c r="D755" i="1" s="1"/>
  <c r="C753" i="1"/>
  <c r="B753" i="1"/>
  <c r="D752" i="1"/>
  <c r="C752" i="1"/>
  <c r="B752" i="1"/>
  <c r="C751" i="1"/>
  <c r="D751" i="1" s="1"/>
  <c r="B751" i="1"/>
  <c r="C750" i="1"/>
  <c r="B750" i="1"/>
  <c r="C749" i="1"/>
  <c r="B749" i="1"/>
  <c r="C748" i="1"/>
  <c r="D748" i="1" s="1"/>
  <c r="B748" i="1"/>
  <c r="D747" i="1"/>
  <c r="C747" i="1"/>
  <c r="B747" i="1"/>
  <c r="D746" i="1"/>
  <c r="C746" i="1"/>
  <c r="B746" i="1"/>
  <c r="C745" i="1"/>
  <c r="B745" i="1"/>
  <c r="C744" i="1"/>
  <c r="B744" i="1"/>
  <c r="C743" i="1"/>
  <c r="B743" i="1"/>
  <c r="C742" i="1"/>
  <c r="B742" i="1"/>
  <c r="C741" i="1"/>
  <c r="D741" i="1" s="1"/>
  <c r="B741" i="1"/>
  <c r="C740" i="1"/>
  <c r="D740" i="1" s="1"/>
  <c r="B740" i="1"/>
  <c r="C739" i="1"/>
  <c r="B739" i="1"/>
  <c r="C738" i="1"/>
  <c r="B738" i="1"/>
  <c r="C737" i="1"/>
  <c r="B737" i="1"/>
  <c r="C736" i="1"/>
  <c r="B736" i="1"/>
  <c r="C735" i="1"/>
  <c r="D735" i="1" s="1"/>
  <c r="D736" i="1" s="1"/>
  <c r="D737" i="1" s="1"/>
  <c r="D738" i="1" s="1"/>
  <c r="D739" i="1" s="1"/>
  <c r="B735" i="1"/>
  <c r="C734" i="1"/>
  <c r="D734" i="1" s="1"/>
  <c r="B734" i="1"/>
  <c r="C733" i="1"/>
  <c r="D733" i="1" s="1"/>
  <c r="B733" i="1"/>
  <c r="C732" i="1"/>
  <c r="D732" i="1" s="1"/>
  <c r="B732" i="1"/>
  <c r="D731" i="1"/>
  <c r="C731" i="1"/>
  <c r="B731" i="1"/>
  <c r="C730" i="1"/>
  <c r="B730" i="1"/>
  <c r="C729" i="1"/>
  <c r="B729" i="1"/>
  <c r="C728" i="1"/>
  <c r="B728" i="1"/>
  <c r="C727" i="1"/>
  <c r="D727" i="1" s="1"/>
  <c r="D728" i="1" s="1"/>
  <c r="D729" i="1" s="1"/>
  <c r="D730" i="1" s="1"/>
  <c r="B727" i="1"/>
  <c r="C726" i="1"/>
  <c r="B726" i="1"/>
  <c r="C725" i="1"/>
  <c r="D725" i="1" s="1"/>
  <c r="B725" i="1"/>
  <c r="C724" i="1"/>
  <c r="D724" i="1" s="1"/>
  <c r="B724" i="1"/>
  <c r="D723" i="1"/>
  <c r="C723" i="1"/>
  <c r="B723" i="1"/>
  <c r="D722" i="1"/>
  <c r="C722" i="1"/>
  <c r="B722" i="1"/>
  <c r="D721" i="1"/>
  <c r="C721" i="1"/>
  <c r="B721" i="1"/>
  <c r="C720" i="1"/>
  <c r="B720" i="1"/>
  <c r="C719" i="1"/>
  <c r="B719" i="1"/>
  <c r="C718" i="1"/>
  <c r="B718" i="1"/>
  <c r="C717" i="1"/>
  <c r="D717" i="1" s="1"/>
  <c r="B717" i="1"/>
  <c r="C716" i="1"/>
  <c r="B716" i="1"/>
  <c r="C715" i="1"/>
  <c r="B715" i="1"/>
  <c r="C714" i="1"/>
  <c r="B714" i="1"/>
  <c r="D713" i="1"/>
  <c r="D714" i="1" s="1"/>
  <c r="D715" i="1" s="1"/>
  <c r="C713" i="1"/>
  <c r="B713" i="1"/>
  <c r="D712" i="1"/>
  <c r="C712" i="1"/>
  <c r="B712" i="1"/>
  <c r="C711" i="1"/>
  <c r="D711" i="1" s="1"/>
  <c r="B711" i="1"/>
  <c r="C710" i="1"/>
  <c r="B710" i="1"/>
  <c r="C709" i="1"/>
  <c r="B709" i="1"/>
  <c r="C708" i="1"/>
  <c r="D708" i="1" s="1"/>
  <c r="B708" i="1"/>
  <c r="C707" i="1"/>
  <c r="B707" i="1"/>
  <c r="C706" i="1"/>
  <c r="B706" i="1"/>
  <c r="D705" i="1"/>
  <c r="D706" i="1" s="1"/>
  <c r="D707" i="1" s="1"/>
  <c r="C705" i="1"/>
  <c r="B705" i="1"/>
  <c r="C704" i="1"/>
  <c r="B704" i="1"/>
  <c r="C703" i="1"/>
  <c r="B703" i="1"/>
  <c r="C702" i="1"/>
  <c r="D702" i="1" s="1"/>
  <c r="B702" i="1"/>
  <c r="C701" i="1"/>
  <c r="B701" i="1"/>
  <c r="C700" i="1"/>
  <c r="D700" i="1" s="1"/>
  <c r="B700" i="1"/>
  <c r="D699" i="1"/>
  <c r="C699" i="1"/>
  <c r="B699" i="1"/>
  <c r="D698" i="1"/>
  <c r="C698" i="1"/>
  <c r="B698" i="1"/>
  <c r="D697" i="1"/>
  <c r="C697" i="1"/>
  <c r="B697" i="1"/>
  <c r="D696" i="1"/>
  <c r="C696" i="1"/>
  <c r="B696" i="1"/>
  <c r="C695" i="1"/>
  <c r="B695" i="1"/>
  <c r="C694" i="1"/>
  <c r="B694" i="1"/>
  <c r="C693" i="1"/>
  <c r="B693" i="1"/>
  <c r="C692" i="1"/>
  <c r="D692" i="1" s="1"/>
  <c r="B692" i="1"/>
  <c r="C691" i="1"/>
  <c r="B691" i="1"/>
  <c r="C690" i="1"/>
  <c r="B690" i="1"/>
  <c r="C689" i="1"/>
  <c r="B689" i="1"/>
  <c r="C688" i="1"/>
  <c r="B688" i="1"/>
  <c r="C687" i="1"/>
  <c r="D687" i="1" s="1"/>
  <c r="D688" i="1" s="1"/>
  <c r="D689" i="1" s="1"/>
  <c r="D690" i="1" s="1"/>
  <c r="D691" i="1" s="1"/>
  <c r="B687" i="1"/>
  <c r="C686" i="1"/>
  <c r="D686" i="1" s="1"/>
  <c r="B686" i="1"/>
  <c r="C685" i="1"/>
  <c r="B685" i="1"/>
  <c r="C684" i="1"/>
  <c r="D684" i="1" s="1"/>
  <c r="B684" i="1"/>
  <c r="D683" i="1"/>
  <c r="C683" i="1"/>
  <c r="B683" i="1"/>
  <c r="C682" i="1"/>
  <c r="B682" i="1"/>
  <c r="D681" i="1"/>
  <c r="D682" i="1" s="1"/>
  <c r="C681" i="1"/>
  <c r="B681" i="1"/>
  <c r="D680" i="1"/>
  <c r="C680" i="1"/>
  <c r="B680" i="1"/>
  <c r="C679" i="1"/>
  <c r="B679" i="1"/>
  <c r="C678" i="1"/>
  <c r="D678" i="1" s="1"/>
  <c r="B678" i="1"/>
  <c r="C677" i="1"/>
  <c r="D677" i="1" s="1"/>
  <c r="B677" i="1"/>
  <c r="C676" i="1"/>
  <c r="B676" i="1"/>
  <c r="C675" i="1"/>
  <c r="B675" i="1"/>
  <c r="C674" i="1"/>
  <c r="B674" i="1"/>
  <c r="D673" i="1"/>
  <c r="D674" i="1" s="1"/>
  <c r="D675" i="1" s="1"/>
  <c r="C673" i="1"/>
  <c r="B673" i="1"/>
  <c r="D672" i="1"/>
  <c r="C672" i="1"/>
  <c r="B672" i="1"/>
  <c r="C671" i="1"/>
  <c r="D671" i="1" s="1"/>
  <c r="B671" i="1"/>
  <c r="C670" i="1"/>
  <c r="D670" i="1" s="1"/>
  <c r="B670" i="1"/>
  <c r="C669" i="1"/>
  <c r="D669" i="1" s="1"/>
  <c r="B669" i="1"/>
  <c r="C668" i="1"/>
  <c r="D668" i="1" s="1"/>
  <c r="B668" i="1"/>
  <c r="D667" i="1"/>
  <c r="C667" i="1"/>
  <c r="B667" i="1"/>
  <c r="C666" i="1"/>
  <c r="B666" i="1"/>
  <c r="C665" i="1"/>
  <c r="B665" i="1"/>
  <c r="C664" i="1"/>
  <c r="B664" i="1"/>
  <c r="C663" i="1"/>
  <c r="D663" i="1" s="1"/>
  <c r="D664" i="1" s="1"/>
  <c r="D665" i="1" s="1"/>
  <c r="D666" i="1" s="1"/>
  <c r="B663" i="1"/>
  <c r="C662" i="1"/>
  <c r="D662" i="1" s="1"/>
  <c r="B662" i="1"/>
  <c r="C661" i="1"/>
  <c r="D661" i="1" s="1"/>
  <c r="B661" i="1"/>
  <c r="C660" i="1"/>
  <c r="D660" i="1" s="1"/>
  <c r="B660" i="1"/>
  <c r="D659" i="1"/>
  <c r="C659" i="1"/>
  <c r="B659" i="1"/>
  <c r="D658" i="1"/>
  <c r="C658" i="1"/>
  <c r="B658" i="1"/>
  <c r="C657" i="1"/>
  <c r="B657" i="1"/>
  <c r="C656" i="1"/>
  <c r="B656" i="1"/>
  <c r="C655" i="1"/>
  <c r="D655" i="1" s="1"/>
  <c r="D656" i="1" s="1"/>
  <c r="D657" i="1" s="1"/>
  <c r="B655" i="1"/>
  <c r="C654" i="1"/>
  <c r="B654" i="1"/>
  <c r="C653" i="1"/>
  <c r="B653" i="1"/>
  <c r="C652" i="1"/>
  <c r="D652" i="1" s="1"/>
  <c r="B652" i="1"/>
  <c r="C651" i="1"/>
  <c r="B651" i="1"/>
  <c r="C650" i="1"/>
  <c r="B650" i="1"/>
  <c r="D649" i="1"/>
  <c r="D650" i="1" s="1"/>
  <c r="D651" i="1" s="1"/>
  <c r="C649" i="1"/>
  <c r="B649" i="1"/>
  <c r="D648" i="1"/>
  <c r="C648" i="1"/>
  <c r="B648" i="1"/>
  <c r="C647" i="1"/>
  <c r="D647" i="1" s="1"/>
  <c r="B647" i="1"/>
  <c r="C646" i="1"/>
  <c r="D646" i="1" s="1"/>
  <c r="B646" i="1"/>
  <c r="C645" i="1"/>
  <c r="D645" i="1" s="1"/>
  <c r="B645" i="1"/>
  <c r="C644" i="1"/>
  <c r="D644" i="1" s="1"/>
  <c r="B644" i="1"/>
  <c r="D643" i="1"/>
  <c r="C643" i="1"/>
  <c r="B643" i="1"/>
  <c r="D642" i="1"/>
  <c r="C642" i="1"/>
  <c r="B642" i="1"/>
  <c r="C641" i="1"/>
  <c r="B641" i="1"/>
  <c r="C640" i="1"/>
  <c r="B640" i="1"/>
  <c r="C639" i="1"/>
  <c r="B639" i="1"/>
  <c r="C638" i="1"/>
  <c r="D638" i="1" s="1"/>
  <c r="B638" i="1"/>
  <c r="C637" i="1"/>
  <c r="D637" i="1" s="1"/>
  <c r="B637" i="1"/>
  <c r="C636" i="1"/>
  <c r="D636" i="1" s="1"/>
  <c r="B636" i="1"/>
  <c r="D635" i="1"/>
  <c r="C635" i="1"/>
  <c r="B635" i="1"/>
  <c r="D634" i="1"/>
  <c r="C634" i="1"/>
  <c r="B634" i="1"/>
  <c r="C633" i="1"/>
  <c r="B633" i="1"/>
  <c r="C632" i="1"/>
  <c r="B632" i="1"/>
  <c r="C631" i="1"/>
  <c r="D631" i="1" s="1"/>
  <c r="D632" i="1" s="1"/>
  <c r="D633" i="1" s="1"/>
  <c r="B631" i="1"/>
  <c r="C630" i="1"/>
  <c r="D630" i="1" s="1"/>
  <c r="B630" i="1"/>
  <c r="C629" i="1"/>
  <c r="D629" i="1" s="1"/>
  <c r="B629" i="1"/>
  <c r="C628" i="1"/>
  <c r="B628" i="1"/>
  <c r="C627" i="1"/>
  <c r="B627" i="1"/>
  <c r="C626" i="1"/>
  <c r="B626" i="1"/>
  <c r="D625" i="1"/>
  <c r="D626" i="1" s="1"/>
  <c r="D627" i="1" s="1"/>
  <c r="C625" i="1"/>
  <c r="B625" i="1"/>
  <c r="D624" i="1"/>
  <c r="C624" i="1"/>
  <c r="B624" i="1"/>
  <c r="C623" i="1"/>
  <c r="D623" i="1" s="1"/>
  <c r="B623" i="1"/>
  <c r="C622" i="1"/>
  <c r="D622" i="1" s="1"/>
  <c r="B622" i="1"/>
  <c r="C621" i="1"/>
  <c r="D621" i="1" s="1"/>
  <c r="B621" i="1"/>
  <c r="C620" i="1"/>
  <c r="D620" i="1" s="1"/>
  <c r="B620" i="1"/>
  <c r="C619" i="1"/>
  <c r="B619" i="1"/>
  <c r="C618" i="1"/>
  <c r="B618" i="1"/>
  <c r="D617" i="1"/>
  <c r="D618" i="1" s="1"/>
  <c r="D619" i="1" s="1"/>
  <c r="C617" i="1"/>
  <c r="B617" i="1"/>
  <c r="D616" i="1"/>
  <c r="C616" i="1"/>
  <c r="B616" i="1"/>
  <c r="C615" i="1"/>
  <c r="D615" i="1" s="1"/>
  <c r="B615" i="1"/>
  <c r="C614" i="1"/>
  <c r="B614" i="1"/>
  <c r="C613" i="1"/>
  <c r="D613" i="1" s="1"/>
  <c r="B613" i="1"/>
  <c r="C612" i="1"/>
  <c r="D612" i="1" s="1"/>
  <c r="B612" i="1"/>
  <c r="D611" i="1"/>
  <c r="C611" i="1"/>
  <c r="B611" i="1"/>
  <c r="C610" i="1"/>
  <c r="B610" i="1"/>
  <c r="C609" i="1"/>
  <c r="B609" i="1"/>
  <c r="C608" i="1"/>
  <c r="B608" i="1"/>
  <c r="C607" i="1"/>
  <c r="B607" i="1"/>
  <c r="C606" i="1"/>
  <c r="D606" i="1" s="1"/>
  <c r="B606" i="1"/>
  <c r="C605" i="1"/>
  <c r="D605" i="1" s="1"/>
  <c r="B605" i="1"/>
  <c r="C604" i="1"/>
  <c r="D604" i="1" s="1"/>
  <c r="B604" i="1"/>
  <c r="D603" i="1"/>
  <c r="C603" i="1"/>
  <c r="B603" i="1"/>
  <c r="C602" i="1"/>
  <c r="B602" i="1"/>
  <c r="C601" i="1"/>
  <c r="B601" i="1"/>
  <c r="C600" i="1"/>
  <c r="B600" i="1"/>
  <c r="C599" i="1"/>
  <c r="B599" i="1"/>
  <c r="C598" i="1"/>
  <c r="D598" i="1" s="1"/>
  <c r="B598" i="1"/>
  <c r="C597" i="1"/>
  <c r="D597" i="1" s="1"/>
  <c r="B597" i="1"/>
  <c r="C596" i="1"/>
  <c r="B596" i="1"/>
  <c r="C595" i="1"/>
  <c r="B595" i="1"/>
  <c r="C594" i="1"/>
  <c r="B594" i="1"/>
  <c r="D593" i="1"/>
  <c r="D594" i="1" s="1"/>
  <c r="D595" i="1" s="1"/>
  <c r="C593" i="1"/>
  <c r="B593" i="1"/>
  <c r="D592" i="1"/>
  <c r="C592" i="1"/>
  <c r="B592" i="1"/>
  <c r="C591" i="1"/>
  <c r="D591" i="1" s="1"/>
  <c r="B591" i="1"/>
  <c r="C590" i="1"/>
  <c r="D590" i="1" s="1"/>
  <c r="B590" i="1"/>
  <c r="C589" i="1"/>
  <c r="D589" i="1" s="1"/>
  <c r="B589" i="1"/>
  <c r="C588" i="1"/>
  <c r="D588" i="1" s="1"/>
  <c r="B588" i="1"/>
  <c r="D587" i="1"/>
  <c r="C587" i="1"/>
  <c r="B587" i="1"/>
  <c r="D586" i="1"/>
  <c r="C586" i="1"/>
  <c r="B586" i="1"/>
  <c r="C585" i="1"/>
  <c r="B585" i="1"/>
  <c r="C584" i="1"/>
  <c r="B584" i="1"/>
  <c r="C583" i="1"/>
  <c r="B583" i="1"/>
  <c r="C582" i="1"/>
  <c r="B582" i="1"/>
  <c r="C581" i="1"/>
  <c r="B581" i="1"/>
  <c r="C580" i="1"/>
  <c r="D580" i="1" s="1"/>
  <c r="B580" i="1"/>
  <c r="D579" i="1"/>
  <c r="C579" i="1"/>
  <c r="B579" i="1"/>
  <c r="D578" i="1"/>
  <c r="C578" i="1"/>
  <c r="B578" i="1"/>
  <c r="C577" i="1"/>
  <c r="B577" i="1"/>
  <c r="C576" i="1"/>
  <c r="B576" i="1"/>
  <c r="C575" i="1"/>
  <c r="D575" i="1" s="1"/>
  <c r="D576" i="1" s="1"/>
  <c r="D577" i="1" s="1"/>
  <c r="B575" i="1"/>
  <c r="C574" i="1"/>
  <c r="D574" i="1" s="1"/>
  <c r="B574" i="1"/>
  <c r="C573" i="1"/>
  <c r="B573" i="1"/>
  <c r="C572" i="1"/>
  <c r="B572" i="1"/>
  <c r="C571" i="1"/>
  <c r="B571" i="1"/>
  <c r="C570" i="1"/>
  <c r="B570" i="1"/>
  <c r="D569" i="1"/>
  <c r="D570" i="1" s="1"/>
  <c r="D571" i="1" s="1"/>
  <c r="C569" i="1"/>
  <c r="B569" i="1"/>
  <c r="D568" i="1"/>
  <c r="C568" i="1"/>
  <c r="B568" i="1"/>
  <c r="C567" i="1"/>
  <c r="D567" i="1" s="1"/>
  <c r="B567" i="1"/>
  <c r="C566" i="1"/>
  <c r="D566" i="1" s="1"/>
  <c r="B566" i="1"/>
  <c r="C565" i="1"/>
  <c r="D565" i="1" s="1"/>
  <c r="B565" i="1"/>
  <c r="C564" i="1"/>
  <c r="D564" i="1" s="1"/>
  <c r="B564" i="1"/>
  <c r="D563" i="1"/>
  <c r="C563" i="1"/>
  <c r="B563" i="1"/>
  <c r="D562" i="1"/>
  <c r="C562" i="1"/>
  <c r="B562" i="1"/>
  <c r="C561" i="1"/>
  <c r="B561" i="1"/>
  <c r="C560" i="1"/>
  <c r="B560" i="1"/>
  <c r="C559" i="1"/>
  <c r="D559" i="1" s="1"/>
  <c r="D560" i="1" s="1"/>
  <c r="D561" i="1" s="1"/>
  <c r="B559" i="1"/>
  <c r="C558" i="1"/>
  <c r="D558" i="1" s="1"/>
  <c r="B558" i="1"/>
  <c r="C557" i="1"/>
  <c r="D557" i="1" s="1"/>
  <c r="B557" i="1"/>
  <c r="C556" i="1"/>
  <c r="D556" i="1" s="1"/>
  <c r="B556" i="1"/>
  <c r="C555" i="1"/>
  <c r="B555" i="1"/>
  <c r="C554" i="1"/>
  <c r="B554" i="1"/>
  <c r="C553" i="1"/>
  <c r="B553" i="1"/>
  <c r="D554" i="1" s="1"/>
  <c r="D555" i="1" s="1"/>
  <c r="D991" i="1" l="1"/>
  <c r="D992" i="1" s="1"/>
  <c r="D1033" i="1"/>
  <c r="D1089" i="1"/>
  <c r="D1198" i="1"/>
  <c r="D1199" i="1" s="1"/>
  <c r="D599" i="1"/>
  <c r="D600" i="1" s="1"/>
  <c r="D601" i="1" s="1"/>
  <c r="D602" i="1" s="1"/>
  <c r="D614" i="1"/>
  <c r="D628" i="1"/>
  <c r="D639" i="1"/>
  <c r="D640" i="1" s="1"/>
  <c r="D641" i="1" s="1"/>
  <c r="D653" i="1"/>
  <c r="D685" i="1"/>
  <c r="D693" i="1"/>
  <c r="D703" i="1"/>
  <c r="D704" i="1" s="1"/>
  <c r="D783" i="1"/>
  <c r="D784" i="1" s="1"/>
  <c r="D842" i="1"/>
  <c r="D843" i="1" s="1"/>
  <c r="D885" i="1"/>
  <c r="D898" i="1"/>
  <c r="D976" i="1"/>
  <c r="D987" i="1"/>
  <c r="D999" i="1"/>
  <c r="D1070" i="1"/>
  <c r="D1094" i="1"/>
  <c r="D1095" i="1" s="1"/>
  <c r="D1150" i="1"/>
  <c r="D1151" i="1" s="1"/>
  <c r="D1152" i="1" s="1"/>
  <c r="D1157" i="1"/>
  <c r="D1180" i="1"/>
  <c r="D1191" i="1"/>
  <c r="D1192" i="1" s="1"/>
  <c r="D581" i="1"/>
  <c r="D607" i="1"/>
  <c r="D608" i="1" s="1"/>
  <c r="D609" i="1" s="1"/>
  <c r="D610" i="1" s="1"/>
  <c r="D679" i="1"/>
  <c r="D718" i="1"/>
  <c r="D766" i="1"/>
  <c r="D790" i="1"/>
  <c r="D838" i="1"/>
  <c r="D852" i="1"/>
  <c r="D853" i="1" s="1"/>
  <c r="D894" i="1"/>
  <c r="D908" i="1"/>
  <c r="D909" i="1" s="1"/>
  <c r="D946" i="1"/>
  <c r="D947" i="1" s="1"/>
  <c r="D983" i="1"/>
  <c r="D984" i="1" s="1"/>
  <c r="D1003" i="1"/>
  <c r="D1034" i="1"/>
  <c r="D1038" i="1"/>
  <c r="D1052" i="1"/>
  <c r="D1099" i="1"/>
  <c r="D1169" i="1"/>
  <c r="D968" i="1"/>
  <c r="D654" i="1"/>
  <c r="D694" i="1"/>
  <c r="D899" i="1"/>
  <c r="D977" i="1"/>
  <c r="D1071" i="1"/>
  <c r="D1072" i="1" s="1"/>
  <c r="D1073" i="1" s="1"/>
  <c r="D1074" i="1" s="1"/>
  <c r="D1147" i="1"/>
  <c r="D1158" i="1"/>
  <c r="D582" i="1"/>
  <c r="D596" i="1"/>
  <c r="D676" i="1"/>
  <c r="D719" i="1"/>
  <c r="D720" i="1" s="1"/>
  <c r="D767" i="1"/>
  <c r="D768" i="1" s="1"/>
  <c r="D839" i="1"/>
  <c r="D895" i="1"/>
  <c r="D1004" i="1"/>
  <c r="D1039" i="1"/>
  <c r="D1053" i="1"/>
  <c r="D1170" i="1"/>
  <c r="D1171" i="1" s="1"/>
  <c r="D1172" i="1" s="1"/>
  <c r="D1200" i="1"/>
  <c r="D695" i="1"/>
  <c r="D701" i="1"/>
  <c r="D726" i="1"/>
  <c r="D835" i="1"/>
  <c r="D836" i="1" s="1"/>
  <c r="D849" i="1"/>
  <c r="D850" i="1" s="1"/>
  <c r="D891" i="1"/>
  <c r="D892" i="1" s="1"/>
  <c r="D905" i="1"/>
  <c r="D906" i="1" s="1"/>
  <c r="D943" i="1"/>
  <c r="D944" i="1" s="1"/>
  <c r="D967" i="1"/>
  <c r="D1061" i="1"/>
  <c r="D1062" i="1" s="1"/>
  <c r="D1144" i="1"/>
  <c r="D1212" i="1"/>
  <c r="D572" i="1"/>
  <c r="D573" i="1" s="1"/>
  <c r="D583" i="1"/>
  <c r="D584" i="1" s="1"/>
  <c r="D585" i="1" s="1"/>
  <c r="D709" i="1"/>
  <c r="D710" i="1" s="1"/>
  <c r="D716" i="1"/>
  <c r="D742" i="1"/>
  <c r="D743" i="1" s="1"/>
  <c r="D744" i="1" s="1"/>
  <c r="D745" i="1" s="1"/>
  <c r="D749" i="1"/>
  <c r="D750" i="1" s="1"/>
  <c r="D756" i="1"/>
  <c r="D757" i="1" s="1"/>
  <c r="D806" i="1"/>
  <c r="D807" i="1" s="1"/>
  <c r="D808" i="1" s="1"/>
  <c r="D809" i="1" s="1"/>
  <c r="D810" i="1" s="1"/>
  <c r="D811" i="1" s="1"/>
  <c r="D812" i="1" s="1"/>
  <c r="D822" i="1"/>
  <c r="D845" i="1"/>
  <c r="D846" i="1" s="1"/>
  <c r="D901" i="1"/>
  <c r="D902" i="1" s="1"/>
  <c r="D1020" i="1"/>
  <c r="D1021" i="1" s="1"/>
  <c r="D1205" i="1"/>
  <c r="BM1465" i="3"/>
  <c r="BM1484" i="3"/>
  <c r="BM1501" i="3"/>
  <c r="BM1516" i="3"/>
  <c r="BM1533" i="3"/>
  <c r="BM1565" i="3"/>
  <c r="BM1597" i="3"/>
  <c r="BM1669" i="3"/>
  <c r="BM1352" i="3"/>
  <c r="BM1384" i="3"/>
  <c r="BM1416" i="3"/>
  <c r="BM1436" i="3"/>
  <c r="BM1452" i="3"/>
  <c r="BM1468" i="3"/>
  <c r="BM1489" i="3"/>
  <c r="BM1504" i="3"/>
  <c r="BM1521" i="3"/>
  <c r="BM1536" i="3"/>
  <c r="BM1553" i="3"/>
  <c r="BM1585" i="3"/>
  <c r="BM1617" i="3"/>
  <c r="BM1649" i="3"/>
  <c r="BM1376" i="3"/>
  <c r="BM1408" i="3"/>
  <c r="BM1432" i="3"/>
  <c r="BM1448" i="3"/>
  <c r="BM1464" i="3"/>
  <c r="BM1724" i="3"/>
  <c r="BM1764" i="3"/>
  <c r="BM1803" i="3"/>
  <c r="BM1711" i="3"/>
  <c r="BM1368" i="3"/>
  <c r="BM1400" i="3"/>
  <c r="BM1428" i="3"/>
  <c r="BM1444" i="3"/>
  <c r="BM1460" i="3"/>
  <c r="BM1766" i="3"/>
  <c r="F1768" i="3"/>
  <c r="F1769" i="3" s="1"/>
  <c r="BM1781" i="3"/>
  <c r="BM1364" i="3"/>
  <c r="BM1396" i="3"/>
  <c r="BM1437" i="3"/>
  <c r="BM1453" i="3"/>
  <c r="BM1469" i="3"/>
  <c r="BM1493" i="3"/>
  <c r="BM1508" i="3"/>
  <c r="BM1525" i="3"/>
  <c r="BM1540" i="3"/>
  <c r="BM1557" i="3"/>
  <c r="BM1589" i="3"/>
  <c r="BM1621" i="3"/>
  <c r="BM1629" i="3"/>
  <c r="BM1637" i="3"/>
  <c r="BM1645" i="3"/>
  <c r="BY15" i="4"/>
  <c r="BW15" i="4"/>
  <c r="H16" i="4"/>
  <c r="BW16" i="4" s="1"/>
  <c r="BM1360" i="3"/>
  <c r="BM1392" i="3"/>
  <c r="BM1424" i="3"/>
  <c r="BM1440" i="3"/>
  <c r="BM1456" i="3"/>
  <c r="BM1472" i="3"/>
  <c r="BM1481" i="3"/>
  <c r="BM1496" i="3"/>
  <c r="BM1513" i="3"/>
  <c r="BM1528" i="3"/>
  <c r="BM1545" i="3"/>
  <c r="BM1577" i="3"/>
  <c r="BM1609" i="3"/>
  <c r="BM1657" i="3"/>
  <c r="C1711" i="3"/>
  <c r="BC1711" i="3" s="1"/>
  <c r="C1724" i="3"/>
  <c r="BC1724" i="3" s="1"/>
  <c r="C1747" i="3"/>
  <c r="BC1747" i="3" s="1"/>
  <c r="C1758" i="3"/>
  <c r="BC1758" i="3" s="1"/>
  <c r="C1766" i="3"/>
  <c r="BC1766" i="3" s="1"/>
  <c r="C1773" i="3"/>
  <c r="BC1773" i="3" s="1"/>
  <c r="C1781" i="3"/>
  <c r="BC1781" i="3" s="1"/>
  <c r="C1787" i="3"/>
  <c r="BC1787" i="3" s="1"/>
  <c r="C1795" i="3"/>
  <c r="BC1795" i="3" s="1"/>
  <c r="C1803" i="3"/>
  <c r="BC1803" i="3" s="1"/>
  <c r="CD3" i="4"/>
  <c r="CC5" i="4"/>
  <c r="BV5" i="4" s="1"/>
  <c r="BX5" i="4" s="1"/>
  <c r="CA7" i="4"/>
  <c r="D8" i="4"/>
  <c r="AY8" i="4" s="1"/>
  <c r="CA8" i="4"/>
  <c r="CE10" i="4"/>
  <c r="D11" i="4"/>
  <c r="AY11" i="4" s="1"/>
  <c r="D25" i="4"/>
  <c r="AY25" i="4" s="1"/>
  <c r="CA25" i="4"/>
  <c r="CC25" i="4"/>
  <c r="BV25" i="4" s="1"/>
  <c r="CE26" i="4"/>
  <c r="D29" i="4"/>
  <c r="AY29" i="4" s="1"/>
  <c r="CA29" i="4"/>
  <c r="CC29" i="4"/>
  <c r="BV29" i="4" s="1"/>
  <c r="BW33" i="4"/>
  <c r="D33" i="4"/>
  <c r="AY33" i="4" s="1"/>
  <c r="CA33" i="4"/>
  <c r="H33" i="4"/>
  <c r="CD33" i="4"/>
  <c r="CE36" i="4"/>
  <c r="CB36" i="4"/>
  <c r="CA38" i="4"/>
  <c r="D38" i="4"/>
  <c r="AY38" i="4" s="1"/>
  <c r="CC38" i="4"/>
  <c r="D41" i="4"/>
  <c r="AY41" i="4" s="1"/>
  <c r="CA41" i="4"/>
  <c r="CD41" i="4"/>
  <c r="CB43" i="4"/>
  <c r="CB44" i="4"/>
  <c r="CE44" i="4" s="1"/>
  <c r="CA46" i="4"/>
  <c r="D46" i="4"/>
  <c r="AY46" i="4" s="1"/>
  <c r="CD46" i="4"/>
  <c r="D51" i="4"/>
  <c r="AY51" i="4" s="1"/>
  <c r="CA51" i="4"/>
  <c r="CD51" i="4"/>
  <c r="CE52" i="4"/>
  <c r="CB54" i="4"/>
  <c r="CB56" i="4"/>
  <c r="CC56" i="4"/>
  <c r="BV56" i="4" s="1"/>
  <c r="BX56" i="4" s="1"/>
  <c r="CA61" i="4"/>
  <c r="H61" i="4"/>
  <c r="BW61" i="4"/>
  <c r="D61" i="4"/>
  <c r="AY61" i="4" s="1"/>
  <c r="BV61" i="4"/>
  <c r="BX61" i="4" s="1"/>
  <c r="BY61" i="4"/>
  <c r="D70" i="4"/>
  <c r="AY70" i="4" s="1"/>
  <c r="CA70" i="4"/>
  <c r="BV70" i="4"/>
  <c r="CA77" i="4"/>
  <c r="H77" i="4"/>
  <c r="BW77" i="4"/>
  <c r="D77" i="4"/>
  <c r="AY77" i="4" s="1"/>
  <c r="BV77" i="4"/>
  <c r="BX77" i="4" s="1"/>
  <c r="BY77" i="4"/>
  <c r="H151" i="4"/>
  <c r="BY150" i="4"/>
  <c r="C1712" i="3"/>
  <c r="BC1712" i="3" s="1"/>
  <c r="BL1713" i="3"/>
  <c r="BM1713" i="3" s="1"/>
  <c r="F1715" i="3"/>
  <c r="C1717" i="3"/>
  <c r="BC1717" i="3" s="1"/>
  <c r="F1720" i="3"/>
  <c r="C1725" i="3"/>
  <c r="BC1725" i="3" s="1"/>
  <c r="BL1727" i="3"/>
  <c r="BM1727" i="3" s="1"/>
  <c r="F1730" i="3"/>
  <c r="C1732" i="3"/>
  <c r="BC1732" i="3" s="1"/>
  <c r="C1736" i="3"/>
  <c r="BC1736" i="3" s="1"/>
  <c r="BL1738" i="3"/>
  <c r="BM1738" i="3" s="1"/>
  <c r="BL1742" i="3"/>
  <c r="BM1742" i="3" s="1"/>
  <c r="F1745" i="3"/>
  <c r="C1748" i="3"/>
  <c r="BC1748" i="3" s="1"/>
  <c r="C1751" i="3"/>
  <c r="BC1751" i="3" s="1"/>
  <c r="BL1753" i="3"/>
  <c r="BM1753" i="3" s="1"/>
  <c r="F1756" i="3"/>
  <c r="F1757" i="3" s="1"/>
  <c r="F1758" i="3" s="1"/>
  <c r="C1759" i="3"/>
  <c r="BC1759" i="3" s="1"/>
  <c r="BL1761" i="3"/>
  <c r="BM1761" i="3" s="1"/>
  <c r="C1767" i="3"/>
  <c r="BC1767" i="3" s="1"/>
  <c r="BL1769" i="3"/>
  <c r="BM1769" i="3" s="1"/>
  <c r="F1771" i="3"/>
  <c r="C1774" i="3"/>
  <c r="BC1774" i="3" s="1"/>
  <c r="BL1776" i="3"/>
  <c r="BM1776" i="3" s="1"/>
  <c r="F1779" i="3"/>
  <c r="C1782" i="3"/>
  <c r="BC1782" i="3" s="1"/>
  <c r="BL1783" i="3"/>
  <c r="BM1783" i="3" s="1"/>
  <c r="C1788" i="3"/>
  <c r="BC1788" i="3" s="1"/>
  <c r="BL1790" i="3"/>
  <c r="BM1790" i="3" s="1"/>
  <c r="F1793" i="3"/>
  <c r="C1796" i="3"/>
  <c r="BC1796" i="3" s="1"/>
  <c r="BL1798" i="3"/>
  <c r="BM1798" i="3" s="1"/>
  <c r="F1801" i="3"/>
  <c r="C1804" i="3"/>
  <c r="BC1804" i="3" s="1"/>
  <c r="BL1806" i="3"/>
  <c r="BM1806" i="3" s="1"/>
  <c r="F1813" i="3"/>
  <c r="CE3" i="4"/>
  <c r="CD5" i="4"/>
  <c r="CB8" i="4"/>
  <c r="CA9" i="4"/>
  <c r="D10" i="4"/>
  <c r="AY10" i="4" s="1"/>
  <c r="CA10" i="4"/>
  <c r="CE12" i="4"/>
  <c r="CC15" i="4"/>
  <c r="BV15" i="4" s="1"/>
  <c r="BX15" i="4" s="1"/>
  <c r="CB15" i="4"/>
  <c r="CE15" i="4" s="1"/>
  <c r="CA17" i="4"/>
  <c r="CA24" i="4"/>
  <c r="D24" i="4"/>
  <c r="AY24" i="4" s="1"/>
  <c r="CD25" i="4"/>
  <c r="CA28" i="4"/>
  <c r="D28" i="4"/>
  <c r="AY28" i="4" s="1"/>
  <c r="CD29" i="4"/>
  <c r="CA32" i="4"/>
  <c r="H32" i="4"/>
  <c r="BW32" i="4"/>
  <c r="D32" i="4"/>
  <c r="AY32" i="4" s="1"/>
  <c r="CE37" i="4"/>
  <c r="CE45" i="4"/>
  <c r="CD62" i="4"/>
  <c r="CC65" i="4"/>
  <c r="BV65" i="4" s="1"/>
  <c r="CB65" i="4"/>
  <c r="CE65" i="4" s="1"/>
  <c r="CD65" i="4"/>
  <c r="CB80" i="4"/>
  <c r="CD80" i="4"/>
  <c r="CC80" i="4"/>
  <c r="BV80" i="4" s="1"/>
  <c r="CE5" i="4"/>
  <c r="CA11" i="4"/>
  <c r="BW12" i="4"/>
  <c r="D12" i="4"/>
  <c r="AY12" i="4" s="1"/>
  <c r="CA12" i="4"/>
  <c r="CE23" i="4"/>
  <c r="BW35" i="4"/>
  <c r="D35" i="4"/>
  <c r="AY35" i="4" s="1"/>
  <c r="BV35" i="4"/>
  <c r="BX35" i="4" s="1"/>
  <c r="CA35" i="4"/>
  <c r="H35" i="4"/>
  <c r="CB38" i="4"/>
  <c r="CE38" i="4" s="1"/>
  <c r="CA40" i="4"/>
  <c r="D40" i="4"/>
  <c r="AY40" i="4" s="1"/>
  <c r="CC40" i="4"/>
  <c r="D43" i="4"/>
  <c r="AY43" i="4" s="1"/>
  <c r="BV43" i="4"/>
  <c r="CA43" i="4"/>
  <c r="CD43" i="4"/>
  <c r="BW54" i="4"/>
  <c r="D54" i="4"/>
  <c r="AY54" i="4" s="1"/>
  <c r="CA54" i="4"/>
  <c r="H54" i="4"/>
  <c r="BY54" i="4"/>
  <c r="CD54" i="4"/>
  <c r="D62" i="4"/>
  <c r="AY62" i="4" s="1"/>
  <c r="CA62" i="4"/>
  <c r="H62" i="4"/>
  <c r="CB72" i="4"/>
  <c r="CE72" i="4" s="1"/>
  <c r="CC72" i="4"/>
  <c r="BV72" i="4" s="1"/>
  <c r="BX16" i="4"/>
  <c r="CD40" i="4"/>
  <c r="CA50" i="4"/>
  <c r="H50" i="4"/>
  <c r="H51" i="4" s="1"/>
  <c r="BW51" i="4" s="1"/>
  <c r="D50" i="4"/>
  <c r="AY50" i="4" s="1"/>
  <c r="BW50" i="4"/>
  <c r="CC50" i="4"/>
  <c r="BY50" i="4"/>
  <c r="CA49" i="4"/>
  <c r="CC57" i="4"/>
  <c r="BV57" i="4" s="1"/>
  <c r="BX57" i="4" s="1"/>
  <c r="CB57" i="4"/>
  <c r="CE57" i="4" s="1"/>
  <c r="CD57" i="4"/>
  <c r="F1712" i="3"/>
  <c r="BL1715" i="3"/>
  <c r="BM1715" i="3" s="1"/>
  <c r="F1717" i="3"/>
  <c r="BL1720" i="3"/>
  <c r="BM1720" i="3" s="1"/>
  <c r="F1725" i="3"/>
  <c r="F1726" i="3" s="1"/>
  <c r="BL1730" i="3"/>
  <c r="BM1730" i="3" s="1"/>
  <c r="F1732" i="3"/>
  <c r="F1736" i="3"/>
  <c r="F1737" i="3" s="1"/>
  <c r="F1738" i="3" s="1"/>
  <c r="BL1745" i="3"/>
  <c r="BM1745" i="3" s="1"/>
  <c r="F1748" i="3"/>
  <c r="F1751" i="3"/>
  <c r="F1752" i="3" s="1"/>
  <c r="BL1756" i="3"/>
  <c r="BM1756" i="3" s="1"/>
  <c r="F1759" i="3"/>
  <c r="F1760" i="3" s="1"/>
  <c r="F1761" i="3" s="1"/>
  <c r="F1762" i="3" s="1"/>
  <c r="F1763" i="3" s="1"/>
  <c r="F1764" i="3" s="1"/>
  <c r="F1765" i="3" s="1"/>
  <c r="BL1764" i="3"/>
  <c r="F1767" i="3"/>
  <c r="BL1771" i="3"/>
  <c r="BM1771" i="3" s="1"/>
  <c r="F1774" i="3"/>
  <c r="BL1779" i="3"/>
  <c r="BM1779" i="3" s="1"/>
  <c r="F1782" i="3"/>
  <c r="F1788" i="3"/>
  <c r="F1789" i="3" s="1"/>
  <c r="F1790" i="3" s="1"/>
  <c r="BL1793" i="3"/>
  <c r="BM1793" i="3" s="1"/>
  <c r="F1796" i="3"/>
  <c r="BL1801" i="3"/>
  <c r="BM1801" i="3" s="1"/>
  <c r="F1804" i="3"/>
  <c r="BV7" i="4"/>
  <c r="CB7" i="4"/>
  <c r="CE7" i="4" s="1"/>
  <c r="CD11" i="4"/>
  <c r="H12" i="4"/>
  <c r="CC12" i="4"/>
  <c r="BV17" i="4"/>
  <c r="BX17" i="4" s="1"/>
  <c r="CC17" i="4"/>
  <c r="CB17" i="4"/>
  <c r="CE17" i="4" s="1"/>
  <c r="CB20" i="4"/>
  <c r="CE20" i="4" s="1"/>
  <c r="CE21" i="4"/>
  <c r="D23" i="4"/>
  <c r="AY23" i="4" s="1"/>
  <c r="CA23" i="4"/>
  <c r="CC23" i="4"/>
  <c r="BV23" i="4" s="1"/>
  <c r="CE24" i="4"/>
  <c r="D27" i="4"/>
  <c r="AY27" i="4" s="1"/>
  <c r="CA27" i="4"/>
  <c r="CC27" i="4"/>
  <c r="BV27" i="4" s="1"/>
  <c r="CE28" i="4"/>
  <c r="D31" i="4"/>
  <c r="AY31" i="4" s="1"/>
  <c r="CA31" i="4"/>
  <c r="CC31" i="4"/>
  <c r="BV31" i="4" s="1"/>
  <c r="CE32" i="4"/>
  <c r="BY33" i="4"/>
  <c r="CA34" i="4"/>
  <c r="H34" i="4"/>
  <c r="BW34" i="4"/>
  <c r="D34" i="4"/>
  <c r="AY34" i="4" s="1"/>
  <c r="BW37" i="4"/>
  <c r="D37" i="4"/>
  <c r="AY37" i="4" s="1"/>
  <c r="BV37" i="4"/>
  <c r="BX37" i="4" s="1"/>
  <c r="CA37" i="4"/>
  <c r="H37" i="4"/>
  <c r="H38" i="4" s="1"/>
  <c r="CD37" i="4"/>
  <c r="BV38" i="4"/>
  <c r="CB40" i="4"/>
  <c r="CE40" i="4" s="1"/>
  <c r="CA42" i="4"/>
  <c r="D42" i="4"/>
  <c r="AY42" i="4" s="1"/>
  <c r="CC42" i="4"/>
  <c r="BV42" i="4" s="1"/>
  <c r="D45" i="4"/>
  <c r="AY45" i="4" s="1"/>
  <c r="CD45" i="4"/>
  <c r="BV45" i="4"/>
  <c r="CA45" i="4"/>
  <c r="BV46" i="4"/>
  <c r="BY51" i="4"/>
  <c r="CB70" i="4"/>
  <c r="CC73" i="4"/>
  <c r="BV73" i="4" s="1"/>
  <c r="CB73" i="4"/>
  <c r="CD73" i="4"/>
  <c r="CB77" i="4"/>
  <c r="CE77" i="4" s="1"/>
  <c r="F1735" i="3"/>
  <c r="BV8" i="4"/>
  <c r="BV9" i="4"/>
  <c r="CB9" i="4"/>
  <c r="CE9" i="4" s="1"/>
  <c r="CD12" i="4"/>
  <c r="BW17" i="4"/>
  <c r="CD19" i="4"/>
  <c r="CC19" i="4"/>
  <c r="BV19" i="4" s="1"/>
  <c r="BX19" i="4" s="1"/>
  <c r="CC20" i="4"/>
  <c r="BV20" i="4" s="1"/>
  <c r="BX20" i="4" s="1"/>
  <c r="CA22" i="4"/>
  <c r="H22" i="4"/>
  <c r="H23" i="4" s="1"/>
  <c r="BW22" i="4"/>
  <c r="CB22" i="4"/>
  <c r="CE22" i="4" s="1"/>
  <c r="CD23" i="4"/>
  <c r="CA26" i="4"/>
  <c r="H26" i="4"/>
  <c r="H27" i="4" s="1"/>
  <c r="BW26" i="4"/>
  <c r="D26" i="4"/>
  <c r="AY26" i="4" s="1"/>
  <c r="CB26" i="4"/>
  <c r="CD27" i="4"/>
  <c r="CA30" i="4"/>
  <c r="D30" i="4"/>
  <c r="AY30" i="4" s="1"/>
  <c r="CB30" i="4"/>
  <c r="CE30" i="4" s="1"/>
  <c r="CD31" i="4"/>
  <c r="CE33" i="4"/>
  <c r="CE41" i="4"/>
  <c r="CD42" i="4"/>
  <c r="CB61" i="4"/>
  <c r="CE61" i="4" s="1"/>
  <c r="BV62" i="4"/>
  <c r="D66" i="4"/>
  <c r="AY66" i="4" s="1"/>
  <c r="CA66" i="4"/>
  <c r="CC70" i="4"/>
  <c r="CD77" i="4"/>
  <c r="F1740" i="3"/>
  <c r="F1741" i="3" s="1"/>
  <c r="F1742" i="3" s="1"/>
  <c r="F1743" i="3" s="1"/>
  <c r="F1744" i="3" s="1"/>
  <c r="C1814" i="3"/>
  <c r="BC1814" i="3" s="1"/>
  <c r="CA3" i="4"/>
  <c r="H3" i="4"/>
  <c r="BW4" i="4"/>
  <c r="D4" i="4"/>
  <c r="AY4" i="4" s="1"/>
  <c r="CA4" i="4"/>
  <c r="CE6" i="4"/>
  <c r="D7" i="4"/>
  <c r="AY7" i="4" s="1"/>
  <c r="BV10" i="4"/>
  <c r="BV11" i="4"/>
  <c r="CB11" i="4"/>
  <c r="CE11" i="4" s="1"/>
  <c r="CC13" i="4"/>
  <c r="BV13" i="4" s="1"/>
  <c r="BX13" i="4" s="1"/>
  <c r="CB13" i="4"/>
  <c r="CE13" i="4" s="1"/>
  <c r="CA15" i="4"/>
  <c r="BY16" i="4"/>
  <c r="D17" i="4"/>
  <c r="AY17" i="4" s="1"/>
  <c r="CD20" i="4"/>
  <c r="CB21" i="4"/>
  <c r="CC22" i="4"/>
  <c r="BV22" i="4" s="1"/>
  <c r="BX22" i="4" s="1"/>
  <c r="CC26" i="4"/>
  <c r="BV26" i="4" s="1"/>
  <c r="BX26" i="4" s="1"/>
  <c r="CC30" i="4"/>
  <c r="BV30" i="4" s="1"/>
  <c r="CB33" i="4"/>
  <c r="CB34" i="4"/>
  <c r="CE34" i="4" s="1"/>
  <c r="BY35" i="4"/>
  <c r="CA36" i="4"/>
  <c r="H36" i="4"/>
  <c r="BW36" i="4"/>
  <c r="D36" i="4"/>
  <c r="AY36" i="4" s="1"/>
  <c r="CC36" i="4"/>
  <c r="BV36" i="4" s="1"/>
  <c r="BX36" i="4" s="1"/>
  <c r="D39" i="4"/>
  <c r="AY39" i="4" s="1"/>
  <c r="BV39" i="4"/>
  <c r="CA39" i="4"/>
  <c r="CD39" i="4"/>
  <c r="BV40" i="4"/>
  <c r="CB41" i="4"/>
  <c r="CB42" i="4"/>
  <c r="CE42" i="4" s="1"/>
  <c r="CA44" i="4"/>
  <c r="D44" i="4"/>
  <c r="AY44" i="4" s="1"/>
  <c r="CC44" i="4"/>
  <c r="BV44" i="4" s="1"/>
  <c r="CB51" i="4"/>
  <c r="CE51" i="4" s="1"/>
  <c r="BV54" i="4"/>
  <c r="BX54" i="4" s="1"/>
  <c r="CD61" i="4"/>
  <c r="CC61" i="4"/>
  <c r="CA69" i="4"/>
  <c r="D69" i="4"/>
  <c r="AY69" i="4" s="1"/>
  <c r="CD70" i="4"/>
  <c r="CE130" i="4"/>
  <c r="CC3" i="4"/>
  <c r="BV3" i="4" s="1"/>
  <c r="BX3" i="4" s="1"/>
  <c r="CB4" i="4"/>
  <c r="CE4" i="4" s="1"/>
  <c r="CA5" i="4"/>
  <c r="H5" i="4"/>
  <c r="H6" i="4" s="1"/>
  <c r="BY6" i="4" s="1"/>
  <c r="D6" i="4"/>
  <c r="AY6" i="4" s="1"/>
  <c r="CA6" i="4"/>
  <c r="CE8" i="4"/>
  <c r="D9" i="4"/>
  <c r="AY9" i="4" s="1"/>
  <c r="BV12" i="4"/>
  <c r="BX12" i="4" s="1"/>
  <c r="CD15" i="4"/>
  <c r="CC21" i="4"/>
  <c r="BV21" i="4" s="1"/>
  <c r="BX21" i="4" s="1"/>
  <c r="CD22" i="4"/>
  <c r="CB25" i="4"/>
  <c r="CE25" i="4" s="1"/>
  <c r="CD26" i="4"/>
  <c r="CB29" i="4"/>
  <c r="CE29" i="4" s="1"/>
  <c r="CD30" i="4"/>
  <c r="BY32" i="4"/>
  <c r="CC33" i="4"/>
  <c r="BV33" i="4" s="1"/>
  <c r="BX33" i="4" s="1"/>
  <c r="CE35" i="4"/>
  <c r="CD36" i="4"/>
  <c r="CC41" i="4"/>
  <c r="BV41" i="4" s="1"/>
  <c r="CE43" i="4"/>
  <c r="CD44" i="4"/>
  <c r="CB48" i="4"/>
  <c r="CE48" i="4" s="1"/>
  <c r="CD48" i="4"/>
  <c r="CC48" i="4"/>
  <c r="BV48" i="4" s="1"/>
  <c r="BX48" i="4" s="1"/>
  <c r="BV50" i="4"/>
  <c r="BX50" i="4" s="1"/>
  <c r="CC51" i="4"/>
  <c r="BV51" i="4" s="1"/>
  <c r="BX51" i="4" s="1"/>
  <c r="CA53" i="4"/>
  <c r="H53" i="4"/>
  <c r="BW53" i="4" s="1"/>
  <c r="D53" i="4"/>
  <c r="AY53" i="4" s="1"/>
  <c r="BV53" i="4"/>
  <c r="CD56" i="4"/>
  <c r="BW58" i="4"/>
  <c r="D58" i="4"/>
  <c r="AY58" i="4" s="1"/>
  <c r="CA58" i="4"/>
  <c r="H58" i="4"/>
  <c r="BY58" i="4"/>
  <c r="CB62" i="4"/>
  <c r="CB64" i="4"/>
  <c r="CC64" i="4"/>
  <c r="BV64" i="4" s="1"/>
  <c r="CE68" i="4"/>
  <c r="CE54" i="4"/>
  <c r="CA55" i="4"/>
  <c r="H55" i="4"/>
  <c r="BW55" i="4"/>
  <c r="D55" i="4"/>
  <c r="AY55" i="4" s="1"/>
  <c r="CE62" i="4"/>
  <c r="CA63" i="4"/>
  <c r="D63" i="4"/>
  <c r="AY63" i="4" s="1"/>
  <c r="CE70" i="4"/>
  <c r="CA71" i="4"/>
  <c r="D71" i="4"/>
  <c r="AY71" i="4" s="1"/>
  <c r="CA79" i="4"/>
  <c r="H79" i="4"/>
  <c r="BW79" i="4" s="1"/>
  <c r="BX79" i="4" s="1"/>
  <c r="D79" i="4"/>
  <c r="AY79" i="4" s="1"/>
  <c r="CD81" i="4"/>
  <c r="CA87" i="4"/>
  <c r="H87" i="4"/>
  <c r="BW87" i="4"/>
  <c r="D87" i="4"/>
  <c r="AY87" i="4" s="1"/>
  <c r="CC88" i="4"/>
  <c r="BV88" i="4" s="1"/>
  <c r="CD89" i="4"/>
  <c r="CA95" i="4"/>
  <c r="D95" i="4"/>
  <c r="AY95" i="4" s="1"/>
  <c r="CC96" i="4"/>
  <c r="BV96" i="4" s="1"/>
  <c r="CD97" i="4"/>
  <c r="CC98" i="4"/>
  <c r="BV98" i="4" s="1"/>
  <c r="BX98" i="4" s="1"/>
  <c r="CD101" i="4"/>
  <c r="CC102" i="4"/>
  <c r="BV102" i="4" s="1"/>
  <c r="CD105" i="4"/>
  <c r="CC106" i="4"/>
  <c r="CA107" i="4"/>
  <c r="CD109" i="4"/>
  <c r="CC110" i="4"/>
  <c r="CA111" i="4"/>
  <c r="CD113" i="4"/>
  <c r="CC114" i="4"/>
  <c r="BV114" i="4" s="1"/>
  <c r="BX114" i="4" s="1"/>
  <c r="CA115" i="4"/>
  <c r="D117" i="4"/>
  <c r="AY117" i="4" s="1"/>
  <c r="CE118" i="4"/>
  <c r="BY125" i="4"/>
  <c r="CD130" i="4"/>
  <c r="CC130" i="4"/>
  <c r="BV130" i="4" s="1"/>
  <c r="BX130" i="4" s="1"/>
  <c r="CB130" i="4"/>
  <c r="BY133" i="4"/>
  <c r="CE135" i="4"/>
  <c r="CC137" i="4"/>
  <c r="BV137" i="4" s="1"/>
  <c r="BX137" i="4" s="1"/>
  <c r="CA139" i="4"/>
  <c r="CD139" i="4"/>
  <c r="BW148" i="4"/>
  <c r="D148" i="4"/>
  <c r="AY148" i="4" s="1"/>
  <c r="CA147" i="4"/>
  <c r="BV148" i="4"/>
  <c r="BX148" i="4" s="1"/>
  <c r="CD148" i="4"/>
  <c r="CC148" i="4"/>
  <c r="CB148" i="4"/>
  <c r="CE148" i="4" s="1"/>
  <c r="BY151" i="4"/>
  <c r="CE156" i="4"/>
  <c r="CD156" i="4"/>
  <c r="CC156" i="4"/>
  <c r="BV156" i="4" s="1"/>
  <c r="CB156" i="4"/>
  <c r="D160" i="4"/>
  <c r="AY160" i="4" s="1"/>
  <c r="CA160" i="4"/>
  <c r="BW78" i="4"/>
  <c r="D78" i="4"/>
  <c r="AY78" i="4" s="1"/>
  <c r="CA78" i="4"/>
  <c r="H78" i="4"/>
  <c r="CB78" i="4"/>
  <c r="CE78" i="4" s="1"/>
  <c r="BW86" i="4"/>
  <c r="D86" i="4"/>
  <c r="AY86" i="4" s="1"/>
  <c r="CA86" i="4"/>
  <c r="H86" i="4"/>
  <c r="CB86" i="4"/>
  <c r="CE86" i="4" s="1"/>
  <c r="CD88" i="4"/>
  <c r="D94" i="4"/>
  <c r="AY94" i="4" s="1"/>
  <c r="CA94" i="4"/>
  <c r="CB94" i="4"/>
  <c r="CE94" i="4" s="1"/>
  <c r="CD96" i="4"/>
  <c r="BV100" i="4"/>
  <c r="BV116" i="4"/>
  <c r="BX116" i="4" s="1"/>
  <c r="CD137" i="4"/>
  <c r="CE140" i="4"/>
  <c r="BW149" i="4"/>
  <c r="D154" i="4"/>
  <c r="AY154" i="4" s="1"/>
  <c r="CE154" i="4"/>
  <c r="CD154" i="4"/>
  <c r="CC154" i="4"/>
  <c r="BV154" i="4" s="1"/>
  <c r="CB154" i="4"/>
  <c r="D158" i="4"/>
  <c r="AY158" i="4" s="1"/>
  <c r="CA158" i="4"/>
  <c r="D172" i="4"/>
  <c r="AY172" i="4" s="1"/>
  <c r="BV172" i="4"/>
  <c r="CA172" i="4"/>
  <c r="CE206" i="4"/>
  <c r="CA85" i="4"/>
  <c r="D85" i="4"/>
  <c r="AY85" i="4" s="1"/>
  <c r="CB85" i="4"/>
  <c r="CE85" i="4" s="1"/>
  <c r="CA93" i="4"/>
  <c r="D93" i="4"/>
  <c r="AY93" i="4" s="1"/>
  <c r="CB93" i="4"/>
  <c r="CE93" i="4" s="1"/>
  <c r="CA104" i="4"/>
  <c r="CA108" i="4"/>
  <c r="CA112" i="4"/>
  <c r="CA116" i="4"/>
  <c r="CA117" i="4"/>
  <c r="H117" i="4"/>
  <c r="BV117" i="4"/>
  <c r="BX117" i="4" s="1"/>
  <c r="CB117" i="4"/>
  <c r="CE117" i="4" s="1"/>
  <c r="H126" i="4"/>
  <c r="BW126" i="4" s="1"/>
  <c r="BW125" i="4"/>
  <c r="BX125" i="4" s="1"/>
  <c r="BW144" i="4"/>
  <c r="D144" i="4"/>
  <c r="AY144" i="4" s="1"/>
  <c r="CA143" i="4"/>
  <c r="CE144" i="4"/>
  <c r="CD144" i="4"/>
  <c r="CC144" i="4"/>
  <c r="BV144" i="4" s="1"/>
  <c r="BX144" i="4" s="1"/>
  <c r="CB144" i="4"/>
  <c r="D156" i="4"/>
  <c r="AY156" i="4" s="1"/>
  <c r="CA156" i="4"/>
  <c r="D170" i="4"/>
  <c r="AY170" i="4" s="1"/>
  <c r="CA170" i="4"/>
  <c r="CE176" i="4"/>
  <c r="CE193" i="4"/>
  <c r="CB46" i="4"/>
  <c r="CE46" i="4" s="1"/>
  <c r="BW52" i="4"/>
  <c r="D52" i="4"/>
  <c r="AY52" i="4" s="1"/>
  <c r="CA52" i="4"/>
  <c r="H52" i="4"/>
  <c r="BY52" i="4" s="1"/>
  <c r="CB52" i="4"/>
  <c r="BW60" i="4"/>
  <c r="D60" i="4"/>
  <c r="AY60" i="4" s="1"/>
  <c r="CA60" i="4"/>
  <c r="H60" i="4"/>
  <c r="CB60" i="4"/>
  <c r="CE60" i="4" s="1"/>
  <c r="D68" i="4"/>
  <c r="AY68" i="4" s="1"/>
  <c r="CA68" i="4"/>
  <c r="CB68" i="4"/>
  <c r="CC69" i="4"/>
  <c r="BV69" i="4" s="1"/>
  <c r="CE75" i="4"/>
  <c r="BW76" i="4"/>
  <c r="D76" i="4"/>
  <c r="AY76" i="4" s="1"/>
  <c r="CA76" i="4"/>
  <c r="H76" i="4"/>
  <c r="CB76" i="4"/>
  <c r="CE76" i="4" s="1"/>
  <c r="CC77" i="4"/>
  <c r="D84" i="4"/>
  <c r="AY84" i="4" s="1"/>
  <c r="CA84" i="4"/>
  <c r="CB84" i="4"/>
  <c r="CE84" i="4" s="1"/>
  <c r="CC85" i="4"/>
  <c r="CE91" i="4"/>
  <c r="BW92" i="4"/>
  <c r="D92" i="4"/>
  <c r="AY92" i="4" s="1"/>
  <c r="CA92" i="4"/>
  <c r="H92" i="4"/>
  <c r="H93" i="4" s="1"/>
  <c r="CB92" i="4"/>
  <c r="CE92" i="4" s="1"/>
  <c r="CC93" i="4"/>
  <c r="CE99" i="4"/>
  <c r="H100" i="4"/>
  <c r="CB100" i="4"/>
  <c r="CE100" i="4" s="1"/>
  <c r="BV101" i="4"/>
  <c r="D102" i="4"/>
  <c r="AY102" i="4" s="1"/>
  <c r="CE103" i="4"/>
  <c r="CB104" i="4"/>
  <c r="CE104" i="4" s="1"/>
  <c r="D106" i="4"/>
  <c r="AY106" i="4" s="1"/>
  <c r="CE107" i="4"/>
  <c r="H108" i="4"/>
  <c r="CB108" i="4"/>
  <c r="CE108" i="4" s="1"/>
  <c r="D110" i="4"/>
  <c r="AY110" i="4" s="1"/>
  <c r="H112" i="4"/>
  <c r="H113" i="4" s="1"/>
  <c r="BY113" i="4" s="1"/>
  <c r="CB112" i="4"/>
  <c r="CE112" i="4" s="1"/>
  <c r="BV113" i="4"/>
  <c r="D114" i="4"/>
  <c r="AY114" i="4" s="1"/>
  <c r="H116" i="4"/>
  <c r="CB116" i="4"/>
  <c r="CC117" i="4"/>
  <c r="CD124" i="4"/>
  <c r="CC124" i="4"/>
  <c r="BV124" i="4" s="1"/>
  <c r="BX124" i="4" s="1"/>
  <c r="CB124" i="4"/>
  <c r="CE124" i="4" s="1"/>
  <c r="CD128" i="4"/>
  <c r="CC128" i="4"/>
  <c r="BV128" i="4" s="1"/>
  <c r="BX128" i="4" s="1"/>
  <c r="CB128" i="4"/>
  <c r="CE128" i="4" s="1"/>
  <c r="BW132" i="4"/>
  <c r="D132" i="4"/>
  <c r="AY132" i="4" s="1"/>
  <c r="CE132" i="4"/>
  <c r="CD132" i="4"/>
  <c r="CC132" i="4"/>
  <c r="BV132" i="4" s="1"/>
  <c r="BX132" i="4" s="1"/>
  <c r="CB132" i="4"/>
  <c r="CE134" i="4"/>
  <c r="CE136" i="4"/>
  <c r="CD140" i="4"/>
  <c r="BW150" i="4"/>
  <c r="D150" i="4"/>
  <c r="AY150" i="4" s="1"/>
  <c r="CE150" i="4"/>
  <c r="CD150" i="4"/>
  <c r="CC150" i="4"/>
  <c r="BV150" i="4" s="1"/>
  <c r="BX150" i="4" s="1"/>
  <c r="CB150" i="4"/>
  <c r="D168" i="4"/>
  <c r="AY168" i="4" s="1"/>
  <c r="CA168" i="4"/>
  <c r="CE204" i="4"/>
  <c r="BW212" i="4"/>
  <c r="BY212" i="4"/>
  <c r="H213" i="4"/>
  <c r="CE58" i="4"/>
  <c r="CA59" i="4"/>
  <c r="H59" i="4"/>
  <c r="BW59" i="4"/>
  <c r="BX59" i="4" s="1"/>
  <c r="D59" i="4"/>
  <c r="AY59" i="4" s="1"/>
  <c r="CB59" i="4"/>
  <c r="CE59" i="4" s="1"/>
  <c r="CE66" i="4"/>
  <c r="CA67" i="4"/>
  <c r="D67" i="4"/>
  <c r="AY67" i="4" s="1"/>
  <c r="CB67" i="4"/>
  <c r="CE67" i="4" s="1"/>
  <c r="CA75" i="4"/>
  <c r="H75" i="4"/>
  <c r="BW75" i="4"/>
  <c r="D75" i="4"/>
  <c r="AY75" i="4" s="1"/>
  <c r="CB75" i="4"/>
  <c r="CA83" i="4"/>
  <c r="D83" i="4"/>
  <c r="AY83" i="4" s="1"/>
  <c r="CB83" i="4"/>
  <c r="CE83" i="4" s="1"/>
  <c r="CA91" i="4"/>
  <c r="H91" i="4"/>
  <c r="BW91" i="4"/>
  <c r="D91" i="4"/>
  <c r="AY91" i="4" s="1"/>
  <c r="CB91" i="4"/>
  <c r="CC100" i="4"/>
  <c r="CC104" i="4"/>
  <c r="BV104" i="4" s="1"/>
  <c r="CC108" i="4"/>
  <c r="BV108" i="4" s="1"/>
  <c r="BX108" i="4" s="1"/>
  <c r="CA109" i="4"/>
  <c r="CC112" i="4"/>
  <c r="BV112" i="4" s="1"/>
  <c r="BX112" i="4" s="1"/>
  <c r="CA113" i="4"/>
  <c r="CE120" i="4"/>
  <c r="CD120" i="4"/>
  <c r="CC120" i="4"/>
  <c r="BV120" i="4" s="1"/>
  <c r="BX120" i="4" s="1"/>
  <c r="CB120" i="4"/>
  <c r="H144" i="4"/>
  <c r="D166" i="4"/>
  <c r="AY166" i="4" s="1"/>
  <c r="CA166" i="4"/>
  <c r="CE73" i="4"/>
  <c r="D74" i="4"/>
  <c r="AY74" i="4" s="1"/>
  <c r="CA74" i="4"/>
  <c r="CB74" i="4"/>
  <c r="CE74" i="4" s="1"/>
  <c r="BV78" i="4"/>
  <c r="BX78" i="4" s="1"/>
  <c r="D82" i="4"/>
  <c r="AY82" i="4" s="1"/>
  <c r="CA82" i="4"/>
  <c r="CB82" i="4"/>
  <c r="CE82" i="4" s="1"/>
  <c r="BV86" i="4"/>
  <c r="BX86" i="4" s="1"/>
  <c r="CE89" i="4"/>
  <c r="D90" i="4"/>
  <c r="AY90" i="4" s="1"/>
  <c r="CA90" i="4"/>
  <c r="CB90" i="4"/>
  <c r="CE90" i="4" s="1"/>
  <c r="BV94" i="4"/>
  <c r="D98" i="4"/>
  <c r="AY98" i="4" s="1"/>
  <c r="H98" i="4"/>
  <c r="H99" i="4" s="1"/>
  <c r="BW99" i="4" s="1"/>
  <c r="BV106" i="4"/>
  <c r="BV110" i="4"/>
  <c r="BX110" i="4" s="1"/>
  <c r="CE116" i="4"/>
  <c r="CD116" i="4"/>
  <c r="CD117" i="4"/>
  <c r="BX131" i="4"/>
  <c r="BW140" i="4"/>
  <c r="D140" i="4"/>
  <c r="AY140" i="4" s="1"/>
  <c r="CA140" i="4"/>
  <c r="H140" i="4"/>
  <c r="BW146" i="4"/>
  <c r="D146" i="4"/>
  <c r="AY146" i="4" s="1"/>
  <c r="CA145" i="4"/>
  <c r="CD146" i="4"/>
  <c r="CC146" i="4"/>
  <c r="BV146" i="4" s="1"/>
  <c r="BX146" i="4" s="1"/>
  <c r="CB146" i="4"/>
  <c r="CE146" i="4" s="1"/>
  <c r="BY148" i="4"/>
  <c r="BY149" i="4"/>
  <c r="D164" i="4"/>
  <c r="AY164" i="4" s="1"/>
  <c r="CA164" i="4"/>
  <c r="CE208" i="4"/>
  <c r="BX214" i="4"/>
  <c r="D47" i="4"/>
  <c r="AY47" i="4" s="1"/>
  <c r="BW47" i="4"/>
  <c r="BY49" i="4"/>
  <c r="BY55" i="4"/>
  <c r="CE56" i="4"/>
  <c r="CA57" i="4"/>
  <c r="H57" i="4"/>
  <c r="BW57" i="4"/>
  <c r="D57" i="4"/>
  <c r="AY57" i="4" s="1"/>
  <c r="CC58" i="4"/>
  <c r="BV58" i="4" s="1"/>
  <c r="BX58" i="4" s="1"/>
  <c r="CE64" i="4"/>
  <c r="CA65" i="4"/>
  <c r="D65" i="4"/>
  <c r="AY65" i="4" s="1"/>
  <c r="CC66" i="4"/>
  <c r="BV66" i="4" s="1"/>
  <c r="CA73" i="4"/>
  <c r="D73" i="4"/>
  <c r="AY73" i="4" s="1"/>
  <c r="CC74" i="4"/>
  <c r="BV74" i="4" s="1"/>
  <c r="BY79" i="4"/>
  <c r="CE80" i="4"/>
  <c r="CA81" i="4"/>
  <c r="D81" i="4"/>
  <c r="AY81" i="4" s="1"/>
  <c r="CB81" i="4"/>
  <c r="CE81" i="4" s="1"/>
  <c r="CC82" i="4"/>
  <c r="BV82" i="4" s="1"/>
  <c r="BV85" i="4"/>
  <c r="BY87" i="4"/>
  <c r="CE88" i="4"/>
  <c r="CA89" i="4"/>
  <c r="D89" i="4"/>
  <c r="AY89" i="4" s="1"/>
  <c r="CB89" i="4"/>
  <c r="CC90" i="4"/>
  <c r="BV90" i="4" s="1"/>
  <c r="BV93" i="4"/>
  <c r="CE96" i="4"/>
  <c r="CA97" i="4"/>
  <c r="D97" i="4"/>
  <c r="AY97" i="4" s="1"/>
  <c r="CB97" i="4"/>
  <c r="CE97" i="4" s="1"/>
  <c r="CA98" i="4"/>
  <c r="CD100" i="4"/>
  <c r="CC101" i="4"/>
  <c r="CA102" i="4"/>
  <c r="CD104" i="4"/>
  <c r="CC105" i="4"/>
  <c r="BV105" i="4" s="1"/>
  <c r="CA106" i="4"/>
  <c r="BW108" i="4"/>
  <c r="CD108" i="4"/>
  <c r="CC109" i="4"/>
  <c r="BV109" i="4" s="1"/>
  <c r="BX109" i="4" s="1"/>
  <c r="CA110" i="4"/>
  <c r="BW112" i="4"/>
  <c r="CD112" i="4"/>
  <c r="CC113" i="4"/>
  <c r="CA114" i="4"/>
  <c r="BW116" i="4"/>
  <c r="BW117" i="4"/>
  <c r="BW121" i="4"/>
  <c r="BX121" i="4" s="1"/>
  <c r="CD126" i="4"/>
  <c r="CC126" i="4"/>
  <c r="BV126" i="4" s="1"/>
  <c r="CB126" i="4"/>
  <c r="CE126" i="4" s="1"/>
  <c r="CE129" i="4"/>
  <c r="BW138" i="4"/>
  <c r="D138" i="4"/>
  <c r="AY138" i="4" s="1"/>
  <c r="CA138" i="4"/>
  <c r="H138" i="4"/>
  <c r="CE139" i="4"/>
  <c r="D152" i="4"/>
  <c r="AY152" i="4" s="1"/>
  <c r="CD152" i="4"/>
  <c r="CC152" i="4"/>
  <c r="BV152" i="4" s="1"/>
  <c r="CB152" i="4"/>
  <c r="CE152" i="4" s="1"/>
  <c r="D162" i="4"/>
  <c r="AY162" i="4" s="1"/>
  <c r="CA162" i="4"/>
  <c r="BX207" i="4"/>
  <c r="CE49" i="4"/>
  <c r="BV52" i="4"/>
  <c r="CE55" i="4"/>
  <c r="BW56" i="4"/>
  <c r="D56" i="4"/>
  <c r="AY56" i="4" s="1"/>
  <c r="CA56" i="4"/>
  <c r="H56" i="4"/>
  <c r="BV60" i="4"/>
  <c r="BX60" i="4" s="1"/>
  <c r="CE63" i="4"/>
  <c r="D64" i="4"/>
  <c r="AY64" i="4" s="1"/>
  <c r="CA64" i="4"/>
  <c r="BV68" i="4"/>
  <c r="CE71" i="4"/>
  <c r="D72" i="4"/>
  <c r="AY72" i="4" s="1"/>
  <c r="CA72" i="4"/>
  <c r="BV76" i="4"/>
  <c r="BX76" i="4" s="1"/>
  <c r="BY78" i="4"/>
  <c r="CE79" i="4"/>
  <c r="BW80" i="4"/>
  <c r="D80" i="4"/>
  <c r="AY80" i="4" s="1"/>
  <c r="CA80" i="4"/>
  <c r="H80" i="4"/>
  <c r="BY80" i="4" s="1"/>
  <c r="BV84" i="4"/>
  <c r="BY86" i="4"/>
  <c r="CE87" i="4"/>
  <c r="D88" i="4"/>
  <c r="AY88" i="4" s="1"/>
  <c r="CA88" i="4"/>
  <c r="H88" i="4"/>
  <c r="BY88" i="4" s="1"/>
  <c r="BV92" i="4"/>
  <c r="BX92" i="4" s="1"/>
  <c r="CE95" i="4"/>
  <c r="D96" i="4"/>
  <c r="AY96" i="4" s="1"/>
  <c r="CA96" i="4"/>
  <c r="CB98" i="4"/>
  <c r="CE98" i="4" s="1"/>
  <c r="BV99" i="4"/>
  <c r="D100" i="4"/>
  <c r="AY100" i="4" s="1"/>
  <c r="CE101" i="4"/>
  <c r="CB102" i="4"/>
  <c r="CE102" i="4" s="1"/>
  <c r="BV103" i="4"/>
  <c r="D104" i="4"/>
  <c r="AY104" i="4" s="1"/>
  <c r="CE105" i="4"/>
  <c r="CB106" i="4"/>
  <c r="CE106" i="4" s="1"/>
  <c r="BV107" i="4"/>
  <c r="BX107" i="4" s="1"/>
  <c r="D108" i="4"/>
  <c r="AY108" i="4" s="1"/>
  <c r="CE109" i="4"/>
  <c r="H110" i="4"/>
  <c r="CB110" i="4"/>
  <c r="CE110" i="4" s="1"/>
  <c r="BV111" i="4"/>
  <c r="BX111" i="4" s="1"/>
  <c r="D112" i="4"/>
  <c r="AY112" i="4" s="1"/>
  <c r="CE113" i="4"/>
  <c r="H114" i="4"/>
  <c r="BW114" i="4" s="1"/>
  <c r="CB114" i="4"/>
  <c r="CE114" i="4" s="1"/>
  <c r="BV115" i="4"/>
  <c r="BX115" i="4" s="1"/>
  <c r="D116" i="4"/>
  <c r="AY116" i="4" s="1"/>
  <c r="BW122" i="4"/>
  <c r="BV122" i="4"/>
  <c r="BX122" i="4" s="1"/>
  <c r="D122" i="4"/>
  <c r="AY122" i="4" s="1"/>
  <c r="H122" i="4"/>
  <c r="CD122" i="4"/>
  <c r="CC122" i="4"/>
  <c r="CB122" i="4"/>
  <c r="CE122" i="4" s="1"/>
  <c r="D136" i="4"/>
  <c r="AY136" i="4" s="1"/>
  <c r="BV136" i="4"/>
  <c r="CA136" i="4"/>
  <c r="CE137" i="4"/>
  <c r="CC139" i="4"/>
  <c r="BV139" i="4" s="1"/>
  <c r="CE141" i="4"/>
  <c r="BW142" i="4"/>
  <c r="BV142" i="4"/>
  <c r="BX142" i="4" s="1"/>
  <c r="D142" i="4"/>
  <c r="AY142" i="4" s="1"/>
  <c r="H142" i="4"/>
  <c r="CD142" i="4"/>
  <c r="CC142" i="4"/>
  <c r="CB142" i="4"/>
  <c r="CE142" i="4" s="1"/>
  <c r="BY144" i="4"/>
  <c r="H146" i="4"/>
  <c r="CA148" i="4"/>
  <c r="CD158" i="4"/>
  <c r="CC158" i="4"/>
  <c r="BV158" i="4" s="1"/>
  <c r="CB158" i="4"/>
  <c r="CE158" i="4" s="1"/>
  <c r="CE170" i="4"/>
  <c r="BV133" i="4"/>
  <c r="BX133" i="4" s="1"/>
  <c r="D135" i="4"/>
  <c r="AY135" i="4" s="1"/>
  <c r="BW135" i="4"/>
  <c r="BX135" i="4" s="1"/>
  <c r="D137" i="4"/>
  <c r="AY137" i="4" s="1"/>
  <c r="BW137" i="4"/>
  <c r="D139" i="4"/>
  <c r="AY139" i="4" s="1"/>
  <c r="BW139" i="4"/>
  <c r="BV143" i="4"/>
  <c r="BX143" i="4" s="1"/>
  <c r="BV145" i="4"/>
  <c r="BX145" i="4" s="1"/>
  <c r="BV147" i="4"/>
  <c r="BX147" i="4" s="1"/>
  <c r="BV149" i="4"/>
  <c r="BX149" i="4" s="1"/>
  <c r="BV151" i="4"/>
  <c r="BV153" i="4"/>
  <c r="BV155" i="4"/>
  <c r="BV157" i="4"/>
  <c r="BV159" i="4"/>
  <c r="BV161" i="4"/>
  <c r="BV163" i="4"/>
  <c r="BV165" i="4"/>
  <c r="BV167" i="4"/>
  <c r="BV169" i="4"/>
  <c r="BV171" i="4"/>
  <c r="BV173" i="4"/>
  <c r="BV175" i="4"/>
  <c r="BV177" i="4"/>
  <c r="CD177" i="4"/>
  <c r="BV179" i="4"/>
  <c r="CD179" i="4"/>
  <c r="BV181" i="4"/>
  <c r="CD181" i="4"/>
  <c r="H184" i="4"/>
  <c r="CA184" i="4"/>
  <c r="CB186" i="4"/>
  <c r="CE186" i="4" s="1"/>
  <c r="CB188" i="4"/>
  <c r="CE188" i="4" s="1"/>
  <c r="CA190" i="4"/>
  <c r="CB198" i="4"/>
  <c r="CE198" i="4" s="1"/>
  <c r="CB205" i="4"/>
  <c r="CE205" i="4" s="1"/>
  <c r="H208" i="4"/>
  <c r="CD214" i="4"/>
  <c r="CB223" i="4"/>
  <c r="CE223" i="4" s="1"/>
  <c r="CC224" i="4"/>
  <c r="BV224" i="4" s="1"/>
  <c r="BX224" i="4" s="1"/>
  <c r="CE228" i="4"/>
  <c r="CE237" i="4"/>
  <c r="CD241" i="4"/>
  <c r="CB241" i="4"/>
  <c r="CE241" i="4" s="1"/>
  <c r="CE244" i="4"/>
  <c r="CB260" i="4"/>
  <c r="CE260" i="4" s="1"/>
  <c r="CD260" i="4"/>
  <c r="CC260" i="4"/>
  <c r="BV260" i="4" s="1"/>
  <c r="BX260" i="4" s="1"/>
  <c r="CE306" i="4"/>
  <c r="CE355" i="4"/>
  <c r="CA174" i="4"/>
  <c r="CA176" i="4"/>
  <c r="CA178" i="4"/>
  <c r="CA180" i="4"/>
  <c r="BY187" i="4"/>
  <c r="BY189" i="4"/>
  <c r="H215" i="4"/>
  <c r="CA215" i="4"/>
  <c r="CB232" i="4"/>
  <c r="CE232" i="4" s="1"/>
  <c r="CC232" i="4"/>
  <c r="BV232" i="4" s="1"/>
  <c r="BX232" i="4" s="1"/>
  <c r="D237" i="4"/>
  <c r="AY237" i="4" s="1"/>
  <c r="BY237" i="4"/>
  <c r="BW237" i="4"/>
  <c r="CA237" i="4"/>
  <c r="CA239" i="4"/>
  <c r="CB249" i="4"/>
  <c r="CD249" i="4"/>
  <c r="CC249" i="4"/>
  <c r="BV249" i="4" s="1"/>
  <c r="BX249" i="4" s="1"/>
  <c r="BW123" i="4"/>
  <c r="CC134" i="4"/>
  <c r="BV134" i="4" s="1"/>
  <c r="BX134" i="4" s="1"/>
  <c r="BY135" i="4"/>
  <c r="CC136" i="4"/>
  <c r="BY137" i="4"/>
  <c r="CC138" i="4"/>
  <c r="BV138" i="4" s="1"/>
  <c r="BX138" i="4" s="1"/>
  <c r="BY139" i="4"/>
  <c r="CC140" i="4"/>
  <c r="BV140" i="4" s="1"/>
  <c r="BX140" i="4" s="1"/>
  <c r="CB160" i="4"/>
  <c r="CE160" i="4" s="1"/>
  <c r="CB162" i="4"/>
  <c r="CE162" i="4" s="1"/>
  <c r="CB164" i="4"/>
  <c r="CE164" i="4" s="1"/>
  <c r="CB166" i="4"/>
  <c r="CE166" i="4" s="1"/>
  <c r="CB168" i="4"/>
  <c r="CE168" i="4" s="1"/>
  <c r="CB170" i="4"/>
  <c r="CB172" i="4"/>
  <c r="CE172" i="4" s="1"/>
  <c r="CB174" i="4"/>
  <c r="CE174" i="4" s="1"/>
  <c r="CB176" i="4"/>
  <c r="CB178" i="4"/>
  <c r="CE178" i="4" s="1"/>
  <c r="CB180" i="4"/>
  <c r="CE180" i="4" s="1"/>
  <c r="CC182" i="4"/>
  <c r="BV182" i="4" s="1"/>
  <c r="BX182" i="4" s="1"/>
  <c r="CC184" i="4"/>
  <c r="BV184" i="4" s="1"/>
  <c r="BX184" i="4" s="1"/>
  <c r="BV186" i="4"/>
  <c r="BV188" i="4"/>
  <c r="CC190" i="4"/>
  <c r="CB193" i="4"/>
  <c r="BV198" i="4"/>
  <c r="CA199" i="4"/>
  <c r="D200" i="4"/>
  <c r="AY200" i="4" s="1"/>
  <c r="BW200" i="4"/>
  <c r="BX200" i="4" s="1"/>
  <c r="H201" i="4"/>
  <c r="BY201" i="4" s="1"/>
  <c r="D202" i="4"/>
  <c r="AY202" i="4" s="1"/>
  <c r="CA206" i="4"/>
  <c r="BV208" i="4"/>
  <c r="CB209" i="4"/>
  <c r="CE209" i="4" s="1"/>
  <c r="CC211" i="4"/>
  <c r="BV211" i="4" s="1"/>
  <c r="BX211" i="4" s="1"/>
  <c r="CB212" i="4"/>
  <c r="CE212" i="4" s="1"/>
  <c r="D214" i="4"/>
  <c r="AY214" i="4" s="1"/>
  <c r="BW214" i="4"/>
  <c r="CC215" i="4"/>
  <c r="BV215" i="4" s="1"/>
  <c r="BX215" i="4" s="1"/>
  <c r="CB216" i="4"/>
  <c r="CE216" i="4" s="1"/>
  <c r="BX222" i="4"/>
  <c r="CC225" i="4"/>
  <c r="BV225" i="4" s="1"/>
  <c r="BX225" i="4" s="1"/>
  <c r="CB226" i="4"/>
  <c r="CE226" i="4" s="1"/>
  <c r="CE235" i="4"/>
  <c r="CB237" i="4"/>
  <c r="CD239" i="4"/>
  <c r="CE242" i="4"/>
  <c r="BW246" i="4"/>
  <c r="BW247" i="4"/>
  <c r="CE248" i="4"/>
  <c r="CE251" i="4"/>
  <c r="CC160" i="4"/>
  <c r="BV160" i="4" s="1"/>
  <c r="CC162" i="4"/>
  <c r="BV162" i="4" s="1"/>
  <c r="CC164" i="4"/>
  <c r="BV164" i="4" s="1"/>
  <c r="CC166" i="4"/>
  <c r="BV166" i="4" s="1"/>
  <c r="CC168" i="4"/>
  <c r="BV168" i="4" s="1"/>
  <c r="CC170" i="4"/>
  <c r="BV170" i="4" s="1"/>
  <c r="CC172" i="4"/>
  <c r="CC174" i="4"/>
  <c r="CC176" i="4"/>
  <c r="CC178" i="4"/>
  <c r="BV178" i="4" s="1"/>
  <c r="CC180" i="4"/>
  <c r="BV180" i="4" s="1"/>
  <c r="D186" i="4"/>
  <c r="AY186" i="4" s="1"/>
  <c r="BW186" i="4"/>
  <c r="H187" i="4"/>
  <c r="CA187" i="4"/>
  <c r="D188" i="4"/>
  <c r="AY188" i="4" s="1"/>
  <c r="BW188" i="4"/>
  <c r="H189" i="4"/>
  <c r="CA189" i="4"/>
  <c r="D190" i="4"/>
  <c r="AY190" i="4" s="1"/>
  <c r="BV190" i="4"/>
  <c r="BX190" i="4" s="1"/>
  <c r="CC193" i="4"/>
  <c r="BV193" i="4" s="1"/>
  <c r="BX193" i="4" s="1"/>
  <c r="D198" i="4"/>
  <c r="AY198" i="4" s="1"/>
  <c r="BW198" i="4"/>
  <c r="CB199" i="4"/>
  <c r="CE199" i="4" s="1"/>
  <c r="CB201" i="4"/>
  <c r="CE201" i="4" s="1"/>
  <c r="CB203" i="4"/>
  <c r="CE203" i="4" s="1"/>
  <c r="H206" i="4"/>
  <c r="H207" i="4" s="1"/>
  <c r="BW207" i="4" s="1"/>
  <c r="CB206" i="4"/>
  <c r="CC208" i="4"/>
  <c r="CC209" i="4"/>
  <c r="BV209" i="4" s="1"/>
  <c r="BX209" i="4" s="1"/>
  <c r="CC212" i="4"/>
  <c r="BV212" i="4" s="1"/>
  <c r="BX212" i="4" s="1"/>
  <c r="CD215" i="4"/>
  <c r="CC216" i="4"/>
  <c r="BV216" i="4" s="1"/>
  <c r="BX216" i="4" s="1"/>
  <c r="CB217" i="4"/>
  <c r="CE217" i="4" s="1"/>
  <c r="CD225" i="4"/>
  <c r="CC226" i="4"/>
  <c r="BV226" i="4" s="1"/>
  <c r="BX226" i="4" s="1"/>
  <c r="CC231" i="4"/>
  <c r="BV231" i="4" s="1"/>
  <c r="BX231" i="4" s="1"/>
  <c r="CB231" i="4"/>
  <c r="CE231" i="4" s="1"/>
  <c r="CD231" i="4"/>
  <c r="CA236" i="4"/>
  <c r="H236" i="4"/>
  <c r="BV236" i="4"/>
  <c r="BX236" i="4" s="1"/>
  <c r="H237" i="4"/>
  <c r="H238" i="4" s="1"/>
  <c r="CD237" i="4"/>
  <c r="CC237" i="4"/>
  <c r="BV237" i="4" s="1"/>
  <c r="BX237" i="4" s="1"/>
  <c r="H239" i="4"/>
  <c r="H240" i="4" s="1"/>
  <c r="BY240" i="4" s="1"/>
  <c r="CB239" i="4"/>
  <c r="CE239" i="4" s="1"/>
  <c r="CC239" i="4"/>
  <c r="CA243" i="4"/>
  <c r="BV243" i="4"/>
  <c r="BY246" i="4"/>
  <c r="CE267" i="4"/>
  <c r="CE269" i="4"/>
  <c r="CE294" i="4"/>
  <c r="CE311" i="4"/>
  <c r="BY123" i="4"/>
  <c r="H135" i="4"/>
  <c r="H136" i="4" s="1"/>
  <c r="H137" i="4"/>
  <c r="H139" i="4"/>
  <c r="CD160" i="4"/>
  <c r="CD162" i="4"/>
  <c r="CD164" i="4"/>
  <c r="CD166" i="4"/>
  <c r="CD168" i="4"/>
  <c r="CD170" i="4"/>
  <c r="CD172" i="4"/>
  <c r="BV174" i="4"/>
  <c r="CD174" i="4"/>
  <c r="BV176" i="4"/>
  <c r="CD176" i="4"/>
  <c r="CD178" i="4"/>
  <c r="CD180" i="4"/>
  <c r="CA183" i="4"/>
  <c r="D184" i="4"/>
  <c r="AY184" i="4" s="1"/>
  <c r="BW184" i="4"/>
  <c r="CB187" i="4"/>
  <c r="CE187" i="4" s="1"/>
  <c r="CB189" i="4"/>
  <c r="CE189" i="4" s="1"/>
  <c r="CD193" i="4"/>
  <c r="CA197" i="4"/>
  <c r="CC199" i="4"/>
  <c r="BV199" i="4" s="1"/>
  <c r="BX199" i="4" s="1"/>
  <c r="CC201" i="4"/>
  <c r="BV201" i="4" s="1"/>
  <c r="CC203" i="4"/>
  <c r="BV203" i="4" s="1"/>
  <c r="D208" i="4"/>
  <c r="AY208" i="4" s="1"/>
  <c r="CC213" i="4"/>
  <c r="BV213" i="4" s="1"/>
  <c r="CD216" i="4"/>
  <c r="CC217" i="4"/>
  <c r="BV217" i="4" s="1"/>
  <c r="BX217" i="4" s="1"/>
  <c r="CB220" i="4"/>
  <c r="CE220" i="4" s="1"/>
  <c r="CD226" i="4"/>
  <c r="CE230" i="4"/>
  <c r="D242" i="4"/>
  <c r="AY242" i="4" s="1"/>
  <c r="CB242" i="4"/>
  <c r="CB255" i="4"/>
  <c r="CE255" i="4" s="1"/>
  <c r="CD255" i="4"/>
  <c r="CC255" i="4"/>
  <c r="BV255" i="4" s="1"/>
  <c r="BX255" i="4" s="1"/>
  <c r="D174" i="4"/>
  <c r="AY174" i="4" s="1"/>
  <c r="D176" i="4"/>
  <c r="AY176" i="4" s="1"/>
  <c r="D178" i="4"/>
  <c r="AY178" i="4" s="1"/>
  <c r="D180" i="4"/>
  <c r="AY180" i="4" s="1"/>
  <c r="CB183" i="4"/>
  <c r="CE183" i="4" s="1"/>
  <c r="CC187" i="4"/>
  <c r="CC189" i="4"/>
  <c r="CB197" i="4"/>
  <c r="CE197" i="4" s="1"/>
  <c r="CB207" i="4"/>
  <c r="CE207" i="4" s="1"/>
  <c r="CD213" i="4"/>
  <c r="CA214" i="4"/>
  <c r="D215" i="4"/>
  <c r="AY215" i="4" s="1"/>
  <c r="BW215" i="4"/>
  <c r="CB215" i="4"/>
  <c r="CE215" i="4" s="1"/>
  <c r="CD217" i="4"/>
  <c r="CD220" i="4"/>
  <c r="BX227" i="4"/>
  <c r="CD236" i="4"/>
  <c r="CB236" i="4"/>
  <c r="CE236" i="4" s="1"/>
  <c r="CE240" i="4"/>
  <c r="CC242" i="4"/>
  <c r="BV242" i="4" s="1"/>
  <c r="CD243" i="4"/>
  <c r="CB243" i="4"/>
  <c r="CE243" i="4" s="1"/>
  <c r="CE279" i="4"/>
  <c r="CE332" i="4"/>
  <c r="BV187" i="4"/>
  <c r="BX187" i="4" s="1"/>
  <c r="BV189" i="4"/>
  <c r="BX189" i="4" s="1"/>
  <c r="CB204" i="4"/>
  <c r="BY205" i="4"/>
  <c r="CC206" i="4"/>
  <c r="BV206" i="4" s="1"/>
  <c r="CB210" i="4"/>
  <c r="CE210" i="4" s="1"/>
  <c r="CE213" i="4"/>
  <c r="BV239" i="4"/>
  <c r="CA241" i="4"/>
  <c r="CC241" i="4"/>
  <c r="BV241" i="4" s="1"/>
  <c r="CD242" i="4"/>
  <c r="CD246" i="4"/>
  <c r="BX250" i="4"/>
  <c r="CE264" i="4"/>
  <c r="CE329" i="4"/>
  <c r="CD230" i="4"/>
  <c r="CC230" i="4"/>
  <c r="BV230" i="4" s="1"/>
  <c r="BX230" i="4" s="1"/>
  <c r="CD232" i="4"/>
  <c r="BW240" i="4"/>
  <c r="CA246" i="4"/>
  <c r="H246" i="4"/>
  <c r="H247" i="4" s="1"/>
  <c r="BV246" i="4"/>
  <c r="BX246" i="4" s="1"/>
  <c r="CC246" i="4"/>
  <c r="CE247" i="4"/>
  <c r="CE249" i="4"/>
  <c r="CC257" i="4"/>
  <c r="BV257" i="4" s="1"/>
  <c r="BX257" i="4" s="1"/>
  <c r="CB257" i="4"/>
  <c r="CE257" i="4" s="1"/>
  <c r="CB262" i="4"/>
  <c r="CE262" i="4" s="1"/>
  <c r="CD262" i="4"/>
  <c r="CC262" i="4"/>
  <c r="BV262" i="4" s="1"/>
  <c r="BX262" i="4" s="1"/>
  <c r="CE285" i="4"/>
  <c r="CB246" i="4"/>
  <c r="CE246" i="4" s="1"/>
  <c r="CD254" i="4"/>
  <c r="CB256" i="4"/>
  <c r="CE256" i="4" s="1"/>
  <c r="BY261" i="4"/>
  <c r="CB263" i="4"/>
  <c r="CE263" i="4" s="1"/>
  <c r="CD266" i="4"/>
  <c r="CC267" i="4"/>
  <c r="BV267" i="4" s="1"/>
  <c r="BX267" i="4" s="1"/>
  <c r="BY268" i="4"/>
  <c r="CC269" i="4"/>
  <c r="BV269" i="4" s="1"/>
  <c r="BX269" i="4" s="1"/>
  <c r="CC271" i="4"/>
  <c r="BV271" i="4" s="1"/>
  <c r="CC273" i="4"/>
  <c r="BV273" i="4" s="1"/>
  <c r="CC279" i="4"/>
  <c r="BV279" i="4" s="1"/>
  <c r="BX279" i="4" s="1"/>
  <c r="CD284" i="4"/>
  <c r="CC285" i="4"/>
  <c r="BV285" i="4" s="1"/>
  <c r="BX285" i="4" s="1"/>
  <c r="CD289" i="4"/>
  <c r="CD293" i="4"/>
  <c r="CC294" i="4"/>
  <c r="BV294" i="4" s="1"/>
  <c r="BX294" i="4" s="1"/>
  <c r="CD299" i="4"/>
  <c r="CC300" i="4"/>
  <c r="BV300" i="4" s="1"/>
  <c r="BX300" i="4" s="1"/>
  <c r="CD305" i="4"/>
  <c r="CC306" i="4"/>
  <c r="BV306" i="4" s="1"/>
  <c r="BX306" i="4" s="1"/>
  <c r="CD310" i="4"/>
  <c r="CC311" i="4"/>
  <c r="BV311" i="4" s="1"/>
  <c r="BX311" i="4" s="1"/>
  <c r="CC315" i="4"/>
  <c r="BV315" i="4" s="1"/>
  <c r="BX315" i="4" s="1"/>
  <c r="CC327" i="4"/>
  <c r="BV327" i="4" s="1"/>
  <c r="BX327" i="4" s="1"/>
  <c r="CC330" i="4"/>
  <c r="BV330" i="4" s="1"/>
  <c r="BX330" i="4" s="1"/>
  <c r="CD344" i="4"/>
  <c r="CC346" i="4"/>
  <c r="BV346" i="4" s="1"/>
  <c r="BX346" i="4" s="1"/>
  <c r="CB360" i="4"/>
  <c r="CC360" i="4"/>
  <c r="BV360" i="4" s="1"/>
  <c r="BX360" i="4" s="1"/>
  <c r="BX363" i="4"/>
  <c r="CE374" i="4"/>
  <c r="CE380" i="4"/>
  <c r="CE384" i="4"/>
  <c r="CE392" i="4"/>
  <c r="CE398" i="4"/>
  <c r="BY247" i="4"/>
  <c r="CD267" i="4"/>
  <c r="CD269" i="4"/>
  <c r="CD271" i="4"/>
  <c r="CD273" i="4"/>
  <c r="CB275" i="4"/>
  <c r="CE275" i="4" s="1"/>
  <c r="CD279" i="4"/>
  <c r="CB281" i="4"/>
  <c r="CE281" i="4" s="1"/>
  <c r="CD285" i="4"/>
  <c r="CB287" i="4"/>
  <c r="CE287" i="4" s="1"/>
  <c r="CE289" i="4"/>
  <c r="CB290" i="4"/>
  <c r="CE290" i="4" s="1"/>
  <c r="CD294" i="4"/>
  <c r="CB296" i="4"/>
  <c r="CE296" i="4" s="1"/>
  <c r="CD300" i="4"/>
  <c r="CB302" i="4"/>
  <c r="CE302" i="4" s="1"/>
  <c r="CD306" i="4"/>
  <c r="CE310" i="4"/>
  <c r="CD311" i="4"/>
  <c r="CD327" i="4"/>
  <c r="CD330" i="4"/>
  <c r="CE336" i="4"/>
  <c r="CE341" i="4"/>
  <c r="CC342" i="4"/>
  <c r="BV342" i="4" s="1"/>
  <c r="BX342" i="4" s="1"/>
  <c r="BX345" i="4"/>
  <c r="CD346" i="4"/>
  <c r="BX353" i="4"/>
  <c r="BX359" i="4"/>
  <c r="CD364" i="4"/>
  <c r="CC364" i="4"/>
  <c r="BV364" i="4" s="1"/>
  <c r="BX364" i="4" s="1"/>
  <c r="CE376" i="4"/>
  <c r="CE388" i="4"/>
  <c r="CE422" i="4"/>
  <c r="D262" i="4"/>
  <c r="AY262" i="4" s="1"/>
  <c r="BW262" i="4"/>
  <c r="CC275" i="4"/>
  <c r="BV275" i="4" s="1"/>
  <c r="BX275" i="4" s="1"/>
  <c r="CC281" i="4"/>
  <c r="BV281" i="4" s="1"/>
  <c r="BX281" i="4" s="1"/>
  <c r="CC287" i="4"/>
  <c r="BV287" i="4" s="1"/>
  <c r="BX287" i="4" s="1"/>
  <c r="CC290" i="4"/>
  <c r="BV290" i="4" s="1"/>
  <c r="BX290" i="4" s="1"/>
  <c r="CE327" i="4"/>
  <c r="CE330" i="4"/>
  <c r="CB332" i="4"/>
  <c r="CC333" i="4"/>
  <c r="BV333" i="4" s="1"/>
  <c r="BX333" i="4" s="1"/>
  <c r="CB338" i="4"/>
  <c r="CE338" i="4" s="1"/>
  <c r="CB366" i="4"/>
  <c r="CC366" i="4"/>
  <c r="BV366" i="4" s="1"/>
  <c r="BX366" i="4" s="1"/>
  <c r="CD370" i="4"/>
  <c r="CC370" i="4"/>
  <c r="BV370" i="4" s="1"/>
  <c r="BX370" i="4" s="1"/>
  <c r="BX383" i="4"/>
  <c r="BX391" i="4"/>
  <c r="CE421" i="4"/>
  <c r="CD332" i="4"/>
  <c r="CB342" i="4"/>
  <c r="CE342" i="4" s="1"/>
  <c r="CD342" i="4"/>
  <c r="CD374" i="4"/>
  <c r="CC374" i="4"/>
  <c r="BV374" i="4" s="1"/>
  <c r="BX374" i="4" s="1"/>
  <c r="CD380" i="4"/>
  <c r="CC380" i="4"/>
  <c r="BV380" i="4" s="1"/>
  <c r="BX380" i="4" s="1"/>
  <c r="CD384" i="4"/>
  <c r="CC384" i="4"/>
  <c r="BV384" i="4" s="1"/>
  <c r="BX384" i="4" s="1"/>
  <c r="CD392" i="4"/>
  <c r="CC392" i="4"/>
  <c r="BV392" i="4" s="1"/>
  <c r="BX392" i="4" s="1"/>
  <c r="BY438" i="4"/>
  <c r="BW438" i="4"/>
  <c r="CE496" i="4"/>
  <c r="CB247" i="4"/>
  <c r="BY262" i="4"/>
  <c r="BY269" i="4"/>
  <c r="CB288" i="4"/>
  <c r="CE288" i="4" s="1"/>
  <c r="CB297" i="4"/>
  <c r="CE297" i="4" s="1"/>
  <c r="CB303" i="4"/>
  <c r="CE303" i="4" s="1"/>
  <c r="CB309" i="4"/>
  <c r="CE309" i="4" s="1"/>
  <c r="CB314" i="4"/>
  <c r="CE314" i="4" s="1"/>
  <c r="CD321" i="4"/>
  <c r="CB323" i="4"/>
  <c r="CE323" i="4" s="1"/>
  <c r="CE326" i="4"/>
  <c r="CB329" i="4"/>
  <c r="BY330" i="4"/>
  <c r="CE339" i="4"/>
  <c r="CD341" i="4"/>
  <c r="CD350" i="4"/>
  <c r="CE362" i="4"/>
  <c r="CC362" i="4"/>
  <c r="BV362" i="4" s="1"/>
  <c r="BX362" i="4" s="1"/>
  <c r="CB376" i="4"/>
  <c r="CC376" i="4"/>
  <c r="BV376" i="4" s="1"/>
  <c r="BX376" i="4" s="1"/>
  <c r="CE386" i="4"/>
  <c r="CD388" i="4"/>
  <c r="CB390" i="4"/>
  <c r="CE390" i="4" s="1"/>
  <c r="CC390" i="4"/>
  <c r="BV390" i="4" s="1"/>
  <c r="BX390" i="4" s="1"/>
  <c r="CE470" i="4"/>
  <c r="CE343" i="4"/>
  <c r="CE346" i="4"/>
  <c r="CE348" i="4"/>
  <c r="CE360" i="4"/>
  <c r="BX375" i="4"/>
  <c r="CB382" i="4"/>
  <c r="CE382" i="4" s="1"/>
  <c r="CC382" i="4"/>
  <c r="BV382" i="4" s="1"/>
  <c r="BX382" i="4" s="1"/>
  <c r="CE417" i="4"/>
  <c r="CE454" i="4"/>
  <c r="D240" i="4"/>
  <c r="AY240" i="4" s="1"/>
  <c r="BV240" i="4"/>
  <c r="BX240" i="4" s="1"/>
  <c r="BV247" i="4"/>
  <c r="CC248" i="4"/>
  <c r="BV248" i="4" s="1"/>
  <c r="BX248" i="4" s="1"/>
  <c r="CC253" i="4"/>
  <c r="BV253" i="4" s="1"/>
  <c r="BX253" i="4" s="1"/>
  <c r="CB254" i="4"/>
  <c r="CE254" i="4" s="1"/>
  <c r="CA260" i="4"/>
  <c r="D261" i="4"/>
  <c r="AY261" i="4" s="1"/>
  <c r="H262" i="4"/>
  <c r="CB266" i="4"/>
  <c r="CE266" i="4" s="1"/>
  <c r="D268" i="4"/>
  <c r="AY268" i="4" s="1"/>
  <c r="H269" i="4"/>
  <c r="H270" i="4" s="1"/>
  <c r="D270" i="4"/>
  <c r="AY270" i="4" s="1"/>
  <c r="D272" i="4"/>
  <c r="AY272" i="4" s="1"/>
  <c r="CC283" i="4"/>
  <c r="BV283" i="4" s="1"/>
  <c r="BX283" i="4" s="1"/>
  <c r="CB284" i="4"/>
  <c r="CE284" i="4" s="1"/>
  <c r="CB289" i="4"/>
  <c r="CC292" i="4"/>
  <c r="BV292" i="4" s="1"/>
  <c r="BX292" i="4" s="1"/>
  <c r="CB293" i="4"/>
  <c r="CE293" i="4" s="1"/>
  <c r="CC298" i="4"/>
  <c r="BV298" i="4" s="1"/>
  <c r="BX298" i="4" s="1"/>
  <c r="CB299" i="4"/>
  <c r="CE299" i="4" s="1"/>
  <c r="CC304" i="4"/>
  <c r="BV304" i="4" s="1"/>
  <c r="BX304" i="4" s="1"/>
  <c r="CB310" i="4"/>
  <c r="CB316" i="4"/>
  <c r="CE316" i="4" s="1"/>
  <c r="CC317" i="4"/>
  <c r="BV317" i="4" s="1"/>
  <c r="BX317" i="4" s="1"/>
  <c r="H330" i="4"/>
  <c r="CB337" i="4"/>
  <c r="CE337" i="4" s="1"/>
  <c r="CD337" i="4"/>
  <c r="BX347" i="4"/>
  <c r="CD361" i="4"/>
  <c r="CB361" i="4"/>
  <c r="CE361" i="4" s="1"/>
  <c r="CE364" i="4"/>
  <c r="BX371" i="4"/>
  <c r="CE372" i="4"/>
  <c r="CC372" i="4"/>
  <c r="BV372" i="4" s="1"/>
  <c r="BX372" i="4" s="1"/>
  <c r="CD378" i="4"/>
  <c r="BX381" i="4"/>
  <c r="CE396" i="4"/>
  <c r="CE416" i="4"/>
  <c r="BV459" i="4"/>
  <c r="BX459" i="4" s="1"/>
  <c r="CE498" i="4"/>
  <c r="D247" i="4"/>
  <c r="AY247" i="4" s="1"/>
  <c r="CB315" i="4"/>
  <c r="CE315" i="4" s="1"/>
  <c r="CB343" i="4"/>
  <c r="CB344" i="4"/>
  <c r="CE344" i="4" s="1"/>
  <c r="CB348" i="4"/>
  <c r="CD349" i="4"/>
  <c r="CB349" i="4"/>
  <c r="CE349" i="4" s="1"/>
  <c r="CB354" i="4"/>
  <c r="CE354" i="4" s="1"/>
  <c r="CD355" i="4"/>
  <c r="CB355" i="4"/>
  <c r="CD360" i="4"/>
  <c r="CE366" i="4"/>
  <c r="BX367" i="4"/>
  <c r="CE370" i="4"/>
  <c r="BX377" i="4"/>
  <c r="BX385" i="4"/>
  <c r="BX395" i="4"/>
  <c r="BX441" i="4"/>
  <c r="CE450" i="4"/>
  <c r="CD353" i="4"/>
  <c r="CD359" i="4"/>
  <c r="CD365" i="4"/>
  <c r="CB371" i="4"/>
  <c r="CE371" i="4" s="1"/>
  <c r="CD375" i="4"/>
  <c r="CB377" i="4"/>
  <c r="CE377" i="4" s="1"/>
  <c r="CD381" i="4"/>
  <c r="CB385" i="4"/>
  <c r="CE385" i="4" s="1"/>
  <c r="CD387" i="4"/>
  <c r="CB393" i="4"/>
  <c r="CE393" i="4" s="1"/>
  <c r="CD395" i="4"/>
  <c r="CC398" i="4"/>
  <c r="BV398" i="4" s="1"/>
  <c r="BX398" i="4" s="1"/>
  <c r="CB401" i="4"/>
  <c r="CE401" i="4" s="1"/>
  <c r="CB404" i="4"/>
  <c r="CE404" i="4" s="1"/>
  <c r="CB408" i="4"/>
  <c r="CE408" i="4" s="1"/>
  <c r="CD411" i="4"/>
  <c r="CB412" i="4"/>
  <c r="CE412" i="4" s="1"/>
  <c r="CD415" i="4"/>
  <c r="CC416" i="4"/>
  <c r="BV416" i="4" s="1"/>
  <c r="BX416" i="4" s="1"/>
  <c r="CB417" i="4"/>
  <c r="CD420" i="4"/>
  <c r="CC421" i="4"/>
  <c r="BV421" i="4" s="1"/>
  <c r="BX421" i="4" s="1"/>
  <c r="CB422" i="4"/>
  <c r="CD428" i="4"/>
  <c r="CB430" i="4"/>
  <c r="CB434" i="4"/>
  <c r="CE434" i="4" s="1"/>
  <c r="BW445" i="4"/>
  <c r="D450" i="4"/>
  <c r="AY450" i="4" s="1"/>
  <c r="CD452" i="4"/>
  <c r="CC452" i="4"/>
  <c r="BV456" i="4"/>
  <c r="BX456" i="4" s="1"/>
  <c r="CA456" i="4"/>
  <c r="CC457" i="4"/>
  <c r="BV457" i="4" s="1"/>
  <c r="BX457" i="4" s="1"/>
  <c r="CE461" i="4"/>
  <c r="BV463" i="4"/>
  <c r="BX463" i="4" s="1"/>
  <c r="CB463" i="4"/>
  <c r="CE474" i="4"/>
  <c r="D479" i="4"/>
  <c r="AY479" i="4" s="1"/>
  <c r="BV479" i="4"/>
  <c r="CD479" i="4"/>
  <c r="CC479" i="4"/>
  <c r="CB479" i="4"/>
  <c r="CE479" i="4" s="1"/>
  <c r="D483" i="4"/>
  <c r="AY483" i="4" s="1"/>
  <c r="CD483" i="4"/>
  <c r="CC483" i="4"/>
  <c r="BV483" i="4" s="1"/>
  <c r="CB483" i="4"/>
  <c r="CE483" i="4" s="1"/>
  <c r="BW487" i="4"/>
  <c r="D487" i="4"/>
  <c r="AY487" i="4" s="1"/>
  <c r="BV487" i="4"/>
  <c r="BX487" i="4" s="1"/>
  <c r="CD487" i="4"/>
  <c r="CC487" i="4"/>
  <c r="CB487" i="4"/>
  <c r="CA491" i="4"/>
  <c r="CD492" i="4"/>
  <c r="BV508" i="4"/>
  <c r="BX508" i="4" s="1"/>
  <c r="CE607" i="4"/>
  <c r="CD454" i="4"/>
  <c r="CC454" i="4"/>
  <c r="BV454" i="4" s="1"/>
  <c r="CB454" i="4"/>
  <c r="CB470" i="4"/>
  <c r="BY471" i="4"/>
  <c r="D473" i="4"/>
  <c r="AY473" i="4" s="1"/>
  <c r="CD473" i="4"/>
  <c r="BV473" i="4"/>
  <c r="CC473" i="4"/>
  <c r="BW477" i="4"/>
  <c r="D477" i="4"/>
  <c r="AY477" i="4" s="1"/>
  <c r="BV477" i="4"/>
  <c r="BX477" i="4" s="1"/>
  <c r="CD496" i="4"/>
  <c r="CC496" i="4"/>
  <c r="BV496" i="4" s="1"/>
  <c r="BX496" i="4" s="1"/>
  <c r="CB496" i="4"/>
  <c r="CE566" i="4"/>
  <c r="CC396" i="4"/>
  <c r="BV396" i="4" s="1"/>
  <c r="BX396" i="4" s="1"/>
  <c r="CD412" i="4"/>
  <c r="CD417" i="4"/>
  <c r="CD422" i="4"/>
  <c r="CC423" i="4"/>
  <c r="BV423" i="4" s="1"/>
  <c r="BX423" i="4" s="1"/>
  <c r="CD434" i="4"/>
  <c r="CB435" i="4"/>
  <c r="CE435" i="4" s="1"/>
  <c r="CC439" i="4"/>
  <c r="BV439" i="4" s="1"/>
  <c r="BX439" i="4" s="1"/>
  <c r="CD442" i="4"/>
  <c r="CD443" i="4"/>
  <c r="BY445" i="4"/>
  <c r="CC448" i="4"/>
  <c r="BV448" i="4" s="1"/>
  <c r="BX448" i="4" s="1"/>
  <c r="CB448" i="4"/>
  <c r="CE448" i="4" s="1"/>
  <c r="CC449" i="4"/>
  <c r="BV449" i="4" s="1"/>
  <c r="BX449" i="4" s="1"/>
  <c r="BV450" i="4"/>
  <c r="BX450" i="4" s="1"/>
  <c r="CA450" i="4"/>
  <c r="CD456" i="4"/>
  <c r="CC456" i="4"/>
  <c r="CB456" i="4"/>
  <c r="CE456" i="4" s="1"/>
  <c r="CE457" i="4"/>
  <c r="CB459" i="4"/>
  <c r="CE459" i="4" s="1"/>
  <c r="BW461" i="4"/>
  <c r="BY462" i="4"/>
  <c r="CE468" i="4"/>
  <c r="BY469" i="4"/>
  <c r="BW470" i="4"/>
  <c r="CE471" i="4"/>
  <c r="CA472" i="4"/>
  <c r="CC472" i="4"/>
  <c r="BV472" i="4" s="1"/>
  <c r="BX472" i="4" s="1"/>
  <c r="CE475" i="4"/>
  <c r="CA476" i="4"/>
  <c r="CC476" i="4"/>
  <c r="BV476" i="4" s="1"/>
  <c r="BX476" i="4" s="1"/>
  <c r="BW491" i="4"/>
  <c r="D491" i="4"/>
  <c r="AY491" i="4" s="1"/>
  <c r="CD491" i="4"/>
  <c r="CC491" i="4"/>
  <c r="BV491" i="4" s="1"/>
  <c r="BX491" i="4" s="1"/>
  <c r="BW495" i="4"/>
  <c r="D495" i="4"/>
  <c r="AY495" i="4" s="1"/>
  <c r="BV495" i="4"/>
  <c r="BX495" i="4" s="1"/>
  <c r="CD396" i="4"/>
  <c r="CC435" i="4"/>
  <c r="BV435" i="4" s="1"/>
  <c r="BX435" i="4" s="1"/>
  <c r="BW437" i="4"/>
  <c r="D437" i="4"/>
  <c r="AY437" i="4" s="1"/>
  <c r="CA436" i="4"/>
  <c r="CE437" i="4"/>
  <c r="CD449" i="4"/>
  <c r="CA451" i="4"/>
  <c r="D452" i="4"/>
  <c r="AY452" i="4" s="1"/>
  <c r="D461" i="4"/>
  <c r="AY461" i="4" s="1"/>
  <c r="CE462" i="4"/>
  <c r="CD465" i="4"/>
  <c r="CE493" i="4"/>
  <c r="CD500" i="4"/>
  <c r="CC500" i="4"/>
  <c r="CB500" i="4"/>
  <c r="CE500" i="4" s="1"/>
  <c r="BV512" i="4"/>
  <c r="BV516" i="4"/>
  <c r="BW547" i="4"/>
  <c r="H548" i="4"/>
  <c r="BY547" i="4"/>
  <c r="BY441" i="4"/>
  <c r="CC442" i="4"/>
  <c r="BV442" i="4" s="1"/>
  <c r="BX442" i="4" s="1"/>
  <c r="CB442" i="4"/>
  <c r="CE442" i="4" s="1"/>
  <c r="CA463" i="4"/>
  <c r="H463" i="4"/>
  <c r="BW464" i="4"/>
  <c r="D464" i="4"/>
  <c r="AY464" i="4" s="1"/>
  <c r="CD464" i="4"/>
  <c r="BV464" i="4"/>
  <c r="BX464" i="4" s="1"/>
  <c r="CB464" i="4"/>
  <c r="CE464" i="4" s="1"/>
  <c r="CD467" i="4"/>
  <c r="CC467" i="4"/>
  <c r="BV467" i="4" s="1"/>
  <c r="BX467" i="4" s="1"/>
  <c r="CB467" i="4"/>
  <c r="CE467" i="4" s="1"/>
  <c r="CE472" i="4"/>
  <c r="CE476" i="4"/>
  <c r="D481" i="4"/>
  <c r="AY481" i="4" s="1"/>
  <c r="CD481" i="4"/>
  <c r="CC481" i="4"/>
  <c r="BV481" i="4" s="1"/>
  <c r="CB481" i="4"/>
  <c r="CE481" i="4" s="1"/>
  <c r="D485" i="4"/>
  <c r="AY485" i="4" s="1"/>
  <c r="CD485" i="4"/>
  <c r="CC485" i="4"/>
  <c r="BV485" i="4" s="1"/>
  <c r="CB485" i="4"/>
  <c r="CE485" i="4" s="1"/>
  <c r="BW489" i="4"/>
  <c r="D489" i="4"/>
  <c r="AY489" i="4" s="1"/>
  <c r="BV489" i="4"/>
  <c r="BX489" i="4" s="1"/>
  <c r="CD489" i="4"/>
  <c r="CC489" i="4"/>
  <c r="CB489" i="4"/>
  <c r="CE489" i="4" s="1"/>
  <c r="CD490" i="4"/>
  <c r="H491" i="4"/>
  <c r="CA493" i="4"/>
  <c r="CD494" i="4"/>
  <c r="H495" i="4"/>
  <c r="BV500" i="4"/>
  <c r="BX500" i="4" s="1"/>
  <c r="BV504" i="4"/>
  <c r="CB400" i="4"/>
  <c r="CE400" i="4" s="1"/>
  <c r="CB414" i="4"/>
  <c r="CE414" i="4" s="1"/>
  <c r="CB419" i="4"/>
  <c r="CE419" i="4" s="1"/>
  <c r="CB427" i="4"/>
  <c r="CE427" i="4" s="1"/>
  <c r="CD450" i="4"/>
  <c r="CC450" i="4"/>
  <c r="BV452" i="4"/>
  <c r="CA452" i="4"/>
  <c r="CA461" i="4"/>
  <c r="H461" i="4"/>
  <c r="BW462" i="4"/>
  <c r="D462" i="4"/>
  <c r="AY462" i="4" s="1"/>
  <c r="CD462" i="4"/>
  <c r="CB462" i="4"/>
  <c r="CC465" i="4"/>
  <c r="CB465" i="4"/>
  <c r="CE465" i="4" s="1"/>
  <c r="CD468" i="4"/>
  <c r="CC468" i="4"/>
  <c r="BV468" i="4" s="1"/>
  <c r="BX468" i="4" s="1"/>
  <c r="CA470" i="4"/>
  <c r="H470" i="4"/>
  <c r="BW471" i="4"/>
  <c r="D471" i="4"/>
  <c r="AY471" i="4" s="1"/>
  <c r="CD471" i="4"/>
  <c r="BV471" i="4"/>
  <c r="BX471" i="4" s="1"/>
  <c r="CC471" i="4"/>
  <c r="D475" i="4"/>
  <c r="AY475" i="4" s="1"/>
  <c r="CD475" i="4"/>
  <c r="BV475" i="4"/>
  <c r="CC475" i="4"/>
  <c r="BX486" i="4"/>
  <c r="CE490" i="4"/>
  <c r="CE494" i="4"/>
  <c r="CE569" i="4"/>
  <c r="CE583" i="4"/>
  <c r="CC400" i="4"/>
  <c r="BV400" i="4" s="1"/>
  <c r="BX400" i="4" s="1"/>
  <c r="CC414" i="4"/>
  <c r="BV414" i="4" s="1"/>
  <c r="BX414" i="4" s="1"/>
  <c r="CC419" i="4"/>
  <c r="BV419" i="4" s="1"/>
  <c r="BX419" i="4" s="1"/>
  <c r="CC427" i="4"/>
  <c r="BV427" i="4" s="1"/>
  <c r="BX427" i="4" s="1"/>
  <c r="CE430" i="4"/>
  <c r="CB432" i="4"/>
  <c r="CE432" i="4" s="1"/>
  <c r="CC433" i="4"/>
  <c r="BV433" i="4" s="1"/>
  <c r="BX433" i="4" s="1"/>
  <c r="CC437" i="4"/>
  <c r="BV437" i="4" s="1"/>
  <c r="BX437" i="4" s="1"/>
  <c r="CB452" i="4"/>
  <c r="CE452" i="4" s="1"/>
  <c r="CA459" i="4"/>
  <c r="H459" i="4"/>
  <c r="BW460" i="4"/>
  <c r="D460" i="4"/>
  <c r="AY460" i="4" s="1"/>
  <c r="CD460" i="4"/>
  <c r="BV460" i="4"/>
  <c r="BX460" i="4" s="1"/>
  <c r="CB460" i="4"/>
  <c r="CE460" i="4" s="1"/>
  <c r="CC461" i="4"/>
  <c r="BV461" i="4" s="1"/>
  <c r="BX461" i="4" s="1"/>
  <c r="CC462" i="4"/>
  <c r="BV462" i="4" s="1"/>
  <c r="BX462" i="4" s="1"/>
  <c r="CD463" i="4"/>
  <c r="H464" i="4"/>
  <c r="BV465" i="4"/>
  <c r="BX465" i="4" s="1"/>
  <c r="BX469" i="4"/>
  <c r="CC470" i="4"/>
  <c r="BV470" i="4" s="1"/>
  <c r="BX470" i="4" s="1"/>
  <c r="CE473" i="4"/>
  <c r="CE487" i="4"/>
  <c r="D493" i="4"/>
  <c r="AY493" i="4" s="1"/>
  <c r="CD493" i="4"/>
  <c r="BV493" i="4"/>
  <c r="CC493" i="4"/>
  <c r="CD498" i="4"/>
  <c r="CC498" i="4"/>
  <c r="CB498" i="4"/>
  <c r="CE512" i="4"/>
  <c r="H524" i="4"/>
  <c r="BW523" i="4"/>
  <c r="BX523" i="4" s="1"/>
  <c r="BY523" i="4"/>
  <c r="CE615" i="4"/>
  <c r="CB431" i="4"/>
  <c r="CE431" i="4" s="1"/>
  <c r="CD432" i="4"/>
  <c r="CD433" i="4"/>
  <c r="CC438" i="4"/>
  <c r="BV438" i="4" s="1"/>
  <c r="BX438" i="4" s="1"/>
  <c r="CC440" i="4"/>
  <c r="BV440" i="4" s="1"/>
  <c r="BX440" i="4" s="1"/>
  <c r="CC445" i="4"/>
  <c r="BV445" i="4" s="1"/>
  <c r="BX445" i="4" s="1"/>
  <c r="CB445" i="4"/>
  <c r="CE445" i="4" s="1"/>
  <c r="H452" i="4"/>
  <c r="CA454" i="4"/>
  <c r="BW458" i="4"/>
  <c r="D458" i="4"/>
  <c r="AY458" i="4" s="1"/>
  <c r="CD458" i="4"/>
  <c r="BV458" i="4"/>
  <c r="BX458" i="4" s="1"/>
  <c r="CB458" i="4"/>
  <c r="CE458" i="4" s="1"/>
  <c r="CC459" i="4"/>
  <c r="CC460" i="4"/>
  <c r="CD461" i="4"/>
  <c r="H462" i="4"/>
  <c r="CE463" i="4"/>
  <c r="BW465" i="4"/>
  <c r="CD470" i="4"/>
  <c r="H471" i="4"/>
  <c r="CA473" i="4"/>
  <c r="CD474" i="4"/>
  <c r="H475" i="4"/>
  <c r="BW475" i="4" s="1"/>
  <c r="CA477" i="4"/>
  <c r="CA479" i="4"/>
  <c r="CA483" i="4"/>
  <c r="CA487" i="4"/>
  <c r="CE491" i="4"/>
  <c r="CC492" i="4"/>
  <c r="BV492" i="4" s="1"/>
  <c r="CE495" i="4"/>
  <c r="BV498" i="4"/>
  <c r="BX498" i="4" s="1"/>
  <c r="BX547" i="4"/>
  <c r="CE592" i="4"/>
  <c r="D540" i="4"/>
  <c r="AY540" i="4" s="1"/>
  <c r="CE540" i="4"/>
  <c r="CA545" i="4"/>
  <c r="H545" i="4"/>
  <c r="BW560" i="4"/>
  <c r="D560" i="4"/>
  <c r="AY560" i="4" s="1"/>
  <c r="CD567" i="4"/>
  <c r="CC567" i="4"/>
  <c r="CA569" i="4"/>
  <c r="H574" i="4"/>
  <c r="BW574" i="4" s="1"/>
  <c r="BX574" i="4" s="1"/>
  <c r="CB575" i="4"/>
  <c r="CE575" i="4" s="1"/>
  <c r="CD613" i="4"/>
  <c r="CC613" i="4"/>
  <c r="BV613" i="4" s="1"/>
  <c r="BX613" i="4" s="1"/>
  <c r="D615" i="4"/>
  <c r="AY615" i="4" s="1"/>
  <c r="H615" i="4"/>
  <c r="CA615" i="4"/>
  <c r="CD618" i="4"/>
  <c r="CC618" i="4"/>
  <c r="BV618" i="4" s="1"/>
  <c r="CE630" i="4"/>
  <c r="CC631" i="4"/>
  <c r="BV631" i="4" s="1"/>
  <c r="CB631" i="4"/>
  <c r="D631" i="4"/>
  <c r="AY631" i="4" s="1"/>
  <c r="D649" i="4"/>
  <c r="AY649" i="4" s="1"/>
  <c r="CA649" i="4"/>
  <c r="CD649" i="4"/>
  <c r="CC649" i="4"/>
  <c r="BV649" i="4" s="1"/>
  <c r="CB649" i="4"/>
  <c r="CC660" i="4"/>
  <c r="BV660" i="4" s="1"/>
  <c r="CD660" i="4"/>
  <c r="CB660" i="4"/>
  <c r="CE660" i="4" s="1"/>
  <c r="CD521" i="4"/>
  <c r="CA540" i="4"/>
  <c r="CC544" i="4"/>
  <c r="BV544" i="4" s="1"/>
  <c r="CB545" i="4"/>
  <c r="CE545" i="4" s="1"/>
  <c r="CC549" i="4"/>
  <c r="BV549" i="4" s="1"/>
  <c r="D555" i="4"/>
  <c r="AY555" i="4" s="1"/>
  <c r="BW555" i="4"/>
  <c r="BY557" i="4"/>
  <c r="CD558" i="4"/>
  <c r="CA560" i="4"/>
  <c r="CD568" i="4"/>
  <c r="CB569" i="4"/>
  <c r="D571" i="4"/>
  <c r="AY571" i="4" s="1"/>
  <c r="CD573" i="4"/>
  <c r="CC573" i="4"/>
  <c r="CD574" i="4"/>
  <c r="BV577" i="4"/>
  <c r="CB577" i="4"/>
  <c r="CE577" i="4" s="1"/>
  <c r="D581" i="4"/>
  <c r="AY581" i="4" s="1"/>
  <c r="CD592" i="4"/>
  <c r="CE619" i="4"/>
  <c r="BY498" i="4"/>
  <c r="BY500" i="4"/>
  <c r="BY502" i="4"/>
  <c r="BY508" i="4"/>
  <c r="BY510" i="4"/>
  <c r="BY518" i="4"/>
  <c r="CE521" i="4"/>
  <c r="CB540" i="4"/>
  <c r="CA541" i="4"/>
  <c r="CC545" i="4"/>
  <c r="BV545" i="4" s="1"/>
  <c r="BX545" i="4" s="1"/>
  <c r="CA554" i="4"/>
  <c r="H560" i="4"/>
  <c r="CB560" i="4"/>
  <c r="CE560" i="4" s="1"/>
  <c r="CA561" i="4"/>
  <c r="H561" i="4"/>
  <c r="BV565" i="4"/>
  <c r="CA565" i="4"/>
  <c r="BY566" i="4"/>
  <c r="CE568" i="4"/>
  <c r="BW573" i="4"/>
  <c r="CE574" i="4"/>
  <c r="CD575" i="4"/>
  <c r="CB579" i="4"/>
  <c r="CE579" i="4" s="1"/>
  <c r="CD606" i="4"/>
  <c r="CB606" i="4"/>
  <c r="CD608" i="4"/>
  <c r="CC608" i="4"/>
  <c r="BV608" i="4" s="1"/>
  <c r="CD619" i="4"/>
  <c r="CC619" i="4"/>
  <c r="CB619" i="4"/>
  <c r="CC642" i="4"/>
  <c r="BV642" i="4" s="1"/>
  <c r="CA642" i="4"/>
  <c r="CD642" i="4"/>
  <c r="D642" i="4"/>
  <c r="AY642" i="4" s="1"/>
  <c r="CD647" i="4"/>
  <c r="CC647" i="4"/>
  <c r="CB647" i="4"/>
  <c r="D655" i="4"/>
  <c r="AY655" i="4" s="1"/>
  <c r="CA655" i="4"/>
  <c r="BV655" i="4"/>
  <c r="CB655" i="4"/>
  <c r="CC540" i="4"/>
  <c r="BV540" i="4" s="1"/>
  <c r="D542" i="4"/>
  <c r="AY542" i="4" s="1"/>
  <c r="CE542" i="4"/>
  <c r="CD545" i="4"/>
  <c r="BY555" i="4"/>
  <c r="CC560" i="4"/>
  <c r="BW562" i="4"/>
  <c r="D562" i="4"/>
  <c r="AY562" i="4" s="1"/>
  <c r="CE562" i="4"/>
  <c r="CD569" i="4"/>
  <c r="CC569" i="4"/>
  <c r="BV569" i="4" s="1"/>
  <c r="CA571" i="4"/>
  <c r="CB581" i="4"/>
  <c r="CE581" i="4" s="1"/>
  <c r="CC592" i="4"/>
  <c r="BV592" i="4" s="1"/>
  <c r="CB592" i="4"/>
  <c r="H621" i="4"/>
  <c r="H622" i="4" s="1"/>
  <c r="CA621" i="4"/>
  <c r="D621" i="4"/>
  <c r="AY621" i="4" s="1"/>
  <c r="CA620" i="4"/>
  <c r="BY621" i="4"/>
  <c r="CD653" i="4"/>
  <c r="CB653" i="4"/>
  <c r="CE653" i="4" s="1"/>
  <c r="CC653" i="4"/>
  <c r="BV653" i="4" s="1"/>
  <c r="BV679" i="4"/>
  <c r="BY472" i="4"/>
  <c r="BY476" i="4"/>
  <c r="H498" i="4"/>
  <c r="CA498" i="4"/>
  <c r="H500" i="4"/>
  <c r="CA500" i="4"/>
  <c r="H502" i="4"/>
  <c r="CA502" i="4"/>
  <c r="CA504" i="4"/>
  <c r="CA506" i="4"/>
  <c r="H508" i="4"/>
  <c r="CA508" i="4"/>
  <c r="H510" i="4"/>
  <c r="CA510" i="4"/>
  <c r="CA512" i="4"/>
  <c r="CA514" i="4"/>
  <c r="CA516" i="4"/>
  <c r="H518" i="4"/>
  <c r="CA518" i="4"/>
  <c r="H520" i="4"/>
  <c r="CB520" i="4"/>
  <c r="CE520" i="4" s="1"/>
  <c r="CA537" i="4"/>
  <c r="H537" i="4"/>
  <c r="CD540" i="4"/>
  <c r="CC541" i="4"/>
  <c r="CA542" i="4"/>
  <c r="CC554" i="4"/>
  <c r="BV554" i="4" s="1"/>
  <c r="BX554" i="4" s="1"/>
  <c r="CB557" i="4"/>
  <c r="CE557" i="4" s="1"/>
  <c r="CD560" i="4"/>
  <c r="CC561" i="4"/>
  <c r="CA562" i="4"/>
  <c r="H565" i="4"/>
  <c r="H566" i="4" s="1"/>
  <c r="BW566" i="4" s="1"/>
  <c r="CB566" i="4"/>
  <c r="CB571" i="4"/>
  <c r="CE571" i="4" s="1"/>
  <c r="CE578" i="4"/>
  <c r="CD579" i="4"/>
  <c r="CB583" i="4"/>
  <c r="CA614" i="4"/>
  <c r="H614" i="4"/>
  <c r="BW614" i="4"/>
  <c r="D614" i="4"/>
  <c r="AY614" i="4" s="1"/>
  <c r="CD614" i="4"/>
  <c r="BV614" i="4"/>
  <c r="BX614" i="4" s="1"/>
  <c r="CE626" i="4"/>
  <c r="CA634" i="4"/>
  <c r="H634" i="4"/>
  <c r="BY634" i="4" s="1"/>
  <c r="D634" i="4"/>
  <c r="AY634" i="4" s="1"/>
  <c r="BY478" i="4"/>
  <c r="BY486" i="4"/>
  <c r="BY488" i="4"/>
  <c r="CB502" i="4"/>
  <c r="CE502" i="4" s="1"/>
  <c r="CB504" i="4"/>
  <c r="CE504" i="4" s="1"/>
  <c r="CB506" i="4"/>
  <c r="CE506" i="4" s="1"/>
  <c r="CB508" i="4"/>
  <c r="CE508" i="4" s="1"/>
  <c r="CB510" i="4"/>
  <c r="CE510" i="4" s="1"/>
  <c r="CB512" i="4"/>
  <c r="CB514" i="4"/>
  <c r="CE514" i="4" s="1"/>
  <c r="CB516" i="4"/>
  <c r="CE516" i="4" s="1"/>
  <c r="CB518" i="4"/>
  <c r="CE518" i="4" s="1"/>
  <c r="CC520" i="4"/>
  <c r="BV520" i="4" s="1"/>
  <c r="BX520" i="4" s="1"/>
  <c r="BY521" i="4"/>
  <c r="CB524" i="4"/>
  <c r="CE524" i="4" s="1"/>
  <c r="CB528" i="4"/>
  <c r="CE528" i="4" s="1"/>
  <c r="CB537" i="4"/>
  <c r="CE537" i="4" s="1"/>
  <c r="D538" i="4"/>
  <c r="AY538" i="4" s="1"/>
  <c r="CE538" i="4"/>
  <c r="CD541" i="4"/>
  <c r="CB542" i="4"/>
  <c r="CA543" i="4"/>
  <c r="BW545" i="4"/>
  <c r="CA552" i="4"/>
  <c r="H555" i="4"/>
  <c r="CC557" i="4"/>
  <c r="CE558" i="4"/>
  <c r="BV560" i="4"/>
  <c r="BX560" i="4" s="1"/>
  <c r="CD561" i="4"/>
  <c r="H562" i="4"/>
  <c r="CB562" i="4"/>
  <c r="CD565" i="4"/>
  <c r="CC565" i="4"/>
  <c r="CC566" i="4"/>
  <c r="BV566" i="4" s="1"/>
  <c r="BV567" i="4"/>
  <c r="CA567" i="4"/>
  <c r="H571" i="4"/>
  <c r="CB572" i="4"/>
  <c r="CE572" i="4" s="1"/>
  <c r="CD581" i="4"/>
  <c r="CC584" i="4"/>
  <c r="BV584" i="4" s="1"/>
  <c r="BV585" i="4"/>
  <c r="CB585" i="4"/>
  <c r="CE585" i="4" s="1"/>
  <c r="CC590" i="4"/>
  <c r="BV590" i="4" s="1"/>
  <c r="CB590" i="4"/>
  <c r="CE590" i="4" s="1"/>
  <c r="CC603" i="4"/>
  <c r="BV603" i="4" s="1"/>
  <c r="CE603" i="4"/>
  <c r="CD603" i="4"/>
  <c r="CC605" i="4"/>
  <c r="BV605" i="4" s="1"/>
  <c r="CD605" i="4"/>
  <c r="CB605" i="4"/>
  <c r="CE605" i="4" s="1"/>
  <c r="CA626" i="4"/>
  <c r="D626" i="4"/>
  <c r="AY626" i="4" s="1"/>
  <c r="CA631" i="4"/>
  <c r="CC644" i="4"/>
  <c r="BV644" i="4" s="1"/>
  <c r="CD644" i="4"/>
  <c r="CB644" i="4"/>
  <c r="D647" i="4"/>
  <c r="AY647" i="4" s="1"/>
  <c r="CA647" i="4"/>
  <c r="BV647" i="4"/>
  <c r="CE655" i="4"/>
  <c r="H472" i="4"/>
  <c r="H473" i="4" s="1"/>
  <c r="BY473" i="4" s="1"/>
  <c r="H474" i="4"/>
  <c r="BW474" i="4" s="1"/>
  <c r="BX474" i="4" s="1"/>
  <c r="H476" i="4"/>
  <c r="H478" i="4"/>
  <c r="H479" i="4" s="1"/>
  <c r="BY479" i="4" s="1"/>
  <c r="H492" i="4"/>
  <c r="CC502" i="4"/>
  <c r="BV502" i="4" s="1"/>
  <c r="CC504" i="4"/>
  <c r="CC506" i="4"/>
  <c r="BV506" i="4" s="1"/>
  <c r="CC508" i="4"/>
  <c r="CC510" i="4"/>
  <c r="BV510" i="4" s="1"/>
  <c r="CC512" i="4"/>
  <c r="CC514" i="4"/>
  <c r="BV514" i="4" s="1"/>
  <c r="CC516" i="4"/>
  <c r="CC518" i="4"/>
  <c r="BV518" i="4" s="1"/>
  <c r="BX518" i="4" s="1"/>
  <c r="CD520" i="4"/>
  <c r="CC524" i="4"/>
  <c r="BV524" i="4" s="1"/>
  <c r="CC528" i="4"/>
  <c r="BV528" i="4" s="1"/>
  <c r="CC537" i="4"/>
  <c r="BV537" i="4" s="1"/>
  <c r="BX537" i="4" s="1"/>
  <c r="CA538" i="4"/>
  <c r="BV541" i="4"/>
  <c r="CC542" i="4"/>
  <c r="BV542" i="4" s="1"/>
  <c r="CB543" i="4"/>
  <c r="CE543" i="4" s="1"/>
  <c r="D544" i="4"/>
  <c r="AY544" i="4" s="1"/>
  <c r="CE544" i="4"/>
  <c r="D545" i="4"/>
  <c r="AY545" i="4" s="1"/>
  <c r="CB548" i="4"/>
  <c r="CE548" i="4" s="1"/>
  <c r="CE549" i="4"/>
  <c r="CB552" i="4"/>
  <c r="CE552" i="4" s="1"/>
  <c r="BW554" i="4"/>
  <c r="CD554" i="4"/>
  <c r="CB555" i="4"/>
  <c r="CE555" i="4" s="1"/>
  <c r="BV557" i="4"/>
  <c r="BX557" i="4" s="1"/>
  <c r="CD557" i="4"/>
  <c r="BV561" i="4"/>
  <c r="BX561" i="4" s="1"/>
  <c r="CC562" i="4"/>
  <c r="BV562" i="4" s="1"/>
  <c r="BX562" i="4" s="1"/>
  <c r="BW565" i="4"/>
  <c r="CD566" i="4"/>
  <c r="CB567" i="4"/>
  <c r="CE567" i="4" s="1"/>
  <c r="D569" i="4"/>
  <c r="AY569" i="4" s="1"/>
  <c r="CD571" i="4"/>
  <c r="CC571" i="4"/>
  <c r="BV571" i="4" s="1"/>
  <c r="BX571" i="4" s="1"/>
  <c r="CC572" i="4"/>
  <c r="BV572" i="4" s="1"/>
  <c r="BX572" i="4" s="1"/>
  <c r="BV573" i="4"/>
  <c r="CA573" i="4"/>
  <c r="D575" i="4"/>
  <c r="AY575" i="4" s="1"/>
  <c r="CE582" i="4"/>
  <c r="CD583" i="4"/>
  <c r="CD584" i="4"/>
  <c r="CC586" i="4"/>
  <c r="BV586" i="4" s="1"/>
  <c r="CD600" i="4"/>
  <c r="CC600" i="4"/>
  <c r="BV600" i="4" s="1"/>
  <c r="CA607" i="4"/>
  <c r="D607" i="4"/>
  <c r="AY607" i="4" s="1"/>
  <c r="BW621" i="4"/>
  <c r="CB622" i="4"/>
  <c r="CE622" i="4" s="1"/>
  <c r="CD622" i="4"/>
  <c r="CC622" i="4"/>
  <c r="BV622" i="4" s="1"/>
  <c r="CD631" i="4"/>
  <c r="H480" i="4"/>
  <c r="BY480" i="4" s="1"/>
  <c r="H486" i="4"/>
  <c r="H488" i="4"/>
  <c r="H521" i="4"/>
  <c r="CC529" i="4"/>
  <c r="BV529" i="4" s="1"/>
  <c r="CB534" i="4"/>
  <c r="CE534" i="4" s="1"/>
  <c r="H538" i="4"/>
  <c r="BY538" i="4" s="1"/>
  <c r="CA539" i="4"/>
  <c r="H539" i="4"/>
  <c r="BW539" i="4" s="1"/>
  <c r="BX539" i="4" s="1"/>
  <c r="BY545" i="4"/>
  <c r="CD552" i="4"/>
  <c r="D554" i="4"/>
  <c r="AY554" i="4" s="1"/>
  <c r="BV556" i="4"/>
  <c r="BX556" i="4" s="1"/>
  <c r="D557" i="4"/>
  <c r="AY557" i="4" s="1"/>
  <c r="CA559" i="4"/>
  <c r="H559" i="4"/>
  <c r="BY560" i="4"/>
  <c r="BW561" i="4"/>
  <c r="BW571" i="4"/>
  <c r="CB573" i="4"/>
  <c r="CE573" i="4" s="1"/>
  <c r="CA575" i="4"/>
  <c r="D577" i="4"/>
  <c r="AY577" i="4" s="1"/>
  <c r="CE584" i="4"/>
  <c r="CD585" i="4"/>
  <c r="CD586" i="4"/>
  <c r="CC588" i="4"/>
  <c r="BV588" i="4" s="1"/>
  <c r="CB588" i="4"/>
  <c r="CE588" i="4" s="1"/>
  <c r="D605" i="4"/>
  <c r="AY605" i="4" s="1"/>
  <c r="CE606" i="4"/>
  <c r="CE608" i="4"/>
  <c r="CB613" i="4"/>
  <c r="CE613" i="4" s="1"/>
  <c r="CC615" i="4"/>
  <c r="BV615" i="4" s="1"/>
  <c r="CB618" i="4"/>
  <c r="CE618" i="4" s="1"/>
  <c r="CE620" i="4"/>
  <c r="CD620" i="4"/>
  <c r="CB620" i="4"/>
  <c r="CC639" i="4"/>
  <c r="BV639" i="4" s="1"/>
  <c r="CB639" i="4"/>
  <c r="D639" i="4"/>
  <c r="AY639" i="4" s="1"/>
  <c r="CD645" i="4"/>
  <c r="CB645" i="4"/>
  <c r="CC645" i="4"/>
  <c r="BV645" i="4" s="1"/>
  <c r="CA648" i="4"/>
  <c r="D648" i="4"/>
  <c r="AY648" i="4" s="1"/>
  <c r="CD648" i="4"/>
  <c r="CE649" i="4"/>
  <c r="CA650" i="4"/>
  <c r="D650" i="4"/>
  <c r="AY650" i="4" s="1"/>
  <c r="BV650" i="4"/>
  <c r="CD650" i="4"/>
  <c r="D658" i="4"/>
  <c r="AY658" i="4" s="1"/>
  <c r="CC658" i="4"/>
  <c r="BV658" i="4" s="1"/>
  <c r="CC662" i="4"/>
  <c r="BV662" i="4" s="1"/>
  <c r="BX662" i="4" s="1"/>
  <c r="CD662" i="4"/>
  <c r="CB662" i="4"/>
  <c r="CE662" i="4" s="1"/>
  <c r="CE671" i="4"/>
  <c r="CC681" i="4"/>
  <c r="BV681" i="4" s="1"/>
  <c r="CD681" i="4"/>
  <c r="CB681" i="4"/>
  <c r="CC607" i="4"/>
  <c r="BV607" i="4" s="1"/>
  <c r="CD617" i="4"/>
  <c r="CC617" i="4"/>
  <c r="BV619" i="4"/>
  <c r="BX619" i="4" s="1"/>
  <c r="CA619" i="4"/>
  <c r="D628" i="4"/>
  <c r="AY628" i="4" s="1"/>
  <c r="CA628" i="4"/>
  <c r="D636" i="4"/>
  <c r="AY636" i="4" s="1"/>
  <c r="CA636" i="4"/>
  <c r="CA652" i="4"/>
  <c r="H652" i="4"/>
  <c r="H653" i="4" s="1"/>
  <c r="BW652" i="4"/>
  <c r="D652" i="4"/>
  <c r="AY652" i="4" s="1"/>
  <c r="BY652" i="4"/>
  <c r="CD652" i="4"/>
  <c r="CB657" i="4"/>
  <c r="CE657" i="4" s="1"/>
  <c r="CE658" i="4"/>
  <c r="CC661" i="4"/>
  <c r="BV661" i="4" s="1"/>
  <c r="CD661" i="4"/>
  <c r="CB661" i="4"/>
  <c r="CD665" i="4"/>
  <c r="BV665" i="4"/>
  <c r="D665" i="4"/>
  <c r="AY665" i="4" s="1"/>
  <c r="CB665" i="4"/>
  <c r="CE665" i="4" s="1"/>
  <c r="CA669" i="4"/>
  <c r="D669" i="4"/>
  <c r="AY669" i="4" s="1"/>
  <c r="CB671" i="4"/>
  <c r="CA677" i="4"/>
  <c r="CE677" i="4"/>
  <c r="CD686" i="4"/>
  <c r="CB686" i="4"/>
  <c r="CC686" i="4"/>
  <c r="BV686" i="4" s="1"/>
  <c r="BX686" i="4" s="1"/>
  <c r="CE709" i="4"/>
  <c r="CD709" i="4"/>
  <c r="CC709" i="4"/>
  <c r="CB709" i="4"/>
  <c r="CC575" i="4"/>
  <c r="BV575" i="4" s="1"/>
  <c r="CC577" i="4"/>
  <c r="CC579" i="4"/>
  <c r="BV579" i="4" s="1"/>
  <c r="CC581" i="4"/>
  <c r="BV581" i="4" s="1"/>
  <c r="CC583" i="4"/>
  <c r="BV583" i="4" s="1"/>
  <c r="CC585" i="4"/>
  <c r="CC587" i="4"/>
  <c r="BV587" i="4" s="1"/>
  <c r="CC589" i="4"/>
  <c r="CC591" i="4"/>
  <c r="CC593" i="4"/>
  <c r="CC595" i="4"/>
  <c r="CC597" i="4"/>
  <c r="CC599" i="4"/>
  <c r="CC601" i="4"/>
  <c r="BV601" i="4" s="1"/>
  <c r="CC602" i="4"/>
  <c r="BV602" i="4" s="1"/>
  <c r="CA609" i="4"/>
  <c r="CB612" i="4"/>
  <c r="CE612" i="4" s="1"/>
  <c r="CB615" i="4"/>
  <c r="CA627" i="4"/>
  <c r="D627" i="4"/>
  <c r="AY627" i="4" s="1"/>
  <c r="CC627" i="4"/>
  <c r="BV627" i="4" s="1"/>
  <c r="BW633" i="4"/>
  <c r="CA635" i="4"/>
  <c r="D635" i="4"/>
  <c r="AY635" i="4" s="1"/>
  <c r="CC635" i="4"/>
  <c r="BV635" i="4" s="1"/>
  <c r="CE642" i="4"/>
  <c r="CE647" i="4"/>
  <c r="CE651" i="4"/>
  <c r="CC652" i="4"/>
  <c r="BV652" i="4" s="1"/>
  <c r="BX652" i="4" s="1"/>
  <c r="CA656" i="4"/>
  <c r="D656" i="4"/>
  <c r="AY656" i="4" s="1"/>
  <c r="BV656" i="4"/>
  <c r="CC657" i="4"/>
  <c r="CA666" i="4"/>
  <c r="CA667" i="4"/>
  <c r="CD667" i="4"/>
  <c r="CD679" i="4"/>
  <c r="CC679" i="4"/>
  <c r="CB679" i="4"/>
  <c r="CE679" i="4" s="1"/>
  <c r="BV589" i="4"/>
  <c r="BV591" i="4"/>
  <c r="BV593" i="4"/>
  <c r="BV595" i="4"/>
  <c r="BV597" i="4"/>
  <c r="BV599" i="4"/>
  <c r="CA600" i="4"/>
  <c r="H609" i="4"/>
  <c r="BW611" i="4"/>
  <c r="CC611" i="4"/>
  <c r="BV611" i="4" s="1"/>
  <c r="BX611" i="4" s="1"/>
  <c r="H619" i="4"/>
  <c r="BY622" i="4"/>
  <c r="CE625" i="4"/>
  <c r="CD627" i="4"/>
  <c r="CD628" i="4"/>
  <c r="CE633" i="4"/>
  <c r="CD635" i="4"/>
  <c r="CD636" i="4"/>
  <c r="CE641" i="4"/>
  <c r="BV648" i="4"/>
  <c r="CC651" i="4"/>
  <c r="BV651" i="4" s="1"/>
  <c r="BX651" i="4" s="1"/>
  <c r="H665" i="4"/>
  <c r="BW700" i="4"/>
  <c r="D700" i="4"/>
  <c r="AY700" i="4" s="1"/>
  <c r="CC700" i="4"/>
  <c r="H700" i="4"/>
  <c r="BY700" i="4" s="1"/>
  <c r="CB700" i="4"/>
  <c r="CD700" i="4"/>
  <c r="CA700" i="4"/>
  <c r="BV700" i="4"/>
  <c r="CB594" i="4"/>
  <c r="CE594" i="4" s="1"/>
  <c r="CB596" i="4"/>
  <c r="CE596" i="4" s="1"/>
  <c r="CB598" i="4"/>
  <c r="CE598" i="4" s="1"/>
  <c r="BV609" i="4"/>
  <c r="BX609" i="4" s="1"/>
  <c r="CB610" i="4"/>
  <c r="CE610" i="4" s="1"/>
  <c r="CD615" i="4"/>
  <c r="CB616" i="4"/>
  <c r="CE616" i="4" s="1"/>
  <c r="BW619" i="4"/>
  <c r="CB623" i="4"/>
  <c r="CE623" i="4" s="1"/>
  <c r="BV636" i="4"/>
  <c r="CE648" i="4"/>
  <c r="D657" i="4"/>
  <c r="AY657" i="4" s="1"/>
  <c r="CA657" i="4"/>
  <c r="BV657" i="4"/>
  <c r="CB666" i="4"/>
  <c r="CE666" i="4" s="1"/>
  <c r="D666" i="4"/>
  <c r="AY666" i="4" s="1"/>
  <c r="BV666" i="4"/>
  <c r="CA671" i="4"/>
  <c r="D671" i="4"/>
  <c r="AY671" i="4" s="1"/>
  <c r="BV671" i="4"/>
  <c r="CC672" i="4"/>
  <c r="BV672" i="4" s="1"/>
  <c r="CB672" i="4"/>
  <c r="CD674" i="4"/>
  <c r="CC674" i="4"/>
  <c r="BV674" i="4" s="1"/>
  <c r="BX674" i="4" s="1"/>
  <c r="CB674" i="4"/>
  <c r="CE680" i="4"/>
  <c r="CB607" i="4"/>
  <c r="CC609" i="4"/>
  <c r="BV617" i="4"/>
  <c r="CA617" i="4"/>
  <c r="CD621" i="4"/>
  <c r="BV625" i="4"/>
  <c r="CD625" i="4"/>
  <c r="CC625" i="4"/>
  <c r="CB626" i="4"/>
  <c r="CD626" i="4"/>
  <c r="CE631" i="4"/>
  <c r="BY633" i="4"/>
  <c r="CA632" i="4"/>
  <c r="BV633" i="4"/>
  <c r="BX633" i="4" s="1"/>
  <c r="CD633" i="4"/>
  <c r="CC633" i="4"/>
  <c r="CB634" i="4"/>
  <c r="CE634" i="4" s="1"/>
  <c r="CD634" i="4"/>
  <c r="CE639" i="4"/>
  <c r="BV641" i="4"/>
  <c r="CD641" i="4"/>
  <c r="CC641" i="4"/>
  <c r="CA644" i="4"/>
  <c r="D644" i="4"/>
  <c r="AY644" i="4" s="1"/>
  <c r="CB648" i="4"/>
  <c r="CB650" i="4"/>
  <c r="CE650" i="4" s="1"/>
  <c r="CD655" i="4"/>
  <c r="CE656" i="4"/>
  <c r="CA658" i="4"/>
  <c r="CA659" i="4"/>
  <c r="CC659" i="4"/>
  <c r="BV659" i="4" s="1"/>
  <c r="CD659" i="4"/>
  <c r="CB659" i="4"/>
  <c r="CE659" i="4" s="1"/>
  <c r="CC669" i="4"/>
  <c r="BV669" i="4" s="1"/>
  <c r="CD669" i="4"/>
  <c r="CB669" i="4"/>
  <c r="CE688" i="4"/>
  <c r="CC697" i="4"/>
  <c r="BV697" i="4" s="1"/>
  <c r="CB697" i="4"/>
  <c r="CE697" i="4" s="1"/>
  <c r="CD697" i="4"/>
  <c r="CC693" i="4"/>
  <c r="BV693" i="4" s="1"/>
  <c r="BX693" i="4" s="1"/>
  <c r="CB693" i="4"/>
  <c r="H698" i="4"/>
  <c r="BW698" i="4" s="1"/>
  <c r="BW697" i="4"/>
  <c r="CC621" i="4"/>
  <c r="BV621" i="4" s="1"/>
  <c r="BX621" i="4" s="1"/>
  <c r="CC623" i="4"/>
  <c r="BV623" i="4" s="1"/>
  <c r="CC628" i="4"/>
  <c r="BV628" i="4" s="1"/>
  <c r="BV630" i="4"/>
  <c r="CC636" i="4"/>
  <c r="BV638" i="4"/>
  <c r="CE645" i="4"/>
  <c r="CA646" i="4"/>
  <c r="D646" i="4"/>
  <c r="AY646" i="4" s="1"/>
  <c r="CB646" i="4"/>
  <c r="CE646" i="4" s="1"/>
  <c r="CA654" i="4"/>
  <c r="D654" i="4"/>
  <c r="AY654" i="4" s="1"/>
  <c r="CB654" i="4"/>
  <c r="CE654" i="4" s="1"/>
  <c r="CC655" i="4"/>
  <c r="CE661" i="4"/>
  <c r="D664" i="4"/>
  <c r="AY664" i="4" s="1"/>
  <c r="BW664" i="4"/>
  <c r="BX664" i="4" s="1"/>
  <c r="CB667" i="4"/>
  <c r="CE667" i="4" s="1"/>
  <c r="CB670" i="4"/>
  <c r="CE670" i="4" s="1"/>
  <c r="CC671" i="4"/>
  <c r="CE673" i="4"/>
  <c r="CE674" i="4"/>
  <c r="CB675" i="4"/>
  <c r="CE675" i="4" s="1"/>
  <c r="D679" i="4"/>
  <c r="AY679" i="4" s="1"/>
  <c r="D681" i="4"/>
  <c r="AY681" i="4" s="1"/>
  <c r="CE685" i="4"/>
  <c r="CD685" i="4"/>
  <c r="CB685" i="4"/>
  <c r="CD688" i="4"/>
  <c r="CB688" i="4"/>
  <c r="BY689" i="4"/>
  <c r="CE691" i="4"/>
  <c r="H694" i="4"/>
  <c r="BW693" i="4"/>
  <c r="CE702" i="4"/>
  <c r="CB715" i="4"/>
  <c r="CE715" i="4" s="1"/>
  <c r="CD715" i="4"/>
  <c r="CC715" i="4"/>
  <c r="BV715" i="4" s="1"/>
  <c r="D630" i="4"/>
  <c r="AY630" i="4" s="1"/>
  <c r="CB630" i="4"/>
  <c r="D638" i="4"/>
  <c r="AY638" i="4" s="1"/>
  <c r="CB638" i="4"/>
  <c r="CE638" i="4" s="1"/>
  <c r="CA643" i="4"/>
  <c r="CE644" i="4"/>
  <c r="D645" i="4"/>
  <c r="AY645" i="4" s="1"/>
  <c r="CA645" i="4"/>
  <c r="CE652" i="4"/>
  <c r="D653" i="4"/>
  <c r="AY653" i="4" s="1"/>
  <c r="CA653" i="4"/>
  <c r="CD658" i="4"/>
  <c r="CA663" i="4"/>
  <c r="BY664" i="4"/>
  <c r="CA675" i="4"/>
  <c r="H675" i="4"/>
  <c r="H676" i="4" s="1"/>
  <c r="BW675" i="4"/>
  <c r="D675" i="4"/>
  <c r="AY675" i="4" s="1"/>
  <c r="CD675" i="4"/>
  <c r="CB677" i="4"/>
  <c r="CE738" i="4"/>
  <c r="CC667" i="4"/>
  <c r="BV667" i="4" s="1"/>
  <c r="CE669" i="4"/>
  <c r="CE672" i="4"/>
  <c r="CA673" i="4"/>
  <c r="H673" i="4"/>
  <c r="BW673" i="4"/>
  <c r="D673" i="4"/>
  <c r="AY673" i="4" s="1"/>
  <c r="CD673" i="4"/>
  <c r="CD677" i="4"/>
  <c r="CA679" i="4"/>
  <c r="D680" i="4"/>
  <c r="AY680" i="4" s="1"/>
  <c r="CA680" i="4"/>
  <c r="CE681" i="4"/>
  <c r="CE687" i="4"/>
  <c r="CB689" i="4"/>
  <c r="CE689" i="4" s="1"/>
  <c r="CC695" i="4"/>
  <c r="BV695" i="4" s="1"/>
  <c r="CB695" i="4"/>
  <c r="CE695" i="4" s="1"/>
  <c r="CB628" i="4"/>
  <c r="CE628" i="4" s="1"/>
  <c r="CB636" i="4"/>
  <c r="CE636" i="4" s="1"/>
  <c r="BW651" i="4"/>
  <c r="D651" i="4"/>
  <c r="AY651" i="4" s="1"/>
  <c r="CA651" i="4"/>
  <c r="H651" i="4"/>
  <c r="CA664" i="4"/>
  <c r="CC673" i="4"/>
  <c r="BV673" i="4" s="1"/>
  <c r="BX673" i="4" s="1"/>
  <c r="CC680" i="4"/>
  <c r="BV680" i="4" s="1"/>
  <c r="CC691" i="4"/>
  <c r="BV691" i="4" s="1"/>
  <c r="BX691" i="4" s="1"/>
  <c r="CB691" i="4"/>
  <c r="BY698" i="4"/>
  <c r="CD705" i="4"/>
  <c r="CE720" i="4"/>
  <c r="CC677" i="4"/>
  <c r="BV677" i="4" s="1"/>
  <c r="CE686" i="4"/>
  <c r="CA689" i="4"/>
  <c r="H689" i="4"/>
  <c r="BW689" i="4"/>
  <c r="D689" i="4"/>
  <c r="AY689" i="4" s="1"/>
  <c r="CC689" i="4"/>
  <c r="BV689" i="4" s="1"/>
  <c r="BX689" i="4" s="1"/>
  <c r="CE693" i="4"/>
  <c r="CA723" i="4"/>
  <c r="H723" i="4"/>
  <c r="H724" i="4" s="1"/>
  <c r="BY723" i="4"/>
  <c r="D723" i="4"/>
  <c r="AY723" i="4" s="1"/>
  <c r="BW723" i="4"/>
  <c r="BV723" i="4"/>
  <c r="BX723" i="4" s="1"/>
  <c r="D724" i="4"/>
  <c r="AY724" i="4" s="1"/>
  <c r="CD724" i="4"/>
  <c r="CA724" i="4"/>
  <c r="BY724" i="4"/>
  <c r="CC724" i="4"/>
  <c r="BV724" i="4" s="1"/>
  <c r="CD680" i="4"/>
  <c r="CB680" i="4"/>
  <c r="CE683" i="4"/>
  <c r="CA705" i="4"/>
  <c r="D705" i="4"/>
  <c r="AY705" i="4" s="1"/>
  <c r="BV705" i="4"/>
  <c r="BW755" i="4"/>
  <c r="H756" i="4"/>
  <c r="BY688" i="4"/>
  <c r="CD702" i="4"/>
  <c r="CD703" i="4"/>
  <c r="CE706" i="4"/>
  <c r="D709" i="4"/>
  <c r="AY709" i="4" s="1"/>
  <c r="CB713" i="4"/>
  <c r="CE713" i="4" s="1"/>
  <c r="D717" i="4"/>
  <c r="AY717" i="4" s="1"/>
  <c r="CE718" i="4"/>
  <c r="CA721" i="4"/>
  <c r="H721" i="4"/>
  <c r="D722" i="4"/>
  <c r="AY722" i="4" s="1"/>
  <c r="CD722" i="4"/>
  <c r="CB722" i="4"/>
  <c r="CE722" i="4" s="1"/>
  <c r="CC723" i="4"/>
  <c r="CB729" i="4"/>
  <c r="CE729" i="4" s="1"/>
  <c r="CC732" i="4"/>
  <c r="BV732" i="4" s="1"/>
  <c r="BX732" i="4" s="1"/>
  <c r="CB732" i="4"/>
  <c r="CB701" i="4"/>
  <c r="CE701" i="4" s="1"/>
  <c r="CE703" i="4"/>
  <c r="CB705" i="4"/>
  <c r="CE705" i="4" s="1"/>
  <c r="D706" i="4"/>
  <c r="AY706" i="4" s="1"/>
  <c r="CA706" i="4"/>
  <c r="CA707" i="4"/>
  <c r="D711" i="4"/>
  <c r="AY711" i="4" s="1"/>
  <c r="D715" i="4"/>
  <c r="AY715" i="4" s="1"/>
  <c r="CE716" i="4"/>
  <c r="CA719" i="4"/>
  <c r="H719" i="4"/>
  <c r="H720" i="4" s="1"/>
  <c r="BW720" i="4" s="1"/>
  <c r="D720" i="4"/>
  <c r="AY720" i="4" s="1"/>
  <c r="BV720" i="4"/>
  <c r="CB720" i="4"/>
  <c r="CC721" i="4"/>
  <c r="BV721" i="4" s="1"/>
  <c r="CC722" i="4"/>
  <c r="BV722" i="4" s="1"/>
  <c r="CD723" i="4"/>
  <c r="BV727" i="4"/>
  <c r="BX727" i="4" s="1"/>
  <c r="CB727" i="4"/>
  <c r="CE727" i="4" s="1"/>
  <c r="CA752" i="4"/>
  <c r="D752" i="4"/>
  <c r="AY752" i="4" s="1"/>
  <c r="BY755" i="4"/>
  <c r="CA668" i="4"/>
  <c r="CA670" i="4"/>
  <c r="CA672" i="4"/>
  <c r="H684" i="4"/>
  <c r="CA686" i="4"/>
  <c r="BW687" i="4"/>
  <c r="H688" i="4"/>
  <c r="CA688" i="4"/>
  <c r="CC692" i="4"/>
  <c r="BV692" i="4" s="1"/>
  <c r="BX692" i="4" s="1"/>
  <c r="CC694" i="4"/>
  <c r="BV694" i="4" s="1"/>
  <c r="CC696" i="4"/>
  <c r="BV696" i="4" s="1"/>
  <c r="BX696" i="4" s="1"/>
  <c r="CC698" i="4"/>
  <c r="BV698" i="4" s="1"/>
  <c r="CA699" i="4"/>
  <c r="BY699" i="4"/>
  <c r="BV702" i="4"/>
  <c r="CC705" i="4"/>
  <c r="CB706" i="4"/>
  <c r="D708" i="4"/>
  <c r="AY708" i="4" s="1"/>
  <c r="BV708" i="4"/>
  <c r="CA708" i="4"/>
  <c r="CA709" i="4"/>
  <c r="CE710" i="4"/>
  <c r="D713" i="4"/>
  <c r="AY713" i="4" s="1"/>
  <c r="CE714" i="4"/>
  <c r="CA717" i="4"/>
  <c r="BW718" i="4"/>
  <c r="D718" i="4"/>
  <c r="AY718" i="4" s="1"/>
  <c r="BV718" i="4"/>
  <c r="BX718" i="4" s="1"/>
  <c r="CB718" i="4"/>
  <c r="CC719" i="4"/>
  <c r="BV719" i="4" s="1"/>
  <c r="BX719" i="4" s="1"/>
  <c r="CD721" i="4"/>
  <c r="BW727" i="4"/>
  <c r="D729" i="4"/>
  <c r="AY729" i="4" s="1"/>
  <c r="BW734" i="4"/>
  <c r="BV734" i="4"/>
  <c r="BX734" i="4" s="1"/>
  <c r="D734" i="4"/>
  <c r="AY734" i="4" s="1"/>
  <c r="BY734" i="4"/>
  <c r="CD734" i="4"/>
  <c r="CC734" i="4"/>
  <c r="CB734" i="4"/>
  <c r="CE734" i="4" s="1"/>
  <c r="BY737" i="4"/>
  <c r="CD748" i="4"/>
  <c r="CC748" i="4"/>
  <c r="BV748" i="4" s="1"/>
  <c r="CB748" i="4"/>
  <c r="CE748" i="4" s="1"/>
  <c r="CA748" i="4"/>
  <c r="D748" i="4"/>
  <c r="AY748" i="4" s="1"/>
  <c r="CC753" i="4"/>
  <c r="BV753" i="4" s="1"/>
  <c r="BX753" i="4" s="1"/>
  <c r="CD753" i="4"/>
  <c r="CB753" i="4"/>
  <c r="CE753" i="4" s="1"/>
  <c r="CE700" i="4"/>
  <c r="CC706" i="4"/>
  <c r="BV706" i="4" s="1"/>
  <c r="CB708" i="4"/>
  <c r="CE708" i="4" s="1"/>
  <c r="D710" i="4"/>
  <c r="AY710" i="4" s="1"/>
  <c r="BV710" i="4"/>
  <c r="CA710" i="4"/>
  <c r="CA711" i="4"/>
  <c r="CA715" i="4"/>
  <c r="D716" i="4"/>
  <c r="AY716" i="4" s="1"/>
  <c r="BV716" i="4"/>
  <c r="CB716" i="4"/>
  <c r="CD719" i="4"/>
  <c r="CE721" i="4"/>
  <c r="CB723" i="4"/>
  <c r="CE723" i="4" s="1"/>
  <c r="CD731" i="4"/>
  <c r="CC731" i="4"/>
  <c r="BV731" i="4" s="1"/>
  <c r="BX731" i="4" s="1"/>
  <c r="CB731" i="4"/>
  <c r="CE731" i="4" s="1"/>
  <c r="CD744" i="4"/>
  <c r="CC744" i="4"/>
  <c r="CB744" i="4"/>
  <c r="CE744" i="4" s="1"/>
  <c r="CA744" i="4"/>
  <c r="D744" i="4"/>
  <c r="AY744" i="4" s="1"/>
  <c r="CE751" i="4"/>
  <c r="D712" i="4"/>
  <c r="AY712" i="4" s="1"/>
  <c r="BV712" i="4"/>
  <c r="CA712" i="4"/>
  <c r="CA713" i="4"/>
  <c r="D714" i="4"/>
  <c r="AY714" i="4" s="1"/>
  <c r="CB714" i="4"/>
  <c r="CE726" i="4"/>
  <c r="CA729" i="4"/>
  <c r="D730" i="4"/>
  <c r="AY730" i="4" s="1"/>
  <c r="CD730" i="4"/>
  <c r="BV730" i="4"/>
  <c r="CB730" i="4"/>
  <c r="CE730" i="4" s="1"/>
  <c r="CE747" i="4"/>
  <c r="CC755" i="4"/>
  <c r="BV755" i="4" s="1"/>
  <c r="BX755" i="4" s="1"/>
  <c r="CD755" i="4"/>
  <c r="CB755" i="4"/>
  <c r="CA701" i="4"/>
  <c r="H701" i="4"/>
  <c r="D702" i="4"/>
  <c r="AY702" i="4" s="1"/>
  <c r="CA702" i="4"/>
  <c r="CE704" i="4"/>
  <c r="CB712" i="4"/>
  <c r="CE712" i="4" s="1"/>
  <c r="CC713" i="4"/>
  <c r="BV713" i="4" s="1"/>
  <c r="CC714" i="4"/>
  <c r="BV714" i="4" s="1"/>
  <c r="CE724" i="4"/>
  <c r="CA727" i="4"/>
  <c r="H727" i="4"/>
  <c r="H728" i="4" s="1"/>
  <c r="D728" i="4"/>
  <c r="AY728" i="4" s="1"/>
  <c r="CD728" i="4"/>
  <c r="CB728" i="4"/>
  <c r="CE728" i="4" s="1"/>
  <c r="CC729" i="4"/>
  <c r="BV729" i="4" s="1"/>
  <c r="CC730" i="4"/>
  <c r="CE732" i="4"/>
  <c r="CE745" i="4"/>
  <c r="D668" i="4"/>
  <c r="AY668" i="4" s="1"/>
  <c r="D670" i="4"/>
  <c r="AY670" i="4" s="1"/>
  <c r="D672" i="4"/>
  <c r="AY672" i="4" s="1"/>
  <c r="D676" i="4"/>
  <c r="AY676" i="4" s="1"/>
  <c r="D684" i="4"/>
  <c r="AY684" i="4" s="1"/>
  <c r="D688" i="4"/>
  <c r="AY688" i="4" s="1"/>
  <c r="CC701" i="4"/>
  <c r="BV701" i="4" s="1"/>
  <c r="CB702" i="4"/>
  <c r="CA703" i="4"/>
  <c r="D704" i="4"/>
  <c r="AY704" i="4" s="1"/>
  <c r="CA704" i="4"/>
  <c r="BV709" i="4"/>
  <c r="CD710" i="4"/>
  <c r="CC712" i="4"/>
  <c r="CD713" i="4"/>
  <c r="CD714" i="4"/>
  <c r="BV717" i="4"/>
  <c r="CB717" i="4"/>
  <c r="CE717" i="4" s="1"/>
  <c r="BW719" i="4"/>
  <c r="D721" i="4"/>
  <c r="AY721" i="4" s="1"/>
  <c r="CA725" i="4"/>
  <c r="D726" i="4"/>
  <c r="AY726" i="4" s="1"/>
  <c r="CD726" i="4"/>
  <c r="BV726" i="4"/>
  <c r="CB726" i="4"/>
  <c r="CC727" i="4"/>
  <c r="CC728" i="4"/>
  <c r="BV728" i="4" s="1"/>
  <c r="CD729" i="4"/>
  <c r="CB733" i="4"/>
  <c r="CE733" i="4" s="1"/>
  <c r="CD733" i="4"/>
  <c r="BX737" i="4"/>
  <c r="CE740" i="4"/>
  <c r="BV744" i="4"/>
  <c r="CD752" i="4"/>
  <c r="CC752" i="4"/>
  <c r="BV752" i="4" s="1"/>
  <c r="CB752" i="4"/>
  <c r="CE752" i="4" s="1"/>
  <c r="CD758" i="4"/>
  <c r="CB758" i="4"/>
  <c r="CE758" i="4" s="1"/>
  <c r="CE790" i="4"/>
  <c r="CE741" i="4"/>
  <c r="CE756" i="4"/>
  <c r="CD757" i="4"/>
  <c r="CE763" i="4"/>
  <c r="CB790" i="4"/>
  <c r="CD790" i="4"/>
  <c r="CC790" i="4"/>
  <c r="BV790" i="4" s="1"/>
  <c r="BX790" i="4" s="1"/>
  <c r="BV743" i="4"/>
  <c r="CD745" i="4"/>
  <c r="CB745" i="4"/>
  <c r="BV747" i="4"/>
  <c r="CD749" i="4"/>
  <c r="CB749" i="4"/>
  <c r="CE749" i="4" s="1"/>
  <c r="BV751" i="4"/>
  <c r="CC769" i="4"/>
  <c r="BV769" i="4" s="1"/>
  <c r="CB769" i="4"/>
  <c r="CE769" i="4" s="1"/>
  <c r="CB772" i="4"/>
  <c r="CE772" i="4" s="1"/>
  <c r="CD772" i="4"/>
  <c r="CE784" i="4"/>
  <c r="CA736" i="4"/>
  <c r="D737" i="4"/>
  <c r="AY737" i="4" s="1"/>
  <c r="BW737" i="4"/>
  <c r="H738" i="4"/>
  <c r="CA738" i="4"/>
  <c r="D739" i="4"/>
  <c r="AY739" i="4" s="1"/>
  <c r="CB739" i="4"/>
  <c r="CE739" i="4" s="1"/>
  <c r="CC740" i="4"/>
  <c r="BV740" i="4" s="1"/>
  <c r="BV742" i="4"/>
  <c r="BV746" i="4"/>
  <c r="BV750" i="4"/>
  <c r="CE755" i="4"/>
  <c r="CD763" i="4"/>
  <c r="CB763" i="4"/>
  <c r="CE770" i="4"/>
  <c r="CD771" i="4"/>
  <c r="CC771" i="4"/>
  <c r="BV771" i="4" s="1"/>
  <c r="CB771" i="4"/>
  <c r="CE771" i="4" s="1"/>
  <c r="CC777" i="4"/>
  <c r="BV777" i="4" s="1"/>
  <c r="CB777" i="4"/>
  <c r="CE777" i="4"/>
  <c r="CB780" i="4"/>
  <c r="CE780" i="4" s="1"/>
  <c r="CD780" i="4"/>
  <c r="BY735" i="4"/>
  <c r="CB736" i="4"/>
  <c r="CE736" i="4" s="1"/>
  <c r="CB738" i="4"/>
  <c r="CD740" i="4"/>
  <c r="CA753" i="4"/>
  <c r="H753" i="4"/>
  <c r="CE757" i="4"/>
  <c r="CC759" i="4"/>
  <c r="BV759" i="4" s="1"/>
  <c r="CD761" i="4"/>
  <c r="CC761" i="4"/>
  <c r="BV761" i="4" s="1"/>
  <c r="CE765" i="4"/>
  <c r="CC736" i="4"/>
  <c r="BV736" i="4" s="1"/>
  <c r="BX736" i="4" s="1"/>
  <c r="CC738" i="4"/>
  <c r="BV738" i="4" s="1"/>
  <c r="CD743" i="4"/>
  <c r="CB743" i="4"/>
  <c r="CE743" i="4" s="1"/>
  <c r="BV745" i="4"/>
  <c r="CD747" i="4"/>
  <c r="CB747" i="4"/>
  <c r="BV749" i="4"/>
  <c r="CD751" i="4"/>
  <c r="CB751" i="4"/>
  <c r="CD759" i="4"/>
  <c r="CD766" i="4"/>
  <c r="CC766" i="4"/>
  <c r="BV766" i="4" s="1"/>
  <c r="CB766" i="4"/>
  <c r="CE766" i="4" s="1"/>
  <c r="CD779" i="4"/>
  <c r="CC779" i="4"/>
  <c r="BV779" i="4" s="1"/>
  <c r="CB779" i="4"/>
  <c r="CE779" i="4" s="1"/>
  <c r="BW792" i="4"/>
  <c r="BX792" i="4" s="1"/>
  <c r="H793" i="4"/>
  <c r="H794" i="4" s="1"/>
  <c r="H735" i="4"/>
  <c r="D736" i="4"/>
  <c r="AY736" i="4" s="1"/>
  <c r="D740" i="4"/>
  <c r="AY740" i="4" s="1"/>
  <c r="CC741" i="4"/>
  <c r="BV741" i="4" s="1"/>
  <c r="CC756" i="4"/>
  <c r="BV756" i="4" s="1"/>
  <c r="CC758" i="4"/>
  <c r="BV758" i="4" s="1"/>
  <c r="CE768" i="4"/>
  <c r="CC786" i="4"/>
  <c r="BV786" i="4" s="1"/>
  <c r="CC787" i="4"/>
  <c r="BV787" i="4" s="1"/>
  <c r="CD792" i="4"/>
  <c r="CE794" i="4"/>
  <c r="CC797" i="4"/>
  <c r="CC800" i="4"/>
  <c r="BV800" i="4" s="1"/>
  <c r="CB800" i="4"/>
  <c r="CE800" i="4" s="1"/>
  <c r="CA803" i="4"/>
  <c r="D803" i="4"/>
  <c r="AY803" i="4" s="1"/>
  <c r="BV803" i="4"/>
  <c r="CD805" i="4"/>
  <c r="CC805" i="4"/>
  <c r="BV805" i="4" s="1"/>
  <c r="CB805" i="4"/>
  <c r="CE805" i="4" s="1"/>
  <c r="D808" i="4"/>
  <c r="AY808" i="4" s="1"/>
  <c r="BV808" i="4"/>
  <c r="CD808" i="4"/>
  <c r="D810" i="4"/>
  <c r="AY810" i="4" s="1"/>
  <c r="CA810" i="4"/>
  <c r="CA813" i="4"/>
  <c r="D813" i="4"/>
  <c r="AY813" i="4" s="1"/>
  <c r="BV813" i="4"/>
  <c r="CE814" i="4"/>
  <c r="CA815" i="4"/>
  <c r="CB817" i="4"/>
  <c r="CC817" i="4"/>
  <c r="BV817" i="4" s="1"/>
  <c r="BX817" i="4" s="1"/>
  <c r="CD819" i="4"/>
  <c r="CE786" i="4"/>
  <c r="CE787" i="4"/>
  <c r="CE792" i="4"/>
  <c r="CA797" i="4"/>
  <c r="D797" i="4"/>
  <c r="AY797" i="4" s="1"/>
  <c r="BV797" i="4"/>
  <c r="CD799" i="4"/>
  <c r="CC799" i="4"/>
  <c r="CB799" i="4"/>
  <c r="CE799" i="4" s="1"/>
  <c r="CE809" i="4"/>
  <c r="CC816" i="4"/>
  <c r="BV816" i="4" s="1"/>
  <c r="CB816" i="4"/>
  <c r="CD816" i="4"/>
  <c r="CA819" i="4"/>
  <c r="D819" i="4"/>
  <c r="AY819" i="4" s="1"/>
  <c r="BV819" i="4"/>
  <c r="CB822" i="4"/>
  <c r="CE822" i="4" s="1"/>
  <c r="CC822" i="4"/>
  <c r="BV822" i="4" s="1"/>
  <c r="BX822" i="4" s="1"/>
  <c r="CA790" i="4"/>
  <c r="BY793" i="4"/>
  <c r="CC796" i="4"/>
  <c r="BV796" i="4" s="1"/>
  <c r="CE798" i="4"/>
  <c r="CA799" i="4"/>
  <c r="H799" i="4"/>
  <c r="BV799" i="4"/>
  <c r="CC801" i="4"/>
  <c r="BV801" i="4" s="1"/>
  <c r="D804" i="4"/>
  <c r="AY804" i="4" s="1"/>
  <c r="CD804" i="4"/>
  <c r="CC804" i="4"/>
  <c r="BV804" i="4" s="1"/>
  <c r="CB804" i="4"/>
  <c r="CE804" i="4" s="1"/>
  <c r="CC806" i="4"/>
  <c r="BV806" i="4" s="1"/>
  <c r="D809" i="4"/>
  <c r="AY809" i="4" s="1"/>
  <c r="CC814" i="4"/>
  <c r="BV814" i="4" s="1"/>
  <c r="CB774" i="4"/>
  <c r="CE774" i="4" s="1"/>
  <c r="CB782" i="4"/>
  <c r="CE782" i="4" s="1"/>
  <c r="CA791" i="4"/>
  <c r="CE793" i="4"/>
  <c r="CE803" i="4"/>
  <c r="D814" i="4"/>
  <c r="AY814" i="4" s="1"/>
  <c r="CD814" i="4"/>
  <c r="BW820" i="4"/>
  <c r="D820" i="4"/>
  <c r="AY820" i="4" s="1"/>
  <c r="BV820" i="4"/>
  <c r="BX820" i="4" s="1"/>
  <c r="CD820" i="4"/>
  <c r="CC820" i="4"/>
  <c r="CB820" i="4"/>
  <c r="CE820" i="4" s="1"/>
  <c r="H820" i="4"/>
  <c r="D826" i="4"/>
  <c r="AY826" i="4" s="1"/>
  <c r="BV826" i="4"/>
  <c r="CE828" i="4"/>
  <c r="CC774" i="4"/>
  <c r="BV774" i="4" s="1"/>
  <c r="CC782" i="4"/>
  <c r="BV782" i="4" s="1"/>
  <c r="CB785" i="4"/>
  <c r="CE785" i="4" s="1"/>
  <c r="D795" i="4"/>
  <c r="AY795" i="4" s="1"/>
  <c r="CD795" i="4"/>
  <c r="BV795" i="4"/>
  <c r="CC795" i="4"/>
  <c r="CE796" i="4"/>
  <c r="CE801" i="4"/>
  <c r="CB803" i="4"/>
  <c r="CA808" i="4"/>
  <c r="CA809" i="4"/>
  <c r="CD809" i="4"/>
  <c r="CC809" i="4"/>
  <c r="BV809" i="4" s="1"/>
  <c r="CB813" i="4"/>
  <c r="CE813" i="4" s="1"/>
  <c r="CE815" i="4"/>
  <c r="CE825" i="4"/>
  <c r="BY792" i="4"/>
  <c r="D793" i="4"/>
  <c r="AY793" i="4" s="1"/>
  <c r="CC793" i="4"/>
  <c r="BV793" i="4" s="1"/>
  <c r="CB793" i="4"/>
  <c r="CC794" i="4"/>
  <c r="BV794" i="4" s="1"/>
  <c r="CE797" i="4"/>
  <c r="BW798" i="4"/>
  <c r="D798" i="4"/>
  <c r="AY798" i="4" s="1"/>
  <c r="CD798" i="4"/>
  <c r="CC798" i="4"/>
  <c r="BV798" i="4" s="1"/>
  <c r="BX798" i="4" s="1"/>
  <c r="CC803" i="4"/>
  <c r="CB808" i="4"/>
  <c r="CE808" i="4" s="1"/>
  <c r="CC811" i="4"/>
  <c r="BV811" i="4" s="1"/>
  <c r="BX811" i="4" s="1"/>
  <c r="CB811" i="4"/>
  <c r="CE811" i="4" s="1"/>
  <c r="CC813" i="4"/>
  <c r="D815" i="4"/>
  <c r="AY815" i="4" s="1"/>
  <c r="CD815" i="4"/>
  <c r="CD817" i="4"/>
  <c r="CB819" i="4"/>
  <c r="CE819" i="4" s="1"/>
  <c r="CD821" i="4"/>
  <c r="CC821" i="4"/>
  <c r="BV821" i="4" s="1"/>
  <c r="BX821" i="4" s="1"/>
  <c r="CB821" i="4"/>
  <c r="CE821" i="4"/>
  <c r="CE847" i="4"/>
  <c r="CD810" i="4"/>
  <c r="CC810" i="4"/>
  <c r="BV810" i="4" s="1"/>
  <c r="CB810" i="4"/>
  <c r="CE810" i="4" s="1"/>
  <c r="CD813" i="4"/>
  <c r="CE817" i="4"/>
  <c r="CC819" i="4"/>
  <c r="BY820" i="4"/>
  <c r="CE826" i="4"/>
  <c r="D824" i="4"/>
  <c r="AY824" i="4" s="1"/>
  <c r="CE824" i="4"/>
  <c r="CC841" i="4"/>
  <c r="BV841" i="4" s="1"/>
  <c r="CE843" i="4"/>
  <c r="CD845" i="4"/>
  <c r="CC845" i="4"/>
  <c r="BV845" i="4" s="1"/>
  <c r="BX845" i="4" s="1"/>
  <c r="BY849" i="4"/>
  <c r="CD851" i="4"/>
  <c r="CC851" i="4"/>
  <c r="BV851" i="4" s="1"/>
  <c r="BX851" i="4" s="1"/>
  <c r="CB851" i="4"/>
  <c r="CE851" i="4" s="1"/>
  <c r="BW857" i="4"/>
  <c r="D857" i="4"/>
  <c r="AY857" i="4" s="1"/>
  <c r="CA856" i="4"/>
  <c r="CA857" i="4"/>
  <c r="H857" i="4"/>
  <c r="CE830" i="4"/>
  <c r="BW840" i="4"/>
  <c r="D840" i="4"/>
  <c r="AY840" i="4" s="1"/>
  <c r="CB840" i="4"/>
  <c r="CE840" i="4" s="1"/>
  <c r="CE870" i="4"/>
  <c r="BW828" i="4"/>
  <c r="D828" i="4"/>
  <c r="AY828" i="4" s="1"/>
  <c r="CA828" i="4"/>
  <c r="BW830" i="4"/>
  <c r="D830" i="4"/>
  <c r="AY830" i="4" s="1"/>
  <c r="CA830" i="4"/>
  <c r="D832" i="4"/>
  <c r="AY832" i="4" s="1"/>
  <c r="CA832" i="4"/>
  <c r="D834" i="4"/>
  <c r="AY834" i="4" s="1"/>
  <c r="CA834" i="4"/>
  <c r="D836" i="4"/>
  <c r="AY836" i="4" s="1"/>
  <c r="CA836" i="4"/>
  <c r="D838" i="4"/>
  <c r="AY838" i="4" s="1"/>
  <c r="CA838" i="4"/>
  <c r="CD840" i="4"/>
  <c r="CE841" i="4"/>
  <c r="CD853" i="4"/>
  <c r="CC853" i="4"/>
  <c r="CB853" i="4"/>
  <c r="CE853" i="4" s="1"/>
  <c r="CD868" i="4"/>
  <c r="CC868" i="4"/>
  <c r="CB868" i="4"/>
  <c r="CE868" i="4" s="1"/>
  <c r="CD872" i="4"/>
  <c r="CC872" i="4"/>
  <c r="BV872" i="4" s="1"/>
  <c r="BX872" i="4" s="1"/>
  <c r="CE872" i="4"/>
  <c r="CB872" i="4"/>
  <c r="H840" i="4"/>
  <c r="H841" i="4" s="1"/>
  <c r="CC840" i="4"/>
  <c r="BV849" i="4"/>
  <c r="BX849" i="4" s="1"/>
  <c r="CA849" i="4"/>
  <c r="H849" i="4"/>
  <c r="CD849" i="4"/>
  <c r="CC849" i="4"/>
  <c r="CB849" i="4"/>
  <c r="CE849" i="4" s="1"/>
  <c r="CE860" i="4"/>
  <c r="CE862" i="4"/>
  <c r="CD880" i="4"/>
  <c r="CC880" i="4"/>
  <c r="CB880" i="4"/>
  <c r="D800" i="4"/>
  <c r="AY800" i="4" s="1"/>
  <c r="CA805" i="4"/>
  <c r="CB815" i="4"/>
  <c r="D816" i="4"/>
  <c r="AY816" i="4" s="1"/>
  <c r="CE816" i="4"/>
  <c r="CA821" i="4"/>
  <c r="H821" i="4"/>
  <c r="H828" i="4"/>
  <c r="H830" i="4"/>
  <c r="BW853" i="4"/>
  <c r="D853" i="4"/>
  <c r="AY853" i="4" s="1"/>
  <c r="CA852" i="4"/>
  <c r="BV853" i="4"/>
  <c r="BX853" i="4" s="1"/>
  <c r="CA853" i="4"/>
  <c r="H853" i="4"/>
  <c r="CD855" i="4"/>
  <c r="CC855" i="4"/>
  <c r="BV855" i="4" s="1"/>
  <c r="BX855" i="4" s="1"/>
  <c r="CB855" i="4"/>
  <c r="CE855" i="4" s="1"/>
  <c r="BY857" i="4"/>
  <c r="CD860" i="4"/>
  <c r="CC860" i="4"/>
  <c r="BV860" i="4" s="1"/>
  <c r="BX860" i="4" s="1"/>
  <c r="CB860" i="4"/>
  <c r="BV874" i="4"/>
  <c r="BX874" i="4" s="1"/>
  <c r="BY874" i="4"/>
  <c r="D874" i="4"/>
  <c r="AY874" i="4" s="1"/>
  <c r="CA873" i="4"/>
  <c r="BW874" i="4"/>
  <c r="H874" i="4"/>
  <c r="CE901" i="4"/>
  <c r="D806" i="4"/>
  <c r="AY806" i="4" s="1"/>
  <c r="CE806" i="4"/>
  <c r="CA811" i="4"/>
  <c r="H811" i="4"/>
  <c r="H812" i="4" s="1"/>
  <c r="BY812" i="4" s="1"/>
  <c r="CC815" i="4"/>
  <c r="BV815" i="4" s="1"/>
  <c r="BW822" i="4"/>
  <c r="D822" i="4"/>
  <c r="AY822" i="4" s="1"/>
  <c r="BV824" i="4"/>
  <c r="CC826" i="4"/>
  <c r="CC828" i="4"/>
  <c r="BV828" i="4" s="1"/>
  <c r="BX828" i="4" s="1"/>
  <c r="CC830" i="4"/>
  <c r="CC832" i="4"/>
  <c r="BV832" i="4" s="1"/>
  <c r="CC834" i="4"/>
  <c r="BV834" i="4" s="1"/>
  <c r="CC836" i="4"/>
  <c r="BV836" i="4" s="1"/>
  <c r="CC838" i="4"/>
  <c r="BV840" i="4"/>
  <c r="BX840" i="4" s="1"/>
  <c r="CA847" i="4"/>
  <c r="H847" i="4"/>
  <c r="CD847" i="4"/>
  <c r="CC847" i="4"/>
  <c r="BV847" i="4" s="1"/>
  <c r="BX847" i="4" s="1"/>
  <c r="CB847" i="4"/>
  <c r="CE857" i="4"/>
  <c r="CD865" i="4"/>
  <c r="CC865" i="4"/>
  <c r="CB865" i="4"/>
  <c r="CE865" i="4" s="1"/>
  <c r="CA801" i="4"/>
  <c r="CA806" i="4"/>
  <c r="D812" i="4"/>
  <c r="AY812" i="4" s="1"/>
  <c r="CE812" i="4"/>
  <c r="CA817" i="4"/>
  <c r="H817" i="4"/>
  <c r="H818" i="4" s="1"/>
  <c r="BY818" i="4" s="1"/>
  <c r="CA822" i="4"/>
  <c r="BV830" i="4"/>
  <c r="BX830" i="4" s="1"/>
  <c r="BV838" i="4"/>
  <c r="BY840" i="4"/>
  <c r="CC843" i="4"/>
  <c r="BV843" i="4" s="1"/>
  <c r="BX844" i="4"/>
  <c r="CB845" i="4"/>
  <c r="CE845" i="4" s="1"/>
  <c r="BW849" i="4"/>
  <c r="CE850" i="4"/>
  <c r="BW855" i="4"/>
  <c r="D855" i="4"/>
  <c r="AY855" i="4" s="1"/>
  <c r="CA854" i="4"/>
  <c r="CA855" i="4"/>
  <c r="H855" i="4"/>
  <c r="CD857" i="4"/>
  <c r="CC857" i="4"/>
  <c r="BV857" i="4" s="1"/>
  <c r="BX857" i="4" s="1"/>
  <c r="CB857" i="4"/>
  <c r="CD871" i="4"/>
  <c r="CC871" i="4"/>
  <c r="BV871" i="4" s="1"/>
  <c r="BX871" i="4" s="1"/>
  <c r="CB871" i="4"/>
  <c r="CE871" i="4" s="1"/>
  <c r="D802" i="4"/>
  <c r="AY802" i="4" s="1"/>
  <c r="CE802" i="4"/>
  <c r="CA807" i="4"/>
  <c r="CA812" i="4"/>
  <c r="BW818" i="4"/>
  <c r="BX818" i="4" s="1"/>
  <c r="D818" i="4"/>
  <c r="AY818" i="4" s="1"/>
  <c r="CE818" i="4"/>
  <c r="H822" i="4"/>
  <c r="CA823" i="4"/>
  <c r="H823" i="4"/>
  <c r="D842" i="4"/>
  <c r="AY842" i="4" s="1"/>
  <c r="CB842" i="4"/>
  <c r="CE842" i="4" s="1"/>
  <c r="CD843" i="4"/>
  <c r="CE894" i="4"/>
  <c r="BV862" i="4"/>
  <c r="BY865" i="4"/>
  <c r="CA876" i="4"/>
  <c r="CB887" i="4"/>
  <c r="CE887" i="4" s="1"/>
  <c r="CD887" i="4"/>
  <c r="BW893" i="4"/>
  <c r="D893" i="4"/>
  <c r="AY893" i="4" s="1"/>
  <c r="CD893" i="4"/>
  <c r="CC893" i="4"/>
  <c r="BV893" i="4" s="1"/>
  <c r="CB896" i="4"/>
  <c r="CE896" i="4" s="1"/>
  <c r="CD896" i="4"/>
  <c r="CE903" i="4"/>
  <c r="BX929" i="4"/>
  <c r="CA862" i="4"/>
  <c r="CA870" i="4"/>
  <c r="CD874" i="4"/>
  <c r="CC874" i="4"/>
  <c r="CB874" i="4"/>
  <c r="CE874" i="4" s="1"/>
  <c r="CE914" i="4"/>
  <c r="CD914" i="4"/>
  <c r="CC914" i="4"/>
  <c r="BV914" i="4" s="1"/>
  <c r="BX914" i="4" s="1"/>
  <c r="CB914" i="4"/>
  <c r="CD918" i="4"/>
  <c r="CC918" i="4"/>
  <c r="BV918" i="4" s="1"/>
  <c r="CB918" i="4"/>
  <c r="CE918" i="4" s="1"/>
  <c r="CE926" i="4"/>
  <c r="CD926" i="4"/>
  <c r="CC926" i="4"/>
  <c r="BV926" i="4" s="1"/>
  <c r="BX926" i="4" s="1"/>
  <c r="CB926" i="4"/>
  <c r="H862" i="4"/>
  <c r="CB862" i="4"/>
  <c r="BY863" i="4"/>
  <c r="H865" i="4"/>
  <c r="CA865" i="4"/>
  <c r="BV868" i="4"/>
  <c r="BX868" i="4" s="1"/>
  <c r="H870" i="4"/>
  <c r="CB870" i="4"/>
  <c r="H876" i="4"/>
  <c r="CD876" i="4"/>
  <c r="CC876" i="4"/>
  <c r="BV876" i="4" s="1"/>
  <c r="BX876" i="4" s="1"/>
  <c r="CB876" i="4"/>
  <c r="CE876" i="4" s="1"/>
  <c r="CD878" i="4"/>
  <c r="CD882" i="4"/>
  <c r="CC882" i="4"/>
  <c r="BW886" i="4"/>
  <c r="D886" i="4"/>
  <c r="AY886" i="4" s="1"/>
  <c r="CD886" i="4"/>
  <c r="CC886" i="4"/>
  <c r="BV886" i="4" s="1"/>
  <c r="BX886" i="4" s="1"/>
  <c r="H893" i="4"/>
  <c r="BW895" i="4"/>
  <c r="D895" i="4"/>
  <c r="AY895" i="4" s="1"/>
  <c r="CD895" i="4"/>
  <c r="BV895" i="4"/>
  <c r="CC895" i="4"/>
  <c r="BY899" i="4"/>
  <c r="BW901" i="4"/>
  <c r="D901" i="4"/>
  <c r="AY901" i="4" s="1"/>
  <c r="CA900" i="4"/>
  <c r="CD901" i="4"/>
  <c r="CC901" i="4"/>
  <c r="BV901" i="4" s="1"/>
  <c r="CB901" i="4"/>
  <c r="CA917" i="4"/>
  <c r="H917" i="4"/>
  <c r="BW917" i="4"/>
  <c r="D917" i="4"/>
  <c r="AY917" i="4" s="1"/>
  <c r="BV917" i="4"/>
  <c r="BX917" i="4" s="1"/>
  <c r="BY917" i="4"/>
  <c r="CD922" i="4"/>
  <c r="CC922" i="4"/>
  <c r="BV922" i="4" s="1"/>
  <c r="BX922" i="4" s="1"/>
  <c r="CB922" i="4"/>
  <c r="CE922" i="4" s="1"/>
  <c r="CA925" i="4"/>
  <c r="H925" i="4"/>
  <c r="BW925" i="4"/>
  <c r="D925" i="4"/>
  <c r="AY925" i="4" s="1"/>
  <c r="BV925" i="4"/>
  <c r="BX925" i="4" s="1"/>
  <c r="BY925" i="4"/>
  <c r="BY827" i="4"/>
  <c r="BY829" i="4"/>
  <c r="BY841" i="4"/>
  <c r="BV859" i="4"/>
  <c r="BX859" i="4" s="1"/>
  <c r="CD859" i="4"/>
  <c r="CA860" i="4"/>
  <c r="BW864" i="4"/>
  <c r="CD864" i="4"/>
  <c r="BV867" i="4"/>
  <c r="BX867" i="4" s="1"/>
  <c r="CD867" i="4"/>
  <c r="CA868" i="4"/>
  <c r="H878" i="4"/>
  <c r="CB881" i="4"/>
  <c r="CA892" i="4"/>
  <c r="BW903" i="4"/>
  <c r="D903" i="4"/>
  <c r="AY903" i="4" s="1"/>
  <c r="CA902" i="4"/>
  <c r="CD903" i="4"/>
  <c r="BV903" i="4"/>
  <c r="BX903" i="4" s="1"/>
  <c r="CC903" i="4"/>
  <c r="CB903" i="4"/>
  <c r="CD907" i="4"/>
  <c r="CB909" i="4"/>
  <c r="CC909" i="4"/>
  <c r="BV909" i="4" s="1"/>
  <c r="BX909" i="4" s="1"/>
  <c r="CE909" i="4"/>
  <c r="BV858" i="4"/>
  <c r="BX858" i="4" s="1"/>
  <c r="D859" i="4"/>
  <c r="AY859" i="4" s="1"/>
  <c r="BW859" i="4"/>
  <c r="H860" i="4"/>
  <c r="H863" i="4"/>
  <c r="D864" i="4"/>
  <c r="AY864" i="4" s="1"/>
  <c r="BV866" i="4"/>
  <c r="BX866" i="4" s="1"/>
  <c r="D867" i="4"/>
  <c r="AY867" i="4" s="1"/>
  <c r="BW867" i="4"/>
  <c r="H868" i="4"/>
  <c r="CD870" i="4"/>
  <c r="CC870" i="4"/>
  <c r="BV870" i="4" s="1"/>
  <c r="BX870" i="4" s="1"/>
  <c r="CA872" i="4"/>
  <c r="BW876" i="4"/>
  <c r="CE880" i="4"/>
  <c r="CD881" i="4"/>
  <c r="CA885" i="4"/>
  <c r="H885" i="4"/>
  <c r="CC885" i="4"/>
  <c r="BV885" i="4" s="1"/>
  <c r="BX885" i="4" s="1"/>
  <c r="H886" i="4"/>
  <c r="CB892" i="4"/>
  <c r="CE892" i="4" s="1"/>
  <c r="CD892" i="4"/>
  <c r="BY893" i="4"/>
  <c r="CC894" i="4"/>
  <c r="H895" i="4"/>
  <c r="BW897" i="4"/>
  <c r="D897" i="4"/>
  <c r="AY897" i="4" s="1"/>
  <c r="CD897" i="4"/>
  <c r="BV897" i="4"/>
  <c r="BX897" i="4" s="1"/>
  <c r="CC897" i="4"/>
  <c r="BX900" i="4"/>
  <c r="H901" i="4"/>
  <c r="BW905" i="4"/>
  <c r="D905" i="4"/>
  <c r="AY905" i="4" s="1"/>
  <c r="CA904" i="4"/>
  <c r="CD905" i="4"/>
  <c r="BV905" i="4"/>
  <c r="BX905" i="4" s="1"/>
  <c r="CC905" i="4"/>
  <c r="CB905" i="4"/>
  <c r="CE905" i="4" s="1"/>
  <c r="H827" i="4"/>
  <c r="H829" i="4"/>
  <c r="CA858" i="4"/>
  <c r="BW862" i="4"/>
  <c r="CD862" i="4"/>
  <c r="CB863" i="4"/>
  <c r="CE863" i="4" s="1"/>
  <c r="BV865" i="4"/>
  <c r="BX865" i="4" s="1"/>
  <c r="CA866" i="4"/>
  <c r="BW870" i="4"/>
  <c r="BW878" i="4"/>
  <c r="CE881" i="4"/>
  <c r="CE893" i="4"/>
  <c r="CA894" i="4"/>
  <c r="BY907" i="4"/>
  <c r="BW907" i="4"/>
  <c r="D907" i="4"/>
  <c r="AY907" i="4" s="1"/>
  <c r="CA906" i="4"/>
  <c r="BV907" i="4"/>
  <c r="CC907" i="4"/>
  <c r="CA907" i="4"/>
  <c r="CC908" i="4"/>
  <c r="BV908" i="4" s="1"/>
  <c r="BX908" i="4" s="1"/>
  <c r="CD908" i="4"/>
  <c r="CB908" i="4"/>
  <c r="CE908" i="4" s="1"/>
  <c r="CB858" i="4"/>
  <c r="CE858" i="4" s="1"/>
  <c r="CA861" i="4"/>
  <c r="D862" i="4"/>
  <c r="AY862" i="4" s="1"/>
  <c r="BV864" i="4"/>
  <c r="D865" i="4"/>
  <c r="AY865" i="4" s="1"/>
  <c r="CB866" i="4"/>
  <c r="CE866" i="4" s="1"/>
  <c r="CA869" i="4"/>
  <c r="D870" i="4"/>
  <c r="AY870" i="4" s="1"/>
  <c r="CA875" i="4"/>
  <c r="D876" i="4"/>
  <c r="AY876" i="4" s="1"/>
  <c r="BY876" i="4"/>
  <c r="BY878" i="4"/>
  <c r="CB883" i="4"/>
  <c r="CE883" i="4" s="1"/>
  <c r="CB885" i="4"/>
  <c r="CE885" i="4" s="1"/>
  <c r="CD885" i="4"/>
  <c r="BY886" i="4"/>
  <c r="CC887" i="4"/>
  <c r="CA893" i="4"/>
  <c r="CB894" i="4"/>
  <c r="CD894" i="4"/>
  <c r="BY895" i="4"/>
  <c r="CC896" i="4"/>
  <c r="BV896" i="4" s="1"/>
  <c r="BX896" i="4" s="1"/>
  <c r="BW899" i="4"/>
  <c r="D899" i="4"/>
  <c r="AY899" i="4" s="1"/>
  <c r="CA898" i="4"/>
  <c r="BV899" i="4"/>
  <c r="BX899" i="4" s="1"/>
  <c r="BY901" i="4"/>
  <c r="BY880" i="4"/>
  <c r="BY882" i="4"/>
  <c r="BV887" i="4"/>
  <c r="BX887" i="4" s="1"/>
  <c r="BV892" i="4"/>
  <c r="BX892" i="4" s="1"/>
  <c r="BV894" i="4"/>
  <c r="BX894" i="4" s="1"/>
  <c r="CD898" i="4"/>
  <c r="CD900" i="4"/>
  <c r="CD902" i="4"/>
  <c r="CD904" i="4"/>
  <c r="CD906" i="4"/>
  <c r="D908" i="4"/>
  <c r="AY908" i="4" s="1"/>
  <c r="CD911" i="4"/>
  <c r="CC911" i="4"/>
  <c r="BV911" i="4" s="1"/>
  <c r="BX911" i="4" s="1"/>
  <c r="BW916" i="4"/>
  <c r="D916" i="4"/>
  <c r="AY916" i="4" s="1"/>
  <c r="CA916" i="4"/>
  <c r="H916" i="4"/>
  <c r="CB916" i="4"/>
  <c r="CE916" i="4" s="1"/>
  <c r="CD917" i="4"/>
  <c r="CC920" i="4"/>
  <c r="BV920" i="4" s="1"/>
  <c r="BX920" i="4" s="1"/>
  <c r="BW924" i="4"/>
  <c r="D924" i="4"/>
  <c r="AY924" i="4" s="1"/>
  <c r="CA924" i="4"/>
  <c r="H924" i="4"/>
  <c r="CB924" i="4"/>
  <c r="CD925" i="4"/>
  <c r="CC928" i="4"/>
  <c r="BV928" i="4" s="1"/>
  <c r="BX928" i="4" s="1"/>
  <c r="CE930" i="4"/>
  <c r="CE934" i="4"/>
  <c r="CE938" i="4"/>
  <c r="CE942" i="4"/>
  <c r="CC933" i="4"/>
  <c r="BV933" i="4" s="1"/>
  <c r="CB933" i="4"/>
  <c r="CE933" i="4" s="1"/>
  <c r="CC937" i="4"/>
  <c r="BV937" i="4" s="1"/>
  <c r="CB937" i="4"/>
  <c r="CE937" i="4" s="1"/>
  <c r="CC941" i="4"/>
  <c r="BV941" i="4" s="1"/>
  <c r="BX941" i="4" s="1"/>
  <c r="CB941" i="4"/>
  <c r="CE941" i="4" s="1"/>
  <c r="CE945" i="4"/>
  <c r="CC945" i="4"/>
  <c r="BV945" i="4" s="1"/>
  <c r="CB945" i="4"/>
  <c r="CD924" i="4"/>
  <c r="CD930" i="4"/>
  <c r="CC930" i="4"/>
  <c r="BY887" i="4"/>
  <c r="BY892" i="4"/>
  <c r="BY894" i="4"/>
  <c r="BY896" i="4"/>
  <c r="CA908" i="4"/>
  <c r="CA915" i="4"/>
  <c r="H915" i="4"/>
  <c r="BW915" i="4"/>
  <c r="D915" i="4"/>
  <c r="AY915" i="4" s="1"/>
  <c r="CC915" i="4"/>
  <c r="BV915" i="4" s="1"/>
  <c r="BX915" i="4" s="1"/>
  <c r="CA919" i="4"/>
  <c r="H919" i="4"/>
  <c r="BW919" i="4"/>
  <c r="D919" i="4"/>
  <c r="AY919" i="4" s="1"/>
  <c r="BV919" i="4"/>
  <c r="BX919" i="4" s="1"/>
  <c r="CC919" i="4"/>
  <c r="CA923" i="4"/>
  <c r="H923" i="4"/>
  <c r="BW923" i="4"/>
  <c r="D923" i="4"/>
  <c r="AY923" i="4" s="1"/>
  <c r="CC923" i="4"/>
  <c r="BV923" i="4" s="1"/>
  <c r="BX923" i="4" s="1"/>
  <c r="CE924" i="4"/>
  <c r="CA927" i="4"/>
  <c r="H927" i="4"/>
  <c r="BW927" i="4"/>
  <c r="D927" i="4"/>
  <c r="AY927" i="4" s="1"/>
  <c r="BV927" i="4"/>
  <c r="BX927" i="4" s="1"/>
  <c r="CC927" i="4"/>
  <c r="CE931" i="4"/>
  <c r="CB878" i="4"/>
  <c r="CE878" i="4" s="1"/>
  <c r="BY881" i="4"/>
  <c r="BY883" i="4"/>
  <c r="CB889" i="4"/>
  <c r="CE889" i="4" s="1"/>
  <c r="H908" i="4"/>
  <c r="BW914" i="4"/>
  <c r="D914" i="4"/>
  <c r="AY914" i="4" s="1"/>
  <c r="CA913" i="4"/>
  <c r="CA914" i="4"/>
  <c r="H914" i="4"/>
  <c r="CD915" i="4"/>
  <c r="BV916" i="4"/>
  <c r="BX916" i="4" s="1"/>
  <c r="BW918" i="4"/>
  <c r="D918" i="4"/>
  <c r="AY918" i="4" s="1"/>
  <c r="CA918" i="4"/>
  <c r="H918" i="4"/>
  <c r="CD919" i="4"/>
  <c r="CD923" i="4"/>
  <c r="BV924" i="4"/>
  <c r="BX924" i="4" s="1"/>
  <c r="BW926" i="4"/>
  <c r="D926" i="4"/>
  <c r="AY926" i="4" s="1"/>
  <c r="CA926" i="4"/>
  <c r="H926" i="4"/>
  <c r="CD927" i="4"/>
  <c r="CE929" i="4"/>
  <c r="CE932" i="4"/>
  <c r="CE936" i="4"/>
  <c r="CE940" i="4"/>
  <c r="CE944" i="4"/>
  <c r="CC878" i="4"/>
  <c r="BV878" i="4" s="1"/>
  <c r="BX878" i="4" s="1"/>
  <c r="BV880" i="4"/>
  <c r="BX880" i="4" s="1"/>
  <c r="BV882" i="4"/>
  <c r="BX882" i="4" s="1"/>
  <c r="H887" i="4"/>
  <c r="H888" i="4" s="1"/>
  <c r="CC889" i="4"/>
  <c r="BV889" i="4" s="1"/>
  <c r="H892" i="4"/>
  <c r="H894" i="4"/>
  <c r="H896" i="4"/>
  <c r="BV912" i="4"/>
  <c r="BX912" i="4" s="1"/>
  <c r="CE920" i="4"/>
  <c r="BW921" i="4"/>
  <c r="D921" i="4"/>
  <c r="AY921" i="4" s="1"/>
  <c r="CA921" i="4"/>
  <c r="H921" i="4"/>
  <c r="CB921" i="4"/>
  <c r="CE921" i="4" s="1"/>
  <c r="CE925" i="4"/>
  <c r="CE928" i="4"/>
  <c r="BW929" i="4"/>
  <c r="D929" i="4"/>
  <c r="AY929" i="4" s="1"/>
  <c r="CA929" i="4"/>
  <c r="H929" i="4"/>
  <c r="CB929" i="4"/>
  <c r="CC931" i="4"/>
  <c r="BV931" i="4" s="1"/>
  <c r="BX931" i="4" s="1"/>
  <c r="CB931" i="4"/>
  <c r="CE935" i="4"/>
  <c r="CC935" i="4"/>
  <c r="BV935" i="4" s="1"/>
  <c r="BX935" i="4" s="1"/>
  <c r="CB935" i="4"/>
  <c r="CE939" i="4"/>
  <c r="CC939" i="4"/>
  <c r="BV939" i="4" s="1"/>
  <c r="CB939" i="4"/>
  <c r="CC943" i="4"/>
  <c r="BV943" i="4" s="1"/>
  <c r="BX943" i="4" s="1"/>
  <c r="CB943" i="4"/>
  <c r="CE943" i="4" s="1"/>
  <c r="D880" i="4"/>
  <c r="AY880" i="4" s="1"/>
  <c r="H881" i="4"/>
  <c r="D882" i="4"/>
  <c r="AY882" i="4" s="1"/>
  <c r="H883" i="4"/>
  <c r="CB911" i="4"/>
  <c r="CE911" i="4" s="1"/>
  <c r="CB912" i="4"/>
  <c r="CE912" i="4" s="1"/>
  <c r="CB913" i="4"/>
  <c r="CE913" i="4" s="1"/>
  <c r="BY916" i="4"/>
  <c r="CB917" i="4"/>
  <c r="CE917" i="4" s="1"/>
  <c r="CC921" i="4"/>
  <c r="BV921" i="4" s="1"/>
  <c r="BX921" i="4" s="1"/>
  <c r="BY924" i="4"/>
  <c r="CB925" i="4"/>
  <c r="BY931" i="4"/>
  <c r="CC932" i="4"/>
  <c r="CC934" i="4"/>
  <c r="BV934" i="4" s="1"/>
  <c r="BY935" i="4"/>
  <c r="CC936" i="4"/>
  <c r="CC938" i="4"/>
  <c r="BV938" i="4" s="1"/>
  <c r="CC940" i="4"/>
  <c r="BY941" i="4"/>
  <c r="CC942" i="4"/>
  <c r="BV942" i="4" s="1"/>
  <c r="BX942" i="4" s="1"/>
  <c r="BY943" i="4"/>
  <c r="CC944" i="4"/>
  <c r="BV944" i="4" s="1"/>
  <c r="BX944" i="4" s="1"/>
  <c r="BY912" i="4"/>
  <c r="BV930" i="4"/>
  <c r="BV932" i="4"/>
  <c r="BV936" i="4"/>
  <c r="BV940" i="4"/>
  <c r="BX940" i="4" s="1"/>
  <c r="BV946" i="4"/>
  <c r="D930" i="4"/>
  <c r="AY930" i="4" s="1"/>
  <c r="BW930" i="4"/>
  <c r="H931" i="4"/>
  <c r="H932" i="4" s="1"/>
  <c r="CA931" i="4"/>
  <c r="D932" i="4"/>
  <c r="AY932" i="4" s="1"/>
  <c r="CA933" i="4"/>
  <c r="D934" i="4"/>
  <c r="AY934" i="4" s="1"/>
  <c r="H935" i="4"/>
  <c r="H936" i="4" s="1"/>
  <c r="CA935" i="4"/>
  <c r="D936" i="4"/>
  <c r="AY936" i="4" s="1"/>
  <c r="CA937" i="4"/>
  <c r="D938" i="4"/>
  <c r="AY938" i="4" s="1"/>
  <c r="CA939" i="4"/>
  <c r="D940" i="4"/>
  <c r="AY940" i="4" s="1"/>
  <c r="BW940" i="4"/>
  <c r="H941" i="4"/>
  <c r="CA941" i="4"/>
  <c r="D942" i="4"/>
  <c r="AY942" i="4" s="1"/>
  <c r="BW942" i="4"/>
  <c r="H943" i="4"/>
  <c r="CA943" i="4"/>
  <c r="D944" i="4"/>
  <c r="AY944" i="4" s="1"/>
  <c r="BW944" i="4"/>
  <c r="CA945" i="4"/>
  <c r="D946" i="4"/>
  <c r="AY946" i="4" s="1"/>
  <c r="BY930" i="4"/>
  <c r="BY940" i="4"/>
  <c r="BY942" i="4"/>
  <c r="BY944" i="4"/>
  <c r="H930" i="4"/>
  <c r="D931" i="4"/>
  <c r="AY931" i="4" s="1"/>
  <c r="D933" i="4"/>
  <c r="AY933" i="4" s="1"/>
  <c r="D935" i="4"/>
  <c r="AY935" i="4" s="1"/>
  <c r="D937" i="4"/>
  <c r="AY937" i="4" s="1"/>
  <c r="D939" i="4"/>
  <c r="AY939" i="4" s="1"/>
  <c r="H940" i="4"/>
  <c r="D941" i="4"/>
  <c r="AY941" i="4" s="1"/>
  <c r="H942" i="4"/>
  <c r="D943" i="4"/>
  <c r="AY943" i="4" s="1"/>
  <c r="H944" i="4"/>
  <c r="H945" i="4" s="1"/>
  <c r="D945" i="4"/>
  <c r="AY945" i="4" s="1"/>
  <c r="BX901" i="4" l="1"/>
  <c r="H739" i="4"/>
  <c r="BW738" i="4"/>
  <c r="BY738" i="4"/>
  <c r="H24" i="4"/>
  <c r="BY23" i="4"/>
  <c r="BW23" i="4"/>
  <c r="BX23" i="4" s="1"/>
  <c r="BW721" i="4"/>
  <c r="H722" i="4"/>
  <c r="BY721" i="4"/>
  <c r="BW936" i="4"/>
  <c r="BY936" i="4"/>
  <c r="H937" i="4"/>
  <c r="BX841" i="4"/>
  <c r="BW728" i="4"/>
  <c r="BY728" i="4"/>
  <c r="BW492" i="4"/>
  <c r="H493" i="4"/>
  <c r="BY492" i="4"/>
  <c r="BY93" i="4"/>
  <c r="H94" i="4"/>
  <c r="BW93" i="4"/>
  <c r="BY653" i="4"/>
  <c r="BW653" i="4"/>
  <c r="H654" i="4"/>
  <c r="BY888" i="4"/>
  <c r="BW888" i="4"/>
  <c r="BX888" i="4" s="1"/>
  <c r="H889" i="4"/>
  <c r="BX701" i="4"/>
  <c r="BY701" i="4"/>
  <c r="H702" i="4"/>
  <c r="BW701" i="4"/>
  <c r="H453" i="4"/>
  <c r="BW452" i="4"/>
  <c r="BY452" i="4"/>
  <c r="BY676" i="4"/>
  <c r="BW676" i="4"/>
  <c r="BX676" i="4" s="1"/>
  <c r="H677" i="4"/>
  <c r="BY136" i="4"/>
  <c r="BW136" i="4"/>
  <c r="BX936" i="4"/>
  <c r="BX893" i="4"/>
  <c r="BY756" i="4"/>
  <c r="BW756" i="4"/>
  <c r="BX756" i="4" s="1"/>
  <c r="H757" i="4"/>
  <c r="BX622" i="4"/>
  <c r="BX492" i="4"/>
  <c r="BW27" i="4"/>
  <c r="BX27" i="4" s="1"/>
  <c r="BY27" i="4"/>
  <c r="H28" i="4"/>
  <c r="BX728" i="4"/>
  <c r="BY720" i="4"/>
  <c r="H729" i="4"/>
  <c r="BX724" i="4"/>
  <c r="BX700" i="4"/>
  <c r="H666" i="4"/>
  <c r="BY665" i="4"/>
  <c r="BW665" i="4"/>
  <c r="BX665" i="4" s="1"/>
  <c r="BX208" i="4"/>
  <c r="BY208" i="4"/>
  <c r="BW208" i="4"/>
  <c r="BY62" i="4"/>
  <c r="H63" i="4"/>
  <c r="BW62" i="4"/>
  <c r="BX945" i="4"/>
  <c r="BW841" i="4"/>
  <c r="H842" i="4"/>
  <c r="BY830" i="4"/>
  <c r="H831" i="4"/>
  <c r="BW724" i="4"/>
  <c r="H725" i="4"/>
  <c r="H101" i="4"/>
  <c r="BY100" i="4"/>
  <c r="BW100" i="4"/>
  <c r="H39" i="4"/>
  <c r="BW38" i="4"/>
  <c r="BY38" i="4"/>
  <c r="H946" i="4"/>
  <c r="BY945" i="4"/>
  <c r="BW945" i="4"/>
  <c r="BY932" i="4"/>
  <c r="BW932" i="4"/>
  <c r="BX932" i="4" s="1"/>
  <c r="H933" i="4"/>
  <c r="BX738" i="4"/>
  <c r="H616" i="4"/>
  <c r="BY615" i="4"/>
  <c r="BW615" i="4"/>
  <c r="BX615" i="4" s="1"/>
  <c r="H271" i="4"/>
  <c r="BW270" i="4"/>
  <c r="BX270" i="4" s="1"/>
  <c r="BY270" i="4"/>
  <c r="BX62" i="4"/>
  <c r="BX721" i="4"/>
  <c r="BW473" i="4"/>
  <c r="BX479" i="4"/>
  <c r="BX247" i="4"/>
  <c r="BX198" i="4"/>
  <c r="BY206" i="4"/>
  <c r="BX139" i="4"/>
  <c r="BW88" i="4"/>
  <c r="BX88" i="4" s="1"/>
  <c r="BW206" i="4"/>
  <c r="BX206" i="4" s="1"/>
  <c r="BY126" i="4"/>
  <c r="BY823" i="4"/>
  <c r="BW823" i="4"/>
  <c r="BX823" i="4" s="1"/>
  <c r="H824" i="4"/>
  <c r="BX864" i="4"/>
  <c r="BX918" i="4"/>
  <c r="H800" i="4"/>
  <c r="BW799" i="4"/>
  <c r="BX799" i="4" s="1"/>
  <c r="BY799" i="4"/>
  <c r="H695" i="4"/>
  <c r="BW694" i="4"/>
  <c r="BX694" i="4" s="1"/>
  <c r="BX697" i="4"/>
  <c r="BW622" i="4"/>
  <c r="H623" i="4"/>
  <c r="BX565" i="4"/>
  <c r="BY548" i="4"/>
  <c r="BW548" i="4"/>
  <c r="BX548" i="4" s="1"/>
  <c r="H549" i="4"/>
  <c r="H89" i="4"/>
  <c r="BY53" i="4"/>
  <c r="BW794" i="4"/>
  <c r="BX794" i="4" s="1"/>
  <c r="H795" i="4"/>
  <c r="BX720" i="4"/>
  <c r="BX566" i="4"/>
  <c r="H575" i="4"/>
  <c r="BY539" i="4"/>
  <c r="BX475" i="4"/>
  <c r="BW479" i="4"/>
  <c r="BW239" i="4"/>
  <c r="H81" i="4"/>
  <c r="BX53" i="4"/>
  <c r="BW151" i="4"/>
  <c r="H152" i="4"/>
  <c r="H7" i="4"/>
  <c r="BX930" i="4"/>
  <c r="BX524" i="4"/>
  <c r="H511" i="4"/>
  <c r="BW510" i="4"/>
  <c r="BX510" i="4" s="1"/>
  <c r="H503" i="4"/>
  <c r="BW502" i="4"/>
  <c r="BX502" i="4" s="1"/>
  <c r="BY474" i="4"/>
  <c r="H540" i="4"/>
  <c r="BX452" i="4"/>
  <c r="BY475" i="4"/>
  <c r="H241" i="4"/>
  <c r="BY238" i="4"/>
  <c r="BW238" i="4"/>
  <c r="BX238" i="4" s="1"/>
  <c r="BY207" i="4"/>
  <c r="BX188" i="4"/>
  <c r="BW213" i="4"/>
  <c r="BY213" i="4"/>
  <c r="BY239" i="4"/>
  <c r="BY114" i="4"/>
  <c r="BX907" i="4"/>
  <c r="BX895" i="4"/>
  <c r="BW812" i="4"/>
  <c r="BX812" i="4" s="1"/>
  <c r="BY694" i="4"/>
  <c r="H481" i="4"/>
  <c r="BW480" i="4"/>
  <c r="BX480" i="4" s="1"/>
  <c r="BY574" i="4"/>
  <c r="BX213" i="4"/>
  <c r="H202" i="4"/>
  <c r="BW201" i="4"/>
  <c r="BX201" i="4" s="1"/>
  <c r="BX186" i="4"/>
  <c r="BX151" i="4"/>
  <c r="BX136" i="4"/>
  <c r="BX99" i="4"/>
  <c r="BX52" i="4"/>
  <c r="BX93" i="4"/>
  <c r="BW113" i="4"/>
  <c r="BX113" i="4" s="1"/>
  <c r="BW6" i="4"/>
  <c r="BX6" i="4" s="1"/>
  <c r="BX38" i="4"/>
  <c r="H635" i="4"/>
  <c r="BW634" i="4"/>
  <c r="BX634" i="4" s="1"/>
  <c r="H525" i="4"/>
  <c r="BY524" i="4"/>
  <c r="BW524" i="4"/>
  <c r="BX473" i="4"/>
  <c r="BX239" i="4"/>
  <c r="BX100" i="4"/>
  <c r="BY99" i="4"/>
  <c r="BX862" i="4"/>
  <c r="BW793" i="4"/>
  <c r="BX793" i="4" s="1"/>
  <c r="BY794" i="4"/>
  <c r="H819" i="4"/>
  <c r="H813" i="4"/>
  <c r="BX698" i="4"/>
  <c r="H567" i="4"/>
  <c r="BX573" i="4"/>
  <c r="BW538" i="4"/>
  <c r="BX538" i="4" s="1"/>
  <c r="BX653" i="4"/>
  <c r="BX126" i="4"/>
  <c r="BX80" i="4"/>
  <c r="BY89" i="4" l="1"/>
  <c r="H90" i="4"/>
  <c r="BW89" i="4"/>
  <c r="BX89" i="4" s="1"/>
  <c r="BW695" i="4"/>
  <c r="BX695" i="4" s="1"/>
  <c r="BY695" i="4"/>
  <c r="BY800" i="4"/>
  <c r="H801" i="4"/>
  <c r="BW800" i="4"/>
  <c r="BX800" i="4" s="1"/>
  <c r="BY725" i="4"/>
  <c r="BW725" i="4"/>
  <c r="BX725" i="4" s="1"/>
  <c r="H726" i="4"/>
  <c r="BW831" i="4"/>
  <c r="BX831" i="4" s="1"/>
  <c r="H832" i="4"/>
  <c r="BY831" i="4"/>
  <c r="BY654" i="4"/>
  <c r="H655" i="4"/>
  <c r="BW654" i="4"/>
  <c r="BX654" i="4" s="1"/>
  <c r="BY525" i="4"/>
  <c r="BW525" i="4"/>
  <c r="BX525" i="4" s="1"/>
  <c r="H526" i="4"/>
  <c r="BY722" i="4"/>
  <c r="BW722" i="4"/>
  <c r="BX722" i="4" s="1"/>
  <c r="BW503" i="4"/>
  <c r="BX503" i="4" s="1"/>
  <c r="BY503" i="4"/>
  <c r="H504" i="4"/>
  <c r="H8" i="4"/>
  <c r="BW7" i="4"/>
  <c r="BX7" i="4" s="1"/>
  <c r="BY7" i="4"/>
  <c r="BY63" i="4"/>
  <c r="BW63" i="4"/>
  <c r="BX63" i="4" s="1"/>
  <c r="H64" i="4"/>
  <c r="H667" i="4"/>
  <c r="BY666" i="4"/>
  <c r="BW666" i="4"/>
  <c r="BX666" i="4" s="1"/>
  <c r="BY757" i="4"/>
  <c r="BW757" i="4"/>
  <c r="BX757" i="4" s="1"/>
  <c r="H758" i="4"/>
  <c r="H938" i="4"/>
  <c r="BY937" i="4"/>
  <c r="BW937" i="4"/>
  <c r="BX937" i="4" s="1"/>
  <c r="H678" i="4"/>
  <c r="BW677" i="4"/>
  <c r="BX677" i="4" s="1"/>
  <c r="BY677" i="4"/>
  <c r="H494" i="4"/>
  <c r="BY493" i="4"/>
  <c r="BW493" i="4"/>
  <c r="BX493" i="4" s="1"/>
  <c r="H153" i="4"/>
  <c r="BY152" i="4"/>
  <c r="BW152" i="4"/>
  <c r="BX152" i="4" s="1"/>
  <c r="H617" i="4"/>
  <c r="BW616" i="4"/>
  <c r="BX616" i="4" s="1"/>
  <c r="BY616" i="4"/>
  <c r="BW933" i="4"/>
  <c r="BX933" i="4" s="1"/>
  <c r="H934" i="4"/>
  <c r="BY933" i="4"/>
  <c r="BY842" i="4"/>
  <c r="H843" i="4"/>
  <c r="BW842" i="4"/>
  <c r="BX842" i="4" s="1"/>
  <c r="H624" i="4"/>
  <c r="BW623" i="4"/>
  <c r="BX623" i="4" s="1"/>
  <c r="BY623" i="4"/>
  <c r="H272" i="4"/>
  <c r="BW271" i="4"/>
  <c r="BX271" i="4" s="1"/>
  <c r="BY271" i="4"/>
  <c r="BW946" i="4"/>
  <c r="BX946" i="4" s="1"/>
  <c r="BY946" i="4"/>
  <c r="BY39" i="4"/>
  <c r="H40" i="4"/>
  <c r="BW39" i="4"/>
  <c r="BX39" i="4" s="1"/>
  <c r="BW813" i="4"/>
  <c r="BX813" i="4" s="1"/>
  <c r="H814" i="4"/>
  <c r="BY813" i="4"/>
  <c r="BW635" i="4"/>
  <c r="BX635" i="4" s="1"/>
  <c r="H636" i="4"/>
  <c r="BY635" i="4"/>
  <c r="BY481" i="4"/>
  <c r="BW481" i="4"/>
  <c r="BX481" i="4" s="1"/>
  <c r="H482" i="4"/>
  <c r="BW549" i="4"/>
  <c r="BX549" i="4" s="1"/>
  <c r="BY549" i="4"/>
  <c r="H550" i="4"/>
  <c r="BW819" i="4"/>
  <c r="BX819" i="4" s="1"/>
  <c r="BY819" i="4"/>
  <c r="BW453" i="4"/>
  <c r="BX453" i="4" s="1"/>
  <c r="H454" i="4"/>
  <c r="BY453" i="4"/>
  <c r="H890" i="4"/>
  <c r="BY889" i="4"/>
  <c r="BW889" i="4"/>
  <c r="BX889" i="4" s="1"/>
  <c r="H568" i="4"/>
  <c r="BY567" i="4"/>
  <c r="BW567" i="4"/>
  <c r="BX567" i="4" s="1"/>
  <c r="BY241" i="4"/>
  <c r="BW241" i="4"/>
  <c r="BX241" i="4" s="1"/>
  <c r="H242" i="4"/>
  <c r="BW511" i="4"/>
  <c r="BX511" i="4" s="1"/>
  <c r="BY511" i="4"/>
  <c r="H512" i="4"/>
  <c r="BY202" i="4"/>
  <c r="BW202" i="4"/>
  <c r="BX202" i="4" s="1"/>
  <c r="H203" i="4"/>
  <c r="BW729" i="4"/>
  <c r="BX729" i="4" s="1"/>
  <c r="H730" i="4"/>
  <c r="BY729" i="4"/>
  <c r="BY28" i="4"/>
  <c r="H29" i="4"/>
  <c r="BW28" i="4"/>
  <c r="BX28" i="4" s="1"/>
  <c r="BW702" i="4"/>
  <c r="BX702" i="4" s="1"/>
  <c r="H703" i="4"/>
  <c r="BY702" i="4"/>
  <c r="H740" i="4"/>
  <c r="BY739" i="4"/>
  <c r="BW739" i="4"/>
  <c r="BX739" i="4" s="1"/>
  <c r="BW540" i="4"/>
  <c r="BX540" i="4" s="1"/>
  <c r="BY540" i="4"/>
  <c r="H541" i="4"/>
  <c r="BY81" i="4"/>
  <c r="H82" i="4"/>
  <c r="BW81" i="4"/>
  <c r="BX81" i="4" s="1"/>
  <c r="H576" i="4"/>
  <c r="BY575" i="4"/>
  <c r="BW575" i="4"/>
  <c r="BX575" i="4" s="1"/>
  <c r="H796" i="4"/>
  <c r="BY795" i="4"/>
  <c r="BW795" i="4"/>
  <c r="BX795" i="4" s="1"/>
  <c r="H825" i="4"/>
  <c r="BW824" i="4"/>
  <c r="BX824" i="4" s="1"/>
  <c r="BY824" i="4"/>
  <c r="BY101" i="4"/>
  <c r="BW101" i="4"/>
  <c r="BX101" i="4" s="1"/>
  <c r="H102" i="4"/>
  <c r="H95" i="4"/>
  <c r="BW94" i="4"/>
  <c r="BX94" i="4" s="1"/>
  <c r="BY94" i="4"/>
  <c r="BW24" i="4"/>
  <c r="BX24" i="4" s="1"/>
  <c r="BY24" i="4"/>
  <c r="H25" i="4"/>
  <c r="H741" i="4" l="1"/>
  <c r="BY740" i="4"/>
  <c r="BW740" i="4"/>
  <c r="BX740" i="4" s="1"/>
  <c r="BW730" i="4"/>
  <c r="BX730" i="4" s="1"/>
  <c r="BY730" i="4"/>
  <c r="BY242" i="4"/>
  <c r="BW242" i="4"/>
  <c r="BX242" i="4" s="1"/>
  <c r="H243" i="4"/>
  <c r="BY890" i="4"/>
  <c r="H891" i="4"/>
  <c r="BW890" i="4"/>
  <c r="BX890" i="4" s="1"/>
  <c r="BY814" i="4"/>
  <c r="BW814" i="4"/>
  <c r="BX814" i="4" s="1"/>
  <c r="H815" i="4"/>
  <c r="BW153" i="4"/>
  <c r="BX153" i="4" s="1"/>
  <c r="BY153" i="4"/>
  <c r="H154" i="4"/>
  <c r="BY64" i="4"/>
  <c r="BW64" i="4"/>
  <c r="BX64" i="4" s="1"/>
  <c r="H65" i="4"/>
  <c r="BY801" i="4"/>
  <c r="H802" i="4"/>
  <c r="BW801" i="4"/>
  <c r="BX801" i="4" s="1"/>
  <c r="BW482" i="4"/>
  <c r="BX482" i="4" s="1"/>
  <c r="H483" i="4"/>
  <c r="BY482" i="4"/>
  <c r="BY272" i="4"/>
  <c r="H273" i="4"/>
  <c r="BW272" i="4"/>
  <c r="BX272" i="4" s="1"/>
  <c r="BW934" i="4"/>
  <c r="BX934" i="4" s="1"/>
  <c r="BY934" i="4"/>
  <c r="BY938" i="4"/>
  <c r="BW938" i="4"/>
  <c r="BX938" i="4" s="1"/>
  <c r="H939" i="4"/>
  <c r="BY667" i="4"/>
  <c r="H668" i="4"/>
  <c r="BW667" i="4"/>
  <c r="BX667" i="4" s="1"/>
  <c r="H656" i="4"/>
  <c r="BY655" i="4"/>
  <c r="BW655" i="4"/>
  <c r="BX655" i="4" s="1"/>
  <c r="BW825" i="4"/>
  <c r="BX825" i="4" s="1"/>
  <c r="BY825" i="4"/>
  <c r="H826" i="4"/>
  <c r="H83" i="4"/>
  <c r="BW82" i="4"/>
  <c r="BX82" i="4" s="1"/>
  <c r="BY82" i="4"/>
  <c r="BY703" i="4"/>
  <c r="BW703" i="4"/>
  <c r="BX703" i="4" s="1"/>
  <c r="H704" i="4"/>
  <c r="BW203" i="4"/>
  <c r="BX203" i="4" s="1"/>
  <c r="BY203" i="4"/>
  <c r="BY454" i="4"/>
  <c r="BW454" i="4"/>
  <c r="BX454" i="4" s="1"/>
  <c r="H455" i="4"/>
  <c r="BW758" i="4"/>
  <c r="BX758" i="4" s="1"/>
  <c r="H759" i="4"/>
  <c r="BY758" i="4"/>
  <c r="BW832" i="4"/>
  <c r="BX832" i="4" s="1"/>
  <c r="BY832" i="4"/>
  <c r="H833" i="4"/>
  <c r="BW25" i="4"/>
  <c r="BX25" i="4" s="1"/>
  <c r="BY25" i="4"/>
  <c r="H96" i="4"/>
  <c r="BW95" i="4"/>
  <c r="BX95" i="4" s="1"/>
  <c r="BY95" i="4"/>
  <c r="H41" i="4"/>
  <c r="BY40" i="4"/>
  <c r="BW40" i="4"/>
  <c r="BX40" i="4" s="1"/>
  <c r="BW494" i="4"/>
  <c r="BX494" i="4" s="1"/>
  <c r="BY494" i="4"/>
  <c r="BY526" i="4"/>
  <c r="BW526" i="4"/>
  <c r="BX526" i="4" s="1"/>
  <c r="H527" i="4"/>
  <c r="BW576" i="4"/>
  <c r="BX576" i="4" s="1"/>
  <c r="H577" i="4"/>
  <c r="BY576" i="4"/>
  <c r="BY541" i="4"/>
  <c r="H542" i="4"/>
  <c r="BW541" i="4"/>
  <c r="BX541" i="4" s="1"/>
  <c r="BW102" i="4"/>
  <c r="BX102" i="4" s="1"/>
  <c r="H103" i="4"/>
  <c r="BY102" i="4"/>
  <c r="BW796" i="4"/>
  <c r="BX796" i="4" s="1"/>
  <c r="BY796" i="4"/>
  <c r="H797" i="4"/>
  <c r="BW624" i="4"/>
  <c r="BX624" i="4" s="1"/>
  <c r="H625" i="4"/>
  <c r="BY624" i="4"/>
  <c r="BY726" i="4"/>
  <c r="BW726" i="4"/>
  <c r="BX726" i="4" s="1"/>
  <c r="BW29" i="4"/>
  <c r="BX29" i="4" s="1"/>
  <c r="BY29" i="4"/>
  <c r="H30" i="4"/>
  <c r="H513" i="4"/>
  <c r="BW512" i="4"/>
  <c r="BX512" i="4" s="1"/>
  <c r="BY512" i="4"/>
  <c r="BW568" i="4"/>
  <c r="BX568" i="4" s="1"/>
  <c r="H569" i="4"/>
  <c r="BY568" i="4"/>
  <c r="H637" i="4"/>
  <c r="BY636" i="4"/>
  <c r="BW636" i="4"/>
  <c r="BX636" i="4" s="1"/>
  <c r="BY617" i="4"/>
  <c r="H618" i="4"/>
  <c r="BW617" i="4"/>
  <c r="BX617" i="4" s="1"/>
  <c r="BY8" i="4"/>
  <c r="BW8" i="4"/>
  <c r="BX8" i="4" s="1"/>
  <c r="H9" i="4"/>
  <c r="BW90" i="4"/>
  <c r="BX90" i="4" s="1"/>
  <c r="BY90" i="4"/>
  <c r="BY550" i="4"/>
  <c r="BW550" i="4"/>
  <c r="BX550" i="4" s="1"/>
  <c r="H551" i="4"/>
  <c r="BW843" i="4"/>
  <c r="BX843" i="4" s="1"/>
  <c r="BY843" i="4"/>
  <c r="H679" i="4"/>
  <c r="BY678" i="4"/>
  <c r="BW678" i="4"/>
  <c r="BX678" i="4" s="1"/>
  <c r="BW504" i="4"/>
  <c r="BX504" i="4" s="1"/>
  <c r="H505" i="4"/>
  <c r="BY504" i="4"/>
  <c r="BW505" i="4" l="1"/>
  <c r="BX505" i="4" s="1"/>
  <c r="BY505" i="4"/>
  <c r="H506" i="4"/>
  <c r="BY96" i="4"/>
  <c r="BW96" i="4"/>
  <c r="BX96" i="4" s="1"/>
  <c r="H97" i="4"/>
  <c r="BW513" i="4"/>
  <c r="BX513" i="4" s="1"/>
  <c r="BY513" i="4"/>
  <c r="H514" i="4"/>
  <c r="H543" i="4"/>
  <c r="BY542" i="4"/>
  <c r="BW542" i="4"/>
  <c r="BX542" i="4" s="1"/>
  <c r="BW455" i="4"/>
  <c r="BX455" i="4" s="1"/>
  <c r="BY455" i="4"/>
  <c r="BY656" i="4"/>
  <c r="BW656" i="4"/>
  <c r="BX656" i="4" s="1"/>
  <c r="H657" i="4"/>
  <c r="BY802" i="4"/>
  <c r="BW802" i="4"/>
  <c r="BX802" i="4" s="1"/>
  <c r="H803" i="4"/>
  <c r="H816" i="4"/>
  <c r="BY815" i="4"/>
  <c r="BW815" i="4"/>
  <c r="BX815" i="4" s="1"/>
  <c r="BW243" i="4"/>
  <c r="BX243" i="4" s="1"/>
  <c r="BY243" i="4"/>
  <c r="BY625" i="4"/>
  <c r="H626" i="4"/>
  <c r="BW625" i="4"/>
  <c r="BX625" i="4" s="1"/>
  <c r="BY30" i="4"/>
  <c r="H31" i="4"/>
  <c r="BW30" i="4"/>
  <c r="BX30" i="4" s="1"/>
  <c r="BY797" i="4"/>
  <c r="BW797" i="4"/>
  <c r="BX797" i="4" s="1"/>
  <c r="BW679" i="4"/>
  <c r="BX679" i="4" s="1"/>
  <c r="BY679" i="4"/>
  <c r="H680" i="4"/>
  <c r="H10" i="4"/>
  <c r="BY9" i="4"/>
  <c r="BW9" i="4"/>
  <c r="BX9" i="4" s="1"/>
  <c r="BW637" i="4"/>
  <c r="BX637" i="4" s="1"/>
  <c r="H638" i="4"/>
  <c r="BY637" i="4"/>
  <c r="BW833" i="4"/>
  <c r="BX833" i="4" s="1"/>
  <c r="BY833" i="4"/>
  <c r="H834" i="4"/>
  <c r="BY83" i="4"/>
  <c r="BW83" i="4"/>
  <c r="BX83" i="4" s="1"/>
  <c r="H84" i="4"/>
  <c r="BW668" i="4"/>
  <c r="BX668" i="4" s="1"/>
  <c r="BY668" i="4"/>
  <c r="H669" i="4"/>
  <c r="BW273" i="4"/>
  <c r="BX273" i="4" s="1"/>
  <c r="BY273" i="4"/>
  <c r="BY65" i="4"/>
  <c r="H66" i="4"/>
  <c r="BW65" i="4"/>
  <c r="BX65" i="4" s="1"/>
  <c r="BW618" i="4"/>
  <c r="BX618" i="4" s="1"/>
  <c r="BY618" i="4"/>
  <c r="BY759" i="4"/>
  <c r="H760" i="4"/>
  <c r="BW759" i="4"/>
  <c r="BX759" i="4" s="1"/>
  <c r="H578" i="4"/>
  <c r="BW577" i="4"/>
  <c r="BX577" i="4" s="1"/>
  <c r="BY577" i="4"/>
  <c r="BY826" i="4"/>
  <c r="BW826" i="4"/>
  <c r="BX826" i="4" s="1"/>
  <c r="H570" i="4"/>
  <c r="BW569" i="4"/>
  <c r="BX569" i="4" s="1"/>
  <c r="BY569" i="4"/>
  <c r="BY41" i="4"/>
  <c r="BW41" i="4"/>
  <c r="BX41" i="4" s="1"/>
  <c r="H42" i="4"/>
  <c r="BY939" i="4"/>
  <c r="BW939" i="4"/>
  <c r="BX939" i="4" s="1"/>
  <c r="BW891" i="4"/>
  <c r="BX891" i="4" s="1"/>
  <c r="BY891" i="4"/>
  <c r="BY551" i="4"/>
  <c r="BW551" i="4"/>
  <c r="BX551" i="4" s="1"/>
  <c r="BW103" i="4"/>
  <c r="BX103" i="4" s="1"/>
  <c r="BY103" i="4"/>
  <c r="H104" i="4"/>
  <c r="BW527" i="4"/>
  <c r="BX527" i="4" s="1"/>
  <c r="H528" i="4"/>
  <c r="BY527" i="4"/>
  <c r="BY704" i="4"/>
  <c r="BW704" i="4"/>
  <c r="BX704" i="4" s="1"/>
  <c r="H705" i="4"/>
  <c r="BY483" i="4"/>
  <c r="BW483" i="4"/>
  <c r="BX483" i="4" s="1"/>
  <c r="H484" i="4"/>
  <c r="H155" i="4"/>
  <c r="BY154" i="4"/>
  <c r="BW154" i="4"/>
  <c r="BX154" i="4" s="1"/>
  <c r="BW741" i="4"/>
  <c r="BX741" i="4" s="1"/>
  <c r="H742" i="4"/>
  <c r="BY741" i="4"/>
  <c r="H105" i="4" l="1"/>
  <c r="BY104" i="4"/>
  <c r="BW104" i="4"/>
  <c r="BX104" i="4" s="1"/>
  <c r="BY742" i="4"/>
  <c r="BW742" i="4"/>
  <c r="BX742" i="4" s="1"/>
  <c r="H743" i="4"/>
  <c r="H706" i="4"/>
  <c r="BY705" i="4"/>
  <c r="BW705" i="4"/>
  <c r="BX705" i="4" s="1"/>
  <c r="BW66" i="4"/>
  <c r="BX66" i="4" s="1"/>
  <c r="BY66" i="4"/>
  <c r="H67" i="4"/>
  <c r="BW578" i="4"/>
  <c r="BX578" i="4" s="1"/>
  <c r="H579" i="4"/>
  <c r="BY578" i="4"/>
  <c r="BW31" i="4"/>
  <c r="BX31" i="4" s="1"/>
  <c r="BY31" i="4"/>
  <c r="BY97" i="4"/>
  <c r="BW97" i="4"/>
  <c r="BX97" i="4" s="1"/>
  <c r="H835" i="4"/>
  <c r="BY834" i="4"/>
  <c r="BW834" i="4"/>
  <c r="BX834" i="4" s="1"/>
  <c r="BW10" i="4"/>
  <c r="BX10" i="4" s="1"/>
  <c r="BY10" i="4"/>
  <c r="H11" i="4"/>
  <c r="BY816" i="4"/>
  <c r="BW816" i="4"/>
  <c r="BX816" i="4" s="1"/>
  <c r="BY84" i="4"/>
  <c r="BW84" i="4"/>
  <c r="BX84" i="4" s="1"/>
  <c r="H85" i="4"/>
  <c r="BY760" i="4"/>
  <c r="H761" i="4"/>
  <c r="BW760" i="4"/>
  <c r="BX760" i="4" s="1"/>
  <c r="H681" i="4"/>
  <c r="BW680" i="4"/>
  <c r="BX680" i="4" s="1"/>
  <c r="BY680" i="4"/>
  <c r="BW803" i="4"/>
  <c r="BX803" i="4" s="1"/>
  <c r="BY803" i="4"/>
  <c r="H804" i="4"/>
  <c r="H485" i="4"/>
  <c r="BW484" i="4"/>
  <c r="BX484" i="4" s="1"/>
  <c r="BY484" i="4"/>
  <c r="BY42" i="4"/>
  <c r="BW42" i="4"/>
  <c r="BX42" i="4" s="1"/>
  <c r="H43" i="4"/>
  <c r="BW155" i="4"/>
  <c r="BX155" i="4" s="1"/>
  <c r="BY155" i="4"/>
  <c r="H156" i="4"/>
  <c r="BW528" i="4"/>
  <c r="BX528" i="4" s="1"/>
  <c r="H529" i="4"/>
  <c r="BY528" i="4"/>
  <c r="BW570" i="4"/>
  <c r="BX570" i="4" s="1"/>
  <c r="BY570" i="4"/>
  <c r="BW669" i="4"/>
  <c r="BX669" i="4" s="1"/>
  <c r="BY669" i="4"/>
  <c r="H670" i="4"/>
  <c r="H627" i="4"/>
  <c r="BW626" i="4"/>
  <c r="BX626" i="4" s="1"/>
  <c r="BY626" i="4"/>
  <c r="H507" i="4"/>
  <c r="BW506" i="4"/>
  <c r="BX506" i="4" s="1"/>
  <c r="BY506" i="4"/>
  <c r="BY543" i="4"/>
  <c r="BW543" i="4"/>
  <c r="BX543" i="4" s="1"/>
  <c r="H544" i="4"/>
  <c r="H639" i="4"/>
  <c r="BY638" i="4"/>
  <c r="BW638" i="4"/>
  <c r="BX638" i="4" s="1"/>
  <c r="BW657" i="4"/>
  <c r="BX657" i="4" s="1"/>
  <c r="BY657" i="4"/>
  <c r="H658" i="4"/>
  <c r="H515" i="4"/>
  <c r="BW514" i="4"/>
  <c r="BX514" i="4" s="1"/>
  <c r="BY514" i="4"/>
  <c r="BY485" i="4" l="1"/>
  <c r="BW485" i="4"/>
  <c r="BX485" i="4" s="1"/>
  <c r="BY804" i="4"/>
  <c r="H805" i="4"/>
  <c r="BW804" i="4"/>
  <c r="BX804" i="4" s="1"/>
  <c r="BY706" i="4"/>
  <c r="BW706" i="4"/>
  <c r="BX706" i="4" s="1"/>
  <c r="H707" i="4"/>
  <c r="BW515" i="4"/>
  <c r="BX515" i="4" s="1"/>
  <c r="H516" i="4"/>
  <c r="BY515" i="4"/>
  <c r="H157" i="4"/>
  <c r="BY156" i="4"/>
  <c r="BW156" i="4"/>
  <c r="BX156" i="4" s="1"/>
  <c r="BY85" i="4"/>
  <c r="BW85" i="4"/>
  <c r="BX85" i="4" s="1"/>
  <c r="H580" i="4"/>
  <c r="BW579" i="4"/>
  <c r="BX579" i="4" s="1"/>
  <c r="BY579" i="4"/>
  <c r="BW743" i="4"/>
  <c r="BX743" i="4" s="1"/>
  <c r="BY743" i="4"/>
  <c r="H744" i="4"/>
  <c r="BY658" i="4"/>
  <c r="BW658" i="4"/>
  <c r="BX658" i="4" s="1"/>
  <c r="H659" i="4"/>
  <c r="H44" i="4"/>
  <c r="BY43" i="4"/>
  <c r="BW43" i="4"/>
  <c r="BX43" i="4" s="1"/>
  <c r="BW507" i="4"/>
  <c r="BX507" i="4" s="1"/>
  <c r="BY507" i="4"/>
  <c r="BW835" i="4"/>
  <c r="BX835" i="4" s="1"/>
  <c r="H836" i="4"/>
  <c r="BY835" i="4"/>
  <c r="BY67" i="4"/>
  <c r="BW67" i="4"/>
  <c r="BX67" i="4" s="1"/>
  <c r="H68" i="4"/>
  <c r="H640" i="4"/>
  <c r="BW639" i="4"/>
  <c r="BX639" i="4" s="1"/>
  <c r="BY639" i="4"/>
  <c r="BY529" i="4"/>
  <c r="BW529" i="4"/>
  <c r="BX529" i="4" s="1"/>
  <c r="H530" i="4"/>
  <c r="H682" i="4"/>
  <c r="BY681" i="4"/>
  <c r="BW681" i="4"/>
  <c r="BX681" i="4" s="1"/>
  <c r="BY670" i="4"/>
  <c r="BW670" i="4"/>
  <c r="BX670" i="4" s="1"/>
  <c r="H671" i="4"/>
  <c r="H762" i="4"/>
  <c r="BW761" i="4"/>
  <c r="BX761" i="4" s="1"/>
  <c r="BY761" i="4"/>
  <c r="BY544" i="4"/>
  <c r="BW544" i="4"/>
  <c r="BX544" i="4" s="1"/>
  <c r="BY627" i="4"/>
  <c r="BW627" i="4"/>
  <c r="BX627" i="4" s="1"/>
  <c r="H628" i="4"/>
  <c r="BW11" i="4"/>
  <c r="BX11" i="4" s="1"/>
  <c r="BY11" i="4"/>
  <c r="BY105" i="4"/>
  <c r="H106" i="4"/>
  <c r="BW105" i="4"/>
  <c r="BX105" i="4" s="1"/>
  <c r="H745" i="4" l="1"/>
  <c r="BW744" i="4"/>
  <c r="BX744" i="4" s="1"/>
  <c r="BY744" i="4"/>
  <c r="BW640" i="4"/>
  <c r="BX640" i="4" s="1"/>
  <c r="H641" i="4"/>
  <c r="BY640" i="4"/>
  <c r="BW836" i="4"/>
  <c r="BX836" i="4" s="1"/>
  <c r="BY836" i="4"/>
  <c r="H837" i="4"/>
  <c r="BW106" i="4"/>
  <c r="BX106" i="4" s="1"/>
  <c r="BY106" i="4"/>
  <c r="BY68" i="4"/>
  <c r="H69" i="4"/>
  <c r="BW68" i="4"/>
  <c r="BX68" i="4" s="1"/>
  <c r="BW157" i="4"/>
  <c r="BX157" i="4" s="1"/>
  <c r="BY157" i="4"/>
  <c r="H158" i="4"/>
  <c r="BY805" i="4"/>
  <c r="BW805" i="4"/>
  <c r="BX805" i="4" s="1"/>
  <c r="H806" i="4"/>
  <c r="H708" i="4"/>
  <c r="BY707" i="4"/>
  <c r="BW707" i="4"/>
  <c r="BX707" i="4" s="1"/>
  <c r="BY682" i="4"/>
  <c r="BW682" i="4"/>
  <c r="BX682" i="4" s="1"/>
  <c r="H683" i="4"/>
  <c r="H629" i="4"/>
  <c r="BY628" i="4"/>
  <c r="BW628" i="4"/>
  <c r="BX628" i="4" s="1"/>
  <c r="BW671" i="4"/>
  <c r="BX671" i="4" s="1"/>
  <c r="BY671" i="4"/>
  <c r="H672" i="4"/>
  <c r="BY530" i="4"/>
  <c r="BW530" i="4"/>
  <c r="BX530" i="4" s="1"/>
  <c r="H531" i="4"/>
  <c r="BY44" i="4"/>
  <c r="H45" i="4"/>
  <c r="BW44" i="4"/>
  <c r="BX44" i="4" s="1"/>
  <c r="H517" i="4"/>
  <c r="BW516" i="4"/>
  <c r="BX516" i="4" s="1"/>
  <c r="BY516" i="4"/>
  <c r="BY762" i="4"/>
  <c r="BW762" i="4"/>
  <c r="BX762" i="4" s="1"/>
  <c r="H763" i="4"/>
  <c r="H660" i="4"/>
  <c r="BW659" i="4"/>
  <c r="BX659" i="4" s="1"/>
  <c r="BY659" i="4"/>
  <c r="BW580" i="4"/>
  <c r="BX580" i="4" s="1"/>
  <c r="BY580" i="4"/>
  <c r="H581" i="4"/>
  <c r="BW517" i="4" l="1"/>
  <c r="BX517" i="4" s="1"/>
  <c r="BY517" i="4"/>
  <c r="H661" i="4"/>
  <c r="BW660" i="4"/>
  <c r="BX660" i="4" s="1"/>
  <c r="BY660" i="4"/>
  <c r="BY45" i="4"/>
  <c r="H46" i="4"/>
  <c r="BW45" i="4"/>
  <c r="BX45" i="4" s="1"/>
  <c r="H709" i="4"/>
  <c r="BY708" i="4"/>
  <c r="BW708" i="4"/>
  <c r="BX708" i="4" s="1"/>
  <c r="BW69" i="4"/>
  <c r="BX69" i="4" s="1"/>
  <c r="BY69" i="4"/>
  <c r="H70" i="4"/>
  <c r="BY641" i="4"/>
  <c r="BW641" i="4"/>
  <c r="BX641" i="4" s="1"/>
  <c r="H642" i="4"/>
  <c r="BW763" i="4"/>
  <c r="BX763" i="4" s="1"/>
  <c r="H764" i="4"/>
  <c r="BY763" i="4"/>
  <c r="BW806" i="4"/>
  <c r="BX806" i="4" s="1"/>
  <c r="BY806" i="4"/>
  <c r="H807" i="4"/>
  <c r="H532" i="4"/>
  <c r="BY531" i="4"/>
  <c r="BW531" i="4"/>
  <c r="BX531" i="4" s="1"/>
  <c r="BW629" i="4"/>
  <c r="BX629" i="4" s="1"/>
  <c r="H630" i="4"/>
  <c r="BY629" i="4"/>
  <c r="BY683" i="4"/>
  <c r="BW683" i="4"/>
  <c r="BX683" i="4" s="1"/>
  <c r="BY672" i="4"/>
  <c r="BW672" i="4"/>
  <c r="BX672" i="4" s="1"/>
  <c r="H582" i="4"/>
  <c r="BY581" i="4"/>
  <c r="BW581" i="4"/>
  <c r="BX581" i="4" s="1"/>
  <c r="H159" i="4"/>
  <c r="BW158" i="4"/>
  <c r="BX158" i="4" s="1"/>
  <c r="BY158" i="4"/>
  <c r="BW837" i="4"/>
  <c r="BX837" i="4" s="1"/>
  <c r="H838" i="4"/>
  <c r="BY837" i="4"/>
  <c r="BY745" i="4"/>
  <c r="H746" i="4"/>
  <c r="BW745" i="4"/>
  <c r="BX745" i="4" s="1"/>
  <c r="BW532" i="4" l="1"/>
  <c r="BX532" i="4" s="1"/>
  <c r="H533" i="4"/>
  <c r="BY532" i="4"/>
  <c r="BY807" i="4"/>
  <c r="BW807" i="4"/>
  <c r="BX807" i="4" s="1"/>
  <c r="H808" i="4"/>
  <c r="BW46" i="4"/>
  <c r="BX46" i="4" s="1"/>
  <c r="BY46" i="4"/>
  <c r="BY70" i="4"/>
  <c r="H71" i="4"/>
  <c r="BW70" i="4"/>
  <c r="BX70" i="4" s="1"/>
  <c r="H631" i="4"/>
  <c r="BY630" i="4"/>
  <c r="BW630" i="4"/>
  <c r="BX630" i="4" s="1"/>
  <c r="BY764" i="4"/>
  <c r="BW764" i="4"/>
  <c r="BX764" i="4" s="1"/>
  <c r="H765" i="4"/>
  <c r="BW661" i="4"/>
  <c r="BX661" i="4" s="1"/>
  <c r="BY661" i="4"/>
  <c r="BW582" i="4"/>
  <c r="BX582" i="4" s="1"/>
  <c r="BY582" i="4"/>
  <c r="H583" i="4"/>
  <c r="BW159" i="4"/>
  <c r="BX159" i="4" s="1"/>
  <c r="BY159" i="4"/>
  <c r="H160" i="4"/>
  <c r="BW746" i="4"/>
  <c r="BX746" i="4" s="1"/>
  <c r="H747" i="4"/>
  <c r="BY746" i="4"/>
  <c r="BY838" i="4"/>
  <c r="H839" i="4"/>
  <c r="BW838" i="4"/>
  <c r="BX838" i="4" s="1"/>
  <c r="H643" i="4"/>
  <c r="BY642" i="4"/>
  <c r="BW642" i="4"/>
  <c r="BX642" i="4" s="1"/>
  <c r="H710" i="4"/>
  <c r="BW709" i="4"/>
  <c r="BX709" i="4" s="1"/>
  <c r="BY709" i="4"/>
  <c r="BW839" i="4" l="1"/>
  <c r="BX839" i="4" s="1"/>
  <c r="BY839" i="4"/>
  <c r="H584" i="4"/>
  <c r="BY583" i="4"/>
  <c r="BW583" i="4"/>
  <c r="BX583" i="4" s="1"/>
  <c r="BY808" i="4"/>
  <c r="H809" i="4"/>
  <c r="BW808" i="4"/>
  <c r="BX808" i="4" s="1"/>
  <c r="BW631" i="4"/>
  <c r="BX631" i="4" s="1"/>
  <c r="BY631" i="4"/>
  <c r="BW643" i="4"/>
  <c r="BX643" i="4" s="1"/>
  <c r="BY643" i="4"/>
  <c r="H644" i="4"/>
  <c r="H711" i="4"/>
  <c r="BY710" i="4"/>
  <c r="BW710" i="4"/>
  <c r="BX710" i="4" s="1"/>
  <c r="BW747" i="4"/>
  <c r="BX747" i="4" s="1"/>
  <c r="BY747" i="4"/>
  <c r="H748" i="4"/>
  <c r="BW71" i="4"/>
  <c r="BX71" i="4" s="1"/>
  <c r="BY71" i="4"/>
  <c r="H72" i="4"/>
  <c r="H534" i="4"/>
  <c r="BY533" i="4"/>
  <c r="BW533" i="4"/>
  <c r="BX533" i="4" s="1"/>
  <c r="H161" i="4"/>
  <c r="BW160" i="4"/>
  <c r="BX160" i="4" s="1"/>
  <c r="BY160" i="4"/>
  <c r="BY765" i="4"/>
  <c r="BW765" i="4"/>
  <c r="BX765" i="4" s="1"/>
  <c r="H766" i="4"/>
  <c r="BY809" i="4" l="1"/>
  <c r="BW809" i="4"/>
  <c r="BX809" i="4" s="1"/>
  <c r="H810" i="4"/>
  <c r="BW644" i="4"/>
  <c r="BX644" i="4" s="1"/>
  <c r="BY644" i="4"/>
  <c r="H645" i="4"/>
  <c r="BY72" i="4"/>
  <c r="BW72" i="4"/>
  <c r="BX72" i="4" s="1"/>
  <c r="H73" i="4"/>
  <c r="BY711" i="4"/>
  <c r="BW711" i="4"/>
  <c r="BX711" i="4" s="1"/>
  <c r="H712" i="4"/>
  <c r="H767" i="4"/>
  <c r="BY766" i="4"/>
  <c r="BW766" i="4"/>
  <c r="BX766" i="4" s="1"/>
  <c r="BY534" i="4"/>
  <c r="BW534" i="4"/>
  <c r="BX534" i="4" s="1"/>
  <c r="H535" i="4"/>
  <c r="H749" i="4"/>
  <c r="BW748" i="4"/>
  <c r="BX748" i="4" s="1"/>
  <c r="BY748" i="4"/>
  <c r="BW584" i="4"/>
  <c r="BX584" i="4" s="1"/>
  <c r="H585" i="4"/>
  <c r="BY584" i="4"/>
  <c r="BW161" i="4"/>
  <c r="BX161" i="4" s="1"/>
  <c r="BY161" i="4"/>
  <c r="H162" i="4"/>
  <c r="H586" i="4" l="1"/>
  <c r="BY585" i="4"/>
  <c r="BW585" i="4"/>
  <c r="BX585" i="4" s="1"/>
  <c r="BY645" i="4"/>
  <c r="H646" i="4"/>
  <c r="BW645" i="4"/>
  <c r="BX645" i="4" s="1"/>
  <c r="BY767" i="4"/>
  <c r="BW767" i="4"/>
  <c r="BX767" i="4" s="1"/>
  <c r="H768" i="4"/>
  <c r="BY535" i="4"/>
  <c r="BW535" i="4"/>
  <c r="BX535" i="4" s="1"/>
  <c r="H713" i="4"/>
  <c r="BW712" i="4"/>
  <c r="BX712" i="4" s="1"/>
  <c r="BY712" i="4"/>
  <c r="H163" i="4"/>
  <c r="BY162" i="4"/>
  <c r="BW162" i="4"/>
  <c r="BX162" i="4" s="1"/>
  <c r="BY749" i="4"/>
  <c r="H750" i="4"/>
  <c r="BW749" i="4"/>
  <c r="BX749" i="4" s="1"/>
  <c r="BY810" i="4"/>
  <c r="BW810" i="4"/>
  <c r="BX810" i="4" s="1"/>
  <c r="BY73" i="4"/>
  <c r="H74" i="4"/>
  <c r="BW73" i="4"/>
  <c r="BX73" i="4" s="1"/>
  <c r="BY646" i="4" l="1"/>
  <c r="BW646" i="4"/>
  <c r="BX646" i="4" s="1"/>
  <c r="H647" i="4"/>
  <c r="BY713" i="4"/>
  <c r="BW713" i="4"/>
  <c r="BX713" i="4" s="1"/>
  <c r="H714" i="4"/>
  <c r="BY74" i="4"/>
  <c r="BW74" i="4"/>
  <c r="BX74" i="4" s="1"/>
  <c r="BW163" i="4"/>
  <c r="BX163" i="4" s="1"/>
  <c r="BY163" i="4"/>
  <c r="H164" i="4"/>
  <c r="BW750" i="4"/>
  <c r="BX750" i="4" s="1"/>
  <c r="BY750" i="4"/>
  <c r="H751" i="4"/>
  <c r="BW768" i="4"/>
  <c r="BX768" i="4" s="1"/>
  <c r="H769" i="4"/>
  <c r="BY768" i="4"/>
  <c r="BW586" i="4"/>
  <c r="BX586" i="4" s="1"/>
  <c r="H587" i="4"/>
  <c r="BY586" i="4"/>
  <c r="BY769" i="4" l="1"/>
  <c r="BW769" i="4"/>
  <c r="BX769" i="4" s="1"/>
  <c r="H770" i="4"/>
  <c r="H752" i="4"/>
  <c r="BW751" i="4"/>
  <c r="BX751" i="4" s="1"/>
  <c r="BY751" i="4"/>
  <c r="BW714" i="4"/>
  <c r="BX714" i="4" s="1"/>
  <c r="BY714" i="4"/>
  <c r="H715" i="4"/>
  <c r="H588" i="4"/>
  <c r="BW587" i="4"/>
  <c r="BX587" i="4" s="1"/>
  <c r="BY587" i="4"/>
  <c r="H165" i="4"/>
  <c r="BW164" i="4"/>
  <c r="BX164" i="4" s="1"/>
  <c r="BY164" i="4"/>
  <c r="BY647" i="4"/>
  <c r="H648" i="4"/>
  <c r="BW647" i="4"/>
  <c r="BX647" i="4" s="1"/>
  <c r="BW752" i="4" l="1"/>
  <c r="BX752" i="4" s="1"/>
  <c r="BY752" i="4"/>
  <c r="BW165" i="4"/>
  <c r="BX165" i="4" s="1"/>
  <c r="H166" i="4"/>
  <c r="BY165" i="4"/>
  <c r="BY770" i="4"/>
  <c r="BW770" i="4"/>
  <c r="BX770" i="4" s="1"/>
  <c r="H771" i="4"/>
  <c r="H589" i="4"/>
  <c r="BW588" i="4"/>
  <c r="BX588" i="4" s="1"/>
  <c r="BY588" i="4"/>
  <c r="BY648" i="4"/>
  <c r="H649" i="4"/>
  <c r="BW648" i="4"/>
  <c r="BX648" i="4" s="1"/>
  <c r="H716" i="4"/>
  <c r="BW715" i="4"/>
  <c r="BX715" i="4" s="1"/>
  <c r="BY715" i="4"/>
  <c r="H650" i="4" l="1"/>
  <c r="BY649" i="4"/>
  <c r="BW649" i="4"/>
  <c r="BX649" i="4" s="1"/>
  <c r="H167" i="4"/>
  <c r="BY166" i="4"/>
  <c r="BW166" i="4"/>
  <c r="BX166" i="4" s="1"/>
  <c r="BW771" i="4"/>
  <c r="BX771" i="4" s="1"/>
  <c r="H772" i="4"/>
  <c r="BY771" i="4"/>
  <c r="BY716" i="4"/>
  <c r="BW716" i="4"/>
  <c r="BX716" i="4" s="1"/>
  <c r="H717" i="4"/>
  <c r="H590" i="4"/>
  <c r="BW589" i="4"/>
  <c r="BX589" i="4" s="1"/>
  <c r="BY589" i="4"/>
  <c r="BY772" i="4" l="1"/>
  <c r="H773" i="4"/>
  <c r="BW772" i="4"/>
  <c r="BX772" i="4" s="1"/>
  <c r="BW590" i="4"/>
  <c r="BX590" i="4" s="1"/>
  <c r="H591" i="4"/>
  <c r="BY590" i="4"/>
  <c r="BW717" i="4"/>
  <c r="BX717" i="4" s="1"/>
  <c r="BY717" i="4"/>
  <c r="BW167" i="4"/>
  <c r="BX167" i="4" s="1"/>
  <c r="BY167" i="4"/>
  <c r="H168" i="4"/>
  <c r="BY650" i="4"/>
  <c r="BW650" i="4"/>
  <c r="BX650" i="4" s="1"/>
  <c r="BW591" i="4" l="1"/>
  <c r="BX591" i="4" s="1"/>
  <c r="H592" i="4"/>
  <c r="BY591" i="4"/>
  <c r="H169" i="4"/>
  <c r="BY168" i="4"/>
  <c r="BW168" i="4"/>
  <c r="BX168" i="4" s="1"/>
  <c r="BY773" i="4"/>
  <c r="BW773" i="4"/>
  <c r="BX773" i="4" s="1"/>
  <c r="H774" i="4"/>
  <c r="H775" i="4" l="1"/>
  <c r="BY774" i="4"/>
  <c r="BW774" i="4"/>
  <c r="BX774" i="4" s="1"/>
  <c r="BW169" i="4"/>
  <c r="BX169" i="4" s="1"/>
  <c r="BY169" i="4"/>
  <c r="H170" i="4"/>
  <c r="BW592" i="4"/>
  <c r="BX592" i="4" s="1"/>
  <c r="H593" i="4"/>
  <c r="BY592" i="4"/>
  <c r="H171" i="4" l="1"/>
  <c r="BW170" i="4"/>
  <c r="BX170" i="4" s="1"/>
  <c r="BY170" i="4"/>
  <c r="BW593" i="4"/>
  <c r="BX593" i="4" s="1"/>
  <c r="H594" i="4"/>
  <c r="BY593" i="4"/>
  <c r="BY775" i="4"/>
  <c r="BW775" i="4"/>
  <c r="BX775" i="4" s="1"/>
  <c r="H776" i="4"/>
  <c r="H595" i="4" l="1"/>
  <c r="BW594" i="4"/>
  <c r="BX594" i="4" s="1"/>
  <c r="BY594" i="4"/>
  <c r="BW776" i="4"/>
  <c r="BX776" i="4" s="1"/>
  <c r="H777" i="4"/>
  <c r="BY776" i="4"/>
  <c r="BW171" i="4"/>
  <c r="BX171" i="4" s="1"/>
  <c r="H172" i="4"/>
  <c r="BY171" i="4"/>
  <c r="BW777" i="4" l="1"/>
  <c r="BX777" i="4" s="1"/>
  <c r="H778" i="4"/>
  <c r="BY777" i="4"/>
  <c r="H173" i="4"/>
  <c r="BY172" i="4"/>
  <c r="BW172" i="4"/>
  <c r="BX172" i="4" s="1"/>
  <c r="H596" i="4"/>
  <c r="BW595" i="4"/>
  <c r="BX595" i="4" s="1"/>
  <c r="BY595" i="4"/>
  <c r="BW173" i="4" l="1"/>
  <c r="BX173" i="4" s="1"/>
  <c r="H174" i="4"/>
  <c r="BY173" i="4"/>
  <c r="H597" i="4"/>
  <c r="BW596" i="4"/>
  <c r="BX596" i="4" s="1"/>
  <c r="BY596" i="4"/>
  <c r="BY778" i="4"/>
  <c r="BW778" i="4"/>
  <c r="BX778" i="4" s="1"/>
  <c r="H779" i="4"/>
  <c r="BW597" i="4" l="1"/>
  <c r="BX597" i="4" s="1"/>
  <c r="H598" i="4"/>
  <c r="BY597" i="4"/>
  <c r="H175" i="4"/>
  <c r="BW174" i="4"/>
  <c r="BX174" i="4" s="1"/>
  <c r="BY174" i="4"/>
  <c r="BW779" i="4"/>
  <c r="BX779" i="4" s="1"/>
  <c r="H780" i="4"/>
  <c r="BY779" i="4"/>
  <c r="BY780" i="4" l="1"/>
  <c r="H781" i="4"/>
  <c r="BW780" i="4"/>
  <c r="BX780" i="4" s="1"/>
  <c r="BW175" i="4"/>
  <c r="BX175" i="4" s="1"/>
  <c r="H176" i="4"/>
  <c r="BY175" i="4"/>
  <c r="BW598" i="4"/>
  <c r="BX598" i="4" s="1"/>
  <c r="H599" i="4"/>
  <c r="BY598" i="4"/>
  <c r="BY781" i="4" l="1"/>
  <c r="BW781" i="4"/>
  <c r="BX781" i="4" s="1"/>
  <c r="H782" i="4"/>
  <c r="H600" i="4"/>
  <c r="BW599" i="4"/>
  <c r="BX599" i="4" s="1"/>
  <c r="BY599" i="4"/>
  <c r="H177" i="4"/>
  <c r="BY176" i="4"/>
  <c r="BW176" i="4"/>
  <c r="BX176" i="4" s="1"/>
  <c r="H601" i="4" l="1"/>
  <c r="BW600" i="4"/>
  <c r="BX600" i="4" s="1"/>
  <c r="BY600" i="4"/>
  <c r="BW177" i="4"/>
  <c r="BX177" i="4" s="1"/>
  <c r="BY177" i="4"/>
  <c r="H178" i="4"/>
  <c r="H783" i="4"/>
  <c r="BY782" i="4"/>
  <c r="BW782" i="4"/>
  <c r="BX782" i="4" s="1"/>
  <c r="BY783" i="4" l="1"/>
  <c r="H784" i="4"/>
  <c r="BW783" i="4"/>
  <c r="BX783" i="4" s="1"/>
  <c r="H179" i="4"/>
  <c r="BW178" i="4"/>
  <c r="BX178" i="4" s="1"/>
  <c r="BY178" i="4"/>
  <c r="H602" i="4"/>
  <c r="BY601" i="4"/>
  <c r="BW601" i="4"/>
  <c r="BX601" i="4" s="1"/>
  <c r="BW602" i="4" l="1"/>
  <c r="BX602" i="4" s="1"/>
  <c r="H603" i="4"/>
  <c r="BY602" i="4"/>
  <c r="BW179" i="4"/>
  <c r="BX179" i="4" s="1"/>
  <c r="BY179" i="4"/>
  <c r="H180" i="4"/>
  <c r="BW784" i="4"/>
  <c r="BX784" i="4" s="1"/>
  <c r="H785" i="4"/>
  <c r="BY784" i="4"/>
  <c r="BW785" i="4" l="1"/>
  <c r="BX785" i="4" s="1"/>
  <c r="BY785" i="4"/>
  <c r="H786" i="4"/>
  <c r="H181" i="4"/>
  <c r="BY180" i="4"/>
  <c r="BW180" i="4"/>
  <c r="BX180" i="4" s="1"/>
  <c r="H604" i="4"/>
  <c r="BY603" i="4"/>
  <c r="BW603" i="4"/>
  <c r="BX603" i="4" s="1"/>
  <c r="BW604" i="4" l="1"/>
  <c r="BX604" i="4" s="1"/>
  <c r="H605" i="4"/>
  <c r="BY604" i="4"/>
  <c r="BW181" i="4"/>
  <c r="BX181" i="4" s="1"/>
  <c r="BY181" i="4"/>
  <c r="BY786" i="4"/>
  <c r="H787" i="4"/>
  <c r="BW786" i="4"/>
  <c r="BX786" i="4" s="1"/>
  <c r="H788" i="4" l="1"/>
  <c r="BY787" i="4"/>
  <c r="BW787" i="4"/>
  <c r="BX787" i="4" s="1"/>
  <c r="H606" i="4"/>
  <c r="BW605" i="4"/>
  <c r="BX605" i="4" s="1"/>
  <c r="BY605" i="4"/>
  <c r="BW606" i="4" l="1"/>
  <c r="BX606" i="4" s="1"/>
  <c r="BY606" i="4"/>
  <c r="H607" i="4"/>
  <c r="BY788" i="4"/>
  <c r="BW788" i="4"/>
  <c r="BX788" i="4" s="1"/>
  <c r="H789" i="4"/>
  <c r="BY789" i="4" l="1"/>
  <c r="BW789" i="4"/>
  <c r="BX789" i="4" s="1"/>
  <c r="H608" i="4"/>
  <c r="BY607" i="4"/>
  <c r="BW607" i="4"/>
  <c r="BX607" i="4" s="1"/>
  <c r="BW608" i="4" l="1"/>
  <c r="BX608" i="4" s="1"/>
  <c r="BY6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G1732" authorId="0" shapeId="0" xr:uid="{00000000-0006-0000-0200-000001000000}">
      <text>
        <r>
          <rPr>
            <sz val="10"/>
            <color rgb="FF000000"/>
            <rFont val="Arial"/>
            <family val="2"/>
          </rPr>
          <t>======
ID#AAAAD0jhscM
    (2019-10-01 13:50:30)
+cappl@ona.io Are these project-specific concept IDs? I cannot find 99457 in the CIEL dictionary.
_Assigned to Craig Appl_
	-Carolyn Gulas</t>
        </r>
      </text>
    </comment>
  </commentList>
</comments>
</file>

<file path=xl/sharedStrings.xml><?xml version="1.0" encoding="utf-8"?>
<sst xmlns="http://schemas.openxmlformats.org/spreadsheetml/2006/main" count="78406" uniqueCount="9715">
  <si>
    <t>Unique identifier code for each row of this master spreadsheet</t>
  </si>
  <si>
    <t>Data Element Name within Master List</t>
  </si>
  <si>
    <t>Differentiates data elements from input options for a data element.</t>
  </si>
  <si>
    <t>If data type = Input Option, the corresponding data element</t>
  </si>
  <si>
    <t>Any groupings of a data element within its respective tab</t>
  </si>
  <si>
    <t>Indicates a field that was found in the ANC Data Dictionary</t>
  </si>
  <si>
    <t xml:space="preserve">If found in ANC Data Dictionary, tab(s) where it is found. </t>
  </si>
  <si>
    <t>If a signficant change is needed to a row, suggested action (by Joe).</t>
  </si>
  <si>
    <t>The ID number you used to label the corresponding task, within a service delivery process, of which each data point is collected will correspond directly. This will denote which point in time this data element is collected in. This should align with the Activity ID that are provided in during Form Mapping.</t>
  </si>
  <si>
    <t>If data type = Input Option, the corresponding data element (i.e. the question that the input option is answering)</t>
  </si>
  <si>
    <t>Each data element should have an identification number or code that is unique across the entire project. Use existing serial or identification numbers when available. If no identifiers exist, fields should be enumerated in a logical format. (e.g. Form ID.Data Element number)</t>
  </si>
  <si>
    <t>To review with Bryn</t>
  </si>
  <si>
    <t>Indicates a field that was found in the FP/STI Data Dictionary</t>
  </si>
  <si>
    <t xml:space="preserve">If found in FP/STI Data Dictionary, tab(s) where it is found. </t>
  </si>
  <si>
    <t>E.g. Pregnancy, Patient Demographics, etc.</t>
  </si>
  <si>
    <t>The label of the data element written in a way in which your end user can easily understand. e.g. “education level”, “weight”</t>
  </si>
  <si>
    <t>The shorthand name for the data element (e.g. “educ_level” for “education level”; “weight_kg” for weight; of “height_m” for “height”).</t>
  </si>
  <si>
    <t>The description of the data field, including any units that define the field (e.g., weight in kilograms (kgs)). Provide a clear explanation of what this data point is requesting; assuming the reader has never seen the form.</t>
  </si>
  <si>
    <t xml:space="preserve">The Data Type should be aligned with Data Types outlined by FHIR standards. (e.g. Boolean, String, Date, Time, Id, Integer, Decimal, Observation, Codeable Concept, Signature, Attachment). </t>
  </si>
  <si>
    <t>For multiple choice fields only, leave this column blank otherwise. Write the list of responses from which the health worker may select. Each of these input options should be in a separate row and reference the parent Data ID in its own Data ID. (e.g. Parent data element ID.Option number). Each of these options should be labelled with a Data Type as indicated above.</t>
  </si>
  <si>
    <t>For “Codeable Concept” data type fields, write the formula that defines the field. Leave this column blank for all other data types. Dictate the formula using standard mathematical symbols and the Data Element Label of the data element names included in the formula. (e.g. For the body mass index calculation (BMI), “weight_kg/(height_m)^2)”)</t>
  </si>
  <si>
    <t>Indicate “Yes” or “No” whether there needs to be some form of validation given the constraints provided by a range of acceptable responses.</t>
  </si>
  <si>
    <t>The range of acceptable responses, if validation is required (e.g. For a phone number, only 10 digits allowed; for a birthday, only past dates allowed).</t>
  </si>
  <si>
    <t>Indicate “Yes” or “No” if the end user, or health worker, would be able to edit the field after it has been input to the system.</t>
  </si>
  <si>
    <t>Required - R 
Required, but can be left empty - RE 
Optional - O 
Conditional on answers from other data fields - C 
Conditional, but can be left empty - CE</t>
  </si>
  <si>
    <t>e.g. Boolean, String, Date, Time, Id, Integer, Decimal, MC, Signature, Attachment).</t>
  </si>
  <si>
    <t>If this field is Conditional on answers from other data fields (C) or Conditional, but can be left empty (CE), denote what the skip logic is here.</t>
  </si>
  <si>
    <t>If this field is Required (R) or Required, but can be left empty (RE), please state the reason here.</t>
  </si>
  <si>
    <t>Aggregate indicators should be called out and specified. If this data element is an aggregate indicator, then indicate “Yes” here. If not, indicate “No”.</t>
  </si>
  <si>
    <t>If this data field contributes to an aggregate indicator, it should be indicated here. The Data IDs for the aggregated data elements that this specific data element feeds into should be listed here and separated by semicolons.</t>
  </si>
  <si>
    <t xml:space="preserve">Indicate “Yes” or “No” if this data is “orphaned”. </t>
  </si>
  <si>
    <t>If there is an issue or inconsistency in how a data field is defined, make note of the issue here. Irregularities and inconsistencies will need to be resolved at a later stage through a process of team discussion and triangulation. This column should also be used for any other notes, annotations, or communication messages within the team.</t>
  </si>
  <si>
    <t>If there are any national or global guidelines (e.g. WHO guidelines) that dictate how and why this data element is collected or calculated it should be noted here.</t>
  </si>
  <si>
    <t>Depending on which systems you plan on interoperating with, other columns will most likely need to be added to map to the concepts used in the other system (e.g. OpenMRS CIEL codes, ICD-11, SNOMED, etc.) One column should be used for each concept dictionary.</t>
  </si>
  <si>
    <t>*Where applicable.*</t>
  </si>
  <si>
    <t xml:space="preserve">*Where applicable.* </t>
  </si>
  <si>
    <t>Fill in for data elements that sit within slices only</t>
  </si>
  <si>
    <t>Resource and data element</t>
  </si>
  <si>
    <t>Maturity Level - Value Set</t>
  </si>
  <si>
    <t xml:space="preserve">Where applicable. </t>
  </si>
  <si>
    <t>Master ID</t>
  </si>
  <si>
    <t>Master Data Element Label</t>
  </si>
  <si>
    <t>Master Data Type</t>
  </si>
  <si>
    <t>Data Element Parent for Input Options</t>
  </si>
  <si>
    <t>Element Group</t>
  </si>
  <si>
    <t>In ANC Dictionary</t>
  </si>
  <si>
    <t>Leave blank if from FHIR Core. Otherwise, include URI from the profile's page.</t>
  </si>
  <si>
    <t>ANC Dictionary Tab</t>
  </si>
  <si>
    <t>Suggested Action</t>
  </si>
  <si>
    <t>Version number (found in footer of page)</t>
  </si>
  <si>
    <t>Activity ID</t>
  </si>
  <si>
    <t>*Where applicable.* - If a value already exists in the cell, validate it by searching the code system</t>
  </si>
  <si>
    <t>Data Element Code</t>
  </si>
  <si>
    <t>*Where applicable.*  - If a value already exists in the cell, validate it by searching the code system</t>
  </si>
  <si>
    <t>Indicate the terminology standard from which you attempted to find a code, but no appropriate codes were available, or if no code was required.</t>
  </si>
  <si>
    <t>How similar the mapping is between the intent/format of the code within the terminology and the intent/format of the code within this data dictionary.</t>
  </si>
  <si>
    <t>Any unclear details, potential additions, questions and clarifications for WHO, etc. These will be put into tickets in Github if needed.</t>
  </si>
  <si>
    <t>If a note or question requires WHO assistance, the ticket number and link to Github will be placed here</t>
  </si>
  <si>
    <t>Where the WHO label does not match the Master Data Element Label</t>
  </si>
  <si>
    <t>Data Element Label</t>
  </si>
  <si>
    <t>*Where applicable.* Initial mapping to come from the MVP-CIEL Concept Dictionary, used by OpenMRS</t>
  </si>
  <si>
    <t>Data Element Name</t>
  </si>
  <si>
    <t>Description</t>
  </si>
  <si>
    <t>Data Type</t>
  </si>
  <si>
    <t>Input Options</t>
  </si>
  <si>
    <t>Calculation</t>
  </si>
  <si>
    <t>Validation Required</t>
  </si>
  <si>
    <t>Validation Condition</t>
  </si>
  <si>
    <t>Editable</t>
  </si>
  <si>
    <t>Required</t>
  </si>
  <si>
    <t>Skip Logic</t>
  </si>
  <si>
    <t>Reason for Required Data</t>
  </si>
  <si>
    <t>Due</t>
  </si>
  <si>
    <t>Aggregate Indicators</t>
  </si>
  <si>
    <t>Linkages to Aggregate Indicators</t>
  </si>
  <si>
    <t>Orphaned Record</t>
  </si>
  <si>
    <t>Notes</t>
  </si>
  <si>
    <t>Guidelines References</t>
  </si>
  <si>
    <t>Other Concept Mappings</t>
  </si>
  <si>
    <t>ICD-10-WHO</t>
  </si>
  <si>
    <t>Master Data Element Label - Indented formula</t>
  </si>
  <si>
    <t>ICD-11</t>
  </si>
  <si>
    <t>SNOMED-CT</t>
  </si>
  <si>
    <t>LOINC</t>
  </si>
  <si>
    <t>OpenMRS entity parent</t>
  </si>
  <si>
    <t>Master Data Element Label - Raw</t>
  </si>
  <si>
    <t>OpenMRS entity</t>
  </si>
  <si>
    <t>OpenMRS entity ID</t>
  </si>
  <si>
    <t>Flag to review</t>
  </si>
  <si>
    <t>HL7 FHIR R4 - Resource</t>
  </si>
  <si>
    <t>HL7 FHIR R4 - Values</t>
  </si>
  <si>
    <t>HL7 FHIR R4 Code</t>
  </si>
  <si>
    <t>In FP/STI Dictionary</t>
  </si>
  <si>
    <t>FP/STI Dictionary Tab</t>
  </si>
  <si>
    <t>Medical Domain</t>
  </si>
  <si>
    <t>Client's ID number</t>
  </si>
  <si>
    <t>Data Element</t>
  </si>
  <si>
    <t>Data Element Code (STI)</t>
  </si>
  <si>
    <t>Data Element Code (FP)</t>
  </si>
  <si>
    <t>1. Registration</t>
  </si>
  <si>
    <t>1.2 Gather client details / 1.7 Create client record</t>
  </si>
  <si>
    <t>client_id</t>
  </si>
  <si>
    <t>The client's ID is pre-populated in the form</t>
  </si>
  <si>
    <t>Identifier</t>
  </si>
  <si>
    <t>minimun of 'x' number of digits</t>
  </si>
  <si>
    <t>person_identifier</t>
  </si>
  <si>
    <t>Patient.identifier</t>
  </si>
  <si>
    <t>Master Data Element Path</t>
  </si>
  <si>
    <t>First name</t>
  </si>
  <si>
    <t>first_name</t>
  </si>
  <si>
    <t>Woman's first name.</t>
  </si>
  <si>
    <t>Text</t>
  </si>
  <si>
    <t>Only letters and special characters (period, dash) allowed.</t>
  </si>
  <si>
    <t>Yes</t>
  </si>
  <si>
    <t>HL7 FHIR R4 - Additional FHIR Mapping details</t>
  </si>
  <si>
    <t>NA</t>
  </si>
  <si>
    <t>UCUM</t>
  </si>
  <si>
    <t>HL7 FHIR R4 - Base Profile</t>
  </si>
  <si>
    <t>person</t>
  </si>
  <si>
    <t>HL7 FHIR R4 - Version Number</t>
  </si>
  <si>
    <t>FHIR Code System</t>
  </si>
  <si>
    <t>patient.name.given</t>
  </si>
  <si>
    <t>Done by Terry</t>
  </si>
  <si>
    <t>Last name</t>
  </si>
  <si>
    <t>RxNorm</t>
  </si>
  <si>
    <t>last_name</t>
  </si>
  <si>
    <t>No code</t>
  </si>
  <si>
    <t>Woman's family or last name.</t>
  </si>
  <si>
    <t>Exactness of Mapping</t>
  </si>
  <si>
    <t>Notes and Questions during mapping</t>
  </si>
  <si>
    <t>GitHub Ticket Number</t>
  </si>
  <si>
    <t>Name Audit</t>
  </si>
  <si>
    <t>CIEL</t>
  </si>
  <si>
    <r>
      <rPr>
        <b/>
        <sz val="10"/>
        <rFont val="Arial"/>
        <family val="2"/>
      </rPr>
      <t>*Where applicable.*</t>
    </r>
    <r>
      <rPr>
        <sz val="10"/>
        <rFont val="Arial"/>
        <family val="2"/>
      </rPr>
      <t xml:space="preserve"> </t>
    </r>
  </si>
  <si>
    <r>
      <rPr>
        <b/>
        <sz val="10"/>
        <rFont val="Arial"/>
        <family val="2"/>
      </rPr>
      <t>*Where applicable.*</t>
    </r>
    <r>
      <rPr>
        <sz val="10"/>
        <rFont val="Arial"/>
        <family val="2"/>
      </rPr>
      <t xml:space="preserve"> </t>
    </r>
  </si>
  <si>
    <t>ICD-10-WHO (Backup)</t>
  </si>
  <si>
    <t>patient.name.family</t>
  </si>
  <si>
    <t>Date of birth (DOB)</t>
  </si>
  <si>
    <t>dob_entered</t>
  </si>
  <si>
    <t>Woman's DOB.</t>
  </si>
  <si>
    <t>Date</t>
  </si>
  <si>
    <t>Must be 10-49, inclusive.</t>
  </si>
  <si>
    <t>Either DOB or unknown checkbox is required, but not both.</t>
  </si>
  <si>
    <t>SNOMED-CT (Backup)</t>
  </si>
  <si>
    <t>birthdate</t>
  </si>
  <si>
    <t>Patient.birthDate</t>
  </si>
  <si>
    <t>DOB unknown</t>
  </si>
  <si>
    <t>LOINC (Backup)</t>
  </si>
  <si>
    <t>Total</t>
  </si>
  <si>
    <t>[DOB unknown checkbox - in line with DOB field with label: "Unknown"]</t>
  </si>
  <si>
    <t>dob_unknown</t>
  </si>
  <si>
    <t>Check this box if the woman's DOB is unknown or cannot be estimated.</t>
  </si>
  <si>
    <t>Completed</t>
  </si>
  <si>
    <t>Checkbox</t>
  </si>
  <si>
    <t>Open</t>
  </si>
  <si>
    <t>Extension Needed</t>
  </si>
  <si>
    <t>--</t>
  </si>
  <si>
    <t>Age (Calculated)</t>
  </si>
  <si>
    <t>age_calculated</t>
  </si>
  <si>
    <t>Age in years calculated from DOB.</t>
  </si>
  <si>
    <t>({today} - {dob}) / 365.25</t>
  </si>
  <si>
    <t>Age Note</t>
  </si>
  <si>
    <t>{age} years [In line with {dob} field]</t>
  </si>
  <si>
    <t>Note displaying the woman's age in years.</t>
  </si>
  <si>
    <t>Note</t>
  </si>
  <si>
    <t>Age</t>
  </si>
  <si>
    <t>age_entered</t>
  </si>
  <si>
    <t>If DOB is unknown, enter the woman's age.</t>
  </si>
  <si>
    <t>Integer</t>
  </si>
  <si>
    <t>Required if DOB unknown checkbox is checked.</t>
  </si>
  <si>
    <t>age</t>
  </si>
  <si>
    <t>Estimated DOB from age</t>
  </si>
  <si>
    <t>[DOB estimated from age]</t>
  </si>
  <si>
    <t>dob_calculated</t>
  </si>
  <si>
    <t>Estimated DOB is calculated from age. This does not have to be displayed back to the user in the app, but is required for OpenMRS submission.</t>
  </si>
  <si>
    <t>Current year - {age_entered}. Use January 1st as birthdate.</t>
  </si>
  <si>
    <t>Flag - Estimated DOB from age</t>
  </si>
  <si>
    <t>[DOB estimated checkbox in OpenMRS]</t>
  </si>
  <si>
    <t>If DOB is estimated, then in OpenMRS, check the checkbox for estimated DOB.</t>
  </si>
  <si>
    <t>This should check the DOB estimated checkbox in OpenMRS</t>
  </si>
  <si>
    <t>Input Option</t>
  </si>
  <si>
    <t>Auto-calculated DOB</t>
  </si>
  <si>
    <t>dob</t>
  </si>
  <si>
    <t>Auto-calculated field for DOB to make calculations easier.</t>
  </si>
  <si>
    <t>if({dob_entered} = '', {dob_calculated}, {dob_entered})</t>
  </si>
  <si>
    <t>Auto-calculated age</t>
  </si>
  <si>
    <t>Auto-calculated field for age to make calculations easier.</t>
  </si>
  <si>
    <t>if({dob_entered} = '', {age_entered}, {age_calculated})</t>
  </si>
  <si>
    <t>Home address</t>
  </si>
  <si>
    <t>home_address</t>
  </si>
  <si>
    <t>The woman's home address.</t>
  </si>
  <si>
    <t>Also unknown</t>
  </si>
  <si>
    <t>person_address</t>
  </si>
  <si>
    <t>address2</t>
  </si>
  <si>
    <t>Mobile phone number</t>
  </si>
  <si>
    <t>phone_number</t>
  </si>
  <si>
    <t>The woman's mobile phone number.</t>
  </si>
  <si>
    <t>Concept - Contact phone number</t>
  </si>
  <si>
    <t>159635AAAAAAAAAAAAAAAAAAAAAAAAAAAAAA</t>
  </si>
  <si>
    <t>Woman wants to receive reminders during pregnancy</t>
  </si>
  <si>
    <t>reminders</t>
  </si>
  <si>
    <t>Whether or not the woman wants to receive SMS or other messages regarding her ANC contacts and health status during pregnancy.</t>
  </si>
  <si>
    <t>MC (select one)</t>
  </si>
  <si>
    <t>N/A</t>
  </si>
  <si>
    <t>Concept - Willing to receive text messages</t>
  </si>
  <si>
    <t>163164AAAAAAAAAAAAAAAAAAAAAAAAAAAAAA</t>
  </si>
  <si>
    <t>Concept - Yes</t>
  </si>
  <si>
    <t>1065AAAAAAAAAAAAAAAAAAAAAAAAAAAAAAAA</t>
  </si>
  <si>
    <t>No</t>
  </si>
  <si>
    <t>Concept - No</t>
  </si>
  <si>
    <t>1066AAAAAAAAAAAAAAAAAAAAAAAAAAAAAAAA</t>
  </si>
  <si>
    <t xml:space="preserve">Alternate contact name </t>
  </si>
  <si>
    <t>alt_name</t>
  </si>
  <si>
    <t>Name of an alternate contact for the woman (e.g. partner, husband, mother, etc).</t>
  </si>
  <si>
    <t>Name of contact person - 163258AAAAAAAAAAAAAAAAAAAAAAAAAAAAAA</t>
  </si>
  <si>
    <t>Concept - Name of contact person</t>
  </si>
  <si>
    <t>163258AAAAAAAAAAAAAAAAAAAAAAAAAAAAAA</t>
  </si>
  <si>
    <t>Alternate contact phone number</t>
  </si>
  <si>
    <t>alt_phone_number</t>
  </si>
  <si>
    <t>Phone number of the alternate contact.</t>
  </si>
  <si>
    <t>Reason for coming to facility</t>
  </si>
  <si>
    <t>2. Rapid Assessment and Managem</t>
  </si>
  <si>
    <t>contact_reason</t>
  </si>
  <si>
    <t>Records the reason why the woman came to the health facility today.</t>
  </si>
  <si>
    <t>Concept - Reason for appointment/visit</t>
  </si>
  <si>
    <t>160288AAAAAAAAAAAAAAAAAAAAAAAAAAAAAA</t>
  </si>
  <si>
    <t>First contact</t>
  </si>
  <si>
    <t>Concept - Initial visit</t>
  </si>
  <si>
    <t>165269AAAAAAAAAAAAAAAAAAAAAAAAAAAAAA</t>
  </si>
  <si>
    <t>Scheduled contact</t>
  </si>
  <si>
    <t>Concept - SCHEDULED VISIT</t>
  </si>
  <si>
    <t>1246AAAAAAAAAAAAAAAAAAAAAAAAAAAAAAAA</t>
  </si>
  <si>
    <t>Specific complaint</t>
  </si>
  <si>
    <t>Concept - CHIEF COMPLAINT</t>
  </si>
  <si>
    <t>5219AAAAAAAAAAAAAAAAAAAAAAAAAAAAAAAA</t>
  </si>
  <si>
    <t>Specific complaint(s)</t>
  </si>
  <si>
    <t>specific_complaint</t>
  </si>
  <si>
    <t>If the woman came to the facility with a specific complaint, select the complaint(s) from the list.</t>
  </si>
  <si>
    <t>MC (select multiple)</t>
  </si>
  <si>
    <t>Abnormal vaginal discharge</t>
  </si>
  <si>
    <t>Concept - Vaginal Discharge Problem</t>
  </si>
  <si>
    <t>123395AAAAAAAAAAAAAAAAAAAAAAAAAAAAAA</t>
  </si>
  <si>
    <t>Jaundice</t>
  </si>
  <si>
    <t>Concept - Jaundice</t>
  </si>
  <si>
    <t>136443AAAAAAAAAAAAAAAAAAAAAAAAAAAAAA</t>
  </si>
  <si>
    <t>Changes in blood pressure</t>
  </si>
  <si>
    <t>R68.8</t>
  </si>
  <si>
    <t>Concept - Alteration in blood pressure</t>
  </si>
  <si>
    <t>155052AAAAAAAAAAAAAAAAAAAAAAAAAAAAAA</t>
  </si>
  <si>
    <t>Constipation</t>
  </si>
  <si>
    <t xml:space="preserve">       Yes</t>
  </si>
  <si>
    <t>K59.0</t>
  </si>
  <si>
    <t>Concept - CONSTIPATION</t>
  </si>
  <si>
    <t>996AAAAAAAAAAAAAAAAAAAAAAAAAAAAAAAAA</t>
  </si>
  <si>
    <t>Contractions</t>
  </si>
  <si>
    <t xml:space="preserve">       No</t>
  </si>
  <si>
    <t>Concept - Uterine contraction</t>
  </si>
  <si>
    <t>163750AAAAAAAAAAAAAAAAAAAAAAAAAAAAAA</t>
  </si>
  <si>
    <t>Cough</t>
  </si>
  <si>
    <t>R05</t>
  </si>
  <si>
    <t>Concept - Cough</t>
  </si>
  <si>
    <t>143264AAAAAAAAAAAAAAAAAAAAAAAAAAAAAA</t>
  </si>
  <si>
    <t>Depression</t>
  </si>
  <si>
    <t>F32.9</t>
  </si>
  <si>
    <t>Concept - Depression</t>
  </si>
  <si>
    <t>119537AAAAAAAAAAAAAAAAAAAAAAAAAAAAAA</t>
  </si>
  <si>
    <t>Anxiety</t>
  </si>
  <si>
    <t>F41.9</t>
  </si>
  <si>
    <t>Concept - Anxiety</t>
  </si>
  <si>
    <t>121543AAAAAAAAAAAAAAAAAAAAAAAAAAAAAA</t>
  </si>
  <si>
    <t>Dizziness</t>
  </si>
  <si>
    <t>R42</t>
  </si>
  <si>
    <t>Concept - dizzy spells</t>
  </si>
  <si>
    <t>156046AAAAAAAAAAAAAAAAAAAAAAAAAAAAAA</t>
  </si>
  <si>
    <t>Domestic violence</t>
  </si>
  <si>
    <t>T74.1</t>
  </si>
  <si>
    <t>Concept - Domestic Violence</t>
  </si>
  <si>
    <t>141814AAAAAAAAAAAAAAAAAAAAAAAAAAAAAA</t>
  </si>
  <si>
    <t>Extreme pelvic pain - can't walk (symphysis pubis dysfunction)</t>
  </si>
  <si>
    <t>Concept - Severe pelvic pain</t>
  </si>
  <si>
    <t>165270AAAAAAAAAAAAAAAAAAAAAAAAAAAAAA</t>
  </si>
  <si>
    <t>Fever</t>
  </si>
  <si>
    <t xml:space="preserve">       First contact</t>
  </si>
  <si>
    <t>R50.9</t>
  </si>
  <si>
    <t>Concept - Fever</t>
  </si>
  <si>
    <t>140238AAAAAAAAAAAAAAAAAAAAAAAAAAAAAA</t>
  </si>
  <si>
    <t>Full abdominal pain</t>
  </si>
  <si>
    <t>R10.4</t>
  </si>
  <si>
    <t>Concept - Generalised abdominal pain</t>
  </si>
  <si>
    <t>139547AAAAAAAAAAAAAAAAAAAAAAAAAAAAAA</t>
  </si>
  <si>
    <t xml:space="preserve">       Scheduled contact</t>
  </si>
  <si>
    <t>Flu symptoms</t>
  </si>
  <si>
    <t>Concept - Influenza-Like Symptoms</t>
  </si>
  <si>
    <t>137162AAAAAAAAAAAAAAAAAAAAAAAAAAAAAA</t>
  </si>
  <si>
    <t>Fluid loss</t>
  </si>
  <si>
    <t xml:space="preserve">       Specific complaint</t>
  </si>
  <si>
    <t>Concept - Amniotic fluid leaking</t>
  </si>
  <si>
    <t>148968AAAAAAAAAAAAAAAAAAAAAAAAAAAAAA</t>
  </si>
  <si>
    <t>Headache</t>
  </si>
  <si>
    <t>R51</t>
  </si>
  <si>
    <t>Concept - Headache</t>
  </si>
  <si>
    <t>139084AAAAAAAAAAAAAAAAAAAAAAAAAAAAAA</t>
  </si>
  <si>
    <t>Heartburn</t>
  </si>
  <si>
    <t>R12</t>
  </si>
  <si>
    <t xml:space="preserve">       Abnormal vaginal discharge</t>
  </si>
  <si>
    <t>Concept - Heartburn</t>
  </si>
  <si>
    <t>139059AAAAAAAAAAAAAAAAAAAAAAAAAAAAAA</t>
  </si>
  <si>
    <t>Leg cramps</t>
  </si>
  <si>
    <t xml:space="preserve">       Jaundice</t>
  </si>
  <si>
    <t>R25.2</t>
  </si>
  <si>
    <t>Concept - Leg cramp</t>
  </si>
  <si>
    <t>135969AAAAAAAAAAAAAAAAAAAAAAAAAAAAAA</t>
  </si>
  <si>
    <t>Leg pain</t>
  </si>
  <si>
    <t xml:space="preserve">       Changes in blood pressure</t>
  </si>
  <si>
    <t>M79.6</t>
  </si>
  <si>
    <t>Concept - Leg Pain</t>
  </si>
  <si>
    <t>114395AAAAAAAAAAAAAAAAAAAAAAAAAAAAAA</t>
  </si>
  <si>
    <t>Leg redness</t>
  </si>
  <si>
    <t>Concept - Leg redness</t>
  </si>
  <si>
    <t>165215AAAAAAAAAAAAAAAAAAAAAAAAAAAAAA</t>
  </si>
  <si>
    <t>Low back pain</t>
  </si>
  <si>
    <t xml:space="preserve">       Constipation</t>
  </si>
  <si>
    <t>M54.5</t>
  </si>
  <si>
    <t>Concept - Low back pain</t>
  </si>
  <si>
    <t>116225AAAAAAAAAAAAAAAAAAAAAAAAAAAAAA</t>
  </si>
  <si>
    <t>Pelvic pain</t>
  </si>
  <si>
    <t>R10.2</t>
  </si>
  <si>
    <t xml:space="preserve">       Contractions</t>
  </si>
  <si>
    <t>Concept - Pain in pelvis</t>
  </si>
  <si>
    <t>131034AAAAAAAAAAAAAAAAAAAAAAAAAAAAAA</t>
  </si>
  <si>
    <t>Nausea / vomiting / diarrhea</t>
  </si>
  <si>
    <t>R11</t>
  </si>
  <si>
    <t xml:space="preserve">       Cough</t>
  </si>
  <si>
    <t>Concept - nausea, vomiting and diarrhea</t>
  </si>
  <si>
    <t>157892AAAAAAAAAAAAAAAAAAAAAAAAAAAAAA</t>
  </si>
  <si>
    <t>No fetal movement</t>
  </si>
  <si>
    <t>O36.8</t>
  </si>
  <si>
    <t xml:space="preserve">       Depression</t>
  </si>
  <si>
    <t>Concept - No fetal movements</t>
  </si>
  <si>
    <t>1452AAAAAAAAAAAAAAAAAAAAAAAAAAAAAAAA</t>
  </si>
  <si>
    <t>Oedema</t>
  </si>
  <si>
    <t xml:space="preserve">       Anxiety</t>
  </si>
  <si>
    <t>R60.9</t>
  </si>
  <si>
    <t>Concept - Oedema</t>
  </si>
  <si>
    <t>460AAAAAAAAAAAAAAAAAAAAAAAAAAAAAAAAA</t>
  </si>
  <si>
    <t>Other bleeding</t>
  </si>
  <si>
    <t>R58</t>
  </si>
  <si>
    <t xml:space="preserve">       Dizziness</t>
  </si>
  <si>
    <t>Concept - Bleeding</t>
  </si>
  <si>
    <t>147241AAAAAAAAAAAAAAAAAAAAAAAAAAAAAA</t>
  </si>
  <si>
    <t>Other pain</t>
  </si>
  <si>
    <t>R52.9</t>
  </si>
  <si>
    <t>Concept - Pain</t>
  </si>
  <si>
    <t>114403AAAAAAAAAAAAAAAAAAAAAAAAAAAAAA</t>
  </si>
  <si>
    <t>Other psychological symptoms</t>
  </si>
  <si>
    <t>F99</t>
  </si>
  <si>
    <t xml:space="preserve">       Domestic violence</t>
  </si>
  <si>
    <t>Concept - Psychological problem, other                                  </t>
  </si>
  <si>
    <t>160198AAAAAAAAAAAAAAAAAAAAAAAAAAAAAA</t>
  </si>
  <si>
    <t>Other skin disorder</t>
  </si>
  <si>
    <t xml:space="preserve">       Extreme pelvic pain - can't walk (symphysis pubis dysfunction)</t>
  </si>
  <si>
    <t>L98.9</t>
  </si>
  <si>
    <t>Concept - Skin disorder</t>
  </si>
  <si>
    <t>119022AAAAAAAAAAAAAAAAAAAAAAAAAAAAAA</t>
  </si>
  <si>
    <t>Other types of violence</t>
  </si>
  <si>
    <t>R45.6</t>
  </si>
  <si>
    <t>Concept - Physical violence</t>
  </si>
  <si>
    <t xml:space="preserve">       Fever</t>
  </si>
  <si>
    <t>158358AAAAAAAAAAAAAAAAAAAAAAAAAAAAAA</t>
  </si>
  <si>
    <t>Pain during urination (dysuria)</t>
  </si>
  <si>
    <t>R30.9</t>
  </si>
  <si>
    <t>Concept - Dysuria</t>
  </si>
  <si>
    <t>118771AAAAAAAAAAAAAAAAAAAAAAAAAAAAAA</t>
  </si>
  <si>
    <t>Pruritus</t>
  </si>
  <si>
    <t>L29.9</t>
  </si>
  <si>
    <t xml:space="preserve">       Full abdominal pain</t>
  </si>
  <si>
    <t>Concept - Pruritus</t>
  </si>
  <si>
    <t>879AAAAAAAAAAAAAAAAAAAAAAAAAAAAAAAAA</t>
  </si>
  <si>
    <t>Reduced or poor fetal movement</t>
  </si>
  <si>
    <t>Concept - Decreased fetal movements</t>
  </si>
  <si>
    <t>113377AAAAAAAAAAAAAAAAAAAAAAAAAAAAAA</t>
  </si>
  <si>
    <t>Shortness of breath</t>
  </si>
  <si>
    <t xml:space="preserve">       Flu symptoms</t>
  </si>
  <si>
    <t>R06.0</t>
  </si>
  <si>
    <t>Concept - Shortness of breath</t>
  </si>
  <si>
    <t>141600AAAAAAAAAAAAAAAAAAAAAAAAAAAAAA</t>
  </si>
  <si>
    <t>Tiredness</t>
  </si>
  <si>
    <t>R53</t>
  </si>
  <si>
    <t xml:space="preserve">       Fluid loss</t>
  </si>
  <si>
    <t>Concept - Tired</t>
  </si>
  <si>
    <t>124628AAAAAAAAAAAAAAAAAAAAAAAAAAAAAA</t>
  </si>
  <si>
    <t>Trauma</t>
  </si>
  <si>
    <t>T14.9</t>
  </si>
  <si>
    <t xml:space="preserve">       Headache</t>
  </si>
  <si>
    <t>Concept - Traumatic injury</t>
  </si>
  <si>
    <t>124193AAAAAAAAAAAAAAAAAAAAAAAAAAAAAA</t>
  </si>
  <si>
    <t>Vaginal bleeding</t>
  </si>
  <si>
    <t>N89.8</t>
  </si>
  <si>
    <t xml:space="preserve">Concept - Vaginal bleeding </t>
  </si>
  <si>
    <t>147232AAAAAAAAAAAAAAAAAAAAAAAAAAAAAA</t>
  </si>
  <si>
    <t>Visual disturbance</t>
  </si>
  <si>
    <t xml:space="preserve">       Heartburn</t>
  </si>
  <si>
    <t>H53.9</t>
  </si>
  <si>
    <t>Concept - Visual disturbance</t>
  </si>
  <si>
    <t>123074AAAAAAAAAAAAAAAAAAAAAAAAAAAAAA</t>
  </si>
  <si>
    <t>Other (specify)</t>
  </si>
  <si>
    <t>Concept - Other</t>
  </si>
  <si>
    <t>5622AAAAAAAAAAAAAAAAAAAAAAAAAAAAAAAA</t>
  </si>
  <si>
    <t>Specific complaint(s) - Specify</t>
  </si>
  <si>
    <t>Specify</t>
  </si>
  <si>
    <t>specific_complaint_other</t>
  </si>
  <si>
    <t xml:space="preserve">       Leg cramps</t>
  </si>
  <si>
    <t>Write in the other complaint not included in the list.</t>
  </si>
  <si>
    <t>48767-8</t>
  </si>
  <si>
    <t>CHIEF COMPLAINT - 5219AAAAAAAAAAAAAAAAAAAAAAAAAAAAAAAA</t>
  </si>
  <si>
    <t>Concept - Free text general</t>
  </si>
  <si>
    <t>160632AAAAAAAAAAAAAAAAAAAAAAAAAAAAAA</t>
  </si>
  <si>
    <t>Danger signs</t>
  </si>
  <si>
    <t>danger_signs</t>
  </si>
  <si>
    <t>Before each contact, the health worker should check whether the woman has any of the danger signs listed here. If yes, she should refer to the hospital urgently. If no, she should continue to the normal contact.</t>
  </si>
  <si>
    <t xml:space="preserve">       Leg pain</t>
  </si>
  <si>
    <t>Concept - Presence of emergency danger sign(s)</t>
  </si>
  <si>
    <t>160939AAAAAAAAAAAAAAAAAAAAAAAAAAAAAA</t>
  </si>
  <si>
    <t>None</t>
  </si>
  <si>
    <t>Concept - None</t>
  </si>
  <si>
    <t>1107AAAAAAAAAAAAAAAAAAAAAAAAAAAAAAAA</t>
  </si>
  <si>
    <t>Bleeding vaginally</t>
  </si>
  <si>
    <t xml:space="preserve">       Leg redness</t>
  </si>
  <si>
    <t>N93.9</t>
  </si>
  <si>
    <t>Concept - Abnormal vaginal bleeding</t>
  </si>
  <si>
    <t>150802AAAAAAAAAAAAAAAAAAAAAAAAAAAAAA</t>
  </si>
  <si>
    <t>Central cyanosis</t>
  </si>
  <si>
    <t>Concept - Central cyanosis</t>
  </si>
  <si>
    <t>165216AAAAAAAAAAAAAAAAAAAAAAAAAAAAAA</t>
  </si>
  <si>
    <t xml:space="preserve">       Low back pain</t>
  </si>
  <si>
    <t>Convulsing</t>
  </si>
  <si>
    <t>Concept - Currently convulsing</t>
  </si>
  <si>
    <t>164483AAAAAAAAAAAAAAAAAAAAAAAAAAAAAA</t>
  </si>
  <si>
    <t xml:space="preserve">       Pelvic pain</t>
  </si>
  <si>
    <t>Severe headache</t>
  </si>
  <si>
    <t xml:space="preserve">       Nausea / vomiting / diarrhea</t>
  </si>
  <si>
    <t>Concept - Severe headache</t>
  </si>
  <si>
    <t>139081AAAAAAAAAAAAAAAAAAAAAAAAAAAAAA</t>
  </si>
  <si>
    <t>Imminent delivery</t>
  </si>
  <si>
    <t xml:space="preserve">       No fetal movement</t>
  </si>
  <si>
    <t>Z37.9</t>
  </si>
  <si>
    <t>Concept - Normal delivery imminent</t>
  </si>
  <si>
    <t>162818AAAAAAAAAAAAAAAAAAAAAAAAAAAAAA</t>
  </si>
  <si>
    <t>Labour</t>
  </si>
  <si>
    <t xml:space="preserve">       Oedema</t>
  </si>
  <si>
    <t>Concept - LABOR PAIN</t>
  </si>
  <si>
    <t>145AAAAAAAAAAAAAAAAAAAAAAAAAAAAAAAAA</t>
  </si>
  <si>
    <t>Looks very ill</t>
  </si>
  <si>
    <t>Concept - Unwell appearing</t>
  </si>
  <si>
    <t>163293AAAAAAAAAAAAAAAAAAAAAAAAAAAAAA</t>
  </si>
  <si>
    <t>Severe vomiting</t>
  </si>
  <si>
    <t xml:space="preserve">       Other bleeding</t>
  </si>
  <si>
    <t>O21.9</t>
  </si>
  <si>
    <t>Concept - Excessive Vomiting in Pregnancy</t>
  </si>
  <si>
    <t>118477AAAAAAAAAAAAAAAAAAAAAAAAAAAAAA</t>
  </si>
  <si>
    <t>Severe pain</t>
  </si>
  <si>
    <t xml:space="preserve">       Other pain</t>
  </si>
  <si>
    <t>Concept - Severe pain</t>
  </si>
  <si>
    <t>163477AAAAAAAAAAAAAAAAAAAAAAAAAAAAAA</t>
  </si>
  <si>
    <t>Severe abdominal pain</t>
  </si>
  <si>
    <t>Concept - Severe abdominal pain</t>
  </si>
  <si>
    <t>165271AAAAAAAAAAAAAAAAAAAAAAAAAAAAAA</t>
  </si>
  <si>
    <t>Unconscious</t>
  </si>
  <si>
    <t xml:space="preserve">       Other psychological symptoms</t>
  </si>
  <si>
    <t>R40.2</t>
  </si>
  <si>
    <t>Concept - Unconscious</t>
  </si>
  <si>
    <t>123818AAAAAAAAAAAAAAAAAAAAAAAAAAAAAA</t>
  </si>
  <si>
    <t xml:space="preserve">Danger sign! How to proceed? </t>
  </si>
  <si>
    <t>danger_signs_proceed</t>
  </si>
  <si>
    <t>If a danger sign is selected, choose whether to close the contact immediately and refer the woman to the hospital or proceed to the normal, full ANC contact.</t>
  </si>
  <si>
    <t>Presence of emergency danger sign(s) - 160939AAAAAAAAAAAAAAAAAAAAAAAAAAAAAA</t>
  </si>
  <si>
    <t>Concept - Referral priority</t>
  </si>
  <si>
    <t>1885AAAAAAAAAAAAAAAAAAAAAAAAAAAAAAAA</t>
  </si>
  <si>
    <t>Refer and close contact</t>
  </si>
  <si>
    <t xml:space="preserve">       Other skin disorder</t>
  </si>
  <si>
    <t>Concept - Urgent</t>
  </si>
  <si>
    <t>1883AAAAAAAAAAAAAAAAAAAAAAAAAAAAAAAA</t>
  </si>
  <si>
    <t>Proceed to normal contact</t>
  </si>
  <si>
    <t>Concept - When convenient</t>
  </si>
  <si>
    <t>1884AAAAAAAAAAAAAAAAAAAAAAAAAAAAAAAA</t>
  </si>
  <si>
    <t>Any treatment given before referral?</t>
  </si>
  <si>
    <t>danger_signs_treat</t>
  </si>
  <si>
    <t>If woman was referred, was any treatment provided before referral?</t>
  </si>
  <si>
    <t xml:space="preserve">       Other types of violence</t>
  </si>
  <si>
    <t>Concept - Treatment provided before patient was referred</t>
  </si>
  <si>
    <t>165218AAAAAAAAAAAAAAAAAAAAAAAAAAAAAA</t>
  </si>
  <si>
    <t xml:space="preserve">       Pain during urination (dysuria)</t>
  </si>
  <si>
    <t>Highest level of school</t>
  </si>
  <si>
    <t>Demographic Info</t>
  </si>
  <si>
    <t>Profile</t>
  </si>
  <si>
    <t>educ_level</t>
  </si>
  <si>
    <t>The highest level of school the woman has reached.</t>
  </si>
  <si>
    <t>Concept - HIGHEST EDUCATION LEVEL</t>
  </si>
  <si>
    <t>1712AAAAAAAAAAAAAAAAAAAAAAAAAAAAAAAA</t>
  </si>
  <si>
    <t xml:space="preserve">       Pruritus</t>
  </si>
  <si>
    <t>Don't know</t>
  </si>
  <si>
    <t>Concept - Unknown</t>
  </si>
  <si>
    <t xml:space="preserve">       Reduced or poor fetal movement</t>
  </si>
  <si>
    <t>1067AAAAAAAAAAAAAAAAAAAAAAAAAAAAAAAA</t>
  </si>
  <si>
    <t>Primary</t>
  </si>
  <si>
    <t>Concept - Primary School Education</t>
  </si>
  <si>
    <t>1713AAAAAAAAAAAAAAAAAAAAAAAAAAAAAAAA</t>
  </si>
  <si>
    <t>Secondary</t>
  </si>
  <si>
    <t xml:space="preserve">       Shortness of breath</t>
  </si>
  <si>
    <t>Concept - Secondary School Education</t>
  </si>
  <si>
    <t>1714AAAAAAAAAAAAAAAAAAAAAAAAAAAAAAAA</t>
  </si>
  <si>
    <t>Higher</t>
  </si>
  <si>
    <t xml:space="preserve">       Tiredness</t>
  </si>
  <si>
    <t>SNOMED-NP: 365460000</t>
  </si>
  <si>
    <t>Concept - Tertiary education complete</t>
  </si>
  <si>
    <t>160292AAAAAAAAAAAAAAAAAAAAAAAAAAAAAA</t>
  </si>
  <si>
    <t>Occupation</t>
  </si>
  <si>
    <t>occupation</t>
  </si>
  <si>
    <t>The woman's occupation (select all that apply).</t>
  </si>
  <si>
    <t>Concept - Occupation</t>
  </si>
  <si>
    <t xml:space="preserve">       Trauma</t>
  </si>
  <si>
    <t>1542AAAAAAAAAAAAAAAAAAAAAAAAAAAAAAAA</t>
  </si>
  <si>
    <t>Student</t>
  </si>
  <si>
    <t xml:space="preserve">       Vaginal bleeding</t>
  </si>
  <si>
    <t>Concept - Student</t>
  </si>
  <si>
    <t>159465AAAAAAAAAAAAAAAAAAAAAAAAAAAAAA</t>
  </si>
  <si>
    <t>Unemployed</t>
  </si>
  <si>
    <t>Z56.0</t>
  </si>
  <si>
    <t>Concept - Unemployed</t>
  </si>
  <si>
    <t>123801AAAAAAAAAAAAAAAAAAAAAAAAAAAAAA</t>
  </si>
  <si>
    <t>Formal employment</t>
  </si>
  <si>
    <t xml:space="preserve">       Visual disturbance</t>
  </si>
  <si>
    <t>Concept - Formal employment</t>
  </si>
  <si>
    <t>165219AAAAAAAAAAAAAAAAAAAAAAAAAAAAAA</t>
  </si>
  <si>
    <t>Informal employment (sex worker)</t>
  </si>
  <si>
    <t xml:space="preserve">       Other (specify)</t>
  </si>
  <si>
    <t>Concept - Sex worker</t>
  </si>
  <si>
    <t>160579AAAAAAAAAAAAAAAAAAAAAAAAAAAAAA</t>
  </si>
  <si>
    <t>Informal employment (other)</t>
  </si>
  <si>
    <t>Concept - Casual Labour</t>
  </si>
  <si>
    <t>159613AAAAAAAAAAAAAAAAAAAAAAAAAAAAAA</t>
  </si>
  <si>
    <t>SNOMED-NP 74964007</t>
  </si>
  <si>
    <t>Occupation - Specify</t>
  </si>
  <si>
    <t>occupation_other</t>
  </si>
  <si>
    <t>Write in the woman's other occupation that is not on the list.</t>
  </si>
  <si>
    <t>Occupation - 1542AAAAAAAAAAAAAAAAAAAAAAAAAAAAAAAA</t>
  </si>
  <si>
    <t>LMP known</t>
  </si>
  <si>
    <t>Current Pregnancy</t>
  </si>
  <si>
    <t>LMP known?</t>
  </si>
  <si>
    <t>lmp_known</t>
  </si>
  <si>
    <t>Whether woman's LMP date is known or not.</t>
  </si>
  <si>
    <t>Concept - Date of last menstrual period unknown</t>
  </si>
  <si>
    <t>165258AAAAAAAAAAAAAAAAAAAAAAAAAAAAAA</t>
  </si>
  <si>
    <t xml:space="preserve">       None</t>
  </si>
  <si>
    <t xml:space="preserve">       Bleeding vaginally</t>
  </si>
  <si>
    <t>Specify date</t>
  </si>
  <si>
    <t>lmp</t>
  </si>
  <si>
    <t>The woman's Last Menstrual Period (LMP) date. This is defined as the first day of her most recent period.</t>
  </si>
  <si>
    <t>&lt;= {today} and can't be an LMP that makes the woman more than 40 weeks GA (i.e. &lt;= 40 weeks GA).</t>
  </si>
  <si>
    <t>Concept - Date of last menstrual period</t>
  </si>
  <si>
    <t>1427AAAAAAAAAAAAAAAAAAAAAAAAAAAAAAAA</t>
  </si>
  <si>
    <t>Expected Date of Delivery - Calculated</t>
  </si>
  <si>
    <t>lmp_edd</t>
  </si>
  <si>
    <t>Expected Date of Delivery (EDD) calculated from LMP.</t>
  </si>
  <si>
    <t>{lmp} + 280 days</t>
  </si>
  <si>
    <t xml:space="preserve">       Central cyanosis</t>
  </si>
  <si>
    <t>Gestational age - Calculated from LMP</t>
  </si>
  <si>
    <t>lmp_gest_age</t>
  </si>
  <si>
    <t>Gestational age (GA) calculated from LMP.</t>
  </si>
  <si>
    <t>(today's date - {lmp}) / 7, shown in weeks and days</t>
  </si>
  <si>
    <t xml:space="preserve">       Convulsing</t>
  </si>
  <si>
    <t>Ultrasound done?</t>
  </si>
  <si>
    <t>ultrasound_done</t>
  </si>
  <si>
    <t>Whether or not the woman has had an ultrasound scan done at any point in this pregnancy.</t>
  </si>
  <si>
    <t>Concept - Obstetric ultrasound done during pregnancy</t>
  </si>
  <si>
    <t>159617AAAAAAAAAAAAAAAAAAAAAAAAAAAAAA</t>
  </si>
  <si>
    <t>Ultrasound date</t>
  </si>
  <si>
    <t xml:space="preserve">       Severe headache</t>
  </si>
  <si>
    <t>ultrasound_date</t>
  </si>
  <si>
    <t>Date that the ultrasound was done.</t>
  </si>
  <si>
    <t>&lt;= {today} AND ultrasound date can't be more than 9 months ago)</t>
  </si>
  <si>
    <t>SNOMED-NP 439272007</t>
  </si>
  <si>
    <t>Concept - Date of last obstetric ultrasound</t>
  </si>
  <si>
    <t>163165AAAAAAAAAAAAAAAAAAAAAAAAAAAAAA</t>
  </si>
  <si>
    <t>GA from ultrasound - weeks</t>
  </si>
  <si>
    <t>ultrasound_gest_age_wks</t>
  </si>
  <si>
    <t>Gestational age in weeks from ultrasound.</t>
  </si>
  <si>
    <t>&gt;= 4 AND &lt;= 40</t>
  </si>
  <si>
    <t>GA from ultrasound - days</t>
  </si>
  <si>
    <t>GA from ultrasound - days (Profile)</t>
  </si>
  <si>
    <t>ultrasound_gest_age_days</t>
  </si>
  <si>
    <t>Gestational age in days from ultrasound.</t>
  </si>
  <si>
    <t>&gt;= 1 and &lt;= 6</t>
  </si>
  <si>
    <t>Gestational age - Calculated from OpenMRS Mapping Field</t>
  </si>
  <si>
    <t>ultrasound_gest_age_concept</t>
  </si>
  <si>
    <t>Gestational age (in weeks) calculation used for OpenMRS concept mapping. Decimal field.</t>
  </si>
  <si>
    <t>({ultrasound_gest_age_wks} * 7 + {ultrasound_gest_age_days}) / 7</t>
  </si>
  <si>
    <t xml:space="preserve">       Imminent delivery</t>
  </si>
  <si>
    <t>Concept - Gestational age in weeks from ultrasound</t>
  </si>
  <si>
    <t>165220AAAAAAAAAAAAAAAAAAAAAAAAAAAAAA</t>
  </si>
  <si>
    <t>EDD - Calculated from ultrasound</t>
  </si>
  <si>
    <t>ultrasound_edd</t>
  </si>
  <si>
    <t>EDD calculated from ultrasound results.</t>
  </si>
  <si>
    <t>{ultrasound_date} + (280 - ({ultrasound_gest_age_wks} * 7 + {ultrasound_gest_age_days})</t>
  </si>
  <si>
    <t xml:space="preserve">       Labour</t>
  </si>
  <si>
    <t>Gestational age - Calculated from Ultrasound</t>
  </si>
  <si>
    <t>ultrasound_gest_age</t>
  </si>
  <si>
    <t>Woman's gestational age today calculated field using ultrasound GA and ultrasound date.</t>
  </si>
  <si>
    <t>280 - ({ultrasound_edd} - {today})</t>
  </si>
  <si>
    <t>GA from SFH or palpation - wks</t>
  </si>
  <si>
    <t xml:space="preserve">       Looks very ill</t>
  </si>
  <si>
    <t>sfh_gest_age</t>
  </si>
  <si>
    <t>If LMP is unknown and either ultrasound wasn't done or it wasn't done early enough, then show the option for health worker to enter GA in weeks based on Symphysis Fundal Height (SFH) or abdominal palpation.</t>
  </si>
  <si>
    <t>Concept - FUNDAL HEIGHT</t>
  </si>
  <si>
    <t>1439AAAAAAAAAAAAAAAAAAAAAAAAAAAAAAAA</t>
  </si>
  <si>
    <t>Edd - Calculated from SFH GA</t>
  </si>
  <si>
    <t>sfh_edd</t>
  </si>
  <si>
    <t>EDD calculated from SFH GA.</t>
  </si>
  <si>
    <t>{today} + (280 - {sfh_gest_age} * 7)</t>
  </si>
  <si>
    <t xml:space="preserve">       Severe vomiting</t>
  </si>
  <si>
    <t>Select preferred gestational age:</t>
  </si>
  <si>
    <t>select_gest_age_edd</t>
  </si>
  <si>
    <t>If GA and EDD are calculated from different methods (LMP, ultrasound, SFH/abdominal palpation), then the health worker should select which to use.</t>
  </si>
  <si>
    <t>Select preferred gestational age: (Profile)</t>
  </si>
  <si>
    <t>SNOMED-NP 57036006</t>
  </si>
  <si>
    <t>Concept - Method of gestational age determination</t>
  </si>
  <si>
    <t>160697AAAAAAAAAAAAAAAAAAAAAAAAAAAAAA</t>
  </si>
  <si>
    <t>Using LMP
GA: {lmp_gest_age} weeks
EDD: {lmp_edd}</t>
  </si>
  <si>
    <t xml:space="preserve">       Severe pain</t>
  </si>
  <si>
    <t>Using ultrasound
GA: {ultrasound_gest_age} weeks
EDD: {ultrasound_edd}</t>
  </si>
  <si>
    <t xml:space="preserve">Concept - Obstetric ultrasound </t>
  </si>
  <si>
    <t>159618AAAAAAAAAAAAAAAAAAAAAAAAAAAAAA</t>
  </si>
  <si>
    <t xml:space="preserve">       Severe abdominal pain</t>
  </si>
  <si>
    <t>Using SFH or abdominal palpation
GA: {sfh_gest_age} weeks
EDD: {sfh_edd}</t>
  </si>
  <si>
    <t>GA selected from {select_gest_age_edd}</t>
  </si>
  <si>
    <t xml:space="preserve">       Unconscious</t>
  </si>
  <si>
    <t>gest_age</t>
  </si>
  <si>
    <t>The final GA to use based on selection above.</t>
  </si>
  <si>
    <t>SNOMED NP 366323009</t>
  </si>
  <si>
    <t>Concept - Weeks of current gestation</t>
  </si>
  <si>
    <t>1438AAAAAAAAAAAAAAAAAAAAAAAAAAAAAAAA</t>
  </si>
  <si>
    <t>EDD selected from {select_gest_age_edd}</t>
  </si>
  <si>
    <t>edd</t>
  </si>
  <si>
    <t>The final EDD to use based on selection above.</t>
  </si>
  <si>
    <t>Concept - Estimated date of confinement</t>
  </si>
  <si>
    <t>5596AAAAAAAAAAAAAAAAAAAAAAAAAAAAAAAA</t>
  </si>
  <si>
    <t>No. of pregnancies
(including this pregnancy)</t>
  </si>
  <si>
    <t>Obstetric History</t>
  </si>
  <si>
    <t>gravida</t>
  </si>
  <si>
    <t>Total number of times the woman has been pregnant (including this pregnancy).</t>
  </si>
  <si>
    <t>&gt;= 1 and &lt;= 15</t>
  </si>
  <si>
    <t>Concept - Gravida</t>
  </si>
  <si>
    <t>5624AAAAAAAAAAAAAAAAAAAAAAAAAAAAAAAA</t>
  </si>
  <si>
    <t>Total number of previous pregnancies</t>
  </si>
  <si>
    <t>previous_pregnancies</t>
  </si>
  <si>
    <t>This calculates the total number of all previous pregnancies (i.e. not including this current pregnancy). This is done for easier obstetric history calculations.</t>
  </si>
  <si>
    <t>{gravida} - 1</t>
  </si>
  <si>
    <t xml:space="preserve">       Refer and close contact</t>
  </si>
  <si>
    <t>No. of pregnancies lost/ended
(before 22 weeks / 5 months)</t>
  </si>
  <si>
    <t>miscarriages_abortions</t>
  </si>
  <si>
    <t>Total number of miscarriages and abortions.</t>
  </si>
  <si>
    <t>&gt;= 0 and &lt;= {previous_pregnancies}</t>
  </si>
  <si>
    <t>Concept - Number of abortions/miscarriages</t>
  </si>
  <si>
    <t>1823AAAAAAAAAAAAAAAAAAAAAAAAAAAAAAAA</t>
  </si>
  <si>
    <t>No. of live births
(after 22 weeks)</t>
  </si>
  <si>
    <t>live_births</t>
  </si>
  <si>
    <t>Total number of live births.</t>
  </si>
  <si>
    <t xml:space="preserve">       Proceed to normal contact</t>
  </si>
  <si>
    <t>&gt;= 0 and &lt;= ({previous_pregnancies} - {miscarriages_abortions})</t>
  </si>
  <si>
    <t>Concept - Number of live deliveries</t>
  </si>
  <si>
    <t>160601AAAAAAAAAAAAAAAAAAAAAAAAAAAAAA</t>
  </si>
  <si>
    <t>Was the last live birth preterm (less than 37 weeks)?</t>
  </si>
  <si>
    <t>last_live_birth_preterm</t>
  </si>
  <si>
    <t>Whether the last live birth was preterm (i.e. less than 37 weeks gestation at the time of delivery).</t>
  </si>
  <si>
    <t>No. of stillbirths
(after 22 weeks)</t>
  </si>
  <si>
    <t>stillbirths</t>
  </si>
  <si>
    <t>Total number of stillbirths.</t>
  </si>
  <si>
    <t>&gt;= 0 and &lt;= ({previous_pregnancies} - {miscarriages_abortions} - {live_births})</t>
  </si>
  <si>
    <t xml:space="preserve">Concept - Number of prior stillbirths </t>
  </si>
  <si>
    <t>160077AAAAAAAAAAAAAAAAAAAAAAAAAAAAAA</t>
  </si>
  <si>
    <t>Calculated Parity</t>
  </si>
  <si>
    <t>parity</t>
  </si>
  <si>
    <t>Calculated parity is the total number of live and stillbirths.</t>
  </si>
  <si>
    <t>{live_births} + {stillbirths}</t>
  </si>
  <si>
    <t>Concept - Parity</t>
  </si>
  <si>
    <t>1053AAAAAAAAAAAAAAAAAAAAAAAAAAAAAAAA</t>
  </si>
  <si>
    <t>No. of C-sections</t>
  </si>
  <si>
    <t>c_sections</t>
  </si>
  <si>
    <t>Total number of C-sections.</t>
  </si>
  <si>
    <t>&gt;= 0 and &lt;= {parity}</t>
  </si>
  <si>
    <t>Concept - Number of previous cesarean sections</t>
  </si>
  <si>
    <t>160081AAAAAAAAAAAAAAAAAAAAAAAAAAAAAA</t>
  </si>
  <si>
    <t>Any past pregnancy problems?</t>
  </si>
  <si>
    <t>prev_preg_comps</t>
  </si>
  <si>
    <t>Mark whether the woman has had any complication in any previous pregnancy.</t>
  </si>
  <si>
    <t>Cannot select "None" or "Don't know" with any other option. Cannot select them together either.</t>
  </si>
  <si>
    <t>O94</t>
  </si>
  <si>
    <t>SNOMED-NP 198609003</t>
  </si>
  <si>
    <t>Concept - PAST PREGNANCY COMPLICATIONS</t>
  </si>
  <si>
    <t>1430AAAAAAAAAAAAAAAAAAAAAAAAAAAAAAAA</t>
  </si>
  <si>
    <t>Pre-eclampsia</t>
  </si>
  <si>
    <t xml:space="preserve">       Don't know</t>
  </si>
  <si>
    <t>Concept - Pre-eclampsia</t>
  </si>
  <si>
    <t>129251AAAAAAAAAAAAAAAAAAAAAAAAAAAAAA</t>
  </si>
  <si>
    <t>Eclampsia</t>
  </si>
  <si>
    <t xml:space="preserve">       Primary</t>
  </si>
  <si>
    <t>Concept - Eclampsia</t>
  </si>
  <si>
    <t>118744AAAAAAAAAAAAAAAAAAAAAAAAAAAAAA</t>
  </si>
  <si>
    <t>Convulsions</t>
  </si>
  <si>
    <t>Concept - Convulsions</t>
  </si>
  <si>
    <t>113054AAAAAAAAAAAAAAAAAAAAAAAAAAAAAA</t>
  </si>
  <si>
    <t>Gestational Diabetes</t>
  </si>
  <si>
    <t xml:space="preserve">       Secondary</t>
  </si>
  <si>
    <t>Concept - Gestational diabetes</t>
  </si>
  <si>
    <t>1449AAAAAAAAAAAAAAAAAAAAAAAAAAAAAAAA</t>
  </si>
  <si>
    <t>Tobacco use</t>
  </si>
  <si>
    <t xml:space="preserve">       Higher</t>
  </si>
  <si>
    <t>F17.1</t>
  </si>
  <si>
    <t>Concept - tobacco user</t>
  </si>
  <si>
    <t>159084AAAAAAAAAAAAAAAAAAAAAAAAAAAAAA</t>
  </si>
  <si>
    <t>Alcohol use</t>
  </si>
  <si>
    <t>Concept - Current drinker</t>
  </si>
  <si>
    <t>143098AAAAAAAAAAAAAAAAAAAAAAAAAAAAAA</t>
  </si>
  <si>
    <t>Substance use</t>
  </si>
  <si>
    <t>Concept - Substance use</t>
  </si>
  <si>
    <t>160246AAAAAAAAAAAAAAAAAAAAAAAAAAAAAA</t>
  </si>
  <si>
    <t>Heavy bleeding (during or after delivery)</t>
  </si>
  <si>
    <t>O72.1</t>
  </si>
  <si>
    <t>Concept - Postpartum Hemorrhage</t>
  </si>
  <si>
    <t>230AAAAAAAAAAAAAAAAAAAAAAAAAAAAAAAAA</t>
  </si>
  <si>
    <t xml:space="preserve">       Student</t>
  </si>
  <si>
    <t>Baby died within 24 hours of birth</t>
  </si>
  <si>
    <t>Concept - Early neonatal death</t>
  </si>
  <si>
    <t>165259AAAAAAAAAAAAAAAAAAAAAAAAAAAAAA</t>
  </si>
  <si>
    <t>Macrosomia</t>
  </si>
  <si>
    <t>Concept - Exceptionally large baby</t>
  </si>
  <si>
    <t>140951AAAAAAAAAAAAAAAAAAAAAAAAAAAAAA</t>
  </si>
  <si>
    <t>Forceps or vacuum delivery</t>
  </si>
  <si>
    <t xml:space="preserve">       Unemployed</t>
  </si>
  <si>
    <t>Concept - Forceps or Vacuum Extractor Delivery</t>
  </si>
  <si>
    <t>118159AAAAAAAAAAAAAAAAAAAAAAAAAAAAAA</t>
  </si>
  <si>
    <t>3rd or 4th degree tear</t>
  </si>
  <si>
    <t>Concept - Third Degree Perineal Laceration</t>
  </si>
  <si>
    <t>124858AAAAAAAAAAAAAAAAAAAAAAAAAAAAAA</t>
  </si>
  <si>
    <t xml:space="preserve">       Formal employment</t>
  </si>
  <si>
    <t>SNOMED NP 74964007</t>
  </si>
  <si>
    <t>Any past pregnancy problems - Specify</t>
  </si>
  <si>
    <t>prev_preg_comps_other</t>
  </si>
  <si>
    <t>Write the other complication from previous pregnancy that is not listed.</t>
  </si>
  <si>
    <t>PAST PREGNANCY COMPLICATIONS - 1430AAAAAAAAAAAAAAAAAAAAAAAAAAAAAAAA</t>
  </si>
  <si>
    <t>Specify illicit substance use</t>
  </si>
  <si>
    <t>substances_used</t>
  </si>
  <si>
    <t>If selected alcohol or illicit drug use, indicate what type of drug.</t>
  </si>
  <si>
    <t>Concept - Illicit drug use, specified</t>
  </si>
  <si>
    <t>165222AAAAAAAAAAAAAAAAAAAAAAAAAAAAAA</t>
  </si>
  <si>
    <t>Marijuana</t>
  </si>
  <si>
    <t xml:space="preserve">       Informal employment (sex worker)</t>
  </si>
  <si>
    <t>Concept - Marijuana use</t>
  </si>
  <si>
    <t>165221AAAAAAAAAAAAAAAAAAAAAAAAAAAAAA</t>
  </si>
  <si>
    <t>Cocaine / Crack</t>
  </si>
  <si>
    <t>F14.1</t>
  </si>
  <si>
    <t>Concept - crack cocaine use</t>
  </si>
  <si>
    <t>155793AAAAAAAAAAAAAAAAAAAAAAAAAAAAAA</t>
  </si>
  <si>
    <t>Injectable drugs</t>
  </si>
  <si>
    <t xml:space="preserve">       Informal employment (other)</t>
  </si>
  <si>
    <t>F19.1</t>
  </si>
  <si>
    <t>Concept - intravenous drug user</t>
  </si>
  <si>
    <t>157351AAAAAAAAAAAAAAAAAAAAAAAAAAAAAA</t>
  </si>
  <si>
    <t>Specify illicit substance use - Specify</t>
  </si>
  <si>
    <t>substances_used_other</t>
  </si>
  <si>
    <t>Write the other type of drug that is not listed.</t>
  </si>
  <si>
    <t>Any allergies?</t>
  </si>
  <si>
    <t>Medical History</t>
  </si>
  <si>
    <t>allergies</t>
  </si>
  <si>
    <t>Does the woman have any allergies?</t>
  </si>
  <si>
    <t>Concept - Allergen</t>
  </si>
  <si>
    <t>160643AAAAAAAAAAAAAAAAAAAAAAAAAAAAAA</t>
  </si>
  <si>
    <t>Albendazole</t>
  </si>
  <si>
    <t>Concept - ALBENDAZOLE</t>
  </si>
  <si>
    <t>70439AAAAAAAAAAAAAAAAAAAAAAAAAAAAAAA</t>
  </si>
  <si>
    <t>Aluminium hydroxide</t>
  </si>
  <si>
    <t>Concept - ALUMINUM HYDROXIDE</t>
  </si>
  <si>
    <t>70991AAAAAAAAAAAAAAAAAAAAAAAAAAAAAAA</t>
  </si>
  <si>
    <t>Calcium</t>
  </si>
  <si>
    <t>Concept - CALCIUM</t>
  </si>
  <si>
    <t>72650AAAAAAAAAAAAAAAAAAAAAAAAAAAAAAA</t>
  </si>
  <si>
    <t>Chamomile</t>
  </si>
  <si>
    <t xml:space="preserve">SNOMED NP 73743005 and 26240000 </t>
  </si>
  <si>
    <t>Concept - CHAMOMILE OIL</t>
  </si>
  <si>
    <t>73154AAAAAAAAAAAAAAAAAAAAAAAAAAAAAAA</t>
  </si>
  <si>
    <t>Folic acid</t>
  </si>
  <si>
    <t>Concept - FOLIC ACID</t>
  </si>
  <si>
    <t>76613AAAAAAAAAAAAAAAAAAAAAAAAAAAAAAA</t>
  </si>
  <si>
    <t>Ginger</t>
  </si>
  <si>
    <t>SNOMED NP 420780004</t>
  </si>
  <si>
    <t>Concept - GINGER EXTRACT</t>
  </si>
  <si>
    <t>77001AAAAAAAAAAAAAAAAAAAAAAAAAAAAAAA</t>
  </si>
  <si>
    <t>Iron</t>
  </si>
  <si>
    <t>Concept - IRON</t>
  </si>
  <si>
    <t>78218AAAAAAAAAAAAAAAAAAAAAAAAAAAAAAA</t>
  </si>
  <si>
    <t>Magnesium carbonate</t>
  </si>
  <si>
    <t>Concept - MAGNESIUM CARBONATE</t>
  </si>
  <si>
    <t>79229AAAAAAAAAAAAAAAAAAAAAAAAAAAAAAA</t>
  </si>
  <si>
    <t>Malaria medication (sulfadoxine-pyrimethamine)</t>
  </si>
  <si>
    <t>Concept - SULFADOXINE AND PYRIMETHAMINE</t>
  </si>
  <si>
    <t>924AAAAAAAAAAAAAAAAAAAAAAAAAAAAAAAAA</t>
  </si>
  <si>
    <t>Mebendazole</t>
  </si>
  <si>
    <t>Concept - MEBENDAZOLE</t>
  </si>
  <si>
    <t>79413AAAAAAAAAAAAAAAAAAAAAAAAAAAAAAA</t>
  </si>
  <si>
    <t>Penicillin</t>
  </si>
  <si>
    <t>373270004 and 6369005</t>
  </si>
  <si>
    <t>Concept - PENICILLIN</t>
  </si>
  <si>
    <t>81724AAAAAAAAAAAAAAAAAAAAAAAAAAAAAAA</t>
  </si>
  <si>
    <t>PrEP tenofovir disoproxil fumarate (TDF)</t>
  </si>
  <si>
    <t>SNOMED NP 385556006</t>
  </si>
  <si>
    <t>Concept - TENOFOVIR DISOPROXIL FUMARATE</t>
  </si>
  <si>
    <t>84797AAAAAAAAAAAAAAAAAAAAAAAAAAAAAAA</t>
  </si>
  <si>
    <t>Any allergies? - Specify</t>
  </si>
  <si>
    <t>allergies_other</t>
  </si>
  <si>
    <t>Write in the other allergies not included in the list.</t>
  </si>
  <si>
    <t>Allergen - 160643AAAAAAAAAAAAAAAAAAAAAAAAAAAAAA</t>
  </si>
  <si>
    <t>Any surgeries?</t>
  </si>
  <si>
    <t>surgeries</t>
  </si>
  <si>
    <t>Has the woman had any prior surgeries?</t>
  </si>
  <si>
    <t>SNOMED NP 165331007</t>
  </si>
  <si>
    <t>Procedure History - 160714AAAAAAAAAAAAAAAAAAAAAAAAAAAAAA</t>
  </si>
  <si>
    <t>Concept - Procedure performed</t>
  </si>
  <si>
    <t>1651AAAAAAAAAAAAAAAAAAAAAAAAAAAAAAAA</t>
  </si>
  <si>
    <t>Dilation and curettage</t>
  </si>
  <si>
    <t>Concept - Dilation and curettage</t>
  </si>
  <si>
    <t>1637AAAAAAAAAAAAAAAAAAAAAAAAAAAAAAAA</t>
  </si>
  <si>
    <t>Removal of fibroids (myomectomy)</t>
  </si>
  <si>
    <t>Concept - Uterine myomectomy</t>
  </si>
  <si>
    <t>161829AAAAAAAAAAAAAAAAAAAAAAAAAAAAAA</t>
  </si>
  <si>
    <t>Removal of ovarian cysts</t>
  </si>
  <si>
    <t>Concept - Removal of ovarian cyst</t>
  </si>
  <si>
    <t>165262AAAAAAAAAAAAAAAAAAAAAAAAAAAAAA</t>
  </si>
  <si>
    <t>Removal of ovary (oophorectomy)</t>
  </si>
  <si>
    <t>Concept - Oophorectomy</t>
  </si>
  <si>
    <t>161844AAAAAAAAAAAAAAAAAAAAAAAAAAAAAA</t>
  </si>
  <si>
    <t>Removal of the tube (salpingectomy)</t>
  </si>
  <si>
    <t>Concept - fallopian tube excision</t>
  </si>
  <si>
    <t>161835AAAAAAAAAAAAAAAAAAAAAAAAAAAAAA</t>
  </si>
  <si>
    <t>Partial removal of the cervix (cervical cone)</t>
  </si>
  <si>
    <t>Concept - Cervical conization</t>
  </si>
  <si>
    <t>162811AAAAAAAAAAAAAAAAAAAAAAAAAAAAAA</t>
  </si>
  <si>
    <t>Other gynecological procedures (specify)</t>
  </si>
  <si>
    <t>Concept - Gynecological procedure</t>
  </si>
  <si>
    <t>165263AAAAAAAAAAAAAAAAAAAAAAAAAAAAAA</t>
  </si>
  <si>
    <t>Other surgeries (specify)</t>
  </si>
  <si>
    <t>Other gynecological procedures</t>
  </si>
  <si>
    <t xml:space="preserve">       Using LMP
GA: {lmp_gest_age} weeks
EDD: {lmp_edd}</t>
  </si>
  <si>
    <t>surgeries_other_gyn_proced</t>
  </si>
  <si>
    <t>Write in the other gynecological procedures not included in the list.</t>
  </si>
  <si>
    <t>Gynecological procedure - 165263AAAAAAAAAAAAAAAAAAAAAAAAAAAAAA</t>
  </si>
  <si>
    <t>Procedure name not coded (text)</t>
  </si>
  <si>
    <t>165264AAAAAAAAAAAAAAAAAAAAAAAAAAAAAA</t>
  </si>
  <si>
    <t>Other surgeries</t>
  </si>
  <si>
    <t>surgeries_other</t>
  </si>
  <si>
    <t>Write in the other surgeries not included in the list.</t>
  </si>
  <si>
    <t xml:space="preserve">       Using ultrasound
GA: {ultrasound_gest_age} weeks
EDD: {ultrasound_edd}</t>
  </si>
  <si>
    <t>Any chronic or past health conditions?</t>
  </si>
  <si>
    <t>health_conditions</t>
  </si>
  <si>
    <t>Does the woman have any current chronic health conditions or problems?</t>
  </si>
  <si>
    <t>SNOMED NP 417662000</t>
  </si>
  <si>
    <t xml:space="preserve">       Using SFH or abdominal palpation
GA: {sfh_gest_age} weeks
EDD: {sfh_edd}</t>
  </si>
  <si>
    <t>11349-8</t>
  </si>
  <si>
    <t>Concept - PAST MEDICAL HISTORY ADDED</t>
  </si>
  <si>
    <t>1628AAAAAAAAAAAAAAAAAAAAAAAAAAAAAAAA</t>
  </si>
  <si>
    <t>Autoimmune disease</t>
  </si>
  <si>
    <t>Concept - Autoimmune Disease</t>
  </si>
  <si>
    <t>148117AAAAAAAAAAAAAAAAAAAAAAAAAAAAAA</t>
  </si>
  <si>
    <t>Blood disorder (e.g. sickle cell anemia, thalassemia)</t>
  </si>
  <si>
    <t>Concept - Blood disorder</t>
  </si>
  <si>
    <t>165223AAAAAAAAAAAAAAAAAAAAAAAAAAAAAA</t>
  </si>
  <si>
    <t>Cancer</t>
  </si>
  <si>
    <t>Z85.9</t>
  </si>
  <si>
    <t>Concept - Personal History of Malignant Neoplasm</t>
  </si>
  <si>
    <t>151286AAAAAAAAAAAAAAAAAAAAAAAAAAAAAA</t>
  </si>
  <si>
    <t>Diabetes</t>
  </si>
  <si>
    <t>E14.9</t>
  </si>
  <si>
    <t>Concept - Diabetes Mellitus</t>
  </si>
  <si>
    <t>119481AAAAAAAAAAAAAAAAAAAAAAAAAAAAAA</t>
  </si>
  <si>
    <t>Epilepsy</t>
  </si>
  <si>
    <t>G40.9</t>
  </si>
  <si>
    <t>Concept - Epilepsy</t>
  </si>
  <si>
    <t>155AAAAAAAAAAAAAAAAAAAAAAAAAAAAAAAAA</t>
  </si>
  <si>
    <t>HIV</t>
  </si>
  <si>
    <t>Concept - HIV Positive</t>
  </si>
  <si>
    <t>138571AAAAAAAAAAAAAAAAAAAAAAAAAAAAAA</t>
  </si>
  <si>
    <t>Hypertension</t>
  </si>
  <si>
    <t>I10</t>
  </si>
  <si>
    <t>Concept - Hypertension</t>
  </si>
  <si>
    <t>117399AAAAAAAAAAAAAAAAAAAAAAAAAAAAAA</t>
  </si>
  <si>
    <t>Kidney disease</t>
  </si>
  <si>
    <t>N28.9</t>
  </si>
  <si>
    <t>Concept - RENAL DISEASE</t>
  </si>
  <si>
    <t>6033AAAAAAAAAAAAAAAAAAAAAAAAAAAAAAAA</t>
  </si>
  <si>
    <t>Any chronic or past health conditions? - Specify</t>
  </si>
  <si>
    <t>health_conditions_other</t>
  </si>
  <si>
    <t>Write in the other health conditions not included in the list.</t>
  </si>
  <si>
    <t>HIV diagnosis date</t>
  </si>
  <si>
    <t>hiv_diagnosis_date</t>
  </si>
  <si>
    <t>If woman knows she's HIV+, record the date of her diagnosis.</t>
  </si>
  <si>
    <t>&lt;= {today}</t>
  </si>
  <si>
    <t>Either this or unknown check is required.</t>
  </si>
  <si>
    <t>SNOMED NP 432213005 / 86406008</t>
  </si>
  <si>
    <t xml:space="preserve">Concept - Date of HIV diagnosis </t>
  </si>
  <si>
    <t>160554AAAAAAAAAAAAAAAAAAAAAAAAAAAAAA</t>
  </si>
  <si>
    <t>[Unknown checkbox for HIV diagnosis date inline with {hiv_diagnosis_date}]</t>
  </si>
  <si>
    <t>hiv_diagnosis_date_unknown</t>
  </si>
  <si>
    <t>Check this box if the woman's HIV diagnosis date is unknown or cannot be estimated.</t>
  </si>
  <si>
    <t>Either this or HIV diagnosis date is required.</t>
  </si>
  <si>
    <t>Concept - Date of HIV diagnosis known</t>
  </si>
  <si>
    <t>165224AAAAAAAAAAAAAAAAAAAAAAAAAAAAAA</t>
  </si>
  <si>
    <t>Woman's HIV Status</t>
  </si>
  <si>
    <t>hiv_positive</t>
  </si>
  <si>
    <t>Calculated field for woman's HIV status.</t>
  </si>
  <si>
    <t>if({hiv_test_result} = "Positive" OR selected({health_conditions}, "HIV", 1, 0)</t>
  </si>
  <si>
    <t>Z21</t>
  </si>
  <si>
    <t>TT immunisation status</t>
  </si>
  <si>
    <t>Immunisation</t>
  </si>
  <si>
    <t>tt_immun_status</t>
  </si>
  <si>
    <t>The woman's history of receiving TT vaccines.</t>
  </si>
  <si>
    <t>Concept - Maternal tetanus toxoid (TT) immunization status</t>
  </si>
  <si>
    <t>165225AAAAAAAAAAAAAAAAAAAAAAAAAAAAAA</t>
  </si>
  <si>
    <t>3 doses of TTCV in past 5 years</t>
  </si>
  <si>
    <t xml:space="preserve">SNOMED NP 404684003 and 304250009	</t>
  </si>
  <si>
    <t>Concept - Fully immunized</t>
  </si>
  <si>
    <t>164134AAAAAAAAAAAAAAAAAAAAAAAAAAAAAA</t>
  </si>
  <si>
    <t>1-4 doses of TTCV in the past</t>
  </si>
  <si>
    <t>Concept - Under immunized</t>
  </si>
  <si>
    <t>165226AAAAAAAAAAAAAAAAAAAAAAAAAAAAAA</t>
  </si>
  <si>
    <t>TTCV not received</t>
  </si>
  <si>
    <t>Concept - Not immunized</t>
  </si>
  <si>
    <t>165227AAAAAAAAAAAAAAAAAAAAAAAAAAAAAA</t>
  </si>
  <si>
    <t>Unknown</t>
  </si>
  <si>
    <t>Hep B immunisation status</t>
  </si>
  <si>
    <t>hepb_immun_status</t>
  </si>
  <si>
    <t>The woman's history of receiving Hep B vaccines. This should only be asked for at risk populations (HIV+, injecting drugs, sex worker) or for women in populations with high Hep B prevalence or for women in a country with a Hep B screening program in place.</t>
  </si>
  <si>
    <t>Concept - Hepatitis B vaccination status</t>
  </si>
  <si>
    <t>3 doses</t>
  </si>
  <si>
    <t>Concept - Completed</t>
  </si>
  <si>
    <t>1267AAAAAAAAAAAAAAAAAAAAAAAAAAAAAAAA</t>
  </si>
  <si>
    <t>Incomplete</t>
  </si>
  <si>
    <t>Concepted - Incomplete</t>
  </si>
  <si>
    <t>163339AAAAAAAAAAAAAAAAAAAAAAAAAAAAAA</t>
  </si>
  <si>
    <t>Not received</t>
  </si>
  <si>
    <t>Flu immunisation status</t>
  </si>
  <si>
    <t>flu_immun_status</t>
  </si>
  <si>
    <t>The woman's history of receiving the seasonal flu vaccine.</t>
  </si>
  <si>
    <t>Concept - Influenza vaccination status</t>
  </si>
  <si>
    <t>Seasonal flu dose given</t>
  </si>
  <si>
    <t>Concept - Vaccination given</t>
  </si>
  <si>
    <t>165229AAAAAAAAAAAAAAAAAAAAAAAAAAAAAA</t>
  </si>
  <si>
    <t>Seasonal flu dose missing</t>
  </si>
  <si>
    <t xml:space="preserve">       Pre-eclampsia</t>
  </si>
  <si>
    <t>Concept - Vaccination not done</t>
  </si>
  <si>
    <t>165228AAAAAAAAAAAAAAAAAAAAAAAAAAAAAA</t>
  </si>
  <si>
    <t xml:space="preserve">       Eclampsia</t>
  </si>
  <si>
    <t>Current medications</t>
  </si>
  <si>
    <t>Medications</t>
  </si>
  <si>
    <t>medications</t>
  </si>
  <si>
    <t>Select all of the medications the woman is currently taking.</t>
  </si>
  <si>
    <t>Cannot select "None" or "Don't know" with any other option.</t>
  </si>
  <si>
    <t>Medication history - 160741AAAAAAAAAAAAAAAAAAAAAAAAAAAAAA</t>
  </si>
  <si>
    <t>Concept - Currently taking medication</t>
  </si>
  <si>
    <t>159367AAAAAAAAAAAAAAAAAAAAAAAAAAAAAA</t>
  </si>
  <si>
    <t xml:space="preserve">       Convulsions</t>
  </si>
  <si>
    <t xml:space="preserve">       Gestational Diabetes</t>
  </si>
  <si>
    <t>Antacids</t>
  </si>
  <si>
    <t>Concept - ANTACID</t>
  </si>
  <si>
    <t>944AAAAAAAAAAAAAAAAAAAAAAAAAAAAAAAAA</t>
  </si>
  <si>
    <t>Aspirin</t>
  </si>
  <si>
    <t xml:space="preserve">       Tobacco use</t>
  </si>
  <si>
    <t>Concept - ASPIRINE</t>
  </si>
  <si>
    <t>71617AAAAAAAAAAAAAAAAAAAAAAAAAAAAAAA</t>
  </si>
  <si>
    <t xml:space="preserve">       Alcohol use</t>
  </si>
  <si>
    <t>Doxylamine</t>
  </si>
  <si>
    <t>Concept - DOXYLAMINE</t>
  </si>
  <si>
    <t>75229AAAAAAAAAAAAAAAAAAAAAAAAAAAAAAA</t>
  </si>
  <si>
    <t xml:space="preserve">       Substance use</t>
  </si>
  <si>
    <t xml:space="preserve">       Heavy bleeding (during or after delivery)</t>
  </si>
  <si>
    <t>Magnesium</t>
  </si>
  <si>
    <t>Concept - MAGNESIUM</t>
  </si>
  <si>
    <t>79224AAAAAAAAAAAAAAAAAAAAAAAAAAAAAAA</t>
  </si>
  <si>
    <t>Metoclopramide</t>
  </si>
  <si>
    <t xml:space="preserve">       Baby died within 24 hours of birth</t>
  </si>
  <si>
    <t>Concept - METOCLOPRAMIDE</t>
  </si>
  <si>
    <t>79755AAAAAAAAAAAAAAAAAAAAAAAAAAAAAAA</t>
  </si>
  <si>
    <t>Vitamin A</t>
  </si>
  <si>
    <t xml:space="preserve">       Macrosomia</t>
  </si>
  <si>
    <t>Concept - Vitamin A</t>
  </si>
  <si>
    <t>86339AAAAAAAAAAAAAAAAAAAAAAAAAAAAAAA</t>
  </si>
  <si>
    <t>Analgesic</t>
  </si>
  <si>
    <t xml:space="preserve">       Forceps or vacuum delivery</t>
  </si>
  <si>
    <t>Concept - Analgesic</t>
  </si>
  <si>
    <t>165231AAAAAAAAAAAAAAAAAAAAAAAAAAAAAA</t>
  </si>
  <si>
    <t>Anti-convulsive</t>
  </si>
  <si>
    <t xml:space="preserve">       3rd or 4th degree tear</t>
  </si>
  <si>
    <t>Concept - Anticonvulsant</t>
  </si>
  <si>
    <t>165230AAAAAAAAAAAAAAAAAAAAAAAAAAAAAA</t>
  </si>
  <si>
    <t>Anti-diabetic</t>
  </si>
  <si>
    <t>SNOMED-NP 373245004</t>
  </si>
  <si>
    <t>Concept - Diabetes medications</t>
  </si>
  <si>
    <t>159460AAAAAAAAAAAAAAAAAAAAAAAAAAAAAA</t>
  </si>
  <si>
    <t>Anthelmintic</t>
  </si>
  <si>
    <t>Concept - Anthelmintic</t>
  </si>
  <si>
    <t>165238AAAAAAAAAAAAAAAAAAAAAAAAAAAAAA</t>
  </si>
  <si>
    <t>Anti-hypertensive</t>
  </si>
  <si>
    <t>Concept - Antihypertensive drug</t>
  </si>
  <si>
    <t>165237AAAAAAAAAAAAAAAAAAAAAAAAAAAAAA</t>
  </si>
  <si>
    <t>Anti-malarials</t>
  </si>
  <si>
    <t>SNOMED NP 373287002</t>
  </si>
  <si>
    <t>Concept - ANTIMALARIAL MEDICATIONS</t>
  </si>
  <si>
    <t>5839AAAAAAAAAAAAAAAAAAAAAAAAAAAAAAAA</t>
  </si>
  <si>
    <t>Antivirals</t>
  </si>
  <si>
    <t xml:space="preserve">       Marijuana</t>
  </si>
  <si>
    <t>Concept - Antiviral drugs</t>
  </si>
  <si>
    <t>165236AAAAAAAAAAAAAAAAAAAAAAAAAAAAAA</t>
  </si>
  <si>
    <t>Antiretrovirals (ARVs)</t>
  </si>
  <si>
    <t xml:space="preserve">       Cocaine / Crack</t>
  </si>
  <si>
    <t>Concept - ANTIRETROVIRAL DRUGS</t>
  </si>
  <si>
    <t>1085AAAAAAAAAAAAAAAAAAAAAAAAAAAAAAAA</t>
  </si>
  <si>
    <t>Antitussive</t>
  </si>
  <si>
    <t>Concept - Antitussive drug</t>
  </si>
  <si>
    <t>165235AAAAAAAAAAAAAAAAAAAAAAAAAAAAAA</t>
  </si>
  <si>
    <t xml:space="preserve">       Injectable drugs</t>
  </si>
  <si>
    <t>Asthma</t>
  </si>
  <si>
    <t>Concept - Antiasthmatic agent</t>
  </si>
  <si>
    <t>165234AAAAAAAAAAAAAAAAAAAAAAAAAAAAAA</t>
  </si>
  <si>
    <t>Cotrimoxazole</t>
  </si>
  <si>
    <t>Concept - SULFAMETHOXAZOLE / TRIMETHOPRIM</t>
  </si>
  <si>
    <t>105281AAAAAAAAAAAAAAAAAAAAAAAAAAAAAA</t>
  </si>
  <si>
    <t>Other antibiotics</t>
  </si>
  <si>
    <t>Concept - ANTIBIOTICS</t>
  </si>
  <si>
    <t>1195AAAAAAAAAAAAAAAAAAAAAAAAAAAAAAAA</t>
  </si>
  <si>
    <t>Hematinic</t>
  </si>
  <si>
    <t>Concept - Hematinic</t>
  </si>
  <si>
    <t>165233AAAAAAAAAAAAAAAAAAAAAAAAAAAAAA</t>
  </si>
  <si>
    <t>Hemorrhoidal medication</t>
  </si>
  <si>
    <t>Concept - Hemorrhoid preparation</t>
  </si>
  <si>
    <t>165255AAAAAAAAAAAAAAAAAAAAAAAAAAAAAA</t>
  </si>
  <si>
    <t>Multivitamin</t>
  </si>
  <si>
    <t>Concept - MULTIVITAMIN</t>
  </si>
  <si>
    <t>461AAAAAAAAAAAAAAAAAAAAAAAAAAAAAAAAA</t>
  </si>
  <si>
    <t>Thyroid medication</t>
  </si>
  <si>
    <t>Concept - Thyroid drugs</t>
  </si>
  <si>
    <t>165232AAAAAAAAAAAAAAAAAAAAAAAAAAAAAA</t>
  </si>
  <si>
    <t>Current medications - Specify</t>
  </si>
  <si>
    <t>Write in the medication not included in the list.</t>
  </si>
  <si>
    <t xml:space="preserve">48767-8	</t>
  </si>
  <si>
    <t>Currently taking medication - 159367AAAAAAAAAAAAAAAAAAAAAAAAAAAAAA</t>
  </si>
  <si>
    <t>Daily caffeine intake</t>
  </si>
  <si>
    <t>Woman's Behaviour</t>
  </si>
  <si>
    <t>Assesses whether the woman consumes more than 300 mg of caffeine per day.</t>
  </si>
  <si>
    <t>Cannot select "None" with any other option.</t>
  </si>
  <si>
    <t xml:space="preserve">       Albendazole</t>
  </si>
  <si>
    <t>Concept - Daily caffeine intake</t>
  </si>
  <si>
    <t>165243AAAAAAAAAAAAAAAAAAAAAAAAAAAAAA</t>
  </si>
  <si>
    <t>More than 2 cups (200 ml) of filtered or commercially brewed coffee</t>
  </si>
  <si>
    <t>Concept - More than 2 cups (200ml) of filtered or commercially brewed coffee</t>
  </si>
  <si>
    <t>165239AAAAAAAAAAAAAAAAAAAAAAAAAAAAAA</t>
  </si>
  <si>
    <t>More than 2 small cups (50 ml) of espresso</t>
  </si>
  <si>
    <t xml:space="preserve">       Aluminium hydroxide</t>
  </si>
  <si>
    <t>Concept - More than 2 small cups (50 ml) of espresso</t>
  </si>
  <si>
    <t>165240AAAAAAAAAAAAAAAAAAAAAAAAAAAAAA</t>
  </si>
  <si>
    <t>More than 3 cups (300 ml) of instant coffee</t>
  </si>
  <si>
    <t>Concept - More than 3 cups (300ml) of instant coffee</t>
  </si>
  <si>
    <t>165241AAAAAAAAAAAAAAAAAAAAAAAAAAAAAA</t>
  </si>
  <si>
    <t>More than 48 pieces (squares) of chocolate</t>
  </si>
  <si>
    <t xml:space="preserve">       Calcium</t>
  </si>
  <si>
    <t>Concept - More than 48 pieces (squares) of chocolate</t>
  </si>
  <si>
    <t>165242AAAAAAAAAAAAAAAAAAAAAAAAAAAAAA</t>
  </si>
  <si>
    <t>None of the above</t>
  </si>
  <si>
    <t xml:space="preserve">       Chamomile</t>
  </si>
  <si>
    <t>Uses tobacco products?</t>
  </si>
  <si>
    <t>Whether the pregnant woman uses any tobacco products.</t>
  </si>
  <si>
    <t>SNOMED-NP 229819007</t>
  </si>
  <si>
    <t>Concept - Tobacco use status</t>
  </si>
  <si>
    <t>163731AAAAAAAAAAAAAAAAAAAAAAAAAAAAAA</t>
  </si>
  <si>
    <t xml:space="preserve">       Folic acid</t>
  </si>
  <si>
    <t>Concept - Currently</t>
  </si>
  <si>
    <t>159450AAAAAAAAAAAAAAAAAAAAAAAAAAAAAA</t>
  </si>
  <si>
    <t>Concept - Never</t>
  </si>
  <si>
    <t>1090AAAAAAAAAAAAAAAAAAAAAAAAAAAAAAAA</t>
  </si>
  <si>
    <t>Recently quit</t>
  </si>
  <si>
    <t xml:space="preserve">       Ginger</t>
  </si>
  <si>
    <t>Anyone in the household smokes tobacco products?</t>
  </si>
  <si>
    <t>Whether the pregnant woman is exposed to secondhand smoke from anyone in her household.</t>
  </si>
  <si>
    <t xml:space="preserve">       Iron</t>
  </si>
  <si>
    <t>Concept - Secondhand Smoke Exposure</t>
  </si>
  <si>
    <t>152721AAAAAAAAAAAAAAAAAAAAAAAAAAAAAA</t>
  </si>
  <si>
    <t xml:space="preserve">       Magnesium carbonate</t>
  </si>
  <si>
    <t>Uses condoms during sex?</t>
  </si>
  <si>
    <t xml:space="preserve">       Malaria medication (sulfadoxine-pyrimethamine)</t>
  </si>
  <si>
    <t>Whether or not the woman (and her partner) use condoms during sex.</t>
  </si>
  <si>
    <t>SNOMED NP 228478009</t>
  </si>
  <si>
    <t>Concept - Condom use</t>
  </si>
  <si>
    <t>1357AAAAAAAAAAAAAAAAAAAAAAAAAAAAAAAA</t>
  </si>
  <si>
    <t xml:space="preserve">       Mebendazole</t>
  </si>
  <si>
    <t xml:space="preserve">       Penicillin</t>
  </si>
  <si>
    <t>Clinical enquiry for alcohol and other substance use done?</t>
  </si>
  <si>
    <t>Whether or not the health worker has performed a clinical enquiry into alcohol and substance use.</t>
  </si>
  <si>
    <t>Concept - Alcohol and substance abuse screening performed</t>
  </si>
  <si>
    <t>165268AAAAAAAAAAAAAAAAAAAAAAAAAAAAAA</t>
  </si>
  <si>
    <t xml:space="preserve">       PrEP tenofovir disoproxil fumarate (TDF)</t>
  </si>
  <si>
    <t>Uses alcohol and/or other substances?</t>
  </si>
  <si>
    <t>Whether or not the woman consumes any alcohol or substances.</t>
  </si>
  <si>
    <t>Cannot select "None" with any other answer choice.</t>
  </si>
  <si>
    <t>Alcohol</t>
  </si>
  <si>
    <t xml:space="preserve">       Dilation and curettage</t>
  </si>
  <si>
    <t>Uses alcohol and/or other substances? - Specify</t>
  </si>
  <si>
    <t>Specify any other type of substance currently in use, not listed.</t>
  </si>
  <si>
    <t xml:space="preserve">       Removal of fibroids (myomectomy)</t>
  </si>
  <si>
    <t>Partner HIV status</t>
  </si>
  <si>
    <t>Partner's HIV Status</t>
  </si>
  <si>
    <t>The HIV status of the woman's partner.</t>
  </si>
  <si>
    <t>SNOMED-NP 278977008</t>
  </si>
  <si>
    <t>Concept - PARTNER'S HIV STATUS</t>
  </si>
  <si>
    <t>1436AAAAAAAAAAAAAAAAAAAAAAAAAAAAAAAA</t>
  </si>
  <si>
    <t xml:space="preserve">       Removal of ovarian cysts</t>
  </si>
  <si>
    <t>Positive</t>
  </si>
  <si>
    <t xml:space="preserve">       Removal of ovary (oophorectomy)</t>
  </si>
  <si>
    <t>Concept - Positive</t>
  </si>
  <si>
    <t>703AAAAAAAAAAAAAAAAAAAAAAAAAAAAAAAAA</t>
  </si>
  <si>
    <t>Negative</t>
  </si>
  <si>
    <t xml:space="preserve">       Removal of the tube (salpingectomy)</t>
  </si>
  <si>
    <t>Concept - Negative</t>
  </si>
  <si>
    <t>664AAAAAAAAAAAAAAAAAAAAAAAAAAAAAAAAA</t>
  </si>
  <si>
    <t>Partner HIV status positive</t>
  </si>
  <si>
    <t>If the woman has an HIV positive partner.</t>
  </si>
  <si>
    <t>if({partner_hiv_status} = "Positive" OR {hiv_test_partner_result} = "Positive", 1, 0)</t>
  </si>
  <si>
    <t xml:space="preserve">       Partial removal of the cervix (cervical cone)</t>
  </si>
  <si>
    <t>What medications (including supplements and vitamins) is she still taking?</t>
  </si>
  <si>
    <t>Symptoms and Follow-up</t>
  </si>
  <si>
    <t>Select which of the following medications she is taking.</t>
  </si>
  <si>
    <t>Every contact after first contact</t>
  </si>
  <si>
    <t xml:space="preserve">       Other gynecological procedures (specify)</t>
  </si>
  <si>
    <t xml:space="preserve">       Other surgeries (specify)</t>
  </si>
  <si>
    <t>Concept - ASPIRIN</t>
  </si>
  <si>
    <t xml:space="preserve">       Autoimmune disease</t>
  </si>
  <si>
    <t xml:space="preserve">       Blood disorder (e.g. sickle cell anemia, thalassemia)</t>
  </si>
  <si>
    <t xml:space="preserve">       Cancer</t>
  </si>
  <si>
    <t xml:space="preserve">       Diabetes</t>
  </si>
  <si>
    <t xml:space="preserve">       Epilepsy</t>
  </si>
  <si>
    <t xml:space="preserve">       HIV</t>
  </si>
  <si>
    <t xml:space="preserve">       Hypertension</t>
  </si>
  <si>
    <t xml:space="preserve">       Kidney disease</t>
  </si>
  <si>
    <t>medications_other</t>
  </si>
  <si>
    <t xml:space="preserve">       3 doses of TTCV in past 5 years</t>
  </si>
  <si>
    <t>Only if {medications} = "Other (specify)"</t>
  </si>
  <si>
    <t xml:space="preserve">       1-4 doses of TTCV in the past</t>
  </si>
  <si>
    <t>Is she taking her calcium supplements?</t>
  </si>
  <si>
    <t>calcium_comply</t>
  </si>
  <si>
    <t>Select whether the woman is continuing to take calcium supplements</t>
  </si>
  <si>
    <t>Every contact after {calcium_supp} = "Done"</t>
  </si>
  <si>
    <t>CALCIUM - 72650AAAAAAAAAAAAAAAAAAAAAAAAAAAAAAA</t>
  </si>
  <si>
    <t>Specify - Medications she is taking</t>
  </si>
  <si>
    <t>Concept - Compliance with medication</t>
  </si>
  <si>
    <t>165272AAAAAAAAAAAAAAAAAAAAAAAAAAAAAA</t>
  </si>
  <si>
    <t xml:space="preserve">       TTCV not received</t>
  </si>
  <si>
    <t xml:space="preserve">       Unknown</t>
  </si>
  <si>
    <t>Any calcium supplement side effects?</t>
  </si>
  <si>
    <t>calcium_effects</t>
  </si>
  <si>
    <t>Select whether the woman has had side effects to calcium supplements.</t>
  </si>
  <si>
    <t>Concept - Side effects from medication</t>
  </si>
  <si>
    <t>165273AAAAAAAAAAAAAAAAAAAAAAAAAAAAAA</t>
  </si>
  <si>
    <t xml:space="preserve">       3 doses</t>
  </si>
  <si>
    <t>Is she taking her IFA tablets?</t>
  </si>
  <si>
    <t>ifa_comply</t>
  </si>
  <si>
    <t>Select whether the woman is continuing to take IFA supplements.</t>
  </si>
  <si>
    <t xml:space="preserve">       Incomplete</t>
  </si>
  <si>
    <t>FOLATE / IRON - 104677AAAAAAAAAAAAAAAAAAAAAAAAAAAAAA</t>
  </si>
  <si>
    <t xml:space="preserve">       Not received</t>
  </si>
  <si>
    <t>Any IFA side effects?</t>
  </si>
  <si>
    <t>ifa_effects</t>
  </si>
  <si>
    <t>Select whether the woman has had side effects to IFA supplements.</t>
  </si>
  <si>
    <t xml:space="preserve">       Seasonal flu dose given</t>
  </si>
  <si>
    <t>Is she taking her aspirin tablets?</t>
  </si>
  <si>
    <t>aspirin_comply</t>
  </si>
  <si>
    <t>Select whether the woman is continuing to take aspirin tablets.</t>
  </si>
  <si>
    <t xml:space="preserve">       Seasonal flu dose missing</t>
  </si>
  <si>
    <t>ASPIRINE - 71617AAAAAAAAAAAAAAAAAAAAAAAAAAAAAAA</t>
  </si>
  <si>
    <t>Is she taking her Vitamin A supplements?</t>
  </si>
  <si>
    <t>vita_comply</t>
  </si>
  <si>
    <t>Select whether the woman is continuing to take Vitamin A supplements.</t>
  </si>
  <si>
    <t>Vitamin A - 86339AAAAAAAAAAAAAAAAAAAAAAAAAAAAAAA</t>
  </si>
  <si>
    <t>Is she taking her penicillin treatment for syphilis?</t>
  </si>
  <si>
    <t>penicillin_comply</t>
  </si>
  <si>
    <t>Select whether the woman is continuing to take her penicillin treatment for syphilis.</t>
  </si>
  <si>
    <t>Penicillin - 81724AAAAAAAAAAAAAAAAAAAAAAAAAAAAAAA</t>
  </si>
  <si>
    <t xml:space="preserve">       Antacids</t>
  </si>
  <si>
    <t xml:space="preserve">       Aspirin</t>
  </si>
  <si>
    <t>Which of the following behaviours persist?</t>
  </si>
  <si>
    <t>Previous Behaviour</t>
  </si>
  <si>
    <t>behaviour_persist</t>
  </si>
  <si>
    <t>Select which of the following behaviours persist after being reported during last contact.</t>
  </si>
  <si>
    <t>Concept - Persistent behaviors after last contact</t>
  </si>
  <si>
    <t>165251AAAAAAAAAAAAAAAAAAAAAAAAAAAAAA</t>
  </si>
  <si>
    <t>High caffeine intake</t>
  </si>
  <si>
    <t>Concept - High caffeine intake</t>
  </si>
  <si>
    <t>165249AAAAAAAAAAAAAAAAAAAAAAAAAAAAAA</t>
  </si>
  <si>
    <t xml:space="preserve">       Doxylamine</t>
  </si>
  <si>
    <t>Current tobacco use or recently quit</t>
  </si>
  <si>
    <t>Concept - Smoker</t>
  </si>
  <si>
    <t>152722AAAAAAAAAAAAAAAAAAAAAAAAAAAAAA</t>
  </si>
  <si>
    <t>Exposure to second-hand smoke in the home</t>
  </si>
  <si>
    <t>X47</t>
  </si>
  <si>
    <t>No condom use during sex</t>
  </si>
  <si>
    <t>Concept - No condom use during sex</t>
  </si>
  <si>
    <t>165250AAAAAAAAAAAAAAAAAAAAAAAAAAAAAA</t>
  </si>
  <si>
    <t xml:space="preserve">       Magnesium</t>
  </si>
  <si>
    <t xml:space="preserve">       Metoclopramide</t>
  </si>
  <si>
    <t>Which of the following physiological symptoms persist?</t>
  </si>
  <si>
    <t>Previous Symptoms</t>
  </si>
  <si>
    <t>phys_symptoms_persist</t>
  </si>
  <si>
    <t>Select which of the following physiological symptoms persist after being reported during last contact.</t>
  </si>
  <si>
    <t xml:space="preserve">       Vitamin A</t>
  </si>
  <si>
    <t>Persistent symptoms from last visit/encounter - 165364AAAAAAAAAAAAAAAAAAAAAAAAAAAAAA</t>
  </si>
  <si>
    <t>Concept - SIGN/SYMPTOM NAME</t>
  </si>
  <si>
    <t>1728AAAAAAAAAAAAAAAAAAAAAAAAAAAAAAAA</t>
  </si>
  <si>
    <t xml:space="preserve">       Analgesic</t>
  </si>
  <si>
    <t>Nausea and vomiting</t>
  </si>
  <si>
    <t>Concept - Nausea and Vomiting</t>
  </si>
  <si>
    <t>133473AAAAAAAAAAAAAAAAAAAAAAAAAAAAAA</t>
  </si>
  <si>
    <t xml:space="preserve">       Anti-convulsive</t>
  </si>
  <si>
    <t xml:space="preserve">       Anti-diabetic</t>
  </si>
  <si>
    <t xml:space="preserve">       Anthelmintic</t>
  </si>
  <si>
    <t>Varicose veins</t>
  </si>
  <si>
    <t>I83.9</t>
  </si>
  <si>
    <t>Concept - Varicose Veins of Lower Extremities</t>
  </si>
  <si>
    <t xml:space="preserve">       Anti-hypertensive</t>
  </si>
  <si>
    <t>123346AAAAAAAAAAAAAAAAAAAAAAAAAAAAAA</t>
  </si>
  <si>
    <t xml:space="preserve">       Anti-malarials</t>
  </si>
  <si>
    <t>Check if the woman has any of the following symptoms in addition to low back and pelvic pain.</t>
  </si>
  <si>
    <t xml:space="preserve">       Antivirals</t>
  </si>
  <si>
    <t>Extreme pelvic pain, can't walk (symphysis pubis dysfunction)</t>
  </si>
  <si>
    <t xml:space="preserve">       Antiretrovirals (ARVs)</t>
  </si>
  <si>
    <t>Symptoms in addition to varicose veins or oedema.</t>
  </si>
  <si>
    <t>Check if the woman has any of the following symptoms in addition to varicose veins or oedema.</t>
  </si>
  <si>
    <t>New sign/symptom - 165341AAAAAAAAAAAAAAAAAAAAAAAAAAAAAA</t>
  </si>
  <si>
    <t xml:space="preserve">       Antitussive</t>
  </si>
  <si>
    <t xml:space="preserve">       Asthma</t>
  </si>
  <si>
    <t xml:space="preserve">       Cotrimoxazole</t>
  </si>
  <si>
    <t>Which of the following other symptoms persist?</t>
  </si>
  <si>
    <t>other_symptoms_persist</t>
  </si>
  <si>
    <t>Select which of the following other symptoms persist after being reported during last contact.</t>
  </si>
  <si>
    <t xml:space="preserve">       Other antibiotics</t>
  </si>
  <si>
    <t xml:space="preserve">       Hematinic</t>
  </si>
  <si>
    <t>Concept - Abnormal vaginal discharge</t>
  </si>
  <si>
    <t>Breathing difficulty</t>
  </si>
  <si>
    <t xml:space="preserve">       Hemorrhoidal medication</t>
  </si>
  <si>
    <t>R06.8</t>
  </si>
  <si>
    <t>Concept - Difficulty breathing</t>
  </si>
  <si>
    <t>142373AAAAAAAAAAAAAAAAAAAAAAAAAAAAAA</t>
  </si>
  <si>
    <t>Breathless during routine activities</t>
  </si>
  <si>
    <t xml:space="preserve">       Multivitamin</t>
  </si>
  <si>
    <t>Concept - Shortness of Breath on Exertion</t>
  </si>
  <si>
    <t>110265AAAAAAAAAAAAAAAAAAAAAAAAAAAAAA</t>
  </si>
  <si>
    <t>Cough lasting more than 3 weeks</t>
  </si>
  <si>
    <t>Concept - COUGH LASTING MORE THAN 3 WEEKS</t>
  </si>
  <si>
    <t>1487AAAAAAAAAAAAAAAAAAAAAAAAAAAAAAAA</t>
  </si>
  <si>
    <t xml:space="preserve">       Thyroid medication</t>
  </si>
  <si>
    <t>Gets tired easily</t>
  </si>
  <si>
    <t>Concept - Fatigue</t>
  </si>
  <si>
    <t>140501AAAAAAAAAAAAAAAAAAAAAAAAAAAAAA</t>
  </si>
  <si>
    <t>Concept - Vaginal bleeding</t>
  </si>
  <si>
    <t>Vaginal discharge</t>
  </si>
  <si>
    <t>Concept - Vaginal discharge</t>
  </si>
  <si>
    <t xml:space="preserve">       More than 2 cups (200 ml) of filtered or commercially brewed coffee</t>
  </si>
  <si>
    <t>123396AAAAAAAAAAAAAAAAAAAAAAAAAAAAAA</t>
  </si>
  <si>
    <t xml:space="preserve">       More than 2 small cups (50 ml) of espresso</t>
  </si>
  <si>
    <t>Any physiological symptoms?</t>
  </si>
  <si>
    <t>Physiological Symptoms</t>
  </si>
  <si>
    <t>phys_symptoms</t>
  </si>
  <si>
    <t>Select the physiological symptoms that the woman is experiencing right now. Select "None" if she is experiencing none of these symptoms.</t>
  </si>
  <si>
    <t>Every contact</t>
  </si>
  <si>
    <t xml:space="preserve">       More than 3 cups (300 ml) of instant coffee</t>
  </si>
  <si>
    <t>Cannot select "None" with any other option. If possible, let's exclude from this list any phys symptom that also showed up in the persist phys symptoms question above.</t>
  </si>
  <si>
    <t xml:space="preserve">       More than 48 pieces (squares) of chocolate</t>
  </si>
  <si>
    <t xml:space="preserve">       None of the above</t>
  </si>
  <si>
    <t xml:space="preserve">       Recently quit</t>
  </si>
  <si>
    <t>Any other symptoms related to low back and pelvic pain?</t>
  </si>
  <si>
    <t>other_sym_lbpp</t>
  </si>
  <si>
    <t>Any other symptoms related to varicose veins or oedema?</t>
  </si>
  <si>
    <t>other_sym_vvo</t>
  </si>
  <si>
    <t xml:space="preserve">Any other symptoms? </t>
  </si>
  <si>
    <t>other_symptoms</t>
  </si>
  <si>
    <t>Check whether the woman has any other symptoms different from the common physiological symptoms asked above.</t>
  </si>
  <si>
    <t xml:space="preserve">       Alcohol</t>
  </si>
  <si>
    <t>other_symptoms_other</t>
  </si>
  <si>
    <t>Specify any other symptom(s) not listed.</t>
  </si>
  <si>
    <t xml:space="preserve">Has the woman felt the baby move? </t>
  </si>
  <si>
    <t>mat_percept_fetal_move</t>
  </si>
  <si>
    <t>Whether the woman has felt the baby move or not or if the baby's movements have decreased.</t>
  </si>
  <si>
    <t>Every contact if {gest_age} &gt;= 20</t>
  </si>
  <si>
    <t>SNOMED NP 32279003</t>
  </si>
  <si>
    <t>Concept - History of fetal movement</t>
  </si>
  <si>
    <t>162107AAAAAAAAAAAAAAAAAAAAAAAAAAAAAA</t>
  </si>
  <si>
    <t xml:space="preserve">Specify - Any other symptoms? </t>
  </si>
  <si>
    <t>Normal fetal movement</t>
  </si>
  <si>
    <t xml:space="preserve">       Positive</t>
  </si>
  <si>
    <t>Concept - Fetal movements present</t>
  </si>
  <si>
    <t>162108AAAAAAAAAAAAAAAAAAAAAAAAAAAAAA</t>
  </si>
  <si>
    <t xml:space="preserve">       Negative</t>
  </si>
  <si>
    <t>Height (cm)</t>
  </si>
  <si>
    <t>Height &amp; Weight</t>
  </si>
  <si>
    <t>Physical Exam</t>
  </si>
  <si>
    <t>height</t>
  </si>
  <si>
    <t>The woman's height in centimetres.</t>
  </si>
  <si>
    <t>&gt;= 100 and &lt;= 200</t>
  </si>
  <si>
    <t>First contact only</t>
  </si>
  <si>
    <t>Concept - Height (cm)</t>
  </si>
  <si>
    <t>5090AAAAAAAAAAAAAAAAAAAAAAAAAAAAAAAA</t>
  </si>
  <si>
    <t>Pre-gestational weight (kg)</t>
  </si>
  <si>
    <t>pregest_weight</t>
  </si>
  <si>
    <t>The woman's pre-gestational weight in kilograms. Check unknown (see next row) if not known.</t>
  </si>
  <si>
    <t>Decimal</t>
  </si>
  <si>
    <t>&gt;= 30 and &lt;= 180</t>
  </si>
  <si>
    <t>Either {pregest_weight} must be answered or {pregest_weight_uknown} must be checked, but not both.</t>
  </si>
  <si>
    <t>Concept - Pre-gestational weight (kg)</t>
  </si>
  <si>
    <t>165275AAAAAAAAAAAAAAAAAAAAAAAAAAAAAA</t>
  </si>
  <si>
    <t>[Unknown checkbox inline with {pregest_weight}]</t>
  </si>
  <si>
    <t>pregest_weight_unknown</t>
  </si>
  <si>
    <t>Check this box if the woman's pre-gestational weight is unknown.</t>
  </si>
  <si>
    <t>Pre-gestational weight status - 165277AAAAAAAAAAAAAAAAAAAAAAAAAAAAAA</t>
  </si>
  <si>
    <t>Current weight (kg)</t>
  </si>
  <si>
    <t>current_weight</t>
  </si>
  <si>
    <t>The woman's current weight in kilograms.</t>
  </si>
  <si>
    <t>Concept - Weight (kg)</t>
  </si>
  <si>
    <t>5089AAAAAAAAAAAAAAAAAAAAAAAAAAAAAAAA</t>
  </si>
  <si>
    <t>first_weight</t>
  </si>
  <si>
    <t>This is a calculated field for purposes of making weight calculations simpler. It fixes which weight to use as pre-gestational weight.</t>
  </si>
  <si>
    <t>if({pregest_weight_unknown} is checked, {current_weight}, {pregest_weight})</t>
  </si>
  <si>
    <t>First weight</t>
  </si>
  <si>
    <t>bmi</t>
  </si>
  <si>
    <t>Body mass index (BMI) is calculated by taking weight in kg divided by the squared height in meters, i.e., kg/m^2.</t>
  </si>
  <si>
    <t>{first_weight} / (({height}/100)*({height}/100))</t>
  </si>
  <si>
    <t>Concept - Body mass index</t>
  </si>
  <si>
    <t>1342AAAAAAAAAAAAAAAAAAAAAAAAAAAAAAAA</t>
  </si>
  <si>
    <t>BMI</t>
  </si>
  <si>
    <t>weight_cat</t>
  </si>
  <si>
    <t>Weight category is calculated from BMI.</t>
  </si>
  <si>
    <t>if({bmi} &lt; 18.5, "Underweight", if({bmi} &gt;= 18.5 and {bmi} &lt; 25, "Normal Weight", if({bmi} &gt;= 25 and {bmi} &lt; 30, "Overweight")), "Obese")</t>
  </si>
  <si>
    <t>Weight category</t>
  </si>
  <si>
    <t>exp_weight_gain</t>
  </si>
  <si>
    <t>Expected weight gain during pregnancy is based on the woman's weight category.</t>
  </si>
  <si>
    <t>if({weight_cat}="Underweight", "12.5 - 18", if({weight_cat}="Normal Weight", "11.5 - 16", if({weight_cat}="Overweight", "7 - 11.5kg")), "5 - 9")</t>
  </si>
  <si>
    <t>Expected weight gain</t>
  </si>
  <si>
    <t>weight_gain</t>
  </si>
  <si>
    <t>Average weight gain per week since last contact (in kg). This would only display starting at the 2nd contact.</t>
  </si>
  <si>
    <t>({current_weight} [from this contact] - {current_weight} [from most recent contact]) / (({today} - {last contact date}) / 7)</t>
  </si>
  <si>
    <t>Weight gain</t>
  </si>
  <si>
    <t>tot_weight_gain</t>
  </si>
  <si>
    <t>Total weight gain in pregnancy so far (in kg).</t>
  </si>
  <si>
    <t>{current_weight} - {first_weight}</t>
  </si>
  <si>
    <t>Total weight gain</t>
  </si>
  <si>
    <t>Systolic blood pressure (SBP) (mmHg)</t>
  </si>
  <si>
    <t>Blood Pressure</t>
  </si>
  <si>
    <t>bp_systolic</t>
  </si>
  <si>
    <t>The woman's systolic blood pressure in mmHg.</t>
  </si>
  <si>
    <t>&gt;= 60 and &lt;= 260</t>
  </si>
  <si>
    <t>Either {bp_systolic} and {bp_diastolic} are required or this checkbox is required.</t>
  </si>
  <si>
    <t>Concept - Systolic blood pressure</t>
  </si>
  <si>
    <t>5085AAAAAAAAAAAAAAAAAAAAAAAAAAAAAAAA</t>
  </si>
  <si>
    <t>Diastolic blood pressure (DBP) (mmHg)</t>
  </si>
  <si>
    <t>bp_diastolic</t>
  </si>
  <si>
    <t>The woman's diastolic blood pressure in mmHg.</t>
  </si>
  <si>
    <t>35094-2</t>
  </si>
  <si>
    <t>Concept - Diastolic blood pressure</t>
  </si>
  <si>
    <t>5086AAAAAAAAAAAAAAAAAAAAAAAAAAAAAAAA</t>
  </si>
  <si>
    <t>["Unable to record BP" checkbox underneath {bp_systolic} and
{bp_diastolic} fields]</t>
  </si>
  <si>
    <t>cant_record_bp</t>
  </si>
  <si>
    <t>A checkbox for the health worker to indicate that she's unable to record BP.</t>
  </si>
  <si>
    <t>Reason - Can't record BP</t>
  </si>
  <si>
    <t>Reason</t>
  </si>
  <si>
    <t>cant_record_bp_reason</t>
  </si>
  <si>
    <t>The reason why the health worker is unable to record the woman's BP in this contact visit.</t>
  </si>
  <si>
    <t>Concept - Reason blood pressure not taken</t>
  </si>
  <si>
    <t>165428AAAAAAAAAAAAAAAAAAAAAAAAAAAAAA</t>
  </si>
  <si>
    <t>BP cuff (sphygmomanometer) not available</t>
  </si>
  <si>
    <t>Concept - Equipment not available</t>
  </si>
  <si>
    <t>165386AAAAAAAAAAAAAAAAAAAAAAAAAAAAAA</t>
  </si>
  <si>
    <t>BP cuff (sphygmomanometer) is broken</t>
  </si>
  <si>
    <t>Concept - Equipment malfunction</t>
  </si>
  <si>
    <t>165179AAAAAAAAAAAAAAAAAAAAAAAAAAAAAA</t>
  </si>
  <si>
    <t>Other</t>
  </si>
  <si>
    <t>SBP after 10-15 minutes rest</t>
  </si>
  <si>
    <t>bp_systolic_repeat</t>
  </si>
  <si>
    <t>Repeat measurement of the woman's systolic blood pressure in mmHg.</t>
  </si>
  <si>
    <t>Concept - Systolic blood pressure after 10-15 minutes rest</t>
  </si>
  <si>
    <t>165278AAAAAAAAAAAAAAAAAAAAAAAAAAAAAA</t>
  </si>
  <si>
    <t>DBP after 10-15 minutes rest</t>
  </si>
  <si>
    <t>bp_diastolic_repeat</t>
  </si>
  <si>
    <t>Repeat measurement of the woman's diastolic blood pressure in mmHg.</t>
  </si>
  <si>
    <t>Concept - Diastolic blood pressure after 10-15 minutes rest</t>
  </si>
  <si>
    <t>165279AAAAAAAAAAAAAAAAAAAAAAAAAAAAAA</t>
  </si>
  <si>
    <t>Any symptoms of severe pre-eclampsia?</t>
  </si>
  <si>
    <t>symp_sev_preeclampsia</t>
  </si>
  <si>
    <t>Check if the woman has any of the following symptoms of severe pre-eclampsia.</t>
  </si>
  <si>
    <t>"None" cannot be selected with any other symptom.</t>
  </si>
  <si>
    <t>Concept - Symptoms of severe pre-eclampsia</t>
  </si>
  <si>
    <t>165280AAAAAAAAAAAAAAAAAAAAAAAAAAAAAA</t>
  </si>
  <si>
    <t>Blurred vision</t>
  </si>
  <si>
    <t>H53.8</t>
  </si>
  <si>
    <t>Concept - Blurred vision</t>
  </si>
  <si>
    <t>147104AAAAAAAAAAAAAAAAAAAAAAAAAAAAAA</t>
  </si>
  <si>
    <t>Epigastric pain</t>
  </si>
  <si>
    <t>R10.1</t>
  </si>
  <si>
    <t>Concept - Epigastric pain</t>
  </si>
  <si>
    <t>141128AAAAAAAAAAAAAAAAAAAAAAAAAAAAAA</t>
  </si>
  <si>
    <t>Vomiting</t>
  </si>
  <si>
    <t>Concept - Vomiting</t>
  </si>
  <si>
    <t>122983AAAAAAAAAAAAAAAAAAAAAAAAAAAAAA</t>
  </si>
  <si>
    <t>Urine dipstick result - protein - Blood Pressure</t>
  </si>
  <si>
    <t>Urine dipstick result - protein</t>
  </si>
  <si>
    <t>urine_protein</t>
  </si>
  <si>
    <t>Enter the result for the dipstick test - protein.</t>
  </si>
  <si>
    <t>Concept - URINE PROTEIN (DIP STICK)</t>
  </si>
  <si>
    <t>1875AAAAAAAAAAAAAAAAAAAAAAAAAAAAAAAA</t>
  </si>
  <si>
    <t>+</t>
  </si>
  <si>
    <t>Concept - One plus</t>
  </si>
  <si>
    <t>1362AAAAAAAAAAAAAAAAAAAAAAAAAAAAAAAA</t>
  </si>
  <si>
    <t>++</t>
  </si>
  <si>
    <t>Concept - Two plus</t>
  </si>
  <si>
    <t>1363AAAAAAAAAAAAAAAAAAAAAAAAAAAAAAAA</t>
  </si>
  <si>
    <t>+++</t>
  </si>
  <si>
    <t>Concept - Three plus</t>
  </si>
  <si>
    <t>1364AAAAAAAAAAAAAAAAAAAAAAAAAAAAAAAA</t>
  </si>
  <si>
    <t>++++</t>
  </si>
  <si>
    <t>Concept - Four plus</t>
  </si>
  <si>
    <t>1365AAAAAAAAAAAAAAAAAAAAAAAAAAAAAAAA</t>
  </si>
  <si>
    <t>Temperature (ºC)</t>
  </si>
  <si>
    <t>Maternal Exam</t>
  </si>
  <si>
    <t>body_temp</t>
  </si>
  <si>
    <t>The woman's body temperature in degrees Celsius.</t>
  </si>
  <si>
    <t>&gt;= 35 and &lt;= 42</t>
  </si>
  <si>
    <t>SNOMED-NP: 386725007</t>
  </si>
  <si>
    <t>Concept - Temperature (C)                                 </t>
  </si>
  <si>
    <t>5088AAAAAAAAAAAAAAAAAAAAAAAAAAAAAAAA</t>
  </si>
  <si>
    <t>Second temperature (ºC)</t>
  </si>
  <si>
    <t>body_temp_repeat</t>
  </si>
  <si>
    <t>The woman's body temperature in degrees Celsius (second reading).</t>
  </si>
  <si>
    <t>Woman has a fever. Provide treatment and refer urgently to hospital!</t>
  </si>
  <si>
    <t>Toaster Message</t>
  </si>
  <si>
    <t>Counseling on what to do if the woman has a high fever.</t>
  </si>
  <si>
    <t>Pulse rate (bpm)</t>
  </si>
  <si>
    <t>pulse_rate</t>
  </si>
  <si>
    <t>The woman's pulse rate in beats per minute.</t>
  </si>
  <si>
    <t>&gt;= 50 and &lt;= 200</t>
  </si>
  <si>
    <t>Concept - Pulse</t>
  </si>
  <si>
    <t>5087AAAAAAAAAAAAAAAAAAAAAAAAAAAAAAAA</t>
  </si>
  <si>
    <t>Second pulse rate (bpm)</t>
  </si>
  <si>
    <t>pulse_rate_repeat</t>
  </si>
  <si>
    <t>The woman's pulse rate in beats per minute (second reading).</t>
  </si>
  <si>
    <t>Pallor present?</t>
  </si>
  <si>
    <t>pallor</t>
  </si>
  <si>
    <t>Whether or not the woman has pallor.</t>
  </si>
  <si>
    <t xml:space="preserve">No </t>
  </si>
  <si>
    <t>R23.1</t>
  </si>
  <si>
    <t>Concept - Pallor</t>
  </si>
  <si>
    <t>5245AAAAAAAAAAAAAAAAAAAAAAAAAAAAAAAA</t>
  </si>
  <si>
    <t>Respiratory exam</t>
  </si>
  <si>
    <t>repiratory_exam</t>
  </si>
  <si>
    <t>The woman's respiratory condition.</t>
  </si>
  <si>
    <t>Concept - Respiratory exam performance status</t>
  </si>
  <si>
    <t>165367AAAAAAAAAAAAAAAAAAAAAAAAAAAAAA</t>
  </si>
  <si>
    <t>Not done</t>
  </si>
  <si>
    <t>Concept - Not done</t>
  </si>
  <si>
    <t>1118AAAAAAAAAAAAAAAAAAAAAAAAAAAAAAAA</t>
  </si>
  <si>
    <t>Normal</t>
  </si>
  <si>
    <t>Concept - Normal</t>
  </si>
  <si>
    <t>1115AAAAAAAAAAAAAAAAAAAAAAAAAAAAAAAA</t>
  </si>
  <si>
    <t>Abnormal</t>
  </si>
  <si>
    <t>Concept - Abnormal</t>
  </si>
  <si>
    <t>1116AAAAAAAAAAAAAAAAAAAAAAAAAAAAAAAA</t>
  </si>
  <si>
    <t>Abnormal (specify) - Respiratory Exam</t>
  </si>
  <si>
    <t>Abnormal (specify)</t>
  </si>
  <si>
    <t>repiratory_exam_abnormal</t>
  </si>
  <si>
    <t>Select the reason(s) for the woman's abnormal exam.</t>
  </si>
  <si>
    <t>Concept - Chest exam findings</t>
  </si>
  <si>
    <t>1123AAAAAAAAAAAAAAAAAAAAAAAAAAAAAAAA</t>
  </si>
  <si>
    <t>Dyspnoea</t>
  </si>
  <si>
    <t>Concept - Dyspnea</t>
  </si>
  <si>
    <t>122496AAAAAAAAAAAAAAAAAAAAAAAAAAAAAA</t>
  </si>
  <si>
    <t>Rapid breathing</t>
  </si>
  <si>
    <t>Concept - TACHYPNEA</t>
  </si>
  <si>
    <t>125061AAAAAAAAAAAAAAAAAAAAAAAAAAAAAA</t>
  </si>
  <si>
    <t>Slow breathing</t>
  </si>
  <si>
    <t>&gt; R06.8</t>
  </si>
  <si>
    <t>Concept - Bradypnoea</t>
  </si>
  <si>
    <t>126356AAAAAAAAAAAAAAAAAAAAAAAAAAAAAA</t>
  </si>
  <si>
    <t>Wheezing</t>
  </si>
  <si>
    <t>Concept - WHEEZE</t>
  </si>
  <si>
    <t>5209AAAAAAAAAAAAAAAAAAAAAAAAAAAAAAAA</t>
  </si>
  <si>
    <t>Rales</t>
  </si>
  <si>
    <t>&gt; R09.8</t>
  </si>
  <si>
    <t>Concept - Respiratory Crackles</t>
  </si>
  <si>
    <t>127640AAAAAAAAAAAAAAAAAAAAAAAAAAAAAA</t>
  </si>
  <si>
    <t>Chest exam findings - 1123AAAAAAAAAAAAAAAAAAAAAAAAAAAAAAAA</t>
  </si>
  <si>
    <t>Specify - Abnormal Respiratory exam</t>
  </si>
  <si>
    <t>repiratory_exam_abnormal_other</t>
  </si>
  <si>
    <t>Specify any other discovery made during the respiratory exam.</t>
  </si>
  <si>
    <t>Oximetry (%)</t>
  </si>
  <si>
    <t>oximetry</t>
  </si>
  <si>
    <t>The measure of the oxygen saturation in the woman's blood. This is usually measured using a pulse oximeter medical device.</t>
  </si>
  <si>
    <t>&gt;= 0 and &lt;= 100</t>
  </si>
  <si>
    <t xml:space="preserve">&lt; 2710-2	</t>
  </si>
  <si>
    <t>Concept - Blood oxygen saturation</t>
  </si>
  <si>
    <t>5092AAAAAAAAAAAAAAAAAAAAAAAAAAAAAAAA</t>
  </si>
  <si>
    <t>Cardiac exam</t>
  </si>
  <si>
    <t>cardiac_exam</t>
  </si>
  <si>
    <t>The woman's cardiac condition.</t>
  </si>
  <si>
    <t>Concept - Cardiac examination performance status</t>
  </si>
  <si>
    <t>165368AAAAAAAAAAAAAAAAAAAAAAAAAAAAAA</t>
  </si>
  <si>
    <t>Abnormal (specify) - Cardiac Exam</t>
  </si>
  <si>
    <t>cardiac_exam_abnormal</t>
  </si>
  <si>
    <t>Concept - Cardiac exam findings</t>
  </si>
  <si>
    <t>1124AAAAAAAAAAAAAAAAAAAAAAAAAAAAAAAA</t>
  </si>
  <si>
    <t>Heart murmur</t>
  </si>
  <si>
    <t>R01.1</t>
  </si>
  <si>
    <t>Concept - Heart Murmur</t>
  </si>
  <si>
    <t>139063AAAAAAAAAAAAAAAAAAAAAAAAAAAAAA</t>
  </si>
  <si>
    <t>Weak pulse</t>
  </si>
  <si>
    <t>R09.8</t>
  </si>
  <si>
    <t>Concept - Weak Pulse</t>
  </si>
  <si>
    <t>124823AAAAAAAAAAAAAAAAAAAAAAAAAAAAAA</t>
  </si>
  <si>
    <t>Tachycardia</t>
  </si>
  <si>
    <t>&lt;R00.0</t>
  </si>
  <si>
    <t>Concept - Tachycardia</t>
  </si>
  <si>
    <t>125063AAAAAAAAAAAAAAAAAAAAAAAAAAAAAA</t>
  </si>
  <si>
    <t>Bradycardia</t>
  </si>
  <si>
    <t>R00.1</t>
  </si>
  <si>
    <t>Concept - Bradycardia</t>
  </si>
  <si>
    <t>147020AAAAAAAAAAAAAAAAAAAAAAAAAAAAAA</t>
  </si>
  <si>
    <t>Arrhythmia</t>
  </si>
  <si>
    <t>I49.9</t>
  </si>
  <si>
    <t>Concept - Cardiac Dysrhythmia</t>
  </si>
  <si>
    <t>120148AAAAAAAAAAAAAAAAAAAAAAAAAAAAAA</t>
  </si>
  <si>
    <t>Cyanosis</t>
  </si>
  <si>
    <t>R23.0</t>
  </si>
  <si>
    <t>Concept - Cyanosis</t>
  </si>
  <si>
    <t>143050AAAAAAAAAAAAAAAAAAAAAAAAAAAAAA</t>
  </si>
  <si>
    <t>Cold sweats</t>
  </si>
  <si>
    <t>Concept - Cold sweat</t>
  </si>
  <si>
    <t>165281AAAAAAAAAAAAAAAAAAAAAAAAAAAAAA</t>
  </si>
  <si>
    <t>&lt;74964007</t>
  </si>
  <si>
    <t>Cardiac exam findings - 1124AAAAAAAAAAAAAAAAAAAAAAAAAAAAAAAA</t>
  </si>
  <si>
    <t>Specify - Abnormal Cardiac Exam</t>
  </si>
  <si>
    <t>cardiac_exam_abnormal_other</t>
  </si>
  <si>
    <t>Specify any other discovery made during the cardiac exam.</t>
  </si>
  <si>
    <t xml:space="preserve">&lt; 48767-8	</t>
  </si>
  <si>
    <t>Breast exam</t>
  </si>
  <si>
    <t>breast_exam</t>
  </si>
  <si>
    <t>Whether or not the result of the breast exam is normal.</t>
  </si>
  <si>
    <t>Concept - Breast examination performance status</t>
  </si>
  <si>
    <t>165369AAAAAAAAAAAAAAAAAAAAAAAAAAAAAA</t>
  </si>
  <si>
    <t>Abnormal (specify) - Breast Exam</t>
  </si>
  <si>
    <t>breast_exam_abnormal</t>
  </si>
  <si>
    <t>Concept - Physical exam findings, breast</t>
  </si>
  <si>
    <t>159780AAAAAAAAAAAAAAAAAAAAAAAAAAAAAA</t>
  </si>
  <si>
    <t>Nodule</t>
  </si>
  <si>
    <t>N63</t>
  </si>
  <si>
    <t>Concept - Breast Lump</t>
  </si>
  <si>
    <t>146931AAAAAAAAAAAAAAAAAAAAAAAAAAAAAA</t>
  </si>
  <si>
    <t>Discharge</t>
  </si>
  <si>
    <t>N64.5</t>
  </si>
  <si>
    <t>Concept - Discharge from Nipple</t>
  </si>
  <si>
    <t>142248AAAAAAAAAAAAAAAAAAAAAAAAAAAAAA</t>
  </si>
  <si>
    <t>Flushing</t>
  </si>
  <si>
    <t>R23.2</t>
  </si>
  <si>
    <t>Concept - Flushing</t>
  </si>
  <si>
    <t>140039AAAAAAAAAAAAAAAAAAAAAAAAAAAAAA</t>
  </si>
  <si>
    <t>Local pain</t>
  </si>
  <si>
    <t>N64.4</t>
  </si>
  <si>
    <t>Concept - Pain of Breast</t>
  </si>
  <si>
    <t>131021AAAAAAAAAAAAAAAAAAAAAAAAAAAAAA</t>
  </si>
  <si>
    <t>Bleeding</t>
  </si>
  <si>
    <t>&lt; N64.5</t>
  </si>
  <si>
    <t>Concept - Bleeding from Breast</t>
  </si>
  <si>
    <t>147236AAAAAAAAAAAAAAAAAAAAAAAAAAAAAA</t>
  </si>
  <si>
    <t>Increased temperature</t>
  </si>
  <si>
    <t>Concept - Increased skin temperature</t>
  </si>
  <si>
    <t>165282AAAAAAAAAAAAAAAAAAAAAAAAAAAAAA</t>
  </si>
  <si>
    <t>&lt;SNOMED NP 74964007</t>
  </si>
  <si>
    <t>Physical exam findings, breast - 159780AAAAAAAAAAAAAAAAAAAAAAAAAAAAAA</t>
  </si>
  <si>
    <t>Specify - Abnormal Breast Exam</t>
  </si>
  <si>
    <t>breast_exam_abnormal_other</t>
  </si>
  <si>
    <t>Specify any other discovery made during the breast exam.</t>
  </si>
  <si>
    <t>Abdominal exam</t>
  </si>
  <si>
    <t>abdominal_exam</t>
  </si>
  <si>
    <t>Whether or not the result of the abdominal exam is normal.</t>
  </si>
  <si>
    <t>Concept - Abdominal exam performance status</t>
  </si>
  <si>
    <t>165370AAAAAAAAAAAAAAAAAAAAAAAAAAAAAA</t>
  </si>
  <si>
    <t>Abnormal (specify) - Abdominal Exam</t>
  </si>
  <si>
    <t>abdominal_exam_abnormal</t>
  </si>
  <si>
    <t>Concept - Abdominal exam findings</t>
  </si>
  <si>
    <t>1125AAAAAAAAAAAAAAAAAAAAAAAAAAAAAAAA</t>
  </si>
  <si>
    <t>Mass/tumour</t>
  </si>
  <si>
    <t>Concept - Abdominal mass</t>
  </si>
  <si>
    <t>5103AAAAAAAAAAAAAAAAAAAAAAAAAAAAAAAA</t>
  </si>
  <si>
    <t>Pain on superficial palpation</t>
  </si>
  <si>
    <t>Concept - Pain on superficial palpation</t>
  </si>
  <si>
    <t>165283AAAAAAAAAAAAAAAAAAAAAAAAAAAAAA</t>
  </si>
  <si>
    <t>Pain on deep palpation</t>
  </si>
  <si>
    <t>Concept - Pain on deep palpation</t>
  </si>
  <si>
    <t>165284AAAAAAAAAAAAAAAAAAAAAAAAAAAAAA</t>
  </si>
  <si>
    <t>Painful decompression</t>
  </si>
  <si>
    <t>Concept - rebound tenderness, abdomen</t>
  </si>
  <si>
    <t>127866AAAAAAAAAAAAAAAAAAAAAAAAAAAAAA</t>
  </si>
  <si>
    <t>Abdominal exam findings - 1125AAAAAAAAAAAAAAAAAAAAAAAAAAAAAAAA</t>
  </si>
  <si>
    <t>Specify - Abnormal Abdominal Exam</t>
  </si>
  <si>
    <t>abdominal_exam_abnormal_other</t>
  </si>
  <si>
    <t>Specify any other discovery made during the abdominal exam.</t>
  </si>
  <si>
    <t>Pelvic exam (visual)</t>
  </si>
  <si>
    <t>pelvic_exam</t>
  </si>
  <si>
    <t>Whether or not the result of the pelvic exam is normal.</t>
  </si>
  <si>
    <t>Concept - Pelvic examination performance status</t>
  </si>
  <si>
    <t>165373AAAAAAAAAAAAAAAAAAAAAAAAAAAAAA</t>
  </si>
  <si>
    <t>Abnormal (specify) - Pelvic Exam</t>
  </si>
  <si>
    <t>pelvic_exam_abnormal</t>
  </si>
  <si>
    <t>Concept - Pelvic examination findings</t>
  </si>
  <si>
    <t>165372AAAAAAAAAAAAAAAAAAAAAAAAAAAAAA</t>
  </si>
  <si>
    <t>Physiological vaginal discharge</t>
  </si>
  <si>
    <t>Concept - Physiologic vaginal discharge</t>
  </si>
  <si>
    <t>165285AAAAAAAAAAAAAAAAAAAAAAAAAAAAAA</t>
  </si>
  <si>
    <t>&lt;N89.8</t>
  </si>
  <si>
    <t>Evidence of amniotic fluid</t>
  </si>
  <si>
    <t xml:space="preserve">       High caffeine intake</t>
  </si>
  <si>
    <t>Concept - Amniotic Fluid Leaking</t>
  </si>
  <si>
    <t>Foul-smelling vaginal discharge</t>
  </si>
  <si>
    <t xml:space="preserve">       Current tobacco use or recently quit</t>
  </si>
  <si>
    <t>Concept - Foul smelling vaginal discharge</t>
  </si>
  <si>
    <t>165162AAAAAAAAAAAAAAAAAAAAAAAAAAAAAA</t>
  </si>
  <si>
    <t>Clusters of erythematous papules</t>
  </si>
  <si>
    <t>Concept - Vaginal papules</t>
  </si>
  <si>
    <t>165286AAAAAAAAAAAAAAAAAAAAAAAAAAAAAA</t>
  </si>
  <si>
    <t>Vesicles</t>
  </si>
  <si>
    <t xml:space="preserve">       Exposure to second-hand smoke in the home</t>
  </si>
  <si>
    <t>Concept - Mucosal Vesicle</t>
  </si>
  <si>
    <t>133798AAAAAAAAAAAAAAAAAAAAAAAAAAAAAA</t>
  </si>
  <si>
    <t>Genital ulcer</t>
  </si>
  <si>
    <t>Concept - female genital ulcer disease</t>
  </si>
  <si>
    <t>153872AAAAAAAAAAAAAAAAAAAAAAAAAAAAAA</t>
  </si>
  <si>
    <t>Genital pain</t>
  </si>
  <si>
    <t xml:space="preserve">       No condom use during sex</t>
  </si>
  <si>
    <t>Concept - Vaginal Pain</t>
  </si>
  <si>
    <t>123385AAAAAAAAAAAAAAAAAAAAAAAAAAAAAA</t>
  </si>
  <si>
    <t>Tender bilateral inguinal and femoral lymphadenopathy</t>
  </si>
  <si>
    <t>Concept - Tender bilateral inguinal and femoral lymphadenopathy</t>
  </si>
  <si>
    <t>165287AAAAAAAAAAAAAAAAAAAAAAAAAAAAAA</t>
  </si>
  <si>
    <t>Cervical friability</t>
  </si>
  <si>
    <t>Concept - Friable cervix</t>
  </si>
  <si>
    <t>165288AAAAAAAAAAAAAAAAAAAAAAAAAAAAAA</t>
  </si>
  <si>
    <t>Mucopurulent cervicitis</t>
  </si>
  <si>
    <t>Concept - Mucopurulent cervicitis</t>
  </si>
  <si>
    <t>165371AAAAAAAAAAAAAAAAAAAAAAAAAAAAAA</t>
  </si>
  <si>
    <t>Tender unilateral lymphadenopathy</t>
  </si>
  <si>
    <t>Concept - Tender unilateral pelvic lymphadenopathy</t>
  </si>
  <si>
    <t>165289AAAAAAAAAAAAAAAAAAAAAAAAAAAAAA</t>
  </si>
  <si>
    <t>Curd-like vaginal discharge</t>
  </si>
  <si>
    <t>Concept - Creamy vaginal discharge</t>
  </si>
  <si>
    <t>165290AAAAAAAAAAAAAAAAAAAAAAAAAAAAAA</t>
  </si>
  <si>
    <t>Pelvic examination findings - 165372AAAAAAAAAAAAAAAAAAAAAAAAAAAAAA</t>
  </si>
  <si>
    <t>Specify - Abnormal Pelvic exam</t>
  </si>
  <si>
    <t>pelvic_exam_abnormal_other</t>
  </si>
  <si>
    <t>Specify any other discovery made during the pelvic exam.</t>
  </si>
  <si>
    <t>Cervical exam done?</t>
  </si>
  <si>
    <t>cervical_exam</t>
  </si>
  <si>
    <t>Whether or not the health worker performed a cervical exam.</t>
  </si>
  <si>
    <t>Concept - Cervical examination performance status</t>
  </si>
  <si>
    <t>165374AAAAAAAAAAAAAAAAAAAAAAAAAAAAAA</t>
  </si>
  <si>
    <t>Done</t>
  </si>
  <si>
    <t xml:space="preserve">       Nausea and vomiting</t>
  </si>
  <si>
    <t>&lt;O42.9</t>
  </si>
  <si>
    <t xml:space="preserve">How many centimetres (cm) dilated? </t>
  </si>
  <si>
    <t>dilation_cm</t>
  </si>
  <si>
    <t>If a cervical exam was done, how many centimeters is the cervix dilated?</t>
  </si>
  <si>
    <t>&gt;= 0 and &lt;= 10</t>
  </si>
  <si>
    <t xml:space="preserve">Concept - Amount of cervical dilation </t>
  </si>
  <si>
    <t>162261AAAAAAAAAAAAAAAAAAAAAAAAAAAAAA</t>
  </si>
  <si>
    <t>Oedema present?</t>
  </si>
  <si>
    <t>oedema</t>
  </si>
  <si>
    <t>Whether or not the woman has oedema.</t>
  </si>
  <si>
    <t>&lt;R60.9</t>
  </si>
  <si>
    <t>Oedema type</t>
  </si>
  <si>
    <t>oedema_type</t>
  </si>
  <si>
    <t>Select the type of oedema the woman has.</t>
  </si>
  <si>
    <t>Concept - Edema type</t>
  </si>
  <si>
    <t>165292AAAAAAAAAAAAAAAAAAAAAAAAAAAAAA</t>
  </si>
  <si>
    <t>Pitting ankle oedema</t>
  </si>
  <si>
    <t>Concept - ankle edema</t>
  </si>
  <si>
    <t>155113AAAAAAAAAAAAAAAAAAAAAAAAAAAAAA</t>
  </si>
  <si>
    <t>Oedema of the hands and feet</t>
  </si>
  <si>
    <t>Concept - Oedema of the hands and feet</t>
  </si>
  <si>
    <t>165375AAAAAAAAAAAAAAAAAAAAAAAAAAAAAA</t>
  </si>
  <si>
    <t>Pitting lower back oedema</t>
  </si>
  <si>
    <t>Concept - Edema of back</t>
  </si>
  <si>
    <t>165291AAAAAAAAAAAAAAAAAAAAAAAAAAAAAA</t>
  </si>
  <si>
    <t xml:space="preserve">       Varicose veins</t>
  </si>
  <si>
    <t>Leg swelling</t>
  </si>
  <si>
    <t>Concept - Edema of Leg</t>
  </si>
  <si>
    <t>141478AAAAAAAAAAAAAAAAAAAAAAAAAAAAAA</t>
  </si>
  <si>
    <t>Oedema severity</t>
  </si>
  <si>
    <t>oedema_severity</t>
  </si>
  <si>
    <t>Select the severity of the oedema the woman has.</t>
  </si>
  <si>
    <t>Concept - Edema grading</t>
  </si>
  <si>
    <t>164494AAAAAAAAAAAAAAAAAAAAAAAAAAAAAA</t>
  </si>
  <si>
    <t>Symphysis-fundal height (SFH) in centimetres (cm)</t>
  </si>
  <si>
    <t>Fetal</t>
  </si>
  <si>
    <t>sfh</t>
  </si>
  <si>
    <t>The symphysis-fundal height (SFH) in centimetres.</t>
  </si>
  <si>
    <t>&gt; 0 and &lt;= 44</t>
  </si>
  <si>
    <t>11881-0</t>
  </si>
  <si>
    <t xml:space="preserve">Concept - FUNDAL HEIGHT </t>
  </si>
  <si>
    <t>Fetal movement felt?</t>
  </si>
  <si>
    <t>fetal_movement</t>
  </si>
  <si>
    <t>Whether or not the health worker observes fetal movement.</t>
  </si>
  <si>
    <t>Concept - Fetal movements present                                  </t>
  </si>
  <si>
    <t>165376AAAAAAAAAAAAAAAAAAAAAAAAAAAAAA</t>
  </si>
  <si>
    <t xml:space="preserve">       Extreme pelvic pain, can't walk (symphysis pubis dysfunction)</t>
  </si>
  <si>
    <t>Fetal heartbeat present?</t>
  </si>
  <si>
    <t>fetal_heartbeat</t>
  </si>
  <si>
    <t>Whether or not the health worker observes a fetal heartbeat.</t>
  </si>
  <si>
    <t>Concept - Fetal heart rate present</t>
  </si>
  <si>
    <t>165377AAAAAAAAAAAAAAAAAAAAAAAAAAAAAA</t>
  </si>
  <si>
    <t>Fetal heart rate (bpm)</t>
  </si>
  <si>
    <t>fetal_heart_rate</t>
  </si>
  <si>
    <t>The fetal heart rate in beats per minute (bpm).</t>
  </si>
  <si>
    <t>&gt;= 80 and &lt;= 200</t>
  </si>
  <si>
    <t>Concept - Fetal heart rate</t>
  </si>
  <si>
    <t>1440AAAAAAAAAAAAAAAAAAAAAAAAAAAAAAAA</t>
  </si>
  <si>
    <t>Second fetal heart rate (bpm)</t>
  </si>
  <si>
    <t>fetal_heart_rate_repeat</t>
  </si>
  <si>
    <t>The fetal heart rate in beats per minute (second reading).</t>
  </si>
  <si>
    <t>No. of fetuses</t>
  </si>
  <si>
    <t>no_of_fetuses</t>
  </si>
  <si>
    <t>Indicate the number of fetuses the woman is carrying.</t>
  </si>
  <si>
    <t>1-8 only.</t>
  </si>
  <si>
    <t>Either {no_of_fetuses} is entered or Unknown checkbox is checked, but not both.</t>
  </si>
  <si>
    <t>First contact, but can be edited later</t>
  </si>
  <si>
    <t>Concept - Number of fetuses</t>
  </si>
  <si>
    <t>165293AAAAAAAAAAAAAAAAAAAAAAAAAAAAAA</t>
  </si>
  <si>
    <t>[No. of fetuses unknown checkbox]</t>
  </si>
  <si>
    <t>no_of_fetuses_unknown</t>
  </si>
  <si>
    <t>If number of fetuses cannot be determined at this time, check this checkbox.</t>
  </si>
  <si>
    <t>Concept - Unknown number of fetuses</t>
  </si>
  <si>
    <t>165294AAAAAAAAAAAAAAAAAAAAAAAAAAAAAA</t>
  </si>
  <si>
    <t>Fetal presentation - Tests</t>
  </si>
  <si>
    <t>Fetal presentation</t>
  </si>
  <si>
    <t>fetal_presentation</t>
  </si>
  <si>
    <t>If a single fetus only, indicate the presentation of the fetus in the uterus.</t>
  </si>
  <si>
    <t>Every contact if {gest_age} &gt;= 28</t>
  </si>
  <si>
    <t xml:space="preserve">Concept - Fetal presentation </t>
  </si>
  <si>
    <t>160090AAAAAAAAAAAAAAAAAAAAAAAAAAAAAA</t>
  </si>
  <si>
    <t>Cephalic</t>
  </si>
  <si>
    <t>Concept - Vertex presentation</t>
  </si>
  <si>
    <t>160091AAAAAAAAAAAAAAAAAAAAAAAAAAAAAA</t>
  </si>
  <si>
    <t>Pelvic</t>
  </si>
  <si>
    <t>Concept - BREECH PRESENTATION</t>
  </si>
  <si>
    <t>146922AAAAAAAAAAAAAAAAAAAAAAAAAAAAAA</t>
  </si>
  <si>
    <t>Transverse</t>
  </si>
  <si>
    <t>Concept - Transverse or Oblique Fetal Presentation</t>
  </si>
  <si>
    <t>112259AAAAAAAAAAAAAAAAAAAAAAAAAAAAAA</t>
  </si>
  <si>
    <t>Ultrasound test</t>
  </si>
  <si>
    <t>Ultrasound</t>
  </si>
  <si>
    <t>Tests</t>
  </si>
  <si>
    <t>ultrasound</t>
  </si>
  <si>
    <t>Record whether an ultrasound was done at this contact visit.</t>
  </si>
  <si>
    <t>First contact if {gest_age} &lt; 24, otherwise optional in other section</t>
  </si>
  <si>
    <t xml:space="preserve">       Breathing difficulty</t>
  </si>
  <si>
    <t>Obstetric ultrasound done during pregnancy - 159617AAAAAAAAAAAAAAAAAAAAAAAAAAAAAA</t>
  </si>
  <si>
    <t>Concept - Test status</t>
  </si>
  <si>
    <t>163725AAAAAAAAAAAAAAAAAAAAAAAAAAAAAA</t>
  </si>
  <si>
    <t>Done today</t>
  </si>
  <si>
    <t xml:space="preserve">       Breathless during routine activities</t>
  </si>
  <si>
    <t>Concept - Test performed on day of visit during active encounter</t>
  </si>
  <si>
    <t>165383AAAAAAAAAAAAAAAAAAAAAAAAAAAAAA</t>
  </si>
  <si>
    <t>Done earlier</t>
  </si>
  <si>
    <t xml:space="preserve">       Cough lasting more than 3 weeks</t>
  </si>
  <si>
    <t>Concept - Test performed earlier before current visit/encounter</t>
  </si>
  <si>
    <t>165385AAAAAAAAAAAAAAAAAAAAAAAAAAAAAA</t>
  </si>
  <si>
    <t>Ordered</t>
  </si>
  <si>
    <t>Concept - Ordered</t>
  </si>
  <si>
    <t>165384AAAAAAAAAAAAAAAAAAAAAAAAAAAAAA</t>
  </si>
  <si>
    <t>Reason Ultrasound test not done</t>
  </si>
  <si>
    <t/>
  </si>
  <si>
    <t>ultrasound_notdone</t>
  </si>
  <si>
    <t>Select the reason why an ultrasound test was not done.</t>
  </si>
  <si>
    <t xml:space="preserve">       Gets tired easily</t>
  </si>
  <si>
    <t>Concept - Reason for no lab test performed</t>
  </si>
  <si>
    <t>165182AAAAAAAAAAAAAAAAAAAAAAAAAAAAAA</t>
  </si>
  <si>
    <t>Delayed to next contact</t>
  </si>
  <si>
    <t>Concept - Delayed to next contact</t>
  </si>
  <si>
    <t>165295AAAAAAAAAAAAAAAAAAAAAAAAAAAAAA</t>
  </si>
  <si>
    <t>Not available</t>
  </si>
  <si>
    <t>Specify - Reason Ultrasound test not done</t>
  </si>
  <si>
    <t>ultrasound_notdone_other</t>
  </si>
  <si>
    <t>Specify any other reason why the ultrasound test was not done.</t>
  </si>
  <si>
    <t>Concept - Reason lab test not done (text)</t>
  </si>
  <si>
    <t>165435AAAAAAAAAAAAAAAAAAAAAAAAAAAAAA</t>
  </si>
  <si>
    <t xml:space="preserve">       Vaginal discharge</t>
  </si>
  <si>
    <t>Clarify or remove</t>
  </si>
  <si>
    <t>Concept - Date test completed</t>
  </si>
  <si>
    <t>163724AAAAAAAAAAAAAAAAAAAAAAAAAAAAAA</t>
  </si>
  <si>
    <t>Remove</t>
  </si>
  <si>
    <t>GA from ultrasound - days (Tests)</t>
  </si>
  <si>
    <t>&lt;SNOMED NP 445872007</t>
  </si>
  <si>
    <t>No. of fetuses detected in ultrasound</t>
  </si>
  <si>
    <t>Number of fetuses detected during ultrasound.</t>
  </si>
  <si>
    <t>&lt;SNOMED NP 246435002</t>
  </si>
  <si>
    <t>Concept - Number of fetuses detected on ultrasound</t>
  </si>
  <si>
    <t>165387AAAAAAAAAAAAAAAAAAAAAAAAAAAAAA</t>
  </si>
  <si>
    <t>Fetal presentation - Ultrasound</t>
  </si>
  <si>
    <t xml:space="preserve">Presentation of fetus(es) detected during ultrasound. </t>
  </si>
  <si>
    <t>&lt;O32.1</t>
  </si>
  <si>
    <t>O32.2</t>
  </si>
  <si>
    <t xml:space="preserve">&lt;SNOMED NP 11914001 </t>
  </si>
  <si>
    <t>Amniotic fluid</t>
  </si>
  <si>
    <t>amniotic_fluid</t>
  </si>
  <si>
    <t>Amniotic fluid level detected during ultrasound.</t>
  </si>
  <si>
    <t>Concept - Amniotic fluid level on ultrasound, qualitative</t>
  </si>
  <si>
    <t>165388AAAAAAAAAAAAAAAAAAAAAAAAAAAAAA</t>
  </si>
  <si>
    <t>Reduced</t>
  </si>
  <si>
    <t>Concept - Reduced</t>
  </si>
  <si>
    <t>162648AAAAAAAAAAAAAAAAAAAAAAAAAAAAAA</t>
  </si>
  <si>
    <t>Increased</t>
  </si>
  <si>
    <t>Concept - Increased</t>
  </si>
  <si>
    <t>164471AAAAAAAAAAAAAAAAAAAAAAAAAAAAAA</t>
  </si>
  <si>
    <t>Placenta location</t>
  </si>
  <si>
    <t>placenta_location</t>
  </si>
  <si>
    <t>Location of the placenta detected during the ultrasound.</t>
  </si>
  <si>
    <t>&lt;SNOMED NP 364341003</t>
  </si>
  <si>
    <t>Concept - Placenta location by ultrasound</t>
  </si>
  <si>
    <t>165296AAAAAAAAAAAAAAAAAAAAAAAAAAAAAA</t>
  </si>
  <si>
    <t>Praevia</t>
  </si>
  <si>
    <t xml:space="preserve">&lt;O44.1	</t>
  </si>
  <si>
    <t>Concept - Placenta Praevia</t>
  </si>
  <si>
    <t>114127AAAAAAAAAAAAAAAAAAAAAAAAAAAAAA</t>
  </si>
  <si>
    <t>Low</t>
  </si>
  <si>
    <t>Concept - Low lying placenta</t>
  </si>
  <si>
    <t>165297AAAAAAAAAAAAAAAAAAAAAAAAAAAAAA</t>
  </si>
  <si>
    <t>Anterior</t>
  </si>
  <si>
    <t>Concept - ANTERIOR</t>
  </si>
  <si>
    <t>540AAAAAAAAAAAAAAAAAAAAAAAAAAAAAAAAA</t>
  </si>
  <si>
    <t>Posterior</t>
  </si>
  <si>
    <t>Concept - POSTERIOR</t>
  </si>
  <si>
    <t>541AAAAAAAAAAAAAAAAAAAAAAAAAAAAAAAAA</t>
  </si>
  <si>
    <t>Right side</t>
  </si>
  <si>
    <t>Concept - RIGHT</t>
  </si>
  <si>
    <t>5141AAAAAAAAAAAAAAAAAAAAAAAAAAAAAAAA</t>
  </si>
  <si>
    <t>Left side</t>
  </si>
  <si>
    <t>Concept - LEFT</t>
  </si>
  <si>
    <t>5139AAAAAAAAAAAAAAAAAAAAAAAAAAAAAAAA</t>
  </si>
  <si>
    <t>Fundal</t>
  </si>
  <si>
    <t>Concept - Uterine fundus</t>
  </si>
  <si>
    <t>165298AAAAAAAAAAAAAAAAAAAAAAAAAAAAAA</t>
  </si>
  <si>
    <t>Select preferred gestational age: (Tests)</t>
  </si>
  <si>
    <t>&lt;SNOMED NP 57036006</t>
  </si>
  <si>
    <t>Using LMP</t>
  </si>
  <si>
    <t>Using ultrasound</t>
  </si>
  <si>
    <t>268445003 and &lt;SNOMED NP 169225001</t>
  </si>
  <si>
    <t>Using SFH or abdominal palpation</t>
  </si>
  <si>
    <t>268445003 and &lt; SNOMED  NP169225001</t>
  </si>
  <si>
    <t>Blood type test</t>
  </si>
  <si>
    <t>Blood Type</t>
  </si>
  <si>
    <t>blood_type_test_status</t>
  </si>
  <si>
    <t>Record whether a blood type test was done at this contact visit.</t>
  </si>
  <si>
    <t>First contact, due until filled in</t>
  </si>
  <si>
    <t>BLOOD TYPING - 300AAAAAAAAAAAAAAAAAAAAAAAAAAAAAAAAA</t>
  </si>
  <si>
    <t>&lt;SNOMED NP 127325009</t>
  </si>
  <si>
    <t>Blood type test date</t>
  </si>
  <si>
    <t>blood_type_test_date</t>
  </si>
  <si>
    <t>Date of the blood type test.</t>
  </si>
  <si>
    <t>Blood type</t>
  </si>
  <si>
    <t>blood_type</t>
  </si>
  <si>
    <t>The woman's blood type.</t>
  </si>
  <si>
    <t>Concept - Blood group</t>
  </si>
  <si>
    <t>163126AAAAAAAAAAAAAAAAAAAAAAAAAAAAAA</t>
  </si>
  <si>
    <t>A</t>
  </si>
  <si>
    <t>Concept - Blood group A</t>
  </si>
  <si>
    <t>163115AAAAAAAAAAAAAAAAAAAAAAAAAAAAAA</t>
  </si>
  <si>
    <t>B</t>
  </si>
  <si>
    <t>Concept - Blood group B</t>
  </si>
  <si>
    <t>163116AAAAAAAAAAAAAAAAAAAAAAAAAAAAAA</t>
  </si>
  <si>
    <t>AB</t>
  </si>
  <si>
    <t>Concept - Blood group AB</t>
  </si>
  <si>
    <t>163117AAAAAAAAAAAAAAAAAAAAAAAAAAAAAA</t>
  </si>
  <si>
    <t>O</t>
  </si>
  <si>
    <t>Concept - Blood group O</t>
  </si>
  <si>
    <t>163118AAAAAAAAAAAAAAAAAAAAAAAAAAAAAA</t>
  </si>
  <si>
    <t>Rh factor</t>
  </si>
  <si>
    <t>rh_factor</t>
  </si>
  <si>
    <t>The woman's Rh factor.</t>
  </si>
  <si>
    <t>Concept - Rhesus blood grouping test</t>
  </si>
  <si>
    <t>160232AAAAAAAAAAAAAAAAAAAAAAAAAAAAAA</t>
  </si>
  <si>
    <t>Concept - POSITIVE</t>
  </si>
  <si>
    <t>HIV test</t>
  </si>
  <si>
    <t>hiv_test_status</t>
  </si>
  <si>
    <t>An HIV test is required for all pregnant women at the first contact in pregnancy and again at the first contact of the 3rd trimester if the HIV prevalence in the pregnant woman population is ≥ 5%. A test isn't required if the woman is already confirmed HIV+.</t>
  </si>
  <si>
    <t>First contact and again at GA &gt;=29 weeks. Optional otherwise.</t>
  </si>
  <si>
    <t>HIV Test - 1356AAAAAAAAAAAAAAAAAAAAAAAAAAAAAAAA</t>
  </si>
  <si>
    <t>Reason HIV test not done</t>
  </si>
  <si>
    <t>hiv_test_notdone</t>
  </si>
  <si>
    <t>Select the reason why an HIV test was not done.</t>
  </si>
  <si>
    <t>&lt;SNOMED NP 445032002</t>
  </si>
  <si>
    <t>Concept - Reason why HIV test was not performed</t>
  </si>
  <si>
    <t>165300AAAAAAAAAAAAAAAAAAAAAAAAAAAAAA</t>
  </si>
  <si>
    <t>Stock out</t>
  </si>
  <si>
    <t>Concept - Supplies not available</t>
  </si>
  <si>
    <t>165183AAAAAAAAAAAAAAAAAAAAAAAAAAAAAA</t>
  </si>
  <si>
    <t>Expired stock</t>
  </si>
  <si>
    <t>Concept - Expired reagent</t>
  </si>
  <si>
    <t>165299AAAAAAAAAAAAAAAAAAAAAAAAAAAAAA</t>
  </si>
  <si>
    <t>Specify - Reason HIV test not done</t>
  </si>
  <si>
    <t>hiv_test_notdone_other</t>
  </si>
  <si>
    <t>Specify any other reason why an HIV test was not done.</t>
  </si>
  <si>
    <t>&lt; 48767-8</t>
  </si>
  <si>
    <t>Reason why HIV test was not performed - 165300AAAAAAAAAAAAAAAAAAAAAAAAAAAAAA</t>
  </si>
  <si>
    <t>HIV test date</t>
  </si>
  <si>
    <t>hiv_test_date</t>
  </si>
  <si>
    <t>Date of the HIV test.</t>
  </si>
  <si>
    <t>Concept - HIV test date</t>
  </si>
  <si>
    <t>164400AAAAAAAAAAAAAAAAAAAAAAAAAAAAAA</t>
  </si>
  <si>
    <t>Record result - HIV Test</t>
  </si>
  <si>
    <t>Record result</t>
  </si>
  <si>
    <t>hiv_test_result</t>
  </si>
  <si>
    <t>Select the result of the HIV test.</t>
  </si>
  <si>
    <t>&lt;SNOMED NP 31676001</t>
  </si>
  <si>
    <t>Concept - Result of HIV test</t>
  </si>
  <si>
    <t>159427AAAAAAAAAAAAAAAAAAAAAAAAAAAAAA</t>
  </si>
  <si>
    <t>Inconclusive</t>
  </si>
  <si>
    <r>
      <t xml:space="preserve">268445003 and </t>
    </r>
    <r>
      <rPr>
        <sz val="10"/>
        <color rgb="FF0000FF"/>
        <rFont val="Arial"/>
        <family val="2"/>
      </rPr>
      <t>&lt;SNOMED NP 169225001</t>
    </r>
  </si>
  <si>
    <t>Concept - INDETERMINATE</t>
  </si>
  <si>
    <t>1138AAAAAAAAAAAAAAAAAAAAAAAAAAAAAAAA</t>
  </si>
  <si>
    <t>HIV status positive</t>
  </si>
  <si>
    <r>
      <t>268445003 and</t>
    </r>
    <r>
      <rPr>
        <sz val="10"/>
        <color rgb="FF0000FF"/>
        <rFont val="Arial"/>
        <family val="2"/>
      </rPr>
      <t xml:space="preserve"> &lt; SNOMED  NP169225001</t>
    </r>
  </si>
  <si>
    <t>&lt;Z21</t>
  </si>
  <si>
    <t>HIV test inconclusive, refer for further testing.</t>
  </si>
  <si>
    <t>Counseling for an inconclusive HIV test.</t>
  </si>
  <si>
    <t>HIV positive counseling - Toaster Message</t>
  </si>
  <si>
    <t>HIV positive counseling</t>
  </si>
  <si>
    <t>Counseling for positive HIV test.</t>
  </si>
  <si>
    <t>Partner HIV test</t>
  </si>
  <si>
    <t>Partner HIV</t>
  </si>
  <si>
    <t>hiv_test_partner_status</t>
  </si>
  <si>
    <t xml:space="preserve">If the woman does not know the HIV status of her partner(s), offer to test and add results here. </t>
  </si>
  <si>
    <t>Optional, but always shown until filled in with "Negative" or "Positive". If "Inconclusive", keep showing this.</t>
  </si>
  <si>
    <t>Partner HIV tested - 161557AAAAAAAAAAAAAAAAAAAAAAAAAAAAAA</t>
  </si>
  <si>
    <t xml:space="preserve">       Normal fetal movement</t>
  </si>
  <si>
    <t>Partner HIV test date</t>
  </si>
  <si>
    <t>hiv_test_partner_date</t>
  </si>
  <si>
    <t>Select the date of her partner's HIV test.</t>
  </si>
  <si>
    <t>Record result - Partner HIV Test</t>
  </si>
  <si>
    <t>hiv_test_partner_result</t>
  </si>
  <si>
    <t>Select the result of her partner's HIV test.</t>
  </si>
  <si>
    <t>HIV status postive</t>
  </si>
  <si>
    <t>partner_hiv_positive</t>
  </si>
  <si>
    <t>If the woman's partner is HIV positive.</t>
  </si>
  <si>
    <t>PARTNER OR SPOUSE - 5617AAAAAAAAAAAAAAAAAAAAAAAAAAAAAAAA</t>
  </si>
  <si>
    <t>Partner HIV test inconclusive, refer partner for further testing.</t>
  </si>
  <si>
    <t>Counseling for partner's positive or inconclusive HIV test.</t>
  </si>
  <si>
    <t>hiv_risk</t>
  </si>
  <si>
    <t>HIV Risk</t>
  </si>
  <si>
    <t>If the woman lives in a setting with a generalized HIV epidemic, or her partner is HIV positive, or she injects drugs, or she is a sex worker, then she is at high risk for HIV.</t>
  </si>
  <si>
    <t>if({hiv_positive} != 1 AND ({site_anc_hiv} = 1 OR {partner_hiv_positive} = 1 OR selected({alcohol_substance_use}, "Injectable drugs") OR {occupation} = "Informal employment (sex worker)"), 1, 0)</t>
  </si>
  <si>
    <t>Concept - At risk for human immunodeficiency virus (HIV) infection</t>
  </si>
  <si>
    <t>165257AAAAAAAAAAAAAAAAAAAAAAAAAAAAAA</t>
  </si>
  <si>
    <t>Hepatitis B test</t>
  </si>
  <si>
    <t>Hepatitis B</t>
  </si>
  <si>
    <t>hepb_test_status</t>
  </si>
  <si>
    <t>Select the status of the Hep B test - record result, ordered (pending), or not done.</t>
  </si>
  <si>
    <t>Hepatitis B serological test - 161475AAAAAAAAAAAAAAAAAAAAAAAAAAAAAA</t>
  </si>
  <si>
    <t>Reason Hepatitis B test not done</t>
  </si>
  <si>
    <t>hepb_test_notdone</t>
  </si>
  <si>
    <t>Select the reason why a Hep B test was not done.</t>
  </si>
  <si>
    <t>Specify - Reason Hepatitis B test not done</t>
  </si>
  <si>
    <t>hepb_test_notdone_other</t>
  </si>
  <si>
    <t>Specify any other reason why the Hep B test was not done.</t>
  </si>
  <si>
    <t>Hep B test date</t>
  </si>
  <si>
    <t>hepb_test_date</t>
  </si>
  <si>
    <t>Select the date of the Hepatitis B test.</t>
  </si>
  <si>
    <t>Hep B test type</t>
  </si>
  <si>
    <t>hepb_test_type</t>
  </si>
  <si>
    <t>Select the type of Hep B test done.</t>
  </si>
  <si>
    <t>Concept - Hepatitis B test type</t>
  </si>
  <si>
    <t>165436AAAAAAAAAAAAAAAAAAAAAAAAAAAAAA</t>
  </si>
  <si>
    <t>HBsAg laboratory-based immunoassay (recommended)</t>
  </si>
  <si>
    <t>Concept - Hepatitis B Surface Antigen Test</t>
  </si>
  <si>
    <t>159430AAAAAAAAAAAAAAAAAAAAAAAAAAAAAA</t>
  </si>
  <si>
    <t>HBsAg rapid diagnostic test (RDT)</t>
  </si>
  <si>
    <t>Concept - HBsAg Rapid Diagnostic Test</t>
  </si>
  <si>
    <t>165301AAAAAAAAAAAAAAAAAAAAAAAAAAAAAA</t>
  </si>
  <si>
    <t>Dried Blood Spot (DBS) HBsAg test</t>
  </si>
  <si>
    <t>Concept - Hepatitis B surface antigen spot test</t>
  </si>
  <si>
    <t>161472AAAAAAAAAAAAAAAAAAAAAAAAAAAAAA</t>
  </si>
  <si>
    <t>hbsag_lab_ima</t>
  </si>
  <si>
    <t>The HBsAg laboratory-based immunoassay is the preferred Hep B test to administer. Record the test result: positive or negative.</t>
  </si>
  <si>
    <t>hbsag_rdt</t>
  </si>
  <si>
    <t>The HBsAg rapid diagnostic test (RDT) is the preferred Hep B test to administer if the immunoassay test is not available. Record the test result: positive or negative.</t>
  </si>
  <si>
    <t xml:space="preserve">       BP cuff (sphygmomanometer) not available</t>
  </si>
  <si>
    <t>hbsag_dbs</t>
  </si>
  <si>
    <t>The Dried Blood Spot (DBS) HBsAg test is the alternative Hep B test to administer if both the immunoassay and RDT are not available. Record the test result: positive or negative.</t>
  </si>
  <si>
    <t xml:space="preserve">       BP cuff (sphygmomanometer) is broken</t>
  </si>
  <si>
    <t xml:space="preserve">       Other</t>
  </si>
  <si>
    <t>hepb_positive</t>
  </si>
  <si>
    <t>Hep B positive diagnosis</t>
  </si>
  <si>
    <t>This calculates the woman's Hep B infection status as positive (1) or negative (0), taking into account any of the three methods for Hep B testing.</t>
  </si>
  <si>
    <t>if({hbsag_lab_ima} = "Positive" OR {hbsag_rdt} = "Positive" OR {hbsag_dbs} = "Positive", 1, 0)</t>
  </si>
  <si>
    <t>Concept - HEPATITIS B</t>
  </si>
  <si>
    <t>111759AAAAAAAAAAAAAAAAAAAAAAAAAAAAAA</t>
  </si>
  <si>
    <t>Hepatitis C test</t>
  </si>
  <si>
    <t>Hepatitis C</t>
  </si>
  <si>
    <t>hepc_test_status</t>
  </si>
  <si>
    <t>In a setting where the proportion of HCV antibody seroprevalence in the general population is ≥ 2% or the woman is HIV positive, injects drugs, or is a sex worker, then a Hep C test is required.</t>
  </si>
  <si>
    <t>Hepatitis C serological test - 161474AAAAAAAAAAAAAAAAAAAAAAAAAAAAAA</t>
  </si>
  <si>
    <t>Reason Hepatitis C test not done</t>
  </si>
  <si>
    <t>hepc_test_notdone</t>
  </si>
  <si>
    <t>Select the reason why a Hep C test was not done.</t>
  </si>
  <si>
    <t xml:space="preserve">       Blurred vision</t>
  </si>
  <si>
    <t>Specify - Reason Hepatitis C test not done</t>
  </si>
  <si>
    <t>hepc_test_notdone_other</t>
  </si>
  <si>
    <t>Specify any other reason why the Hep C test was not done.</t>
  </si>
  <si>
    <t>Hep C test date</t>
  </si>
  <si>
    <t xml:space="preserve">       Epigastric pain</t>
  </si>
  <si>
    <t>hepc_test_date</t>
  </si>
  <si>
    <t>Select the date of the Hepatitis C test.</t>
  </si>
  <si>
    <t>Hep C test type</t>
  </si>
  <si>
    <t>hepc_test_type</t>
  </si>
  <si>
    <t>Select the type of Hep C test that was done.</t>
  </si>
  <si>
    <t>Concept - Hepatitis C test type</t>
  </si>
  <si>
    <t>165437AAAAAAAAAAAAAAAAAAAAAAAAAAAAAA</t>
  </si>
  <si>
    <t>Anti-HCV laboratory-based immunoassay (recommended)</t>
  </si>
  <si>
    <t>Concept - HEPATITIS C TEST - QUALITATIVE</t>
  </si>
  <si>
    <t>1325AAAAAAAAAAAAAAAAAAAAAAAAAAAAAAAA</t>
  </si>
  <si>
    <t>Anti-HCV rapid diagnostic test (RDT)</t>
  </si>
  <si>
    <t>Concept - Anti-HCV rapid diagnostic test</t>
  </si>
  <si>
    <t>165302AAAAAAAAAAAAAAAAAAAAAAAAAAAAAA</t>
  </si>
  <si>
    <t>Dried Blood Spot (DBS) anti-HCV test</t>
  </si>
  <si>
    <t>Concept - Hepatitis C antibody spot test</t>
  </si>
  <si>
    <t>161471AAAAAAAAAAAAAAAAAAAAAAAAAAAAAA</t>
  </si>
  <si>
    <t>hcv_lab_ima</t>
  </si>
  <si>
    <t>The Anti-HCV laboratory-based immunoassay is the preferred Hep C test to administer. Record the test result: positive or negative.</t>
  </si>
  <si>
    <t xml:space="preserve">       Vomiting</t>
  </si>
  <si>
    <t>hcv_rdt</t>
  </si>
  <si>
    <t>The Anti-HCV rapid diagnostic test (RDT) is the preferred Hep C test to administer if the immunoassay test is not available. Record the test result: positive or negative.</t>
  </si>
  <si>
    <t>hcv_dbs</t>
  </si>
  <si>
    <t>The Dried Blood Spot (DBS) Anti-HCV test is the alternative Hep C test to administer if both the immunoassay and RDT are not available. Record the test result: positive or negative.</t>
  </si>
  <si>
    <t xml:space="preserve">       +</t>
  </si>
  <si>
    <t>hepc_positive</t>
  </si>
  <si>
    <t>Hep C positive diagnosis</t>
  </si>
  <si>
    <t>This calculates the woman's Hep C infection status as positive (1) or negative (0), taking into account any of the three methods for Hep C testing.</t>
  </si>
  <si>
    <t>if({hcv_lab_ima} = "Positive" OR {hcv_rdt} = "Positive" OR {hcv_dbs} = "Positive", 1, 0)</t>
  </si>
  <si>
    <t>Concept - Viral Hepatitis C</t>
  </si>
  <si>
    <t>28AAAAAAAAAAAAAAAAAAAAAAAAAAAAAAAAAA</t>
  </si>
  <si>
    <t>Syphilis test</t>
  </si>
  <si>
    <t>Syphilis</t>
  </si>
  <si>
    <t>syph_test_status</t>
  </si>
  <si>
    <t>A syphilis test is recommended for all pregnant women at the first contact and again at the first contact of 3rd trimester. Women who are already confirmed positive for syphilis do not need to be tested.</t>
  </si>
  <si>
    <t>Syphilis serological panel - 161476AAAAAAAAAAAAAAAAAAAAAAAAAAAAAA</t>
  </si>
  <si>
    <t xml:space="preserve">       ++</t>
  </si>
  <si>
    <t xml:space="preserve">       +++</t>
  </si>
  <si>
    <t xml:space="preserve">       ++++</t>
  </si>
  <si>
    <t>Reason Syphilis test not done</t>
  </si>
  <si>
    <t>syph_test_notdone</t>
  </si>
  <si>
    <t>Select the reason why a syphilis test was not done.</t>
  </si>
  <si>
    <t>Specify - Reason Syphilis test not done</t>
  </si>
  <si>
    <t>syph_test_notdone_other</t>
  </si>
  <si>
    <t>Specify any other reason why the syphilis test was not done</t>
  </si>
  <si>
    <t>Syphilis test date</t>
  </si>
  <si>
    <t>syphilis_test_date</t>
  </si>
  <si>
    <t>Select the date of the syphilis test.</t>
  </si>
  <si>
    <t>Syphilis test type</t>
  </si>
  <si>
    <t>syph_test_type</t>
  </si>
  <si>
    <t>Select the type of syphilis test that was done.</t>
  </si>
  <si>
    <t>Concept - Syphilis test type</t>
  </si>
  <si>
    <t>165422AAAAAAAAAAAAAAAAAAAAAAAAAAAAAA</t>
  </si>
  <si>
    <t>Rapid syphilis test</t>
  </si>
  <si>
    <t>Concept - Rapid syphilis test</t>
  </si>
  <si>
    <t>165303AAAAAAAAAAAAAAAAAAAAAAAAAAAAAA</t>
  </si>
  <si>
    <t>Rapid plasma reagin test</t>
  </si>
  <si>
    <t>Concept - RAPID PLASMA REAGIN</t>
  </si>
  <si>
    <t>1619AAAAAAAAAAAAAAAAAAAAAAAAAAAAAAAA</t>
  </si>
  <si>
    <t>Off-site lab test</t>
  </si>
  <si>
    <t>Concept - Off-site laboratory test for syphillis</t>
  </si>
  <si>
    <t>165389AAAAAAAAAAAAAAAAAAAAAAAAAAAAAA</t>
  </si>
  <si>
    <t>Rapid syphilis test (RST)</t>
  </si>
  <si>
    <t>rapid_syphilis_test</t>
  </si>
  <si>
    <t>Any woman can receive the rapid on-site syphilis test. If the setting has a low coverage of syphilis screening and treatment for pregnant women or if the syphilis prevalence is high (&gt;= 5%), then the rapid on-site syphilis test is required.</t>
  </si>
  <si>
    <t>Rapid plasma reagin (RPR) test</t>
  </si>
  <si>
    <t>rpr_syphilis_test</t>
  </si>
  <si>
    <t>In areas of high prevalence (&gt;= 5%) of syphilis after the use of an on-site rapid syphilis test (RST), and, if positive, provide the first dose of treatment. Then the woman should have a rapid plasma reagin (RPR) test.</t>
  </si>
  <si>
    <t>Off-site lab test for syphilis</t>
  </si>
  <si>
    <t>lab_syphilis_test</t>
  </si>
  <si>
    <t>In addition to the rapid on-site syphilis test, if the setting does not have a low coverage of syphilis screening and treatment for pregnant women or if the syphilis prevalence is low (&lt; 5%), then off-site lab screening testing for syphilis can be done instead of the rapid on-site syphilis test.</t>
  </si>
  <si>
    <t>syphilis_positive</t>
  </si>
  <si>
    <t>Syphilis test positive</t>
  </si>
  <si>
    <t xml:space="preserve">Calculation for whether woman has syphilis (1) or not (0). </t>
  </si>
  <si>
    <t>if({rapid_syphilis_test} = "Positive" OR {rpr_syphilis_test} = "Positive" OR {lab_syphilis_test} = "Positive", 1, 0)</t>
  </si>
  <si>
    <t>Concept - Syphilis</t>
  </si>
  <si>
    <t>112493AAAAAAAAAAAAAAAAAAAAAAAAAAAAAA</t>
  </si>
  <si>
    <t>Urine test</t>
  </si>
  <si>
    <t>Urine</t>
  </si>
  <si>
    <t>urine_test_status</t>
  </si>
  <si>
    <t>A urine test is required at the first contact, last contact in 2nd trimester, and 2nd contact in 3rd trimester OR anytime the woman reports pain during urination (dysuria). A dipstick test is required if the woman has a repeat high BP reading (140/90 or higher). Otherwise, a urine test is optional. The urine test checks for bacterial or other infections that can lead to adverse outcomes for the neonate. The urine dipstick test can check for proteins in the urine, which can be a sign of preeclampsia.</t>
  </si>
  <si>
    <t>First contact AND again when GA &gt;= 26 weeks AND again when GA &gt;= 34 weeks
OR 
selected({other_sym_lbpp}, "Pain during urination (Dysuria)")</t>
  </si>
  <si>
    <t>Culture and sensitivity, urine - 161156AAAAAAAAAAAAAAAAAAAAAAAAAAAAAA</t>
  </si>
  <si>
    <t>Reason Urine test not done</t>
  </si>
  <si>
    <t>urine_test_notdone</t>
  </si>
  <si>
    <t>Select the reason why a urine test was not done at this contact.</t>
  </si>
  <si>
    <t>Specify - Reason Urine test not done</t>
  </si>
  <si>
    <t>urine_test_notdone_other</t>
  </si>
  <si>
    <t>Specify the other reason the urine test was not done.</t>
  </si>
  <si>
    <t>Urine test date</t>
  </si>
  <si>
    <t>urine_test_date</t>
  </si>
  <si>
    <t>Select the date of the urine test.</t>
  </si>
  <si>
    <t>Urine test type</t>
  </si>
  <si>
    <t xml:space="preserve">       Not done</t>
  </si>
  <si>
    <t>urine_test_type</t>
  </si>
  <si>
    <t>Select the type of urine test that was done. Of the three types of tests, the midstream urine culture is the preferred method. If culture is not available, then midstream Gram-staining test is preferred over dipstick. Urine dipstick test is required if need to check urine for protein.</t>
  </si>
  <si>
    <t>Concept - Urine test type</t>
  </si>
  <si>
    <t>165438AAAAAAAAAAAAAAAAAAAAAAAAAAAAAA</t>
  </si>
  <si>
    <t>Midstream urine culture (recommended)</t>
  </si>
  <si>
    <t>Concept - Urine culture and sensitivity, organisms coded</t>
  </si>
  <si>
    <t>165392AAAAAAAAAAAAAAAAAAAAAAAAAAAAAA</t>
  </si>
  <si>
    <t>Midstream urine Gram-staining</t>
  </si>
  <si>
    <t>Concept - Urine gram stain</t>
  </si>
  <si>
    <t>165304AAAAAAAAAAAAAAAAAAAAAAAAAAAAAA</t>
  </si>
  <si>
    <t>Urine dipstick</t>
  </si>
  <si>
    <t xml:space="preserve">       Normal</t>
  </si>
  <si>
    <t>Concept - URINE DIPSTICK</t>
  </si>
  <si>
    <t>1618AAAAAAAAAAAAAAAAAAAAAAAAAAAAAAAA</t>
  </si>
  <si>
    <t>urine_culture</t>
  </si>
  <si>
    <t>Midstream urine culture is the recommended method for diagnosing asymptomatic bacteriuria (ASB) in pregnancy.</t>
  </si>
  <si>
    <t>Positive - any agent</t>
  </si>
  <si>
    <t>Concept - Positive culture - any microorganism</t>
  </si>
  <si>
    <t>165390AAAAAAAAAAAAAAAAAAAAAAAAAAAAAA</t>
  </si>
  <si>
    <t>Positive - Group B Streptococcus (GBS)</t>
  </si>
  <si>
    <t>Concept - Group B Streptococcus</t>
  </si>
  <si>
    <t>165391AAAAAAAAAAAAAAAAAAAAAAAAAAAAAA</t>
  </si>
  <si>
    <t>Concept - No growth</t>
  </si>
  <si>
    <t>165393AAAAAAAAAAAAAAAAAAAAAAAAAAAAAA</t>
  </si>
  <si>
    <t xml:space="preserve">       Abnormal</t>
  </si>
  <si>
    <t xml:space="preserve">Midstream urine Gram-staining  </t>
  </si>
  <si>
    <t>urine_gram_stain</t>
  </si>
  <si>
    <t>On-site midstream urine Gram-staining is recommended over the use of dipstick tests as the method for diagnosing ASB in pregnancy if midstream culture is not possible.</t>
  </si>
  <si>
    <t>Urine dipstick result - nitrites</t>
  </si>
  <si>
    <t>urine_nitrites</t>
  </si>
  <si>
    <t>Urine dipstick tests should only be used to diagnose ASB in pregnancy if midstream culture and gram-staining are not possible. Dipstick tests are required to check for protein in the urine, a symptom of preeclampsia.
Enter the result for the dipstick test - nitrites.</t>
  </si>
  <si>
    <t>Concept - Urine nitrite test</t>
  </si>
  <si>
    <t>161440AAAAAAAAAAAAAAAAAAAAAAAAAAAAAA</t>
  </si>
  <si>
    <t xml:space="preserve">       Dyspnoea</t>
  </si>
  <si>
    <t>Urine dipstick result - leukocytes</t>
  </si>
  <si>
    <t>urine_leukocytes</t>
  </si>
  <si>
    <t>Urine dipstick tests should only be used to diagnose ASB in pregnancy if midstream culture and gram-staining are not possible. Dipstick tests are required to check for protein in the urine, a symptom of preeclampsia.
Enter the result for the dipstick test - leukocytes.</t>
  </si>
  <si>
    <t>Concept - Urine leukocyte esterase test</t>
  </si>
  <si>
    <t>161441AAAAAAAAAAAAAAAAAAAAAAAAAAAAAA</t>
  </si>
  <si>
    <t>Urine dipstick result - protein - Urine</t>
  </si>
  <si>
    <t xml:space="preserve">       Rapid breathing</t>
  </si>
  <si>
    <t>Urine dipstick tests should only be used to diagnose ASB in pregnancy if midstream culture and gram-staining are not possible. Dipstick tests are required to check for protein in the urine, a symptom of preeclampsia.
Enter the result for the dipstick test - protein.</t>
  </si>
  <si>
    <t>Proteinuria</t>
  </si>
  <si>
    <t xml:space="preserve">       Slow breathing</t>
  </si>
  <si>
    <t xml:space="preserve">       Wheezing</t>
  </si>
  <si>
    <t>Urine dipstick result - glucose</t>
  </si>
  <si>
    <t>urine_glucose</t>
  </si>
  <si>
    <t>Urine dipstick tests should only be used to diagnose ASB in pregnancy if midstream culture and gram-staining are not possible. Dipstick tests are required to check for protein in the urine, a symptom of preeclampsia.
Enter the result for the dipstick test - glucose.</t>
  </si>
  <si>
    <t>Concept - glucose measurement, qualitative, urine</t>
  </si>
  <si>
    <t>159734AAAAAAAAAAAAAAAAAAAAAAAAAAAAAA</t>
  </si>
  <si>
    <t xml:space="preserve">       Rales</t>
  </si>
  <si>
    <t>asb_positive</t>
  </si>
  <si>
    <t>ASB Postive</t>
  </si>
  <si>
    <t>A woman is considered to have ASB if she has one of the following test results:
- Positive culture (&gt; 100,000 bacteria/mL)
- Gram-staining positive
- Urine dipstick test positive (nitrites or leukocytes)</t>
  </si>
  <si>
    <t>if({urine_culture} = "Positive - any agent" OR {urine_culture} = "Positive - Group B Streptococcus (GBS)" OR {urine_gram_stain} = "Positive" OR ({urine_nitrites} = "+" OR "++" OR "+++" OR "++++") OR ({urine_leukocytes} = "+" OR "++" OR "+++" OR "++++"), 1, 0)</t>
  </si>
  <si>
    <t>Concept - Asymptomatic Bacteriuria in Pregnancy</t>
  </si>
  <si>
    <t>121358AAAAAAAAAAAAAAAAAAAAAAAAAAAAAA</t>
  </si>
  <si>
    <t>Blood glucose test</t>
  </si>
  <si>
    <t>Blood Glucose</t>
  </si>
  <si>
    <t>glucose_test_status</t>
  </si>
  <si>
    <t xml:space="preserve">While there is no specific recommendation about when routinely screening for hyperglycemia in pregnancy, pregnant women should be tested at some point during the pregnancy. </t>
  </si>
  <si>
    <t>Always optional, shown at every contact.</t>
  </si>
  <si>
    <t>Serum glucose - 887AAAAAAAAAAAAAAAAAAAAAAAAAAAAAAAAA</t>
  </si>
  <si>
    <t>Blood glucose test date</t>
  </si>
  <si>
    <t>glucose_test_date</t>
  </si>
  <si>
    <t>Select the date of the glucose test.</t>
  </si>
  <si>
    <t>Blood glucose test type</t>
  </si>
  <si>
    <t>glucose_test_type</t>
  </si>
  <si>
    <t>Select the type of blood glucose test done.</t>
  </si>
  <si>
    <t>Concept - Blood glucose test type</t>
  </si>
  <si>
    <t>165394AAAAAAAAAAAAAAAAAAAAAAAAAAAAAA</t>
  </si>
  <si>
    <t>Fasting plasma glucose</t>
  </si>
  <si>
    <t>Concept - Glucose measurement, serum, fasting (mmol/dL)</t>
  </si>
  <si>
    <t>160053AAAAAAAAAAAAAAAAAAAAAAAAAAAAAA</t>
  </si>
  <si>
    <t>75g OGTT</t>
  </si>
  <si>
    <t>Concept - Glucose tolerance test</t>
  </si>
  <si>
    <t>163594AAAAAAAAAAAAAAAAAAAAAAAAAAAAAA</t>
  </si>
  <si>
    <t>Random plasma glucose</t>
  </si>
  <si>
    <t>Concept - Serum glucose</t>
  </si>
  <si>
    <t>887AAAAAAAAAAAAAAAAAAAAAAAAAAAAAAAAA</t>
  </si>
  <si>
    <t>Fasting plasma glucose results (mg/dl)</t>
  </si>
  <si>
    <t>fasting_plasma_gluc</t>
  </si>
  <si>
    <t>Enter the result for the fasting plasma glucose test.</t>
  </si>
  <si>
    <t>&gt;=30 and &lt;= 500</t>
  </si>
  <si>
    <t>75g OGTT - fasting glucose results (mg/dl)</t>
  </si>
  <si>
    <t>ogtt_fasting</t>
  </si>
  <si>
    <t xml:space="preserve">Enter the result for the initial 75g OGTT - fasting glucose. </t>
  </si>
  <si>
    <t>75g OGTT - 1 hr results (mg/dl)</t>
  </si>
  <si>
    <t>ogtt_1</t>
  </si>
  <si>
    <t>Enter the result for the 75g OGTT - fasting glucose (1 hr).</t>
  </si>
  <si>
    <t>Concept - Glucose tolerance 1 hour panel</t>
  </si>
  <si>
    <t>163704AAAAAAAAAAAAAAAAAAAAAAAAAAAAAA</t>
  </si>
  <si>
    <t>75g OGTT - 2 hrs results (mg/dl)</t>
  </si>
  <si>
    <t>ogtt_2</t>
  </si>
  <si>
    <t>Enter the result for the 75g OGTT - fasting glucose (2 hr).</t>
  </si>
  <si>
    <t>Concept - Glucose tolerance 2 hours panel</t>
  </si>
  <si>
    <t>163705AAAAAAAAAAAAAAAAAAAAAAAAAAAAAA</t>
  </si>
  <si>
    <t>Random plasma glucose results (mg/dl)</t>
  </si>
  <si>
    <t>random_plasma</t>
  </si>
  <si>
    <t>Enter the result for the random plasma glucose test.</t>
  </si>
  <si>
    <t>gdm</t>
  </si>
  <si>
    <t>GDM diagnosis</t>
  </si>
  <si>
    <t>The woman has Gestational Diabetes Mellitus (GDM) if her fasting plasma glucose is 92–125 mg/dL.
OR 
- 75g OGTT - fasting glucose 92–125 mg/dL
- 75g OGTT - 1 hr 180–199 mg/dL
- 75g OGTT - 2 hrs 153–199 mg/dL</t>
  </si>
  <si>
    <t>if(({fasting_plasma_gluc} &gt;= 92 and &lt; 126) OR ({ogtt_fasting} &gt;= 92 and &lt; 126) OR ({ogtt_1} &gt;= 180 and &lt; 200) OR ({ogtt_2} &gt;= 153 and &lt; 200), 1, 0)</t>
  </si>
  <si>
    <t>Concept - Gestational Diabetes Mellitus, Antepartum</t>
  </si>
  <si>
    <t>117807AAAAAAAAAAAAAAAAAAAAAAAAAAAAAA</t>
  </si>
  <si>
    <t>dm_in_preg</t>
  </si>
  <si>
    <t>GDM in pregnancy diagnosis</t>
  </si>
  <si>
    <t>The woman has Diabetes Mellitus (DM) in pregnancy if her fasting plasma glucose is 126 mg/dL or higher.
OR 
- 75g OGTT - fasting glucose 126 mg/dL or higher
- 75g OGTT - 1 hr 200 mg/dL or higher
- 75g OGTT - 2 hrs 200 mg/dL or higher
- Random plasma glucose 200 mg/dL or higher</t>
  </si>
  <si>
    <t>if(({fasting_plasma_gluc} &gt;= 126) OR ({ogtt_fasting} &gt;= 126) OR ({ogtt_1} &gt;= 200) or ({ogtt_2} &gt;= 200) OR {random_plasma} &gt;= 200, 1, 0)</t>
  </si>
  <si>
    <t>Concept - Diabetes Mellitus in Pregnancy</t>
  </si>
  <si>
    <t>119477AAAAAAAAAAAAAAAAAAAAAAAAAAAAAA</t>
  </si>
  <si>
    <t>Blood haemoglobin test</t>
  </si>
  <si>
    <t>Blood Haemoglobin</t>
  </si>
  <si>
    <t>hb_test_status</t>
  </si>
  <si>
    <t>An Hb test is required for all women multiple times during pregnancy to determine if she's anaemic.</t>
  </si>
  <si>
    <t>First contact AND again when GA &gt;= 26 weeks AND again when GA &gt;= 36 weeks</t>
  </si>
  <si>
    <t>Haemoglobin - 21AAAAAAAAAAAAAAAAAAAAAAAAAAAAAAAAAA</t>
  </si>
  <si>
    <t xml:space="preserve">       Heart murmur</t>
  </si>
  <si>
    <t xml:space="preserve">       Weak pulse</t>
  </si>
  <si>
    <t>Reason Blood haemoglobin test not done</t>
  </si>
  <si>
    <t>hb_test_notdone</t>
  </si>
  <si>
    <t>Select the reason why a Hb test was not done.</t>
  </si>
  <si>
    <t xml:space="preserve">       Tachycardia</t>
  </si>
  <si>
    <t>No supplies</t>
  </si>
  <si>
    <t>Expired</t>
  </si>
  <si>
    <t xml:space="preserve">       Bradycardia</t>
  </si>
  <si>
    <t>Specify HB test not done</t>
  </si>
  <si>
    <t>hb_test_notdone_other</t>
  </si>
  <si>
    <t>Specify any other reason why the Hb test was not done.</t>
  </si>
  <si>
    <t xml:space="preserve">       Arrhythmia</t>
  </si>
  <si>
    <t>Blood haemoglobin test date</t>
  </si>
  <si>
    <t>hb_test_date</t>
  </si>
  <si>
    <t>Select the date of the Hb test.</t>
  </si>
  <si>
    <t>Blood haemoglobin test type</t>
  </si>
  <si>
    <t>hb_test_type</t>
  </si>
  <si>
    <t>Select the type of Hb test that was done.</t>
  </si>
  <si>
    <t xml:space="preserve">       Cyanosis</t>
  </si>
  <si>
    <t>Concept - Blood haemoglobin test type</t>
  </si>
  <si>
    <t>165397AAAAAAAAAAAAAAAAAAAAAAAAAAAAAA</t>
  </si>
  <si>
    <t>Complete blood count test (recommended)</t>
  </si>
  <si>
    <t>Concept - COMPLETE BLOOD COUNT</t>
  </si>
  <si>
    <t>1019AAAAAAAAAAAAAAAAAAAAAAAAAAAAAAAA</t>
  </si>
  <si>
    <t>Hb test (haemoglobinometer)</t>
  </si>
  <si>
    <t xml:space="preserve">       Cold sweats</t>
  </si>
  <si>
    <t>Concept - Haemoglobin measured from haemoglobinometer (g/dl)</t>
  </si>
  <si>
    <t>165395AAAAAAAAAAAAAAAAAAAAAAAAAAAAAA</t>
  </si>
  <si>
    <t>Hb test (haemoglobin colour scale)</t>
  </si>
  <si>
    <t>Concept - Haemoglobin measured from colour scale (g/dl)</t>
  </si>
  <si>
    <t>165396AAAAAAAAAAAAAAAAAAAAAAAAAAAAAA</t>
  </si>
  <si>
    <t>Complete blood count test result (g/dl) (recommended)</t>
  </si>
  <si>
    <t>cbc</t>
  </si>
  <si>
    <t>The complete blood count test is the preferred Hb test to administer. Record the test result.</t>
  </si>
  <si>
    <t>&gt;= 0 and &lt;= 25</t>
  </si>
  <si>
    <t>COMPLETE BLOOD COUNT - 1019AAAAAAAAAAAAAAAAAAAAAAAAAAAAAAAA</t>
  </si>
  <si>
    <t>Concept - Haemoglobin</t>
  </si>
  <si>
    <t>21AAAAAAAAAAAAAAAAAAAAAAAAAAAAAAAAAA</t>
  </si>
  <si>
    <t>Hb test result - haemoglobinometer (g/dl)</t>
  </si>
  <si>
    <t>hb_gmeter</t>
  </si>
  <si>
    <t>The haemoglobinometer Hb test is the preferred Hb test to administer if the complete blood count test is not available. Record the test result.</t>
  </si>
  <si>
    <t>Hb test result - haemoglobin colour scale (g/dl)</t>
  </si>
  <si>
    <t>hb_colour</t>
  </si>
  <si>
    <t>The haemoglobin colour scale test is the alternative Hb test to administer if both the complete blood count and haemoglobinometer tests are not available. Record the test result.</t>
  </si>
  <si>
    <t>hb_result</t>
  </si>
  <si>
    <t>Auto-calculated field to make anaemia calculation simpler by choosing which of the Hb test results to use in th anaemia calculation below.</t>
  </si>
  <si>
    <t>if({hb_test_type} = "Complete blood count test", {cbc}, (if{hb_test_type} = "Hb test (haemoglobinometer)", {hb_gmeter}, {hb_colour})</t>
  </si>
  <si>
    <t>anaemic</t>
  </si>
  <si>
    <t>Anemia diagnosis</t>
  </si>
  <si>
    <t>Calculated field to determine woman's anaemia status.</t>
  </si>
  <si>
    <t>if(({hb_result} &lt; 11 AND ({gest_age} &lt;= 12 OR {gest_age} &gt;= 28)) OR ({hb_result} &lt; 10.5 AND ({gest_age} &gt; 12 AND {gest_age} &lt; 28)) OR ({hb_result} = '' AND {pallor} = "Yes"), 1, 0)</t>
  </si>
  <si>
    <t>Concept - Anaemia</t>
  </si>
  <si>
    <t>121629AAAAAAAAAAAAAAAAAAAAAAAAAAAAAA</t>
  </si>
  <si>
    <t>Hematocrit (Ht)</t>
  </si>
  <si>
    <t>ht</t>
  </si>
  <si>
    <t>Hematocrit</t>
  </si>
  <si>
    <t>Concept - HEMATOCRIT</t>
  </si>
  <si>
    <t>1015AAAAAAAAAAAAAAAAAAAAAAAAAAAAAAAA</t>
  </si>
  <si>
    <t>White blood cell (WBC) count</t>
  </si>
  <si>
    <t>wbc</t>
  </si>
  <si>
    <t>Full white blood cells count</t>
  </si>
  <si>
    <t>Concept - WHITE BLOOD CELLS</t>
  </si>
  <si>
    <t>678AAAAAAAAAAAAAAAAAAAAAAAAAAAAAAAAA</t>
  </si>
  <si>
    <t>Platelet count</t>
  </si>
  <si>
    <t>platelets</t>
  </si>
  <si>
    <t>Full platelets count</t>
  </si>
  <si>
    <t>Concept - Platelets</t>
  </si>
  <si>
    <t>729AAAAAAAAAAAAAAAAAAAAAAAAAAAAAAAAA</t>
  </si>
  <si>
    <t>TB screening</t>
  </si>
  <si>
    <t>TB Screening</t>
  </si>
  <si>
    <t>tb_screening_status</t>
  </si>
  <si>
    <t>In settings where the tuberculosis (TB) prevalence in the general population is 100/100,000 population or higher or in settings with sub-populations that have very poor access to health care, or if the woman is HIV positive, TB screening is recommended.</t>
  </si>
  <si>
    <t>Screened for tuberculosis - 164800AAAAAAAAAAAAAAAAAAAAAAAAAAAAAA</t>
  </si>
  <si>
    <t>Reason TB screening not done</t>
  </si>
  <si>
    <t>tb_screening_notdone</t>
  </si>
  <si>
    <t>Select the reason why TB screening was not done.</t>
  </si>
  <si>
    <t>Sputum smear not available</t>
  </si>
  <si>
    <t>Concept - Sputum smear not available</t>
  </si>
  <si>
    <t>165401AAAAAAAAAAAAAAAAAAAAAAAAAAAAAA</t>
  </si>
  <si>
    <t>Sputum culture not available</t>
  </si>
  <si>
    <t>Concept - Sputum culture not available</t>
  </si>
  <si>
    <t>165402AAAAAAAAAAAAAAAAAAAAAAAAAAAAAA</t>
  </si>
  <si>
    <t>GeneXpert machine not available</t>
  </si>
  <si>
    <t>Concept - GeneXpert machine not available</t>
  </si>
  <si>
    <t>165403AAAAAAAAAAAAAAAAAAAAAAAAAAAAAA</t>
  </si>
  <si>
    <t>X-ray machine not available</t>
  </si>
  <si>
    <t xml:space="preserve">       Nodule</t>
  </si>
  <si>
    <t>Concept - X-ray machine not available</t>
  </si>
  <si>
    <t>165404AAAAAAAAAAAAAAAAAAAAAAAAAAAAAA</t>
  </si>
  <si>
    <t>No sputum supplies available</t>
  </si>
  <si>
    <t>Machine not functioning</t>
  </si>
  <si>
    <t>Concept - Equipment failure</t>
  </si>
  <si>
    <t>Technician not available</t>
  </si>
  <si>
    <t xml:space="preserve">       Discharge</t>
  </si>
  <si>
    <t>Concept - Technician not available</t>
  </si>
  <si>
    <t>165400AAAAAAAAAAAAAAAAAAAAAAAAAAAAAA</t>
  </si>
  <si>
    <t>Specify - Reason TB screening not done</t>
  </si>
  <si>
    <t>tb_screening_notdone_other</t>
  </si>
  <si>
    <t>Specify any other reason why the TB screening was not done.</t>
  </si>
  <si>
    <t xml:space="preserve">       Flushing</t>
  </si>
  <si>
    <t>TB screening date</t>
  </si>
  <si>
    <t>tb_screening_date</t>
  </si>
  <si>
    <t>Record the date of the TB screening.</t>
  </si>
  <si>
    <t>Record result - TB Screening</t>
  </si>
  <si>
    <t>tb_screening_result</t>
  </si>
  <si>
    <t>Record the result of the TB screening.</t>
  </si>
  <si>
    <t>Concept - Screening test result, tuberculosis</t>
  </si>
  <si>
    <t>160108AAAAAAAAAAAAAAAAAAAAAAAAAAAAAA</t>
  </si>
  <si>
    <t xml:space="preserve">       Local pain</t>
  </si>
  <si>
    <t>Incomplete (only symptoms)</t>
  </si>
  <si>
    <t xml:space="preserve">       Bleeding</t>
  </si>
  <si>
    <t>Concept - Incomplete</t>
  </si>
  <si>
    <t>Other test</t>
  </si>
  <si>
    <t>Other Tests</t>
  </si>
  <si>
    <t>other_test</t>
  </si>
  <si>
    <t>If the health worker performed other tests on the woman that are not explicitly listed in the application, select "yes" here and fill in the details below.</t>
  </si>
  <si>
    <t>Show every contact, but always optional</t>
  </si>
  <si>
    <t>Other test performed - 165398AAAAAAAAAAAAAAAAAAAAAAAAAAAAAA</t>
  </si>
  <si>
    <t xml:space="preserve">Which test? </t>
  </si>
  <si>
    <t>other_test_name</t>
  </si>
  <si>
    <t>Input the name of other test(s) that were done.</t>
  </si>
  <si>
    <t xml:space="preserve">       Increased temperature</t>
  </si>
  <si>
    <t>Concept - Other test performed</t>
  </si>
  <si>
    <t>165398AAAAAAAAAAAAAAAAAAAAAAAAAAAAAA</t>
  </si>
  <si>
    <t>Test date</t>
  </si>
  <si>
    <t>other_test_date</t>
  </si>
  <si>
    <t>Input the date of other test(s) that were done.</t>
  </si>
  <si>
    <t>Test result?</t>
  </si>
  <si>
    <t>other_test_result</t>
  </si>
  <si>
    <t>Input the result from the test(s).</t>
  </si>
  <si>
    <t>Concept - Test result free text</t>
  </si>
  <si>
    <t>165399AAAAAAAAAAAAAAAAAAAAAAAAAAAAAA</t>
  </si>
  <si>
    <t>Referred to hospital?</t>
  </si>
  <si>
    <t>Hospital Referral</t>
  </si>
  <si>
    <t>Counselling and treatment</t>
  </si>
  <si>
    <t>referred_hosp</t>
  </si>
  <si>
    <t>Whether or not the health worker referred the woman to a hospital or higher level facility.</t>
  </si>
  <si>
    <t>Every contact if relevant</t>
  </si>
  <si>
    <t>Concept - Patient referred to hospital?</t>
  </si>
  <si>
    <t>1788AAAAAAAAAAAAAAAAAAAAAAAAAAAAAAAA</t>
  </si>
  <si>
    <t>Reason Not Referred to Hospital</t>
  </si>
  <si>
    <t>referred_hosp_notdone</t>
  </si>
  <si>
    <t>The reason why the health worker did not refer the woman to a hospital or higher level facility.</t>
  </si>
  <si>
    <t>Concept - Reason patient was not referred to a higher level facility</t>
  </si>
  <si>
    <t>165307AAAAAAAAAAAAAAAAAAAAAAAAAAAAAA</t>
  </si>
  <si>
    <t>Woman refused</t>
  </si>
  <si>
    <t>Concept - Referral declined by patient</t>
  </si>
  <si>
    <t>165306AAAAAAAAAAAAAAAAAAAAAAAAAAAAAA</t>
  </si>
  <si>
    <t>Not necessary</t>
  </si>
  <si>
    <t>Concept - Not indicated</t>
  </si>
  <si>
    <t>165305AAAAAAAAAAAAAAAAAAAAAAAAAAAAAA</t>
  </si>
  <si>
    <t>Specify - Reason Not Referred to Hospital</t>
  </si>
  <si>
    <t>referred_hosp_notdone_other</t>
  </si>
  <si>
    <t>Specify the other reason not in the list that the health worker did not refer the woman to a hospital or higher level facility.</t>
  </si>
  <si>
    <t>Reason patient was not referred to a higher level facility - 165307AAAAAAAAAAAAAAAAAAAAAAAAAAAAAA</t>
  </si>
  <si>
    <t>Caffeine reduction counseling</t>
  </si>
  <si>
    <t>Behaviour Counseling</t>
  </si>
  <si>
    <t>caffeine_counsel</t>
  </si>
  <si>
    <t>Whether or not counselling was done on lowering daily caffeine intake.</t>
  </si>
  <si>
    <t>Caffeine reduction counseling - 165311AAAAAAAAAAAAAAAAAAAAAAAAAAAAAA</t>
  </si>
  <si>
    <t>Concept - Counseling status</t>
  </si>
  <si>
    <t>165310AAAAAAAAAAAAAAAAAAAAAAAAAAAAAA</t>
  </si>
  <si>
    <t>Reason Caffiene rediction not done</t>
  </si>
  <si>
    <t>caffeine_counsel_notdone</t>
  </si>
  <si>
    <t>The reason why the health worker did not counsel on caffeine reduction.</t>
  </si>
  <si>
    <t>Concept - Reason counseling was not done</t>
  </si>
  <si>
    <t>165342AAAAAAAAAAAAAAAAAAAAAAAAAAAAAA</t>
  </si>
  <si>
    <t>Referred instead</t>
  </si>
  <si>
    <t>Concept - Patient referred</t>
  </si>
  <si>
    <t>1648AAAAAAAAAAAAAAAAAAAAAAAAAAAAAAAA</t>
  </si>
  <si>
    <t>Specify - Reason Caffiene rediction not done</t>
  </si>
  <si>
    <t>caffeine_counsel_notdone_other</t>
  </si>
  <si>
    <t>Specify any other reason why the counseling was not done.</t>
  </si>
  <si>
    <t>Concept - Reason counseling was not done (text)</t>
  </si>
  <si>
    <t>165426AAAAAAAAAAAAAAAAAAAAAAAAAAAAAA</t>
  </si>
  <si>
    <t>Tobacco cessation counseling</t>
  </si>
  <si>
    <t>tobacco_counsel</t>
  </si>
  <si>
    <t>Whether or not counselling was done on tobacco cessation.</t>
  </si>
  <si>
    <t>Tobacco use counseling - 1455AAAAAAAAAAAAAAAAAAAAAAAAAAAAAAAA</t>
  </si>
  <si>
    <t>Reason Tobacco Cessation Not Done</t>
  </si>
  <si>
    <t>tobacco_counsel_notdone</t>
  </si>
  <si>
    <t>Select the reason why tobacco cessation counseling was not done.</t>
  </si>
  <si>
    <t>Specify - Reason Tobacco Cessation Not Done</t>
  </si>
  <si>
    <t>tobacco_counsel_notdone_other</t>
  </si>
  <si>
    <t>Second-hand smoke counseling</t>
  </si>
  <si>
    <t>shs_counsel</t>
  </si>
  <si>
    <t>Whether or not counselling was done on SHS cessation.</t>
  </si>
  <si>
    <t>Second hand smoke exposure counseling - 165312AAAAAAAAAAAAAAAAAAAAAAAAAAAAAA</t>
  </si>
  <si>
    <t xml:space="preserve">       Mass/tumour</t>
  </si>
  <si>
    <t>Reason Secondhand Smoke Counseling Not Done</t>
  </si>
  <si>
    <t>shs_counsel_notdone</t>
  </si>
  <si>
    <t>Select the reason why SHS cessation counseling was not done.</t>
  </si>
  <si>
    <t xml:space="preserve">       Pain on superficial palpation</t>
  </si>
  <si>
    <t>Specify - Reason Secondhand Smoke Counseling Not Done</t>
  </si>
  <si>
    <t>shs_counsel_notdone_other</t>
  </si>
  <si>
    <t xml:space="preserve">       Pain on deep palpation</t>
  </si>
  <si>
    <t>Condom counseling</t>
  </si>
  <si>
    <t>condom_counsel</t>
  </si>
  <si>
    <t>Whether or not counselling was done on condom use.</t>
  </si>
  <si>
    <t>Counseling regarding condom use - 161594AAAAAAAAAAAAAAAAAAAAAAAAAAAAAA</t>
  </si>
  <si>
    <t>Reason Condom Counseling Not Done</t>
  </si>
  <si>
    <t xml:space="preserve">       Painful decompression</t>
  </si>
  <si>
    <t>condom_counsel_notdone</t>
  </si>
  <si>
    <t>Select the reason why condom use counseling was not done.</t>
  </si>
  <si>
    <t>Specify - Reason Condom Counseling Not Done</t>
  </si>
  <si>
    <t>condom_counsel_notdone_other</t>
  </si>
  <si>
    <t>Alcohol / substance use counseling</t>
  </si>
  <si>
    <t>alcohol_substance_counsel</t>
  </si>
  <si>
    <t>Whether or not counselling was done on alcohol and substance use cessation.</t>
  </si>
  <si>
    <t>Substance abuse counseling - 165313AAAAAAAAAAAAAAAAAAAAAAAAAAAAAA</t>
  </si>
  <si>
    <t>Reason Alcohol/Substance Abuse Counseling Not Done</t>
  </si>
  <si>
    <t>alcohol_substance_counsel_notdone</t>
  </si>
  <si>
    <t>Select the reason why alcohol and substance use counseling was not done.</t>
  </si>
  <si>
    <t>Specify - Reason Alcohol/Substance Abuse Counseling Not Done</t>
  </si>
  <si>
    <t>alcohol_substance_counsel_notdone_other</t>
  </si>
  <si>
    <t>Non-pharma measures to relieve nausea and vomiting counseling</t>
  </si>
  <si>
    <t>Physiological Symptoms Counseling</t>
  </si>
  <si>
    <t>nausea_counsel</t>
  </si>
  <si>
    <t>Whether or not counseling for the symptom "Nausea and vomiting" was done.</t>
  </si>
  <si>
    <t>Counseling on non pharmacologic measures to relieve nausea and vomiting - 165314AAAAAAAAAAAAAAAAAAAAAAAAAAAAAA</t>
  </si>
  <si>
    <t>Reason Non-pharma measures Not Done</t>
  </si>
  <si>
    <t>nausea_counsel_notdone</t>
  </si>
  <si>
    <t>Select the reason why non-pharma measures to relieve nausea and vomiting counseling was not done.</t>
  </si>
  <si>
    <t>Specify - Reason Non-pharma measures Not Done</t>
  </si>
  <si>
    <t>nausea_counsel_notdone_other</t>
  </si>
  <si>
    <t>Pharmacological treatments for nausea and vomiting counseling</t>
  </si>
  <si>
    <t>nausea_not_relieved_counsel</t>
  </si>
  <si>
    <t>Whether or not counseling for the repeat symptom "Nausea and vomiting" was done.</t>
  </si>
  <si>
    <t>Counseling on pharmacologic measures to relieve nausea and vomiting - 165315AAAAAAAAAAAAAAAAAAAAAAAAAAAAAA</t>
  </si>
  <si>
    <t xml:space="preserve">       Physiological vaginal discharge</t>
  </si>
  <si>
    <t>Reason Pharmacological treatments for nausea and vomiting counseling not done</t>
  </si>
  <si>
    <t>nausea_not_relieved_counsel_notdone</t>
  </si>
  <si>
    <t>Select the reason why pharmacological treatments to relieve nausea and vomiting counseling was not done.</t>
  </si>
  <si>
    <t>Specify - Reason Pharmacological treatments for nausea and vomiting counseling not done</t>
  </si>
  <si>
    <t>nausea_not_relieved_counsel_notdone_other</t>
  </si>
  <si>
    <t xml:space="preserve">       Evidence of amniotic fluid</t>
  </si>
  <si>
    <t>Diet and lifestyle changes to prevent and relieve heartburn counseling</t>
  </si>
  <si>
    <t>heartburn_counsel</t>
  </si>
  <si>
    <t>Whether or not counseling for the symptom "Heartburn" was done.</t>
  </si>
  <si>
    <t>Counseling on diet and lifestyle changes to prevent and treat heartburn - 165316AAAAAAAAAAAAAAAAAAAAAAAAAAAAAA</t>
  </si>
  <si>
    <t xml:space="preserve">       Foul-smelling vaginal discharge</t>
  </si>
  <si>
    <t>Reason Diet and lifestyle changes to prevent and relieve heartburn counseling not done</t>
  </si>
  <si>
    <t>heartburn_counsel_notdone</t>
  </si>
  <si>
    <t>Select the reason why counseling for the symptom "Heartburn" was not done.</t>
  </si>
  <si>
    <t xml:space="preserve">       Clusters of erythematous papules</t>
  </si>
  <si>
    <t>Specify - Reason Diet and lifestyle changes to prevent and relieve heartburn counseling not done</t>
  </si>
  <si>
    <t>heartburn_counsel_notdone_other</t>
  </si>
  <si>
    <t>Antacid preparations to relieve heartburn counseling</t>
  </si>
  <si>
    <t>heartburn_not_relieved_counsel</t>
  </si>
  <si>
    <t>Whether or not counseling for the repeat symptom "Heartburn" was done.</t>
  </si>
  <si>
    <t>Counseling on antacid preparations to relieve heartburn - 165317AAAAAAAAAAAAAAAAAAAAAAAAAAAAAA</t>
  </si>
  <si>
    <t xml:space="preserve">       Vesicles</t>
  </si>
  <si>
    <t xml:space="preserve">       Genital ulcer</t>
  </si>
  <si>
    <t>Reason Antacid preparations to relieve heartburn counseling not done</t>
  </si>
  <si>
    <t>heartburn_not_relieved_counsel_notdone</t>
  </si>
  <si>
    <t>Select the reason why counseling for the repeat symptom "Heartburn" was not done.</t>
  </si>
  <si>
    <t xml:space="preserve">       Genital pain</t>
  </si>
  <si>
    <t>Specify - Reason Antacid preparations to relieve heartburn counseling not done</t>
  </si>
  <si>
    <t>heartburn_not_relieved_counsel_notdone_other</t>
  </si>
  <si>
    <t xml:space="preserve">       Tender bilateral inguinal and femoral lymphadenopathy</t>
  </si>
  <si>
    <t>Non-pharmacological treatment for the relief of leg cramps counseling</t>
  </si>
  <si>
    <t>leg_cramp_counsel</t>
  </si>
  <si>
    <t>Whether or not counseling for the symptom "Leg cramps" was done.</t>
  </si>
  <si>
    <t>Counseling on non pharmacologic treatment of leg cramps - 165318AAAAAAAAAAAAAAAAAAAAAAAAAAAAAA</t>
  </si>
  <si>
    <t xml:space="preserve">       Cervical friability</t>
  </si>
  <si>
    <t>Reason Non-pharmacological treatment for the relief of leg cramps counseling not done</t>
  </si>
  <si>
    <t>leg_cramp_counsel_notdone</t>
  </si>
  <si>
    <t>Select the reason why counseling for the symptom "Leg cramps" was not done.</t>
  </si>
  <si>
    <t xml:space="preserve">       Mucopurulent cervicitis</t>
  </si>
  <si>
    <t xml:space="preserve">       Tender unilateral lymphadenopathy</t>
  </si>
  <si>
    <t>Specify - Reason Non-pharmacological treatment for the relief of leg cramps counseling not done</t>
  </si>
  <si>
    <t>leg_cramp_counsel_notdone_other</t>
  </si>
  <si>
    <t>Magnesium and calcium to relieve leg cramps counseling</t>
  </si>
  <si>
    <t>leg_cramp_not_relieved_counsel</t>
  </si>
  <si>
    <t>Whether or not counseling for the repeat symptom "Leg cramps" was done.</t>
  </si>
  <si>
    <t xml:space="preserve">       Curd-like vaginal discharge</t>
  </si>
  <si>
    <t>Counseling on use of magnesium and calcium to relieve leg cramps - 165319AAAAAAAAAAAAAAAAAAAAAAAAAAAAAA</t>
  </si>
  <si>
    <t>Reason Magnesium and calcium to relieve leg cramps counseling not done</t>
  </si>
  <si>
    <t>leg_cramp_not_relieved_counsel_notdone</t>
  </si>
  <si>
    <t>Select the reason why counseling for the repeat symptom "Leg cramps" was not done.</t>
  </si>
  <si>
    <t>Specify - Reason Magnesium and calcium to relieve leg cramps counseling not done</t>
  </si>
  <si>
    <t>leg_cramp_not_relieved_counsel_notdone_other</t>
  </si>
  <si>
    <t>Dietary modifications to relieve constipation counseling</t>
  </si>
  <si>
    <t>constipation_counsel</t>
  </si>
  <si>
    <t>Whether or not counseling for the symptom "Constipation" was done.</t>
  </si>
  <si>
    <t>Counseling on dietary modifications to relieve constipation - 165320AAAAAAAAAAAAAAAAAAAAAAAAAAAAAA</t>
  </si>
  <si>
    <t>Reason Dietary modifications to relieve constipation counseling not done</t>
  </si>
  <si>
    <t>constipation_counsel_notdone</t>
  </si>
  <si>
    <t>Select the reason why counseling for the symptom "constipation" was not done.</t>
  </si>
  <si>
    <t xml:space="preserve">       Done</t>
  </si>
  <si>
    <t>Specify - Reason Dietary modifications to relieve constipation counseling not done</t>
  </si>
  <si>
    <t>constipation_counsel_notdone_other</t>
  </si>
  <si>
    <t>Wheat bran or other fiber supplements to relieve constipation counseling</t>
  </si>
  <si>
    <t>constipation_not_relieved_counsel</t>
  </si>
  <si>
    <t>Whether or not counseling for the repeat symptom "Constipation" was done.</t>
  </si>
  <si>
    <t>Counseling on wheat bran or other fiber supplements to relieve constipation - 165321AAAAAAAAAAAAAAAAAAAAAAAAAAAAAA</t>
  </si>
  <si>
    <t>Reason Wheat bran or other fiber supplements to relieve constipation counseling not done</t>
  </si>
  <si>
    <t>constipation_not_relieved_counsel_notdone</t>
  </si>
  <si>
    <t>Select the reason why counseling for the repeat symptom "Constipation" was not done.</t>
  </si>
  <si>
    <t>Specify - Reason Wheat bran or other fiber supplements to relieve constipation counseling not done</t>
  </si>
  <si>
    <t>constipation_not_relieved_counsel_notdone_other</t>
  </si>
  <si>
    <t>Regular exercise, physiotherapy, support belts and acupuncture to relieve low back and pelvic pain counseling</t>
  </si>
  <si>
    <t>back_pelvic_pain_counsel</t>
  </si>
  <si>
    <t>Whether or not counseling for the symptom "Low back and pelvic pain" was done.</t>
  </si>
  <si>
    <t>Counseling on regular exercise, physiotherapy, support belts and acupuncture to relieve low back and pelvic pain - 165322AAAAAAAAAAAAAAAAAAAAAAAAAAAAAA</t>
  </si>
  <si>
    <t>Reason Regular exercise, physiotherapy, support belts and acupuncture to relieve low back and pelvic pain counseling not done</t>
  </si>
  <si>
    <t>back_pelvic_pain_counsel_notdone</t>
  </si>
  <si>
    <t>Select the reason why counseling for the symptom "Low back and pelvic pain" was not done.</t>
  </si>
  <si>
    <t xml:space="preserve">       Pitting ankle oedema</t>
  </si>
  <si>
    <t xml:space="preserve">       Oedema of the hands and feet</t>
  </si>
  <si>
    <t>Specify - Reason Regular exercise, physiotherapy, support belts and acupuncture to relieve low back and pelvic pain counseling not done</t>
  </si>
  <si>
    <t>back_pelvic_pain_counsel_notdone_other</t>
  </si>
  <si>
    <t>Non-pharmacological options for varicose veins and oedema counseling</t>
  </si>
  <si>
    <t>varicose_oedema_counsel</t>
  </si>
  <si>
    <t>Whether or not counseling for the symptom "Varicose veins or oedema" was done.</t>
  </si>
  <si>
    <t xml:space="preserve">       Pitting lower back oedema</t>
  </si>
  <si>
    <t>Counseling on non pharmacologic options for management of varicose veins and peripheral oedema - 165323AAAAAAAAAAAAAAAAAAAAAAAAAAAAAA</t>
  </si>
  <si>
    <t xml:space="preserve">       Leg swelling</t>
  </si>
  <si>
    <t>Reason Non-pharmacological options for varicose veins and oedema counseling not done</t>
  </si>
  <si>
    <t>varicose_oedema_counsel_notdone</t>
  </si>
  <si>
    <t>Select the reason why counseling for the symptom "Varicose veins or oedema" was not done.</t>
  </si>
  <si>
    <t>Specify - Reason Non-pharmacological options for varicose veins and oedema counseling not done</t>
  </si>
  <si>
    <t>varicose_oedema_counsel_notdone_other</t>
  </si>
  <si>
    <t>mag_calc</t>
  </si>
  <si>
    <t>Calculated field for woman's medications for symptoms (magnesium &amp; calcium).</t>
  </si>
  <si>
    <t>if({leg_cramp_not_relieved_counsel} = "Done", "Magnesium and calcium for persistent leg cramps", '')</t>
  </si>
  <si>
    <t>nausea_pharma</t>
  </si>
  <si>
    <t>Calculated field for woman's medications for symptoms (nausea).</t>
  </si>
  <si>
    <t>if({nausea_not_relieved_counsel} = "Done", "Pharmacologicals for persistent nausea and vomiting", '')</t>
  </si>
  <si>
    <t>antacid</t>
  </si>
  <si>
    <t>Calculated field for woman's medications for symptoms (heartburn).</t>
  </si>
  <si>
    <t>if({heartburn_not_relieved_counsel} = "Done", "Antacids for persistent heartburn", '')</t>
  </si>
  <si>
    <t>Healthy eating and keeping physically active counseling</t>
  </si>
  <si>
    <t>Diet Counseling</t>
  </si>
  <si>
    <t>eat_exercise_counsel</t>
  </si>
  <si>
    <t>Whether or not counselling was done on healthy eating and keeping physically active during pregnancy.</t>
  </si>
  <si>
    <t>Counseling on healthy eating and keeping physically active - 165324AAAAAAAAAAAAAAAAAAAAAAAAAAAAAA</t>
  </si>
  <si>
    <t>Reason Healthy eating and keeping physically active counseling not done</t>
  </si>
  <si>
    <t>eat_exercise_counsel_notdone</t>
  </si>
  <si>
    <t>Select the reason why counseling on healthy eating and exercise during pregnancy was not done.</t>
  </si>
  <si>
    <t>Specify - Reason Healthy eating and keeping physically active counseling not done</t>
  </si>
  <si>
    <t>eat_exercise_counsel_notdone_other</t>
  </si>
  <si>
    <t>Increase daily energy and protein intake counseling</t>
  </si>
  <si>
    <t>increase_energy_counsel</t>
  </si>
  <si>
    <t>Whether or not counselling was done on increasing energy and protein intake.</t>
  </si>
  <si>
    <t>Counseling to increase daily energy and protein intake - 165326AAAAAAAAAAAAAAAAAAAAAAAAAAAAAA</t>
  </si>
  <si>
    <t>Reason Increase daily energy and protein intake counseling not done</t>
  </si>
  <si>
    <t>increase_energy_counsel_notdone</t>
  </si>
  <si>
    <t>Select the reason why increased daily energy intake counseling was not done.</t>
  </si>
  <si>
    <t>Specify - Reason Increase daily energy and protein intake counseling not done</t>
  </si>
  <si>
    <t>increase_energy_counsel_notdone_other</t>
  </si>
  <si>
    <t>Balanced energy and protein dietary supplementation counseling</t>
  </si>
  <si>
    <t>balanced_energy_counsel</t>
  </si>
  <si>
    <t>Whether or not counselling was done on balanced energy and protein dietary supplementation.</t>
  </si>
  <si>
    <t>Counseling on balanced energy and protein dietary supplementation - 165327AAAAAAAAAAAAAAAAAAAAAAAAAAAAAA</t>
  </si>
  <si>
    <t>Reason Balanced energy and protein dietary supplementation counseling not done</t>
  </si>
  <si>
    <t>balanced_energy_counsel_notdone</t>
  </si>
  <si>
    <t>Select the reason why balanced energy and protein intake counseling was not done.</t>
  </si>
  <si>
    <t>Specify - Reason Balanced energy and protein dietary supplementation counseling not done</t>
  </si>
  <si>
    <t>balanced_energy_counsel_notdone_other</t>
  </si>
  <si>
    <t>Hypertension counseling</t>
  </si>
  <si>
    <t>Diagnoses - Hypertension</t>
  </si>
  <si>
    <t>hypertension_counsel</t>
  </si>
  <si>
    <t>Hypertension counseling - 165325AAAAAAAAAAAAAAAAAAAAAAAAAAAAAA</t>
  </si>
  <si>
    <t>Diagnoses - Hiv Positive</t>
  </si>
  <si>
    <t>hiv_positive_counsel</t>
  </si>
  <si>
    <t>HIV positive counseling - 165328AAAAAAAAAAAAAAAAAAAAAAAAAAAAAA</t>
  </si>
  <si>
    <t>Hepatitis B positive counseling</t>
  </si>
  <si>
    <t>Diagnoses - Hepatitis B Positive Counseling</t>
  </si>
  <si>
    <t>hepb_positive_counsel</t>
  </si>
  <si>
    <t>Hepatitis B positive counseling - 165329AAAAAAAAAAAAAAAAAAAAAAAAAAAAAA</t>
  </si>
  <si>
    <t>Hepatitis C positive counseling</t>
  </si>
  <si>
    <t>Diagnoses - Hepatitis C Positive Counseling</t>
  </si>
  <si>
    <t>hepc_positive_counsel</t>
  </si>
  <si>
    <t>Hepatitis C positive counseling - 165330AAAAAAAAAAAAAAAAAAAAAAAAAAAAAA</t>
  </si>
  <si>
    <t>Syphilis counselling and treatment</t>
  </si>
  <si>
    <t>Diagnoses - Syphilis</t>
  </si>
  <si>
    <t>syphilis_low_prev_counsel</t>
  </si>
  <si>
    <t xml:space="preserve">       Cephalic</t>
  </si>
  <si>
    <t>Syphilis counseling and treatment - 165331AAAAAAAAAAAAAAAAAAAAAAAAAAAAAA</t>
  </si>
  <si>
    <t>Syphilis counselling and further testing</t>
  </si>
  <si>
    <t xml:space="preserve">       Pelvic</t>
  </si>
  <si>
    <t>syphilis_high_prev_counsel</t>
  </si>
  <si>
    <t>Syphilis counseling with recommendation for further testing - 165332AAAAAAAAAAAAAAAAAAAAAAAAAAAAAA</t>
  </si>
  <si>
    <t>penicillin</t>
  </si>
  <si>
    <t>Calculated field for woman's medications (penicillin).</t>
  </si>
  <si>
    <t>if({syphilis_high_prev_counsel} = "Done" OR {syphilis_low_prev_counsel} = "Done", "Penicillin for syphilis", '')</t>
  </si>
  <si>
    <t xml:space="preserve">       Transverse</t>
  </si>
  <si>
    <t>Seven-day antibiotic regimen for asymptomatic bacteriuria (ASB)</t>
  </si>
  <si>
    <t>Diagnoses - Seven-Day Antibiotic Regimen For Asymptomatic Bacteriuria (Asb)</t>
  </si>
  <si>
    <t>asb_positive_counsel</t>
  </si>
  <si>
    <t>Seven day antibiotic regimen for asymptomatic bacteriuria - 165343AAAAAAAAAAAAAAAAAAAAAAAAAAAAAA</t>
  </si>
  <si>
    <t>Concept - Supplement status</t>
  </si>
  <si>
    <t>165345AAAAAAAAAAAAAAAAAAAAAAAAAAAAAA</t>
  </si>
  <si>
    <t>Reason Seven-day antibiotic regimen for asymptomatic bacteriuria (ASB) not done</t>
  </si>
  <si>
    <t>asb_positive_counsel_notdone</t>
  </si>
  <si>
    <t>Please explain why woman was not provided treatment.</t>
  </si>
  <si>
    <t>Concept - Reason supplement was not prescribed</t>
  </si>
  <si>
    <t>165346AAAAAAAAAAAAAAAAAAAAAAAAAAAAAA</t>
  </si>
  <si>
    <t>Concept - Medications unavailable</t>
  </si>
  <si>
    <t>1754AAAAAAAAAAAAAAAAAAAAAAAAAAAAAAAA</t>
  </si>
  <si>
    <t>Specify - Reason Seven-day antibiotic regimen for asymptomatic bacteriuria (ASB) not done</t>
  </si>
  <si>
    <t>asb_positive_counsel_notdone_other</t>
  </si>
  <si>
    <t>Specify any other reason why the supplement was not prescribed.</t>
  </si>
  <si>
    <t>Concept - Reason supplement was not prescribed (text)</t>
  </si>
  <si>
    <t>165427AAAAAAAAAAAAAAAAAAAAAAAAAAAAAA</t>
  </si>
  <si>
    <t>antibiotic</t>
  </si>
  <si>
    <t>Calculated field for woman's medications (antibiotics).</t>
  </si>
  <si>
    <t>if({asb_positive_counsel} = "Done", "Seven-day antibiotic for ASB", '')</t>
  </si>
  <si>
    <t>Diabetes counseling</t>
  </si>
  <si>
    <t>Diagnoses - Diabetes</t>
  </si>
  <si>
    <t>diabetes_counsel</t>
  </si>
  <si>
    <t>Diabetes mellitus diet education - 165333AAAAAAAAAAAAAAAAAAAAAAAAAAAAAA</t>
  </si>
  <si>
    <t xml:space="preserve">       Done today</t>
  </si>
  <si>
    <t>Prescribe daily dose of 120 mg iron and 2.8 mg folic acid</t>
  </si>
  <si>
    <t>Diagnoses - Anaemia &amp; Ifa</t>
  </si>
  <si>
    <t>ifa_anaemia</t>
  </si>
  <si>
    <t xml:space="preserve">       Done earlier</t>
  </si>
  <si>
    <t>Every contact, if relevant</t>
  </si>
  <si>
    <t>Prescribe daily iron (120 mg) and folic acid (2.8 mg) supplementation - 165348AAAAAAAAAAAAAAAAAAAAAAAAAAAAAA</t>
  </si>
  <si>
    <t>Reason Prescribe daily dose of 120 mg iron and 2.8 mg folic acid not done</t>
  </si>
  <si>
    <t>ifa_anaemia_notdone</t>
  </si>
  <si>
    <t>Select the reason why the supplement was not prescribed.</t>
  </si>
  <si>
    <t xml:space="preserve">       Ordered</t>
  </si>
  <si>
    <t>Side effects prevent woman from taking it</t>
  </si>
  <si>
    <t>Specify - Side effects prevent woman from taking it</t>
  </si>
  <si>
    <t>ifa_anaemia_notdone_other</t>
  </si>
  <si>
    <t>ifa_medication</t>
  </si>
  <si>
    <t>Calculated field for woman's medications (ifa).</t>
  </si>
  <si>
    <t>if({ifa_anaemia} = "Done", "Iron &amp; folic acid for anaemia treatment", '')</t>
  </si>
  <si>
    <t>TB screening positive counseling</t>
  </si>
  <si>
    <t>Diagnoses - Tb Screening Positive Counseling</t>
  </si>
  <si>
    <t>tb_positive_counseling</t>
  </si>
  <si>
    <t>Counseling for patients with positive tuberculosis screening - 165334AAAAAAAAAAAAAAAAAAAAAAAAAAAAAA</t>
  </si>
  <si>
    <t>Prescribe aspirin 75 mg daily until delivery (starting at 12 weeks gestation)</t>
  </si>
  <si>
    <t>Risks - Pre-Eclampsia Risk</t>
  </si>
  <si>
    <t>pe_risk_aspirin</t>
  </si>
  <si>
    <t>{gest_age} &gt;= 12</t>
  </si>
  <si>
    <t>Prescribe daily aspirin until delivery - 165349AAAAAAAAAAAAAAAAAAAAAAAAAAAAAA</t>
  </si>
  <si>
    <t xml:space="preserve">       Delayed to next contact</t>
  </si>
  <si>
    <t>Reason Prescribe aspirin 75 mg daily until delivery (starting at 12 weeks gestation) not done</t>
  </si>
  <si>
    <t>pe_risk_aspirin_notdone</t>
  </si>
  <si>
    <t>Select the reason why the aspirin was not given.</t>
  </si>
  <si>
    <t>No stock</t>
  </si>
  <si>
    <t>Side effects</t>
  </si>
  <si>
    <t xml:space="preserve">       Not available</t>
  </si>
  <si>
    <t>Allergy</t>
  </si>
  <si>
    <t>Concept - Drug Allergy</t>
  </si>
  <si>
    <t>141760AAAAAAAAAAAAAAAAAAAAAAAAAAAAAA</t>
  </si>
  <si>
    <t>Specify - Reason Prescribe aspirin 75 mg daily until delivery (starting at 12 weeks gestation) not done</t>
  </si>
  <si>
    <t>pe_risk_aspirin_notdone_other</t>
  </si>
  <si>
    <t>Specify any other reason why aspiring was not prescribed.</t>
  </si>
  <si>
    <t xml:space="preserve">Prescribe aspirin 75 mg daily until delivery (starting at 12 weeks gestation) and ensure that she continues to take her daily calcium supplement of 1.5 to 2 g until delivery </t>
  </si>
  <si>
    <t>pe_risk_aspirin_calcium</t>
  </si>
  <si>
    <t>Reason Prescribe aspirin 75 mg daily until delivery (starting at 12 weeks gestation) and ensure that she continues to take her daily calcium supplement of 1.5 to 2 g until delivery not done</t>
  </si>
  <si>
    <t>pe_risk_aspirin_calcium_notdone</t>
  </si>
  <si>
    <t>Select the reason why the aspirin &amp; calcium dose were not given.</t>
  </si>
  <si>
    <t>Specify - Reason Prescribe aspirin 75 mg daily until delivery (starting at 12 weeks gestation) and ensure that she continues to take her daily calcium supplement of 1.5 to 2 g until delivery not done</t>
  </si>
  <si>
    <t>pe_risk_aspirin_calcium_notdone_other</t>
  </si>
  <si>
    <t>Specify any other reason why the aspirin and calcium were not prescribed.</t>
  </si>
  <si>
    <t>aspirin</t>
  </si>
  <si>
    <t>Calculated field for woman's medications (aspirin).</t>
  </si>
  <si>
    <t>if({pe_risk_aspirin} = "Done" or {pe_risk_aspirin_calcium} = "Done", "Aspirin for pre-eclampsia risk", '')</t>
  </si>
  <si>
    <t xml:space="preserve">       0</t>
  </si>
  <si>
    <t>HIV risk counseling</t>
  </si>
  <si>
    <t>Risks - Hiv Risk</t>
  </si>
  <si>
    <t>hiv_risk_counsel</t>
  </si>
  <si>
    <t>HIV risk counseling - 165351AAAAAAAAAAAAAAAAAAAAAAAAAAAAAA</t>
  </si>
  <si>
    <t>PrEP for HIV prevention counseling</t>
  </si>
  <si>
    <t>Risks - PrEP</t>
  </si>
  <si>
    <t>hiv_prep</t>
  </si>
  <si>
    <t>PrEP for HIV prevention counseling - 165335AAAAAAAAAAAAAAAAAAAAAAAAAAAAAA</t>
  </si>
  <si>
    <t>Reason PrEP for HIV prevention counseling not done</t>
  </si>
  <si>
    <t>hiv_prep_notdone</t>
  </si>
  <si>
    <t>Concept - Reason for not providing pre exposure prophylaxis (PrEP)</t>
  </si>
  <si>
    <t>165336AAAAAAAAAAAAAAAAAAAAAAAAAAAAAA</t>
  </si>
  <si>
    <t>No drugs available</t>
  </si>
  <si>
    <t>Woman did not accept</t>
  </si>
  <si>
    <t>Concept - Refusal of treatment by patient</t>
  </si>
  <si>
    <t>127750AAAAAAAAAAAAAAAAAAAAAAAAAAAAAA</t>
  </si>
  <si>
    <t>Specify - Reason PrEP for HIV prevention counseling not done</t>
  </si>
  <si>
    <t>hiv_prep_notdone_other</t>
  </si>
  <si>
    <t>Specify any other reason why the treatment was not prescribed.</t>
  </si>
  <si>
    <t>Reason for not providing pre exposure prophylaxis (PrEP) - 165336AAAAAAAAAAAAAAAAAAAAAAAAAAAAAA</t>
  </si>
  <si>
    <t>prep</t>
  </si>
  <si>
    <t>Calculated field for woman's medications (HIV PrEP).</t>
  </si>
  <si>
    <t>if({hiv_prep} = "Done", "HIV Pre-exposure prophylaxis (PrEP)", '')</t>
  </si>
  <si>
    <t>GDM Risk Counseling</t>
  </si>
  <si>
    <t>Risks - Diabetes Risk</t>
  </si>
  <si>
    <t>gdm_risk_counsel</t>
  </si>
  <si>
    <t>Counseling on Gestational Diabetes Mellitus (GDM) risk - 165337AAAAAAAAAAAAAAAAAAAAAAAAAAAAAA</t>
  </si>
  <si>
    <t>Seeking care for danger signs counseling</t>
  </si>
  <si>
    <t>Counseling - Danger Signs</t>
  </si>
  <si>
    <t>danger_signs_counsel</t>
  </si>
  <si>
    <t>Antenatal counseling, visiting hospital in presence of danger signs - 161068AAAAAAAAAAAAAAAAAAAAAAAAAAAAAA</t>
  </si>
  <si>
    <t xml:space="preserve">Counseling on going immediately to the hospital if severe danger signs </t>
  </si>
  <si>
    <t>emergency_hosp_counsel</t>
  </si>
  <si>
    <t>ANC contact schedule counseling</t>
  </si>
  <si>
    <t>Counseling - Anc Contacts</t>
  </si>
  <si>
    <t>anc_contact_counsel</t>
  </si>
  <si>
    <t>Counseling, frequency of antenatal visits - 161013AAAAAAAAAAAAAAAAAAAAAAAAAAAAAA</t>
  </si>
  <si>
    <t>Planned birth place</t>
  </si>
  <si>
    <t>Counseling - Birth Plan</t>
  </si>
  <si>
    <t>delivery_place</t>
  </si>
  <si>
    <t>Every contact until answered</t>
  </si>
  <si>
    <t>Concept - Birth plan, planned location of delivery</t>
  </si>
  <si>
    <t>159758AAAAAAAAAAAAAAAAAAAAAAAAAAAAAA</t>
  </si>
  <si>
    <t>Facility</t>
  </si>
  <si>
    <t>Concept - HEALTH FACILITY</t>
  </si>
  <si>
    <t>1537AAAAAAAAAAAAAAAAAAAAAAAAAAAAAAAA</t>
  </si>
  <si>
    <t>Facility (elective C-section)</t>
  </si>
  <si>
    <t>Concept - delivery by elective caesarean section</t>
  </si>
  <si>
    <t>155886AAAAAAAAAAAAAAAAAAAAAAAAAAAAAA</t>
  </si>
  <si>
    <t>Home</t>
  </si>
  <si>
    <t>Concept - HOME</t>
  </si>
  <si>
    <t>1536AAAAAAAAAAAAAAAAAAAAAAAAAAAAAAAA</t>
  </si>
  <si>
    <t>Birth preparedness and complications readiness counseling</t>
  </si>
  <si>
    <t>birth_prep_counsel</t>
  </si>
  <si>
    <t xml:space="preserve">       Reduced</t>
  </si>
  <si>
    <t>Antenatal counseling, birth preparedness - 161069AAAAAAAAAAAAAAAAAAAAAAAAAAAAAA</t>
  </si>
  <si>
    <t xml:space="preserve">       Increased</t>
  </si>
  <si>
    <t>Rh factor negative counseling</t>
  </si>
  <si>
    <t>rh_negative_counsel</t>
  </si>
  <si>
    <t>Counseling on being Rhesus factor negative - 165338AAAAAAAAAAAAAAAAAAAAAAAAAAAAAA</t>
  </si>
  <si>
    <t>Intrapartum antibiotic to prevent early neonatal Group B Streptococcus (GBS) infection counseling</t>
  </si>
  <si>
    <t>gbs_agent_counsel</t>
  </si>
  <si>
    <t xml:space="preserve">       Praevia</t>
  </si>
  <si>
    <t>Counseling for intrapartum antibiotic to prevent early neonatal Group B streptococcus infection - 165339AAAAAAAAAAAAAAAAAAAAAAAAAAAAAA</t>
  </si>
  <si>
    <t xml:space="preserve">       Low</t>
  </si>
  <si>
    <t xml:space="preserve">Postpartum family planning counseling </t>
  </si>
  <si>
    <t>Counseling - Family Planning</t>
  </si>
  <si>
    <t>family_planning_counsel</t>
  </si>
  <si>
    <t>Every contact until done</t>
  </si>
  <si>
    <t>Counseling on postpartum family planning - 165340AAAAAAAAAAAAAAAAAAAAAAAAAAAAAA</t>
  </si>
  <si>
    <t xml:space="preserve">       Anterior</t>
  </si>
  <si>
    <t>FP method accepted</t>
  </si>
  <si>
    <t>family_planning_type</t>
  </si>
  <si>
    <t xml:space="preserve">       Posterior</t>
  </si>
  <si>
    <t>Concept - Method of family planning</t>
  </si>
  <si>
    <t>374AAAAAAAAAAAAAAAAAAAAAAAAAAAAAAAAA</t>
  </si>
  <si>
    <t>Oral contraceptive</t>
  </si>
  <si>
    <t>Concept - Oral contraception</t>
  </si>
  <si>
    <t>780AAAAAAAAAAAAAAAAAAAAAAAAAAAAAAAAA</t>
  </si>
  <si>
    <t>Injectable</t>
  </si>
  <si>
    <t xml:space="preserve">       Right side</t>
  </si>
  <si>
    <t>Concept - Injectable contraceptives</t>
  </si>
  <si>
    <t>5279AAAAAAAAAAAAAAAAAAAAAAAAAAAAAAAA</t>
  </si>
  <si>
    <t>Implant</t>
  </si>
  <si>
    <t>Concept - Implantable contraceptive (unspecified type)</t>
  </si>
  <si>
    <t>159589AAAAAAAAAAAAAAAAAAAAAAAAAAAAAA</t>
  </si>
  <si>
    <t>IUD</t>
  </si>
  <si>
    <t xml:space="preserve">       Left side</t>
  </si>
  <si>
    <t>Concept - Intrauterine device</t>
  </si>
  <si>
    <t>5275AAAAAAAAAAAAAAAAAAAAAAAAAAAAAAAA</t>
  </si>
  <si>
    <t>Vaginal ring</t>
  </si>
  <si>
    <t>Concept - Vaginal Ring</t>
  </si>
  <si>
    <t>162473AAAAAAAAAAAAAAAAAAAAAAAAAAAAAA</t>
  </si>
  <si>
    <t xml:space="preserve">       Fundal</t>
  </si>
  <si>
    <t>Tubal ligation</t>
  </si>
  <si>
    <t>Concept - Tubal ligation procedure</t>
  </si>
  <si>
    <t>1472AAAAAAAAAAAAAAAAAAAAAAAAAAAAAAAA</t>
  </si>
  <si>
    <t>Sterilization (partner)</t>
  </si>
  <si>
    <t>Concept - Vasectomy</t>
  </si>
  <si>
    <t>1489AAAAAAAAAAAAAAAAAAAAAAAAAAAAAAAA</t>
  </si>
  <si>
    <t xml:space="preserve">       Using LMP</t>
  </si>
  <si>
    <t>Breastfeeding counseling</t>
  </si>
  <si>
    <t>Counseling - Breastfeeding Counseling</t>
  </si>
  <si>
    <t>breastfeed_counsel</t>
  </si>
  <si>
    <t>Every contact if {gest_age} &gt;= 32</t>
  </si>
  <si>
    <t>Counseling about breastfeeding - 1910AAAAAAAAAAAAAAAAAAAAAAAAAAAAAAAA</t>
  </si>
  <si>
    <t xml:space="preserve">       Using ultrasound</t>
  </si>
  <si>
    <t>Clinical enquiry for intimate partner violence (IPV) done?</t>
  </si>
  <si>
    <t>Services &amp; Treatments - Ipv Assessment</t>
  </si>
  <si>
    <t>ipv_enquiry</t>
  </si>
  <si>
    <t>Every contact until "Done"</t>
  </si>
  <si>
    <t>Concept - Clinical enquiry for intimate partner violence (IPV)</t>
  </si>
  <si>
    <t>165352AAAAAAAAAAAAAAAAAAAAAAAAAAAAAA</t>
  </si>
  <si>
    <t xml:space="preserve">       Using SFH or abdominal palpation</t>
  </si>
  <si>
    <t>Reason Clinical enquiry for intimate partner violence (IPV) done? not done</t>
  </si>
  <si>
    <t>ipv_enquiry_notdone</t>
  </si>
  <si>
    <t>Concept - Reason clinical enquiry for intimate partner violence (IPV) was not done</t>
  </si>
  <si>
    <t>165353AAAAAAAAAAAAAAAAAAAAAAAAAAAAAA</t>
  </si>
  <si>
    <t>Specify - Reason Clinical enquiry for intimate partner violence (IPV) done? not done</t>
  </si>
  <si>
    <t>ipv_enquiry_notdone_other</t>
  </si>
  <si>
    <t>Reason clinical enquiry for intimate partner violence (IPV) was not done - 165353AAAAAAAAAAAAAAAAAAAAAAAAAAAAAA</t>
  </si>
  <si>
    <t>IPV enquiry results</t>
  </si>
  <si>
    <t>ipv_enquiry_results</t>
  </si>
  <si>
    <t>Concept - Intimate partner violence (IPV) post clinical enquiry plan</t>
  </si>
  <si>
    <t>165354AAAAAAAAAAAAAAAAAAAAAAAAAAAAAA</t>
  </si>
  <si>
    <t>Treated</t>
  </si>
  <si>
    <t>Concept - TREATMENT</t>
  </si>
  <si>
    <t>1185AAAAAAAAAAAAAAAAAAAAAAAAAAAAAAAA</t>
  </si>
  <si>
    <t>Referred</t>
  </si>
  <si>
    <t>No action necessary</t>
  </si>
  <si>
    <t>Prescribe daily dose of 60 mg iron and 0.4 mg folic acid</t>
  </si>
  <si>
    <t>Services &amp; Treatments - Anaemia Prevention</t>
  </si>
  <si>
    <t>ifa_high_prev</t>
  </si>
  <si>
    <t>Prescribe daily iron (60 mg) and folic acid (0.4 mg) supplementation - 165355AAAAAAAAAAAAAAAAAAAAAAAAAAAAAA</t>
  </si>
  <si>
    <t>Reason Prescribe daily dose of 60 mg iron and 0.4 mg folic acid not done</t>
  </si>
  <si>
    <t>ifa_high_prev_notdone</t>
  </si>
  <si>
    <t>Specify - Reason Prescribe daily dose of 60 mg iron and 0.4 mg folic acid not done</t>
  </si>
  <si>
    <t>ifa_high_prev_notdone_other</t>
  </si>
  <si>
    <t>Prescribe daily dose of 30 to 60 mg iron and 0.4 mg folic acid</t>
  </si>
  <si>
    <t>ifa_low_prev</t>
  </si>
  <si>
    <t>Prescribe daily iron (30-60 mg) and folic acid (0.4 mg) supplementation - 165356AAAAAAAAAAAAAAAAAAAAAAAAAAAAAA</t>
  </si>
  <si>
    <t xml:space="preserve">       A</t>
  </si>
  <si>
    <t>Reason Prescribe daily dose of 30 to 60 mg iron and 0.4 mg folic acid not done</t>
  </si>
  <si>
    <t>ifa_low_prev_notdone</t>
  </si>
  <si>
    <t xml:space="preserve">       B</t>
  </si>
  <si>
    <t xml:space="preserve">       AB</t>
  </si>
  <si>
    <t>Specify - Reason Prescribe daily dose of 30 to 60 mg iron and 0.4 mg folic acid not done</t>
  </si>
  <si>
    <t xml:space="preserve">       O</t>
  </si>
  <si>
    <t>ifa_low_prev_notdone_other</t>
  </si>
  <si>
    <t xml:space="preserve">Change prescription to weekly dose of 120 mg iron and 2.8 mg folic acid </t>
  </si>
  <si>
    <t>ifa_weekly</t>
  </si>
  <si>
    <t>Change prescription to weekly dose of iron (120 mg) and folic acid (2.8 mg) - 165357AAAAAAAAAAAAAAAAAAAAAAAAAAAAAA</t>
  </si>
  <si>
    <t>Reason Change prescription to weekly dose of 120 mg iron and 2.8 mg folic acid  not done</t>
  </si>
  <si>
    <t>ifa_weekly_notdone</t>
  </si>
  <si>
    <t>Specify - Reason Change prescription to weekly dose of 120 mg iron and 2.8 mg folic acid  not done</t>
  </si>
  <si>
    <t>ifa_weekly_notdone_other</t>
  </si>
  <si>
    <t>ifa</t>
  </si>
  <si>
    <t>if({ifa_high_prev} = "Done" or {ifa_low_prev} = "Done", "Iron &amp; folic acid supplement", '')</t>
  </si>
  <si>
    <t>Prescribe single dose albendazole 400 mg or mebendazole 500 mg</t>
  </si>
  <si>
    <t>Services &amp; Treatments - Deworming</t>
  </si>
  <si>
    <t>deworm</t>
  </si>
  <si>
    <t>{gest_age} &gt;= 13, due until given</t>
  </si>
  <si>
    <t>Deworming - 159922AAAAAAAAAAAAAAAAAAAAAAAAAAAAAA</t>
  </si>
  <si>
    <t>Reason Prescribe single dose albendazole 400 mg or mebendazole 500 mg not done</t>
  </si>
  <si>
    <t>deworm_notdone</t>
  </si>
  <si>
    <t>Select the reason why the treatment was not given.</t>
  </si>
  <si>
    <t>Specify - Reason Prescribe single dose albendazole 400 mg or mebendazole 500 mg not done</t>
  </si>
  <si>
    <t>deworm_notdone_other</t>
  </si>
  <si>
    <t xml:space="preserve">       Stock out</t>
  </si>
  <si>
    <t>alben_meben</t>
  </si>
  <si>
    <t>Calculated field for woman's medications (albendazole/mebendazole).</t>
  </si>
  <si>
    <t xml:space="preserve">if({deworm} = "Done", "Albendazole/mebendazole for deworming", '') </t>
  </si>
  <si>
    <t>IPTp-SP dose 1</t>
  </si>
  <si>
    <t>Services &amp; Treatments - Malaria Prophylaxis</t>
  </si>
  <si>
    <t>iptp_sp1</t>
  </si>
  <si>
    <t xml:space="preserve">       Expired stock</t>
  </si>
  <si>
    <t>Cannot be after today's date</t>
  </si>
  <si>
    <t>{gest_age} &gt;= 13</t>
  </si>
  <si>
    <t>INTERMITTENT PREVENTIVE TREATMENT IN PREGNANCY WITH SULPHADOXINE-PYRIMETHAMINE - 1591AAAAAAAAAAAAAAAAAAAAAAAAAAAAAAAA</t>
  </si>
  <si>
    <t>iptp_sp1_dose_number</t>
  </si>
  <si>
    <t>Sequence number (i.e. dose number) that gets recorded for IPTp-SP dose 1.</t>
  </si>
  <si>
    <t>Concept - Intermittent preventive treatment (IPT) sequence number</t>
  </si>
  <si>
    <t>165358AAAAAAAAAAAAAAAAAAAAAAAAAAAAAA</t>
  </si>
  <si>
    <t>iptp_sp1_date</t>
  </si>
  <si>
    <t>Date that gets recorded for IPTp-SP dose 1.</t>
  </si>
  <si>
    <t>Today's date</t>
  </si>
  <si>
    <t>IPTp-SP dose 2</t>
  </si>
  <si>
    <t>iptp_sp2</t>
  </si>
  <si>
    <t>{iptp_sp1_date} + 4 weeks</t>
  </si>
  <si>
    <t>iptp_sp2_dose_number</t>
  </si>
  <si>
    <t>Sequence number (i.e. dose number) that gets recorded for IPTp-SP dose 2.</t>
  </si>
  <si>
    <t>iptp_sp2_date</t>
  </si>
  <si>
    <t>Date that gets recorded for IPTp-SP dose 2.</t>
  </si>
  <si>
    <t>IPTp-SP dose 3</t>
  </si>
  <si>
    <t>iptp_sp3</t>
  </si>
  <si>
    <t>{iptp_sp2_date} + 4 weeks</t>
  </si>
  <si>
    <t xml:space="preserve">       Inconclusive</t>
  </si>
  <si>
    <t>iptp_sp3_dose_number</t>
  </si>
  <si>
    <t>Sequence number (i.e. dose number) that gets recorded for IPTp-SP dose 3.</t>
  </si>
  <si>
    <t>iptp_sp3_date</t>
  </si>
  <si>
    <t>Date that gets recorded for IPTp-SP dose 3.</t>
  </si>
  <si>
    <t>Reason Treatment not given</t>
  </si>
  <si>
    <t>iptp_sp_notdone</t>
  </si>
  <si>
    <t>Concept - Reason for not providing IPT (intermittent preventive treatment)</t>
  </si>
  <si>
    <t>165359AAAAAAAAAAAAAAAAAAAAAAAAAAAAAA</t>
  </si>
  <si>
    <t>Specify - Reason Treatment not given</t>
  </si>
  <si>
    <t>iptp_sp_notdone_other</t>
  </si>
  <si>
    <t>Reason for not providing IPT (intermittent preventive treatment) - 165359AAAAAAAAAAAAAAAAAAAAAAAAAAAAAA</t>
  </si>
  <si>
    <t>sp</t>
  </si>
  <si>
    <t>Calculated field for woman's medications (IPTp).</t>
  </si>
  <si>
    <t xml:space="preserve">if({iptp_sp1} = "Done", "Sulfadoxine-pyrimethamine (SP) for malaria prevention", '') </t>
  </si>
  <si>
    <t>Malaria prevention counseling</t>
  </si>
  <si>
    <t>Services &amp; Treatments - Malaria Prevention Counselling</t>
  </si>
  <si>
    <t>malaria_counsel</t>
  </si>
  <si>
    <t>Education on malaria control and prevention - 164884AAAAAAAAAAAAAAAAAAAAAAAAAAAAAA</t>
  </si>
  <si>
    <t>Reason Malaria prevention counseling not done</t>
  </si>
  <si>
    <t>malaria_counsel_notdone</t>
  </si>
  <si>
    <t>Select the reason why the counseling was not given.</t>
  </si>
  <si>
    <t>Specify - Reason Malaria prevention counseling not done</t>
  </si>
  <si>
    <t>malaria_counsel_notdone_other</t>
  </si>
  <si>
    <t>TT dose #1</t>
  </si>
  <si>
    <t>Services &amp; Treatments - Tt Immunisation</t>
  </si>
  <si>
    <t>tt1_date</t>
  </si>
  <si>
    <t>Date of the first dose of TT given in this pregnancy.</t>
  </si>
  <si>
    <t>TETANUS TOXOID - 84879AAAAAAAAAAAAAAAAAAAAAAAAAAAAAAA</t>
  </si>
  <si>
    <t>Concept - Immunization status</t>
  </si>
  <si>
    <t>164464AAAAAAAAAAAAAAAAAAAAAAAAAAAAAA</t>
  </si>
  <si>
    <t>Concept - Previously vaccinated</t>
  </si>
  <si>
    <t>160699AAAAAAAAAAAAAAAAAAAAAAAAAAAAAA</t>
  </si>
  <si>
    <t>tt1_dose_number</t>
  </si>
  <si>
    <t>Sequence number (i.e. vaccination dose number) that gets recorded for TT 1 dose.</t>
  </si>
  <si>
    <t>Concept - IMMUNIZATION SEQUENCE NUMBER</t>
  </si>
  <si>
    <t>1418AAAAAAAAAAAAAAAAAAAAAAAAAAAAAAAA</t>
  </si>
  <si>
    <t>tt1_date_done</t>
  </si>
  <si>
    <t>Date that gets recorded for TT 1 dose.</t>
  </si>
  <si>
    <t>Today's date or earlier date inputted by user.</t>
  </si>
  <si>
    <t>Concept - VACCINATION DATE</t>
  </si>
  <si>
    <t>1410AAAAAAAAAAAAAAAAAAAAAAAAAAAAAAAA</t>
  </si>
  <si>
    <t>TT dose #2</t>
  </si>
  <si>
    <t>tt2_date</t>
  </si>
  <si>
    <t>Date of the second dose of TT given in this pregnancy.</t>
  </si>
  <si>
    <t>{tt1_date} + 28 days AND {gest_age} &lt; 38</t>
  </si>
  <si>
    <t>tt2_dose_number</t>
  </si>
  <si>
    <t>Sequence number (i.e. vaccination dose number) that gets recorded for TT 2 dose.</t>
  </si>
  <si>
    <t>tt2_date_done</t>
  </si>
  <si>
    <t>Date that gets recorded for TT 2 dose.</t>
  </si>
  <si>
    <t>TT dose #3</t>
  </si>
  <si>
    <t>tt3_date</t>
  </si>
  <si>
    <t>Date of the third dose of TT given in this pregnancy.</t>
  </si>
  <si>
    <t>{tt2_date} + 140 days AND {gest_age} &lt; 38</t>
  </si>
  <si>
    <t>tt3_dose_number</t>
  </si>
  <si>
    <t>Sequence number (i.e. vaccination dose number) that gets recorded for TT 3 dose.</t>
  </si>
  <si>
    <t>tt3_date_done</t>
  </si>
  <si>
    <t>Date that gets recorded for TT 3 dose.</t>
  </si>
  <si>
    <t>Reason TT Done not done</t>
  </si>
  <si>
    <t>tt_dose_notdone</t>
  </si>
  <si>
    <t>Select the reason why the TT dose was not given.</t>
  </si>
  <si>
    <t>Concept - Reason vaccination was not done</t>
  </si>
  <si>
    <t>165362AAAAAAAAAAAAAAAAAAAAAAAAAAAAAA</t>
  </si>
  <si>
    <t>No vaccine available</t>
  </si>
  <si>
    <t>Woman is ill</t>
  </si>
  <si>
    <t>Concept - Felt too ill to take medication</t>
  </si>
  <si>
    <t>160585AAAAAAAAAAAAAAAAAAAAAAAAAAAAAA</t>
  </si>
  <si>
    <t>Allergies</t>
  </si>
  <si>
    <t>Specify - Reason TT Done not done</t>
  </si>
  <si>
    <t>tt_dose_notdone_other</t>
  </si>
  <si>
    <t>Concept - Reason vaccination was not done (text)</t>
  </si>
  <si>
    <t>165440AAAAAAAAAAAAAAAAAAAAAAAAAAAAAA</t>
  </si>
  <si>
    <t>Hep B negative counseling and vaccination</t>
  </si>
  <si>
    <t>Services &amp; Treatments - Hep B Immunisation</t>
  </si>
  <si>
    <t>hepb_negative_note</t>
  </si>
  <si>
    <t>Only show once after each Hep B negative test result</t>
  </si>
  <si>
    <t>Hepatitis B negative counseling - 165363AAAAAAAAAAAAAAAAAAAAAAAAAAAAAA</t>
  </si>
  <si>
    <t>Hep B dose #1</t>
  </si>
  <si>
    <t>hepb1_date</t>
  </si>
  <si>
    <t>Date of the first dose of Hep B given in this pregnancy.</t>
  </si>
  <si>
    <t>HEPATITIS B VACCINATION - 782AAAAAAAAAAAAAAAAAAAAAAAAAAAAAAAAA</t>
  </si>
  <si>
    <t xml:space="preserve">       HBsAg laboratory-based immunoassay (recommended)</t>
  </si>
  <si>
    <t>hepb1_dose_number</t>
  </si>
  <si>
    <t>Sequence number (i.e. vaccination dose number) that gets recorded for Hep B 1 dose.</t>
  </si>
  <si>
    <t>hepb1_date_done</t>
  </si>
  <si>
    <t>Date that gets recorded for Hep B 1 dose.</t>
  </si>
  <si>
    <t xml:space="preserve">       HBsAg rapid diagnostic test (RDT)</t>
  </si>
  <si>
    <t xml:space="preserve">Hep B dose #2 </t>
  </si>
  <si>
    <t>hepb2_date</t>
  </si>
  <si>
    <t>Date of the second dose of Hep B given in this pregnancy.</t>
  </si>
  <si>
    <t>{hepb1_date} + 28 days</t>
  </si>
  <si>
    <t xml:space="preserve">       Dried Blood Spot (DBS) HBsAg test</t>
  </si>
  <si>
    <t>hepb2_dose_number</t>
  </si>
  <si>
    <t>Sequence number (i.e. vaccination dose number) that gets recorded for Hep B 2 dose.</t>
  </si>
  <si>
    <t>hepb2_date_done</t>
  </si>
  <si>
    <t>Date that gets recorded for Hep B 2 dose.</t>
  </si>
  <si>
    <t>Hep B dose #3</t>
  </si>
  <si>
    <t>hepb3_date</t>
  </si>
  <si>
    <t>Date of the third dose of Hep B given in this pregnancy.</t>
  </si>
  <si>
    <t>{hepb2_date} + 140 days</t>
  </si>
  <si>
    <t>hepb3_dose_number</t>
  </si>
  <si>
    <t>Sequence number (i.e. vaccination dose number) that gets recorded for Hep B 3 dose.</t>
  </si>
  <si>
    <t>hepb3_date_done</t>
  </si>
  <si>
    <t>Date that gets recorded for Hep B 3 dose.</t>
  </si>
  <si>
    <t>Reason HepB3 not done</t>
  </si>
  <si>
    <t>hepb_dose_notdone</t>
  </si>
  <si>
    <t>Select the reason why the Hep B dose was not given.</t>
  </si>
  <si>
    <t>Specify - Reason HepB3 not done</t>
  </si>
  <si>
    <t>hepb_dose_notdone_other</t>
  </si>
  <si>
    <t>Flu dose</t>
  </si>
  <si>
    <t>Services &amp; Treatments - Flu Immunisation</t>
  </si>
  <si>
    <t>flu_date</t>
  </si>
  <si>
    <t>Date that the woman received the flu vaccine.</t>
  </si>
  <si>
    <t>First contact, due until given</t>
  </si>
  <si>
    <t>INFLUENZA VIRUS VACCINE - 78032AAAAAAAAAAAAAAAAAAAAAAAAAAAAAAA</t>
  </si>
  <si>
    <t>flu_date_done</t>
  </si>
  <si>
    <t>Date that gets recorded for flu dose.</t>
  </si>
  <si>
    <t>Reason Flu dose not done</t>
  </si>
  <si>
    <t>flu_dose_notdone</t>
  </si>
  <si>
    <t>Select the reason why the flu dose was not given.</t>
  </si>
  <si>
    <t>Specify - Reason Flu dose not done</t>
  </si>
  <si>
    <t>flu_dose_notdone_other</t>
  </si>
  <si>
    <t>Prescribe daily calcium supplementation (1.5–2.0 g oral elemental calcium)</t>
  </si>
  <si>
    <t>Services &amp; Treatments - Calcium Supplementation</t>
  </si>
  <si>
    <t>calcium_supp</t>
  </si>
  <si>
    <t>Every contact if relevant, until done</t>
  </si>
  <si>
    <t>Prescribe daily calcium supplement - 165350AAAAAAAAAAAAAAAAAAAAAAAAAAAAAA</t>
  </si>
  <si>
    <t>Reason Prescribe daily calcium supplementation (1.5–2.0 g oral elemental calcium) not done</t>
  </si>
  <si>
    <t>calcium_supp_notdone</t>
  </si>
  <si>
    <t>Select the reason why the supplement was not given.</t>
  </si>
  <si>
    <t>Specify - Reason Prescribe daily calcium supplementation (1.5–2.0 g oral elemental calcium) not done</t>
  </si>
  <si>
    <t>calcium_supp_notdone_other</t>
  </si>
  <si>
    <t>calcium</t>
  </si>
  <si>
    <t>Calculated field for woman's medications (calcium).</t>
  </si>
  <si>
    <t>if({calcium_supp} = "Done", "Calcium supplement", '')</t>
  </si>
  <si>
    <t>Prescribe a daily dose of up to 10,000 IU vitamin A, or a weekly dose of up to 25,000 IU</t>
  </si>
  <si>
    <t>Services &amp; Treatments - Vitamin A Supplementation</t>
  </si>
  <si>
    <t>vita_supp</t>
  </si>
  <si>
    <t>Administration of vitamin A supplement to mother - 164804AAAAAAAAAAAAAAAAAAAAAAAAAAAAAA</t>
  </si>
  <si>
    <t xml:space="preserve">       Anti-HCV laboratory-based immunoassay (recommended)</t>
  </si>
  <si>
    <t>Reason Prescribe a daily dose of up to 10,000 IU vitamin A, or a weekly dose of up to 25,000 IU not done</t>
  </si>
  <si>
    <t>vita_supp_notdone</t>
  </si>
  <si>
    <t xml:space="preserve">       Anti-HCV rapid diagnostic test (RDT)</t>
  </si>
  <si>
    <t xml:space="preserve">       Dried Blood Spot (DBS) anti-HCV test</t>
  </si>
  <si>
    <t>Specify - Reason Prescribe a daily dose of up to 10,000 IU vitamin A, or a weekly dose of up to 25,000 IU not done</t>
  </si>
  <si>
    <t>vita_supp_notdone_other</t>
  </si>
  <si>
    <t>vita</t>
  </si>
  <si>
    <t>Calculated field for woman's medications (vit A).</t>
  </si>
  <si>
    <t>if({vita_supp} = "Done", "Vitamin A supplement", '')</t>
  </si>
  <si>
    <t>Not Recommended</t>
  </si>
  <si>
    <t>Dietary supplements NOT recommended:
- High protein supplement 
- Zinc supplement
- Multiple micronutrient supplement
- Vitamin B6 supplement
- Vitamin C and E supplement
- Vitamin D supplement</t>
  </si>
  <si>
    <t>Dietary supplements that are not recommended</t>
  </si>
  <si>
    <t>Data Element Name within Master List, which can be edited as appropriate.</t>
  </si>
  <si>
    <t>Data Element = "Question" that user interacts with
Input Option = "Answer" to the question, in the case that its related Data Element is a Coding/Multiple Choice type
Calculation = Similar to Data Element, except it is system-generated based on other data, rather than user-dependent
UI Element = User interface only, like a page header, a pop-up, etc. These are not stored and should be ignored when mapping.</t>
  </si>
  <si>
    <t xml:space="preserve">Domain as assigned by Joe/Jennifer for project management purposes.
</t>
  </si>
  <si>
    <t>If a signficant change is needed to a row, suggested action.</t>
  </si>
  <si>
    <t>FHIR resource to which the Data Element or Calculation is mapped</t>
  </si>
  <si>
    <t>Mark "FHIR" if from FHIR Core. Otherwise, include URI from the profile's page or the data type.</t>
  </si>
  <si>
    <t>Mark "FHIR" if from FHIR Core. Otherwise, include URI from the profile's page.</t>
  </si>
  <si>
    <t xml:space="preserve">Contextual details that supplement the FHIR resource e.g. status = "active"
</t>
  </si>
  <si>
    <t>Naming convention: lowercase and dashes (Example: WHO-Patient or WHO-MedicationStatement</t>
  </si>
  <si>
    <t>For Data Elements with Input Options, name the value set to which the Input Options belong. For Data Elements that should reference an existing value set, reference the value set name (which should already be defined somewhere else in the DD)</t>
  </si>
  <si>
    <t>Designates which Implementation Guide the term should sit in.</t>
  </si>
  <si>
    <t>Ready for IG publishing?</t>
  </si>
  <si>
    <t>If the Code System is not LOINC, SNOMED, ICD-10, or RxNorm, list the code system that should be used for the data element or input option.</t>
  </si>
  <si>
    <t>Thoughts from Paul</t>
  </si>
  <si>
    <t>A term is considered Completed if both FHIR Mapping and Terminology Mapping are complete, plus no extension is needed.</t>
  </si>
  <si>
    <t>If the term has a FHIR resource, base profile, and version number, and no extension is needed</t>
  </si>
  <si>
    <t>If the term has one or more terminology codes, and no extension is needed</t>
  </si>
  <si>
    <t>The term is not Completed or marked as needing an Extension</t>
  </si>
  <si>
    <t xml:space="preserve">Some FHIR "extension" is required, either by extending a value set or adding a FHIR attribute.
</t>
  </si>
  <si>
    <t>Duplicate Master ID Column</t>
  </si>
  <si>
    <t>Length</t>
  </si>
  <si>
    <t>Multiple Choice</t>
  </si>
  <si>
    <t>HL7 FHIR R4 - Resource Type</t>
  </si>
  <si>
    <t>Custom Profile ID</t>
  </si>
  <si>
    <t>Row Check</t>
  </si>
  <si>
    <t>Binding or Custom Value Set Name or Reference</t>
  </si>
  <si>
    <t>Binding Strength</t>
  </si>
  <si>
    <t>Term name in old DD</t>
  </si>
  <si>
    <t>Changed in new DD</t>
  </si>
  <si>
    <t>Did the DD change affect anything?</t>
  </si>
  <si>
    <t>Core, FP, STI</t>
  </si>
  <si>
    <t>Status</t>
  </si>
  <si>
    <t>In New DD</t>
  </si>
  <si>
    <t>Paul validation</t>
  </si>
  <si>
    <t>Base Resource</t>
  </si>
  <si>
    <t>Data Element Base Resource</t>
  </si>
  <si>
    <t>Base or DE Resource</t>
  </si>
  <si>
    <t>Base or DE Profile</t>
  </si>
  <si>
    <t>Has Input Options</t>
  </si>
  <si>
    <t>FHIR Mapping Completed</t>
  </si>
  <si>
    <t>Terminology Mapping Completed</t>
  </si>
  <si>
    <t>LOINC Scrape Test</t>
  </si>
  <si>
    <t>Client first name</t>
  </si>
  <si>
    <t>Demographic</t>
  </si>
  <si>
    <t xml:space="preserve">1.2 Gather client details </t>
  </si>
  <si>
    <t>ST.DE.01</t>
  </si>
  <si>
    <t>FP.DE.01</t>
  </si>
  <si>
    <t>first name</t>
  </si>
  <si>
    <t>R</t>
  </si>
  <si>
    <t>Patient.name.given</t>
  </si>
  <si>
    <t>FHIR</t>
  </si>
  <si>
    <t>4.0.1</t>
  </si>
  <si>
    <t>WHO-Core Patient</t>
  </si>
  <si>
    <t>JS, JA</t>
  </si>
  <si>
    <t>Core</t>
  </si>
  <si>
    <t>Ready for testing</t>
  </si>
  <si>
    <t>No terminology code required</t>
  </si>
  <si>
    <t>Client last name</t>
  </si>
  <si>
    <t>ST.DE.02</t>
  </si>
  <si>
    <t>FP.DE.02</t>
  </si>
  <si>
    <t>family or last name</t>
  </si>
  <si>
    <t>*SNOMED code is Patient surname. Patient name is 397678008</t>
  </si>
  <si>
    <t>Patient.name.family</t>
  </si>
  <si>
    <t>184096005</t>
  </si>
  <si>
    <t xml:space="preserve">       Rapid syphilis test</t>
  </si>
  <si>
    <t>Visit type</t>
  </si>
  <si>
    <t xml:space="preserve">       Rapid plasma reagin test</t>
  </si>
  <si>
    <t>Registration</t>
  </si>
  <si>
    <t>ST.DE.03</t>
  </si>
  <si>
    <t>visit_type</t>
  </si>
  <si>
    <t xml:space="preserve">If the client is returning, was referred, or is a new client. </t>
  </si>
  <si>
    <t>Coding</t>
  </si>
  <si>
    <t>(Select all that apply</t>
  </si>
  <si>
    <t>Appointment.appointmentType</t>
  </si>
  <si>
    <t>WHO-Core Appointment (Visit)</t>
  </si>
  <si>
    <t>ST</t>
  </si>
  <si>
    <t xml:space="preserve">       Off-site lab test</t>
  </si>
  <si>
    <t xml:space="preserve">       Returning client</t>
  </si>
  <si>
    <t>ST.DE.388</t>
  </si>
  <si>
    <t>Returning client</t>
  </si>
  <si>
    <t>JS</t>
  </si>
  <si>
    <t>http://who.int/cg/CodeSystem/extended-content</t>
  </si>
  <si>
    <t>Returning Client</t>
  </si>
  <si>
    <t>No FHIR valueset code available</t>
  </si>
  <si>
    <t xml:space="preserve">       Follow up appointment</t>
  </si>
  <si>
    <t>ST.DE.389</t>
  </si>
  <si>
    <t>Follow up appointment</t>
  </si>
  <si>
    <t>http://terminology.hl7.org/CodeSystem/v2-0276</t>
  </si>
  <si>
    <t>FOLLOWUP</t>
  </si>
  <si>
    <t xml:space="preserve">       Referral </t>
  </si>
  <si>
    <t>ST.DE.390</t>
  </si>
  <si>
    <t xml:space="preserve">Referral </t>
  </si>
  <si>
    <t>Referral</t>
  </si>
  <si>
    <t xml:space="preserve">       New client</t>
  </si>
  <si>
    <t>ST.DE.391</t>
  </si>
  <si>
    <t>New client</t>
  </si>
  <si>
    <t>New Client</t>
  </si>
  <si>
    <t xml:space="preserve">       First visit for symptoms</t>
  </si>
  <si>
    <t>ST.DE.392</t>
  </si>
  <si>
    <t>First visit for symptoms</t>
  </si>
  <si>
    <t xml:space="preserve">       Follow up for STI management</t>
  </si>
  <si>
    <t>ST.DE.393</t>
  </si>
  <si>
    <t>Follow up for STI management</t>
  </si>
  <si>
    <t>STI Follow up</t>
  </si>
  <si>
    <t>Visit Date</t>
  </si>
  <si>
    <t>ST.DE.394</t>
  </si>
  <si>
    <t>FP.DE.12</t>
  </si>
  <si>
    <t>The date and time of the client's visit</t>
  </si>
  <si>
    <t>DateTime</t>
  </si>
  <si>
    <t>DateTime &lt;= Current DateTime</t>
  </si>
  <si>
    <t>The encounter date may be system generated, but there is a requirement to be able to backenter data.</t>
  </si>
  <si>
    <t>Appointment.start</t>
  </si>
  <si>
    <t>x</t>
  </si>
  <si>
    <t>76427-4</t>
  </si>
  <si>
    <t>UI Element</t>
  </si>
  <si>
    <t>1.4 Check referral documentation</t>
  </si>
  <si>
    <t>ST.DE.395</t>
  </si>
  <si>
    <t>FP.DE.14</t>
  </si>
  <si>
    <t>If client was referred for care</t>
  </si>
  <si>
    <t>Boolean</t>
  </si>
  <si>
    <t>True/False</t>
  </si>
  <si>
    <t>Referral (If client was referred for care)</t>
  </si>
  <si>
    <t>Referred by</t>
  </si>
  <si>
    <t>ST.DE.04</t>
  </si>
  <si>
    <t>FP.DE.04</t>
  </si>
  <si>
    <t>referred_by</t>
  </si>
  <si>
    <t>How the client was referred</t>
  </si>
  <si>
    <t>Select one</t>
  </si>
  <si>
    <t>C</t>
  </si>
  <si>
    <t>Included if Referral = TRUE</t>
  </si>
  <si>
    <t>ServiceRequest.requesterType</t>
  </si>
  <si>
    <t>CodeableConcept</t>
  </si>
  <si>
    <t>WHO-Core ServiceRequest (Referral)</t>
  </si>
  <si>
    <t>HL# v 3 REFB</t>
  </si>
  <si>
    <t xml:space="preserve">       Community</t>
  </si>
  <si>
    <t>ST.DE.396</t>
  </si>
  <si>
    <t>FP.DE.40</t>
  </si>
  <si>
    <t>Community</t>
  </si>
  <si>
    <t>?</t>
  </si>
  <si>
    <t>use referred by and add community name</t>
  </si>
  <si>
    <t xml:space="preserve">       Midstream urine culture (recommended)</t>
  </si>
  <si>
    <t xml:space="preserve">       Facility</t>
  </si>
  <si>
    <t xml:space="preserve">       Midstream urine Gram-staining</t>
  </si>
  <si>
    <t>ST.DE.397</t>
  </si>
  <si>
    <t>FP.DE.41</t>
  </si>
  <si>
    <t xml:space="preserve">       Urine dipstick</t>
  </si>
  <si>
    <t>309015008</t>
  </si>
  <si>
    <t>referred by facility ;need facility name also</t>
  </si>
  <si>
    <t>Patient Unique identification</t>
  </si>
  <si>
    <t>1.6 Validate client details / 1.7 Create client record</t>
  </si>
  <si>
    <t>ST.DE.05</t>
  </si>
  <si>
    <t>FP.DE.05</t>
  </si>
  <si>
    <t>Unique identification</t>
  </si>
  <si>
    <t>Unique identifier generated for new clients or a universal ID, if used in the country.</t>
  </si>
  <si>
    <t>minimum of 'x' number of characters</t>
  </si>
  <si>
    <t>System generated</t>
  </si>
  <si>
    <t>Patient.identifier.value</t>
  </si>
  <si>
    <t xml:space="preserve">       Positive - any agent</t>
  </si>
  <si>
    <t xml:space="preserve">       Positive - Group B Streptococcus (GBS)</t>
  </si>
  <si>
    <t xml:space="preserve">Date of birth </t>
  </si>
  <si>
    <t>ST.DE.06</t>
  </si>
  <si>
    <t>FP.DE.06</t>
  </si>
  <si>
    <t>The client's date of birth (DOB) if known.</t>
  </si>
  <si>
    <t>Date of birth OR Date of birth unknown and estimated age should be entered.</t>
  </si>
  <si>
    <t xml:space="preserve">Age-specific  patient care (e.g. dosing); patient identifier; report  disaggregation. If taken from </t>
  </si>
  <si>
    <t>STI.IND.01</t>
  </si>
  <si>
    <t xml:space="preserve">Disaggregation
FP2020: Core Indicator 1 - Number of additional users of modern methods of contraception, 2018 Global Reference List of 100 Core Indicators – Demand for family planning satisfied with modern methods   SDG 3.7.1]. </t>
  </si>
  <si>
    <t xml:space="preserve"> May determine from birth certificate, national ID, U5 vaccination/growth card. If system generated such as from a national identifier, record may not be editable. </t>
  </si>
  <si>
    <t xml:space="preserve"> </t>
  </si>
  <si>
    <t>21112-8</t>
  </si>
  <si>
    <t>Date of birth unknown</t>
  </si>
  <si>
    <t>ST.DE.07</t>
  </si>
  <si>
    <t>FP.DE.07</t>
  </si>
  <si>
    <t>Select this if the client's DOB is unknown or cannot be estimated.</t>
  </si>
  <si>
    <t>"Date of birth unknown" is a user interface (UI) element. We believe that the purpose in the UI is to allow a user to not enter the date of birth in case it is unknown, ensuring that the date of birth question is not mistakenly skipped. In FHIR, the date of birth can already be empty (since its Cardinality = 0..1)</t>
  </si>
  <si>
    <t>9 (Closed)</t>
  </si>
  <si>
    <t>Estimated age</t>
  </si>
  <si>
    <t>ST.DE.08</t>
  </si>
  <si>
    <t>FP.DE.08</t>
  </si>
  <si>
    <t>If DOB is unknown, enter the client's age. Note displaying the client's age in years.</t>
  </si>
  <si>
    <t xml:space="preserve">Required if DOB unknown </t>
  </si>
  <si>
    <t>Include if Date of birth unknown = TRUE</t>
  </si>
  <si>
    <t>Patient.estimatedAge</t>
  </si>
  <si>
    <t>integer</t>
  </si>
  <si>
    <t>Age (calculated)</t>
  </si>
  <si>
    <t>ST.DE.017</t>
  </si>
  <si>
    <t>FP.DE.13</t>
  </si>
  <si>
    <t>Calculated age of the client based on date of birth</t>
  </si>
  <si>
    <t>Gender</t>
  </si>
  <si>
    <t>ST.DE.09</t>
  </si>
  <si>
    <t>FP.DE.09</t>
  </si>
  <si>
    <t>Patient.gender</t>
  </si>
  <si>
    <t>Gender of the client</t>
  </si>
  <si>
    <t>Select One</t>
  </si>
  <si>
    <t>STI.IND.02</t>
  </si>
  <si>
    <t>"FP2020: Core Indicator 1 - Number of additional users of modern methods of contraception, 2018 Global Reference List of 100 Core Indicators – Demand for family planning satisfied with modern methods   SDG 3.7.1]. 
Numerator - (18-49)
Disaggregation"</t>
  </si>
  <si>
    <t>Gender-specific patient care and interventions (e.g. pregnancy, family planning methods); patient identifier; report  disaggregation</t>
  </si>
  <si>
    <t>patient</t>
  </si>
  <si>
    <t>gender</t>
  </si>
  <si>
    <t xml:space="preserve">       Female</t>
  </si>
  <si>
    <t>ST.DE.398</t>
  </si>
  <si>
    <t>FP.DE.72</t>
  </si>
  <si>
    <t>Female</t>
  </si>
  <si>
    <t>http://hl7.org/fhir/administrative-gender</t>
  </si>
  <si>
    <t>female</t>
  </si>
  <si>
    <t xml:space="preserve">       Male</t>
  </si>
  <si>
    <t>ST.DE.399</t>
  </si>
  <si>
    <t>FP.DE.73</t>
  </si>
  <si>
    <t>Male</t>
  </si>
  <si>
    <t>male</t>
  </si>
  <si>
    <t>ST.DE.400</t>
  </si>
  <si>
    <t>FP.DE.74</t>
  </si>
  <si>
    <t>For “Other” specify in certain settings. May not specify in settings where to do so would be to put the patient at risk.</t>
  </si>
  <si>
    <t>other</t>
  </si>
  <si>
    <t>Marital Status</t>
  </si>
  <si>
    <t>ST.DE.010</t>
  </si>
  <si>
    <t>FP.DE.10</t>
  </si>
  <si>
    <t xml:space="preserve">Client’s current marital status </t>
  </si>
  <si>
    <t>Required if indicators include marital status for disaggregations or for other national requirements.</t>
  </si>
  <si>
    <t>Patient.maritalStatus</t>
  </si>
  <si>
    <t xml:space="preserve">       Unmarried</t>
  </si>
  <si>
    <t>ST.DE.401</t>
  </si>
  <si>
    <t>Unmarried</t>
  </si>
  <si>
    <t>http://terminology.hl7.org/CodeSystem/v3-MaritalStatus</t>
  </si>
  <si>
    <t>U</t>
  </si>
  <si>
    <t>5615AAAAAAAAAAAAAAAAAAAAAAAAAAAAAAAA</t>
  </si>
  <si>
    <t xml:space="preserve">       Married</t>
  </si>
  <si>
    <t>ST.DE.402</t>
  </si>
  <si>
    <t>A current marriage contract is active</t>
  </si>
  <si>
    <t>Married</t>
  </si>
  <si>
    <t>M</t>
  </si>
  <si>
    <t>1055AAAAAAAAAAAAAAAAAAAAAAAAAAAAAAAA</t>
  </si>
  <si>
    <t xml:space="preserve">       Divorced </t>
  </si>
  <si>
    <t>ST.DE.403</t>
  </si>
  <si>
    <t>FP.DE.75</t>
  </si>
  <si>
    <t xml:space="preserve">Divorced </t>
  </si>
  <si>
    <t>D</t>
  </si>
  <si>
    <t>1058AAAAAAAAAAAAAAAAAAAAAAAAAAAAAAAA</t>
  </si>
  <si>
    <t xml:space="preserve">       Widowed
</t>
  </si>
  <si>
    <t>ST.DE.404</t>
  </si>
  <si>
    <t>FP.DE.76</t>
  </si>
  <si>
    <t xml:space="preserve">Widowed
</t>
  </si>
  <si>
    <t>W</t>
  </si>
  <si>
    <t>1059AAAAAAAAAAAAAAAAAAAAAAAAAAAAAAAA</t>
  </si>
  <si>
    <t>ST.DE.405</t>
  </si>
  <si>
    <t>FP.DE.80</t>
  </si>
  <si>
    <t>UNK</t>
  </si>
  <si>
    <t>Administrative Area</t>
  </si>
  <si>
    <t>ST.DE.011</t>
  </si>
  <si>
    <t>FP.DE.11</t>
  </si>
  <si>
    <t>[Administrative Area]</t>
  </si>
  <si>
    <t>Village, district, etc.</t>
  </si>
  <si>
    <t>Patient.address.district</t>
  </si>
  <si>
    <t>Client address line</t>
  </si>
  <si>
    <t>ST.DE.012</t>
  </si>
  <si>
    <t>FP.DE.95</t>
  </si>
  <si>
    <t>Client address</t>
  </si>
  <si>
    <t>Patient.address.line</t>
  </si>
  <si>
    <t>Communication consent</t>
  </si>
  <si>
    <t>ST.DE.014</t>
  </si>
  <si>
    <t>FP.DE.98</t>
  </si>
  <si>
    <t>Indication that client gave consent to be contacted</t>
  </si>
  <si>
    <t>Patient.consentToContact</t>
  </si>
  <si>
    <t>boolean</t>
  </si>
  <si>
    <t>Extension needed</t>
  </si>
  <si>
    <t>Reminder messages</t>
  </si>
  <si>
    <t>ST.DE.015</t>
  </si>
  <si>
    <t>FP.DE.15</t>
  </si>
  <si>
    <t>Whether client wants to receive text or other messages as follow-up for family planning</t>
  </si>
  <si>
    <t>Skip if Communication Consent = False OR null</t>
  </si>
  <si>
    <t>Patient.communication.reminder</t>
  </si>
  <si>
    <t xml:space="preserve">       Fasting plasma glucose</t>
  </si>
  <si>
    <t>Communication preferences</t>
  </si>
  <si>
    <t>ST.DE.016</t>
  </si>
  <si>
    <t>FP.DE.17</t>
  </si>
  <si>
    <t>How the client would like to receive family planning communications.</t>
  </si>
  <si>
    <t>Select all that apply</t>
  </si>
  <si>
    <t>Patient.communication.preferred</t>
  </si>
  <si>
    <t>code</t>
  </si>
  <si>
    <t xml:space="preserve"> FHIR</t>
  </si>
  <si>
    <t xml:space="preserve">       75g OGTT</t>
  </si>
  <si>
    <t>Reason for family planning visit</t>
  </si>
  <si>
    <t xml:space="preserve">       Random plasma glucose</t>
  </si>
  <si>
    <t>FP.2. Counseling</t>
  </si>
  <si>
    <t>General Family Planning</t>
  </si>
  <si>
    <t>2.1 Determine reason for visit</t>
  </si>
  <si>
    <t>FP.DE.427</t>
  </si>
  <si>
    <t>Reason for visit</t>
  </si>
  <si>
    <t>Establish reason for visit</t>
  </si>
  <si>
    <t xml:space="preserve">Coding </t>
  </si>
  <si>
    <t>Encounter.reasonCode</t>
  </si>
  <si>
    <t>Condition.category = "problem-list-item"</t>
  </si>
  <si>
    <t>WHO-FP Encounter</t>
  </si>
  <si>
    <t>FP</t>
  </si>
  <si>
    <t xml:space="preserve">       Stopping contraception</t>
  </si>
  <si>
    <t>FP.DE.428</t>
  </si>
  <si>
    <t>Visit to stop using contraception</t>
  </si>
  <si>
    <t>Stopping contraception</t>
  </si>
  <si>
    <t>needs code plus date</t>
  </si>
  <si>
    <t>169450001</t>
  </si>
  <si>
    <t>Brinn</t>
  </si>
  <si>
    <t xml:space="preserve">       Contraception counseling</t>
  </si>
  <si>
    <t>FP.DE.429</t>
  </si>
  <si>
    <t>Visit for counseling on contraception</t>
  </si>
  <si>
    <t>Contraception counseling</t>
  </si>
  <si>
    <t>Z30.0</t>
  </si>
  <si>
    <t>408968008</t>
  </si>
  <si>
    <t xml:space="preserve">       Starting contraception</t>
  </si>
  <si>
    <t>FP.DE.430</t>
  </si>
  <si>
    <t>Visit to start contraception</t>
  </si>
  <si>
    <t>Starting contraception</t>
  </si>
  <si>
    <t>FP.IND.03</t>
  </si>
  <si>
    <t>Z30.01</t>
  </si>
  <si>
    <t xml:space="preserve">       Contraceptive continuation</t>
  </si>
  <si>
    <t>FP.DE.431</t>
  </si>
  <si>
    <t>Visit to continue use of current contraception</t>
  </si>
  <si>
    <t>Contraceptive continuation</t>
  </si>
  <si>
    <t xml:space="preserve">       Contraceptive management</t>
  </si>
  <si>
    <t>Z30</t>
  </si>
  <si>
    <t>243816001</t>
  </si>
  <si>
    <t>contraception status in SNOMED</t>
  </si>
  <si>
    <t xml:space="preserve">       Emergency contraception</t>
  </si>
  <si>
    <t>FP.DE.432</t>
  </si>
  <si>
    <t>Visit for emergency contraception</t>
  </si>
  <si>
    <t>Emergency contraception</t>
  </si>
  <si>
    <t>Z30.012</t>
  </si>
  <si>
    <t>275813002</t>
  </si>
  <si>
    <t>LA 27921-8</t>
  </si>
  <si>
    <t xml:space="preserve">       Contraception Issues and concerns</t>
  </si>
  <si>
    <t>FP.DE.433</t>
  </si>
  <si>
    <t>Side effects or symptoms with current method, administration, missed pills and late injections</t>
  </si>
  <si>
    <t>Issues and concerns</t>
  </si>
  <si>
    <t xml:space="preserve">contractptive surveillance x ( issues and concerns needs its own list) </t>
  </si>
  <si>
    <t>Z30.40</t>
  </si>
  <si>
    <t xml:space="preserve">       Implant removal</t>
  </si>
  <si>
    <t>FP.DE.272</t>
  </si>
  <si>
    <t>Visit for removal of an implant</t>
  </si>
  <si>
    <t>Implant removal</t>
  </si>
  <si>
    <t>FP.IND.14</t>
  </si>
  <si>
    <t xml:space="preserve">ICD-10 code is not specific to removal it is for surveillance, but is the recommended code for Implant removal. </t>
  </si>
  <si>
    <t xml:space="preserve">       No supplies</t>
  </si>
  <si>
    <t>Z30.46</t>
  </si>
  <si>
    <t xml:space="preserve">       IUD Removal</t>
  </si>
  <si>
    <t xml:space="preserve">       Expired</t>
  </si>
  <si>
    <t>FP.DE.271</t>
  </si>
  <si>
    <t>Visit for removal of an intrauterine device</t>
  </si>
  <si>
    <t>IUD Removal</t>
  </si>
  <si>
    <t>Z30.432</t>
  </si>
  <si>
    <t xml:space="preserve">       Contraception Method switch</t>
  </si>
  <si>
    <t>FP.DE.242</t>
  </si>
  <si>
    <t>Visit to change contraceptive methods</t>
  </si>
  <si>
    <t>Method switch</t>
  </si>
  <si>
    <t xml:space="preserve">       Method switch</t>
  </si>
  <si>
    <t>424016000</t>
  </si>
  <si>
    <t>D003268- MSH code</t>
  </si>
  <si>
    <t>Reason for stopping contraception method</t>
  </si>
  <si>
    <t>FP.DE.051</t>
  </si>
  <si>
    <t>Reason for stopping method</t>
  </si>
  <si>
    <t>If stopping a method, the reason why.</t>
  </si>
  <si>
    <t>Include if Stopping use of a contraceptive method = TRUE</t>
  </si>
  <si>
    <t>Observation.value[x]</t>
  </si>
  <si>
    <t>WHO-FP Observation (Reason for Stopping Contraception)</t>
  </si>
  <si>
    <t>http://hl7.org/fhir/who-int/core/ImplementationGuide/core/ValueSet/nobirthcontrolmethods-values</t>
  </si>
  <si>
    <t>Extensible</t>
  </si>
  <si>
    <t xml:space="preserve">       Complete blood count test (recommended)</t>
  </si>
  <si>
    <t>check my comments with Nat</t>
  </si>
  <si>
    <t>LL4579-0</t>
  </si>
  <si>
    <t>Terry: assume this means reson for no borth control use at exist.. need to confirm</t>
  </si>
  <si>
    <t xml:space="preserve">       Hb test (haemoglobinometer)</t>
  </si>
  <si>
    <t>Other (specify) - Reason for stopping method</t>
  </si>
  <si>
    <t>FP.DE.107</t>
  </si>
  <si>
    <t>Write in other observations not included in the list</t>
  </si>
  <si>
    <t>Include if Reason for stopping method = Other</t>
  </si>
  <si>
    <t>string</t>
  </si>
  <si>
    <t>JA</t>
  </si>
  <si>
    <t xml:space="preserve">       Hb test (haemoglobin colour scale)</t>
  </si>
  <si>
    <t>Pregnancy intention</t>
  </si>
  <si>
    <t>FP.DE.108</t>
  </si>
  <si>
    <t xml:space="preserve">Client's intention or desire in the next year to either become pregnant or prevent a future pregnancy. </t>
  </si>
  <si>
    <t xml:space="preserve">Input options taken from LOINC value set. </t>
  </si>
  <si>
    <t>WHO-FP Observation (Pregnancy Intention)</t>
  </si>
  <si>
    <t>x; intention for next year</t>
  </si>
  <si>
    <t>86645-9</t>
  </si>
  <si>
    <t xml:space="preserve">       Yes, I want to become pregnant    </t>
  </si>
  <si>
    <t>FP.DE.109</t>
  </si>
  <si>
    <t>Yes, I want to become pregnant    </t>
  </si>
  <si>
    <t>LA28438-4</t>
  </si>
  <si>
    <t xml:space="preserve">       I'm OK either way    </t>
  </si>
  <si>
    <t>FP.DE.110</t>
  </si>
  <si>
    <t>I'm OK either way    </t>
  </si>
  <si>
    <t>LA26439-2</t>
  </si>
  <si>
    <t xml:space="preserve">       No, I don't want to become pregnant    </t>
  </si>
  <si>
    <t>FP.DE.111</t>
  </si>
  <si>
    <t>No, I don't want to become pregnant    </t>
  </si>
  <si>
    <t>LA26440-0</t>
  </si>
  <si>
    <t xml:space="preserve">       Unsure    </t>
  </si>
  <si>
    <t>FP.DE.112</t>
  </si>
  <si>
    <t>Unsure    </t>
  </si>
  <si>
    <t>LA14072-5</t>
  </si>
  <si>
    <t>Body height</t>
  </si>
  <si>
    <t>Vital Signs</t>
  </si>
  <si>
    <t>2.2 Take vital signs</t>
  </si>
  <si>
    <t>FP.DE.019</t>
  </si>
  <si>
    <t>The client's height in centimetres.</t>
  </si>
  <si>
    <t>&gt;= 50 and &lt;= 250</t>
  </si>
  <si>
    <t>Skip if Body height is not null</t>
  </si>
  <si>
    <t>Quantity</t>
  </si>
  <si>
    <t>http://hl7.org/fhir/StructureDefinition/bodyheight</t>
  </si>
  <si>
    <t>Observation.category= 'Vital Signs'</t>
  </si>
  <si>
    <t>WHO-Core Observation (Body Height)</t>
  </si>
  <si>
    <t>cm</t>
  </si>
  <si>
    <t>50373000</t>
  </si>
  <si>
    <t>8302-2</t>
  </si>
  <si>
    <t>Body weight</t>
  </si>
  <si>
    <t>FP.DE.020</t>
  </si>
  <si>
    <t>The client's current weight in kilograms.</t>
  </si>
  <si>
    <t>&gt;= 30 and &lt;= 400</t>
  </si>
  <si>
    <t>kg</t>
  </si>
  <si>
    <t>http://hl7.org/fhir/StructureDefinition/bodyweight</t>
  </si>
  <si>
    <t>WHO-Core Observation (Body Weight)</t>
  </si>
  <si>
    <t xml:space="preserve">x
</t>
  </si>
  <si>
    <t>27113001</t>
  </si>
  <si>
    <t>29463-7</t>
  </si>
  <si>
    <t xml:space="preserve">       Sputum smear not available</t>
  </si>
  <si>
    <t>Number of births</t>
  </si>
  <si>
    <t>FP.2. Counseling, ST.2 Consultation</t>
  </si>
  <si>
    <t>Female Medical History</t>
  </si>
  <si>
    <t>2.3 Capture or update client history</t>
  </si>
  <si>
    <t>FP.DE.024</t>
  </si>
  <si>
    <t>The number of pregnancies reaching parity.</t>
  </si>
  <si>
    <t>FP = C. ST = O</t>
  </si>
  <si>
    <t xml:space="preserve">       Sputum culture not available</t>
  </si>
  <si>
    <t>Skip if Gender = Male, used by MEC logic</t>
  </si>
  <si>
    <t>WHO-Core Observation (Number of births)</t>
  </si>
  <si>
    <t>118212000</t>
  </si>
  <si>
    <t>11640-0</t>
  </si>
  <si>
    <t>parity SNOMED; number of births. total LOINC</t>
  </si>
  <si>
    <t xml:space="preserve">       GeneXpert machine not available</t>
  </si>
  <si>
    <t>Number of pregnancies</t>
  </si>
  <si>
    <t>Pregnancy</t>
  </si>
  <si>
    <t>FP.DE.025</t>
  </si>
  <si>
    <t>The number of pregnancies (gravidity), current and past, regardless of pregnancy outcome.</t>
  </si>
  <si>
    <t>&gt;=0</t>
  </si>
  <si>
    <t>FP = C, ST = O</t>
  </si>
  <si>
    <t xml:space="preserve">       X-ray machine not available</t>
  </si>
  <si>
    <t>WHO-Core Observation (Number of Pregnancies)</t>
  </si>
  <si>
    <t>11996-6</t>
  </si>
  <si>
    <t xml:space="preserve">       No sputum supplies available</t>
  </si>
  <si>
    <t>Ever had sex - Reported</t>
  </si>
  <si>
    <t>Sexual History</t>
  </si>
  <si>
    <t>FP.DE.378</t>
  </si>
  <si>
    <t>If the client has been sexually active</t>
  </si>
  <si>
    <t>SNOMED - never had sex: 267068004</t>
  </si>
  <si>
    <t>WHO-Core Observation (Sexual History)</t>
  </si>
  <si>
    <t>68732003</t>
  </si>
  <si>
    <t>Potential Modeling Change: This could have answers along with the question. The answers could be the LOINC or the SNOMED answers. SNOMED 68732003 = Non-virginal, 309842008 = Virgin; LOINC: 86646-7</t>
  </si>
  <si>
    <t xml:space="preserve">       Machine not functioning</t>
  </si>
  <si>
    <t>Date of last sexual intercourse</t>
  </si>
  <si>
    <t xml:space="preserve">       Technician not available</t>
  </si>
  <si>
    <t>FP.DE.380</t>
  </si>
  <si>
    <t>When the client last had sexual intercourse.</t>
  </si>
  <si>
    <t>Date &lt;=Current Date</t>
  </si>
  <si>
    <t xml:space="preserve">If Pregnancy status = unknown, needed for DSL Pregnancy checklist
</t>
  </si>
  <si>
    <t>dateTime</t>
  </si>
  <si>
    <t>doesnt exist; could combine something like sexually active with last date</t>
  </si>
  <si>
    <t>449331006</t>
  </si>
  <si>
    <t>Never used contraception</t>
  </si>
  <si>
    <t>Contraception</t>
  </si>
  <si>
    <t>ST.DE.304</t>
  </si>
  <si>
    <t>FP.DE.028</t>
  </si>
  <si>
    <t>If the client has never previously used any modern method of contraception.</t>
  </si>
  <si>
    <t>FP = R, STI = O</t>
  </si>
  <si>
    <t>FP.IND.01</t>
  </si>
  <si>
    <t>Required to support multiple indicators which use this data.</t>
  </si>
  <si>
    <t>WHO-Core Observation (Never used contraception)</t>
  </si>
  <si>
    <t>473387004</t>
  </si>
  <si>
    <t>Device-based Birth control method reported at intake</t>
  </si>
  <si>
    <t>FP.DE.026</t>
  </si>
  <si>
    <t>Method at intake</t>
  </si>
  <si>
    <t xml:space="preserve">Method the client reports currently using at intake. </t>
  </si>
  <si>
    <t>Skip if Never used contraception = TRUE</t>
  </si>
  <si>
    <t>FP.IND.02</t>
  </si>
  <si>
    <t>Also used by MEC to check if a woman is initiating a new method or continuing with an existing method.</t>
  </si>
  <si>
    <t>Selected Practice Recommendations, MEC</t>
  </si>
  <si>
    <t>DeviceUseStatement.device.type</t>
  </si>
  <si>
    <t>WHO-Core DeviceUseStatement (Intake Contraceptive Method)</t>
  </si>
  <si>
    <t>DeviceBirthControlMethods</t>
  </si>
  <si>
    <t>Birth control method reported at intake</t>
  </si>
  <si>
    <t xml:space="preserve">Done (called contraception method in LOINC) </t>
  </si>
  <si>
    <t xml:space="preserve">86649-1
</t>
  </si>
  <si>
    <t xml:space="preserve">       No Device-based method</t>
  </si>
  <si>
    <t>FP.DE.381</t>
  </si>
  <si>
    <t xml:space="preserve">No contraceptive precautions </t>
  </si>
  <si>
    <t>No method</t>
  </si>
  <si>
    <t>If selected, no other reported use of methods</t>
  </si>
  <si>
    <t>`</t>
  </si>
  <si>
    <t xml:space="preserve">       No method</t>
  </si>
  <si>
    <t xml:space="preserve">       Levonorgestrel IUD (LNG-IUD)</t>
  </si>
  <si>
    <t>FP.DE.394</t>
  </si>
  <si>
    <t>Uses hormone releasing intrauterine device contraception</t>
  </si>
  <si>
    <t>Levonorgestrel IUD (LNG-IUD)</t>
  </si>
  <si>
    <t xml:space="preserve">       Incomplete (only symptoms)</t>
  </si>
  <si>
    <t>Skip if Gender = Male</t>
  </si>
  <si>
    <t>449038007</t>
  </si>
  <si>
    <t>LA27902-8</t>
  </si>
  <si>
    <t>3127785</t>
  </si>
  <si>
    <t xml:space="preserve">       Copper-bearing intrauterine device (Cu-IUD)</t>
  </si>
  <si>
    <t>FP.DE.395</t>
  </si>
  <si>
    <t>Has a copper intrauterine device contraception i</t>
  </si>
  <si>
    <t>Copper-bearing intrauterine device (Cu-IUD)</t>
  </si>
  <si>
    <t xml:space="preserve">       Copper IUD (Cu-IUD)</t>
  </si>
  <si>
    <t>no</t>
  </si>
  <si>
    <t>448962006</t>
  </si>
  <si>
    <t>LA27903-6</t>
  </si>
  <si>
    <t xml:space="preserve">       Unspecified IUD</t>
  </si>
  <si>
    <t>FP.DE.396</t>
  </si>
  <si>
    <t>Uses an unspecified intrauterine device contraception</t>
  </si>
  <si>
    <t>Unspecified IUD</t>
  </si>
  <si>
    <t>312081001</t>
  </si>
  <si>
    <t>LA27904-4</t>
  </si>
  <si>
    <t xml:space="preserve">       Implant</t>
  </si>
  <si>
    <t>FP.DE.391</t>
  </si>
  <si>
    <t>LNG-ETG</t>
  </si>
  <si>
    <t>Has a subcutaneous implant</t>
  </si>
  <si>
    <t xml:space="preserve">       Implants</t>
  </si>
  <si>
    <t>428987008</t>
  </si>
  <si>
    <t>LA27901-0</t>
  </si>
  <si>
    <t xml:space="preserve">       Etonogestrel (ETG) one-rod implant</t>
  </si>
  <si>
    <t>FP.DE.115</t>
  </si>
  <si>
    <t>Has an ETG subcutaneous implant</t>
  </si>
  <si>
    <t>Etonogestrel (ETG) one-rod implant</t>
  </si>
  <si>
    <t>396050000</t>
  </si>
  <si>
    <t>393401; 646249</t>
  </si>
  <si>
    <t>C1306383, C1724739</t>
  </si>
  <si>
    <t xml:space="preserve">       Levonorgestrel (LNG) two-rod implant</t>
  </si>
  <si>
    <t>FP.DE.116</t>
  </si>
  <si>
    <t>Has an LNG subcutaneous implant</t>
  </si>
  <si>
    <t>Levonorgestrel (LNG) two-rod implant</t>
  </si>
  <si>
    <t xml:space="preserve">       Woman refused</t>
  </si>
  <si>
    <t>No RXNorm code available</t>
  </si>
  <si>
    <t>C0497802</t>
  </si>
  <si>
    <t xml:space="preserve">       Not necessary</t>
  </si>
  <si>
    <t xml:space="preserve">       Combined contraceptive patch</t>
  </si>
  <si>
    <t>FP.DE.383</t>
  </si>
  <si>
    <t>Contraceptive patch</t>
  </si>
  <si>
    <t xml:space="preserve">Uses a transdermal combined contraceptive patch </t>
  </si>
  <si>
    <t>Combined contraceptive patch</t>
  </si>
  <si>
    <t>450881000124106</t>
  </si>
  <si>
    <t>LA16581-3</t>
  </si>
  <si>
    <t>C2985284</t>
  </si>
  <si>
    <t xml:space="preserve">       Combined contraceptive vaginal ring (CVR)</t>
  </si>
  <si>
    <t>FP.DE.384</t>
  </si>
  <si>
    <t>Contraceptive ring</t>
  </si>
  <si>
    <t>Uses a combrined contraceptive vaginal ring</t>
  </si>
  <si>
    <t>Combined contraceptive vaginal ring (CVR)</t>
  </si>
  <si>
    <t>702680002</t>
  </si>
  <si>
    <t>LA14546-8</t>
  </si>
  <si>
    <t>710529</t>
  </si>
  <si>
    <t>surveillance of. ring (SNOMED). ; LOINC NuvaRing; RXNORM NuvaRing</t>
  </si>
  <si>
    <t xml:space="preserve">From new DD:
●A flexible ring that a woman places in her vagina.
●Continuously releases 2 hormones—a progestin and an estrogen, like the natural hormones progesterone and estrogen in a woman’s body—from inside the ring. Hormones are absorbed through the wall of the vagina directly into the bloodstream.
●She leaves the ring in place for 3 weeks, then removes it for the fourth week. During this fourth week the woman will have monthly bleeding.
●Also called NuvaRing.
●Works primarily by preventing the release of eggs from the ovaries (ovulation).
</t>
  </si>
  <si>
    <t xml:space="preserve">       Progesterone-releasing vaginal ring (PVR)</t>
  </si>
  <si>
    <t>FP.DE.114</t>
  </si>
  <si>
    <t>Uses a progesterone-releasing vaginal ring</t>
  </si>
  <si>
    <t>Progesterone-releasing vaginal ring (PVR)</t>
  </si>
  <si>
    <t>2109022</t>
  </si>
  <si>
    <t>C4759125, C2981233, 2109022</t>
  </si>
  <si>
    <t xml:space="preserve">       Referred instead</t>
  </si>
  <si>
    <t xml:space="preserve">       Barrier method</t>
  </si>
  <si>
    <t>FP.DE.399</t>
  </si>
  <si>
    <t>Uses a barrier method</t>
  </si>
  <si>
    <t>Barrier method</t>
  </si>
  <si>
    <t>225370004</t>
  </si>
  <si>
    <t>160694AAAAAAAAAAAAAAAAAAAAAAAAAAAAAA</t>
  </si>
  <si>
    <t xml:space="preserve">       Male condom</t>
  </si>
  <si>
    <t>FP.DE.400</t>
  </si>
  <si>
    <t>Uses male condoms</t>
  </si>
  <si>
    <t>Male condom</t>
  </si>
  <si>
    <t xml:space="preserve">       Male condom use</t>
  </si>
  <si>
    <t>275831001</t>
  </si>
  <si>
    <t xml:space="preserve">       Female condom</t>
  </si>
  <si>
    <t>FP.DE.401</t>
  </si>
  <si>
    <t>Uses female condoms</t>
  </si>
  <si>
    <t>Female condom</t>
  </si>
  <si>
    <t>Z30.49</t>
  </si>
  <si>
    <t>228479001</t>
  </si>
  <si>
    <t>Implant Date</t>
  </si>
  <si>
    <t>FP.DE.368</t>
  </si>
  <si>
    <t xml:space="preserve">Date of last implant if currently using the method. </t>
  </si>
  <si>
    <t>Date &lt;= visit Date</t>
  </si>
  <si>
    <t>Include if Method at intake - reported = Implant AND   no data on insertion date]</t>
  </si>
  <si>
    <t>DeviceUseStatement.timing[x]</t>
  </si>
  <si>
    <t>talked with JS; confirmed implant snomed code</t>
  </si>
  <si>
    <t>IUD Insertion Date</t>
  </si>
  <si>
    <t>FP.DE.369</t>
  </si>
  <si>
    <t>Date of IUD insertion if currently using the method.</t>
  </si>
  <si>
    <t>Include if Method at intake - reported = Cu-IUD OR LNG-IUD AND   no data on insertion date]</t>
  </si>
  <si>
    <t>Talked with JS; date plus z30.430</t>
  </si>
  <si>
    <t>z30.430</t>
  </si>
  <si>
    <t>male and female? are condoms included here</t>
  </si>
  <si>
    <t>Medication-based Birth control method reported at intake</t>
  </si>
  <si>
    <t>MedicationStatement.medication[x]</t>
  </si>
  <si>
    <t>WHO-Core MedicationStatement (Current Contraceptive Methods)</t>
  </si>
  <si>
    <t>MedicationBirthControlMethods</t>
  </si>
  <si>
    <t xml:space="preserve">       No Medication-based method</t>
  </si>
  <si>
    <t xml:space="preserve">       DMPA-IM 
 DMPA, administered intramuscularly</t>
  </si>
  <si>
    <t>FP.DE.385</t>
  </si>
  <si>
    <t xml:space="preserve">Combined injectable </t>
  </si>
  <si>
    <t>Uses depot medroxyprogesterone acetate-intramuscular deliver by the provider</t>
  </si>
  <si>
    <t>DMPA-IM 
 DMPA, administered intramuscularly</t>
  </si>
  <si>
    <t xml:space="preserve">       DMPA-IN</t>
  </si>
  <si>
    <t>LA27907-7</t>
  </si>
  <si>
    <t xml:space="preserve">       DMPA-SC 
DMPA, administered subcutaneously</t>
  </si>
  <si>
    <t>FP.DE.386</t>
  </si>
  <si>
    <t>DMPA</t>
  </si>
  <si>
    <t>Uses depot medroxyprogesterone acetate self-injection</t>
  </si>
  <si>
    <t>DMPA-SC 
DMPA, administered subcutaneously</t>
  </si>
  <si>
    <t xml:space="preserve">       DMPA-SC</t>
  </si>
  <si>
    <t>709457002</t>
  </si>
  <si>
    <t xml:space="preserve">       Norethisterone enanthate (NET-EN) injectable</t>
  </si>
  <si>
    <t>FP.DE.390</t>
  </si>
  <si>
    <t>NET-EN</t>
  </si>
  <si>
    <t>Receives a norethisterone enanthate injection</t>
  </si>
  <si>
    <t>Norethisterone enanthate (NET-EN) injectable</t>
  </si>
  <si>
    <t xml:space="preserve">       Norethisterone enanthate (NET-EN)</t>
  </si>
  <si>
    <t>782025007</t>
  </si>
  <si>
    <t>1359235</t>
  </si>
  <si>
    <t xml:space="preserve">       Emergency contraceptive pills (ECPs)</t>
  </si>
  <si>
    <t>FP.DE.387</t>
  </si>
  <si>
    <t>Uses emergency contraceptive pills</t>
  </si>
  <si>
    <t>Emergency contraceptive pills (ECPs)</t>
  </si>
  <si>
    <t>702587005; 275813002</t>
  </si>
  <si>
    <t>LA16573-0</t>
  </si>
  <si>
    <t>483325</t>
  </si>
  <si>
    <t>C3842797, 483325</t>
  </si>
  <si>
    <t xml:space="preserve">       Progestogen-only pills (POP)</t>
  </si>
  <si>
    <t>FP.DE.388</t>
  </si>
  <si>
    <t>POP</t>
  </si>
  <si>
    <t>Uses progestogen only oral contraceptive</t>
  </si>
  <si>
    <t>Progestogen-only pills (POP)</t>
  </si>
  <si>
    <t xml:space="preserve">       Progestogen-only pills</t>
  </si>
  <si>
    <t>169467008</t>
  </si>
  <si>
    <t>LA27909-3</t>
  </si>
  <si>
    <t>159784AAAAAAAAAAAAAAAAAAAAAAAAAAAAAA</t>
  </si>
  <si>
    <t xml:space="preserve">       Combined oral contraceptives (COCs)</t>
  </si>
  <si>
    <t>FP.DE.382</t>
  </si>
  <si>
    <t>Combined oral contraceptive pill</t>
  </si>
  <si>
    <t>Uses a combined oral contraceptive</t>
  </si>
  <si>
    <t>Combined oral contraceptives (COCs)</t>
  </si>
  <si>
    <t xml:space="preserve">       Combined pill</t>
  </si>
  <si>
    <t>268458002</t>
  </si>
  <si>
    <t>LA27908-5</t>
  </si>
  <si>
    <t>159783AAAAAAAAAAAAAAAAAAAAAAAAAAAAAA</t>
  </si>
  <si>
    <t xml:space="preserve">       Combined injectable contraception</t>
  </si>
  <si>
    <t>FP.DE.397</t>
  </si>
  <si>
    <t>Uses a combined injectable contraception</t>
  </si>
  <si>
    <t>Combined injectable contraception</t>
  </si>
  <si>
    <t>89780004</t>
  </si>
  <si>
    <t>not clear what medication this is</t>
  </si>
  <si>
    <t>Injection Date</t>
  </si>
  <si>
    <t>FP.DE.367</t>
  </si>
  <si>
    <t>Date of last injection if currently using the method.</t>
  </si>
  <si>
    <t>Include if Method at intake - reported = Injection AND   no data on injection date]</t>
  </si>
  <si>
    <t>MedicationStatement.effective[x]</t>
  </si>
  <si>
    <t>talked with JS</t>
  </si>
  <si>
    <t>Procedure-based Birth control method reported at intake</t>
  </si>
  <si>
    <t>Procedure.code</t>
  </si>
  <si>
    <t>WHO-Core Procedure (Intake Contraceptive Method)</t>
  </si>
  <si>
    <t>ProcedureBirthControlMethods</t>
  </si>
  <si>
    <t xml:space="preserve">       No Procedure-based method</t>
  </si>
  <si>
    <t xml:space="preserve">       Female sterilization</t>
  </si>
  <si>
    <t>FP.DE.392</t>
  </si>
  <si>
    <t>History of female sterilization</t>
  </si>
  <si>
    <t>Female sterilization</t>
  </si>
  <si>
    <t>60890002  Female sterilization (procedure)</t>
  </si>
  <si>
    <t>275572005; 60890002</t>
  </si>
  <si>
    <t>LA27905-1</t>
  </si>
  <si>
    <t xml:space="preserve">       Male sterilization</t>
  </si>
  <si>
    <t>FP.DE.393</t>
  </si>
  <si>
    <t>History of male vasectomy</t>
  </si>
  <si>
    <t>Male sterilization</t>
  </si>
  <si>
    <t>Skip if Gender = Female</t>
  </si>
  <si>
    <t>22523008  procedure</t>
  </si>
  <si>
    <t>22523008; 399141000</t>
  </si>
  <si>
    <t xml:space="preserve">
LA14534-4</t>
  </si>
  <si>
    <t>C0024559</t>
  </si>
  <si>
    <t>Sterilization date</t>
  </si>
  <si>
    <t>FP.DE.370</t>
  </si>
  <si>
    <t xml:space="preserve">Date of sterilization, if not reversed. </t>
  </si>
  <si>
    <t>Include if Method at intake - reported = Sterilization AND   no data on sterilization date]</t>
  </si>
  <si>
    <t>Procedure.performed[x]</t>
  </si>
  <si>
    <t>CarePlan-based Birth control method reported at intake</t>
  </si>
  <si>
    <t>CarePlan.activity.detail.code</t>
  </si>
  <si>
    <t>WHO-Core CarePlan (Intake Contraceptive Method)</t>
  </si>
  <si>
    <t>CarePlanBirthControlMethods</t>
  </si>
  <si>
    <t xml:space="preserve">       No CarePlan-based method</t>
  </si>
  <si>
    <t xml:space="preserve">       Withdrawal</t>
  </si>
  <si>
    <t>FP.DE.403</t>
  </si>
  <si>
    <t>Uses the withdrawal method for contraception</t>
  </si>
  <si>
    <t>Withdrawal</t>
  </si>
  <si>
    <t>169513000</t>
  </si>
  <si>
    <t>LA14549-2</t>
  </si>
  <si>
    <t xml:space="preserve">       Fertility awareness-based methods (FAB)</t>
  </si>
  <si>
    <t>FP.DE.406</t>
  </si>
  <si>
    <t>Uses a fertility awareness methods for contraception</t>
  </si>
  <si>
    <t>Fertility awareness-based methods (FAB)</t>
  </si>
  <si>
    <t xml:space="preserve">       Fertility awareness-based methods</t>
  </si>
  <si>
    <t>455501000124105</t>
  </si>
  <si>
    <t>LA27918-4</t>
  </si>
  <si>
    <t xml:space="preserve">       Lactational amenorrhea method (LAM)</t>
  </si>
  <si>
    <t>FP.DE.407</t>
  </si>
  <si>
    <t>Contraception using lactational amenorrhea method</t>
  </si>
  <si>
    <t>Lactational amenorrhea method (LAM)</t>
  </si>
  <si>
    <t xml:space="preserve">       Lactational amenorrhea method</t>
  </si>
  <si>
    <t>454441000124107</t>
  </si>
  <si>
    <t>LA27919-2</t>
  </si>
  <si>
    <t xml:space="preserve">       Male relying on female method</t>
  </si>
  <si>
    <t>FP.DE.408</t>
  </si>
  <si>
    <t>Male relying on female contraception</t>
  </si>
  <si>
    <t>Male relying on female method</t>
  </si>
  <si>
    <t xml:space="preserve">Include if gender = male </t>
  </si>
  <si>
    <t>455491000124102</t>
  </si>
  <si>
    <t>LA27920-0</t>
  </si>
  <si>
    <t>Reason for no contraceptive method - Reported at intake</t>
  </si>
  <si>
    <t>FP.DE.027</t>
  </si>
  <si>
    <t>If not currently using a method, the reason why.</t>
  </si>
  <si>
    <t>Skip if method at intake = TRUE and !=no method</t>
  </si>
  <si>
    <t>WHO-Core Observation (Reason for no contraceptive method at intake)</t>
  </si>
  <si>
    <t>NoBirthControlMethod</t>
  </si>
  <si>
    <t>x OBS in SNOMED; USE LOINC PANEL ALSO; AT INTAKE; panel name for at exit is 86653-3</t>
  </si>
  <si>
    <t>736796006</t>
  </si>
  <si>
    <t>86650-9</t>
  </si>
  <si>
    <t>86650-9; LOINC Panel ll4579-1</t>
  </si>
  <si>
    <t xml:space="preserve">       Sexual abstinence    </t>
  </si>
  <si>
    <t>FP.DE.409</t>
  </si>
  <si>
    <t>Voluntarily refrains from sexual intercourse</t>
  </si>
  <si>
    <t>Sexual abstinence    </t>
  </si>
  <si>
    <t>162171002</t>
  </si>
  <si>
    <t>LA 14550-0</t>
  </si>
  <si>
    <t>159524AAAAAAAAAAAAAAAAAAAAAAAAAAAAAA</t>
  </si>
  <si>
    <t xml:space="preserve">       Side effects from contraception</t>
  </si>
  <si>
    <t>FP.DE.410</t>
  </si>
  <si>
    <t>Side effects from contraception</t>
  </si>
  <si>
    <t>discuss methods</t>
  </si>
  <si>
    <t>T38.4</t>
  </si>
  <si>
    <t>c4711286</t>
  </si>
  <si>
    <t xml:space="preserve">       Currently pregnant</t>
  </si>
  <si>
    <t>FP.DE.411</t>
  </si>
  <si>
    <t>Currently pregnant</t>
  </si>
  <si>
    <t>77386006</t>
  </si>
  <si>
    <t xml:space="preserve">       Same sex partner    </t>
  </si>
  <si>
    <t>FP.DE.412</t>
  </si>
  <si>
    <t>Same sex partner    </t>
  </si>
  <si>
    <t>454361000124100</t>
  </si>
  <si>
    <t>LA 27925-9</t>
  </si>
  <si>
    <t xml:space="preserve">       Other    </t>
  </si>
  <si>
    <t>FP.DE.413</t>
  </si>
  <si>
    <t>No method for other reasons</t>
  </si>
  <si>
    <t>Other    </t>
  </si>
  <si>
    <t>74964007</t>
  </si>
  <si>
    <t>LA 46-8</t>
  </si>
  <si>
    <t>clarification</t>
  </si>
  <si>
    <t xml:space="preserve">       Out of stock</t>
  </si>
  <si>
    <t>FP.DE.414</t>
  </si>
  <si>
    <t>Client reported method was not available</t>
  </si>
  <si>
    <t>Out of stock</t>
  </si>
  <si>
    <t>Z76.89</t>
  </si>
  <si>
    <t>182856006</t>
  </si>
  <si>
    <t xml:space="preserve">       Sterile for non-contraceptive reasons    </t>
  </si>
  <si>
    <t>FP.DE.415</t>
  </si>
  <si>
    <t>Sterile for non-contraceptive reasons    </t>
  </si>
  <si>
    <t>Z31.9</t>
  </si>
  <si>
    <t>QA3Z</t>
  </si>
  <si>
    <t>15296000; 9789007</t>
  </si>
  <si>
    <t>LA 27927-5</t>
  </si>
  <si>
    <t>15296000; 9789007-natural sterility</t>
  </si>
  <si>
    <t>125899AAAAAAAAAAAAAAAAAAAAAAAAAAAAAA</t>
  </si>
  <si>
    <t xml:space="preserve">       Seeking pregnancy   </t>
  </si>
  <si>
    <t>FP.DE.416</t>
  </si>
  <si>
    <t>Seeking pregnancy   </t>
  </si>
  <si>
    <t>454411000124108</t>
  </si>
  <si>
    <t>LA 27928-3</t>
  </si>
  <si>
    <t>Prior contraceptive methods used - Device-based</t>
  </si>
  <si>
    <t>FP.DE.417</t>
  </si>
  <si>
    <t>Prior methods used</t>
  </si>
  <si>
    <t>Contraceptive methods the client has a history of using</t>
  </si>
  <si>
    <t>[List of modern family planning methods]</t>
  </si>
  <si>
    <t>Skip if "Never used contraception" = TRUE</t>
  </si>
  <si>
    <t>WHO-Core DeviceUseStatement (Prior Contraceptive Methods)</t>
  </si>
  <si>
    <t>Prior contraceptive methods used</t>
  </si>
  <si>
    <t>Prior contraceptive methods used - Medication-based</t>
  </si>
  <si>
    <t>WHO-Core MedicationStatement (Prior Contraceptive Methods)</t>
  </si>
  <si>
    <t>prior medicaiton use;; need to talk baout using UMLS Unique concept or individual.. NCI code is C82522</t>
  </si>
  <si>
    <t>Prior contraceptive methods used - Procedure-based</t>
  </si>
  <si>
    <t>WHO-Core Procedure (Prior Contraceptive Methods)</t>
  </si>
  <si>
    <t>Prior contraceptive methods used - CarePlan-based</t>
  </si>
  <si>
    <t>WHO-Core CarePlan (Prior Contraceptive Methods)</t>
  </si>
  <si>
    <t>Breastfeeding</t>
  </si>
  <si>
    <t>ST.DE.032</t>
  </si>
  <si>
    <t>FP.DE.030</t>
  </si>
  <si>
    <t>Select if a woman is currently breastfeeding.</t>
  </si>
  <si>
    <t>Skip if gender = male</t>
  </si>
  <si>
    <t>MEC</t>
  </si>
  <si>
    <t>WHO-Core Observation (Breastfeeding)</t>
  </si>
  <si>
    <t>413712001</t>
  </si>
  <si>
    <t>5632AAAAAAAAAAAAAAAAAAAAAAAAAAAAAAAA</t>
  </si>
  <si>
    <t>Breastfeeding status</t>
  </si>
  <si>
    <t>FP.DE.418</t>
  </si>
  <si>
    <t>Skip if breastfeeding = FALSE</t>
  </si>
  <si>
    <t>WHO-FP Observation (Breastfeeding Status)</t>
  </si>
  <si>
    <t>63895-7</t>
  </si>
  <si>
    <t xml:space="preserve">       Fully</t>
  </si>
  <si>
    <t>FP.DE.419</t>
  </si>
  <si>
    <t>Fully breastfeeding</t>
  </si>
  <si>
    <t>Fully</t>
  </si>
  <si>
    <t>la29254-2</t>
  </si>
  <si>
    <t xml:space="preserve">       Partially</t>
  </si>
  <si>
    <t>FP.DE.420</t>
  </si>
  <si>
    <t xml:space="preserve">Partially breastfeeding </t>
  </si>
  <si>
    <t>Partially</t>
  </si>
  <si>
    <t>733896006; 169743001</t>
  </si>
  <si>
    <t>la29255-9</t>
  </si>
  <si>
    <t xml:space="preserve">733896006  (Breast and bottle; 169743001 (breast and supplement). </t>
  </si>
  <si>
    <t>Date of delivery</t>
  </si>
  <si>
    <t>ST.DE.322</t>
  </si>
  <si>
    <t>FP.DE.422</t>
  </si>
  <si>
    <t>For a postpartum woman, the date she recently delivered.</t>
  </si>
  <si>
    <t xml:space="preserve">Yes </t>
  </si>
  <si>
    <t>&lt;= Current Date</t>
  </si>
  <si>
    <t>Include if postpartum = TRUE</t>
  </si>
  <si>
    <t>WHO-Core Observation (Date of Delivery)</t>
  </si>
  <si>
    <t>delivery date</t>
  </si>
  <si>
    <t>366322004</t>
  </si>
  <si>
    <t>LP70949-0</t>
  </si>
  <si>
    <t>SNOMED estimated date of delivery</t>
  </si>
  <si>
    <t>Time postpartum</t>
  </si>
  <si>
    <t>2.3 Capture or update client history, Quick check</t>
  </si>
  <si>
    <t>ST.DE.370</t>
  </si>
  <si>
    <t>FP.DE.031</t>
  </si>
  <si>
    <t>For a postpartum woman, the amount of time since she delivered.</t>
  </si>
  <si>
    <t xml:space="preserve">Note: that some methods have different categories used for decision logic on eligibility based on time postpartum. </t>
  </si>
  <si>
    <t>MEC.</t>
  </si>
  <si>
    <t>WHO-Core Observation (Time Postpartum)</t>
  </si>
  <si>
    <t>day</t>
  </si>
  <si>
    <t>date.. plus delivery date</t>
  </si>
  <si>
    <t>86569001</t>
  </si>
  <si>
    <t>Postpartum</t>
  </si>
  <si>
    <t>ST.DE.320</t>
  </si>
  <si>
    <t>FP.DE.029</t>
  </si>
  <si>
    <t>Whether client delivered in the past 6 weeks.</t>
  </si>
  <si>
    <t>Visit Date - Date of delivery &lt;= 6 weeks</t>
  </si>
  <si>
    <t>If Date of delivery != null, Visit Date - Date of delivery &lt;=  6 weeks</t>
  </si>
  <si>
    <t>WHO-Core Observation (Postpartum)</t>
  </si>
  <si>
    <t>255410009</t>
  </si>
  <si>
    <t>LP20597-8</t>
  </si>
  <si>
    <t xml:space="preserve">255410009; 409018009. (postpartum care) </t>
  </si>
  <si>
    <t>1180AAAAAAAAAAAAAAAAAAAAAAAAAAAAAAAA</t>
  </si>
  <si>
    <t>Recent miscarriage or post-abortion</t>
  </si>
  <si>
    <t>FP.DE.032</t>
  </si>
  <si>
    <t>Select if the woman recently had an abortion or a miscarriage.</t>
  </si>
  <si>
    <t>what does recent mean</t>
  </si>
  <si>
    <t>O03.9</t>
  </si>
  <si>
    <t>713651007; 363681007</t>
  </si>
  <si>
    <t>LA14272-1; LA14668-0</t>
  </si>
  <si>
    <t xml:space="preserve">713651007. ( history of PG with abortive outcome); 363681007 (pg with abortive outcome disorder) </t>
  </si>
  <si>
    <t>21</t>
  </si>
  <si>
    <t>Miscarriage or Abortion</t>
  </si>
  <si>
    <t>Observation.code</t>
  </si>
  <si>
    <t>WHO-Core Observation (Miscarriage or Abortion)</t>
  </si>
  <si>
    <t xml:space="preserve">       Miscarriage </t>
  </si>
  <si>
    <t>713651007</t>
  </si>
  <si>
    <t>LA14272-1</t>
  </si>
  <si>
    <t xml:space="preserve">       Abortion</t>
  </si>
  <si>
    <t>363681007</t>
  </si>
  <si>
    <t>LA14668-0</t>
  </si>
  <si>
    <t>Date of miscarriage or abortion</t>
  </si>
  <si>
    <t>FP.2. Counseling; ST.2 Consultation</t>
  </si>
  <si>
    <t>ST.DE.313; ST.DE.329</t>
  </si>
  <si>
    <t>FP.DE.034</t>
  </si>
  <si>
    <t>If the woman had an abortion, when the abortion took place.</t>
  </si>
  <si>
    <t>Include if FP.DE.032 Recent miscarriage or abortion = TRUE and required for DSL MEC</t>
  </si>
  <si>
    <t xml:space="preserve">day plus SAB or TAB (from above) </t>
  </si>
  <si>
    <t>Miscarriage or abortion stage of pregnancy</t>
  </si>
  <si>
    <t>FP.DE.033</t>
  </si>
  <si>
    <t>If the woman recently had a miscarriage or abortion, when in the pregnancy the abortion took place.</t>
  </si>
  <si>
    <t>Observation.stage</t>
  </si>
  <si>
    <t xml:space="preserve">       First trimester</t>
  </si>
  <si>
    <t>FP.DE.423</t>
  </si>
  <si>
    <t>Miscarried or aborted in the first trimester</t>
  </si>
  <si>
    <t>First trimester</t>
  </si>
  <si>
    <t>19169002; 255246003</t>
  </si>
  <si>
    <t>LP208035-8</t>
  </si>
  <si>
    <t>255246003 THAT IS WRONG; should be 19169002</t>
  </si>
  <si>
    <t>1721AAAAAAAAAAAAAAAAAAAAAAAAAAAAAAAA</t>
  </si>
  <si>
    <t xml:space="preserve">       Second trimester</t>
  </si>
  <si>
    <t>FP.DE.424</t>
  </si>
  <si>
    <t>Miscarried or aborted in the second trimester</t>
  </si>
  <si>
    <t>Second trimester</t>
  </si>
  <si>
    <t>85116003; 255247007</t>
  </si>
  <si>
    <t>LA21197-1</t>
  </si>
  <si>
    <t>59466002; SHOULD BE 85116003</t>
  </si>
  <si>
    <t>1722AAAAAAAAAAAAAAAAAAAAAAAAAAAAAAAA</t>
  </si>
  <si>
    <t xml:space="preserve">       Immediate post-septic abortion</t>
  </si>
  <si>
    <t>FP.DE.425</t>
  </si>
  <si>
    <t>Septic abortion refers to an abortion (either spontaneous or induced) that is then complicated by infection.</t>
  </si>
  <si>
    <t>Immediate post-septic abortion</t>
  </si>
  <si>
    <t xml:space="preserve">need to confirm with SME </t>
  </si>
  <si>
    <t>O03.37</t>
  </si>
  <si>
    <t>67465009; 255248002</t>
  </si>
  <si>
    <t>LA21198-9</t>
  </si>
  <si>
    <t>41587001 is wrong ; i THINK that they want miscarraige with sepsis; we should  confirm-- 67465009</t>
  </si>
  <si>
    <t>22</t>
  </si>
  <si>
    <t>1723AAAAAAAAAAAAAAAAAAAAAAAAAAAAAAAA</t>
  </si>
  <si>
    <t>Start date of last normal menses</t>
  </si>
  <si>
    <t>ST.DE.305</t>
  </si>
  <si>
    <t>FP.DE.035</t>
  </si>
  <si>
    <t>First day of last normal menses.</t>
  </si>
  <si>
    <t>Include if pregnancy status = unknown, used by DSL Pregnancy Checklist
Require if Problems with use =TRUE and Missed pills = TRUE (in Missed pills or late injection Decision Logic)</t>
  </si>
  <si>
    <t>WHO-Core Observation (Last Normal Menses)</t>
  </si>
  <si>
    <t>should be menses plus date</t>
  </si>
  <si>
    <t>248957007</t>
  </si>
  <si>
    <t>Missed or late menses</t>
  </si>
  <si>
    <t>FP.DE.435</t>
  </si>
  <si>
    <t>If the woman's monthly bleeding was missed or is late</t>
  </si>
  <si>
    <t>Current Date &gt; (Start date of last normal menses + X days)</t>
  </si>
  <si>
    <t>WHO-FP Observation (Missed or Late Menses)</t>
  </si>
  <si>
    <t>i think that this can be ammenorhea ; need to confirm</t>
  </si>
  <si>
    <t>161780009; 42131003; 84292000; 36521000</t>
  </si>
  <si>
    <t>LA 22280-4</t>
  </si>
  <si>
    <t>161780009; abnormal menstrual sycle; 42131003; 84292000 (menstrual period late) ; 36521000</t>
  </si>
  <si>
    <t>23</t>
  </si>
  <si>
    <t>Days since start of last normal menses</t>
  </si>
  <si>
    <t>FP.DE.253</t>
  </si>
  <si>
    <t>Count of days since her last normal period started</t>
  </si>
  <si>
    <t>May be calculated from Start date of last normal menses</t>
  </si>
  <si>
    <t>WHO-FP Observation (Days since Last Normal Menses)</t>
  </si>
  <si>
    <t>Days since last normal menses</t>
  </si>
  <si>
    <t>Pregnancy status</t>
  </si>
  <si>
    <t>ST.DE.029</t>
  </si>
  <si>
    <t>FP.DE.054</t>
  </si>
  <si>
    <t>Pregnancy status at visit</t>
  </si>
  <si>
    <t>Optional unless required by decision logic. Skip if Gender = Male, else required</t>
  </si>
  <si>
    <t>MEC, Practice Recommendations</t>
  </si>
  <si>
    <t>WHO-Core Observation (Pregnancy Status)</t>
  </si>
  <si>
    <t>PregnancyStatus</t>
  </si>
  <si>
    <t xml:space="preserve">82810-3
</t>
  </si>
  <si>
    <t xml:space="preserve">       Pregnant</t>
  </si>
  <si>
    <t>FP.DE.371</t>
  </si>
  <si>
    <t>Pregnant</t>
  </si>
  <si>
    <t>LA15173-0</t>
  </si>
  <si>
    <t xml:space="preserve">       Not pregnant</t>
  </si>
  <si>
    <t>FP.DE.372</t>
  </si>
  <si>
    <t>Not pregnant</t>
  </si>
  <si>
    <t>60001007</t>
  </si>
  <si>
    <t>LA26683-5</t>
  </si>
  <si>
    <t>FP.DE.373</t>
  </si>
  <si>
    <t>Unknown pregnancy status</t>
  </si>
  <si>
    <t xml:space="preserve">If Pregnant = "Unknown" AND Information source for pregnancy status = "Patient reported" or null, decision table for Not Pregnant Check is used. </t>
  </si>
  <si>
    <t xml:space="preserve">If Pregnant = "Unknown" decision table for Reasonably certain not pregnant" is used. </t>
  </si>
  <si>
    <t>261665006</t>
  </si>
  <si>
    <t>LA4489-6</t>
  </si>
  <si>
    <t>SNOMED unknown</t>
  </si>
  <si>
    <t>Pregnancy test recommended</t>
  </si>
  <si>
    <t>FP.DE.538</t>
  </si>
  <si>
    <t>If it is recommended to give the woman a pregnancy test,  based on guidelines.</t>
  </si>
  <si>
    <t>System generated answer from DSL-Perform Pregnancy Test</t>
  </si>
  <si>
    <t xml:space="preserve">
Z32.0</t>
  </si>
  <si>
    <t>encounter for pregnancy test</t>
  </si>
  <si>
    <t>Sensitivity of pregnancy test</t>
  </si>
  <si>
    <t>FP.DE.560</t>
  </si>
  <si>
    <t>Used by Pregnancy test check decision logic to check for highly sensitive test.</t>
  </si>
  <si>
    <t>not sure what this is trying to ascertain; would be different for maker and user of test</t>
  </si>
  <si>
    <t>252161000</t>
  </si>
  <si>
    <t>sencitive pregnancy test; not really what this wants</t>
  </si>
  <si>
    <t>18, 99</t>
  </si>
  <si>
    <t xml:space="preserve">       Highly sensitive</t>
  </si>
  <si>
    <t>FP.DE.561</t>
  </si>
  <si>
    <t>Highly sensitive</t>
  </si>
  <si>
    <t>use qualifier</t>
  </si>
  <si>
    <t>255383001</t>
  </si>
  <si>
    <t>qualifier to something</t>
  </si>
  <si>
    <t>Intercourse since last normal menses</t>
  </si>
  <si>
    <t>FP.DE.252</t>
  </si>
  <si>
    <t>Include if pregnancy status = unknown, otherwise optional</t>
  </si>
  <si>
    <t>Required if checking woman is not pregnant</t>
  </si>
  <si>
    <t>WHO-FP Observation (Intercourse since Last Normal Menses)</t>
  </si>
  <si>
    <t>day plus intercourse</t>
  </si>
  <si>
    <t xml:space="preserve">date of last sexual intercourse </t>
  </si>
  <si>
    <t>Clarify with Brinn</t>
  </si>
  <si>
    <t>Recent unprotected sexual intercourse</t>
  </si>
  <si>
    <t>ST.DE.310</t>
  </si>
  <si>
    <t>FP.DE.426</t>
  </si>
  <si>
    <t>Unprotected sexual intercourse</t>
  </si>
  <si>
    <t>Observation.category="social-history"</t>
  </si>
  <si>
    <t>WHO-Core Observation (Recent Sexual History)</t>
  </si>
  <si>
    <t>Z72.5</t>
  </si>
  <si>
    <t>QE2Z</t>
  </si>
  <si>
    <t>2314005</t>
  </si>
  <si>
    <t>159218AAAAAAAAAAAAAAAAAAAAAAAAAAAAAA</t>
  </si>
  <si>
    <t xml:space="preserve">       Side effects prevent woman from taking it</t>
  </si>
  <si>
    <t>Lactating</t>
  </si>
  <si>
    <t>FP.DE.434</t>
  </si>
  <si>
    <t>The client is currently lactating</t>
  </si>
  <si>
    <t>Include if pregnancy status = unknown and postpartum = TRUE, otherwise optional</t>
  </si>
  <si>
    <t>assume this is that you are: or is this for a panel with y/n</t>
  </si>
  <si>
    <t>LP190569-6</t>
  </si>
  <si>
    <t>if lactating</t>
  </si>
  <si>
    <t>Days since unprotected sex</t>
  </si>
  <si>
    <t>FP.DE.245</t>
  </si>
  <si>
    <t xml:space="preserve">Used by missed pills and late injection AND when to start decision logic. FP.DE.263 removed as it was a duplicate. Renamed from Time since unprotected sex. </t>
  </si>
  <si>
    <t>WHO-Core Observation (Days since Unprotected Sex)</t>
  </si>
  <si>
    <t>day plus intercourse plus unprotection</t>
  </si>
  <si>
    <t xml:space="preserve">unprotected sex but doenst include days since.. </t>
  </si>
  <si>
    <t>female- A23011 (voacbulary ICPC2P)</t>
  </si>
  <si>
    <t>clarify with Brinn</t>
  </si>
  <si>
    <t>Check need for pregnancy test</t>
  </si>
  <si>
    <t>System generated value that shows if, after using the pregnancy checklist, it is still not reasonably certain the woman is not pregnant</t>
  </si>
  <si>
    <t>Include if Pregnancy status = Unknown and Source of pregnancy status = Pregnancy checklist</t>
  </si>
  <si>
    <t>Provider handbook</t>
  </si>
  <si>
    <t>103325001</t>
  </si>
  <si>
    <t>qualifier of need for X</t>
  </si>
  <si>
    <t>Pregnancy test available</t>
  </si>
  <si>
    <t>ST.DE.312</t>
  </si>
  <si>
    <t>FP.DE.421</t>
  </si>
  <si>
    <t>Whether a pregnancy test is available if guidelines recommend it</t>
  </si>
  <si>
    <t>Include if Perform pregnancy test = TRUE based on decision logic</t>
  </si>
  <si>
    <t>HealthcareService.type</t>
  </si>
  <si>
    <t>WHO-FP HealthcareService</t>
  </si>
  <si>
    <t xml:space="preserve">PT test?? </t>
  </si>
  <si>
    <t>74036000</t>
  </si>
  <si>
    <t>this is about a supply</t>
  </si>
  <si>
    <t>Gender-based violence victim</t>
  </si>
  <si>
    <t>Misc</t>
  </si>
  <si>
    <t>FP.DE.045</t>
  </si>
  <si>
    <t>History of exposure to gender-based violence</t>
  </si>
  <si>
    <t>WHO-Core Observation (Gender-based Violence Victim)</t>
  </si>
  <si>
    <t xml:space="preserve">       No stock</t>
  </si>
  <si>
    <t>this means personal risk.. not a clear diagnosis</t>
  </si>
  <si>
    <t>Z91.8</t>
  </si>
  <si>
    <t>QC4Z</t>
  </si>
  <si>
    <t>404189009</t>
  </si>
  <si>
    <t>domestic violence
D000074386. MSH code set</t>
  </si>
  <si>
    <t>27</t>
  </si>
  <si>
    <t xml:space="preserve">       Side effects</t>
  </si>
  <si>
    <t>Gender-based violence risk factors</t>
  </si>
  <si>
    <t>ST.DE.026</t>
  </si>
  <si>
    <t>FP.DE.046</t>
  </si>
  <si>
    <t>Gender-based violence risk factors relevant to the population.</t>
  </si>
  <si>
    <t>[Country-specific]</t>
  </si>
  <si>
    <t>WHO-Core Observation (Gender-based Violence Risk Factors)</t>
  </si>
  <si>
    <t xml:space="preserve">       Allergy</t>
  </si>
  <si>
    <t>can this be a positive screen on a DV screening tool?</t>
  </si>
  <si>
    <t>24</t>
  </si>
  <si>
    <t>Sexually active</t>
  </si>
  <si>
    <t>ST.DE.027</t>
  </si>
  <si>
    <t>FP.DE.047</t>
  </si>
  <si>
    <t xml:space="preserve">Whether or not the client is sexually active. </t>
  </si>
  <si>
    <t>WHO-Core Observation (Sexually Active)</t>
  </si>
  <si>
    <t>in what time frame</t>
  </si>
  <si>
    <t>373066001; 68732003</t>
  </si>
  <si>
    <t>86647-5; 86648-3</t>
  </si>
  <si>
    <t>373066001 ( 3 months); 373066001 (12 months); 68732003 (non-virginal)
86647-5 ( oast three months); last 12 months (86648-3)</t>
  </si>
  <si>
    <t>25</t>
  </si>
  <si>
    <t>Clinical observations</t>
  </si>
  <si>
    <t>2.4 Conduct risk assessment</t>
  </si>
  <si>
    <t>ST.DE.044</t>
  </si>
  <si>
    <t>FP.DE.048</t>
  </si>
  <si>
    <t>Observations made during an exam or visit.</t>
  </si>
  <si>
    <t>WHO-Core Observation (Clinical Observations)</t>
  </si>
  <si>
    <t>Contraception Issues and concerns</t>
  </si>
  <si>
    <t>2.6 Discuss Issues and concerns</t>
  </si>
  <si>
    <t>FP.DE.441</t>
  </si>
  <si>
    <t xml:space="preserve">Side effects or symptoms with current method, administration, missed pills and late injections
</t>
  </si>
  <si>
    <t>Coding - Multiple Choice</t>
  </si>
  <si>
    <t>Include if Problems with use = TRUE</t>
  </si>
  <si>
    <t xml:space="preserve">WHO-FP Encounter (Contraception Issues and Concerns) </t>
  </si>
  <si>
    <t>10154-3</t>
  </si>
  <si>
    <t xml:space="preserve">       Missed pills or late injection</t>
  </si>
  <si>
    <t>FP.DE.442</t>
  </si>
  <si>
    <t>Missed pills or late injection</t>
  </si>
  <si>
    <t>Include if Problems with use = TRUE and (Method at intake = oral hormonal contraceptive OR injectable)</t>
  </si>
  <si>
    <t>If Missed pills = TRUE, trigger Missed pills or late injection Decision Logic</t>
  </si>
  <si>
    <t>Missed contraceptive pill SNOMED: 315604002</t>
  </si>
  <si>
    <t>partial map</t>
  </si>
  <si>
    <t>315604002</t>
  </si>
  <si>
    <t>missed pill; not late injection</t>
  </si>
  <si>
    <t xml:space="preserve">       IUD concerns</t>
  </si>
  <si>
    <t>FP.DE.443</t>
  </si>
  <si>
    <t>IUD concerns</t>
  </si>
  <si>
    <t>Method at intake or prior contraceptive methods = IUD</t>
  </si>
  <si>
    <t>"Include if Issues and Concerns = TRUE 
AND
Method at intake - reported = IUD</t>
  </si>
  <si>
    <t>243818000</t>
  </si>
  <si>
    <t>*to update - clinical finding for IUD check</t>
  </si>
  <si>
    <t xml:space="preserve">       IUD partial expulsion</t>
  </si>
  <si>
    <t>FP.DE.444</t>
  </si>
  <si>
    <t>IUD partial expulsion</t>
  </si>
  <si>
    <t>Include if Issues and Concerns = TRUE 
AND
Method at intake - reported = LNG-IUD or COCs or POPs or DMPA-IM or NET-EN or Implants</t>
  </si>
  <si>
    <t>169489007</t>
  </si>
  <si>
    <t xml:space="preserve">       IUD complete expulsion</t>
  </si>
  <si>
    <t>FP.DE.445</t>
  </si>
  <si>
    <t>IUD complete expulsion</t>
  </si>
  <si>
    <t>169487009</t>
  </si>
  <si>
    <t xml:space="preserve">       Amenorrhoea</t>
  </si>
  <si>
    <t>FP.DE.236</t>
  </si>
  <si>
    <t>Amenorrhoea</t>
  </si>
  <si>
    <t>x done</t>
  </si>
  <si>
    <t>N91.2</t>
  </si>
  <si>
    <t>GA20.0</t>
  </si>
  <si>
    <t>14302001</t>
  </si>
  <si>
    <t xml:space="preserve">       Irregular bleeding </t>
  </si>
  <si>
    <t>FP.DE.232</t>
  </si>
  <si>
    <t xml:space="preserve">Irregular bleeding </t>
  </si>
  <si>
    <t>Include if issues and concerns = TRUE 
AND Method at intake - reported = COCs or POPs or female condom or diaphragm</t>
  </si>
  <si>
    <t>GA2Z</t>
  </si>
  <si>
    <t>301822002</t>
  </si>
  <si>
    <t xml:space="preserve">       Client suspects pregnancy</t>
  </si>
  <si>
    <t>FP.DE.215</t>
  </si>
  <si>
    <t>Client suspects pregnancy</t>
  </si>
  <si>
    <t xml:space="preserve">       No drugs available</t>
  </si>
  <si>
    <t xml:space="preserve">Z32.0 </t>
  </si>
  <si>
    <t>evaluation for PG</t>
  </si>
  <si>
    <t xml:space="preserve">       Woman did not accept</t>
  </si>
  <si>
    <t xml:space="preserve">       Spotting or light bleeding</t>
  </si>
  <si>
    <t>FP.DE.234</t>
  </si>
  <si>
    <t>Spotting or light bleeding</t>
  </si>
  <si>
    <t>Include if issues and concerns = TRUE 
AND Method at intake - reported = COCs or POPs or ECP</t>
  </si>
  <si>
    <t>GA1Z</t>
  </si>
  <si>
    <t>9126005</t>
  </si>
  <si>
    <t xml:space="preserve">       Change in timing of monthly bleeding</t>
  </si>
  <si>
    <t>FP.DE.214</t>
  </si>
  <si>
    <t>Change in timing of monthly bleeding</t>
  </si>
  <si>
    <t>Include if issues and concerns = TRUE 
AND Method at intake - reported = Emergency Contraception</t>
  </si>
  <si>
    <t>44991000119100</t>
  </si>
  <si>
    <t>mapped to abnormal vaginal bleeding</t>
  </si>
  <si>
    <t xml:space="preserve">       Heavy or prolonged bleeding</t>
  </si>
  <si>
    <t>FP.DE.223</t>
  </si>
  <si>
    <t>Heavy or prolonged bleeding</t>
  </si>
  <si>
    <t>Include if issues and concerns = TRUE 
AND Method at intake - reported = Cu-IUD or LNG-IUD or COCs or POPs or DMPA-IM or NET-EN or Implants</t>
  </si>
  <si>
    <t xml:space="preserve">N93  </t>
  </si>
  <si>
    <t>289539007</t>
  </si>
  <si>
    <t>abnormal bleeding</t>
  </si>
  <si>
    <t xml:space="preserve">       Unexplained vaginal bleeding</t>
  </si>
  <si>
    <t>FP.DE.235</t>
  </si>
  <si>
    <t>Unexplained vaginal bleeding (suspicious for serious condition)</t>
  </si>
  <si>
    <t>Unexplained vaginal bleeding (suspicious for serious condition), before evaluation</t>
  </si>
  <si>
    <t>Include if issues and concerns = TRUE 
AND current method = COCs or POPs</t>
  </si>
  <si>
    <t xml:space="preserve">       Unexplained vaginal bleeding (suspicious for serious condition), before evaluation</t>
  </si>
  <si>
    <t>289530006</t>
  </si>
  <si>
    <t xml:space="preserve">       Mood changes after start of method</t>
  </si>
  <si>
    <t>FP.DE.225</t>
  </si>
  <si>
    <t>Mood changes after start of method</t>
  </si>
  <si>
    <t>Include if issues and concerns = TRUE 
AND Method at intake - reported = COCs or POPs</t>
  </si>
  <si>
    <t>F39</t>
  </si>
  <si>
    <t>6A8Z</t>
  </si>
  <si>
    <t>48079002</t>
  </si>
  <si>
    <t xml:space="preserve">       Changes in sex drive</t>
  </si>
  <si>
    <t>FP.DE.226</t>
  </si>
  <si>
    <t>Changes in sex drive</t>
  </si>
  <si>
    <t>365965002</t>
  </si>
  <si>
    <t xml:space="preserve">       Discomfort or pain with use</t>
  </si>
  <si>
    <t>FP.DE.204</t>
  </si>
  <si>
    <t>Discomfort or pain with use</t>
  </si>
  <si>
    <t>Include if issues and concerns = TRUE 
AND Method at intake - reported = Barrier method</t>
  </si>
  <si>
    <t>i cant find; maybe pain plus method?</t>
  </si>
  <si>
    <t>247347003</t>
  </si>
  <si>
    <t xml:space="preserve">       Pain lasting for months</t>
  </si>
  <si>
    <t>FP.DE.212</t>
  </si>
  <si>
    <t>Pain lasting for months</t>
  </si>
  <si>
    <t>Include if issues and concerns = TRUE 
AND Method at intake - reported = Vasectomy</t>
  </si>
  <si>
    <t>post procedure vasectomy pain</t>
  </si>
  <si>
    <t>N99.89</t>
  </si>
  <si>
    <t xml:space="preserve">       Severe pain in lower abdomen</t>
  </si>
  <si>
    <t>FP.DE.220</t>
  </si>
  <si>
    <t>Severe pain in lower abdomen</t>
  </si>
  <si>
    <t xml:space="preserve">       Facility (elective C-section)</t>
  </si>
  <si>
    <t>x no way to indicate severe</t>
  </si>
  <si>
    <t>R10.30</t>
  </si>
  <si>
    <t xml:space="preserve">       Home</t>
  </si>
  <si>
    <t xml:space="preserve">       Abscess</t>
  </si>
  <si>
    <t>FP.DE.216</t>
  </si>
  <si>
    <t>Abscess</t>
  </si>
  <si>
    <t>Include if issues and concerns = TRUE 
AND Method at intake - reported = Sterilization</t>
  </si>
  <si>
    <t>sent to WHO</t>
  </si>
  <si>
    <t>T81.4</t>
  </si>
  <si>
    <t>12243431000119101</t>
  </si>
  <si>
    <t>needs more informaiton to code this; abscess where</t>
  </si>
  <si>
    <t xml:space="preserve">       Candidiasis</t>
  </si>
  <si>
    <t>FP.DE.200</t>
  </si>
  <si>
    <t>Candidiasis</t>
  </si>
  <si>
    <t>Include if issues and concerns = TRUE 
 AND Method at intake - reported = Diaphragm</t>
  </si>
  <si>
    <t>used wet prep for dx for lOINC; done</t>
  </si>
  <si>
    <t>B37.3</t>
  </si>
  <si>
    <t>72934000</t>
  </si>
  <si>
    <t xml:space="preserve">12275-4 </t>
  </si>
  <si>
    <t>yeast by wet prep</t>
  </si>
  <si>
    <t xml:space="preserve">       Bacterial vaginosis</t>
  </si>
  <si>
    <t>FP.DE.201</t>
  </si>
  <si>
    <t>Bacterial vaginosis</t>
  </si>
  <si>
    <t>N76.0; N77.1</t>
  </si>
  <si>
    <t>419760006</t>
  </si>
  <si>
    <t>69568-4</t>
  </si>
  <si>
    <t xml:space="preserve">       Toxic shock syndrome</t>
  </si>
  <si>
    <t>FP.DE.202</t>
  </si>
  <si>
    <t>Toxic shock syndrome</t>
  </si>
  <si>
    <t>A48.3</t>
  </si>
  <si>
    <t>18504008</t>
  </si>
  <si>
    <t>snomed OK</t>
  </si>
  <si>
    <t xml:space="preserve">       Urinary tract infection</t>
  </si>
  <si>
    <t>FP.DE.203</t>
  </si>
  <si>
    <t>Urinary tract infection</t>
  </si>
  <si>
    <t>N39; Z87.440</t>
  </si>
  <si>
    <t>68566005</t>
  </si>
  <si>
    <t>https://phinvads.cdc.gov/vads/ViewCodeSystemConcept.action?oid=2.16.840.1.113883.6.96&amp;code=68566005</t>
  </si>
  <si>
    <t xml:space="preserve">       Difficulty inserting/removing/using method</t>
  </si>
  <si>
    <t>FP.DE.205</t>
  </si>
  <si>
    <t>Difficulty inserting/removing/using method</t>
  </si>
  <si>
    <t>Include if issues and concerns = TRUE 
AND current method = Barrier method</t>
  </si>
  <si>
    <t>i cant find</t>
  </si>
  <si>
    <t>55607006</t>
  </si>
  <si>
    <t>snomed-- problem with</t>
  </si>
  <si>
    <t xml:space="preserve">       Used incorrectly</t>
  </si>
  <si>
    <t>FP.DE.206</t>
  </si>
  <si>
    <t>Method used incorrectly</t>
  </si>
  <si>
    <t>Used incorrectly</t>
  </si>
  <si>
    <t xml:space="preserve">       Oral contraceptive</t>
  </si>
  <si>
    <t xml:space="preserve">
LA7335-8</t>
  </si>
  <si>
    <t>used inapproproately ;no tincorrectly; not good mapping</t>
  </si>
  <si>
    <t xml:space="preserve">       Injectable</t>
  </si>
  <si>
    <t xml:space="preserve">       Makes noise during sex</t>
  </si>
  <si>
    <t>FP.DE.207</t>
  </si>
  <si>
    <t>Method makes noise during sex</t>
  </si>
  <si>
    <t>Makes noise during sex</t>
  </si>
  <si>
    <t xml:space="preserve">       IUD</t>
  </si>
  <si>
    <t>No SNOMED code available</t>
  </si>
  <si>
    <t xml:space="preserve">       Vaginal ring</t>
  </si>
  <si>
    <t>Method at intake or prior contraceptive methods not null</t>
  </si>
  <si>
    <t xml:space="preserve">       Tubal ligation</t>
  </si>
  <si>
    <t xml:space="preserve">       Others</t>
  </si>
  <si>
    <t xml:space="preserve">       Sterilization (partner)</t>
  </si>
  <si>
    <t xml:space="preserve">       Difficulty persuading partner to use method</t>
  </si>
  <si>
    <t>FP.DE.211</t>
  </si>
  <si>
    <t>Difficulty persuading partner to use method or not able to use every time</t>
  </si>
  <si>
    <t>Difficulty persuading partner to use method</t>
  </si>
  <si>
    <t xml:space="preserve">       Irritation</t>
  </si>
  <si>
    <t>FP.DE.210</t>
  </si>
  <si>
    <t>Method causes irritation</t>
  </si>
  <si>
    <t>Irritation</t>
  </si>
  <si>
    <t>N98.9</t>
  </si>
  <si>
    <t xml:space="preserve">       Allergic reaction</t>
  </si>
  <si>
    <t>FP.DE.209</t>
  </si>
  <si>
    <t>Allergic reaction</t>
  </si>
  <si>
    <t>Z88.8</t>
  </si>
  <si>
    <t xml:space="preserve">       Acne</t>
  </si>
  <si>
    <t>FP.DE.224</t>
  </si>
  <si>
    <t>Acne</t>
  </si>
  <si>
    <t>L70.9</t>
  </si>
  <si>
    <t>11381005</t>
  </si>
  <si>
    <t xml:space="preserve">       Weight change</t>
  </si>
  <si>
    <t>FP.DE.227</t>
  </si>
  <si>
    <t>Weight change</t>
  </si>
  <si>
    <t>Include if issues and concerns = TRUE 
 AND current method = COCs or POPs</t>
  </si>
  <si>
    <t>365921005</t>
  </si>
  <si>
    <t xml:space="preserve">       Headaches</t>
  </si>
  <si>
    <t>FP.DE.231</t>
  </si>
  <si>
    <t>Headaches</t>
  </si>
  <si>
    <t>G44.40</t>
  </si>
  <si>
    <t xml:space="preserve">due to medication?? </t>
  </si>
  <si>
    <t xml:space="preserve">       Treated</t>
  </si>
  <si>
    <t xml:space="preserve">       Breast tenderness</t>
  </si>
  <si>
    <t>FP.DE.228</t>
  </si>
  <si>
    <t>Breast tenderness</t>
  </si>
  <si>
    <t xml:space="preserve">       Referred</t>
  </si>
  <si>
    <t>last seven days X; SNOMED_ pain in breast</t>
  </si>
  <si>
    <t>53430007</t>
  </si>
  <si>
    <t>LP146997-4</t>
  </si>
  <si>
    <t xml:space="preserve">       No action necessary</t>
  </si>
  <si>
    <t xml:space="preserve">       Nausea</t>
  </si>
  <si>
    <t>FP.DE.229</t>
  </si>
  <si>
    <t>Nausea</t>
  </si>
  <si>
    <t>R11.0</t>
  </si>
  <si>
    <t>422587007</t>
  </si>
  <si>
    <t>FP.DE.230</t>
  </si>
  <si>
    <t>MB48</t>
  </si>
  <si>
    <t>404640003</t>
  </si>
  <si>
    <t>Other (Specify) - Contraception Issues</t>
  </si>
  <si>
    <t>Other(Specify)</t>
  </si>
  <si>
    <t>Encounter.reasonCode.text</t>
  </si>
  <si>
    <t xml:space="preserve">       Other(Specify)</t>
  </si>
  <si>
    <t>not good mapping</t>
  </si>
  <si>
    <t>Number of missed hormonal pills</t>
  </si>
  <si>
    <t>FP.DE.243</t>
  </si>
  <si>
    <t>Include if Problems with use =TRUE and Missed pills = TRUE in Missed pills or late injection Decision Logic and Method at intake =   Oral contraception]</t>
  </si>
  <si>
    <t>reported numeric value</t>
  </si>
  <si>
    <t>combine with days; missed dose NCI 
2561</t>
  </si>
  <si>
    <t>Hours late in taking pill</t>
  </si>
  <si>
    <t>FP.DE.537</t>
  </si>
  <si>
    <t>Include if Problems with use =TRUE and Missed pills = TRUE in Missed pills or late injection Decision Logic and Method at intake = progesterone only contraception</t>
  </si>
  <si>
    <t xml:space="preserve">? pill code and missed? </t>
  </si>
  <si>
    <t>Week of cycle</t>
  </si>
  <si>
    <t>FP.DE.244</t>
  </si>
  <si>
    <t>System calculated field based on start of menses</t>
  </si>
  <si>
    <t>Include if Problems with use =TRUE and Missed pills = TRUE in Missed pills or late injection Decision Logic</t>
  </si>
  <si>
    <t>Calculation: Current Date - FP.DE.035 Start date of last normal menses / 7 rounded to the nearest integer</t>
  </si>
  <si>
    <t>calculated base on LMP</t>
  </si>
  <si>
    <t>Late change in patch</t>
  </si>
  <si>
    <t>FP.DE.249</t>
  </si>
  <si>
    <t>Include if Problems with use =TRUE and Method at intake = hormonal contraceptive patch, used in Missed pills or late injection Decision Logic</t>
  </si>
  <si>
    <t>dont know how to do this; need to know when it needed to change</t>
  </si>
  <si>
    <t>late intent...i dont think that this is correct 
LA21210-2</t>
  </si>
  <si>
    <t>Unscheduled detachment of patch</t>
  </si>
  <si>
    <t>FP.DE.248</t>
  </si>
  <si>
    <t>Days late in applying patch</t>
  </si>
  <si>
    <t>FP.DE.247</t>
  </si>
  <si>
    <t>Include if Problems with use !=TRUE and Late change in applying patch = TRUE, used in Missed pills or late injection Decision Logic</t>
  </si>
  <si>
    <t>calculated or reported</t>
  </si>
  <si>
    <t xml:space="preserve">? days late plus patch? </t>
  </si>
  <si>
    <t>Time since last injection</t>
  </si>
  <si>
    <t>FP.DE.246</t>
  </si>
  <si>
    <t>Date when the last injection was given</t>
  </si>
  <si>
    <t xml:space="preserve">Include if Problems with use = TRUE and Method at intake = Injectable. </t>
  </si>
  <si>
    <t xml:space="preserve">Calculation: Weeks since last injection = Current Date - Date of injection / 7 </t>
  </si>
  <si>
    <t>MedicationDispense.whenHandedOver</t>
  </si>
  <si>
    <t>calculated</t>
  </si>
  <si>
    <t>Injection cycle issue</t>
  </si>
  <si>
    <t>FP.DE.233</t>
  </si>
  <si>
    <t>Injection cycle</t>
  </si>
  <si>
    <t>Indicate if the client has had more than one injection before, as side effects may go down.</t>
  </si>
  <si>
    <t>Include if Problems with use = TRUE and Method at intake = Injectable</t>
  </si>
  <si>
    <t>calculated based on method</t>
  </si>
  <si>
    <t>Consider emergency contraception</t>
  </si>
  <si>
    <t>FP.DE.250</t>
  </si>
  <si>
    <t xml:space="preserve">System generated value if missed pills or a late injection indicate emergency contraception should be considered. </t>
  </si>
  <si>
    <t>System generated value from Missed Pills or Late Injection decision logic</t>
  </si>
  <si>
    <t xml:space="preserve">discuss EC. MTHU015375. (NIC) </t>
  </si>
  <si>
    <t>Keeping method</t>
  </si>
  <si>
    <t>2.7 Keeping method</t>
  </si>
  <si>
    <t>FP.DE.050</t>
  </si>
  <si>
    <t>Whether client is keeping a current method or stopping the method they are currently using.</t>
  </si>
  <si>
    <t>Include if Method at intake - reported is not null</t>
  </si>
  <si>
    <t>Contraception Method in mind</t>
  </si>
  <si>
    <t>2.9.1 Method in mind? / 2.9.4 Select methods of interest</t>
  </si>
  <si>
    <t>FP.DE.052</t>
  </si>
  <si>
    <t>Method in mind</t>
  </si>
  <si>
    <t>If the client had a method in mind coming in to the visit.</t>
  </si>
  <si>
    <t>Skip if keeping method = TRUE</t>
  </si>
  <si>
    <t>i dont know what this means</t>
  </si>
  <si>
    <t>Device-based Contraception Method requested</t>
  </si>
  <si>
    <t>2.10.1 Method in mind? / 2.10.4 Select methods of interest</t>
  </si>
  <si>
    <t>FP.DE.053</t>
  </si>
  <si>
    <t>Method requested</t>
  </si>
  <si>
    <t xml:space="preserve">The first pick of method desired by the client, prior to medical eligibility tests. This may be the method in mind or the method selected after discussing the full range of methods. </t>
  </si>
  <si>
    <t>Include if method in mind  = TRUE</t>
  </si>
  <si>
    <t>FP.IND.04</t>
  </si>
  <si>
    <t>Required for MEC logic</t>
  </si>
  <si>
    <t>WHO-FP DeviceUseStatement (Requested Contraceptive Method)</t>
  </si>
  <si>
    <t>http://hl7.org/fhir/who-int/core/ImplementationGuide/core/ValueSet/devicebirthcontrolmethods-values</t>
  </si>
  <si>
    <t>Contraception Method requested</t>
  </si>
  <si>
    <t>Z30.9</t>
  </si>
  <si>
    <t>Medication-based Contraception Method requested</t>
  </si>
  <si>
    <t>WHO-FP MedicationStatement (Requested Contraceptive Method)</t>
  </si>
  <si>
    <t>http://hl7.org/fhir/who-int/core/ImplementationGuide/core/ValueSet/medicationbirthcontrolmethods-values</t>
  </si>
  <si>
    <t>Procedure-based Contraception Method requested</t>
  </si>
  <si>
    <t>WHO-FP Procedure (Requested Contraceptive Method)</t>
  </si>
  <si>
    <t>http://hl7.org/fhir/who-int/core/ImplementationGuide/core/ValueSet/procedurebirthcontrolmethods-values</t>
  </si>
  <si>
    <t>CarePlan-based Contraception Method requested</t>
  </si>
  <si>
    <t>WHO-FP CarePlan (Requested Contraceptive Method)</t>
  </si>
  <si>
    <t>http://hl7.org/fhir/who-int/core/ImplementationGuide/core/ValueSet/careplanbirthcontrolmethods-values</t>
  </si>
  <si>
    <t>Inconsistent contraceptive use</t>
  </si>
  <si>
    <t>2.10.5 Screen for medical eligibility</t>
  </si>
  <si>
    <t>FP.DE.057</t>
  </si>
  <si>
    <t>Correct and consistent contraceptive use</t>
  </si>
  <si>
    <t>Correct and consistent use of current contraceptive method.</t>
  </si>
  <si>
    <t>Include if Method at intake - reported is not null in Pregnancy check decision logic</t>
  </si>
  <si>
    <t>Used for pregnancy exclusion criteria</t>
  </si>
  <si>
    <t>mapped to inconsistent use</t>
  </si>
  <si>
    <t>423728007</t>
  </si>
  <si>
    <t xml:space="preserve">
423728007. ONCONCISTENT USE</t>
  </si>
  <si>
    <t>Medical eligibility - number classification</t>
  </si>
  <si>
    <t>FP.DE.265</t>
  </si>
  <si>
    <t>System generated medical eligibility value for numerical ratings</t>
  </si>
  <si>
    <t>System generated by MEC decision logic for method requested</t>
  </si>
  <si>
    <t>[Data stored with record (FP.RQ.002.011) and used to populate an alert.]</t>
  </si>
  <si>
    <t>WHO-FP Observation (Medical eligibility number)</t>
  </si>
  <si>
    <t>MedicalEligibilityNumber</t>
  </si>
  <si>
    <t>need to confirm what this is; i dont think we cna map this</t>
  </si>
  <si>
    <t xml:space="preserve">       1</t>
  </si>
  <si>
    <t>FP.DE.562</t>
  </si>
  <si>
    <t>A condition for which there is no restriction for the use of the contraceptive method</t>
  </si>
  <si>
    <t>not lcear what this is; it must be for a specific eligibility</t>
  </si>
  <si>
    <t xml:space="preserve">       2</t>
  </si>
  <si>
    <t>FP.DE.563</t>
  </si>
  <si>
    <t>A condition where the advantages of using the method generally outweigh the theoretical or proven risks</t>
  </si>
  <si>
    <t xml:space="preserve">       3</t>
  </si>
  <si>
    <t>FP.DE.564</t>
  </si>
  <si>
    <t>A condition where the theoretical or proven risks usually outweigh the advantages of using the method</t>
  </si>
  <si>
    <t xml:space="preserve">       4</t>
  </si>
  <si>
    <t>FP.DE.565</t>
  </si>
  <si>
    <t>A condition which represents an unacceptable health risk if the contraceptive method is used</t>
  </si>
  <si>
    <t>Medical eligibility - text classification</t>
  </si>
  <si>
    <t>FP.DE.566</t>
  </si>
  <si>
    <t>System generated medical eligibility value for methods using text values</t>
  </si>
  <si>
    <t>System generated by MEC decision logic for method requested when method uses a text rating scale</t>
  </si>
  <si>
    <t>WHO-FP Observation (Medical eligibility text)</t>
  </si>
  <si>
    <t xml:space="preserve">       Accept</t>
  </si>
  <si>
    <t>FP.DE.567</t>
  </si>
  <si>
    <t>There is no medical reason to deny the particular method to a woman in this circumstance.</t>
  </si>
  <si>
    <t>Accept</t>
  </si>
  <si>
    <t xml:space="preserve">       Caution </t>
  </si>
  <si>
    <t>FP.DE.568</t>
  </si>
  <si>
    <t>The method is normally provided in a routine setting, but with extra preparation and precautions. For FAB methods, this usually
means that special counselling may be needed to ensure correct use of the method by a woman in this circumstance.</t>
  </si>
  <si>
    <t xml:space="preserve">Caution </t>
  </si>
  <si>
    <t xml:space="preserve">       Delay</t>
  </si>
  <si>
    <t>FP.DE.569</t>
  </si>
  <si>
    <t>Use of this method should be delayed until the condition is evaluated or corrected. Alternative temporary methods of contraception should be offered.</t>
  </si>
  <si>
    <t>Delay</t>
  </si>
  <si>
    <t xml:space="preserve">       Special</t>
  </si>
  <si>
    <t>FP.DE.570</t>
  </si>
  <si>
    <t>The procedure should be undertaken in a setting with an experienced surgeon and staff, equipment needed to provide general anaesthesia, and other back-up medical support. For these conditions, the capacity to decide on the most appropriate procedure and anesthesia regimen is also needed. Alternative temporary methods of contraception should be provided if referral is required or there is otherwise any delay.</t>
  </si>
  <si>
    <t>Special</t>
  </si>
  <si>
    <t>Date of medical eligibility check</t>
  </si>
  <si>
    <t xml:space="preserve">History of medical eligibility checks </t>
  </si>
  <si>
    <t xml:space="preserve">If there is a record of Medical Eligibility &gt;[MEC recommend rating, currently 2]  for the method selected  (FP.RQ.002.011) </t>
  </si>
  <si>
    <t>Observation.effective[x]</t>
  </si>
  <si>
    <t>Observations affecting Medical Eligibility</t>
  </si>
  <si>
    <t>WHO-FP Observation (Medical Eligibility)</t>
  </si>
  <si>
    <t>MedicalEligibilityObservations</t>
  </si>
  <si>
    <t>Current conditions affecting Medical Eligibility</t>
  </si>
  <si>
    <t>Condition.code</t>
  </si>
  <si>
    <t>WHO-FP Condition (Medical Eligibility)</t>
  </si>
  <si>
    <t>MedicalEligibilityConditions</t>
  </si>
  <si>
    <t>Puerperal sepsis</t>
  </si>
  <si>
    <t>FP.DE.436</t>
  </si>
  <si>
    <t>"Required if postpartum = TRUE and MEC classification  &gt;   MEC okay to use rating, currently 2] for method selected."</t>
  </si>
  <si>
    <t>2858002</t>
  </si>
  <si>
    <t>ICD 9 670.2</t>
  </si>
  <si>
    <t>History of hypertension</t>
  </si>
  <si>
    <t>Medical (non-sexual) history</t>
  </si>
  <si>
    <t>FP.DE.311</t>
  </si>
  <si>
    <t xml:space="preserve">If client has a known history of hypertension. </t>
  </si>
  <si>
    <t>Required if Unable to measure blood pressure = TRUE
and MEC classification  &gt;   MEC okay to use rating, currently 2] for method selected.</t>
  </si>
  <si>
    <t>MEC. Included in MEC app conditions.csv</t>
  </si>
  <si>
    <t>Z86.7</t>
  </si>
  <si>
    <t>161501007</t>
  </si>
  <si>
    <t xml:space="preserve">       No vaccine available</t>
  </si>
  <si>
    <t>156639AAAAAAAAAAAAAAAAAAAAAAAAAAAAAA</t>
  </si>
  <si>
    <t>No sexual contact since last delivery</t>
  </si>
  <si>
    <t xml:space="preserve">       Woman is ill</t>
  </si>
  <si>
    <t>FP.DE.504</t>
  </si>
  <si>
    <t xml:space="preserve">Boolean </t>
  </si>
  <si>
    <t>LA14621-9</t>
  </si>
  <si>
    <t>doesnt include since delivery</t>
  </si>
  <si>
    <t xml:space="preserve">       Allergies</t>
  </si>
  <si>
    <t>No sexual contact since last miscarriage or abortion</t>
  </si>
  <si>
    <t>FP.DE.505</t>
  </si>
  <si>
    <t xml:space="preserve">
LA14621-9</t>
  </si>
  <si>
    <t>no sexual activity then need data of SAB or TAB</t>
  </si>
  <si>
    <t>Past ectopic pregnancy</t>
  </si>
  <si>
    <t>FP.DE.286</t>
  </si>
  <si>
    <t xml:space="preserve">ICD codes are broader than element. </t>
  </si>
  <si>
    <t>history of plus extopic</t>
  </si>
  <si>
    <t>Z87.5</t>
  </si>
  <si>
    <t>161763005</t>
  </si>
  <si>
    <t>158905AAAAAAAAAAAAAAAAAAAAAAAAAAAAAA</t>
  </si>
  <si>
    <t>History of pelvic surgery</t>
  </si>
  <si>
    <t>FP.DE.285</t>
  </si>
  <si>
    <t>SNOMED-History of surgery</t>
  </si>
  <si>
    <t>history plus pelvic surgery</t>
  </si>
  <si>
    <t>161615003</t>
  </si>
  <si>
    <t>Deep venous thrombosis (DVT)</t>
  </si>
  <si>
    <t>Medical (non-sexual) History</t>
  </si>
  <si>
    <t>FP.DE.507</t>
  </si>
  <si>
    <t>Deep venous thrombosis (DVT)/Pulmonary embolism (PE)</t>
  </si>
  <si>
    <t>Skip if Medical Eligibility &lt;[MEC do not use rating, currently 3] for the method selected</t>
  </si>
  <si>
    <t>I82.9</t>
  </si>
  <si>
    <t>BD72</t>
  </si>
  <si>
    <t>429098002; 128053003</t>
  </si>
  <si>
    <t>Pulmonary embolism (PE)</t>
  </si>
  <si>
    <t>59282003</t>
  </si>
  <si>
    <t>History of high blood pressure during pregnancy</t>
  </si>
  <si>
    <t>FP.DE.572</t>
  </si>
  <si>
    <t>Skip if gender = male, skip if Number of pregnancies = 0, Skip if Medical Eligibility &lt;[MEC do not use rating, currently 3] for the method selected</t>
  </si>
  <si>
    <t>O13</t>
  </si>
  <si>
    <t>48194001</t>
  </si>
  <si>
    <t>Venous thrombo-embolism category</t>
  </si>
  <si>
    <t>FP.DE.508</t>
  </si>
  <si>
    <t>Venous thrombo-embolism categories, including risks, for checking medical eligibility</t>
  </si>
  <si>
    <t>Include if FP.DE.507 Venous thrombo-embolism = TRUE</t>
  </si>
  <si>
    <t>History of DVT</t>
  </si>
  <si>
    <t>FP.DE.573</t>
  </si>
  <si>
    <t xml:space="preserve">History of Venous thrombo-embolism </t>
  </si>
  <si>
    <t>History of DVT/PE</t>
  </si>
  <si>
    <t xml:space="preserve">       History of DVT/PE</t>
  </si>
  <si>
    <t>History of PE</t>
  </si>
  <si>
    <t>Acute DVT</t>
  </si>
  <si>
    <t>FP.DE.510</t>
  </si>
  <si>
    <t xml:space="preserve">Acute Venous thrombo-embolism </t>
  </si>
  <si>
    <t>Acute DVT/PE</t>
  </si>
  <si>
    <t xml:space="preserve">       Acute DVT/PE</t>
  </si>
  <si>
    <t>132281000119108</t>
  </si>
  <si>
    <t>ICD10 doesn't have term for acute DVT/PE</t>
  </si>
  <si>
    <t>Acute PE</t>
  </si>
  <si>
    <t>706870000</t>
  </si>
  <si>
    <t>Major surgery with prolonged immobilization DVT/PE</t>
  </si>
  <si>
    <t>FP.DE.511</t>
  </si>
  <si>
    <t xml:space="preserve">       Major surgery with prolonged immobilization DVT/PE</t>
  </si>
  <si>
    <t>T81.7</t>
  </si>
  <si>
    <t>Major surgery without prolonged immobilization</t>
  </si>
  <si>
    <t>FP.DE.574</t>
  </si>
  <si>
    <t xml:space="preserve">       Major surgery without prolonged immobilization</t>
  </si>
  <si>
    <t>Z92.4</t>
  </si>
  <si>
    <t>Code for history of major surgery. There's no term for surgery without prolong immobilzation.</t>
  </si>
  <si>
    <t>Minor surgery without immobilization</t>
  </si>
  <si>
    <t>FP.DE.575</t>
  </si>
  <si>
    <t xml:space="preserve">       Minor surgery without immobilization</t>
  </si>
  <si>
    <t>No ICD-10 code available</t>
  </si>
  <si>
    <t>There isn't a "minor sugery" code, much less one for minor surgery without immobilization.</t>
  </si>
  <si>
    <t xml:space="preserve">Known thrombogenetic mutations </t>
  </si>
  <si>
    <t>FP.DE.576</t>
  </si>
  <si>
    <t xml:space="preserve">       Known thrombogenetic mutations </t>
  </si>
  <si>
    <t>D68.5</t>
  </si>
  <si>
    <t>234467004</t>
  </si>
  <si>
    <t>FP.DE.577</t>
  </si>
  <si>
    <t>I83</t>
  </si>
  <si>
    <t>72866009</t>
  </si>
  <si>
    <t>Superficial venous thrombosis</t>
  </si>
  <si>
    <t>FP.DE.578</t>
  </si>
  <si>
    <t xml:space="preserve">       Superficial venous thrombosis</t>
  </si>
  <si>
    <t>275517008</t>
  </si>
  <si>
    <t>Cardiovascular disease</t>
  </si>
  <si>
    <t>FP.DE.512</t>
  </si>
  <si>
    <t>Skip if Medical Eligibility &lt;[MEC do not use rating, currently 3] for method selected.</t>
  </si>
  <si>
    <t xml:space="preserve">       Cardiovascular disease</t>
  </si>
  <si>
    <t>I51.6</t>
  </si>
  <si>
    <t>BC4Z</t>
  </si>
  <si>
    <t>49601007</t>
  </si>
  <si>
    <t>Cardiovascular disease category</t>
  </si>
  <si>
    <t>FP.DE.513</t>
  </si>
  <si>
    <t>Cardiovascular category for use in checking medical eligibility for methods</t>
  </si>
  <si>
    <t>Include if FP.DE.512 Cardiovascular disease = TRUE</t>
  </si>
  <si>
    <t xml:space="preserve">       Cardiovascular disease category</t>
  </si>
  <si>
    <t>Stroke</t>
  </si>
  <si>
    <t>FP.DE.219</t>
  </si>
  <si>
    <t xml:space="preserve">       Stroke</t>
  </si>
  <si>
    <t>I64</t>
  </si>
  <si>
    <t>8B20</t>
  </si>
  <si>
    <t>230690007</t>
  </si>
  <si>
    <t>Ischaemic heart disease</t>
  </si>
  <si>
    <t>FP.DE.515</t>
  </si>
  <si>
    <t xml:space="preserve">       Ischaemic heart disease</t>
  </si>
  <si>
    <t>I24.9</t>
  </si>
  <si>
    <t>BA4Z</t>
  </si>
  <si>
    <t>414545008</t>
  </si>
  <si>
    <t>Body mass index (BMI)</t>
  </si>
  <si>
    <t>MEC. If height and weight are recorded, system can calculate BMI to determine if the client is obese, a cardiovascular risk factor for medical eligibility. [Body weight in kg]  / [Body height (in metres) * Body height (in metres)]</t>
  </si>
  <si>
    <t xml:space="preserve">
</t>
  </si>
  <si>
    <t xml:space="preserve">WHO-Core Observation (BMI) </t>
  </si>
  <si>
    <t>kg/m2</t>
  </si>
  <si>
    <t>60621009</t>
  </si>
  <si>
    <t>39156-5</t>
  </si>
  <si>
    <t>Cardiovascular risk factor</t>
  </si>
  <si>
    <t>FP.DE.516</t>
  </si>
  <si>
    <t xml:space="preserve">Cardiovascular risk factors that affect </t>
  </si>
  <si>
    <t>441829007</t>
  </si>
  <si>
    <t xml:space="preserve">
SNOMED-- assessment for CVD risj</t>
  </si>
  <si>
    <t xml:space="preserve">       Cardiovascular risk due to age</t>
  </si>
  <si>
    <t>FP.DE.517</t>
  </si>
  <si>
    <t>Cardiovascular risk due to age</t>
  </si>
  <si>
    <t>Calculated based on Age &gt;  40 years</t>
  </si>
  <si>
    <t xml:space="preserve">       Older age [highlight this cell in yellow - need to defined older age]</t>
  </si>
  <si>
    <t>LP121323-2</t>
  </si>
  <si>
    <t>10 year CVD risk; SNOMED Assessment for CVD RISK independent of age</t>
  </si>
  <si>
    <t>calculate</t>
  </si>
  <si>
    <t xml:space="preserve">       Smoker</t>
  </si>
  <si>
    <t>FP.DE.038</t>
  </si>
  <si>
    <t>Smoker</t>
  </si>
  <si>
    <t>6C4A.1</t>
  </si>
  <si>
    <t>365981007</t>
  </si>
  <si>
    <t>FP.DE.292</t>
  </si>
  <si>
    <t>? TYPE</t>
  </si>
  <si>
    <t>E14.8</t>
  </si>
  <si>
    <t>73211009</t>
  </si>
  <si>
    <t>FP.DE.291</t>
  </si>
  <si>
    <t>BA00</t>
  </si>
  <si>
    <t>38341003</t>
  </si>
  <si>
    <t xml:space="preserve">       Obese</t>
  </si>
  <si>
    <t>FP.DE.289</t>
  </si>
  <si>
    <t>Obese</t>
  </si>
  <si>
    <t>[Current classification BMI &gt; 30kg/m^2]</t>
  </si>
  <si>
    <t>If Weight from visit != NULL, calculate using BMI definition for obesity, current classification is weight &gt; 30kg/m^2</t>
  </si>
  <si>
    <t xml:space="preserve">       Obesity</t>
  </si>
  <si>
    <t>E66.9</t>
  </si>
  <si>
    <t>414916001</t>
  </si>
  <si>
    <t xml:space="preserve">       Known dyslipidaemias</t>
  </si>
  <si>
    <t>FP.DE.290</t>
  </si>
  <si>
    <t>Known dyslipidaemias</t>
  </si>
  <si>
    <t>E78.5</t>
  </si>
  <si>
    <t>55822004</t>
  </si>
  <si>
    <t>Number of cardiovascular risk factors</t>
  </si>
  <si>
    <t>FP.DE.113</t>
  </si>
  <si>
    <t>Count of cardiovascular risk factors for arterial cardiovascular disease for the client</t>
  </si>
  <si>
    <t>Calculated by counting the number of cardiovascular risk factors that are true for the client</t>
  </si>
  <si>
    <t>395112001</t>
  </si>
  <si>
    <t>SNOEMD CVD event risk</t>
  </si>
  <si>
    <t xml:space="preserve">Persistently high arterial blood pressure. </t>
  </si>
  <si>
    <t>Blood pressure = Hypertensive</t>
  </si>
  <si>
    <t>Skip if Medical Eligibility &lt;3 for method selected 
OR 
(Blood pressure cannot be measured and no known history of hypertension = TRUE)</t>
  </si>
  <si>
    <t>MEC. Included in MEC app conditions.csv
Currently accepted threshold levels are 140 mm Hg systolic and 90 mm Hg diastolic pressure.</t>
  </si>
  <si>
    <t>Back-dated Flag</t>
  </si>
  <si>
    <t>UI</t>
  </si>
  <si>
    <t>can you ask what this means?</t>
  </si>
  <si>
    <t>Hypertension status</t>
  </si>
  <si>
    <t>FP.DE.519</t>
  </si>
  <si>
    <t>Required if contraindicated for method in MEC and if element selected</t>
  </si>
  <si>
    <t>308502002</t>
  </si>
  <si>
    <t xml:space="preserve">       adequately controlled hypertension</t>
  </si>
  <si>
    <t>FP.DE.520</t>
  </si>
  <si>
    <t>adequately controlled hypertension</t>
  </si>
  <si>
    <t>170577003</t>
  </si>
  <si>
    <t>Client is obese</t>
  </si>
  <si>
    <t xml:space="preserve">Skip if Medical Eligibility &lt;3 for method selected </t>
  </si>
  <si>
    <t>Obesity</t>
  </si>
  <si>
    <t>5B81</t>
  </si>
  <si>
    <t>Universal ID</t>
  </si>
  <si>
    <t>FP.DE.16</t>
  </si>
  <si>
    <t>universal_id</t>
  </si>
  <si>
    <t>A universal ID, if used in the country</t>
  </si>
  <si>
    <t>[dependent on country ID format, if universal ID is used]</t>
  </si>
  <si>
    <t xml:space="preserve">Country must use  a universal ID and facility must be able to generate it. </t>
  </si>
  <si>
    <t>Client has diabetes</t>
  </si>
  <si>
    <t>??</t>
  </si>
  <si>
    <t>5A14</t>
  </si>
  <si>
    <t>STI.IN.001</t>
  </si>
  <si>
    <t xml:space="preserve">Disaggregation
FP2020: Core Indicator 1 - Number of additional users of modern methods of contraception, 2018 Global Reference List of 100 Core Indicators – Demand for family planning satisfied with modern methods [SDG 3.7.1]. </t>
  </si>
  <si>
    <t>Diabetes category</t>
  </si>
  <si>
    <t>FP.DE.293</t>
  </si>
  <si>
    <t>Diabetes category for use in checking medical eligibility for methods</t>
  </si>
  <si>
    <t>Include if Diabetes = TRUE</t>
  </si>
  <si>
    <t xml:space="preserve">Applicable to checking MEC and what is included in the MEC app. However, the specific term is not in app conditions. </t>
  </si>
  <si>
    <t>Non-vascular Insulin-dependent diabetes</t>
  </si>
  <si>
    <t>FP.DE.294</t>
  </si>
  <si>
    <t xml:space="preserve">Non-vascular Insulin-dependent </t>
  </si>
  <si>
    <t xml:space="preserve">       Non-vascular Insulin-dependent </t>
  </si>
  <si>
    <t>O24.0</t>
  </si>
  <si>
    <t>JA63.0</t>
  </si>
  <si>
    <t>199229001</t>
  </si>
  <si>
    <t>MC - Select One</t>
  </si>
  <si>
    <t>STI.IN.002</t>
  </si>
  <si>
    <t>"FP2020: Core Indicator 1 - Number of additional users of modern methods of contraception, 2018 Global Reference List of 100 Core Indicators – Demand for family planning satisfied with modern methods [SDG 3.7.1]. 
Numerator - (18-49)
Disaggregation"</t>
  </si>
  <si>
    <t>https://www.hl7.org/fhir/codesystem-administrative-gender.html</t>
  </si>
  <si>
    <t>Non-vascular non-insulin dependent diabetes</t>
  </si>
  <si>
    <t>FP.DE.295</t>
  </si>
  <si>
    <t>Non-vascular non-insulin dependent</t>
  </si>
  <si>
    <t xml:space="preserve">Skip if Medical Eligibility &lt;[MEC do not use rating, currently 3] for the method selected </t>
  </si>
  <si>
    <t xml:space="preserve">       Non-vascular non-insulin dependent</t>
  </si>
  <si>
    <t>O24.1</t>
  </si>
  <si>
    <t>JA63.1</t>
  </si>
  <si>
    <t>199230006</t>
  </si>
  <si>
    <t>History of diabetes in pregnancy only (Gestational diabetes)</t>
  </si>
  <si>
    <t>FP.DE.296</t>
  </si>
  <si>
    <t xml:space="preserve">       History of diabetes in pregnancy only (Gestational diabetes)</t>
  </si>
  <si>
    <t>O24.4</t>
  </si>
  <si>
    <t>11687002</t>
  </si>
  <si>
    <t>Diabetes &gt;20 years duration</t>
  </si>
  <si>
    <t>FP.DE.297</t>
  </si>
  <si>
    <t xml:space="preserve">       Diabetes &gt;20 years duration</t>
  </si>
  <si>
    <t xml:space="preserve">There's a "long duration" SNOMED-CT term 260384008 that could be combined with dx like diabetes or vascular disease; greater than 2 years- C148661 NCI code) </t>
  </si>
  <si>
    <t>Other vascular disease &gt;20 years duration</t>
  </si>
  <si>
    <t>FP.DE.298</t>
  </si>
  <si>
    <t>Patient.maritalStatus.coding.code</t>
  </si>
  <si>
    <t xml:space="preserve">       Other vascular disease &gt;20 years duration</t>
  </si>
  <si>
    <t>Nephropathy</t>
  </si>
  <si>
    <t>FP.DE.299</t>
  </si>
  <si>
    <t xml:space="preserve">       Nephropathy</t>
  </si>
  <si>
    <t>E14.2</t>
  </si>
  <si>
    <t>127013003</t>
  </si>
  <si>
    <t>Retinopathy</t>
  </si>
  <si>
    <t>FP.DE.300</t>
  </si>
  <si>
    <t xml:space="preserve">       Retinopathy</t>
  </si>
  <si>
    <t>E14.3</t>
  </si>
  <si>
    <t>4855003</t>
  </si>
  <si>
    <t>Neuropathy</t>
  </si>
  <si>
    <t>FP.DE.301</t>
  </si>
  <si>
    <t xml:space="preserve">       Neuropathy</t>
  </si>
  <si>
    <t>E14.4</t>
  </si>
  <si>
    <t xml:space="preserve">Select if the client is currently a smoker. </t>
  </si>
  <si>
    <t>Skip if Medical Eligibility &lt;[MEC do not use rating, currently 3] for method selected.
Skip if already selected during visit</t>
  </si>
  <si>
    <t>tob dependence x</t>
  </si>
  <si>
    <t>Z72.0</t>
  </si>
  <si>
    <t>110483000</t>
  </si>
  <si>
    <t>Client District</t>
  </si>
  <si>
    <t>Cigarettes smoked per day</t>
  </si>
  <si>
    <t>FP.DE.521</t>
  </si>
  <si>
    <t>Smoking category</t>
  </si>
  <si>
    <t>If the client smokes, indicate how heavily</t>
  </si>
  <si>
    <t>Include if "Smoker" = "True" and Medical Eligibility &gt;=[MEC do not use rating, currently 3] for method selected.
Skip if already selected during visit</t>
  </si>
  <si>
    <t>WHO-FP Observation (Smoking Status)</t>
  </si>
  <si>
    <t>No LOINC code available</t>
  </si>
  <si>
    <t>Reminder message consent</t>
  </si>
  <si>
    <t xml:space="preserve">       &lt;15 cigarettes per day</t>
  </si>
  <si>
    <t>Patient.reminder.consent</t>
  </si>
  <si>
    <t>FP.DE.287</t>
  </si>
  <si>
    <t>&lt;15 cigarettes per day</t>
  </si>
  <si>
    <t>There's a SNOMED-CT term 365982000 for Tobacco smoking consumption with options like "light smoker" (&lt;10/day) or "heavy smoker" (&gt;20/day), but no terms using 15 cigs/day as a threshhold.</t>
  </si>
  <si>
    <t>Observation.valueQuantity.value</t>
  </si>
  <si>
    <t xml:space="preserve">       &gt;= 15 cigarettes per day</t>
  </si>
  <si>
    <t>http ://loinc.org</t>
  </si>
  <si>
    <t>FP.DE.288</t>
  </si>
  <si>
    <t>&gt;= 15 cigarettes per day</t>
  </si>
  <si>
    <t>     8302-2  </t>
  </si>
  <si>
    <t>X ; first code that was populated is for measuring, not the value</t>
  </si>
  <si>
    <t>3141-9; USE 29463-7</t>
  </si>
  <si>
    <t>3141-9</t>
  </si>
  <si>
    <t>Whether client is experiencing headaches.</t>
  </si>
  <si>
    <t>Systolic blood pressure</t>
  </si>
  <si>
    <t>FP.DE.021</t>
  </si>
  <si>
    <t>The client's systolic blood pressure in mmHg at this visit.</t>
  </si>
  <si>
    <t>Include if MEC classification  &gt; [MEC okay to use rating, currently 2] for method selected.</t>
  </si>
  <si>
    <t>Add units mm[Hg] </t>
  </si>
  <si>
    <t>mm[Hg]</t>
  </si>
  <si>
    <t>http://hl7.org/fhir/StructureDefinition/bp</t>
  </si>
  <si>
    <t>230461009</t>
  </si>
  <si>
    <t>8480-6</t>
  </si>
  <si>
    <t>Headache category</t>
  </si>
  <si>
    <t>Diastolic blood pressure</t>
  </si>
  <si>
    <t>FP.DE.022</t>
  </si>
  <si>
    <t>The client's diastolic blood pressure in mmHg at this visit.</t>
  </si>
  <si>
    <t>FP.DE.522</t>
  </si>
  <si>
    <t>Type of headaches client is experiencing</t>
  </si>
  <si>
    <t>mm[Hg] </t>
  </si>
  <si>
    <t>Include if headaches = TRUE</t>
  </si>
  <si>
    <t>8462-4</t>
  </si>
  <si>
    <t>Parity</t>
  </si>
  <si>
    <t>11977-6</t>
  </si>
  <si>
    <t>162557AAAAAAAAAAAAAAAAAAAAAAAAAAAAAA</t>
  </si>
  <si>
    <t>Client experiences Non-migrainous headache</t>
  </si>
  <si>
    <t>FP.DE.282</t>
  </si>
  <si>
    <t>Non-migrainous</t>
  </si>
  <si>
    <t xml:space="preserve">       Non-migrainous</t>
  </si>
  <si>
    <t>G44.8</t>
  </si>
  <si>
    <t>Client experiences Migraine without aura</t>
  </si>
  <si>
    <t>FP.DE.283</t>
  </si>
  <si>
    <t>Pregnancy test is recommended based on guidelines</t>
  </si>
  <si>
    <t>Migraine without aura</t>
  </si>
  <si>
    <t>System generated answer from DL-Need for pregnancy test check</t>
  </si>
  <si>
    <t xml:space="preserve">       Migraine without aura</t>
  </si>
  <si>
    <t>? want overall category?</t>
  </si>
  <si>
    <t>G43.0</t>
  </si>
  <si>
    <t>56097005</t>
  </si>
  <si>
    <t>Pregnancy status at visit.</t>
  </si>
  <si>
    <t>Skip if Gender = Male, else required</t>
  </si>
  <si>
    <t>Client experiences Migraine with aura</t>
  </si>
  <si>
    <t>     82810-3  </t>
  </si>
  <si>
    <t>FP.DE.284</t>
  </si>
  <si>
    <t>Migraine with aura</t>
  </si>
  <si>
    <t xml:space="preserve">       Migraine with aura</t>
  </si>
  <si>
    <t>G43.1</t>
  </si>
  <si>
    <t>4473006</t>
  </si>
  <si>
    <t>HIV Status</t>
  </si>
  <si>
    <t>2.10.5 Screen for medical eligibility, 2.2 Capture or update client history</t>
  </si>
  <si>
    <t>ST.DE.037</t>
  </si>
  <si>
    <t>FP.DE.039</t>
  </si>
  <si>
    <t>Finding of human immunodeficiency virus status</t>
  </si>
  <si>
    <t>FP = C, ST = R</t>
  </si>
  <si>
    <t>WHO-Core Observation (HIV Status)</t>
  </si>
  <si>
    <t>278977008</t>
  </si>
  <si>
    <t xml:space="preserve">If Pregnant = "Unknown" AND Information source for pregnancy status is null, decision table for Not Pregnant Check is used. </t>
  </si>
  <si>
    <t>HIV Stage</t>
  </si>
  <si>
    <t>Information source for pregnancy status</t>
  </si>
  <si>
    <t>ST.DE.344</t>
  </si>
  <si>
    <t>FP.DE.523</t>
  </si>
  <si>
    <t>WHO HIV clinical stage</t>
  </si>
  <si>
    <t>Include if HIV Status = TRUE, Required during MEC check if MEC classification  &gt;   MEC okay to use rating, currently 2] for method selected</t>
  </si>
  <si>
    <t>FP.DE.056</t>
  </si>
  <si>
    <t xml:space="preserve">The source for the status, such as patient reported, laboratory, or point of care. </t>
  </si>
  <si>
    <t>MC - Select Multiple</t>
  </si>
  <si>
    <t>WHO-Core Observation (HIV Stage)</t>
  </si>
  <si>
    <t>Include if Pregnancy status is not null</t>
  </si>
  <si>
    <t>385354005</t>
  </si>
  <si>
    <t>45233-4</t>
  </si>
  <si>
    <t>     86643-4  </t>
  </si>
  <si>
    <t xml:space="preserve">       Urine Test</t>
  </si>
  <si>
    <t>Urine Test</t>
  </si>
  <si>
    <t>FP.DE.374</t>
  </si>
  <si>
    <t>Urine pregnancy test</t>
  </si>
  <si>
    <t>ST.DE.345</t>
  </si>
  <si>
    <t>FP.DE.579</t>
  </si>
  <si>
    <t>is this the test OR a positive result</t>
  </si>
  <si>
    <t>Asymptomatic HIV</t>
  </si>
  <si>
    <t>2106-3, 2112-1</t>
  </si>
  <si>
    <t>Required during MEC check if MEC classification  &gt;   MEC okay to use rating, currently 2] for method selected</t>
  </si>
  <si>
    <t>103415007</t>
  </si>
  <si>
    <t xml:space="preserve">
34926. MEDCIN</t>
  </si>
  <si>
    <t xml:space="preserve">       Blood Test</t>
  </si>
  <si>
    <t>Blood Test</t>
  </si>
  <si>
    <t>FP.DE.375</t>
  </si>
  <si>
    <t>Serum pregnancy test (B-HCG)</t>
  </si>
  <si>
    <t>same as urine;codes are different</t>
  </si>
  <si>
    <t>2118-8, 2110-5</t>
  </si>
  <si>
    <t xml:space="preserve">       Pregnancy checklist</t>
  </si>
  <si>
    <t>Pregnancy checklist</t>
  </si>
  <si>
    <t>FP.DE.376</t>
  </si>
  <si>
    <t>Pregnancy determined using pregnancy checklist and client history</t>
  </si>
  <si>
    <t xml:space="preserve">If Pregnancy status = "Unknown" decision table for Reasonably certain not pregnant" is used. Set by decision logic. </t>
  </si>
  <si>
    <t xml:space="preserve">Include here if the  decision logic was how pregnancy status was determined? </t>
  </si>
  <si>
    <t>2.2 Capture or update client history</t>
  </si>
  <si>
    <t>Narrower</t>
  </si>
  <si>
    <t>ST.DE.349</t>
  </si>
  <si>
    <t>FP.DE.580</t>
  </si>
  <si>
    <t>Mildly symptomatic HIV</t>
  </si>
  <si>
    <t xml:space="preserve">       Pregnancy test guidance</t>
  </si>
  <si>
    <t>Pregnancy test guidance</t>
  </si>
  <si>
    <t>FP.DE.559</t>
  </si>
  <si>
    <t>Pregnancy determined using guidance for pregnancy testing</t>
  </si>
  <si>
    <t>103416008</t>
  </si>
  <si>
    <t>34927 MEDCIN
10064447 MDR</t>
  </si>
  <si>
    <t>All pregnancy tests look at HCG levels and are highly sensitive. Needs clarification.</t>
  </si>
  <si>
    <t>ST.DE.350</t>
  </si>
  <si>
    <t>FP.DE.524</t>
  </si>
  <si>
    <t>Advanced HIV</t>
  </si>
  <si>
    <t>103417004</t>
  </si>
  <si>
    <t>34928 MEDCIN
10064448 MDR</t>
  </si>
  <si>
    <t>ST.DE.351</t>
  </si>
  <si>
    <t>FP.DE.525</t>
  </si>
  <si>
    <t>Advanced and severely symptomatic HIV</t>
  </si>
  <si>
    <t>     86646-7  </t>
  </si>
  <si>
    <t>Potential Modeling Change: This could have answers along with the question. The answers could be the LOINC or the SNOMED answers. SNOMED 68732003 = Non-virginal, 309842008 = Virgin</t>
  </si>
  <si>
    <t>103418009</t>
  </si>
  <si>
    <t>Date &lt;=today</t>
  </si>
  <si>
    <t xml:space="preserve">If Pregnancy status = unknown, needed for DL Reasonably certain not pregnant
</t>
  </si>
  <si>
    <t>Current ischemic heart disease</t>
  </si>
  <si>
    <t>FP.DE.447</t>
  </si>
  <si>
    <t>If the client has never previously used any modern contraceptive methods.</t>
  </si>
  <si>
    <t>FP.IN.001</t>
  </si>
  <si>
    <t>I25.9</t>
  </si>
  <si>
    <t xml:space="preserve">	
473387004</t>
  </si>
  <si>
    <t>BA5Z</t>
  </si>
  <si>
    <t>Reported use of method at intake</t>
  </si>
  <si>
    <t>History of ischemic heart disease</t>
  </si>
  <si>
    <t>FP.IN.002</t>
  </si>
  <si>
    <t>FP.DE.448</t>
  </si>
  <si>
    <t>     86649-1  </t>
  </si>
  <si>
    <t>399211009</t>
  </si>
  <si>
    <t>Stroke (history of cerebrovascular accident)</t>
  </si>
  <si>
    <t>Combined pill</t>
  </si>
  <si>
    <t>25133001</t>
  </si>
  <si>
    <t>Combined oral contraceptive - use</t>
  </si>
  <si>
    <t>Dyslipidemias</t>
  </si>
  <si>
    <t xml:space="preserve">       Contraceptive patch</t>
  </si>
  <si>
    <t>FP.DE.274</t>
  </si>
  <si>
    <t xml:space="preserve">Known dyslipidemias </t>
  </si>
  <si>
    <t xml:space="preserve">Uses a transdermal contraceptive patch </t>
  </si>
  <si>
    <t>E78.4</t>
  </si>
  <si>
    <t>5C80</t>
  </si>
  <si>
    <t>370992007</t>
  </si>
  <si>
    <t xml:space="preserve">       Contraceptive ring</t>
  </si>
  <si>
    <t>Uses vaginal hormone releasing ring</t>
  </si>
  <si>
    <t>Valvular heart disease</t>
  </si>
  <si>
    <t>FP.DE.275</t>
  </si>
  <si>
    <t>LA27911-9</t>
  </si>
  <si>
    <t>DMPA-IN</t>
  </si>
  <si>
    <t>368009</t>
  </si>
  <si>
    <t>Valvular heart disease category</t>
  </si>
  <si>
    <t>DMPA-SC</t>
  </si>
  <si>
    <t>FP.DE.276</t>
  </si>
  <si>
    <t>LA27921-8</t>
  </si>
  <si>
    <t xml:space="preserve">Complicated Valvular heart disease </t>
  </si>
  <si>
    <t>FP.DE.277</t>
  </si>
  <si>
    <t>Pulmonary hypertension, risk of atrial fibrillation, history of subacute bacterial endocarditis</t>
  </si>
  <si>
    <t>Complicated</t>
  </si>
  <si>
    <t>Progestogen-only pills</t>
  </si>
  <si>
    <t xml:space="preserve">       Complicated</t>
  </si>
  <si>
    <t>Complicated Valvular heart disease</t>
  </si>
  <si>
    <t>There's a SNOMED-CT term 368009 for "Heart valve disease", but I don't see a breakdown between complicated vs uncomplicated</t>
  </si>
  <si>
    <t xml:space="preserve">       Progestogen-only injectables</t>
  </si>
  <si>
    <t>Progestogen-only injectables</t>
  </si>
  <si>
    <t>FP.DE.389</t>
  </si>
  <si>
    <t>DMPA_NET-EN</t>
  </si>
  <si>
    <t>Uses progestogen-only injectables</t>
  </si>
  <si>
    <t xml:space="preserve">Uncomplicated Valvular heart disease </t>
  </si>
  <si>
    <t>FP.DE.278</t>
  </si>
  <si>
    <t>Norethisterone enanthate (NET-EN)</t>
  </si>
  <si>
    <t>Uncomplicated</t>
  </si>
  <si>
    <t>Uses norethisterone enanthate</t>
  </si>
  <si>
    <t xml:space="preserve">       Uncomplicated</t>
  </si>
  <si>
    <t>Uncomplicated Valvular heart disease</t>
  </si>
  <si>
    <t>Implants</t>
  </si>
  <si>
    <t>Subcutaneous contraceptive implant present (finding)</t>
  </si>
  <si>
    <t>Heart disease due to blocked or narrowed arteries</t>
  </si>
  <si>
    <t>FP.DE.218</t>
  </si>
  <si>
    <t xml:space="preserve">       Heart disease due to blocked or narrowed arteries</t>
  </si>
  <si>
    <t>414795007</t>
  </si>
  <si>
    <t>This is just another way of saying ischemic heart disease. Ischemia = lack of blood flow and lack of blood flow is caused by blocked or narrowed arteries.</t>
  </si>
  <si>
    <t xml:space="preserve">       Vasectomy</t>
  </si>
  <si>
    <t>Vasectomy</t>
  </si>
  <si>
    <t>Neurological category</t>
  </si>
  <si>
    <t>LA14534-4</t>
  </si>
  <si>
    <t>FP.DE.279</t>
  </si>
  <si>
    <t>Types of conditions that affect medical elibility, including migraines and depression.</t>
  </si>
  <si>
    <t xml:space="preserve">Required during MEC check if MEC classification  &gt;   MEC okay to use rating, currently 2] for method selected </t>
  </si>
  <si>
    <t>Copper IUD (Cu-IUD)</t>
  </si>
  <si>
    <t>Migraines</t>
  </si>
  <si>
    <t>FP.DE.437</t>
  </si>
  <si>
    <t xml:space="preserve">       Migraines</t>
  </si>
  <si>
    <t>G43.9</t>
  </si>
  <si>
    <t>37796009</t>
  </si>
  <si>
    <t xml:space="preserve">       Injectables</t>
  </si>
  <si>
    <t>Injectables</t>
  </si>
  <si>
    <t>Uses injectables</t>
  </si>
  <si>
    <t>FP.DE.280</t>
  </si>
  <si>
    <t>84757009</t>
  </si>
  <si>
    <t>FP.DE.398</t>
  </si>
  <si>
    <t>Uses vaginal ring</t>
  </si>
  <si>
    <t>Depressive disorders</t>
  </si>
  <si>
    <t>FP.DE.281</t>
  </si>
  <si>
    <t>35489007</t>
  </si>
  <si>
    <t>Male condom use</t>
  </si>
  <si>
    <t>Uses condoms</t>
  </si>
  <si>
    <t>Reproductive and tract infections or disorders</t>
  </si>
  <si>
    <t>FP.DE.449</t>
  </si>
  <si>
    <t>Required during MEC check if MEC classification &gt;   MEC okay to use rating, currently 2] for method selected</t>
  </si>
  <si>
    <t>Uses a female condom</t>
  </si>
  <si>
    <t>362968007</t>
  </si>
  <si>
    <t xml:space="preserve">       Diaphragm or cervical cap</t>
  </si>
  <si>
    <t>Diaphragm or cervical cap</t>
  </si>
  <si>
    <t>FP.DE.402</t>
  </si>
  <si>
    <t>Uses contraceptive diaphragm</t>
  </si>
  <si>
    <t>LA27913-5</t>
  </si>
  <si>
    <t>Gynaecologic problem identified</t>
  </si>
  <si>
    <t>FP.DE.241</t>
  </si>
  <si>
    <t xml:space="preserve">Whether a gynaecologic problem was identified during the visit, which may require a referral or follow up care. </t>
  </si>
  <si>
    <t>Selected practice recommendations</t>
  </si>
  <si>
    <t xml:space="preserve">       Spermicide</t>
  </si>
  <si>
    <t>Spermicide</t>
  </si>
  <si>
    <t>FP.DE.404</t>
  </si>
  <si>
    <t xml:space="preserve">
55607006 (SNOMED problem) </t>
  </si>
  <si>
    <t>Uses spermicidal contraception</t>
  </si>
  <si>
    <t>268466006</t>
  </si>
  <si>
    <t>LA27916-8</t>
  </si>
  <si>
    <t>162195AAAAAAAAAAAAAAAAAAAAAAAAAAAAAA</t>
  </si>
  <si>
    <t>Bleeding or blood clots after the procedure</t>
  </si>
  <si>
    <t xml:space="preserve">       Sponge</t>
  </si>
  <si>
    <t>Sponge</t>
  </si>
  <si>
    <t>FP.DE.213</t>
  </si>
  <si>
    <t>FP.DE.405</t>
  </si>
  <si>
    <t>Uses contraceptive sponge (finding)</t>
  </si>
  <si>
    <t xml:space="preserve">Uses a sponge </t>
  </si>
  <si>
    <t>LA27917-6</t>
  </si>
  <si>
    <t>724460004</t>
  </si>
  <si>
    <t>after WHAT procedure</t>
  </si>
  <si>
    <t>Fertility awareness-based methods</t>
  </si>
  <si>
    <t>Contraception based on fertility awareness</t>
  </si>
  <si>
    <t xml:space="preserve">Vaginal bleeding patterns </t>
  </si>
  <si>
    <t>FP.DE.450</t>
  </si>
  <si>
    <t>Lactational amenorrhea method</t>
  </si>
  <si>
    <t>Vaginal bleeding pattern Irregular</t>
  </si>
  <si>
    <t>Irregular</t>
  </si>
  <si>
    <t xml:space="preserve">       Irregular</t>
  </si>
  <si>
    <t>N93.9; N92.6</t>
  </si>
  <si>
    <t>80182007</t>
  </si>
  <si>
    <t>irregular menstrual bleeing (not vaginal bleeding per se)</t>
  </si>
  <si>
    <t>Heavy or prolonged vaginal bleeding - regular and irregular</t>
  </si>
  <si>
    <t>Heavy or prolonged bleeding (including regular and irregular)</t>
  </si>
  <si>
    <t>Include if Method at intake - reported = Injection AND [no data on injection date]</t>
  </si>
  <si>
    <t xml:space="preserve">       Heavy or prolonged bleeding (including regular and irregular)</t>
  </si>
  <si>
    <t>351814001</t>
  </si>
  <si>
    <t>metromenorrhagia-- ask SME if this mapping is ok</t>
  </si>
  <si>
    <t>Endometriosis</t>
  </si>
  <si>
    <t>FP.DE.452</t>
  </si>
  <si>
    <t>Include if Method at intake - reported = Implant AND [no data on insertion date]</t>
  </si>
  <si>
    <t>Required during MEC check if MEC classification &gt;   MEC okay to use rating, currently 2] for method selected, skip if gender = male</t>
  </si>
  <si>
    <t>N80.9; N80.0; N80.3;</t>
  </si>
  <si>
    <t>GA10</t>
  </si>
  <si>
    <t>129103003</t>
  </si>
  <si>
    <t>Include if Method at intake - reported = Cu-IUD OR LNG-IUD AND [no data on insertion date]</t>
  </si>
  <si>
    <t>Benign ovarian tumors (including cysts)</t>
  </si>
  <si>
    <t>FP.DE.453</t>
  </si>
  <si>
    <t xml:space="preserve">Skip if gender = male
Required during MEC check if MEC classification &gt;   MEC okay to use rating, currently 2] for method selected, </t>
  </si>
  <si>
    <t>N83.20; N83.29</t>
  </si>
  <si>
    <t>Include if Method at intake - reported = Sterilization AND [no data on sterilization date]</t>
  </si>
  <si>
    <t>Severe dysmenorrhea</t>
  </si>
  <si>
    <t>If not using a method, the reason for no contraceptive method use as reported at intake.</t>
  </si>
  <si>
    <t>FP.DE.454</t>
  </si>
  <si>
    <t xml:space="preserve">     86650-9  ; LOINC Panel ll4579-0 </t>
  </si>
  <si>
    <t>N94.6</t>
  </si>
  <si>
    <t>GA34.3</t>
  </si>
  <si>
    <t>266599000</t>
  </si>
  <si>
    <t>     86650-9  </t>
  </si>
  <si>
    <t>Gestational trophoblastic disease</t>
  </si>
  <si>
    <t>FP.DE.377</t>
  </si>
  <si>
    <t xml:space="preserve">Skip if gender = male
Skip if Number of pregnancies = 0
Required during MEC check if MEC classification &gt;   MEC okay to use rating, currently 2] for method selected, </t>
  </si>
  <si>
    <t>O01.0</t>
  </si>
  <si>
    <t>JA02.0</t>
  </si>
  <si>
    <t>416402001</t>
  </si>
  <si>
    <t>Gestational trophoblastic disease category</t>
  </si>
  <si>
    <t>FP.DE.455</t>
  </si>
  <si>
    <t xml:space="preserve">Include if FP.DE.377 Gestational trophoblastic disease = TRUE
Required during MEC check if MEC classification &gt;   MEC okay to use rating, currently 2] for method selected, </t>
  </si>
  <si>
    <t>no idea what this means</t>
  </si>
  <si>
    <t>Gestational trophoblastic disease - Decreasing or undetectable ß-hCG level</t>
  </si>
  <si>
    <t>FP.DE.456</t>
  </si>
  <si>
    <t>Decreasing or undetectable ß-hCG level</t>
  </si>
  <si>
    <t>Skip if gender != female, Required during MEC check if MEC classification &gt;   MEC okay to use rating, currently 2] for method selected</t>
  </si>
  <si>
    <t xml:space="preserve">       Decreasing or undetectable ß-hCG level</t>
  </si>
  <si>
    <t>o02.81; 631.0 (ICD9)</t>
  </si>
  <si>
    <t>260371004</t>
  </si>
  <si>
    <t>changein BHCG (May be going up not down); SNOMED_ Decreasing NOT BHCG</t>
  </si>
  <si>
    <t>Gestational trophoblastic disease - Persistently elevated ß-hCG levels or malignant disease</t>
  </si>
  <si>
    <t>FP.DE.457</t>
  </si>
  <si>
    <t>Persistently elevated ß-hCG levels or malignant disease</t>
  </si>
  <si>
    <t xml:space="preserve">       Persistently elevated ß-hCG levels or malignant disease</t>
  </si>
  <si>
    <t>40940006</t>
  </si>
  <si>
    <t>9789007-natural sterility</t>
  </si>
  <si>
    <t>SNOMED_- BHCG -no comment on level</t>
  </si>
  <si>
    <t>Cervical ectropion</t>
  </si>
  <si>
    <t>FP.DE.458</t>
  </si>
  <si>
    <t>N86</t>
  </si>
  <si>
    <t>Cervical neoplasia</t>
  </si>
  <si>
    <t>Whether client is postpartum.</t>
  </si>
  <si>
    <t>FP.DE.459</t>
  </si>
  <si>
    <t>CIN</t>
  </si>
  <si>
    <t>C53.0; C53.1; C53.9</t>
  </si>
  <si>
    <t>GA15.7</t>
  </si>
  <si>
    <t>285636001</t>
  </si>
  <si>
    <t>Cervical cancer awaiting treatment</t>
  </si>
  <si>
    <t>FP.DE.460</t>
  </si>
  <si>
    <t>Z03.1</t>
  </si>
  <si>
    <t>QA02.2</t>
  </si>
  <si>
    <t>315266007</t>
  </si>
  <si>
    <t>MC - Select multiple</t>
  </si>
  <si>
    <t>Breast disease</t>
  </si>
  <si>
    <t>FP.DE.462</t>
  </si>
  <si>
    <t xml:space="preserve">       Lactating</t>
  </si>
  <si>
    <t>Currently lactating</t>
  </si>
  <si>
    <t>79604008</t>
  </si>
  <si>
    <t>nonspecific</t>
  </si>
  <si>
    <t>la29252-6</t>
  </si>
  <si>
    <t>Breast Disease - Undiagnosed mass</t>
  </si>
  <si>
    <t>FP.DE.463</t>
  </si>
  <si>
    <t>Undiagnosed mass</t>
  </si>
  <si>
    <t xml:space="preserve">       Undiagnosed mass</t>
  </si>
  <si>
    <t>89164003</t>
  </si>
  <si>
    <t>breast mass</t>
  </si>
  <si>
    <t>Breast Disease - Benign breast disease</t>
  </si>
  <si>
    <t>FP.DE.464</t>
  </si>
  <si>
    <t>Benign breast disease</t>
  </si>
  <si>
    <t xml:space="preserve">       Benign breast disease</t>
  </si>
  <si>
    <t>419307005</t>
  </si>
  <si>
    <t>Family history of cancer</t>
  </si>
  <si>
    <t>FP.DE.466</t>
  </si>
  <si>
    <t xml:space="preserve">       Family history of cancer</t>
  </si>
  <si>
    <t>429740004</t>
  </si>
  <si>
    <t>breast cancer</t>
  </si>
  <si>
    <t>Breast cancer</t>
  </si>
  <si>
    <t>FP.DE.467</t>
  </si>
  <si>
    <t>Include if FP.DE.467 Breast Cancer = TRUE, Required during MEC check if MEC classification &gt;   MEC okay to use rating, currently 2] for method selected</t>
  </si>
  <si>
    <t>D05.9</t>
  </si>
  <si>
    <t>2E+65</t>
  </si>
  <si>
    <t>254837009</t>
  </si>
  <si>
    <t>LA14272-1; LA 14668-0 (SAB and TAB different</t>
  </si>
  <si>
    <t>Breast cancer - Current</t>
  </si>
  <si>
    <t>FP.DE.468</t>
  </si>
  <si>
    <t>Current</t>
  </si>
  <si>
    <t xml:space="preserve">       Current</t>
  </si>
  <si>
    <t>N64.9</t>
  </si>
  <si>
    <t>disorder instead od disease</t>
  </si>
  <si>
    <t>Include if FP.DE.032 Recent miscarriage or abortion = TRUE and required for DL MEC</t>
  </si>
  <si>
    <t>abortion or SAB plus date; or just use what is below</t>
  </si>
  <si>
    <t>Breast cancer - Past, no evidence of disease for at least 5 years</t>
  </si>
  <si>
    <t>FP.DE.469</t>
  </si>
  <si>
    <t>Past, no evidence of disease for at least 5 years</t>
  </si>
  <si>
    <t xml:space="preserve">       Past, no evidence of disease for at least 5 years</t>
  </si>
  <si>
    <t>z85.3 plus 5 years</t>
  </si>
  <si>
    <t>255246003</t>
  </si>
  <si>
    <t>Endometrial cancer</t>
  </si>
  <si>
    <t>FP.DE.470</t>
  </si>
  <si>
    <t>59466002</t>
  </si>
  <si>
    <t>x; may need to include cancer of myometrium/all uterus; need to ask</t>
  </si>
  <si>
    <t>C54.1</t>
  </si>
  <si>
    <t>Ovarian cancer</t>
  </si>
  <si>
    <t>FP.DE.471</t>
  </si>
  <si>
    <t>41587001</t>
  </si>
  <si>
    <t>363443007</t>
  </si>
  <si>
    <t>Include if pregnancy status = unknown, used by DL Reasonably certain not pregnant
Require if Problems with use =TRUE and Missed pills = TRUE (in Missed pills or late injection Decision Logic)</t>
  </si>
  <si>
    <t>Uterine fibroids</t>
  </si>
  <si>
    <t>Today &gt; (Start date of last normal menses + X days</t>
  </si>
  <si>
    <t>FP.DE.472</t>
  </si>
  <si>
    <t xml:space="preserve">161780009; abnormal menstrual sycle; 42131003; 84292000 (menstrual period late) </t>
  </si>
  <si>
    <t xml:space="preserve">       Uterine fibroids</t>
  </si>
  <si>
    <t>check this;l i think that it is d25.9 icd</t>
  </si>
  <si>
    <t>JA84.1</t>
  </si>
  <si>
    <t>35746009</t>
  </si>
  <si>
    <t>Uterine fibroids - Without distortion of the uterine cavity</t>
  </si>
  <si>
    <t>FP.DE.473</t>
  </si>
  <si>
    <t>Without distortion of the uterine cavity</t>
  </si>
  <si>
    <t>day plus menses</t>
  </si>
  <si>
    <t xml:space="preserve">       Without distortion of the uterine cavity</t>
  </si>
  <si>
    <t>D25</t>
  </si>
  <si>
    <t>Uterine fibroids - With distortion of the uterine cavity</t>
  </si>
  <si>
    <t>FP.DE.474</t>
  </si>
  <si>
    <t>With distortion of the uterine cavity</t>
  </si>
  <si>
    <t xml:space="preserve">       With distortion of the uterine cavity</t>
  </si>
  <si>
    <t xml:space="preserve">
95315005;44598004</t>
  </si>
  <si>
    <t>snomed- no comment on distortion</t>
  </si>
  <si>
    <t>Anatomical abnormalities</t>
  </si>
  <si>
    <t>FP.DE.475</t>
  </si>
  <si>
    <t>True/False for distorted uterine cavity</t>
  </si>
  <si>
    <t>: N85.8</t>
  </si>
  <si>
    <t xml:space="preserve">       Distorted uterine cavity</t>
  </si>
  <si>
    <t>Perform pregnancy test</t>
  </si>
  <si>
    <t>FP.DE.476</t>
  </si>
  <si>
    <t>System generated value on if a pregnancy test is needed, based on checklist answers and guidance</t>
  </si>
  <si>
    <t>Distorted uterine cavity</t>
  </si>
  <si>
    <t>20967005</t>
  </si>
  <si>
    <t>Decided to use distortion vs. a more specific term given context of question</t>
  </si>
  <si>
    <t xml:space="preserve">       Other abnormalities</t>
  </si>
  <si>
    <t>FP.DE.477</t>
  </si>
  <si>
    <t>Other abnormalities not distorting the uterine cavity or interfering with IUD insertion (including cervical stenosis or lacerations)</t>
  </si>
  <si>
    <t xml:space="preserve">       Other abnormalities not distorting the uterine cavity or interfering with IUD insertion (including cervical stenosis or lacerations)</t>
  </si>
  <si>
    <t>118956008</t>
  </si>
  <si>
    <t>Regular periods</t>
  </si>
  <si>
    <t>FP.DE.036</t>
  </si>
  <si>
    <t>Finding of regularity of menstrual cycle</t>
  </si>
  <si>
    <t>Pelvic inflammatory disease (PID)</t>
  </si>
  <si>
    <t>302757007; 78456001; 282027006 (normal period)</t>
  </si>
  <si>
    <t>160600AAAAAAAAAAAAAAAAAAAAAAAAAAAAAA</t>
  </si>
  <si>
    <t>FP.DE.237</t>
  </si>
  <si>
    <t>What about if there are risk factors for STIs?</t>
  </si>
  <si>
    <t>Excessive bleeding</t>
  </si>
  <si>
    <t>FP.DE.037</t>
  </si>
  <si>
    <t>Excessive bleeding during menstruation.</t>
  </si>
  <si>
    <t>N73.9</t>
  </si>
  <si>
    <t>GA05</t>
  </si>
  <si>
    <t>198130006</t>
  </si>
  <si>
    <t>N92.0</t>
  </si>
  <si>
    <t>GA20</t>
  </si>
  <si>
    <t>History of pelvic inflammation</t>
  </si>
  <si>
    <t>FP.DE.478</t>
  </si>
  <si>
    <t>History of</t>
  </si>
  <si>
    <t>Include if Pelvic Inflammatory Disease  = TRUE and Required during MEC check if MEC classification &gt;   MEC okay to use rating, currently 2] for method selected</t>
  </si>
  <si>
    <t xml:space="preserve">       History of</t>
  </si>
  <si>
    <t>Current pelvic inflammation</t>
  </si>
  <si>
    <t>FP.DE.479</t>
  </si>
  <si>
    <t xml:space="preserve">Current </t>
  </si>
  <si>
    <t xml:space="preserve">       Current </t>
  </si>
  <si>
    <t>Sexually transmitted infections (STIs)</t>
  </si>
  <si>
    <t>FP.DE.238</t>
  </si>
  <si>
    <t>STI</t>
  </si>
  <si>
    <t>373066001 ( 3 months); 373066001 (12 months)</t>
  </si>
  <si>
    <t>86647-5 ( oast three months); last 12 months (86648-3)</t>
  </si>
  <si>
    <t>Risk assessment conducted</t>
  </si>
  <si>
    <t>FP.DE.042</t>
  </si>
  <si>
    <t>Whether or not a risk assessment was conducted.</t>
  </si>
  <si>
    <t>for what? STI? pregnancy?</t>
  </si>
  <si>
    <t>Current gonorrhea</t>
  </si>
  <si>
    <t>FP.DE.480</t>
  </si>
  <si>
    <t>STI risk assessment factors</t>
  </si>
  <si>
    <t>FP.DE.043</t>
  </si>
  <si>
    <t>STI risk factors relevant to the population (e.g., sexually active, new partner in the past three months, partner has an STI, etc.)</t>
  </si>
  <si>
    <t xml:space="preserve">       Current gonorrhea</t>
  </si>
  <si>
    <t xml:space="preserve">This is a list of values which is country-specific. </t>
  </si>
  <si>
    <t>A54.9</t>
  </si>
  <si>
    <t>1A7Z</t>
  </si>
  <si>
    <t>15628003</t>
  </si>
  <si>
    <t>what are the risk factors</t>
  </si>
  <si>
    <t>Current chlamydia</t>
  </si>
  <si>
    <t>FP.DE.481</t>
  </si>
  <si>
    <t xml:space="preserve">       Current chlamydia</t>
  </si>
  <si>
    <t>A74.9</t>
  </si>
  <si>
    <t>1C2Z</t>
  </si>
  <si>
    <t>16241000</t>
  </si>
  <si>
    <t>Condition.code.coding.code</t>
  </si>
  <si>
    <t>Condition.category.coding.code = "problem-list-item"</t>
  </si>
  <si>
    <t>http://snomed.info/sct</t>
  </si>
  <si>
    <t>Current purulent cervicitis</t>
  </si>
  <si>
    <t>FP.DE.482</t>
  </si>
  <si>
    <t xml:space="preserve">       Current purulent cervicitis</t>
  </si>
  <si>
    <t>n72(non venereal); a56.09; a54.03; a59.09</t>
  </si>
  <si>
    <t>needs a value set</t>
  </si>
  <si>
    <t>Other STIs (excluding HIV and hepatitis)</t>
  </si>
  <si>
    <t>FP.DE.483</t>
  </si>
  <si>
    <t xml:space="preserve">       Other STIs (excluding HIV and hepatitis)</t>
  </si>
  <si>
    <t>A64</t>
  </si>
  <si>
    <t>Z30.0 (OK)</t>
  </si>
  <si>
    <t>Vaginitis (including trichomonas and bacterial vaginosis)</t>
  </si>
  <si>
    <t>Vaginitis (including trichomonas vaginalis and bacterial vaginosis)</t>
  </si>
  <si>
    <t>Gender = Female</t>
  </si>
  <si>
    <t>Skip if gender = male, Required during MEC check if MEC classification &gt;   MEC okay to use rating, currently 2] for method selected</t>
  </si>
  <si>
    <t xml:space="preserve">       Vaginitis (including trichomonas vaginalis and bacterial vaginosis)</t>
  </si>
  <si>
    <t>x; acute</t>
  </si>
  <si>
    <t>N76.0</t>
  </si>
  <si>
    <t>30800001</t>
  </si>
  <si>
    <t>FP.IN.003</t>
  </si>
  <si>
    <t>Z30.01 (OK)</t>
  </si>
  <si>
    <t>Header - Increased risk of STIs</t>
  </si>
  <si>
    <t>Contraceptive management</t>
  </si>
  <si>
    <t>FP.DE.044</t>
  </si>
  <si>
    <t>Increased risk of STIs</t>
  </si>
  <si>
    <t>Identified at a high risk for STIs based on a risk assessment.</t>
  </si>
  <si>
    <t>use high risk sexual behavior</t>
  </si>
  <si>
    <t>Z72.5; Z72.51; Z72.52; Z72.53</t>
  </si>
  <si>
    <t xml:space="preserve">Z30.012 (OK) </t>
  </si>
  <si>
    <t xml:space="preserve">High likelihood of gonorrhoea </t>
  </si>
  <si>
    <t>FP.DE.484</t>
  </si>
  <si>
    <t xml:space="preserve">       High likelihood of gonorrhoea </t>
  </si>
  <si>
    <t>FP.IN.014</t>
  </si>
  <si>
    <t>High likelihood of chlamydia</t>
  </si>
  <si>
    <t>Z30.46 (OK)</t>
  </si>
  <si>
    <t>FP.DE.485</t>
  </si>
  <si>
    <t xml:space="preserve">       High likelihood of chlamydia</t>
  </si>
  <si>
    <t xml:space="preserve">Z30.432 (OK) </t>
  </si>
  <si>
    <t>FP.DE.486</t>
  </si>
  <si>
    <t>maybe use high risk sexual behavior</t>
  </si>
  <si>
    <t>Z71.7</t>
  </si>
  <si>
    <t>19030005</t>
  </si>
  <si>
    <t>needs value set</t>
  </si>
  <si>
    <t>Observation.value[x].valueCodeableConcept.coding.code</t>
  </si>
  <si>
    <t>double check for loinc code</t>
  </si>
  <si>
    <t xml:space="preserve">       Abstinence    </t>
  </si>
  <si>
    <t>Abstinence    </t>
  </si>
  <si>
    <t>High risk of HIV</t>
  </si>
  <si>
    <t>Voluntarily refraining from sexual intercourse</t>
  </si>
  <si>
    <t>FP.DE.487</t>
  </si>
  <si>
    <t xml:space="preserve">       Side effects of contraception</t>
  </si>
  <si>
    <t>Side effects of contraception</t>
  </si>
  <si>
    <t xml:space="preserve">       High risk of HIV</t>
  </si>
  <si>
    <t>z72.51</t>
  </si>
  <si>
    <t>723509005</t>
  </si>
  <si>
    <t>sNOMED high risk (not HIV) ; ICD10 high risk hetero-- needs value set for all high risk behavior</t>
  </si>
  <si>
    <t>t38.4x5a</t>
  </si>
  <si>
    <t>Other Reproductive Tract Infection</t>
  </si>
  <si>
    <t>FP.DE.488</t>
  </si>
  <si>
    <t>ST.DE.360</t>
  </si>
  <si>
    <t>UTI</t>
  </si>
  <si>
    <t>N39.0</t>
  </si>
  <si>
    <t>MC - Multiple Choice</t>
  </si>
  <si>
    <t>ST.2 Consultation</t>
  </si>
  <si>
    <t>Schistosomiasis</t>
  </si>
  <si>
    <t>FP.DE.489</t>
  </si>
  <si>
    <t>B65.9</t>
  </si>
  <si>
    <t>1F86</t>
  </si>
  <si>
    <t>10087007</t>
  </si>
  <si>
    <t>Schistosomiasis - Uncomplicated</t>
  </si>
  <si>
    <t>FP.DE.490</t>
  </si>
  <si>
    <t>No term for "uncomplicated" schistosomiasis. If that's important, they'll need a new term.</t>
  </si>
  <si>
    <t>Schistosomiasis - Fibrosis of liver</t>
  </si>
  <si>
    <t>FP.DE.491</t>
  </si>
  <si>
    <t>Fibrosis of liver</t>
  </si>
  <si>
    <t xml:space="preserve">       Fibrosis of liver</t>
  </si>
  <si>
    <t>240792005</t>
  </si>
  <si>
    <t>Fibrosis of the liver from schistosomiasis is called "Symmer's pipestem fibrosis" and that is what I mapped to here. There is a SNOMED 240789006 or 90753004 that refer to schistosomiasis involving the liver (not necessarily fibrosis)</t>
  </si>
  <si>
    <t>Tuberculosis</t>
  </si>
  <si>
    <t>FP.DE.492</t>
  </si>
  <si>
    <t xml:space="preserve">active or history of? </t>
  </si>
  <si>
    <t>56717001</t>
  </si>
  <si>
    <t>UMLS maps "Personal history of TB" to Z86.11; however, I don't see this in WHO's ICD10 browser.</t>
  </si>
  <si>
    <t>Tuberculosis - Non-pelvic</t>
  </si>
  <si>
    <t>FP.DE.493</t>
  </si>
  <si>
    <t>Non-pelvic</t>
  </si>
  <si>
    <t xml:space="preserve">       Non-pelvic</t>
  </si>
  <si>
    <t>There are codes for TB and pelvic TB, but no code for "anything but pelvic TB".</t>
  </si>
  <si>
    <t>Tuberculosis - Known pelvic</t>
  </si>
  <si>
    <t>FP.DE.494</t>
  </si>
  <si>
    <t>Female tuberculous pelvic inflammatory disease (disorder)</t>
  </si>
  <si>
    <t>Known pelvic</t>
  </si>
  <si>
    <t xml:space="preserve">n93 (abn bleeding) </t>
  </si>
  <si>
    <t xml:space="preserve">       Known pelvic</t>
  </si>
  <si>
    <t>203271005</t>
  </si>
  <si>
    <t>Malaria</t>
  </si>
  <si>
    <t>FP.DE.495</t>
  </si>
  <si>
    <t>B54</t>
  </si>
  <si>
    <t>1F4Z</t>
  </si>
  <si>
    <t>61462000</t>
  </si>
  <si>
    <t>Infection at the puncture or incision site</t>
  </si>
  <si>
    <t>FP.DE.217</t>
  </si>
  <si>
    <t xml:space="preserve">       Infection at the puncture or incision site</t>
  </si>
  <si>
    <t>58126003</t>
  </si>
  <si>
    <t>Certain serious health conditions</t>
  </si>
  <si>
    <t>FP.DE.221</t>
  </si>
  <si>
    <t xml:space="preserve">       Certain serious health conditions</t>
  </si>
  <si>
    <t>715949008</t>
  </si>
  <si>
    <t>Circumstances that will keep from walking for one week or more</t>
  </si>
  <si>
    <t>FP.DE.222</t>
  </si>
  <si>
    <t>Circumstances that will keep her from walking for one week or more</t>
  </si>
  <si>
    <t>r10.30</t>
  </si>
  <si>
    <t xml:space="preserve">       Circumstances that will keep her from walking for one week or more</t>
  </si>
  <si>
    <t>R26.2</t>
  </si>
  <si>
    <t>719232003</t>
  </si>
  <si>
    <t>Mapped to "Difficulty walking". Not an exact match, but a new term would be needed for such a specific term.</t>
  </si>
  <si>
    <t xml:space="preserve">? abscess? where? </t>
  </si>
  <si>
    <t>Thyroid disorders</t>
  </si>
  <si>
    <t>FP.DE.497</t>
  </si>
  <si>
    <t>Disorder of thyroid gland</t>
  </si>
  <si>
    <t xml:space="preserve">       Thyroid disorders</t>
  </si>
  <si>
    <t>12275-4 yeast by wet prp</t>
  </si>
  <si>
    <t>14304000</t>
  </si>
  <si>
    <t>275536003</t>
  </si>
  <si>
    <t>Thyroid disorder category</t>
  </si>
  <si>
    <t>FP.DE.302</t>
  </si>
  <si>
    <t xml:space="preserve">n76.0; n77.1; b969 messy) </t>
  </si>
  <si>
    <t>Thyroid disored category</t>
  </si>
  <si>
    <t>Include if thyroid disorders = TRUE for method selected and Medical Eligibility &gt;[MEC okay to use rating, currently 2] for the method selected</t>
  </si>
  <si>
    <t>A48.3; messy</t>
  </si>
  <si>
    <t>Simple goiter</t>
  </si>
  <si>
    <t>FP.DE.303</t>
  </si>
  <si>
    <t>Client has been diagnosed with a simple goiter</t>
  </si>
  <si>
    <t xml:space="preserve">       Simple goiter</t>
  </si>
  <si>
    <t>267369002</t>
  </si>
  <si>
    <t>Hyperthyroid</t>
  </si>
  <si>
    <t>FP.DE.304</t>
  </si>
  <si>
    <t>Client has been diagnosed as hyperthyroid</t>
  </si>
  <si>
    <t xml:space="preserve">       Hyperthyroid</t>
  </si>
  <si>
    <t>E05.5</t>
  </si>
  <si>
    <t>5A02.5</t>
  </si>
  <si>
    <t>34486009</t>
  </si>
  <si>
    <t>Hypothyroid</t>
  </si>
  <si>
    <t>FP.DE.305</t>
  </si>
  <si>
    <t>Client has been diagnosed as hypothyroid</t>
  </si>
  <si>
    <t xml:space="preserve">       Hypothyroid</t>
  </si>
  <si>
    <t>E03.9</t>
  </si>
  <si>
    <t>5A00</t>
  </si>
  <si>
    <t>40930008</t>
  </si>
  <si>
    <t>Gastrointestinal conditions</t>
  </si>
  <si>
    <t>FP.DE.306</t>
  </si>
  <si>
    <t>Client has been diagnosed with a gastrointestinal condition</t>
  </si>
  <si>
    <t>Others</t>
  </si>
  <si>
    <t>Gallbladder disease</t>
  </si>
  <si>
    <t>FP.DE.307</t>
  </si>
  <si>
    <t>Client has a history of gallbladder disease</t>
  </si>
  <si>
    <t>Required during MEC check if MEC classification &gt;=   MEC okay to use rating, currently 2] for method selected and categories</t>
  </si>
  <si>
    <t xml:space="preserve">       Gallbladder disease</t>
  </si>
  <si>
    <t xml:space="preserve">275550008; 39621005 </t>
  </si>
  <si>
    <t>History of cholestasis</t>
  </si>
  <si>
    <t>n98.9</t>
  </si>
  <si>
    <t>FP.DE.308</t>
  </si>
  <si>
    <t>Client has a history of History of cholestasis</t>
  </si>
  <si>
    <t xml:space="preserve">       History of cholestasis</t>
  </si>
  <si>
    <t>K83.1</t>
  </si>
  <si>
    <t>DC10.02</t>
  </si>
  <si>
    <t>33688009</t>
  </si>
  <si>
    <t>Viral hepatitis</t>
  </si>
  <si>
    <t>FP.DE.309</t>
  </si>
  <si>
    <t>Client has a history of Viral hepatitis</t>
  </si>
  <si>
    <t>same as 1409</t>
  </si>
  <si>
    <t xml:space="preserve">       Viral hepatitis</t>
  </si>
  <si>
    <t>B19.9</t>
  </si>
  <si>
    <t>1E5Z</t>
  </si>
  <si>
    <t>111896003</t>
  </si>
  <si>
    <t>Include if issues and concerns = TRUE 
AND current method = COCs or POPs or female condom or diaphragm</t>
  </si>
  <si>
    <t>Z32.0 (evaluation for PG)</t>
  </si>
  <si>
    <t>Cirrhosis</t>
  </si>
  <si>
    <t>FP.DE.310</t>
  </si>
  <si>
    <t>Cirrhosis of liver (disorder)</t>
  </si>
  <si>
    <t xml:space="preserve">       Cirrhosis</t>
  </si>
  <si>
    <t>19943007</t>
  </si>
  <si>
    <t>Liver tumors</t>
  </si>
  <si>
    <t>FP.DE.312</t>
  </si>
  <si>
    <t>Client has a history of liver tumors</t>
  </si>
  <si>
    <t xml:space="preserve">       Liver tumors</t>
  </si>
  <si>
    <t>300332007</t>
  </si>
  <si>
    <t>Header - Gallbladder disease</t>
  </si>
  <si>
    <t>FP.DE.313</t>
  </si>
  <si>
    <t>? due to medicationl use G44.40</t>
  </si>
  <si>
    <t>If gallbladder disease = TRUE and contraindicated for method in MEC and Condition = TRUE</t>
  </si>
  <si>
    <t>Symptomatic Gallbladder disease (Treated by cholecystectomy)</t>
  </si>
  <si>
    <t>FP.DE.314</t>
  </si>
  <si>
    <t>Client has symptomatic gallbladder disease treated by cholecystectomy</t>
  </si>
  <si>
    <t>Symptomatic (Treated by cholecystectomy)</t>
  </si>
  <si>
    <t xml:space="preserve">       Symptomatic (Treated by cholecystectomy)</t>
  </si>
  <si>
    <t>Z90.4</t>
  </si>
  <si>
    <t>38102005</t>
  </si>
  <si>
    <t>ICD10 Z90.4 is less exact. SNOMED 38102005 is s/p cholecystectomy (which is more precise).</t>
  </si>
  <si>
    <t>Symptomatic Gallbladder disease (Medically treated)</t>
  </si>
  <si>
    <t>FP.DE.315</t>
  </si>
  <si>
    <t>Client has symptomatic gallbladder disease that is being treated medically</t>
  </si>
  <si>
    <t>Symptomatic (Medically treated)</t>
  </si>
  <si>
    <t xml:space="preserve">       Symptomatic (Medically treated)</t>
  </si>
  <si>
    <t>K82.9</t>
  </si>
  <si>
    <t>39621005</t>
  </si>
  <si>
    <t>FP.DE.446</t>
  </si>
  <si>
    <t>Include if Problems with use =TRUE and Missed pills = TRUE in Missed pills or late injection Decision Logic and Method at intake = [Oral contraception]</t>
  </si>
  <si>
    <t>Gallbladder disease - Current symptoms</t>
  </si>
  <si>
    <t>FP.DE.316</t>
  </si>
  <si>
    <t>Client has gallbladder disease and is currently experiencing symptoms</t>
  </si>
  <si>
    <t>Current symptoms</t>
  </si>
  <si>
    <t xml:space="preserve">       Current symptoms</t>
  </si>
  <si>
    <t>102628000</t>
  </si>
  <si>
    <t>Gallbladder disease - No symptoms</t>
  </si>
  <si>
    <t>FP.DE.317</t>
  </si>
  <si>
    <t>Client has asymptomatic gallbladder disease</t>
  </si>
  <si>
    <t>No symptoms</t>
  </si>
  <si>
    <t>Calculation: Today - FP.DE.035 Start date of last normal menses / 7 rounded to the nearest integer</t>
  </si>
  <si>
    <t xml:space="preserve">       No symptoms</t>
  </si>
  <si>
    <t>K80.2</t>
  </si>
  <si>
    <t>Gallbladder disease - Symptomatic</t>
  </si>
  <si>
    <t>FP.DE.498</t>
  </si>
  <si>
    <t>Client has symptomatic gallbladder disease</t>
  </si>
  <si>
    <t>Symptomatic</t>
  </si>
  <si>
    <t xml:space="preserve">       Symptomatic</t>
  </si>
  <si>
    <t>37389005</t>
  </si>
  <si>
    <t>1068AAAAAAAAAAAAAAAAAAAAAAAAAAAAAAAA</t>
  </si>
  <si>
    <t xml:space="preserve">History of cholestasis </t>
  </si>
  <si>
    <t xml:space="preserve">Calculation: Weeks since last injection = Today - Date of injection / 7 </t>
  </si>
  <si>
    <t>FP.DE.318</t>
  </si>
  <si>
    <t>Client has a history of cholestasis</t>
  </si>
  <si>
    <t>Include if history of cholestasis = TRUE and Required during MEC check if MEC classification &gt;   MEC okay to use rating, currently 2] for method selected</t>
  </si>
  <si>
    <t>Indicate if the client if the client has had more than one injection before, as side effects may go down.</t>
  </si>
  <si>
    <t>145618AAAAAAAAAAAAAAAAAAAAAAAAAAAAAA</t>
  </si>
  <si>
    <t>History of cholestasis - Pregnancy-related</t>
  </si>
  <si>
    <t>FP.DE.319</t>
  </si>
  <si>
    <t>Client has a history of pregnancy-related cholestasis</t>
  </si>
  <si>
    <t>Pregnancy-related</t>
  </si>
  <si>
    <t xml:space="preserve">       Pregnancy-related</t>
  </si>
  <si>
    <t>235888006</t>
  </si>
  <si>
    <t>"Required if postpartum = TRUE and MEC classification  &gt; [MEC okay to use rating, currently 2] for method selected."</t>
  </si>
  <si>
    <t>History of cholestasis - Combined oral contraceptive-related</t>
  </si>
  <si>
    <t>Required if Unable to measure blood pressure = TRUE
and MEC classification  &gt; [MEC okay to use rating, currently 2] for method selected.</t>
  </si>
  <si>
    <t>FP.DE.320</t>
  </si>
  <si>
    <t>Client has a history of cholestasis related to combined oral contraceptives</t>
  </si>
  <si>
    <t>Past combined oral contraceptives-related</t>
  </si>
  <si>
    <t>Unable to measure blood pressure</t>
  </si>
  <si>
    <t xml:space="preserve">       Past combined oral contraceptives-related</t>
  </si>
  <si>
    <t>FP.DE.023</t>
  </si>
  <si>
    <t>Document if blood pressure cannot be taken.</t>
  </si>
  <si>
    <t xml:space="preserve">O26.619 </t>
  </si>
  <si>
    <t>83864008</t>
  </si>
  <si>
    <t>Required during MEC check if MEC classification  &gt; [MEC okay to use rating, currently 2] for method selected 
AND
Systolic blood pressure and Diastolic blood pressure are null.</t>
  </si>
  <si>
    <t>MEC app</t>
  </si>
  <si>
    <t>Physical Examination</t>
  </si>
  <si>
    <t>Header - Viral hepatitis</t>
  </si>
  <si>
    <t>FP.DE.499</t>
  </si>
  <si>
    <t>Whether a physical exam was conducted during the visit.</t>
  </si>
  <si>
    <t>Optional selection for providers for continuing users, during issues and concerns. 
Required if FP.DE.257 Pelvic/genital examination needed = TRUE in Exams and Tests Decision Logic, 
else optional</t>
  </si>
  <si>
    <t>FP.DE.321</t>
  </si>
  <si>
    <t>Client has viral hepatitis</t>
  </si>
  <si>
    <t>Required if contraindicated for method in MEC and Condition = TRUE</t>
  </si>
  <si>
    <t xml:space="preserve">       Routine laboratory tests</t>
  </si>
  <si>
    <t>Routine laboratory tests</t>
  </si>
  <si>
    <t>FP.DE.259</t>
  </si>
  <si>
    <t xml:space="preserve">Conditional based on availability </t>
  </si>
  <si>
    <t>B19</t>
  </si>
  <si>
    <t>Breast Exam</t>
  </si>
  <si>
    <t>FP.DE.256</t>
  </si>
  <si>
    <t>Breast exam conducted during the visit.</t>
  </si>
  <si>
    <t>Viral hepatitis - Acute or flare</t>
  </si>
  <si>
    <t>FP.DE.322</t>
  </si>
  <si>
    <t>Client has acute or flare viral hepatitis</t>
  </si>
  <si>
    <t xml:space="preserve">Included in Exams and Tests table, but not required or listed as desirable for any method. </t>
  </si>
  <si>
    <t>Acute or flare</t>
  </si>
  <si>
    <t>assume manual exam; is this self or other medical provider.  x</t>
  </si>
  <si>
    <t>271886009; should be 13607009; manual self exam 409979009</t>
  </si>
  <si>
    <t xml:space="preserve">       Acute or flare</t>
  </si>
  <si>
    <t>B17.9</t>
  </si>
  <si>
    <t>1E+50</t>
  </si>
  <si>
    <t>57412004</t>
  </si>
  <si>
    <t>271886009</t>
  </si>
  <si>
    <t>Viral hepatitis - Carrier</t>
  </si>
  <si>
    <t>FP.DE.323</t>
  </si>
  <si>
    <t>Client is a carrier of viral hepatitis</t>
  </si>
  <si>
    <t>Carrier</t>
  </si>
  <si>
    <t>Procedure.status = not-done</t>
  </si>
  <si>
    <t xml:space="preserve">       Carrier</t>
  </si>
  <si>
    <t>17621005</t>
  </si>
  <si>
    <t>170489004</t>
  </si>
  <si>
    <t>Viral hepatitis - Chronic</t>
  </si>
  <si>
    <t>385660001</t>
  </si>
  <si>
    <t>FP.DE.324</t>
  </si>
  <si>
    <t>Client has chronic viral hepatitis</t>
  </si>
  <si>
    <t>Chronic</t>
  </si>
  <si>
    <t xml:space="preserve">       Chronic</t>
  </si>
  <si>
    <t>B18.9</t>
  </si>
  <si>
    <t>1E+51</t>
  </si>
  <si>
    <t>10295004</t>
  </si>
  <si>
    <t>263654008</t>
  </si>
  <si>
    <t>Header - Cirrhosis</t>
  </si>
  <si>
    <t>Pelvic/genital examination needed</t>
  </si>
  <si>
    <t>FP.DE.257</t>
  </si>
  <si>
    <t>FP.DE.325</t>
  </si>
  <si>
    <t>Whether a genital or pelvic exam is needed for the method selected</t>
  </si>
  <si>
    <t>System generated by Exams and Tests decision logic</t>
  </si>
  <si>
    <t>Required during MEC check if cirrhosis = TRUE and MEC classification &gt;   MEC okay to use rating, currently 2] for method selected</t>
  </si>
  <si>
    <t xml:space="preserve">Pelvic examination </t>
  </si>
  <si>
    <t>FP.DE.379</t>
  </si>
  <si>
    <t>Whether or not the pelvic exam was normal</t>
  </si>
  <si>
    <t>Cirrhosis - Mild (compensated)</t>
  </si>
  <si>
    <t>Optional selection for providers for continuing users, during issues and concerns. 
Required if FP.DE.257 Pelvic/genital examination needed = TRUE, 
else optional</t>
  </si>
  <si>
    <t>FP.DE.326</t>
  </si>
  <si>
    <t>Mild cirrhosis of the liver</t>
  </si>
  <si>
    <t>Mild (compensated)</t>
  </si>
  <si>
    <t>LA 16048-3</t>
  </si>
  <si>
    <t xml:space="preserve">       Mild (compensated)</t>
  </si>
  <si>
    <t>early</t>
  </si>
  <si>
    <t>371139006</t>
  </si>
  <si>
    <t>FP.DE.500</t>
  </si>
  <si>
    <t>Cirrhosis - Severe (decompensated)</t>
  </si>
  <si>
    <t>FP.DE.327</t>
  </si>
  <si>
    <t>Severe cirrhosis of the liver</t>
  </si>
  <si>
    <t>Severe (decompensated)</t>
  </si>
  <si>
    <t xml:space="preserve">       Severe (decompensated)</t>
  </si>
  <si>
    <t>FP.DE.501</t>
  </si>
  <si>
    <t>advanced X</t>
  </si>
  <si>
    <t>123717006</t>
  </si>
  <si>
    <t>Liver diseases</t>
  </si>
  <si>
    <t>FP.DE.502</t>
  </si>
  <si>
    <t>FP.DE.328</t>
  </si>
  <si>
    <t>Client has liver disease, including hepatitis</t>
  </si>
  <si>
    <t>K71.9</t>
  </si>
  <si>
    <t>DB95</t>
  </si>
  <si>
    <t>197354009</t>
  </si>
  <si>
    <t>Liver tumour (carcinoma/hepatoma (malignant))</t>
  </si>
  <si>
    <t>FP.DE.329</t>
  </si>
  <si>
    <t xml:space="preserve">       Liver tumour (carcinoma/hepatoma (malignant))</t>
  </si>
  <si>
    <t>93870000</t>
  </si>
  <si>
    <t>FP.IN.004</t>
  </si>
  <si>
    <t xml:space="preserve">Liver tumour (hepatocellular adenoma (benign) </t>
  </si>
  <si>
    <t>FP.DE.330</t>
  </si>
  <si>
    <t xml:space="preserve">       Liver tumour (hepatocellular adenoma (benign) </t>
  </si>
  <si>
    <t>78058005</t>
  </si>
  <si>
    <t>Hepatitis acute - Liver disease</t>
  </si>
  <si>
    <t>FP.DE.331</t>
  </si>
  <si>
    <t>Client has acute hepatitis</t>
  </si>
  <si>
    <t>Hepatitis acute</t>
  </si>
  <si>
    <t xml:space="preserve">       Hepatitis acute</t>
  </si>
  <si>
    <t>37871000</t>
  </si>
  <si>
    <t>Hepatitis flare - Liver disease</t>
  </si>
  <si>
    <t>FP.DE.332</t>
  </si>
  <si>
    <t>Client is having a hepatitis flare</t>
  </si>
  <si>
    <t>Hepatitis flare</t>
  </si>
  <si>
    <t xml:space="preserve">       Hepatitis flare</t>
  </si>
  <si>
    <t>197286002</t>
  </si>
  <si>
    <t>Anemias</t>
  </si>
  <si>
    <t>FP.DE.333</t>
  </si>
  <si>
    <t>Anemia - Thalassemia</t>
  </si>
  <si>
    <t>FP.DE.334</t>
  </si>
  <si>
    <t>Thalassemia</t>
  </si>
  <si>
    <t xml:space="preserve">The method is normally provided in a routine setting, but with extra preparation and precautions. For FAB methods, this usually
means that special counselling may be needed to ensure correct use of the method by a woman in this circumstance.
</t>
  </si>
  <si>
    <t xml:space="preserve">       Thalassemia</t>
  </si>
  <si>
    <t>D56.9</t>
  </si>
  <si>
    <t>3A50</t>
  </si>
  <si>
    <t>40108008</t>
  </si>
  <si>
    <t>Use of this method should be delayed until the condition is evaluated or corrected. Alternative temporary methods of contraception
should be offered.</t>
  </si>
  <si>
    <t>Anemia - Sickle cell disease</t>
  </si>
  <si>
    <t>FP.DE.335</t>
  </si>
  <si>
    <t>Sickle cell disease</t>
  </si>
  <si>
    <t xml:space="preserve">       Sickle cell disease</t>
  </si>
  <si>
    <t>16402000</t>
  </si>
  <si>
    <t>Anemia - Iron-deficiency anemia</t>
  </si>
  <si>
    <t>FP.DE.336</t>
  </si>
  <si>
    <t>Iron-deficiency anemia</t>
  </si>
  <si>
    <t xml:space="preserve">       Iron-deficiency anemia</t>
  </si>
  <si>
    <t>87522002</t>
  </si>
  <si>
    <t>Past medical eligibility</t>
  </si>
  <si>
    <t>Are they Taking any Current medications?</t>
  </si>
  <si>
    <t>FP.DE.060</t>
  </si>
  <si>
    <t xml:space="preserve">Determine if client is taking certain anticonvulsants, antimicrobials, and antiretrovirals, which may affect their medical eligibility, as well as if client is on antiretroviral therapy, pre-exposure prophylaxis, etc. </t>
  </si>
  <si>
    <t>Current Medications</t>
  </si>
  <si>
    <t>FP.DE.337</t>
  </si>
  <si>
    <t>Skip if Current medications = FALSE, only include if MEC &gt;=[MEC do not use rating, currently 3] for the method selected</t>
  </si>
  <si>
    <t>WHO-FP MedicationStatement (Current Medication)</t>
  </si>
  <si>
    <t xml:space="preserve">       Anticonvulsants </t>
  </si>
  <si>
    <t>FP.DE.338</t>
  </si>
  <si>
    <t>Client is currently taking anti-convulsant medication</t>
  </si>
  <si>
    <t xml:space="preserve">Anticonvulsants </t>
  </si>
  <si>
    <t xml:space="preserve">       Antimicrobial therapy</t>
  </si>
  <si>
    <t>FP.DE.339</t>
  </si>
  <si>
    <t>Client is currently taking antimicrobial medication</t>
  </si>
  <si>
    <t>Antimicrobial therapy</t>
  </si>
  <si>
    <t>MC (Select Multiple)</t>
  </si>
  <si>
    <t xml:space="preserve">       Antiretroviral therapy</t>
  </si>
  <si>
    <t>FP.DE.340</t>
  </si>
  <si>
    <t>Client is currently taking antiretroviral medication</t>
  </si>
  <si>
    <t>Antiretroviral therapy</t>
  </si>
  <si>
    <t>Anticonvulsant therapy</t>
  </si>
  <si>
    <t>FP.DE.341</t>
  </si>
  <si>
    <t>Include if Medications = Anticonvulsant therapy, and required in MEC classification &gt;=   MEC okay to use rating, currently 2] for method selected</t>
  </si>
  <si>
    <t xml:space="preserve">       Anticonvulsant therapy</t>
  </si>
  <si>
    <t>barbiturates</t>
  </si>
  <si>
    <t>FP.DE.342</t>
  </si>
  <si>
    <t xml:space="preserve">       barbiturates</t>
  </si>
  <si>
    <t>class</t>
  </si>
  <si>
    <t>D001463</t>
  </si>
  <si>
    <t>ATC 1-4</t>
  </si>
  <si>
    <t>carbamazepine</t>
  </si>
  <si>
    <t>FP.DE.343</t>
  </si>
  <si>
    <t xml:space="preserve">       carbamazepine</t>
  </si>
  <si>
    <t>40820003</t>
  </si>
  <si>
    <t>2002</t>
  </si>
  <si>
    <t>c0006949</t>
  </si>
  <si>
    <t>72822AAAAAAAAAAAAAAAAAAAAAAAAAAAAAAA</t>
  </si>
  <si>
    <t>oxcarbazepine</t>
  </si>
  <si>
    <t>FP.DE.344</t>
  </si>
  <si>
    <t xml:space="preserve">       oxcarbazepine</t>
  </si>
  <si>
    <t>x; 600 mg</t>
  </si>
  <si>
    <t>116511002</t>
  </si>
  <si>
    <t>32624</t>
  </si>
  <si>
    <t>c0979183</t>
  </si>
  <si>
    <t>81294AAAAAAAAAAAAAAAAAAAAAAAAAAAAAAA</t>
  </si>
  <si>
    <t>phenytoin</t>
  </si>
  <si>
    <t>FP.DE.345</t>
  </si>
  <si>
    <t xml:space="preserve">       phenytoin</t>
  </si>
  <si>
    <t>40556005</t>
  </si>
  <si>
    <t>8183</t>
  </si>
  <si>
    <t>c0031507</t>
  </si>
  <si>
    <t>82023AAAAAAAAAAAAAAAAAAAAAAAAAAAAAAA</t>
  </si>
  <si>
    <t>primidone</t>
  </si>
  <si>
    <t>FP.DE.346</t>
  </si>
  <si>
    <t xml:space="preserve">       primidone</t>
  </si>
  <si>
    <t>47120002</t>
  </si>
  <si>
    <t>8691</t>
  </si>
  <si>
    <t>c0033148</t>
  </si>
  <si>
    <t>82534AAAAAAAAAAAAAAAAAAAAAAAAAAAAAAA</t>
  </si>
  <si>
    <t>topiramate</t>
  </si>
  <si>
    <t>FP.DE.347</t>
  </si>
  <si>
    <t xml:space="preserve">       topiramate</t>
  </si>
  <si>
    <t>108400009</t>
  </si>
  <si>
    <t>38404</t>
  </si>
  <si>
    <t>c0076829</t>
  </si>
  <si>
    <t>85235AAAAAAAAAAAAAAAAAAAAAAAAAAAAAAA</t>
  </si>
  <si>
    <t>lamotrigine</t>
  </si>
  <si>
    <t>FP.DE.348</t>
  </si>
  <si>
    <t xml:space="preserve">       lamotrigine</t>
  </si>
  <si>
    <t>96195007</t>
  </si>
  <si>
    <t>28439</t>
  </si>
  <si>
    <t>c0064636</t>
  </si>
  <si>
    <t>78644AAAAAAAAAAAAAAAAAAAAAAAAAAAAAAA</t>
  </si>
  <si>
    <t>Older age [highlight this cell in yellow - need to defined older age]</t>
  </si>
  <si>
    <t>FP.DE.349</t>
  </si>
  <si>
    <t>Include if Medications = Antimicrobial therapy</t>
  </si>
  <si>
    <t>Calculated based on Age &gt; [Cardiovascular risk age, 35 years]</t>
  </si>
  <si>
    <t>Broad-spectrum antibiotics</t>
  </si>
  <si>
    <t>FP.DE.350</t>
  </si>
  <si>
    <t xml:space="preserve">       Broad-spectrum antibiotics</t>
  </si>
  <si>
    <t>Antifungals</t>
  </si>
  <si>
    <t>FP.DE.351</t>
  </si>
  <si>
    <t xml:space="preserve">       Antifungals</t>
  </si>
  <si>
    <t>? no sure</t>
  </si>
  <si>
    <t>J02</t>
  </si>
  <si>
    <t>id: N0000178297</t>
  </si>
  <si>
    <t>Antiparasitics</t>
  </si>
  <si>
    <t>FP.DE.352</t>
  </si>
  <si>
    <t xml:space="preserve">       Antiparasitics</t>
  </si>
  <si>
    <t>P</t>
  </si>
  <si>
    <t xml:space="preserve">Rifampicin </t>
  </si>
  <si>
    <t>FP.DE.353</t>
  </si>
  <si>
    <t xml:space="preserve">       Rifampicin </t>
  </si>
  <si>
    <t>29175007</t>
  </si>
  <si>
    <t>9384</t>
  </si>
  <si>
    <t>c0035608</t>
  </si>
  <si>
    <t>767AAAAAAAAAAAAAAAAAAAAAAAAAAAAAAAAA</t>
  </si>
  <si>
    <t>Rifabutin</t>
  </si>
  <si>
    <t>FP.DE.354</t>
  </si>
  <si>
    <t xml:space="preserve">       Rifabutin</t>
  </si>
  <si>
    <t>108684009</t>
  </si>
  <si>
    <t>55672</t>
  </si>
  <si>
    <t>c0140575</t>
  </si>
  <si>
    <t>83352AAAAAAAAAAAAAAAAAAAAAAAAAAAAAAA</t>
  </si>
  <si>
    <t>FP.DE.355</t>
  </si>
  <si>
    <t>ART</t>
  </si>
  <si>
    <t>Include if Medications = Antiretroviral therapy and Required during MEC check if MEC classification &gt;   MEC okay to use rating, currently 2] for method selected</t>
  </si>
  <si>
    <t>do you want the class of meds mapped to this and/or specific medications</t>
  </si>
  <si>
    <t>NRTIs</t>
  </si>
  <si>
    <t>FP.DE.356</t>
  </si>
  <si>
    <t>Treated with nucleoside reverse transcriptase inhibitors (NRTIs</t>
  </si>
  <si>
    <t xml:space="preserve">       NRTIs</t>
  </si>
  <si>
    <t>can we get the list that they want us to use</t>
  </si>
  <si>
    <t>J05AF</t>
  </si>
  <si>
    <t>This is the corresponding class code in RxNorm... not sure this is a valid code</t>
  </si>
  <si>
    <t>EFV</t>
  </si>
  <si>
    <t>FP.DE.357</t>
  </si>
  <si>
    <t>Treated with efavirenz (EFV)</t>
  </si>
  <si>
    <t xml:space="preserve">       EFV</t>
  </si>
  <si>
    <t>195085</t>
  </si>
  <si>
    <t>ETR</t>
  </si>
  <si>
    <t>FP.DE.358</t>
  </si>
  <si>
    <t>Treated with etravirine</t>
  </si>
  <si>
    <t xml:space="preserve">       ETR</t>
  </si>
  <si>
    <t>475969</t>
  </si>
  <si>
    <t>NVP</t>
  </si>
  <si>
    <t>FP.DE.359</t>
  </si>
  <si>
    <t>Treated with nevirapine (NVP)</t>
  </si>
  <si>
    <t xml:space="preserve">       NVP</t>
  </si>
  <si>
    <t>53654</t>
  </si>
  <si>
    <t>RPV</t>
  </si>
  <si>
    <t>FP.DE.360</t>
  </si>
  <si>
    <t>Treated with rilpivirine (RPV)</t>
  </si>
  <si>
    <t xml:space="preserve">       RPV</t>
  </si>
  <si>
    <t>1102270</t>
  </si>
  <si>
    <t>PIs</t>
  </si>
  <si>
    <t>FP.DE.361</t>
  </si>
  <si>
    <t>Treated with protease inhibitors (PIs)</t>
  </si>
  <si>
    <t xml:space="preserve">       PIs</t>
  </si>
  <si>
    <t xml:space="preserve"> J05AE</t>
  </si>
  <si>
    <t>RAL</t>
  </si>
  <si>
    <t>FP.DE.362</t>
  </si>
  <si>
    <t>Treated with integrase inhibitors (raltegravir   RAL])</t>
  </si>
  <si>
    <t xml:space="preserve">       RAL</t>
  </si>
  <si>
    <t>719872</t>
  </si>
  <si>
    <t>ATV/r</t>
  </si>
  <si>
    <t>FP.DE.363</t>
  </si>
  <si>
    <t>ATVr</t>
  </si>
  <si>
    <t>Treated with atazanavir/ritonavir</t>
  </si>
  <si>
    <t xml:space="preserve">       ATV/r</t>
  </si>
  <si>
    <t>LPV/r</t>
  </si>
  <si>
    <t>FP.DE.364</t>
  </si>
  <si>
    <t>LPVr</t>
  </si>
  <si>
    <t>Treated with lopinavir/ritonavir</t>
  </si>
  <si>
    <t xml:space="preserve">       LPV/r</t>
  </si>
  <si>
    <t>284640</t>
  </si>
  <si>
    <t>DRV/r</t>
  </si>
  <si>
    <t>FP.DE.365</t>
  </si>
  <si>
    <t>DRVr</t>
  </si>
  <si>
    <t>Treated with darunavir/ritonavir</t>
  </si>
  <si>
    <t xml:space="preserve">       DRV/r</t>
  </si>
  <si>
    <t>RTV</t>
  </si>
  <si>
    <t>FP.DE.366</t>
  </si>
  <si>
    <t>Treated with ritonavir</t>
  </si>
  <si>
    <t xml:space="preserve">       RTV</t>
  </si>
  <si>
    <t>85762</t>
  </si>
  <si>
    <t>Systemic lupus erythematosus category</t>
  </si>
  <si>
    <t>FP.DE.539</t>
  </si>
  <si>
    <t>Categorization of lupus, which may affect medical eligibility for contraception</t>
  </si>
  <si>
    <t>Systemic lupus erythematosus - Antiphospholipid antibodies</t>
  </si>
  <si>
    <t>FP.DE.540</t>
  </si>
  <si>
    <t>Systemic lupus erythematosus - Positive (or unknown) antiphospholipid antibodies</t>
  </si>
  <si>
    <t>Positive (or unknown) antiphospholipid antibodies</t>
  </si>
  <si>
    <t>Cannot be selected with None of the above option</t>
  </si>
  <si>
    <t xml:space="preserve">       Positive (or unknown) antiphospholipid antibodies</t>
  </si>
  <si>
    <t>Include if HIV Status = TRUE, Required during MEC check if MEC classification  &gt; [MEC okay to use rating, currently 2] for method selected</t>
  </si>
  <si>
    <t>402865003</t>
  </si>
  <si>
    <t>Systemic lupus erythematosus - Severe thrombocytopenia</t>
  </si>
  <si>
    <t>FP.DE.541</t>
  </si>
  <si>
    <t>Severe thrombocytopenia</t>
  </si>
  <si>
    <t>Required during MEC check if MEC classification  &gt; [MEC okay to use rating, currently 2] for method selected</t>
  </si>
  <si>
    <t xml:space="preserve">       Severe thrombocytopenia</t>
  </si>
  <si>
    <t>128091003</t>
  </si>
  <si>
    <t>Systemic lupus erythematosus - Immunosuppressive treatment</t>
  </si>
  <si>
    <t>FP.DE.542</t>
  </si>
  <si>
    <t>Immunosuppressive treatment</t>
  </si>
  <si>
    <t xml:space="preserve">       Immunosuppressive treatment</t>
  </si>
  <si>
    <t>86553008</t>
  </si>
  <si>
    <t>Systemic lupus erythematosus - None of the above</t>
  </si>
  <si>
    <t>FP.DE.543</t>
  </si>
  <si>
    <t>Cannot be selected with other input options in list</t>
  </si>
  <si>
    <t>M32.8</t>
  </si>
  <si>
    <t>FP.DE.544</t>
  </si>
  <si>
    <t>Categories affecting male sterilization medical eligibility</t>
  </si>
  <si>
    <t xml:space="preserve">Required during MEC check if gender = male 
and method = vasectomy
and MEC classification  &gt;   MEC okay to use rating, currently 2] for method selected </t>
  </si>
  <si>
    <t>history of x</t>
  </si>
  <si>
    <t>161558008</t>
  </si>
  <si>
    <t>reproductive system</t>
  </si>
  <si>
    <t>Coagulation disorders</t>
  </si>
  <si>
    <t>FP.DE.545</t>
  </si>
  <si>
    <t xml:space="preserve">       Coagulation disorders</t>
  </si>
  <si>
    <t>blood x</t>
  </si>
  <si>
    <t>64779008</t>
  </si>
  <si>
    <t>Previous scrotal injury</t>
  </si>
  <si>
    <t>FP.DE.546</t>
  </si>
  <si>
    <t xml:space="preserve">       Previous scrotal injury</t>
  </si>
  <si>
    <t>plus history of x</t>
  </si>
  <si>
    <t>282782006</t>
  </si>
  <si>
    <t>Systemic infection or gastroenteritis</t>
  </si>
  <si>
    <t>FP.DE.547</t>
  </si>
  <si>
    <t xml:space="preserve">       Systemic infection or gastroenteritis</t>
  </si>
  <si>
    <t>GE only x</t>
  </si>
  <si>
    <t>25374005</t>
  </si>
  <si>
    <t>MC (Select One)</t>
  </si>
  <si>
    <t>Large varicocele</t>
  </si>
  <si>
    <t>FP.DE.548</t>
  </si>
  <si>
    <t xml:space="preserve">       Large varicocele</t>
  </si>
  <si>
    <t>not large x</t>
  </si>
  <si>
    <t>I86.1</t>
  </si>
  <si>
    <t>51070004</t>
  </si>
  <si>
    <t>Wider</t>
  </si>
  <si>
    <t>Large hydrocele</t>
  </si>
  <si>
    <t>FP.DE.549</t>
  </si>
  <si>
    <t xml:space="preserve">       Large hydrocele</t>
  </si>
  <si>
    <t>N43.3</t>
  </si>
  <si>
    <t>26614003</t>
  </si>
  <si>
    <t xml:space="preserve">Required during MEC check if MEC classification  &gt; [MEC okay to use rating, currently 2] for method selected </t>
  </si>
  <si>
    <t>Filariasis</t>
  </si>
  <si>
    <t>FP.DE.550</t>
  </si>
  <si>
    <t>Js</t>
  </si>
  <si>
    <t xml:space="preserve">       Filariasis</t>
  </si>
  <si>
    <t>105706003</t>
  </si>
  <si>
    <t>Elephantiasis</t>
  </si>
  <si>
    <t>FP.DE.551</t>
  </si>
  <si>
    <t xml:space="preserve">       Elephantiasis</t>
  </si>
  <si>
    <t>240820001</t>
  </si>
  <si>
    <t>Intrascrotal mass</t>
  </si>
  <si>
    <t>Type of headaches the client is experiencing</t>
  </si>
  <si>
    <t>FP.DE.552</t>
  </si>
  <si>
    <t xml:space="preserve">       Intrascrotal mass</t>
  </si>
  <si>
    <t xml:space="preserve">       Non Migrainous (mild or severe)</t>
  </si>
  <si>
    <t>Non Migrainous (mild or severe)</t>
  </si>
  <si>
    <t>53929009</t>
  </si>
  <si>
    <t>Cryptorchidism</t>
  </si>
  <si>
    <t>FP.DE.553</t>
  </si>
  <si>
    <t>MEC also requires looking at above or below 35 years old</t>
  </si>
  <si>
    <t xml:space="preserve">       Cryptorchidism</t>
  </si>
  <si>
    <t>204878001</t>
  </si>
  <si>
    <t>Inguinal hernia</t>
  </si>
  <si>
    <t>FP.DE.554</t>
  </si>
  <si>
    <t xml:space="preserve">       Inguinal hernia</t>
  </si>
  <si>
    <t>396232000</t>
  </si>
  <si>
    <t>Required during MEC check if MEC classification &gt; [MEC okay to use rating, currently 2] for method selected</t>
  </si>
  <si>
    <t>Condition.category.coding.code='encounter-diagnosis';</t>
  </si>
  <si>
    <t>Scrotal skin infection</t>
  </si>
  <si>
    <t>FP.DE.555</t>
  </si>
  <si>
    <t xml:space="preserve">       Scrotal skin infection</t>
  </si>
  <si>
    <t>371413003</t>
  </si>
  <si>
    <t>scrotal infection</t>
  </si>
  <si>
    <t>Balanitis</t>
  </si>
  <si>
    <t>Observation.code.coding.code</t>
  </si>
  <si>
    <t>Observation.category.coding.code='exam';
Observation.status='final'</t>
  </si>
  <si>
    <t>FP.DE.556</t>
  </si>
  <si>
    <t xml:space="preserve">       Balanitis</t>
  </si>
  <si>
    <t>44882003</t>
  </si>
  <si>
    <t>Epididymitis</t>
  </si>
  <si>
    <t>FP.DE.557</t>
  </si>
  <si>
    <t xml:space="preserve">       Epididymitis</t>
  </si>
  <si>
    <t>N45.1</t>
  </si>
  <si>
    <t>31070006</t>
  </si>
  <si>
    <t>Orchitis</t>
  </si>
  <si>
    <t>FP.DE.558</t>
  </si>
  <si>
    <t>Required during MEC check if MEC classification &gt; [MEC okay to use rating, currently 2] for method selected, skip if gender = male</t>
  </si>
  <si>
    <t xml:space="preserve">       Orchitis</t>
  </si>
  <si>
    <t>N80.9</t>
  </si>
  <si>
    <t>orchitis and epididymitis together is 197983000 in snomed if bothx</t>
  </si>
  <si>
    <t>N45.2</t>
  </si>
  <si>
    <t>274718005</t>
  </si>
  <si>
    <t xml:space="preserve">Skip if gender = male
Required during MEC check if MEC classification &gt; [MEC okay to use rating, currently 2] for method selected, </t>
  </si>
  <si>
    <t xml:space="preserve">Skip if gender = male
Skip if Number of pregnancies = 0
Required during MEC check if MEC classification &gt; [MEC okay to use rating, currently 2] for method selected, </t>
  </si>
  <si>
    <t xml:space="preserve">Include if FP.DE.377 Gestational trophoblastic disease = TRUE
Required during MEC check if MEC classification &gt; [MEC okay to use rating, currently 2] for method selected, </t>
  </si>
  <si>
    <t>Breast Exam Status</t>
  </si>
  <si>
    <t>Remodel this</t>
  </si>
  <si>
    <t>Skip if gender != female, Required during MEC check if MEC classification &gt; [MEC okay to use rating, currently 2] for method selected</t>
  </si>
  <si>
    <t>Procedure.status</t>
  </si>
  <si>
    <t>ExamStatus</t>
  </si>
  <si>
    <t>13607009; 409979009</t>
  </si>
  <si>
    <t xml:space="preserve">
</t>
  </si>
  <si>
    <t>http://hl7.org/fhir/event-status</t>
  </si>
  <si>
    <t>not-done</t>
  </si>
  <si>
    <t>N87.9</t>
  </si>
  <si>
    <t>completed</t>
  </si>
  <si>
    <t>385658003</t>
  </si>
  <si>
    <t>Breast Exam Result</t>
  </si>
  <si>
    <t>Procedure.outcome</t>
  </si>
  <si>
    <t>ExamResult</t>
  </si>
  <si>
    <t xml:space="preserve">       Breast cancer</t>
  </si>
  <si>
    <t>FP.DE.465</t>
  </si>
  <si>
    <t>FamilyMemberHistory</t>
  </si>
  <si>
    <t>Include if FP.DE.467 Breast Cancer = TRUE, Required during MEC check if MEC classification &gt; [MEC okay to use rating, currently 2] for method selected</t>
  </si>
  <si>
    <t>FP Recommended Care</t>
  </si>
  <si>
    <t>WHO-FP CarePlan (Recommendation)</t>
  </si>
  <si>
    <t xml:space="preserve">       Pelvic/genital examination needed</t>
  </si>
  <si>
    <t>O34.1</t>
  </si>
  <si>
    <t>35025007</t>
  </si>
  <si>
    <t>SNOMED_ manual pelvic exam plus nEEDS</t>
  </si>
  <si>
    <t>Couldn't find term for this</t>
  </si>
  <si>
    <t>Pelvic/genital examination outcome</t>
  </si>
  <si>
    <t>Whether or not the pelvic/genital exam was normal</t>
  </si>
  <si>
    <t>8707-2</t>
  </si>
  <si>
    <t>Abnormal (specify) - Pelvic/genital examination outcome</t>
  </si>
  <si>
    <t>Procedure.note</t>
  </si>
  <si>
    <t>10204-6</t>
  </si>
  <si>
    <t>FP.DE.260</t>
  </si>
  <si>
    <t>38082009</t>
  </si>
  <si>
    <t>718-7</t>
  </si>
  <si>
    <t>Include if Pelvic Inflammatory Disease  = TRUE and Required during MEC check if MEC classification &gt; [MEC okay to use rating, currently 2] for method selected</t>
  </si>
  <si>
    <t xml:space="preserve">       Blood pressure screening recommended</t>
  </si>
  <si>
    <t>FP.DE.262</t>
  </si>
  <si>
    <t>Blood pressure screening recommended</t>
  </si>
  <si>
    <t xml:space="preserve">System generated value if blood pressure is recommended for method selected. </t>
  </si>
  <si>
    <t>System generated based on DSL Exams and Tests for method selected</t>
  </si>
  <si>
    <t>Set by Exams and Tests Decision Logic</t>
  </si>
  <si>
    <t>268607006</t>
  </si>
  <si>
    <t>Mapped to "Hypertension Risk", presuming the answer to hypertension risk would determine whether or not someone should be screened.</t>
  </si>
  <si>
    <t xml:space="preserve">Find related to </t>
  </si>
  <si>
    <t>STI/HIV Screening laboratory tests</t>
  </si>
  <si>
    <t>FP.DE.261</t>
  </si>
  <si>
    <t>HIV test not done</t>
  </si>
  <si>
    <t>FP.DE.526</t>
  </si>
  <si>
    <t xml:space="preserve">Date of Last HIV Screen </t>
  </si>
  <si>
    <t>2.10.5 Screen for medical eligibility, 2.14 Diagnose</t>
  </si>
  <si>
    <t>ST.DE.126</t>
  </si>
  <si>
    <t>FP.DE.527</t>
  </si>
  <si>
    <t xml:space="preserve">Date of last HIV screen (Date of this visit if test was performed. Otherwise date of lab result from this clinic or other clinic, or self-report if test result not available) </t>
  </si>
  <si>
    <t>WHO-Core Observation (HIV Test)</t>
  </si>
  <si>
    <t>HIV screen test</t>
  </si>
  <si>
    <t>Z11.4</t>
  </si>
  <si>
    <t>171121004</t>
  </si>
  <si>
    <t>Skip if gender = male, Required during MEC check if MEC classification &gt; [MEC okay to use rating, currently 2] for method selected</t>
  </si>
  <si>
    <t xml:space="preserve">HIV Test Result </t>
  </si>
  <si>
    <t>FP.DE.058</t>
  </si>
  <si>
    <t>HIV status of client or not known.</t>
  </si>
  <si>
    <t>Current options are from the HIV SI Data Dictionary annex. Should be synced with the HIV Accelerator Kit, once it is available.</t>
  </si>
  <si>
    <t xml:space="preserve">HIV Screen Result </t>
  </si>
  <si>
    <t>this is context of an HIV test, should not be coded</t>
  </si>
  <si>
    <t>165816005</t>
  </si>
  <si>
    <t xml:space="preserve">needs value set (i didnt map all of them) </t>
  </si>
  <si>
    <t>165815009</t>
  </si>
  <si>
    <t>may need value set</t>
  </si>
  <si>
    <t xml:space="preserve">       Indeterminate</t>
  </si>
  <si>
    <t>Indeterminate</t>
  </si>
  <si>
    <t>719727000; 719767004</t>
  </si>
  <si>
    <t>HIV status source</t>
  </si>
  <si>
    <t>ST.DE.038</t>
  </si>
  <si>
    <t>FP.DE.059</t>
  </si>
  <si>
    <t>Enter how the HIV status was given (written info, told by client, etc.).</t>
  </si>
  <si>
    <t>O, C</t>
  </si>
  <si>
    <t>Include if HIV Status = Positive</t>
  </si>
  <si>
    <t>Observation.method</t>
  </si>
  <si>
    <t>see posting in slack</t>
  </si>
  <si>
    <t>Screenings performed</t>
  </si>
  <si>
    <t>FP.DE.064</t>
  </si>
  <si>
    <t>Any screenings performed during the encounter.</t>
  </si>
  <si>
    <t>Test results</t>
  </si>
  <si>
    <t>ST.DE.050</t>
  </si>
  <si>
    <t>FP.DE.065</t>
  </si>
  <si>
    <t xml:space="preserve">Results for any tests performed. </t>
  </si>
  <si>
    <t>WHO-FP Observation (Test Results)</t>
  </si>
  <si>
    <t>Voluntary Informed Consent</t>
  </si>
  <si>
    <t>FP.3.Service Provision</t>
  </si>
  <si>
    <t>3.4 Explain method</t>
  </si>
  <si>
    <t>FP.DE.067</t>
  </si>
  <si>
    <t>Based on best practice and local laws and regulations.</t>
  </si>
  <si>
    <t>Consent.provision.action</t>
  </si>
  <si>
    <t>WHO-FP Consent</t>
  </si>
  <si>
    <t>Informed consent requirements</t>
  </si>
  <si>
    <t>3.5 Get informed consent</t>
  </si>
  <si>
    <t>FP.DE.068</t>
  </si>
  <si>
    <t>Local requirements for informed consent.</t>
  </si>
  <si>
    <t>Consent.policyRule.code</t>
  </si>
  <si>
    <t>Contraception Method at exit - reported - Device-based</t>
  </si>
  <si>
    <t>3.6 Provide method</t>
  </si>
  <si>
    <t>FP.DE.069</t>
  </si>
  <si>
    <t>Method at exit - reported</t>
  </si>
  <si>
    <t>Contraceptive method at exit reported.</t>
  </si>
  <si>
    <t>WHO-FP DeviceUseStatement (Exit Contraceptive Method)</t>
  </si>
  <si>
    <t>Contraception Method at exit - reported</t>
  </si>
  <si>
    <t>FP.DE.496</t>
  </si>
  <si>
    <t>Contraception Method at exit - reported - Medication-based</t>
  </si>
  <si>
    <t>WHO-FP MedicationStatement (Exit Contraceptive Method)</t>
  </si>
  <si>
    <t>Contraception Method at exit - reported - Procedure-based</t>
  </si>
  <si>
    <t>WHO-FP Procedure (Exit Contraceptive Method)</t>
  </si>
  <si>
    <t>Insertion of IUD</t>
  </si>
  <si>
    <t>FP.DE.533</t>
  </si>
  <si>
    <t>Intrauterine device was inserted during the visit</t>
  </si>
  <si>
    <t>Z30.430</t>
  </si>
  <si>
    <t>65200003</t>
  </si>
  <si>
    <t>Insertion of subcutaneous contraceptive (procedure)</t>
  </si>
  <si>
    <t>https://docs.google.com/document/d/1a9c1WPbC8DSWL7M6zDaryaYKkVRGik6txCbQc23MAyI/edit</t>
  </si>
  <si>
    <t>Required during MEC check if MEC classification &gt;= [MEC okay to use rating, currently 2] for method selected and categories</t>
  </si>
  <si>
    <t>FP.DE.131</t>
  </si>
  <si>
    <t>procedure code-- 11981; ICD 10 Z30.430</t>
  </si>
  <si>
    <t>IUD removal</t>
  </si>
  <si>
    <t>An intrauterine device was removed during the visit</t>
  </si>
  <si>
    <t>Include if method at intake reported = IUD and    ]</t>
  </si>
  <si>
    <t>WHO-FP Procedure (Service Provided)</t>
  </si>
  <si>
    <t>68254000</t>
  </si>
  <si>
    <t>IUD Insertion status</t>
  </si>
  <si>
    <t>FP.DE.534</t>
  </si>
  <si>
    <t>IUD Insertion not possible</t>
  </si>
  <si>
    <t>An intrauterine device could not be inserted during the visit</t>
  </si>
  <si>
    <t>Include if method selected = IUD, MEC for IUD is in range   below 2]</t>
  </si>
  <si>
    <t xml:space="preserve">       IUD Insertion completed</t>
  </si>
  <si>
    <t xml:space="preserve">       IUD Insertion not possible</t>
  </si>
  <si>
    <t>Contraception Implant removal</t>
  </si>
  <si>
    <t>FP.DE.130</t>
  </si>
  <si>
    <t>procedure code 11982; ICD 10 z30.49 (same ofr surveilland and removal and reinsertion)</t>
  </si>
  <si>
    <t>Contraception Method at exit - reported - CarePlan-based</t>
  </si>
  <si>
    <t>WHO-FP CarePlan (Exit Contraceptive Method)</t>
  </si>
  <si>
    <t>Include if history of cholestasis = TRUE and Required during MEC check if MEC classification &gt; [MEC okay to use rating, currently 2] for method selected</t>
  </si>
  <si>
    <t>How contraceptive method is being provided</t>
  </si>
  <si>
    <t>FP.DE.529</t>
  </si>
  <si>
    <t>How method is being provided</t>
  </si>
  <si>
    <t xml:space="preserve">How the client will receive the method, including onsite or if follow up is required. </t>
  </si>
  <si>
    <t>Required for each method selected, f Method at exit - reported is not "No method at exit"</t>
  </si>
  <si>
    <t>SNOMED codes are from IHE FP content</t>
  </si>
  <si>
    <t>CarePlan.activity.detail.deliveryMethod</t>
  </si>
  <si>
    <t>ContraceptiveDeliveryMethod</t>
  </si>
  <si>
    <t>Dependent on 1687 mapping</t>
  </si>
  <si>
    <t xml:space="preserve"> O26.619 </t>
  </si>
  <si>
    <t xml:space="preserve">       Provided on site    </t>
  </si>
  <si>
    <t>FP.DE.530</t>
  </si>
  <si>
    <t>Provided on site    </t>
  </si>
  <si>
    <t>308335008</t>
  </si>
  <si>
    <t xml:space="preserve">       Referral </t>
  </si>
  <si>
    <t>FP.DE.531</t>
  </si>
  <si>
    <t>Referral </t>
  </si>
  <si>
    <t>281100006</t>
  </si>
  <si>
    <t xml:space="preserve">       Prescription</t>
  </si>
  <si>
    <t>FP.DE.532</t>
  </si>
  <si>
    <t>Prescription</t>
  </si>
  <si>
    <t>SNOMED for Rx for contraception: 703142009, using general term as defined in IHE FP profile</t>
  </si>
  <si>
    <t>16076005</t>
  </si>
  <si>
    <t>Required during MEC check if cirrhosis = TRUE and MEC classification &gt; [MEC okay to use rating, currently 2] for method selected</t>
  </si>
  <si>
    <t>Provider that served the client</t>
  </si>
  <si>
    <t xml:space="preserve">Provider </t>
  </si>
  <si>
    <t>The provider that served the client.</t>
  </si>
  <si>
    <t>Default to user logged in to the system</t>
  </si>
  <si>
    <t>FP.IND.15</t>
  </si>
  <si>
    <t>Practitioner.name</t>
  </si>
  <si>
    <t>WHO-Core Practitioner</t>
  </si>
  <si>
    <t>Quantity of backup method provided</t>
  </si>
  <si>
    <t>3.7 Discuss dual protection</t>
  </si>
  <si>
    <t>FP.DE.077</t>
  </si>
  <si>
    <t>Quantity or package size of backup method provided.</t>
  </si>
  <si>
    <t>Quantity of method provided</t>
  </si>
  <si>
    <t>Reason for no method at exit</t>
  </si>
  <si>
    <t>FP.DE.071</t>
  </si>
  <si>
    <t>Reason for no contraceptive method use reported –at exit</t>
  </si>
  <si>
    <t xml:space="preserve">Included and required if Method at exit - reported = No method at exit </t>
  </si>
  <si>
    <t>FP.IND.05</t>
  </si>
  <si>
    <t>WHO-FP Observation (Reason for no contraceptive method at exit)</t>
  </si>
  <si>
    <t>Reason for no contraception method at exit</t>
  </si>
  <si>
    <t>86653-3</t>
  </si>
  <si>
    <t xml:space="preserve">       Voluntarily refrains from sexual intercourse</t>
  </si>
  <si>
    <t>454731000124108</t>
  </si>
  <si>
    <t>14550-0</t>
  </si>
  <si>
    <t xml:space="preserve">       Client choice to not use contraception</t>
  </si>
  <si>
    <t>Client choice to not use contraception</t>
  </si>
  <si>
    <t>Chooses not to use</t>
  </si>
  <si>
    <t xml:space="preserve">       Chooses not to use</t>
  </si>
  <si>
    <t>445637007</t>
  </si>
  <si>
    <t xml:space="preserve">       No method for other reasons</t>
  </si>
  <si>
    <t>Medication.Statement</t>
  </si>
  <si>
    <t>CIEL uses SNOMED 419182006</t>
  </si>
  <si>
    <t>Medication.Statement.code = active</t>
  </si>
  <si>
    <t>46-8</t>
  </si>
  <si>
    <t>http://hl7.org/fhir/ValueSet/medication-codes</t>
  </si>
  <si>
    <t>need to check</t>
  </si>
  <si>
    <t>15296000</t>
  </si>
  <si>
    <t>27927-5</t>
  </si>
  <si>
    <t>Include if Medications = Anticonvulsant therapy, and required in MEC classification &gt;= [MEC okay to use rating, currently 2] for method selected</t>
  </si>
  <si>
    <t>Client is currently taking barbiturates</t>
  </si>
  <si>
    <t xml:space="preserve">       Seeking pregnancy</t>
  </si>
  <si>
    <t>LOINC : Narrower</t>
  </si>
  <si>
    <t>limited to the next year</t>
  </si>
  <si>
    <t>Client is currently taking carbamazepine</t>
  </si>
  <si>
    <t>Observations</t>
  </si>
  <si>
    <t>Client is currently taking oxcarbazepine</t>
  </si>
  <si>
    <t xml:space="preserve">Observations from  any other procedures performed. </t>
  </si>
  <si>
    <t>Optional. List of values may be defined based on country needs</t>
  </si>
  <si>
    <t>Observation.note</t>
  </si>
  <si>
    <t>Client is currently taking phenytoin</t>
  </si>
  <si>
    <t>Client is currently taking primidone</t>
  </si>
  <si>
    <t>Return Visit Appointment</t>
  </si>
  <si>
    <t>FP.3.Service Provision, ST.3. Service Provision</t>
  </si>
  <si>
    <t>Follow-up</t>
  </si>
  <si>
    <t>3.8 Schedule follow up</t>
  </si>
  <si>
    <t>ST.DE.058</t>
  </si>
  <si>
    <t>FP.DE.079</t>
  </si>
  <si>
    <t>Date and time of return visit appointment</t>
  </si>
  <si>
    <t>Client is currently taking topiramate</t>
  </si>
  <si>
    <t>DL Treatment Recs</t>
  </si>
  <si>
    <t>WHO-Core Appointment (Return Visit)</t>
  </si>
  <si>
    <t>185353001</t>
  </si>
  <si>
    <t>Client is currently taking lamotrigine</t>
  </si>
  <si>
    <t>Follow up recommended</t>
  </si>
  <si>
    <t>FP.DE.267</t>
  </si>
  <si>
    <t>A follow up appointment is recommended</t>
  </si>
  <si>
    <t>System</t>
  </si>
  <si>
    <t>Client is currently taking Broad-spectrum antibiotics</t>
  </si>
  <si>
    <t>CarePlan.activity.detail.kind</t>
  </si>
  <si>
    <t>WHO-Core CarePlan (Follow-up)</t>
  </si>
  <si>
    <t>http://hl7.org/fhir/resource-types</t>
  </si>
  <si>
    <t>Client is currently taking Antifungals</t>
  </si>
  <si>
    <t>CommunicationRequest</t>
  </si>
  <si>
    <t>Client is currently taking Antiparasitics</t>
  </si>
  <si>
    <t>Follow up contact recommended date</t>
  </si>
  <si>
    <t>ST.DE.057</t>
  </si>
  <si>
    <t>FP.DE.266</t>
  </si>
  <si>
    <t>A follow up outreach to the client is recommended</t>
  </si>
  <si>
    <t xml:space="preserve">Client is currently taking Rifampicin </t>
  </si>
  <si>
    <t>CarePlan.activity.detail.scheduled[x]</t>
  </si>
  <si>
    <t>Timing</t>
  </si>
  <si>
    <t>Client is currently taking Rifabutin</t>
  </si>
  <si>
    <t>Backup method provided</t>
  </si>
  <si>
    <t>Include if Medications = Antiretroviral therapy and Required during MEC check if MEC classification &gt; [MEC okay to use rating, currently 2] for method selected</t>
  </si>
  <si>
    <t>3.9 Discuss dual protection</t>
  </si>
  <si>
    <t>FP.DE.251</t>
  </si>
  <si>
    <t xml:space="preserve">A backup method was provided during the visit </t>
  </si>
  <si>
    <t>Require if backup method recommended = TRUE</t>
  </si>
  <si>
    <t>Backup contraception method provided</t>
  </si>
  <si>
    <t>Contraception backup method provided</t>
  </si>
  <si>
    <t>FP.DE.535</t>
  </si>
  <si>
    <t>Type of backup method provided</t>
  </si>
  <si>
    <t>Include if backup method provided = TRUE</t>
  </si>
  <si>
    <t>WHO-FP CarePlan (Backup Contraceptive Method)</t>
  </si>
  <si>
    <t>BackupContraceptiveMethod</t>
  </si>
  <si>
    <t>Type of backup contraception method provided</t>
  </si>
  <si>
    <t>FP.DE.438</t>
  </si>
  <si>
    <t>442450006</t>
  </si>
  <si>
    <t>LA27912-7</t>
  </si>
  <si>
    <t>164813AAAAAAAAAAAAAAAAAAAAAAAAAAAAAA</t>
  </si>
  <si>
    <t>Treated with integrase inhibitors (raltegravir [RAL])</t>
  </si>
  <si>
    <t>FP.DE.439</t>
  </si>
  <si>
    <t>442288006; 228479001</t>
  </si>
  <si>
    <t>LA27914-3</t>
  </si>
  <si>
    <t>164814AAAAAAAAAAAAAAAAAAAAAAAAAAAAAA</t>
  </si>
  <si>
    <t xml:space="preserve">       Other </t>
  </si>
  <si>
    <t>FP.DE.440</t>
  </si>
  <si>
    <t>Quantity of backup contraception method provided</t>
  </si>
  <si>
    <t>Quantity or package size of  backup method provided</t>
  </si>
  <si>
    <t xml:space="preserve">       Backup contraception method needed</t>
  </si>
  <si>
    <t>FP.DE.536</t>
  </si>
  <si>
    <t>Backup method needed</t>
  </si>
  <si>
    <t>Whether a backup method based on client history and method start date</t>
  </si>
  <si>
    <t>Set by DL-When to Start</t>
  </si>
  <si>
    <t>Backup contraception method needed</t>
  </si>
  <si>
    <t>Backup Method Needed</t>
  </si>
  <si>
    <t>Temperature</t>
  </si>
  <si>
    <t>Quick check</t>
  </si>
  <si>
    <t>ST.DE.367</t>
  </si>
  <si>
    <t>Temperature of the client in Celsius</t>
  </si>
  <si>
    <t>Decimal - Celsus</t>
  </si>
  <si>
    <t>DL Postpartum  infection</t>
  </si>
  <si>
    <t>WHO-Core Observation (Temperature)</t>
  </si>
  <si>
    <t>Cel</t>
  </si>
  <si>
    <t>386725007</t>
  </si>
  <si>
    <t>8310-5</t>
  </si>
  <si>
    <t>Signs of fever</t>
  </si>
  <si>
    <t>ST.DE.368</t>
  </si>
  <si>
    <t>WHO-STI Observation (Signs of Fever)</t>
  </si>
  <si>
    <t>Elidible for a Vasectomy</t>
  </si>
  <si>
    <t>r50.9</t>
  </si>
  <si>
    <t>386661006</t>
  </si>
  <si>
    <t xml:space="preserve">Required during MEC check if gender = male 
and method = vasectomy
and MEC classification  &gt; [MEC okay to use rating, currently 2] for method selected </t>
  </si>
  <si>
    <t>Signs of shock</t>
  </si>
  <si>
    <t>ST.DE.369</t>
  </si>
  <si>
    <t>WHO-STI Observation (Signs of Shock)</t>
  </si>
  <si>
    <t>r57.9</t>
  </si>
  <si>
    <t>27942005</t>
  </si>
  <si>
    <t>STI Risk assessment conducted</t>
  </si>
  <si>
    <t>ST.DE.024</t>
  </si>
  <si>
    <t>FP.DE.042,</t>
  </si>
  <si>
    <t>Whether a risk assessment was conducted</t>
  </si>
  <si>
    <t>WHO-STI Observation (Risk Assessment)</t>
  </si>
  <si>
    <t>26 (Closed)</t>
  </si>
  <si>
    <t>2.4 Conduct risk assessment, 2.2 Capture or update client history</t>
  </si>
  <si>
    <t>ST.DE.025</t>
  </si>
  <si>
    <t>STI risk-assessment factors</t>
  </si>
  <si>
    <t>Multiple Choice - select all that apply</t>
  </si>
  <si>
    <t>Include if risk assessment conducted = TRUE</t>
  </si>
  <si>
    <t>WHO-Core Observation (STI Risk Factors)</t>
  </si>
  <si>
    <t>LA6508-1</t>
  </si>
  <si>
    <t>LNC- STI outpatient</t>
  </si>
  <si>
    <t>14 (closed)</t>
  </si>
  <si>
    <t xml:space="preserve">       Sex worker</t>
  </si>
  <si>
    <t>ST.DE.128</t>
  </si>
  <si>
    <t>Works as prostitute</t>
  </si>
  <si>
    <t>Sex worker</t>
  </si>
  <si>
    <t>449344001</t>
  </si>
  <si>
    <t xml:space="preserve">       Sex with HIV+ person</t>
  </si>
  <si>
    <t>ST.DE.129</t>
  </si>
  <si>
    <t>Sex with person known to be infected by human immunodeficiency virus</t>
  </si>
  <si>
    <t>Sex with HIV+ person</t>
  </si>
  <si>
    <t>Z20.6</t>
  </si>
  <si>
    <t>exposure to HIV--may not mean sex</t>
  </si>
  <si>
    <t xml:space="preserve">       Referral for STI screening</t>
  </si>
  <si>
    <t>ST.DE.130</t>
  </si>
  <si>
    <t>Referral for sexually transmitted infection screening</t>
  </si>
  <si>
    <t>Referral for STI screening</t>
  </si>
  <si>
    <t>z13.9</t>
  </si>
  <si>
    <t>171128005</t>
  </si>
  <si>
    <t>ICD10- screening (not STI) ; SNOMED_ screening for VD</t>
  </si>
  <si>
    <t xml:space="preserve">       Casual sexual partner</t>
  </si>
  <si>
    <t>ST.DE.143</t>
  </si>
  <si>
    <t>Someone the client had sex with for fun, without commitment to a relationship.</t>
  </si>
  <si>
    <t>Casual sexual partner</t>
  </si>
  <si>
    <t>228467001</t>
  </si>
  <si>
    <t>casual sexual partner</t>
  </si>
  <si>
    <t>ST.DE.144</t>
  </si>
  <si>
    <t>473386008</t>
  </si>
  <si>
    <t>never used condom. 473386008</t>
  </si>
  <si>
    <t xml:space="preserve">       Patient with multiple sexual partners</t>
  </si>
  <si>
    <t>ST.DE.145</t>
  </si>
  <si>
    <t>Patient with multiple sexual partners</t>
  </si>
  <si>
    <t>high risk homo/hetero/bi (X)</t>
  </si>
  <si>
    <t>Z72.51; Z72.52; Z72.53</t>
  </si>
  <si>
    <t>225516002</t>
  </si>
  <si>
    <t>ST.DE.034</t>
  </si>
  <si>
    <t>At a high risk for STIs based on a risk assessment</t>
  </si>
  <si>
    <t>WHO-STI Observation (Increased STI Risk)</t>
  </si>
  <si>
    <t>ST.DE.028</t>
  </si>
  <si>
    <t xml:space="preserve">Detemine what medications the client is currently taking. </t>
  </si>
  <si>
    <t>WHO-Core MedicationStatement (Current Medication)</t>
  </si>
  <si>
    <t>ST.DE.295</t>
  </si>
  <si>
    <t>ST.DE.296</t>
  </si>
  <si>
    <t>ST.DE.290</t>
  </si>
  <si>
    <t>is this the drug class that is needed</t>
  </si>
  <si>
    <t>788081006</t>
  </si>
  <si>
    <t>System generated based on DL Exams and Tests for method selected</t>
  </si>
  <si>
    <t>          8462-4  </t>
  </si>
  <si>
    <t xml:space="preserve">       Antiretrovirals</t>
  </si>
  <si>
    <t>ST.DE.291</t>
  </si>
  <si>
    <t>ARV</t>
  </si>
  <si>
    <t>Antiretrovirals</t>
  </si>
  <si>
    <t>788075003</t>
  </si>
  <si>
    <t xml:space="preserve">       PrEP</t>
  </si>
  <si>
    <t>ST.DE.292</t>
  </si>
  <si>
    <t>PrEP</t>
  </si>
  <si>
    <t>409516001</t>
  </si>
  <si>
    <t>SNOEMD PREP plus HIV; may need RxNorm codes for this</t>
  </si>
  <si>
    <t xml:space="preserve">       STI medication</t>
  </si>
  <si>
    <t>ST.DE.293</t>
  </si>
  <si>
    <t>STI medication</t>
  </si>
  <si>
    <t xml:space="preserve"> is this actually a proxy for antibiotics, as antivirals and antiretrovirals are already called out as other answers to the question of "current medications"?</t>
  </si>
  <si>
    <t>ST.DE.294</t>
  </si>
  <si>
    <t>Other Antibiotics</t>
  </si>
  <si>
    <t>ST.DE.220</t>
  </si>
  <si>
    <t>Other (specify) - Current medications</t>
  </si>
  <si>
    <t>ST.DE.301</t>
  </si>
  <si>
    <t>Include if Current medication includes "Other (specify)"</t>
  </si>
  <si>
    <t>MedicationStatement.medication[x].text</t>
  </si>
  <si>
    <t>Current STI Treatment</t>
  </si>
  <si>
    <t>Needed for tracking resistance and whether it is a first infection.</t>
  </si>
  <si>
    <t>WHO-STI Observation (Current STI Treatment)</t>
  </si>
  <si>
    <t>A50-A64.9</t>
  </si>
  <si>
    <t>8098009</t>
  </si>
  <si>
    <t>Contraceptive method at exit reported at exit.</t>
  </si>
  <si>
    <t>MC-Select Multiple</t>
  </si>
  <si>
    <t>Past STI treatment</t>
  </si>
  <si>
    <t>86651-7</t>
  </si>
  <si>
    <t>Not sure how to FHIR-map this. Should it be a procedure? A communication? A medication? Maybe we create a new contraceptive method resource?</t>
  </si>
  <si>
    <t>ST.DE.035</t>
  </si>
  <si>
    <t>WHO-STI Observation (Past STI Treatment)</t>
  </si>
  <si>
    <t xml:space="preserve">       [Family Planning methods]</t>
  </si>
  <si>
    <t>[Family Planning methods]</t>
  </si>
  <si>
    <t xml:space="preserve">
86651-7</t>
  </si>
  <si>
    <t>How should we be populating these methods? Use LOINC codes?</t>
  </si>
  <si>
    <t>STI Treatment date</t>
  </si>
  <si>
    <t>ST.DE.342</t>
  </si>
  <si>
    <t>Approximate date if client reports having had treatment for an STI previously</t>
  </si>
  <si>
    <t>Include if Past STI Treatment = TRUE or Current STI Treatment = TRUE</t>
  </si>
  <si>
    <t xml:space="preserve">       No method at exit</t>
  </si>
  <si>
    <t>No method at exit</t>
  </si>
  <si>
    <t>FP.DE.528</t>
  </si>
  <si>
    <t>History of STIs</t>
  </si>
  <si>
    <t>ST.DE.343</t>
  </si>
  <si>
    <t>Past or current STI treatment</t>
  </si>
  <si>
    <t>Require if Current STI Treatment = TRUE</t>
  </si>
  <si>
    <t>WHO-STI Condition (STI History)</t>
  </si>
  <si>
    <t xml:space="preserve">can these all be history of in FHIR and then the diagosis? </t>
  </si>
  <si>
    <t>Chlamydia</t>
  </si>
  <si>
    <t>ST.DE.248</t>
  </si>
  <si>
    <t>472954000</t>
  </si>
  <si>
    <t>this is history of</t>
  </si>
  <si>
    <t>ST.DE.246</t>
  </si>
  <si>
    <t>Z30.1</t>
  </si>
  <si>
    <t>1087151000119108</t>
  </si>
  <si>
    <t>   Insertion of subcutaneous contraceptive (procedure)</t>
  </si>
  <si>
    <t>procedure code</t>
  </si>
  <si>
    <t>procedure code-- 11981</t>
  </si>
  <si>
    <t>Herpes simplex viruses</t>
  </si>
  <si>
    <t>ST.DE.251</t>
  </si>
  <si>
    <t>HSV</t>
  </si>
  <si>
    <t>Include if method at intake reported = IUD and [ ]</t>
  </si>
  <si>
    <t>z30.432</t>
  </si>
  <si>
    <t>88594005</t>
  </si>
  <si>
    <t>history of</t>
  </si>
  <si>
    <t>Gonorrhea</t>
  </si>
  <si>
    <t>ST.DE.247</t>
  </si>
  <si>
    <t>Include if method selected = IUD, MEC for IUD is in range [below 2]</t>
  </si>
  <si>
    <t>Yeast infection</t>
  </si>
  <si>
    <t>ST.DE.354</t>
  </si>
  <si>
    <t>Candida albicans</t>
  </si>
  <si>
    <t>procedure code 11982</t>
  </si>
  <si>
    <t>unspecified</t>
  </si>
  <si>
    <t>B37</t>
  </si>
  <si>
    <t>FP.IN.015</t>
  </si>
  <si>
    <t>ST.DE.355</t>
  </si>
  <si>
    <t>and history of</t>
  </si>
  <si>
    <t>Trichomoniasis</t>
  </si>
  <si>
    <t>ST.DE.356</t>
  </si>
  <si>
    <t>FP.IN.005</t>
  </si>
  <si>
    <t>105648001</t>
  </si>
  <si>
    <t>Cervical infection</t>
  </si>
  <si>
    <t>ST.DE.261</t>
  </si>
  <si>
    <t xml:space="preserve">SNOMED code is infection of uterus, which includes cervical infections for different disorders as children. </t>
  </si>
  <si>
    <t>N72</t>
  </si>
  <si>
    <t>cervix infection</t>
  </si>
  <si>
    <t>Anaerobic infection</t>
  </si>
  <si>
    <t>ST.DE.357</t>
  </si>
  <si>
    <t>444395001</t>
  </si>
  <si>
    <t>exposue to anaerobic infection</t>
  </si>
  <si>
    <t>Pelvic Inflammatory Disease</t>
  </si>
  <si>
    <t>ST.DE.358</t>
  </si>
  <si>
    <t>PID</t>
  </si>
  <si>
    <t>27925-9</t>
  </si>
  <si>
    <t>Anogenital warts</t>
  </si>
  <si>
    <t>ST.DE.262</t>
  </si>
  <si>
    <t>A63.0</t>
  </si>
  <si>
    <t>240542006</t>
  </si>
  <si>
    <t xml:space="preserve">Toxic shock syndrome </t>
  </si>
  <si>
    <t>ST.DE.359</t>
  </si>
  <si>
    <t>Human papillomavirus</t>
  </si>
  <si>
    <t>ST.DE.250</t>
  </si>
  <si>
    <t>HPV</t>
  </si>
  <si>
    <t>9482002</t>
  </si>
  <si>
    <t>Other STI History</t>
  </si>
  <si>
    <t>Narrower LOINC</t>
  </si>
  <si>
    <t>Condition.code.text</t>
  </si>
  <si>
    <t>z22.4; 098.32; a64</t>
  </si>
  <si>
    <t>large value set; this is just some of them</t>
  </si>
  <si>
    <t>Clinical status</t>
  </si>
  <si>
    <t>Follow up recommended date</t>
  </si>
  <si>
    <t>ST.DE.378</t>
  </si>
  <si>
    <t>Status of STI diagnosis for each STI</t>
  </si>
  <si>
    <t>FP.DE.078</t>
  </si>
  <si>
    <t>Required for each past or current STIs. Newly diagnosed STIs default to active.</t>
  </si>
  <si>
    <t>Date when follow up is recommended based on follow up requirements.</t>
  </si>
  <si>
    <t>Condition.clinicalStatus</t>
  </si>
  <si>
    <t xml:space="preserve">       Active</t>
  </si>
  <si>
    <t>ST.DE.379</t>
  </si>
  <si>
    <t>Active</t>
  </si>
  <si>
    <t>http://terminology.hl7.org/CodeSystem/condition-clinical</t>
  </si>
  <si>
    <t>active</t>
  </si>
  <si>
    <t xml:space="preserve">       Recurrence</t>
  </si>
  <si>
    <t>ST.DE.380</t>
  </si>
  <si>
    <t>Recurrence</t>
  </si>
  <si>
    <t>recurrence</t>
  </si>
  <si>
    <t xml:space="preserve">       Relapse</t>
  </si>
  <si>
    <t>ST.DE.381</t>
  </si>
  <si>
    <t>Relapse</t>
  </si>
  <si>
    <t>relapse</t>
  </si>
  <si>
    <t xml:space="preserve">       Inactive</t>
  </si>
  <si>
    <t>ST.DE.382</t>
  </si>
  <si>
    <t>Inactive</t>
  </si>
  <si>
    <t>inactive</t>
  </si>
  <si>
    <t xml:space="preserve">442450006;
</t>
  </si>
  <si>
    <t xml:space="preserve">       Remission</t>
  </si>
  <si>
    <t>ST.DE.383</t>
  </si>
  <si>
    <t>Remission</t>
  </si>
  <si>
    <t>remission</t>
  </si>
  <si>
    <t>442288006</t>
  </si>
  <si>
    <t xml:space="preserve">       Resolved</t>
  </si>
  <si>
    <t>ST.DE.384</t>
  </si>
  <si>
    <t>Resolved</t>
  </si>
  <si>
    <t>resolved</t>
  </si>
  <si>
    <t>ST.DE.385</t>
  </si>
  <si>
    <t>STI treatment medication history</t>
  </si>
  <si>
    <t>ST.DE.036</t>
  </si>
  <si>
    <t>Medication used for past or current treatment, if known or can be determined</t>
  </si>
  <si>
    <t>1. Registration-optional</t>
  </si>
  <si>
    <t>Patient.address</t>
  </si>
  <si>
    <t>WHO-STI MedicationStatement (Medication History)</t>
  </si>
  <si>
    <t>STI-Medications</t>
  </si>
  <si>
    <t>Client address city</t>
  </si>
  <si>
    <t>Patient.address.city</t>
  </si>
  <si>
    <t>Drug allergies</t>
  </si>
  <si>
    <t>ST.DE.068</t>
  </si>
  <si>
    <t>Any known medical allergies of the client.</t>
  </si>
  <si>
    <t>AllergyIntolerance.code</t>
  </si>
  <si>
    <t>AllergyIntolerance.category = medication</t>
  </si>
  <si>
    <t>Client address country</t>
  </si>
  <si>
    <t>WHO-Core AllergyIntolerance (Drug Allergies)</t>
  </si>
  <si>
    <t>Patient.address.country</t>
  </si>
  <si>
    <t>Client address postal code</t>
  </si>
  <si>
    <t>Patient.address.postalCode</t>
  </si>
  <si>
    <t>WIll be specific to a country, therefore codes would most likely be local?</t>
  </si>
  <si>
    <t>la32-8</t>
  </si>
  <si>
    <t>Client address state</t>
  </si>
  <si>
    <t>Patient.address.state</t>
  </si>
  <si>
    <t>Client address use</t>
  </si>
  <si>
    <t>la12688-0</t>
  </si>
  <si>
    <t>Patient.address.use</t>
  </si>
  <si>
    <t>http://hl7.org/fhir/address-use</t>
  </si>
  <si>
    <t>ST.DE.299</t>
  </si>
  <si>
    <t>allergy plus med</t>
  </si>
  <si>
    <t>70618</t>
  </si>
  <si>
    <t>c0220892</t>
  </si>
  <si>
    <t>Telecom1</t>
  </si>
  <si>
    <t>Slice</t>
  </si>
  <si>
    <t>Patient.telecom</t>
  </si>
  <si>
    <t>Patient.telecom.rank = 1</t>
  </si>
  <si>
    <t xml:space="preserve">       PrEP tenofovir disoproxil fumarate </t>
  </si>
  <si>
    <t>ST.DE.300</t>
  </si>
  <si>
    <t xml:space="preserve">PrEP tenofovir disoproxil fumarate </t>
  </si>
  <si>
    <t>TDF)</t>
  </si>
  <si>
    <t>Client Telephone number</t>
  </si>
  <si>
    <t>117466</t>
  </si>
  <si>
    <t>c0384228</t>
  </si>
  <si>
    <t>Telephone number</t>
  </si>
  <si>
    <t>Patient.contact.telecom</t>
  </si>
  <si>
    <t>Must be a minimum of 'x' number of digits</t>
  </si>
  <si>
    <t>Must be 10 digits and must start with 0.</t>
  </si>
  <si>
    <t>Telecom1.value</t>
  </si>
  <si>
    <t>Patient.telecom.value</t>
  </si>
  <si>
    <t xml:space="preserve">Other </t>
  </si>
  <si>
    <t>specify)</t>
  </si>
  <si>
    <t>concept</t>
  </si>
  <si>
    <t>Telecom2</t>
  </si>
  <si>
    <t>Patient.telecom.rank = 2</t>
  </si>
  <si>
    <t>Other (specify) - Drug allergies</t>
  </si>
  <si>
    <t>Include if drug allergies = Other (specify)</t>
  </si>
  <si>
    <t>Telephone number -2</t>
  </si>
  <si>
    <t>AllergyIntolerance.code.text</t>
  </si>
  <si>
    <t>Patient.comtact.telecom</t>
  </si>
  <si>
    <t>Confirmation date for positive HIV test OR HIV test date, HIV test result</t>
  </si>
  <si>
    <t>Telecom2.value</t>
  </si>
  <si>
    <t>date plus HIV test result--that is above</t>
  </si>
  <si>
    <t>https://github.com/who-int/Data-Dictionary-Mapping/issues/100</t>
  </si>
  <si>
    <t>Enrollment date into HIV care</t>
  </si>
  <si>
    <t>comms_consent</t>
  </si>
  <si>
    <t>Is it okay to contact the client?</t>
  </si>
  <si>
    <t>ST.DE.039</t>
  </si>
  <si>
    <t>Patient.communication.consent</t>
  </si>
  <si>
    <t>WHO-Core Observation (HIV Care Enrollment)</t>
  </si>
  <si>
    <t>45235-9</t>
  </si>
  <si>
    <t>Whether the client would like to receive reminders about follow up care</t>
  </si>
  <si>
    <t>Yes/No</t>
  </si>
  <si>
    <t>PrEP status</t>
  </si>
  <si>
    <t>ST.DE.040</t>
  </si>
  <si>
    <t>WHO-Core Observation (PrEP Status)</t>
  </si>
  <si>
    <t>How the client would like to be contacted</t>
  </si>
  <si>
    <t>MC</t>
  </si>
  <si>
    <t>PreP plys yes or no</t>
  </si>
  <si>
    <t>Should be modelled differently... either they're on pre-exposure prophylaxis or they are not, those are likely values to another question</t>
  </si>
  <si>
    <t xml:space="preserve">       Telephone
</t>
  </si>
  <si>
    <t>Start date for antiretroviral therapy</t>
  </si>
  <si>
    <t xml:space="preserve">Telephone
</t>
  </si>
  <si>
    <t>ST.DE.041</t>
  </si>
  <si>
    <t>extension needed</t>
  </si>
  <si>
    <t xml:space="preserve">       Text</t>
  </si>
  <si>
    <t>Antiretroviral regimen (date and dose)</t>
  </si>
  <si>
    <t>ST.DE.042</t>
  </si>
  <si>
    <t>MedicationStatement.dosage</t>
  </si>
  <si>
    <t xml:space="preserve">       Email</t>
  </si>
  <si>
    <t>Should be modelled differently... these are all meds that should be a part of a patient's active medication list.</t>
  </si>
  <si>
    <t>Email</t>
  </si>
  <si>
    <t>History of contraceptive use</t>
  </si>
  <si>
    <t xml:space="preserve">       Postal letter</t>
  </si>
  <si>
    <t>ST.DE.303</t>
  </si>
  <si>
    <t>Postal letter</t>
  </si>
  <si>
    <t>420209000 snomed</t>
  </si>
  <si>
    <t xml:space="preserve">Alternate contact name 
Name of next Of Kin </t>
  </si>
  <si>
    <t>patient.contact.name</t>
  </si>
  <si>
    <t>Contraceptive history - Device-based</t>
  </si>
  <si>
    <t>Name of an alternate contact or next of kin (e.g. partner, husband, mother, etc).
Who can we contact in case need arises?</t>
  </si>
  <si>
    <t>Patient.contact.name</t>
  </si>
  <si>
    <t>ST.DE.406</t>
  </si>
  <si>
    <t>Contraceptive history</t>
  </si>
  <si>
    <t>Alternate contact phone number
Contact of next of Kin</t>
  </si>
  <si>
    <t>patient.contact.telecom</t>
  </si>
  <si>
    <t>No
Must be a minimum of 'x' number of digits</t>
  </si>
  <si>
    <t>Patient.contact.telecom.value</t>
  </si>
  <si>
    <t>Alternate contact address</t>
  </si>
  <si>
    <t>Contraceptive history - Medication-based</t>
  </si>
  <si>
    <t>patient.contact.address</t>
  </si>
  <si>
    <t>Patient.contact.address.text</t>
  </si>
  <si>
    <t>Alternate contact relationship</t>
  </si>
  <si>
    <t>Contraceptive history - Procedure-based</t>
  </si>
  <si>
    <t>Patient.contact.relationship</t>
  </si>
  <si>
    <t>Caretaker</t>
  </si>
  <si>
    <t>Patient.contact</t>
  </si>
  <si>
    <t>Patient.contact.relationship = 'T'</t>
  </si>
  <si>
    <t>Name of caretaker</t>
  </si>
  <si>
    <t>Contraceptive history - CarePlan-based</t>
  </si>
  <si>
    <t>If a minor or has a disability, the name (first and family name) of a primary caretaker, if not the client.</t>
  </si>
  <si>
    <t>Only letters and special character "-"</t>
  </si>
  <si>
    <t>Include if  client is a dependent.</t>
  </si>
  <si>
    <t>Caretaker.name</t>
  </si>
  <si>
    <t>STI Care Recommendation</t>
  </si>
  <si>
    <t>person_attribute</t>
  </si>
  <si>
    <t>caretaker_name</t>
  </si>
  <si>
    <t>Stored as an OBS (https://github.com/METS-Programme/openmrs-module-aijar/blob/ecbbe10323b86d02a352bf6cd5976f07800e18f1/omod/src/main/webapp/resources/htmlforms/055b-HCTClientCard.xml#L211)</t>
  </si>
  <si>
    <t>WHO-STI CarePlan (Recommendation)</t>
  </si>
  <si>
    <t>Phone number of caretaker</t>
  </si>
  <si>
    <t xml:space="preserve">The phone number of the caretaker, if not the client.  </t>
  </si>
  <si>
    <t>10 digits total, must start with 0</t>
  </si>
  <si>
    <t xml:space="preserve">       Perform pregnancy test</t>
  </si>
  <si>
    <t>Caretaker.phoneNumber</t>
  </si>
  <si>
    <t>caretaker_phone</t>
  </si>
  <si>
    <t>ST.DE.311</t>
  </si>
  <si>
    <t>Highest level of education achieved</t>
  </si>
  <si>
    <t>EducationLevel</t>
  </si>
  <si>
    <t>The highest level of school the client has reached.</t>
  </si>
  <si>
    <t>pregnancy test - no tconfirmed result</t>
  </si>
  <si>
    <t>Z31.00; Z32.01; Z32.02</t>
  </si>
  <si>
    <t>Patient.educationLevel</t>
  </si>
  <si>
    <t xml:space="preserve">       Tertiary education</t>
  </si>
  <si>
    <t xml:space="preserve">Tertiary education
</t>
  </si>
  <si>
    <t>ST.DE.030</t>
  </si>
  <si>
    <t xml:space="preserve">Tertiary education
</t>
  </si>
  <si>
    <t>http://terminology.hl7.org/CodeSystem/v3-EducationLevel</t>
  </si>
  <si>
    <t>86643-4</t>
  </si>
  <si>
    <t>BD</t>
  </si>
  <si>
    <t xml:space="preserve">86643-4  (answers= pt reported; lab, POC- all with different LOINCS) </t>
  </si>
  <si>
    <t xml:space="preserve">       High School</t>
  </si>
  <si>
    <t xml:space="preserve">       Patient reported</t>
  </si>
  <si>
    <t>ST.DE.315</t>
  </si>
  <si>
    <t>High School</t>
  </si>
  <si>
    <t>Patient reported</t>
  </si>
  <si>
    <t>plus pregnancy</t>
  </si>
  <si>
    <t>733985002</t>
  </si>
  <si>
    <t xml:space="preserve">
PATRPT. HL7V3</t>
  </si>
  <si>
    <t>HS</t>
  </si>
  <si>
    <t>ST.DE.316</t>
  </si>
  <si>
    <t xml:space="preserve">       Elementary education</t>
  </si>
  <si>
    <t>167252002</t>
  </si>
  <si>
    <t>2106-3; 2112-1</t>
  </si>
  <si>
    <t>17</t>
  </si>
  <si>
    <t>Elementary education</t>
  </si>
  <si>
    <t>ELEM</t>
  </si>
  <si>
    <t>ST.DE.317</t>
  </si>
  <si>
    <t xml:space="preserve">       No education</t>
  </si>
  <si>
    <t>166434005</t>
  </si>
  <si>
    <t>2118-8; 2110-5</t>
  </si>
  <si>
    <t>No education</t>
  </si>
  <si>
    <t xml:space="preserve"> Extension Needed</t>
  </si>
  <si>
    <t>ST.DE.318</t>
  </si>
  <si>
    <t>WorkClassificationODH</t>
  </si>
  <si>
    <t>169563005</t>
  </si>
  <si>
    <t>ST.DE.319</t>
  </si>
  <si>
    <t>way too specific... or maybe I don't understand intention? :)  an individual learns of their pregancy by being instructed on a pregnancy test and how it works? :D</t>
  </si>
  <si>
    <t>Recent abortion or miscarriage</t>
  </si>
  <si>
    <t>ST.DE.223</t>
  </si>
  <si>
    <t>WHO-STI Observation (Recent Abortion or Miscarriage)</t>
  </si>
  <si>
    <t>17369002</t>
  </si>
  <si>
    <t>need to include time; this is only for SAB</t>
  </si>
  <si>
    <t>Reported symptoms</t>
  </si>
  <si>
    <t>ST.DE.047</t>
  </si>
  <si>
    <t>WHO-STI Observation (Reported Symptoms)</t>
  </si>
  <si>
    <t>ST.DE.200</t>
  </si>
  <si>
    <t>Include if gender !=male</t>
  </si>
  <si>
    <t>STI.IND.07</t>
  </si>
  <si>
    <t>DL - Chief complaint, lower abdomenal, Vaginal Discharge, Exams</t>
  </si>
  <si>
    <t>include if gender is male? is that mistake?</t>
  </si>
  <si>
    <t>289567003</t>
  </si>
  <si>
    <t xml:space="preserve">       Vulval or vaginal Irritation</t>
  </si>
  <si>
    <t>ST.DE.146</t>
  </si>
  <si>
    <t>Vulval or vaginal Irritation</t>
  </si>
  <si>
    <t>Insurance coverage</t>
  </si>
  <si>
    <t xml:space="preserve">1.9 Billing </t>
  </si>
  <si>
    <t>16186004</t>
  </si>
  <si>
    <t>Does the client have insurance coverage?</t>
  </si>
  <si>
    <t xml:space="preserve">True/False
</t>
  </si>
  <si>
    <t>RE</t>
  </si>
  <si>
    <t xml:space="preserve">       Abdominal guarding</t>
  </si>
  <si>
    <t>Insurance status</t>
  </si>
  <si>
    <t>ST.DE.224</t>
  </si>
  <si>
    <t>Abdominal guarding</t>
  </si>
  <si>
    <t>Coverage.status</t>
  </si>
  <si>
    <t>DL Lower Abdomenal</t>
  </si>
  <si>
    <t>Coverage.status.code</t>
  </si>
  <si>
    <t>http://hl7.org/fhir/fm-status</t>
  </si>
  <si>
    <t>249545003</t>
  </si>
  <si>
    <t xml:space="preserve">Insurance type </t>
  </si>
  <si>
    <t xml:space="preserve">       Rebound tenderness</t>
  </si>
  <si>
    <t>Coverage.type</t>
  </si>
  <si>
    <t>ST.DE.225</t>
  </si>
  <si>
    <t>Coverage.type.code</t>
  </si>
  <si>
    <t>Rebound tenderness</t>
  </si>
  <si>
    <t>http://terminology.hl7.org/ValueSet/v3-ActCoverageTypeCode</t>
  </si>
  <si>
    <t>35611005</t>
  </si>
  <si>
    <t>Insurance ID</t>
  </si>
  <si>
    <t>Coverage.subscriberID</t>
  </si>
  <si>
    <t xml:space="preserve">       Abdominal mass</t>
  </si>
  <si>
    <t xml:space="preserve">Member's ID or plan ID? </t>
  </si>
  <si>
    <t>ST.DE.226</t>
  </si>
  <si>
    <t>Abdominal mass</t>
  </si>
  <si>
    <t>271860004</t>
  </si>
  <si>
    <t>Payment method</t>
  </si>
  <si>
    <t>Look up if there's a FHIR LOV here</t>
  </si>
  <si>
    <t xml:space="preserve">       Cervical motion tenderness</t>
  </si>
  <si>
    <t>ST.DE.227</t>
  </si>
  <si>
    <t>Cervical motion tenderness</t>
  </si>
  <si>
    <t>DL Lower Abdomenal, Exams</t>
  </si>
  <si>
    <t xml:space="preserve">       Self-pay</t>
  </si>
  <si>
    <t>289815006</t>
  </si>
  <si>
    <t>Self-pay</t>
  </si>
  <si>
    <t xml:space="preserve">       Pain in lower abdomen during pelvic examination</t>
  </si>
  <si>
    <t>ST.DE.202</t>
  </si>
  <si>
    <t>Pain in lower abdomen during pelvic examination</t>
  </si>
  <si>
    <t xml:space="preserve">       Government</t>
  </si>
  <si>
    <t>DL - Chief complaint, lower abdomenal, Exams</t>
  </si>
  <si>
    <t>54586004</t>
  </si>
  <si>
    <t>Government</t>
  </si>
  <si>
    <t xml:space="preserve">       Ulcer(s) improving</t>
  </si>
  <si>
    <t>ST.DE.240</t>
  </si>
  <si>
    <t>Ulcer(s) improving</t>
  </si>
  <si>
    <t>DL Genital ulcer return visit</t>
  </si>
  <si>
    <t>25845007</t>
  </si>
  <si>
    <t>??ULSER</t>
  </si>
  <si>
    <t xml:space="preserve">       Insurance</t>
  </si>
  <si>
    <t xml:space="preserve">       Ulcer(s) healed</t>
  </si>
  <si>
    <t>Insurance</t>
  </si>
  <si>
    <t>ST.DE.239</t>
  </si>
  <si>
    <t>Ulcer(s) healed</t>
  </si>
  <si>
    <t>125313005</t>
  </si>
  <si>
    <t>? ULCER</t>
  </si>
  <si>
    <t>Emergency referral</t>
  </si>
  <si>
    <t>4. Referral</t>
  </si>
  <si>
    <t>4.1 Emergency referral</t>
  </si>
  <si>
    <t>Referral for urgent care</t>
  </si>
  <si>
    <t xml:space="preserve">       Adnexal tenderness</t>
  </si>
  <si>
    <t>ST.DE.269</t>
  </si>
  <si>
    <t>Adnexal tenderness</t>
  </si>
  <si>
    <t>DL Exams</t>
  </si>
  <si>
    <t>297123002</t>
  </si>
  <si>
    <t>ST.DE.059</t>
  </si>
  <si>
    <t>FP.DE.081</t>
  </si>
  <si>
    <t>Indicate danger signs which resulted in a client being given an emergency referral.</t>
  </si>
  <si>
    <t>Cannot select "None" with any other choice</t>
  </si>
  <si>
    <t xml:space="preserve">       Uterine tenderness</t>
  </si>
  <si>
    <t>ST.DE.331</t>
  </si>
  <si>
    <t>Uterine tenderness</t>
  </si>
  <si>
    <t>Treatment given before referral</t>
  </si>
  <si>
    <t>R10.2; R10.819; N94.89; N85.8; R10</t>
  </si>
  <si>
    <t>289667007</t>
  </si>
  <si>
    <t>ST.DE.060</t>
  </si>
  <si>
    <t>FP.DE.082</t>
  </si>
  <si>
    <t>Any treatment provided prior to the referral, including medications.</t>
  </si>
  <si>
    <t xml:space="preserve">       Ulcer in reproductive tract</t>
  </si>
  <si>
    <t>ST.DE.332</t>
  </si>
  <si>
    <t>Ulcer in reproductive tract</t>
  </si>
  <si>
    <t>Urethral (8041002) and Vaginal (31066003) ulcers are valid answers, but there's no implied precoordinated value set for tract ulcer</t>
  </si>
  <si>
    <t>260413007</t>
  </si>
  <si>
    <t>ST.DE.333</t>
  </si>
  <si>
    <t xml:space="preserve">nothing specific for foul </t>
  </si>
  <si>
    <t>366296005</t>
  </si>
  <si>
    <t>odorous; 366296005</t>
  </si>
  <si>
    <t>95837007</t>
  </si>
  <si>
    <t>ST.DE.334</t>
  </si>
  <si>
    <t>uh.. way too specific</t>
  </si>
  <si>
    <t>ST.DE.231</t>
  </si>
  <si>
    <t>MG26</t>
  </si>
  <si>
    <t>DL Genital ulcer</t>
  </si>
  <si>
    <t>N76.5;S30.824D</t>
  </si>
  <si>
    <t>blister of vagina</t>
  </si>
  <si>
    <t>8A8Z</t>
  </si>
  <si>
    <t xml:space="preserve">       Vulval oedema</t>
  </si>
  <si>
    <t>ST.DE.221</t>
  </si>
  <si>
    <t>Vulval oedema</t>
  </si>
  <si>
    <t>DL Vaginal Discharge</t>
  </si>
  <si>
    <t>36311007</t>
  </si>
  <si>
    <t>9D7Z</t>
  </si>
  <si>
    <t>63102001</t>
  </si>
  <si>
    <t>SUM of Total</t>
  </si>
  <si>
    <t>AllergyIntolerance</t>
  </si>
  <si>
    <t>WHO-Core AllergyIntolerance</t>
  </si>
  <si>
    <t xml:space="preserve">       Vulval erythema (redness)</t>
  </si>
  <si>
    <t>ST.DE.218</t>
  </si>
  <si>
    <t>Vulval erythema (redness)</t>
  </si>
  <si>
    <t>Appointment</t>
  </si>
  <si>
    <t>DL Vaginal Discharge, Exams</t>
  </si>
  <si>
    <t>CarePlan</t>
  </si>
  <si>
    <t>289485008</t>
  </si>
  <si>
    <t>302772006</t>
  </si>
  <si>
    <t>CarePlan.activity</t>
  </si>
  <si>
    <t xml:space="preserve">       Testis rotated or elevated</t>
  </si>
  <si>
    <t>CarePlan.activity.detail.reasonCode</t>
  </si>
  <si>
    <t>CarePlan.activity.detail.reasonCode.text</t>
  </si>
  <si>
    <t>CarePlan.description</t>
  </si>
  <si>
    <t>Communication</t>
  </si>
  <si>
    <t>WHO-STI Communication (Partner)</t>
  </si>
  <si>
    <t>Communication.medium</t>
  </si>
  <si>
    <t>ST.DE.216</t>
  </si>
  <si>
    <t>Communication.note</t>
  </si>
  <si>
    <t>Testis rotated or elevated</t>
  </si>
  <si>
    <t>Communication.recipient</t>
  </si>
  <si>
    <t>Include if gender !=female</t>
  </si>
  <si>
    <t>Communication.sent</t>
  </si>
  <si>
    <t>DL Scrotal swelling</t>
  </si>
  <si>
    <t>Communication.status</t>
  </si>
  <si>
    <t>Communication.statusReason</t>
  </si>
  <si>
    <t>MG3Z</t>
  </si>
  <si>
    <t>Condition</t>
  </si>
  <si>
    <t>76948002</t>
  </si>
  <si>
    <t>Q53.9</t>
  </si>
  <si>
    <t>WHO-STI Condition (Diagnosis)</t>
  </si>
  <si>
    <t>undescedned testes
261257. MEDCIN</t>
  </si>
  <si>
    <t>Condition.evidence.code</t>
  </si>
  <si>
    <t>WHO-STI Condition (HIV)</t>
  </si>
  <si>
    <t>Condition.onset[x]</t>
  </si>
  <si>
    <t>Condition.STIConditionType</t>
  </si>
  <si>
    <t>Consent</t>
  </si>
  <si>
    <t xml:space="preserve">       Mouth sores</t>
  </si>
  <si>
    <t>Coverage</t>
  </si>
  <si>
    <t>WHO-Core Coverage (Insurance)</t>
  </si>
  <si>
    <t>Coverage.method</t>
  </si>
  <si>
    <t>ST.DE.214</t>
  </si>
  <si>
    <t>Mouth sores</t>
  </si>
  <si>
    <t>R10.9</t>
  </si>
  <si>
    <t>DeviceUseStatement</t>
  </si>
  <si>
    <t>DL Chief complaint</t>
  </si>
  <si>
    <t>Encounter</t>
  </si>
  <si>
    <t>26284000</t>
  </si>
  <si>
    <t>oral ulcer</t>
  </si>
  <si>
    <t>HealthcareService</t>
  </si>
  <si>
    <t>Medication</t>
  </si>
  <si>
    <t>WHO-STI Medication</t>
  </si>
  <si>
    <t>Medication.form</t>
  </si>
  <si>
    <t>Medication.warning</t>
  </si>
  <si>
    <t>MedicationAdministration</t>
  </si>
  <si>
    <t>WHO-STI MedicationAdministration</t>
  </si>
  <si>
    <t>MedicationAdministration.dosage</t>
  </si>
  <si>
    <t>MedicationAdministration.dosage.route</t>
  </si>
  <si>
    <t>MedicationAdministration.effective[x]</t>
  </si>
  <si>
    <t xml:space="preserve">       Mouth ulcers</t>
  </si>
  <si>
    <t>MedicationStatement</t>
  </si>
  <si>
    <t>ST.DE.213</t>
  </si>
  <si>
    <t>MB20.1</t>
  </si>
  <si>
    <t>Mouth ulcers</t>
  </si>
  <si>
    <t>418107008</t>
  </si>
  <si>
    <t>Reason for referral</t>
  </si>
  <si>
    <t>WHO-STI MedicationStatement (Current Medication)</t>
  </si>
  <si>
    <t>MedicationStatement.treatmentType</t>
  </si>
  <si>
    <t>4.2  Identify referral options</t>
  </si>
  <si>
    <t>ST.DE.061</t>
  </si>
  <si>
    <t>FP.DE.083</t>
  </si>
  <si>
    <t>Reason why the patient is being referred. If diagnosed, this may include the reason for the diagnosis.</t>
  </si>
  <si>
    <t>MC Select one</t>
  </si>
  <si>
    <t>Observation</t>
  </si>
  <si>
    <t xml:space="preserve">       Painful urination</t>
  </si>
  <si>
    <t xml:space="preserve">       Family planning procedure</t>
  </si>
  <si>
    <t>ST.DE.210</t>
  </si>
  <si>
    <t>Painful urination</t>
  </si>
  <si>
    <t>Referral for family planning (procedure)</t>
  </si>
  <si>
    <t>Family planning procedure</t>
  </si>
  <si>
    <t>dysuria. x</t>
  </si>
  <si>
    <t>49650001</t>
  </si>
  <si>
    <t xml:space="preserve">       Screening referral</t>
  </si>
  <si>
    <t xml:space="preserve">       Urethral discharge</t>
  </si>
  <si>
    <t>ST.DE.209</t>
  </si>
  <si>
    <t>Urethral discharge</t>
  </si>
  <si>
    <t>Referral for screening including diagnostics and lab testing</t>
  </si>
  <si>
    <t>Screening referral</t>
  </si>
  <si>
    <t>DL Chief complaint, Vaginal Discharge</t>
  </si>
  <si>
    <t>R36.9</t>
  </si>
  <si>
    <t>9957009</t>
  </si>
  <si>
    <t xml:space="preserve">       Other referral</t>
  </si>
  <si>
    <t>Referral for a general service</t>
  </si>
  <si>
    <t>Other referral</t>
  </si>
  <si>
    <t xml:space="preserve">       Groin lumps</t>
  </si>
  <si>
    <t>ST.DE.207</t>
  </si>
  <si>
    <t>Groin lumps</t>
  </si>
  <si>
    <t>WHO-STI Observation (Disease Exposure)</t>
  </si>
  <si>
    <t>DL Chief complaint, Exams</t>
  </si>
  <si>
    <t>WHO-STI Observation (External Genital Examination)</t>
  </si>
  <si>
    <t>Clarify with WHO</t>
  </si>
  <si>
    <t>4.6 Facility can accommodate?</t>
  </si>
  <si>
    <t>WHO-STI Observation (LGV Follow-up)</t>
  </si>
  <si>
    <t>WHO-STI Observation (Partner HIV Status)</t>
  </si>
  <si>
    <t>R22</t>
  </si>
  <si>
    <t>WHO-STI Observation (Partner Symptoms)</t>
  </si>
  <si>
    <t>281398003</t>
  </si>
  <si>
    <t>SNOMED_ inguinal mass</t>
  </si>
  <si>
    <t>WHO-STI Observation (Recent Syphilis Treatment)</t>
  </si>
  <si>
    <t>WHO-STI Observation (Speculum Examination)</t>
  </si>
  <si>
    <t xml:space="preserve">       Groin swelling</t>
  </si>
  <si>
    <t>WHO-STI Observation (STI Screening)</t>
  </si>
  <si>
    <t xml:space="preserve">       Referral needed</t>
  </si>
  <si>
    <t>Observation.code.text</t>
  </si>
  <si>
    <t>Observation.complicated</t>
  </si>
  <si>
    <t>ST.DE.206</t>
  </si>
  <si>
    <t>Observation.status</t>
  </si>
  <si>
    <t>ST.DE.230</t>
  </si>
  <si>
    <t>Groin swelling</t>
  </si>
  <si>
    <t>Referral needed</t>
  </si>
  <si>
    <t>WHO-STI Observation (Syphilis Stage)</t>
  </si>
  <si>
    <t>WHO-STI Observation (Trauma History)</t>
  </si>
  <si>
    <t>DL Chief complaint, Exams, Scrotal Swelling</t>
  </si>
  <si>
    <t>Patient</t>
  </si>
  <si>
    <t>R19.09; R22.41</t>
  </si>
  <si>
    <t>274743004</t>
  </si>
  <si>
    <t>Patient.contact.address</t>
  </si>
  <si>
    <t>Date of scheduled referral appointment</t>
  </si>
  <si>
    <t>4.7 Provide information to destination facility</t>
  </si>
  <si>
    <t>ST.DE.062</t>
  </si>
  <si>
    <t>FP.DE.084</t>
  </si>
  <si>
    <t>When the referral is scheduled</t>
  </si>
  <si>
    <t>Patient.insurance</t>
  </si>
  <si>
    <t>57202-4</t>
  </si>
  <si>
    <t>Patient.Occupation</t>
  </si>
  <si>
    <t>WHO-STI Patient</t>
  </si>
  <si>
    <t>Patient.contact.consentToContact</t>
  </si>
  <si>
    <t xml:space="preserve">       Genital blisters</t>
  </si>
  <si>
    <t>Patient.contact.contactNeeded</t>
  </si>
  <si>
    <t>Practitioner</t>
  </si>
  <si>
    <t>Location of scheduled referral appointment</t>
  </si>
  <si>
    <t>Practitioner.address</t>
  </si>
  <si>
    <t>Procedure</t>
  </si>
  <si>
    <t>ST.DE.063</t>
  </si>
  <si>
    <t>FP.DE.085</t>
  </si>
  <si>
    <t>ST.DE.205</t>
  </si>
  <si>
    <t>Where the client is being referred to</t>
  </si>
  <si>
    <t>Location.identifier</t>
  </si>
  <si>
    <t>Genital blisters</t>
  </si>
  <si>
    <t>WHO-STI Procedure (Service Provided)</t>
  </si>
  <si>
    <t>? traumatic?</t>
  </si>
  <si>
    <t>Procedure.code.text</t>
  </si>
  <si>
    <t>283130009</t>
  </si>
  <si>
    <t>Procedure.outcome.text</t>
  </si>
  <si>
    <t>ServiceRequest</t>
  </si>
  <si>
    <t xml:space="preserve">HIV Referral Recommended Date </t>
  </si>
  <si>
    <t>ServiceRequest.authoredOn</t>
  </si>
  <si>
    <t>ServiceRequest.category</t>
  </si>
  <si>
    <t>ServiceRequest.code</t>
  </si>
  <si>
    <t>ServiceRequest.locationReference</t>
  </si>
  <si>
    <t>ST.DE.064</t>
  </si>
  <si>
    <t>FP.DE.086</t>
  </si>
  <si>
    <t>ServiceRequest.occurrence[x]</t>
  </si>
  <si>
    <t xml:space="preserve">A date at which a clinician identifies that a clinical or laboratory finding on HIV status requires a referral to a different provider for a medical visit and the client has been provided knowledge of that referral. The referred provider and location is summarized as well as any relevant diagnostic or billing codes that help document the need for the referral. This date would be considered the start date for a performance measure that evaluates the time that it takes for a necessary referral period to be completed. </t>
  </si>
  <si>
    <t>Specimen</t>
  </si>
  <si>
    <t>WHO-STI Specimen</t>
  </si>
  <si>
    <t>Specimen.collection</t>
  </si>
  <si>
    <t>86664-0</t>
  </si>
  <si>
    <t xml:space="preserve">       Anogenital sores</t>
  </si>
  <si>
    <t>ST.DE.204</t>
  </si>
  <si>
    <t xml:space="preserve">HIV Referral Visit Completed Date </t>
  </si>
  <si>
    <t>Anogenital sores</t>
  </si>
  <si>
    <t>ST.DE.065</t>
  </si>
  <si>
    <t>FP.DE.087</t>
  </si>
  <si>
    <t xml:space="preserve">The site that found a need for a referral receives documentation that the medical visit took place and enters the date of that visit. This date would be considered the end date for a performance measure that evaluates the time that it takes for a necessary referral period to be completed. </t>
  </si>
  <si>
    <t>NEED VALUE SET</t>
  </si>
  <si>
    <t>38864007</t>
  </si>
  <si>
    <t>SNOMED_ anogenital REGION-not sores</t>
  </si>
  <si>
    <t xml:space="preserve">Date referral was made
</t>
  </si>
  <si>
    <t>4.8 Fill out referral details</t>
  </si>
  <si>
    <t>ST.DE.066</t>
  </si>
  <si>
    <t>FP.DE.088</t>
  </si>
  <si>
    <t>The date the referral was made.</t>
  </si>
  <si>
    <t xml:space="preserve">       Groin ulcer</t>
  </si>
  <si>
    <t>ST.DE.208</t>
  </si>
  <si>
    <t>Groin ulcer</t>
  </si>
  <si>
    <t xml:space="preserve">Existing co-illness </t>
  </si>
  <si>
    <t>ST.DE.067</t>
  </si>
  <si>
    <t>FP.DE.089</t>
  </si>
  <si>
    <t>Any existing conditions.</t>
  </si>
  <si>
    <t>String</t>
  </si>
  <si>
    <t>missing SNOMED code.. there's lots of body locations for ulcers, and there's lots of groin lesions that aren't ulcers. :(</t>
  </si>
  <si>
    <t xml:space="preserve">       Conditions</t>
  </si>
  <si>
    <t>Conditions</t>
  </si>
  <si>
    <t>ST.DE.203</t>
  </si>
  <si>
    <t xml:space="preserve">FP.IND.04 </t>
  </si>
  <si>
    <t xml:space="preserve">Known allergies </t>
  </si>
  <si>
    <t>ulcer of female genital organs X</t>
  </si>
  <si>
    <t>95595006</t>
  </si>
  <si>
    <t>FP.DE.090</t>
  </si>
  <si>
    <t xml:space="preserve">       Anogenital warts</t>
  </si>
  <si>
    <t xml:space="preserve">Procedures performed prior to referral </t>
  </si>
  <si>
    <t>ST.DE.069</t>
  </si>
  <si>
    <t>FP.DE.091</t>
  </si>
  <si>
    <t>Any procedures performed.</t>
  </si>
  <si>
    <t>SNOMED- DUE TO Papilloma</t>
  </si>
  <si>
    <t>visit notes</t>
  </si>
  <si>
    <t>ST.DE.070</t>
  </si>
  <si>
    <t>FP.DE.092</t>
  </si>
  <si>
    <t>Visit notes</t>
  </si>
  <si>
    <t xml:space="preserve">       Cervical infection</t>
  </si>
  <si>
    <t>DL Vaginal discharge, Treatment</t>
  </si>
  <si>
    <t>infection of the cervix can not be a symptom... this needs to be clarified</t>
  </si>
  <si>
    <t xml:space="preserve">Purpose: To track structural changes in the DD (i.e. deleting, splitting, and combining rows) </t>
  </si>
  <si>
    <t>Original Data element number(s)</t>
  </si>
  <si>
    <t xml:space="preserve">Type of change </t>
  </si>
  <si>
    <t xml:space="preserve">Reason for change </t>
  </si>
  <si>
    <t>New data element number (if new row created)</t>
  </si>
  <si>
    <t>Level of urgency for the referral</t>
  </si>
  <si>
    <t xml:space="preserve">       Genital pruritus (itching)</t>
  </si>
  <si>
    <t>What input options? Clarify with WHO.</t>
  </si>
  <si>
    <t>ST.DE.071</t>
  </si>
  <si>
    <t>FP.DE.093</t>
  </si>
  <si>
    <t>Indicate if it is an urgent referral.</t>
  </si>
  <si>
    <t>MC-Select One</t>
  </si>
  <si>
    <t>ST.DE.201</t>
  </si>
  <si>
    <t>Genital pruritus (itching)</t>
  </si>
  <si>
    <t>DL Chief complaint, vaginal discharge</t>
  </si>
  <si>
    <t>female X</t>
  </si>
  <si>
    <t>95596009</t>
  </si>
  <si>
    <t>Contact and address of primary provider</t>
  </si>
  <si>
    <t>ST.DE.072</t>
  </si>
  <si>
    <t>FP.DE.094</t>
  </si>
  <si>
    <t>Row Added</t>
  </si>
  <si>
    <t>The contact details of the primary provider or clinician.</t>
  </si>
  <si>
    <t>ST.DE.222</t>
  </si>
  <si>
    <t>Practioner.address.text</t>
  </si>
  <si>
    <t>Row Deleted</t>
  </si>
  <si>
    <t>Redundant with ID 1721</t>
  </si>
  <si>
    <t>Redundant with ID 1727</t>
  </si>
  <si>
    <t>DL Vaginal discharge</t>
  </si>
  <si>
    <t>Redundant with ID 1729</t>
  </si>
  <si>
    <t>Redundant with ID 1731</t>
  </si>
  <si>
    <t>Redundant with ID 1251</t>
  </si>
  <si>
    <t>creamy Vag DC</t>
  </si>
  <si>
    <t>289553007</t>
  </si>
  <si>
    <t>Redundant with ID 1252</t>
  </si>
  <si>
    <t>Redundant with ID 1254</t>
  </si>
  <si>
    <t>Redundant with ID 1255</t>
  </si>
  <si>
    <t>Redundant with ID 1256</t>
  </si>
  <si>
    <t>Any other detail of clinical significance</t>
  </si>
  <si>
    <t>Redundant with ID 1755</t>
  </si>
  <si>
    <t>Redundant with ID 1756</t>
  </si>
  <si>
    <t>Redundant with ID 1757</t>
  </si>
  <si>
    <t>Redundant with ID 1758</t>
  </si>
  <si>
    <t>Redundant with ID 1402</t>
  </si>
  <si>
    <t>ST.DE.073</t>
  </si>
  <si>
    <t>No meaningful row content</t>
  </si>
  <si>
    <t>FP.DE.096</t>
  </si>
  <si>
    <t>Any additional relevant details for the referral facility to provide care.</t>
  </si>
  <si>
    <t xml:space="preserve">       Irregular period without heavy bleeding</t>
  </si>
  <si>
    <t>Redundant with ID 1387</t>
  </si>
  <si>
    <t>Copied Contraceptive methods from another question</t>
  </si>
  <si>
    <t>ST.DE.212</t>
  </si>
  <si>
    <t>Irregular period without heavy bleeding</t>
  </si>
  <si>
    <t>Contact client</t>
  </si>
  <si>
    <t>8. Follow up tracking</t>
  </si>
  <si>
    <t xml:space="preserve">8.5. Contact client? </t>
  </si>
  <si>
    <t>Communication made</t>
  </si>
  <si>
    <t>8.6. Send follow up reminder</t>
  </si>
  <si>
    <t>ST.DE.335</t>
  </si>
  <si>
    <t>Communication sent</t>
  </si>
  <si>
    <t>Heavy or prolonged bleeding (including regular and irregular patterns)</t>
  </si>
  <si>
    <t>Redundant with 1501</t>
  </si>
  <si>
    <t>Redundant with 1502</t>
  </si>
  <si>
    <t>Redundant with 1503</t>
  </si>
  <si>
    <t>Redundant with 1504</t>
  </si>
  <si>
    <t>Redundant with 1486</t>
  </si>
  <si>
    <t>Row Split into Multiple Rows</t>
  </si>
  <si>
    <t>Contraceptive Methods are split into multiple questions, based on type (e.g. implants, intrauterine devices, etc.)</t>
  </si>
  <si>
    <t>2346-2351</t>
  </si>
  <si>
    <t>2354-2356</t>
  </si>
  <si>
    <t>Communication method</t>
  </si>
  <si>
    <t>315224006</t>
  </si>
  <si>
    <t>2357-2359</t>
  </si>
  <si>
    <t>one episode--is htis chronic?</t>
  </si>
  <si>
    <t>2360-2362</t>
  </si>
  <si>
    <t>Redundant with 1381</t>
  </si>
  <si>
    <t>Mode of communication</t>
  </si>
  <si>
    <t xml:space="preserve">       Amenorrhea</t>
  </si>
  <si>
    <t>ST.DE.211</t>
  </si>
  <si>
    <t xml:space="preserve">       SMS</t>
  </si>
  <si>
    <t>Amenorrhea</t>
  </si>
  <si>
    <t>DL: Chief complaint</t>
  </si>
  <si>
    <t>SMS</t>
  </si>
  <si>
    <t>Creatively changed dd modeling for ID 1697</t>
  </si>
  <si>
    <t>Redundant with IDs 2320-2345</t>
  </si>
  <si>
    <t>No detailed description of "condition".  Codes can be put in 1793, existing co-illnesses"</t>
  </si>
  <si>
    <t>Redundant with ID 1921</t>
  </si>
  <si>
    <t xml:space="preserve">       Automated voice</t>
  </si>
  <si>
    <t>Redundant with ID 1320 (Consolidated values)</t>
  </si>
  <si>
    <t>Redundant with ID 1321 (Consolidated values)</t>
  </si>
  <si>
    <t>Redundant with ID 1322 (Consolidated values)</t>
  </si>
  <si>
    <t>Redundant with ID 1323 (Consolidated values)</t>
  </si>
  <si>
    <t>Automated voice</t>
  </si>
  <si>
    <t>Redundant with ID 1324 (Consolidated values)</t>
  </si>
  <si>
    <t>Redundant with ID 1326 (Consolidated values)</t>
  </si>
  <si>
    <t>Redundant with ID 1327 (Consolidated values)</t>
  </si>
  <si>
    <t>Redundant with ID 1287 (Consolidated values)</t>
  </si>
  <si>
    <t>Redundant with ID 1300 (Consolidated values)</t>
  </si>
  <si>
    <t>Redundant with ID 1301 (Consolidated values)</t>
  </si>
  <si>
    <t>DL - Chief complaint, lower abdomenal, Vaginal Discharge, Inguinal bubo</t>
  </si>
  <si>
    <t>Redundant with ID 1302 (Consolidated values)</t>
  </si>
  <si>
    <t>Redundant with ID 1297 (Consolidated values)</t>
  </si>
  <si>
    <t>Redundant with ID 1852 (Consolidated values)</t>
  </si>
  <si>
    <t>Redundant with ID 1853 (Consolidated values)</t>
  </si>
  <si>
    <t>Communication dateTime</t>
  </si>
  <si>
    <t>Redundant with ID 1854 (Consolidated values)</t>
  </si>
  <si>
    <t>Redundant with ID 1855 (Consolidated values)</t>
  </si>
  <si>
    <t>Redundant with ID 1856 (Consolidated values)</t>
  </si>
  <si>
    <t>Redundant with ID 1291 (Consolidated values)</t>
  </si>
  <si>
    <t>Redundant with ID 1292 (Consolidated values)</t>
  </si>
  <si>
    <t>Redundant with ID 1296 (Consolidated values)</t>
  </si>
  <si>
    <t>Redundant with ID 1857 (Consolidated values)</t>
  </si>
  <si>
    <t>Redundant with ID 1294 (Consolidated values)</t>
  </si>
  <si>
    <t>Redundant with ID 1288 (Consolidated values)</t>
  </si>
  <si>
    <t>Redundant with ID 1298 (Consolidated values)</t>
  </si>
  <si>
    <t>Redundant with ID 1858 (Consolidated values)</t>
  </si>
  <si>
    <t>Redundant with ID 1859 (Consolidated values)</t>
  </si>
  <si>
    <t>Other (specify) - Reported symptoms</t>
  </si>
  <si>
    <t>Error received</t>
  </si>
  <si>
    <t>Redundant with ID 1305 (Consolidated values)</t>
  </si>
  <si>
    <t>Redundant with ID 1306 (Consolidated values)</t>
  </si>
  <si>
    <t>Redundant with ID 1307 (Consolidated values)</t>
  </si>
  <si>
    <t>Automated error received on communication outreach</t>
  </si>
  <si>
    <t>Redundant with ID 1309 (Consolidated values)</t>
  </si>
  <si>
    <t>Write in other reported symptoms not included in the list</t>
  </si>
  <si>
    <t>Redundant with ID 1312 (Consolidated values)</t>
  </si>
  <si>
    <t>Include if reported symptoms = Other (specify)</t>
  </si>
  <si>
    <t>Redundant with ID 1313 (Consolidated values)</t>
  </si>
  <si>
    <t>Redundant with ID 1314 (Consolidated values)</t>
  </si>
  <si>
    <t>Error message</t>
  </si>
  <si>
    <t>Message received on error</t>
  </si>
  <si>
    <t>Partner has symptoms</t>
  </si>
  <si>
    <t>Reason contact not made</t>
  </si>
  <si>
    <t>Whether the client's partner has reported similar symptoms</t>
  </si>
  <si>
    <t xml:space="preserve">Include if DSL includes value - used by DSL for vaginal discharge </t>
  </si>
  <si>
    <t>Reason not contacted if client had given consent to be contacted</t>
  </si>
  <si>
    <t>needs to be remodelled into partner history?</t>
  </si>
  <si>
    <t>Reason for removal from list</t>
  </si>
  <si>
    <t>Redundant with ID 1271 (Consolidated values)</t>
  </si>
  <si>
    <t>Exposed to a communicable disease</t>
  </si>
  <si>
    <t>Redundant with ID 1272 (Consolidated values)</t>
  </si>
  <si>
    <t>Redundant with ID 1273 (Consolidated values)</t>
  </si>
  <si>
    <t>ST.DE.366</t>
  </si>
  <si>
    <t>Informed patient is deceased.</t>
  </si>
  <si>
    <t>Redundant with ID 1995 (Consolidated values)</t>
  </si>
  <si>
    <t>Redundant with ID 1996 (Consolidated values)</t>
  </si>
  <si>
    <t>Redundant with ID 1997 (Consolidated values)</t>
  </si>
  <si>
    <t>Redundant with ID 1998 (Consolidated values)</t>
  </si>
  <si>
    <t>Redundant with ID 1356</t>
  </si>
  <si>
    <t>444451006</t>
  </si>
  <si>
    <t>Redundant with ID 1357</t>
  </si>
  <si>
    <t>Redundant with ID 1330 (Consolidated values)</t>
  </si>
  <si>
    <t>exposure to STD</t>
  </si>
  <si>
    <t>Redundant with ID 1851 (Consolidated values)</t>
  </si>
  <si>
    <t>Redundant with ID 1268 (Consolidated values)</t>
  </si>
  <si>
    <t>Redundant with ID 1284 (Consolidated values)</t>
  </si>
  <si>
    <t>Redundant with ID 1874 (Consolidated values)</t>
  </si>
  <si>
    <t>8.7. Reach out to client</t>
  </si>
  <si>
    <t>ST.DE.074</t>
  </si>
  <si>
    <t>FP.DE.097</t>
  </si>
  <si>
    <t>Redundant with ID 1337 (Consolidated values)</t>
  </si>
  <si>
    <t>Indicates a communication was sent to the client.</t>
  </si>
  <si>
    <t>Redundant with ID 1329 (Consolidated values)</t>
  </si>
  <si>
    <t>Redundant with ID 1506 (Consolidated values)</t>
  </si>
  <si>
    <t>Redundant with ID 1507 (Consolidated values)</t>
  </si>
  <si>
    <t>LGV follow-up</t>
  </si>
  <si>
    <t>Redundant with ID 1508 (Consolidated values)</t>
  </si>
  <si>
    <t>Redundant with ID 1509 (Consolidated values)</t>
  </si>
  <si>
    <t>Redundant with ID 1510 (Consolidated values)</t>
  </si>
  <si>
    <t>ST.DE.243</t>
  </si>
  <si>
    <t>Redundant with ID 1270 (Consolidated values)</t>
  </si>
  <si>
    <t>ST.DE.075</t>
  </si>
  <si>
    <t>FP.DE.098</t>
  </si>
  <si>
    <t>Mode of communication.</t>
  </si>
  <si>
    <t>Redundant with ID 1350 (Consolidated values)</t>
  </si>
  <si>
    <t>Redundant with ID 1680 (Consolidated values)</t>
  </si>
  <si>
    <t>Redundant with ID 1505 (Consolidated values)</t>
  </si>
  <si>
    <t>plus follow up and LGV</t>
  </si>
  <si>
    <t>Redundant with ID 1343 (Consolidated values)</t>
  </si>
  <si>
    <t>186946009</t>
  </si>
  <si>
    <t>Redundant with ID 1275 (Consolidated values)</t>
  </si>
  <si>
    <t>Redundant with ID 1358 (Consolidated values)</t>
  </si>
  <si>
    <t>Redundant with ID 1347 (Consolidated values)</t>
  </si>
  <si>
    <t>Redundant with ID 1881 (Consolidated values)</t>
  </si>
  <si>
    <t>Redundant with ID 1882 (Consolidated values)</t>
  </si>
  <si>
    <t>Redundant with ID 1361 (Consolidated values)</t>
  </si>
  <si>
    <t>Redundant with ID 1684 (Consolidated values)</t>
  </si>
  <si>
    <t>Redundant with ID 2263 (Consolidated values)</t>
  </si>
  <si>
    <t>Redundant with ID 1711 (Consolidated values)</t>
  </si>
  <si>
    <t>Redundant with ID 1434 (Consolidated values)</t>
  </si>
  <si>
    <t>Redundant with ID 1435 (Consolidated values)</t>
  </si>
  <si>
    <t>Clinical examination</t>
  </si>
  <si>
    <t>Redundant with ID 1436 (Consolidated values)</t>
  </si>
  <si>
    <t>Redundant with ID 1682 (Consolidated values)</t>
  </si>
  <si>
    <t>2.4 Assess chief complaint / 2.5 Conduct clinical exam</t>
  </si>
  <si>
    <t>Redundant with ID 2174 (Consolidated values)</t>
  </si>
  <si>
    <t>ST.DE.043</t>
  </si>
  <si>
    <t>Redundant with ID 2281 (Consolidated values)</t>
  </si>
  <si>
    <t>Whether a clinical examination will be performed, such as an external genital or speculem exam</t>
  </si>
  <si>
    <t>Breast Exam split into Breast Exam Status and Outcome</t>
  </si>
  <si>
    <t>Added "Done" option to compliment "Not Done"</t>
  </si>
  <si>
    <t>DVT/PE split (see ticket 64)</t>
  </si>
  <si>
    <t xml:space="preserve">       Phone</t>
  </si>
  <si>
    <t>Redundant with ID 1351 (Consolidated values)</t>
  </si>
  <si>
    <t>Phone</t>
  </si>
  <si>
    <t xml:space="preserve">For WHO-FP Condition (Medical Eligibility) profile
</t>
  </si>
  <si>
    <t>Redundant with IDs 1550-1551</t>
  </si>
  <si>
    <t>Redundant with ID 1713</t>
  </si>
  <si>
    <t>Made one list with all of the STI medications</t>
  </si>
  <si>
    <t>For WHO-FP CarePlan (Recommendation) profile</t>
  </si>
  <si>
    <t>For WHO-STI CarePlan (Recommendation) profile</t>
  </si>
  <si>
    <t>For WHO-STI Observation (STI Screening) profile</t>
  </si>
  <si>
    <t xml:space="preserve">Clinical exam type </t>
  </si>
  <si>
    <t>Removed for WHO-STI Observation (STI Screening) profile</t>
  </si>
  <si>
    <t>Communication date</t>
  </si>
  <si>
    <t>ST.DE.306</t>
  </si>
  <si>
    <t>Type of clinical screening performed</t>
  </si>
  <si>
    <t>One or more exam types must be selected</t>
  </si>
  <si>
    <t>ST.DE.076</t>
  </si>
  <si>
    <t>FP.DE.099</t>
  </si>
  <si>
    <t>Include if Clinical Examination = TRUE</t>
  </si>
  <si>
    <t>Date and time when communication was made.</t>
  </si>
  <si>
    <t>ST.DE.077</t>
  </si>
  <si>
    <t>FP.DE.100</t>
  </si>
  <si>
    <t>Automated error received on communication outreach.</t>
  </si>
  <si>
    <t xml:space="preserve">       External genital examination</t>
  </si>
  <si>
    <t>ST.DE.307</t>
  </si>
  <si>
    <t>ST.DE.078</t>
  </si>
  <si>
    <t>FP.DE.101</t>
  </si>
  <si>
    <t>External genital examination</t>
  </si>
  <si>
    <t>Message received with the error.</t>
  </si>
  <si>
    <t>ext gen exam finding</t>
  </si>
  <si>
    <t>268947001</t>
  </si>
  <si>
    <t>ST.DE.079</t>
  </si>
  <si>
    <t>FP.DE.102</t>
  </si>
  <si>
    <t>Reason not contacted if client gave consent to be contacted</t>
  </si>
  <si>
    <t>Reason client was not contacted if client had given consent to be contacted.</t>
  </si>
  <si>
    <t xml:space="preserve">       speculem evaluation</t>
  </si>
  <si>
    <t>ST.DE.308</t>
  </si>
  <si>
    <t>speculem evaluation</t>
  </si>
  <si>
    <t>Sort</t>
  </si>
  <si>
    <t>163412002</t>
  </si>
  <si>
    <t>vaginal 163412002</t>
  </si>
  <si>
    <t>Activity Group</t>
  </si>
  <si>
    <t>Step</t>
  </si>
  <si>
    <t>ST.DE.080</t>
  </si>
  <si>
    <t>FP.DE.103</t>
  </si>
  <si>
    <t>ANC</t>
  </si>
  <si>
    <t>Copy over tabs from ANC dictionary. Red lines (AKA groups) were removed. Attributes were added to each row (see orange columns).</t>
  </si>
  <si>
    <t>Reason for removal from list.</t>
  </si>
  <si>
    <t>Data elements must be unique, while input options can have duplicates. Master Data Element Labels were adjusted as appropriate. Example: Generic "Specify" element would be clarified to "Specify - Reason [activity] not done"</t>
  </si>
  <si>
    <t>Calculations were used in Master 0.1 to populate orange columns. Master 0.2 removes the use of those calculations and prepares the table for filtering, formatting, etc.</t>
  </si>
  <si>
    <t xml:space="preserve">Further changes were made to Master 2.0 to deduplicate Master Data Element Labels, clarify labels, </t>
  </si>
  <si>
    <t>FP Data Dictionary rows were stacked on top of ANC data in Master 0.3. No deduplication was done between ANC and FP. STI-specific tabs were not included in this step. Conditional formatting rules were added to highlight duplicates in the Data Element Name, Label, and Description columns</t>
  </si>
  <si>
    <t xml:space="preserve">       bimanual evaluation</t>
  </si>
  <si>
    <t>Master</t>
  </si>
  <si>
    <t>In Master 0.4, some mapping (green columns) cells were edited as the Regenstrief team worked out details of the mapping process. The ICD10, SNOMED, and LOINC columns were duplicated as backups and hidden at the end of the spreadsheet. Permissions were added so only a select few people could add Master ID numbers to the spreadsheet</t>
  </si>
  <si>
    <t>ST.DE.309</t>
  </si>
  <si>
    <t>Conditional formatting was added to the standard terminology columns. This formatting blacks out the terminology columns if either the "HL7 FHIR R4 Code" or the "No code" columns are not blank. This is meant to prevent standard terminology mappers from attempted to map a term that should not be mapped to a standard terminology.</t>
  </si>
  <si>
    <t>bimanual evaluation</t>
  </si>
  <si>
    <t>In Master 0.5, Structural Change Tracking was put into effect. Rows were deleted if they were redundant in the data dictionary and subsequently tracked in the Structural Change Tracking tab.</t>
  </si>
  <si>
    <t>In Master 1.0, the data dictionary was almost entirely rebuilt, since the completed data dictionary was received from WHO. Previously-done mappings were transferred over to the Master 1.0. ANC terms were removed from this data dictionary but are able to be added back in at will.</t>
  </si>
  <si>
    <t>241598003</t>
  </si>
  <si>
    <t xml:space="preserve">       Contact information is no longer valid</t>
  </si>
  <si>
    <t>Contact information is no longer valid</t>
  </si>
  <si>
    <t xml:space="preserve">       Client has moved from the service area</t>
  </si>
  <si>
    <t>Client has moved from the service area</t>
  </si>
  <si>
    <t xml:space="preserve">       Client asks to not be contacted again.</t>
  </si>
  <si>
    <t>Client asks to not be contacted again.</t>
  </si>
  <si>
    <t xml:space="preserve">Other (specify) - Clinical exam type </t>
  </si>
  <si>
    <t xml:space="preserve">       Client deceased. </t>
  </si>
  <si>
    <t xml:space="preserve">Client deceased. </t>
  </si>
  <si>
    <t>External genital exam</t>
  </si>
  <si>
    <t>Deceased</t>
  </si>
  <si>
    <t>2.5 Conduct clinical exam</t>
  </si>
  <si>
    <t>External genital</t>
  </si>
  <si>
    <t>Findings from the external genital exam</t>
  </si>
  <si>
    <t>If Normal is selected, no other options allowed</t>
  </si>
  <si>
    <t>include if exams performed = exterma; genital exam = true</t>
  </si>
  <si>
    <t>ST.DE.081</t>
  </si>
  <si>
    <t>FP.DE.104</t>
  </si>
  <si>
    <t>same as 2047 above</t>
  </si>
  <si>
    <t>Indicates if the individual is deceased or not</t>
  </si>
  <si>
    <t>Patient.deceased[x]</t>
  </si>
  <si>
    <t>R69</t>
  </si>
  <si>
    <t>MG48</t>
  </si>
  <si>
    <t>Date_of_Death</t>
  </si>
  <si>
    <t>Date of death</t>
  </si>
  <si>
    <t>The date that the client died</t>
  </si>
  <si>
    <t>ST.DE.100</t>
  </si>
  <si>
    <t>Date &lt;= today and (date &gt;= date of birth if date of birth is not null)</t>
  </si>
  <si>
    <t>CE</t>
  </si>
  <si>
    <t>Include if patient status = deceased</t>
  </si>
  <si>
    <t>Patient.deceased[x].deceasedDateTime</t>
  </si>
  <si>
    <t>827038004</t>
  </si>
  <si>
    <t>Cause_Death</t>
  </si>
  <si>
    <t>ST.DE.082</t>
  </si>
  <si>
    <t>FP.DE.105</t>
  </si>
  <si>
    <t>Suspected cause of death</t>
  </si>
  <si>
    <t xml:space="preserve">Cause of death, if known. </t>
  </si>
  <si>
    <t xml:space="preserve">       Vulval discharge</t>
  </si>
  <si>
    <t>ST.DE.362</t>
  </si>
  <si>
    <t>Vulval discharge</t>
  </si>
  <si>
    <t xml:space="preserve">Skip if gender = male </t>
  </si>
  <si>
    <t xml:space="preserve">n89.8; N76.2 (acute vulvitis) </t>
  </si>
  <si>
    <t>5089007</t>
  </si>
  <si>
    <t>icd 10 needs n76.3; n76.4; n76.6; n76.81; n76.89; SNOMED- vulvar diseases</t>
  </si>
  <si>
    <t>Skip if gender = female</t>
  </si>
  <si>
    <t xml:space="preserve">       Testicle swelling</t>
  </si>
  <si>
    <t>ST.DE.363</t>
  </si>
  <si>
    <t>Testicle swelling</t>
  </si>
  <si>
    <t>438457000</t>
  </si>
  <si>
    <t xml:space="preserve">       Vulval Redness (erythema)</t>
  </si>
  <si>
    <t>Vulval Redness (erythema)</t>
  </si>
  <si>
    <t xml:space="preserve">       Ulcers</t>
  </si>
  <si>
    <t>Ulcers</t>
  </si>
  <si>
    <t>Needs more specificity... what is a genital sore vs. an ulcer? Is genital lesion (724386005) a good grouper for these?</t>
  </si>
  <si>
    <t xml:space="preserve">       Sores</t>
  </si>
  <si>
    <t>Sores</t>
  </si>
  <si>
    <t xml:space="preserve">       Blisters</t>
  </si>
  <si>
    <t>Blisters</t>
  </si>
  <si>
    <t>S30.826; 
S30.825A</t>
  </si>
  <si>
    <t>inguinal swelling</t>
  </si>
  <si>
    <t>Other (specify) - External genital</t>
  </si>
  <si>
    <t>Include if external genital exam = Other (specify)</t>
  </si>
  <si>
    <t>Speculum Exam Results</t>
  </si>
  <si>
    <t>Medical Exam</t>
  </si>
  <si>
    <t>Speculum</t>
  </si>
  <si>
    <t>Findings from the speculem exam</t>
  </si>
  <si>
    <t>Skip if gender = male, include if exams performed  speculum = true</t>
  </si>
  <si>
    <t>too specific...</t>
  </si>
  <si>
    <t>Entirely Completed</t>
  </si>
  <si>
    <t>FHIR Assignments</t>
  </si>
  <si>
    <t>Terminology assignment</t>
  </si>
  <si>
    <t xml:space="preserve">FHIR Mapping Status </t>
  </si>
  <si>
    <t xml:space="preserve">Terminology mapping status </t>
  </si>
  <si>
    <t xml:space="preserve">z01.419 </t>
  </si>
  <si>
    <t xml:space="preserve">z01.419 (no abnormal; z01.411 abnomral findings) </t>
  </si>
  <si>
    <t>Jennifer</t>
  </si>
  <si>
    <t>Terry</t>
  </si>
  <si>
    <t>First pass = done see ticket proposal</t>
  </si>
  <si>
    <t>Paul</t>
  </si>
  <si>
    <t>First pass = done</t>
  </si>
  <si>
    <t>Diagnosis</t>
  </si>
  <si>
    <t>Joe</t>
  </si>
  <si>
    <t>x (Vaginal)</t>
  </si>
  <si>
    <t>N76.5</t>
  </si>
  <si>
    <t>Burke</t>
  </si>
  <si>
    <t>Medical Tests</t>
  </si>
  <si>
    <t>Sores are not a common concept in SNOMED... appropriate synonym?</t>
  </si>
  <si>
    <t>STI Communication</t>
  </si>
  <si>
    <t>Grand Total</t>
  </si>
  <si>
    <t>289519008</t>
  </si>
  <si>
    <t>S30.824D</t>
  </si>
  <si>
    <t xml:space="preserve">       Redness of vaginal walls</t>
  </si>
  <si>
    <t>Redness of vaginal walls</t>
  </si>
  <si>
    <t>126486000</t>
  </si>
  <si>
    <t>Vaginal wall is a mucosal surface? :D</t>
  </si>
  <si>
    <t xml:space="preserve">       Cervix bleeds easily when touched</t>
  </si>
  <si>
    <t>ST.DE.272</t>
  </si>
  <si>
    <t>Cervix bleeds easily when touched</t>
  </si>
  <si>
    <t xml:space="preserve">friable cervix is closest concept, but there's no SNOMED finding. :(  </t>
  </si>
  <si>
    <t xml:space="preserve">       Discharge appears mucopurulent with discoloration</t>
  </si>
  <si>
    <t>Next Master ID:</t>
  </si>
  <si>
    <t>ST.DE.277</t>
  </si>
  <si>
    <t>Discharge appears mucopurulent with discoloration</t>
  </si>
  <si>
    <t>Include if DSL includes value - used by DSL for vaginal discharge in non-pregnant women</t>
  </si>
  <si>
    <t>Equivalent</t>
  </si>
  <si>
    <t>The definitions of the concepts mean the same thing (including when structural implications of meaning are considered) (i.e. extensionally identical).</t>
  </si>
  <si>
    <t>ICD-10</t>
  </si>
  <si>
    <t>Rows Combined</t>
  </si>
  <si>
    <t>The target mapping is wider in meaning than the source concept.</t>
  </si>
  <si>
    <t>Subsumes</t>
  </si>
  <si>
    <t>The target mapping subsumes the meaning of the source concept (e.g. the source is-a target).</t>
  </si>
  <si>
    <t>307492008</t>
  </si>
  <si>
    <t>The target mapping is narrower in meaning than the source concept. The sense in which the mapping is narrower SHALL be described in the comments in this case, and applications should be careful when attempting to use these mappings operationally.</t>
  </si>
  <si>
    <t>Specializes</t>
  </si>
  <si>
    <t>The target mapping specializes the meaning of the source concept (e.g. the target is-a source).</t>
  </si>
  <si>
    <t>Inexact</t>
  </si>
  <si>
    <t>The target mapping overlaps with the source concept, but both source and target cover additional meaning, or the definitions are imprecise and it is uncertain whether they have the same boundaries to their meaning. The sense in which the mapping is inexact SHALL be described in the comments in this case, and applications should be careful when attempting to use these mappings operationally.</t>
  </si>
  <si>
    <t xml:space="preserve">       Purulent discharge</t>
  </si>
  <si>
    <t>ST.DE.376</t>
  </si>
  <si>
    <t>Purulent discharge</t>
  </si>
  <si>
    <t>Include if DSL includes value - used by DSL for vaginal discharge in pregnancy or postpartum</t>
  </si>
  <si>
    <t>purulent but not cervix</t>
  </si>
  <si>
    <t>35013009</t>
  </si>
  <si>
    <t xml:space="preserve">       Cervical tumors</t>
  </si>
  <si>
    <t>ST.DE.271</t>
  </si>
  <si>
    <t>Cervical tumors</t>
  </si>
  <si>
    <t>is this malignant?</t>
  </si>
  <si>
    <t>363354003</t>
  </si>
  <si>
    <t>malignant tumor of cervix</t>
  </si>
  <si>
    <t>[FP] Activity ID</t>
  </si>
  <si>
    <t xml:space="preserve">       Abnormal cervical tissue</t>
  </si>
  <si>
    <t>[FP] Data Element ID</t>
  </si>
  <si>
    <t>Description and Definition</t>
  </si>
  <si>
    <t>Multiple Choice Type 
(if applicable)</t>
  </si>
  <si>
    <t>ST.DE.264</t>
  </si>
  <si>
    <t>Quantity Sub-Type</t>
  </si>
  <si>
    <t>Abnormal cervical tissue</t>
  </si>
  <si>
    <t>FP.A2. Gather Client Details</t>
  </si>
  <si>
    <t>FP.DE.0001</t>
  </si>
  <si>
    <t>First Name</t>
  </si>
  <si>
    <t>Client's first name</t>
  </si>
  <si>
    <t>FP.DE.0002</t>
  </si>
  <si>
    <t>Last Name</t>
  </si>
  <si>
    <t>Client's family name or last name</t>
  </si>
  <si>
    <t>underspecified... many of the other answers would classify as abnormal tissue. :)</t>
  </si>
  <si>
    <t>FP.DE.0003</t>
  </si>
  <si>
    <t>FP.DE.0004</t>
  </si>
  <si>
    <t>FP.DE.0005</t>
  </si>
  <si>
    <t>Required if Referral = TRUE</t>
  </si>
  <si>
    <t>FP.DE.0006</t>
  </si>
  <si>
    <t>Referred to by the Community level services</t>
  </si>
  <si>
    <t>Codes</t>
  </si>
  <si>
    <t>FP.DE.0007</t>
  </si>
  <si>
    <t>Referred to by the a health facility</t>
  </si>
  <si>
    <t>FP.A6.1 Review sociodemographic data with client 
OR 
FP.A5 Create Client Record</t>
  </si>
  <si>
    <t>FP.DE.0008</t>
  </si>
  <si>
    <t>ID</t>
  </si>
  <si>
    <t>Minimum and maximum number of characters based on local policy</t>
  </si>
  <si>
    <t>FP.DE.0009</t>
  </si>
  <si>
    <t>"Date of birth" OR "Date of birth unknown" OR "Estimated age" should be entered.</t>
  </si>
  <si>
    <t xml:space="preserve">STI.IND.01
Disaggregation
FP2020: Core Indicator 1 - Number of additional users of modern methods of contraception, 2018 Global Reference List of 100 Core Indicators – Demand for family planning satisfied with modern methods   SDG 3.7.1]. </t>
  </si>
  <si>
    <t>May determine from birth certificate, national ID, U5 vaccination/growth card. If system generated such as from a national identifier, record may not be editable.</t>
  </si>
  <si>
    <t>FP.DE.0010</t>
  </si>
  <si>
    <t>Select this if the client's DOB is unknown.</t>
  </si>
  <si>
    <t>Skip if "Date of birth" is not EMPTY</t>
  </si>
  <si>
    <t>FP.DE.0011</t>
  </si>
  <si>
    <t>If DOB is unknown, enter the client's estimated age. Display client's age in number of years.</t>
  </si>
  <si>
    <t>Duration</t>
  </si>
  <si>
    <t>If "Date of birth unknown" = TRUE, "Estimated age" is required</t>
  </si>
  <si>
    <t>Required if "Date of birth unknown" = TRUE</t>
  </si>
  <si>
    <t>FP.DE.0012</t>
  </si>
  <si>
    <t>Age [Calculated]</t>
  </si>
  <si>
    <t>Calculated age (number of years) of the client based on date of birth</t>
  </si>
  <si>
    <t>("Visit Date" - "Date of birth")/365</t>
  </si>
  <si>
    <t>If "Date of Birth" is entered, then Required. Skip if "Estimated Age" is not EMPTY</t>
  </si>
  <si>
    <t>FP.DE.0013</t>
  </si>
  <si>
    <t>STI.IND.02
"FP2020: Core Indicator 1 - Number of additional users of modern methods of contraception, 2018 Global Reference List of 100 Core Indicators – Demand for family planning satisfied with modern methods   SDG 3.7.1]. 
Numerator - (18-49)
Disaggregation"</t>
  </si>
  <si>
    <t>FP.DE.0014</t>
  </si>
  <si>
    <t>Client identifies as female</t>
  </si>
  <si>
    <t>FP.DE.0015</t>
  </si>
  <si>
    <t>Client identifies as male</t>
  </si>
  <si>
    <t xml:space="preserve">       Foul-smelling lochia</t>
  </si>
  <si>
    <t>FP.DE.0016</t>
  </si>
  <si>
    <t>Client identifies in a non-binary way</t>
  </si>
  <si>
    <t>ST.DE.371</t>
  </si>
  <si>
    <t>Postpartum discharge is foul-smelling</t>
  </si>
  <si>
    <t>FP.DE.0017</t>
  </si>
  <si>
    <t>Foul-smelling lochia</t>
  </si>
  <si>
    <t>Postpartum = TRUE</t>
  </si>
  <si>
    <t>Include if check for postpartum infection = TRUE, gender !=male</t>
  </si>
  <si>
    <t>FP.DE.0018</t>
  </si>
  <si>
    <t>Client does not have an active marriage contract</t>
  </si>
  <si>
    <t>FP.DE.0019</t>
  </si>
  <si>
    <t>Never married</t>
  </si>
  <si>
    <t>Client has never entered into a marriage contract</t>
  </si>
  <si>
    <t>not sure of the guidance ; is this during post partum only?</t>
  </si>
  <si>
    <t>276375002</t>
  </si>
  <si>
    <t>malodrous lochia</t>
  </si>
  <si>
    <t>FP.DE.0020</t>
  </si>
  <si>
    <t>FP.DE.0021</t>
  </si>
  <si>
    <t>Polygamous</t>
  </si>
  <si>
    <t>Client has more than one current spouse</t>
  </si>
  <si>
    <t>FP.DE.0022</t>
  </si>
  <si>
    <t>Client is divorced, whereby marriage contract has been declared dissolved and inactive</t>
  </si>
  <si>
    <t xml:space="preserve">       Profuse lochia</t>
  </si>
  <si>
    <t>FP.DE.0023</t>
  </si>
  <si>
    <t>Client's spouse has died</t>
  </si>
  <si>
    <t>ST.DE.372</t>
  </si>
  <si>
    <t>Heavy amount of postpartum discharge</t>
  </si>
  <si>
    <t>Profuse lochia</t>
  </si>
  <si>
    <t>FP.DE.0024</t>
  </si>
  <si>
    <t>Client does not wish to disclose marital status</t>
  </si>
  <si>
    <t>FP.DE.0025</t>
  </si>
  <si>
    <t>Domestic Partner</t>
  </si>
  <si>
    <t>Client reports that they are in a domestic partnership</t>
  </si>
  <si>
    <t>289580000</t>
  </si>
  <si>
    <t>FP.DE.0026</t>
  </si>
  <si>
    <t>Annulled</t>
  </si>
  <si>
    <t>Client's marriage contract has been declared null and to not have existed</t>
  </si>
  <si>
    <t>heavy lochia</t>
  </si>
  <si>
    <t>FP.DE.0027</t>
  </si>
  <si>
    <t>Legally Separated</t>
  </si>
  <si>
    <t>Client is legally separated from spouse</t>
  </si>
  <si>
    <t>FP.DE.0028</t>
  </si>
  <si>
    <t>Interlocutory</t>
  </si>
  <si>
    <t>Client is subject to an interlocutory decree</t>
  </si>
  <si>
    <t>FP.DE.0029</t>
  </si>
  <si>
    <t>Address</t>
  </si>
  <si>
    <t>Client's home address or address at which the client is consenting to disclose</t>
  </si>
  <si>
    <t>Can be based on the structure and format of addresses in the country</t>
  </si>
  <si>
    <t>FP.DE.0030</t>
  </si>
  <si>
    <t xml:space="preserve">       Amniotic fluid</t>
  </si>
  <si>
    <t>Can be a landline or a mobile phone number</t>
  </si>
  <si>
    <t>Integer Quantity</t>
  </si>
  <si>
    <t>Minimum and maximum number of characters based on country</t>
  </si>
  <si>
    <t>FP.DE.0031</t>
  </si>
  <si>
    <t>This should be a context-specific list of administrative areas, such as villages, districts, etc. The purpose of this data element is to allow for grouping and flagging of client data to a particular facility's catchment area. This can be input into the system by the end user OR it can be automated in the database based on the end user's attributes</t>
  </si>
  <si>
    <t>Context-specific list of administrative areas e.g. Facility list, District list, etc.</t>
  </si>
  <si>
    <t>FP.DE.0032</t>
  </si>
  <si>
    <t>ST.DE.373</t>
  </si>
  <si>
    <t>Presence of amniotic fluid</t>
  </si>
  <si>
    <t>FP.DE.0033</t>
  </si>
  <si>
    <t>FP.DE.0034</t>
  </si>
  <si>
    <t>Communication preference(s)</t>
  </si>
  <si>
    <t>77012006</t>
  </si>
  <si>
    <t>FP.DE.0035</t>
  </si>
  <si>
    <t>Text Message/SMS</t>
  </si>
  <si>
    <t>The client would like to receive communications via Text Message/SMS</t>
  </si>
  <si>
    <t>FP.DE.0036</t>
  </si>
  <si>
    <t>Voice call</t>
  </si>
  <si>
    <t>The client would like to receive communications via Voice Calls</t>
  </si>
  <si>
    <t>FP.DE.0037</t>
  </si>
  <si>
    <t>Client's E-mail</t>
  </si>
  <si>
    <t>Client's primary email account where the client can be contacted</t>
  </si>
  <si>
    <t>Must be appropriate e-mail format with '@' sign</t>
  </si>
  <si>
    <t>E-mail would only be an appropriate field if and only if clients in the catchment area have widely adopted e-mail usage. If e-mail is widely adopted then "E-mail" should also be added as a possible communication preference.</t>
  </si>
  <si>
    <t>FP.DE.0038</t>
  </si>
  <si>
    <t xml:space="preserve">Alternate contact's name </t>
  </si>
  <si>
    <t>Name of an alternate contact, which could be next of kin (e.g. partner, husband, mother, sibling, etc). The alternate contact would be used in the case of an emergency situation.</t>
  </si>
  <si>
    <t xml:space="preserve">       Abdominal tenderness</t>
  </si>
  <si>
    <t xml:space="preserve">Can separate data element for Alternate contact's first name and Alternate contact's last name </t>
  </si>
  <si>
    <t>FP.DE.0039</t>
  </si>
  <si>
    <t>Alternate contact's phone number</t>
  </si>
  <si>
    <t>Minimum and maximum number of characters based on local policy.</t>
  </si>
  <si>
    <t>ST.DE.219</t>
  </si>
  <si>
    <t>FP.DE.0040</t>
  </si>
  <si>
    <t>abdo-tender</t>
  </si>
  <si>
    <t>Alternate contact's address</t>
  </si>
  <si>
    <t>Alternate contact's home address or address at which the client able to disclose.</t>
  </si>
  <si>
    <t>FP.DE.0041</t>
  </si>
  <si>
    <t>The alternate contact's relationship to the client (e.g. partner, husband, mother, sibling, etc).</t>
  </si>
  <si>
    <t>Abdominal tenderness</t>
  </si>
  <si>
    <t xml:space="preserve">Can be a drop-down list of input options. </t>
  </si>
  <si>
    <t>FP.DE.0042</t>
  </si>
  <si>
    <t>The highest level of schooling the client has reached.</t>
  </si>
  <si>
    <t>FP.DE.0043</t>
  </si>
  <si>
    <t>Tertiary education</t>
  </si>
  <si>
    <t>Client has an undergraduate degree or higher</t>
  </si>
  <si>
    <t>R10.81</t>
  </si>
  <si>
    <t>43478001</t>
  </si>
  <si>
    <t>FP.DE.0044</t>
  </si>
  <si>
    <t>Secondary school</t>
  </si>
  <si>
    <t xml:space="preserve">Client has accomplished secondary education </t>
  </si>
  <si>
    <t>FP.DE.0045</t>
  </si>
  <si>
    <t>Primary school</t>
  </si>
  <si>
    <t>Client has accomplished primary education</t>
  </si>
  <si>
    <t>FP.DE.0046</t>
  </si>
  <si>
    <t>Client has received some primary education or no primary education</t>
  </si>
  <si>
    <t>FP.DE.0047</t>
  </si>
  <si>
    <t>What is the client's primary occupation?</t>
  </si>
  <si>
    <t>FP.DE.0048</t>
  </si>
  <si>
    <t>Client is pursuing education and is enrolled in school</t>
  </si>
  <si>
    <t>FP.DE.0049</t>
  </si>
  <si>
    <t>Client is currently unemployed</t>
  </si>
  <si>
    <t>ST.DE.336</t>
  </si>
  <si>
    <t>Unexplained vaginal bleeding</t>
  </si>
  <si>
    <t>FP.DE.0050</t>
  </si>
  <si>
    <t>Client is formally employed at a formal organization (e.g. company, government, NGO, etc.)</t>
  </si>
  <si>
    <t>FP.DE.0051</t>
  </si>
  <si>
    <t>Informal employment</t>
  </si>
  <si>
    <t>Client is currently engaged in informal forms of unemployment (e.g. sex worker)</t>
  </si>
  <si>
    <t>FP.DE.0052</t>
  </si>
  <si>
    <t xml:space="preserve">abnormal </t>
  </si>
  <si>
    <t>The above descriptions do not capture the client's occupation - specify in text here.</t>
  </si>
  <si>
    <t>FP.DE.0053</t>
  </si>
  <si>
    <t xml:space="preserve">
1494 MEDCIN</t>
  </si>
  <si>
    <t>FP.DE.0054</t>
  </si>
  <si>
    <t xml:space="preserve">What is the client's insurance ID number? </t>
  </si>
  <si>
    <t>Note that this is also highly context specific</t>
  </si>
  <si>
    <t>FP.DE.0055</t>
  </si>
  <si>
    <t>How will the client pay for health services and commodities?</t>
  </si>
  <si>
    <t>FP.DE.0056</t>
  </si>
  <si>
    <t>The client is paying out of pocket</t>
  </si>
  <si>
    <t>FP.DE.0057</t>
  </si>
  <si>
    <t>The government insurance scheme will cover part or all of the client's expenses.</t>
  </si>
  <si>
    <t>FP.DE.0058</t>
  </si>
  <si>
    <t>Private insurance scheme will cover part or all of the client's expenses.</t>
  </si>
  <si>
    <t>FP.B1. Determine reason for visit</t>
  </si>
  <si>
    <t>Other (specify) - Speculum</t>
  </si>
  <si>
    <t>FP.DE.0059</t>
  </si>
  <si>
    <t>FP.DE.0060</t>
  </si>
  <si>
    <t>Include if speculum exam = Other (specify)</t>
  </si>
  <si>
    <t>FP.DE.0061</t>
  </si>
  <si>
    <t>FP.DE.0062</t>
  </si>
  <si>
    <t>FP.DE.0063</t>
  </si>
  <si>
    <t>Visit to continue use of current contraception method</t>
  </si>
  <si>
    <t>FP.DE.0064</t>
  </si>
  <si>
    <t>FP.DE.0065</t>
  </si>
  <si>
    <t>FP.DE.0066</t>
  </si>
  <si>
    <t>FP.DE.0067</t>
  </si>
  <si>
    <t>Bimanual exam</t>
  </si>
  <si>
    <t>FP.DE.0068</t>
  </si>
  <si>
    <t xml:space="preserve">Visit to change or switch contraceptive methods, given that the client is currently on a contraceptive method </t>
  </si>
  <si>
    <t>FP.DE.0069</t>
  </si>
  <si>
    <t>Reason for stopping contraception or method</t>
  </si>
  <si>
    <t>Required if "Reason for visit" =  Stopping Contraception</t>
  </si>
  <si>
    <t>Findings from the bimanual exam</t>
  </si>
  <si>
    <r>
      <t xml:space="preserve">WHO's </t>
    </r>
    <r>
      <rPr>
        <i/>
        <sz val="10"/>
        <color rgb="FF000000"/>
        <rFont val="Calibri"/>
        <family val="2"/>
      </rPr>
      <t xml:space="preserve">Causes and consequences of contraceptive discontinuation: evidence from 60 Demographic and Health Surveys </t>
    </r>
    <r>
      <rPr>
        <sz val="10"/>
        <color rgb="FF000000"/>
        <rFont val="Calibri"/>
        <family val="2"/>
      </rPr>
      <t>(2012)</t>
    </r>
  </si>
  <si>
    <t>Skip if gender = male, include if exams performed = bimanual</t>
  </si>
  <si>
    <t>FP.DE.0070</t>
  </si>
  <si>
    <t>Client is experiencing side effects from use of contraception</t>
  </si>
  <si>
    <r>
      <t xml:space="preserve">WHO's </t>
    </r>
    <r>
      <rPr>
        <i/>
        <sz val="10"/>
        <color rgb="FF000000"/>
        <rFont val="Calibri"/>
        <family val="2"/>
      </rPr>
      <t xml:space="preserve">Causes and consequences of contraceptive discontinuation: evidence from 60 Demographic and Health Surveys </t>
    </r>
    <r>
      <rPr>
        <sz val="10"/>
        <color rgb="FF000000"/>
        <rFont val="Calibri"/>
        <family val="2"/>
      </rPr>
      <t>(2012)</t>
    </r>
  </si>
  <si>
    <t>FP.DE.0071</t>
  </si>
  <si>
    <t>Desire for pregnancy   </t>
  </si>
  <si>
    <t>Client is has the reproductive intention to become pregnant</t>
  </si>
  <si>
    <t>GU exam;not just bimanual</t>
  </si>
  <si>
    <r>
      <t xml:space="preserve">WHO's </t>
    </r>
    <r>
      <rPr>
        <i/>
        <sz val="10"/>
        <color rgb="FF000000"/>
        <rFont val="Calibri"/>
        <family val="2"/>
      </rPr>
      <t xml:space="preserve">Causes and consequences of contraceptive discontinuation: evidence from 60 Demographic and Health Surveys </t>
    </r>
    <r>
      <rPr>
        <sz val="10"/>
        <color rgb="FF000000"/>
        <rFont val="Calibri"/>
        <family val="2"/>
      </rPr>
      <t>(2012)</t>
    </r>
  </si>
  <si>
    <t>FP.DE.0072</t>
  </si>
  <si>
    <t>Reported failure</t>
  </si>
  <si>
    <t>67531-4</t>
  </si>
  <si>
    <t>The client experienced unintentional pregnancy while using the method.</t>
  </si>
  <si>
    <r>
      <t xml:space="preserve">WHO's </t>
    </r>
    <r>
      <rPr>
        <i/>
        <sz val="10"/>
        <color rgb="FF000000"/>
        <rFont val="Calibri"/>
        <family val="2"/>
      </rPr>
      <t xml:space="preserve">Causes and consequences of contraceptive discontinuation: evidence from 60 Demographic and Health Surveys </t>
    </r>
    <r>
      <rPr>
        <sz val="10"/>
        <color rgb="FF000000"/>
        <rFont val="Calibri"/>
        <family val="2"/>
      </rPr>
      <t>(2012)</t>
    </r>
  </si>
  <si>
    <t>FP.DE.0073</t>
  </si>
  <si>
    <t>Other (specify)</t>
  </si>
  <si>
    <t>Select 'Other (specify)' if the reasons for stopping method are not reflected in any of the input options above. Write in other reasons that are not reflected in the input options above.</t>
  </si>
  <si>
    <t>Other (specify) </t>
  </si>
  <si>
    <t>FP.DE.0074</t>
  </si>
  <si>
    <t xml:space="preserve">Input options from LOINC value set. </t>
  </si>
  <si>
    <t>FP.DE.0075</t>
  </si>
  <si>
    <t>Client intends to become pregnant</t>
  </si>
  <si>
    <t>FP.DE.0076</t>
  </si>
  <si>
    <t>Client is not intending to become pregnant, but would not be adverse to becoming pregnant</t>
  </si>
  <si>
    <t>FP.DE.0077</t>
  </si>
  <si>
    <t>Client does not intend to become pregnant</t>
  </si>
  <si>
    <t>FP.DE.0078</t>
  </si>
  <si>
    <t>Client is unsure or undecided about her pregnancy intentions</t>
  </si>
  <si>
    <t>FP.B2.Take vital signs</t>
  </si>
  <si>
    <t>FP.DE.0079</t>
  </si>
  <si>
    <t>Height</t>
  </si>
  <si>
    <t>The client's current height in centimetres.</t>
  </si>
  <si>
    <t>Decimal Quantity</t>
  </si>
  <si>
    <t>&gt;= 50cm and &lt;= 250cm</t>
  </si>
  <si>
    <t>FP.DE.0080</t>
  </si>
  <si>
    <t>&gt;= 30kg and &lt;= 400kg</t>
  </si>
  <si>
    <t>FP.DE.0081</t>
  </si>
  <si>
    <t>Body mass index</t>
  </si>
  <si>
    <t>"Body weight (kg)"/[("Height (cm)"/100)^2]</t>
  </si>
  <si>
    <t>LA6626-1</t>
  </si>
  <si>
    <t>Needed to determine Medical Eligibility for Contraception. The formula for BMI is weight in kilograms divided by height in meters squared. If height has been measured in centimeters, divide by 100 to convert this to meters. (Source: https://www.cdc.gov/healthyweight/assessing/bmi/adult_bmi/index.html)</t>
  </si>
  <si>
    <t>FP.DE.0082</t>
  </si>
  <si>
    <t>FP.DE.0083</t>
  </si>
  <si>
    <t>Diastolic bloof pressure</t>
  </si>
  <si>
    <t>FP.DE.0084</t>
  </si>
  <si>
    <t>Blood pressure cannot be taken</t>
  </si>
  <si>
    <t>If the client's blood pressure cannot be taken, this should be indicated here. Otherwise, blood pressure should be measured.</t>
  </si>
  <si>
    <t>FP.DE.0085</t>
  </si>
  <si>
    <t>Any allergies, including allergies to medication, that the client is aware of.</t>
  </si>
  <si>
    <t>FP.B3. Capture or update client history</t>
  </si>
  <si>
    <t>FP.DE.0086</t>
  </si>
  <si>
    <t>The number of pregnancies reaching parity.
Zero births is defined as nulliparous. 1 or more births, the client is parous</t>
  </si>
  <si>
    <t xml:space="preserve">       Lower abdominal tenderness </t>
  </si>
  <si>
    <t>FP.DE.0087</t>
  </si>
  <si>
    <t>FP.DE.0088</t>
  </si>
  <si>
    <t>FP.DE.0089</t>
  </si>
  <si>
    <t xml:space="preserve">Lower abdominal tenderness </t>
  </si>
  <si>
    <t>Whether or not the client is sexually active as defined by the client</t>
  </si>
  <si>
    <t>FP.DE.0090</t>
  </si>
  <si>
    <t>Number of days since the client has had unprotected sex</t>
  </si>
  <si>
    <t>Skip if "Reason for visit" =/= "Emergency contraception"</t>
  </si>
  <si>
    <t>FP.DE.0091</t>
  </si>
  <si>
    <t>L90.0</t>
  </si>
  <si>
    <t>FP.DE.0092</t>
  </si>
  <si>
    <t>FP.DE.0093</t>
  </si>
  <si>
    <t>Describe the woman's breastfeeding status</t>
  </si>
  <si>
    <t>Skip if Breastfeeding = FALSE</t>
  </si>
  <si>
    <t>FP.DE.0094</t>
  </si>
  <si>
    <t>Exclusive breastfeeding</t>
  </si>
  <si>
    <t>Giving the infant only breast milk with no supplementation of any type - not even water - except for perhaps vitamins, minerals, or medication</t>
  </si>
  <si>
    <r>
      <t xml:space="preserve">Definition from glossary of </t>
    </r>
    <r>
      <rPr>
        <i/>
        <sz val="10"/>
        <color rgb="FF000000"/>
        <rFont val="Calibri"/>
        <family val="2"/>
      </rPr>
      <t>Family Planning: A Global Handbook for Providers (2018) p400</t>
    </r>
  </si>
  <si>
    <t>FP.DE.0095</t>
  </si>
  <si>
    <t>The client is giving the infant breast milk almost exclusively but also water, juice, vitamins or other nutrients infrequently</t>
  </si>
  <si>
    <r>
      <t xml:space="preserve">Definition from glossary of </t>
    </r>
    <r>
      <rPr>
        <i/>
        <sz val="10"/>
        <color rgb="FF000000"/>
        <rFont val="Calibri"/>
        <family val="2"/>
      </rPr>
      <t xml:space="preserve">Family Planning: A Global Handbook for Providers (2018) p400
</t>
    </r>
    <r>
      <rPr>
        <sz val="10"/>
        <color rgb="FF000000"/>
        <rFont val="Calibri"/>
        <family val="2"/>
      </rPr>
      <t>Required for Pregnancy Checklist</t>
    </r>
  </si>
  <si>
    <t>FP.DE.0096</t>
  </si>
  <si>
    <t>Nearly fully breastfeeding</t>
  </si>
  <si>
    <t>The client is giving the infant some liquid or food in addition to breast milk, but more than three-fourths (75%) of feedings are breastfeeds</t>
  </si>
  <si>
    <r>
      <t xml:space="preserve">Definition from glossary of </t>
    </r>
    <r>
      <rPr>
        <i/>
        <sz val="10"/>
        <color rgb="FF000000"/>
        <rFont val="Calibri"/>
        <family val="2"/>
      </rPr>
      <t>Family Planning: A Global Handbook for Providers (2018) p400</t>
    </r>
  </si>
  <si>
    <t>FP.DE.0097</t>
  </si>
  <si>
    <t>The client is breastfeeding less than nearly fully breastfeeding, giving the infant more supplementation with other liquids or food. Less than three-fourths (75%) of feedings are breastfeeds.</t>
  </si>
  <si>
    <t>Partially breastfeeding</t>
  </si>
  <si>
    <r>
      <t xml:space="preserve">Definition from glossary of </t>
    </r>
    <r>
      <rPr>
        <i/>
        <sz val="10"/>
        <color rgb="FF000000"/>
        <rFont val="Calibri"/>
        <family val="2"/>
      </rPr>
      <t>Family Planning: A Global Handbook for Providers (2018) p400</t>
    </r>
  </si>
  <si>
    <t>FP.DE.0098</t>
  </si>
  <si>
    <t>Six months post-delivery</t>
  </si>
  <si>
    <t>Whether the client has deliverd a baby within the past 6 months.</t>
  </si>
  <si>
    <t>Required for Pregnancy Checklist</t>
  </si>
  <si>
    <t>FP.DE.0099</t>
  </si>
  <si>
    <t>If the client has delivered in the past 6 months, the date in which she delivered</t>
  </si>
  <si>
    <t>Required if 'Six months post-delivery' = TRUE</t>
  </si>
  <si>
    <t>FP.DE.0100</t>
  </si>
  <si>
    <t>Whether client delivered in the past 6 weeks. This data element can be calculated or input</t>
  </si>
  <si>
    <t>IF 'Date of delivery' =/= EMPTY, THEN 'Visit Date' - 'Date of delivery' &lt;= 6 weeks, THEN 'Postpartum' = TRUE</t>
  </si>
  <si>
    <t>Required if Gender = Female</t>
  </si>
  <si>
    <t>FP.DE.0101</t>
  </si>
  <si>
    <t>For a postpartum woman, the amount of time since she delivered. This data element can be calculated or input by the provider.</t>
  </si>
  <si>
    <t>'Visit Date' - 'Date of delivery'/7 Days</t>
  </si>
  <si>
    <t>Required if 'Postpartum' = TRUE</t>
  </si>
  <si>
    <t>FP.DE.0102</t>
  </si>
  <si>
    <t>Recent miscarriage or abortion</t>
  </si>
  <si>
    <t xml:space="preserve">Select if the woman had an abortion or a miscarriage within the past 4 weeks </t>
  </si>
  <si>
    <t>IF 'Visit Date' - 'Date of miscarriage or abortion' &lt;=4 weeks, THEN 'Recent miscarriage or post-abortion' = TRUE</t>
  </si>
  <si>
    <t>ST.DE.361</t>
  </si>
  <si>
    <t>FP.DE.0103</t>
  </si>
  <si>
    <t>If the woman had a miscarriage or abortion, when the miscarriage or abortion took place.</t>
  </si>
  <si>
    <t xml:space="preserve">Required if 'Recent miscarriage or abortion' = TRUE </t>
  </si>
  <si>
    <t>This can be a calculated field based on the 'Start date of last normal menses', but it does not have to be calculated</t>
  </si>
  <si>
    <t>FP.DE.0104</t>
  </si>
  <si>
    <t>FP.DE.0105</t>
  </si>
  <si>
    <t>FP.DE.0106</t>
  </si>
  <si>
    <t>FP.DE.0107</t>
  </si>
  <si>
    <t>FP.DE.0108</t>
  </si>
  <si>
    <t>The date when the client had her first day of her last normal menses.</t>
  </si>
  <si>
    <t>FP.DE.0109</t>
  </si>
  <si>
    <t>If the woman's monthly bleeding was missed or is late.</t>
  </si>
  <si>
    <t xml:space="preserve">       Adnexa tenderness</t>
  </si>
  <si>
    <r>
      <t xml:space="preserve">Most women have menstrual cycles that each last between 24 and 35 days - </t>
    </r>
    <r>
      <rPr>
        <i/>
        <sz val="10"/>
        <color rgb="FF000000"/>
        <rFont val="Calibri"/>
        <family val="2"/>
      </rPr>
      <t xml:space="preserve">Family Planning: A Global Handbook for Providers. </t>
    </r>
    <r>
      <rPr>
        <sz val="10"/>
        <color rgb="FF000000"/>
        <rFont val="Calibri"/>
        <family val="2"/>
      </rPr>
      <t>Given the intra- and inter-variability of menstrual length in a population, and variation in menstrual cycle length for one person, this should be at the discretion of the health care provider.</t>
    </r>
  </si>
  <si>
    <t>FP.DE.0110</t>
  </si>
  <si>
    <t>If the woman has never had menses or if the woman has had no menses for 3 cycles over the time span of 6 months</t>
  </si>
  <si>
    <t>Adnexa tenderness</t>
  </si>
  <si>
    <t>FP.DE.0111</t>
  </si>
  <si>
    <t>Number of days since her last normal period started</t>
  </si>
  <si>
    <t>'Visit Date' - 'Start date of last normal menses'</t>
  </si>
  <si>
    <t>'Days since start of last normal menses' &gt;=0</t>
  </si>
  <si>
    <t>May be calculated from 'Start date of last normal menses'</t>
  </si>
  <si>
    <t>pelvic pain</t>
  </si>
  <si>
    <t>FP.DE.0112</t>
  </si>
  <si>
    <t>Skip if Never used contraception = FALSE</t>
  </si>
  <si>
    <t>FP.DE.0113</t>
  </si>
  <si>
    <t>Client uses an IUD, but is unsure about the type</t>
  </si>
  <si>
    <t>FP.DE.0114</t>
  </si>
  <si>
    <t>Client is using a copper-bearing intrauterine device</t>
  </si>
  <si>
    <t>Copper-bearing intrauterine devices (Cu-IUDs)</t>
  </si>
  <si>
    <t>FP.DE.0115</t>
  </si>
  <si>
    <t>Levonorgestrel intrauterine device (LNG-IUD)</t>
  </si>
  <si>
    <t>Client is using levonorgestrel intrauterine device, a hormone releasing intrauterine contraception device</t>
  </si>
  <si>
    <t xml:space="preserve">       Abnormal growth</t>
  </si>
  <si>
    <t>FP.DE.0116</t>
  </si>
  <si>
    <t>Unspecified Implants</t>
  </si>
  <si>
    <t>Client uses implants, but is unsure about the type</t>
  </si>
  <si>
    <t>FP.DE.0117</t>
  </si>
  <si>
    <t>Etonogestrel (ETG) one-rod</t>
  </si>
  <si>
    <t>Client has an etonogestrel one-rod implant</t>
  </si>
  <si>
    <t>ST.DE.265</t>
  </si>
  <si>
    <t>Abnormal growth</t>
  </si>
  <si>
    <t>FP.DE.0118</t>
  </si>
  <si>
    <t>Levonorgestrel (LNG) two-rod</t>
  </si>
  <si>
    <t>Client has a levonorgestrel two-rod implant</t>
  </si>
  <si>
    <t>FP.DE.0119</t>
  </si>
  <si>
    <t>Unspecified Injectibles</t>
  </si>
  <si>
    <t>Client uses injectibles, but is unsure about the type</t>
  </si>
  <si>
    <t>FP.DE.0120</t>
  </si>
  <si>
    <t xml:space="preserve">DMPA-IM </t>
  </si>
  <si>
    <t>Client uses injectible depot medroxyprogesterone acetate (DMPA), administered intramuscularly</t>
  </si>
  <si>
    <t>of what?</t>
  </si>
  <si>
    <t>289797008</t>
  </si>
  <si>
    <t>FP.DE.0121</t>
  </si>
  <si>
    <t xml:space="preserve">DMPA-SC </t>
  </si>
  <si>
    <t>Client uses injectible depot medroxyprogesterone acetate (DMPA), administered subcutaneously</t>
  </si>
  <si>
    <t>FP.DE.0122</t>
  </si>
  <si>
    <t>NET-EN norethisterone enanthate</t>
  </si>
  <si>
    <t>Client uses injectible norethisterone enanthate (NET-EN)</t>
  </si>
  <si>
    <t>FP.DE.0123</t>
  </si>
  <si>
    <t>Client uses progestogen-only pills (POP)</t>
  </si>
  <si>
    <t>FP.DE.0124</t>
  </si>
  <si>
    <t>Client uses combined oral contraceptives (COCs) pills</t>
  </si>
  <si>
    <t>FP.DE.0125</t>
  </si>
  <si>
    <t>Client uses transdermal combined contraceptive patch</t>
  </si>
  <si>
    <t xml:space="preserve">       Hardness to the touch</t>
  </si>
  <si>
    <t>FP.DE.0126</t>
  </si>
  <si>
    <t>Client uses combined contraceptive vaginal ring (CVR)</t>
  </si>
  <si>
    <t>FP.DE.0127</t>
  </si>
  <si>
    <t>Client uses progesterone-releasing vaginal ring (PVR)</t>
  </si>
  <si>
    <t>ST.DE.364</t>
  </si>
  <si>
    <t>FP.DE.0128</t>
  </si>
  <si>
    <t>Client uses lactational amenorrhea method (LAM)</t>
  </si>
  <si>
    <t>Hardness to the touch</t>
  </si>
  <si>
    <t>FP.DE.0129</t>
  </si>
  <si>
    <t>Unspecified barrier method</t>
  </si>
  <si>
    <t>Client uses unspecified barrier methods</t>
  </si>
  <si>
    <t>FP.DE.0130</t>
  </si>
  <si>
    <t>Male Condoms</t>
  </si>
  <si>
    <t>Client uses male Condoms</t>
  </si>
  <si>
    <t>289775006</t>
  </si>
  <si>
    <t>FP.DE.0131</t>
  </si>
  <si>
    <t>Female Condoms</t>
  </si>
  <si>
    <t>Client uses female Condoms</t>
  </si>
  <si>
    <t>FP.DE.0132</t>
  </si>
  <si>
    <t>Client uses emergency contraceptive pills (ECPs)</t>
  </si>
  <si>
    <t>FP.DE.0133</t>
  </si>
  <si>
    <t>Client uses fertility awareness-based methods (FAB)</t>
  </si>
  <si>
    <t>FP.DE.0134</t>
  </si>
  <si>
    <t xml:space="preserve">Male client has a history of sterilization (had a vasectomy) </t>
  </si>
  <si>
    <t>FP.DE.0135</t>
  </si>
  <si>
    <t>Female client has a history of sterilization</t>
  </si>
  <si>
    <t>FP.DE.0136</t>
  </si>
  <si>
    <t>Client uses withdrawal method</t>
  </si>
  <si>
    <t>FP.DE.0137</t>
  </si>
  <si>
    <t>No contraceptive precautions used</t>
  </si>
  <si>
    <t>Required if no other methods selected</t>
  </si>
  <si>
    <t>FP.DE.0138</t>
  </si>
  <si>
    <t>Female relying on male method</t>
  </si>
  <si>
    <t>The female client is relying on her male partner for contraceptive methods (e.g. male condoms, male sterilization, withdrawal)</t>
  </si>
  <si>
    <t>FP.DE.0139</t>
  </si>
  <si>
    <t>The male client is relying on his female partner for contraceptive methods</t>
  </si>
  <si>
    <t>FP.DE.0140</t>
  </si>
  <si>
    <t>Date of IUD insertion if client is currently using: 
'Copper-bearing intrauterine device (Cu-IUD)'
OR 'Levonorgestrel intrauterine devices (LNG-IUD)'
OR 'Unspecified IUD'</t>
  </si>
  <si>
    <t>IUD Insertion Date &lt;= Visit Date</t>
  </si>
  <si>
    <t>Include if 'Method at intake' = 'Copper-bearing intrauterine devices (Cu-IUDs)' OR 'Levonorgestrel IUD (LNG-IUDs)' OR 'Unspecified IUD' AND 'IUD Insertion Date' is not on record</t>
  </si>
  <si>
    <t>FP.DE.0141</t>
  </si>
  <si>
    <t>Date of last implant if currently using:
'Etonogestrel (ETG) one-rod' OR 'Levonorgestrel (LNG) two-rod' OR 'Unspecified Implants'</t>
  </si>
  <si>
    <t>Implant Date &lt;= Visit Date</t>
  </si>
  <si>
    <t>Include if 'Method at intake' = 'Etonogestrel (ETG) one-rod' OR 'Levonorgestrel (LNG) two-rod' OR 'Unspecified Implants' AND 'IUD Insertion Date' is not on record</t>
  </si>
  <si>
    <t>FP.DE.0142</t>
  </si>
  <si>
    <t>Date of last injection if currently using:
'DMPA-IM' OR 'DMPA-SC' OR NET-EN norethisterone enanthate OR 'Unspecified Injectibles'</t>
  </si>
  <si>
    <t>Injection Date &lt;= Visit Date</t>
  </si>
  <si>
    <t>Include if 'Method at intake' = 'DMPA-IM' OR 'DMPA-SC' OR NET-EN norethisterone enanthate OR 'Unspecified Injectibles' AND 'Injection Date' is not on record</t>
  </si>
  <si>
    <t>FP.DE.0143</t>
  </si>
  <si>
    <t xml:space="preserve">Date of male sterilization (vasectomy) or female sterilization, if male sterilization (vasectomy) was not reversed. </t>
  </si>
  <si>
    <t>Sterlization Date &lt;= Visit Date</t>
  </si>
  <si>
    <t>Include if 'Method at intake' = 'Male sterilization' OR 'Female sterilization' AND 'Sterilization Date' is not on record</t>
  </si>
  <si>
    <t>FP.DE.0144</t>
  </si>
  <si>
    <t>Reason for no method</t>
  </si>
  <si>
    <t xml:space="preserve">If client is not currently using a method, the reason should be recorded. </t>
  </si>
  <si>
    <t>Skip if 'Method at intake' = 'No method'</t>
  </si>
  <si>
    <t>FP.DE.0145</t>
  </si>
  <si>
    <t xml:space="preserve">       vaginal bleeding</t>
  </si>
  <si>
    <t>FP.DE.0146</t>
  </si>
  <si>
    <t>FP.DE.0147</t>
  </si>
  <si>
    <t>ST.DE.377</t>
  </si>
  <si>
    <t>Client is known to be currently pregnant</t>
  </si>
  <si>
    <t>vaginal bleeding</t>
  </si>
  <si>
    <t>FP.DE.0148</t>
  </si>
  <si>
    <t>Same sex partner(s)</t>
  </si>
  <si>
    <t>Client has same-sex partner(s)</t>
  </si>
  <si>
    <t>FP.DE.0149</t>
  </si>
  <si>
    <t>Sterile or infertile for non-contraceptive reasons    </t>
  </si>
  <si>
    <t>Client is sterile or infertile - but due to non-contraceptive related reasons.</t>
  </si>
  <si>
    <t>part of pelvic and GU exam</t>
  </si>
  <si>
    <t>LA17250-4</t>
  </si>
  <si>
    <t>FP.DE.0150</t>
  </si>
  <si>
    <t>FP.DE.0151</t>
  </si>
  <si>
    <t>FP.DE.0152</t>
  </si>
  <si>
    <t>Reported failure of contraceptive methods</t>
  </si>
  <si>
    <t>The client experienced unintentional pregnancy while using previous contraceptive methods.</t>
  </si>
  <si>
    <t>Other (specify) - Bimanual exam</t>
  </si>
  <si>
    <r>
      <t xml:space="preserve">From the </t>
    </r>
    <r>
      <rPr>
        <i/>
        <sz val="10"/>
        <color rgb="FF000000"/>
        <rFont val="Calibri"/>
        <family val="2"/>
      </rPr>
      <t>Causes and consequences of contraceptive discontinuation: evidence from 60 Demographic and Health Surveys</t>
    </r>
    <r>
      <rPr>
        <sz val="10"/>
        <color rgb="FF000000"/>
        <rFont val="Calibri"/>
        <family val="2"/>
      </rPr>
      <t xml:space="preserve"> document</t>
    </r>
  </si>
  <si>
    <t>FP.DE.0153</t>
  </si>
  <si>
    <t>FP.DE.0154</t>
  </si>
  <si>
    <t>Record all the contraceptive methods the client has a history of using</t>
  </si>
  <si>
    <t>Include if bimanual exam = Other (specify)</t>
  </si>
  <si>
    <t>FP.DE.0155</t>
  </si>
  <si>
    <t>FP.DE.0156</t>
  </si>
  <si>
    <t>FP.DE.0157</t>
  </si>
  <si>
    <t>FP.DE.0158</t>
  </si>
  <si>
    <t>STI Condition type</t>
  </si>
  <si>
    <t>FP.DE.0159</t>
  </si>
  <si>
    <t>FP.DE.0160</t>
  </si>
  <si>
    <t>ST.DE.101</t>
  </si>
  <si>
    <t>Condition type</t>
  </si>
  <si>
    <t>The type of diagnosis, such as genital or anorectal</t>
  </si>
  <si>
    <t>FP.DE.0161</t>
  </si>
  <si>
    <t>FP.DE.0162</t>
  </si>
  <si>
    <t>FP.DE.0163</t>
  </si>
  <si>
    <t>FP.DE.0164</t>
  </si>
  <si>
    <t>which condition?</t>
  </si>
  <si>
    <t>FP.DE.0165</t>
  </si>
  <si>
    <t>Have misgivings about this entire question/answer group.  Are these derived concepts?  Do they need codes?</t>
  </si>
  <si>
    <t>FP.DE.0166</t>
  </si>
  <si>
    <t>FP.DE.0167</t>
  </si>
  <si>
    <t>FP.DE.0168</t>
  </si>
  <si>
    <t>FP.DE.0169</t>
  </si>
  <si>
    <t xml:space="preserve">       genital</t>
  </si>
  <si>
    <t>FP.DE.0170</t>
  </si>
  <si>
    <t>ST.DE.102</t>
  </si>
  <si>
    <t>genital</t>
  </si>
  <si>
    <t>FP.DE.0171</t>
  </si>
  <si>
    <t>Include if diagnosis = (chlamydia or herpes simplex virus or gonorrhea or gonoccocal)</t>
  </si>
  <si>
    <t>DL Treatment Recommendations</t>
  </si>
  <si>
    <t>FP.DE.0172</t>
  </si>
  <si>
    <t>talk about this</t>
  </si>
  <si>
    <t>312155003</t>
  </si>
  <si>
    <t>FP.DE.0173</t>
  </si>
  <si>
    <t>FP.DE.0174</t>
  </si>
  <si>
    <t>FP.DE.0175</t>
  </si>
  <si>
    <t>FP.DE.0176</t>
  </si>
  <si>
    <t xml:space="preserve">       anorectal</t>
  </si>
  <si>
    <t>FP.DE.0177</t>
  </si>
  <si>
    <t>ST.DE.103</t>
  </si>
  <si>
    <t>anorectal</t>
  </si>
  <si>
    <t>Include if diagnosis = (chlamydia or gonorrhea)</t>
  </si>
  <si>
    <t>FP.DE.0178</t>
  </si>
  <si>
    <t>FP.DE.0179</t>
  </si>
  <si>
    <t>lets talk about this</t>
  </si>
  <si>
    <t>426867001</t>
  </si>
  <si>
    <t>Required if not other methods selected</t>
  </si>
  <si>
    <t>FP.DE.0180</t>
  </si>
  <si>
    <t>FP.DE.0181</t>
  </si>
  <si>
    <t>FP.B4. Conduct risk assessment</t>
  </si>
  <si>
    <t>FP.DE.0182</t>
  </si>
  <si>
    <t>Whether or not an asessment was conducted to determine if the client has a high risk of STIs.</t>
  </si>
  <si>
    <t xml:space="preserve">       Lymphogranuloma venereum (LGV) </t>
  </si>
  <si>
    <t>Required IF 'STI risk assessment: medical history and physical examination needed' = TRUE</t>
  </si>
  <si>
    <t>ST.DE.104</t>
  </si>
  <si>
    <t>Chlamydia trachomatis</t>
  </si>
  <si>
    <t xml:space="preserve">Lymphogranuloma venereum (LGV) </t>
  </si>
  <si>
    <t>Include if diagnosis = chlamydia</t>
  </si>
  <si>
    <t>FP.DE.0183</t>
  </si>
  <si>
    <t>check this; all chlamydia is NOT LGV</t>
  </si>
  <si>
    <t>A55</t>
  </si>
  <si>
    <t>Include if 'STI Risk risk assessment conducted' = TRUE</t>
  </si>
  <si>
    <t>FP.DE.0184</t>
  </si>
  <si>
    <t>Adolescent Female</t>
  </si>
  <si>
    <t>Client is an adolescent woman</t>
  </si>
  <si>
    <t xml:space="preserve">       conjunctivitis</t>
  </si>
  <si>
    <t>Estimated age' OR 'Age [calculated]' &lt;= 19 years AND Gender = Female</t>
  </si>
  <si>
    <t>ST.DE.105</t>
  </si>
  <si>
    <t>conjunctivitis</t>
  </si>
  <si>
    <t>FP.DE.0185</t>
  </si>
  <si>
    <t xml:space="preserve">HIV+ </t>
  </si>
  <si>
    <t>The client is known to be HIV-positive</t>
  </si>
  <si>
    <t>unspecifiedl i doubt that this is what they want; can they specifiy</t>
  </si>
  <si>
    <t>H10.9</t>
  </si>
  <si>
    <t>FP.DE.0186</t>
  </si>
  <si>
    <t>Frequent change in sexual partners</t>
  </si>
  <si>
    <t>Client changes sexual partners frequently. Client has sex with 'casual' partners</t>
  </si>
  <si>
    <t>FP.DE.0187</t>
  </si>
  <si>
    <t>Multiple sexual partners</t>
  </si>
  <si>
    <t>Client has more than one sexual partner</t>
  </si>
  <si>
    <t xml:space="preserve">       oropharyngeal infection</t>
  </si>
  <si>
    <t>FP.DE.0188</t>
  </si>
  <si>
    <t>Client works as a sex worker</t>
  </si>
  <si>
    <t>ST.DE.106</t>
  </si>
  <si>
    <t>oropharyngeal infection</t>
  </si>
  <si>
    <t>Include if diagnosis = (gonoccocal)</t>
  </si>
  <si>
    <t>FP.DE.0189</t>
  </si>
  <si>
    <t>Sex worker client</t>
  </si>
  <si>
    <t>Client has recently and/or frequently had sex with a sex worker</t>
  </si>
  <si>
    <t>FP.DE.0190</t>
  </si>
  <si>
    <t xml:space="preserve">Separated from regular sex partners for long periods of time </t>
  </si>
  <si>
    <t>Men or women whose jobs separate them from their regular sex partners for long periods of time, such as long-distance drivers, soldiers and migrant workers. Specific types of occupation will be context-specific.</t>
  </si>
  <si>
    <t>Resource Priority 1</t>
  </si>
  <si>
    <t>A54.5</t>
  </si>
  <si>
    <t>Resource Priority 2</t>
  </si>
  <si>
    <t>Resource Priority 3</t>
  </si>
  <si>
    <t>Resource Priority 4</t>
  </si>
  <si>
    <t>Resource Priority 5</t>
  </si>
  <si>
    <t>Resource Priority 6</t>
  </si>
  <si>
    <t>FP.DE.0191</t>
  </si>
  <si>
    <t>No condom use during sex with partner known to have an STI</t>
  </si>
  <si>
    <t>Unprotective penetrative sexual intercourse with a partner has an STI</t>
  </si>
  <si>
    <t>If 'Method at intake' = 'Male Condoms' OR 'Female Condoms'</t>
  </si>
  <si>
    <t>FP.DE.0192</t>
  </si>
  <si>
    <t>History of STI in the last year</t>
  </si>
  <si>
    <t>Client has had an STI in the last year</t>
  </si>
  <si>
    <t xml:space="preserve">       Conjunctivitis</t>
  </si>
  <si>
    <t>FP.DE.0193</t>
  </si>
  <si>
    <t>Skin piercing</t>
  </si>
  <si>
    <t>Client has skin piercings using unsterile needles that include injections, tattoos, scarification, body piercing, or circumcision using shared knived</t>
  </si>
  <si>
    <t>ST.DE.107</t>
  </si>
  <si>
    <t>Conjunctivitis</t>
  </si>
  <si>
    <t>Include if diagnosis = (gonoccocal) and age &lt;=   maximum neonate age]</t>
  </si>
  <si>
    <t>FP.DE.0194</t>
  </si>
  <si>
    <t>Has partner with risky behavior</t>
  </si>
  <si>
    <t>Client's partner has risky behavior that includes: having sex with others; having an STI; injecting drugs; male partner having sex with other men</t>
  </si>
  <si>
    <t>A54.31</t>
  </si>
  <si>
    <t>FP.DE.0195</t>
  </si>
  <si>
    <t>The client is at an increased risk of STIs as determined by the STI risk assessment factors</t>
  </si>
  <si>
    <t>If any "STI risk assessment factors" are selected</t>
  </si>
  <si>
    <t>FP.DE.0196</t>
  </si>
  <si>
    <t>Gender based violence (GBV) Risk assessment conducted</t>
  </si>
  <si>
    <t>Whether or not an asessment was conducted to determine if the client has a risk of being  subjected to violence.</t>
  </si>
  <si>
    <t>FP.DE.0197</t>
  </si>
  <si>
    <t>Risk factors for clients subjected to intimate partner violence or sexual assault</t>
  </si>
  <si>
    <t xml:space="preserve">       infection</t>
  </si>
  <si>
    <t>Gender-based violence risk factors relevant to the population. Risk-factors will be highly country-specific. The Input Options listed below are based on WHO's, UN Women's, and UNFPA's 'Health care for women subjected to intimate partner violence or sexual violence - A clinical handbook'</t>
  </si>
  <si>
    <t>ST.DE.108</t>
  </si>
  <si>
    <t>infection</t>
  </si>
  <si>
    <t xml:space="preserve">Healthcare providers should only raise the topic with women who have injuries or conditions that they suspect may be related to violence; AND the following MINIMUM REQUIREMENTS for asking about partner violence are in place:
- A protocol/standard operating procedure for managing women subjected to violence
- Training on how to ask, minimum response or beyond
- Private setting. The woman must be alone.
- Confidentiality is ensured
- System for referral (within the healthcare system or otherwise) is in place </t>
  </si>
  <si>
    <t>WHO does not recommend universal screening for violence of women attending health care. WHO does encourage health-care providers to raise the topic with women who have injuries or conditions that they suspect may be related to violence.</t>
  </si>
  <si>
    <t>FP.DE.0198</t>
  </si>
  <si>
    <t>Stress</t>
  </si>
  <si>
    <t>From WHO's, UN Women's, and UNFPA's 'Health care for women subjected to intimate partner violence or sexual violence - A clinical handbook'</t>
  </si>
  <si>
    <t>FP.DE.0199</t>
  </si>
  <si>
    <t>is this all GC?  A54.0</t>
  </si>
  <si>
    <t>FP.DE.0200</t>
  </si>
  <si>
    <t>FP.DE.0201</t>
  </si>
  <si>
    <t>Unspecified ongoing emotional health issues</t>
  </si>
  <si>
    <t xml:space="preserve">       Herpes simplex virus type 1 (HSV-1)</t>
  </si>
  <si>
    <t>FP.DE.0202</t>
  </si>
  <si>
    <t>Misuse of alcohol</t>
  </si>
  <si>
    <t>Herpes simplex virus type 1 (HSV-1)</t>
  </si>
  <si>
    <t>FP.DE.0203</t>
  </si>
  <si>
    <t>Misuse of drugs</t>
  </si>
  <si>
    <t>B00</t>
  </si>
  <si>
    <t>15302007</t>
  </si>
  <si>
    <t>FP.DE.0204</t>
  </si>
  <si>
    <t>Unspecified harmful behaviors</t>
  </si>
  <si>
    <t>FP.DE.0205</t>
  </si>
  <si>
    <t>Thoughts of self-harm or (attempted) suicide</t>
  </si>
  <si>
    <t xml:space="preserve">       Herpes simplex virus type 2 (HSV-2)</t>
  </si>
  <si>
    <t>FP.DE.0206</t>
  </si>
  <si>
    <t>Plans of self-harm or (attempted) suicide</t>
  </si>
  <si>
    <t>^ Shows Data Elements and Input Options</t>
  </si>
  <si>
    <t>Herpes simplex virus type 2 (HSV-2)</t>
  </si>
  <si>
    <t>FP.DE.0207</t>
  </si>
  <si>
    <t>Acts of self-harm or (attempted) suicide</t>
  </si>
  <si>
    <t>urogenital system ; unspecified</t>
  </si>
  <si>
    <t>A60.00; A60.09</t>
  </si>
  <si>
    <t>FP.DE.0208</t>
  </si>
  <si>
    <t>Repeated sexually transmitted infections (STIs)</t>
  </si>
  <si>
    <t>FP.DE.0209</t>
  </si>
  <si>
    <t>Unwanted pregnancies</t>
  </si>
  <si>
    <t>As reported by the woman</t>
  </si>
  <si>
    <t>History of trauma</t>
  </si>
  <si>
    <t>FP.DE.0210</t>
  </si>
  <si>
    <t>Unexplained chronic pain or conditions</t>
  </si>
  <si>
    <t>Includes unexplained chronic pelvic pain, sexual problems, gastrointestinal problems, kidney infections, bladder infections, and/or headaches</t>
  </si>
  <si>
    <t>ST.DE.217</t>
  </si>
  <si>
    <t>Include if ST.02.DSL.07 Scrotal Swelling = TRUE</t>
  </si>
  <si>
    <t>FP.DE.0211</t>
  </si>
  <si>
    <t>Repeated health consultations with no clear diagnosis</t>
  </si>
  <si>
    <t>FP.DE.0212</t>
  </si>
  <si>
    <t>Woman’s partner or husband is intrusive during consultations</t>
  </si>
  <si>
    <t>Determined by discretion of the healthcare worker</t>
  </si>
  <si>
    <t>Scrotal swelling?  Don't understand context at all here.</t>
  </si>
  <si>
    <t>FP.DE.0213</t>
  </si>
  <si>
    <t>Woman often misses her own or her children’s health-care appointments</t>
  </si>
  <si>
    <t>Missed appointments by the woman for herself and/or missed appointments by the woman for her children</t>
  </si>
  <si>
    <t>FP.DE.0214</t>
  </si>
  <si>
    <t>Children have emotional and behavioural problems</t>
  </si>
  <si>
    <t>Client's children have unspecified emotional and behavioral problems</t>
  </si>
  <si>
    <t>Screening</t>
  </si>
  <si>
    <t>FP.DE.0215</t>
  </si>
  <si>
    <t xml:space="preserve">Woman suspected or confirmed to be subjected to intimate partner violence or sexual violence </t>
  </si>
  <si>
    <t>Whether the client has been subjected to intimate partner violence, sexual violence, violence against women, or gender-based violence</t>
  </si>
  <si>
    <t>ST.DE.045</t>
  </si>
  <si>
    <t xml:space="preserve">Whether screening is performed during the visit </t>
  </si>
  <si>
    <t>Only relevant if a healthcare provider suspects that the injuries or conditions a woman has may be related to violence.</t>
  </si>
  <si>
    <t>FP.B6.Discuss Issues and concerns</t>
  </si>
  <si>
    <t>FP.DE.0216</t>
  </si>
  <si>
    <t>FP.DE.0217</t>
  </si>
  <si>
    <t>for what?</t>
  </si>
  <si>
    <t>Twice as much as usual or longer than 8 days</t>
  </si>
  <si>
    <t>FP.DE.0218</t>
  </si>
  <si>
    <t>Bleeding at unexpected times that bothers the client</t>
  </si>
  <si>
    <t>FP.DE.0219</t>
  </si>
  <si>
    <t>No monthly bleeding. If the woman has never had menses or if the woman has had no menses for 3 cycles over the time span of 6 months</t>
  </si>
  <si>
    <t>FP.DE.0220</t>
  </si>
  <si>
    <t>Bleeding that suggests a medical condition not related to the method</t>
  </si>
  <si>
    <t>Screening type</t>
  </si>
  <si>
    <t>FP.DE.0221</t>
  </si>
  <si>
    <t>Cramping and pain</t>
  </si>
  <si>
    <t>Client experiences cramping and pain</t>
  </si>
  <si>
    <t>FP.DE.0222</t>
  </si>
  <si>
    <t>Possible anemia</t>
  </si>
  <si>
    <t>Inside of eyelids or underneath fingernails look pale, pale skin, fatigue or weakness, dizziness, irritability, headache, ringing in the ears, sore tongue, and brittle nails. 
If blood testing available, hemoglobin less than 9g/dl or hematocrit less than 30</t>
  </si>
  <si>
    <t>ST.DE.046</t>
  </si>
  <si>
    <t>Type of screening performed, such as type of HIV test</t>
  </si>
  <si>
    <t>FP.DE.0223</t>
  </si>
  <si>
    <t>Partner can feel IUD strings during intercourse</t>
  </si>
  <si>
    <t>The client's partner can feel IUD strings during intercourse. This can happen if the strings are cut too short.</t>
  </si>
  <si>
    <t>Issue and concern for clients on an IUD (Cu-IUDs or LNG-IUD) only</t>
  </si>
  <si>
    <t>FP.DE.0224</t>
  </si>
  <si>
    <t>Suspected pelvic inflammatory disease (PID) OR suspected ectopic pregnancy OR suspected ovarian cyst</t>
  </si>
  <si>
    <t>this is probably too much to do</t>
  </si>
  <si>
    <t>FP.DE.0225</t>
  </si>
  <si>
    <t>Suspected perforation</t>
  </si>
  <si>
    <t>Suspected uterine puncturing</t>
  </si>
  <si>
    <t>FP.DE.0226</t>
  </si>
  <si>
    <t>IUD partially comes out</t>
  </si>
  <si>
    <t>FP.DE.0227</t>
  </si>
  <si>
    <t>IUD completely comes out</t>
  </si>
  <si>
    <t>FP.DE.0228</t>
  </si>
  <si>
    <t>Missing strings</t>
  </si>
  <si>
    <t xml:space="preserve">       Herpes simplex viruses screen</t>
  </si>
  <si>
    <t>IUD strings are missing. Suggesting possible pregnancy, uterine perforation, or expulsion</t>
  </si>
  <si>
    <t>FP.DE.0229</t>
  </si>
  <si>
    <t>Client experiences acne</t>
  </si>
  <si>
    <t>2.14 Diagnose</t>
  </si>
  <si>
    <t>ST.DE.256</t>
  </si>
  <si>
    <t>Herpes simplex viruses screen</t>
  </si>
  <si>
    <t>FP.DE.0230</t>
  </si>
  <si>
    <t>Ordinary headaches</t>
  </si>
  <si>
    <t>Ordinary, nonmigrainous headaches</t>
  </si>
  <si>
    <t>value set</t>
  </si>
  <si>
    <t>74247-8</t>
  </si>
  <si>
    <t>FP.DE.0231</t>
  </si>
  <si>
    <t>Client has breast tenderness</t>
  </si>
  <si>
    <t>FP.DE.0232</t>
  </si>
  <si>
    <t>Weight gain or loss</t>
  </si>
  <si>
    <t>FP.DE.0233</t>
  </si>
  <si>
    <t>Nausea or dizziness</t>
  </si>
  <si>
    <t>FP.DE.0234</t>
  </si>
  <si>
    <t>Ischemic heart disease</t>
  </si>
  <si>
    <t xml:space="preserve">       Human papillomavirus screen</t>
  </si>
  <si>
    <t>FP.DE.0235</t>
  </si>
  <si>
    <t>Migraine headaches</t>
  </si>
  <si>
    <t>Client has migraine headaches with or without aura</t>
  </si>
  <si>
    <t>FP.DE.0236</t>
  </si>
  <si>
    <t>Missed pills</t>
  </si>
  <si>
    <t>ST.DE.255</t>
  </si>
  <si>
    <t>Client has missed pills</t>
  </si>
  <si>
    <t>Human papillomavirus screen</t>
  </si>
  <si>
    <t>HPV test partentl assume that test means screen</t>
  </si>
  <si>
    <t>Z11.51</t>
  </si>
  <si>
    <t>86658-2</t>
  </si>
  <si>
    <t>FP.DE.0237</t>
  </si>
  <si>
    <t>Late injections</t>
  </si>
  <si>
    <t>Client has received injections late</t>
  </si>
  <si>
    <t>FP.DE.0238</t>
  </si>
  <si>
    <t>Mood changes or changes in sex drive</t>
  </si>
  <si>
    <t>Client experiences mood changes and/or changes in sex drive</t>
  </si>
  <si>
    <t>FP.DE.0239</t>
  </si>
  <si>
    <t>Suspected pregnancy</t>
  </si>
  <si>
    <t xml:space="preserve">       Trichomoniasis screen</t>
  </si>
  <si>
    <t>FP.DE.0240</t>
  </si>
  <si>
    <t>Issues with Combined Contraceptive Patch</t>
  </si>
  <si>
    <t>Late replacement or late removal, or if the contraceptive patch comes off</t>
  </si>
  <si>
    <t>ST.DE.254</t>
  </si>
  <si>
    <t>Trichomoniasis screen</t>
  </si>
  <si>
    <t>FP.DE.0241</t>
  </si>
  <si>
    <t>Issues with vaginal ring</t>
  </si>
  <si>
    <t>Late replacement or late removal of the combined contraceptive vaginal ring (CVR) or progesterone-releasing vaginal ring (PVR)</t>
  </si>
  <si>
    <t>FP.DE.0242</t>
  </si>
  <si>
    <t>Timing of monthly bleeding changes</t>
  </si>
  <si>
    <t>assume wet mount; put comment in slack</t>
  </si>
  <si>
    <t>LP 1441306; LP6760-5; LG34164-0</t>
  </si>
  <si>
    <t>FP.DE.0243</t>
  </si>
  <si>
    <t>Bleeding or blood clots</t>
  </si>
  <si>
    <t>LP 1441306; wet prep is LP6760-5; panel will ne LG34164-0</t>
  </si>
  <si>
    <t>Issue and concern often associated with only Male Sterilization methods (i.e. Vasectomy)</t>
  </si>
  <si>
    <t>FP.DE.0244</t>
  </si>
  <si>
    <t>Client experiences pain for longer than one month</t>
  </si>
  <si>
    <t xml:space="preserve"> ICD-10-WHO</t>
  </si>
  <si>
    <t>FP.DE.0245</t>
  </si>
  <si>
    <t>Infection at the incision site</t>
  </si>
  <si>
    <t>Redness, heat, pain, and/or pus at the puncture or incision site</t>
  </si>
  <si>
    <t>FP.DE.0246</t>
  </si>
  <si>
    <t>A pocket of pus under the skin caused by infection</t>
  </si>
  <si>
    <t xml:space="preserve">       Chlamydia screen</t>
  </si>
  <si>
    <t>FP.DE.0247</t>
  </si>
  <si>
    <t>Difficulty using the condom</t>
  </si>
  <si>
    <t>Difficulties using either male or female condoms</t>
  </si>
  <si>
    <t>ST.DE.253</t>
  </si>
  <si>
    <t>Chlamydia screen</t>
  </si>
  <si>
    <t>FP.DE.0248</t>
  </si>
  <si>
    <t>Method causes mild itching, redness, rash, and/or swelling of genitals, groin, or thighs during or after male or female condom use</t>
  </si>
  <si>
    <t>FP.DE.0249</t>
  </si>
  <si>
    <t>Condom used incorrectly</t>
  </si>
  <si>
    <t>Condom breaks, slips, is not used, or is used incorrectly</t>
  </si>
  <si>
    <t>same as HPV; chlamid positive is A71.9; GC positive is A54.00</t>
  </si>
  <si>
    <t>Z11.18</t>
  </si>
  <si>
    <t>86659-0; 86661-6</t>
  </si>
  <si>
    <t xml:space="preserve">86659-0; and 86661-6 (and GC) </t>
  </si>
  <si>
    <t>FP.DE.0250</t>
  </si>
  <si>
    <t>FP.DE.0251</t>
  </si>
  <si>
    <t>Condom squeaks or makes noise during sex</t>
  </si>
  <si>
    <t>FP.DE.0252</t>
  </si>
  <si>
    <t>Deep vein thrombosis</t>
  </si>
  <si>
    <t>A blood clot that develops in the deep veins of the body, generally in the legs</t>
  </si>
  <si>
    <r>
      <t xml:space="preserve">This is a serious issue and concern. 
Definition from </t>
    </r>
    <r>
      <rPr>
        <i/>
        <sz val="10"/>
        <rFont val="Calibri"/>
        <family val="2"/>
      </rPr>
      <t>Family Planning: A Global Handbook for Providers (2018)</t>
    </r>
    <r>
      <rPr>
        <sz val="10"/>
        <rFont val="Calibri"/>
        <family val="2"/>
      </rPr>
      <t xml:space="preserve"> p384</t>
    </r>
  </si>
  <si>
    <t>FP.DE.0253</t>
  </si>
  <si>
    <t>Ectopic pregnancy</t>
  </si>
  <si>
    <t>Pregnancy in which the fertilized egg implants in tissue outisde the uterus, most commonly in a fallopian tube but sometimes in the cervix or abdominal cavity</t>
  </si>
  <si>
    <r>
      <t xml:space="preserve">This is a serious issue and concern. 
Definition from </t>
    </r>
    <r>
      <rPr>
        <i/>
        <sz val="10"/>
        <rFont val="Calibri"/>
        <family val="2"/>
      </rPr>
      <t>Family Planning: A Global Handbook for Providers (2018)</t>
    </r>
    <r>
      <rPr>
        <sz val="10"/>
        <rFont val="Calibri"/>
        <family val="2"/>
      </rPr>
      <t xml:space="preserve"> p384</t>
    </r>
  </si>
  <si>
    <t>FP.DE.0254</t>
  </si>
  <si>
    <t>Heart attack</t>
  </si>
  <si>
    <t>Occurs when the blood supply to the heart is blocked, usually due to a build-up of cholesterol and other substances in the coronary arteris</t>
  </si>
  <si>
    <t xml:space="preserve">       Gonorrhoea screen</t>
  </si>
  <si>
    <r>
      <t xml:space="preserve">This is a serious issue and concern. 
Definition from </t>
    </r>
    <r>
      <rPr>
        <i/>
        <sz val="10"/>
        <rFont val="Calibri"/>
        <family val="2"/>
      </rPr>
      <t>Family Planning: A Global Handbook for Providers (2018)</t>
    </r>
    <r>
      <rPr>
        <sz val="10"/>
        <rFont val="Calibri"/>
        <family val="2"/>
      </rPr>
      <t xml:space="preserve"> p384</t>
    </r>
  </si>
  <si>
    <t>FP.DE.0255</t>
  </si>
  <si>
    <t>Liver disorders</t>
  </si>
  <si>
    <t>Infection with hepatitis inflames the liver; cirrhosis scars tissue, which blocks blood flow through the liver</t>
  </si>
  <si>
    <t>ST.DE.252</t>
  </si>
  <si>
    <r>
      <t xml:space="preserve">This is a serious issue and concern. 
Definition from </t>
    </r>
    <r>
      <rPr>
        <i/>
        <sz val="10"/>
        <rFont val="Calibri"/>
        <family val="2"/>
      </rPr>
      <t>Family Planning: A Global Handbook for Providers (2018)</t>
    </r>
    <r>
      <rPr>
        <sz val="10"/>
        <rFont val="Calibri"/>
        <family val="2"/>
      </rPr>
      <t xml:space="preserve"> p385</t>
    </r>
  </si>
  <si>
    <t>Gonorrhoea screen</t>
  </si>
  <si>
    <t>FP.DE.0256</t>
  </si>
  <si>
    <t>An infection of the upper genital tract, caused by various types of bacteria</t>
  </si>
  <si>
    <r>
      <t xml:space="preserve">This is a serious issue and concern. 
Definition from </t>
    </r>
    <r>
      <rPr>
        <i/>
        <sz val="10"/>
        <rFont val="Calibri"/>
        <family val="2"/>
      </rPr>
      <t>Family Planning: A Global Handbook for Providers (2018)</t>
    </r>
    <r>
      <rPr>
        <sz val="10"/>
        <rFont val="Calibri"/>
        <family val="2"/>
      </rPr>
      <t xml:space="preserve"> p385</t>
    </r>
  </si>
  <si>
    <t>FP.DE.0257</t>
  </si>
  <si>
    <t>Pulmonary embolism</t>
  </si>
  <si>
    <t>A blood clot that travels through the bloodstream to the lungs</t>
  </si>
  <si>
    <t>Z11.3</t>
  </si>
  <si>
    <t>86660-8; 86661-6; LP74080-0</t>
  </si>
  <si>
    <t>86660-8; 86661-6 (GC and Chlamydia) ; GC screen test status LP74080-0</t>
  </si>
  <si>
    <r>
      <t xml:space="preserve">This is a serious issue and concern. 
Definition from </t>
    </r>
    <r>
      <rPr>
        <i/>
        <sz val="10"/>
        <rFont val="Calibri"/>
        <family val="2"/>
      </rPr>
      <t>Family Planning: A Global Handbook for Providers (2018)</t>
    </r>
    <r>
      <rPr>
        <sz val="10"/>
        <rFont val="Calibri"/>
        <family val="2"/>
      </rPr>
      <t xml:space="preserve"> p385</t>
    </r>
  </si>
  <si>
    <t>FP.DE.0258</t>
  </si>
  <si>
    <t>Ruptured ectopic pregnancy</t>
  </si>
  <si>
    <t>When a fallopian tube breaks due to an ectopic pregnancy</t>
  </si>
  <si>
    <t>NOTE: These are suggested prioritizations, not finalized. There should be discussion before finalizing these decisions.</t>
  </si>
  <si>
    <t>Two prioritization methods were used:</t>
  </si>
  <si>
    <r>
      <t xml:space="preserve">This is a serious issue and concern. 
Definition from </t>
    </r>
    <r>
      <rPr>
        <i/>
        <sz val="10"/>
        <rFont val="Calibri"/>
        <family val="2"/>
      </rPr>
      <t>Family Planning: A Global Handbook for Providers (2018)</t>
    </r>
    <r>
      <rPr>
        <sz val="10"/>
        <rFont val="Calibri"/>
        <family val="2"/>
      </rPr>
      <t xml:space="preserve"> p385</t>
    </r>
  </si>
  <si>
    <t xml:space="preserve">   1. Order by number of times the terminology standard is used per resource.</t>
  </si>
  <si>
    <t xml:space="preserve">   2. In the case of ties, prioritize by ICD-10, LOINC, SNOMED, RxNorm</t>
  </si>
  <si>
    <t>FHIR Code systems are suggested as first priority in all cases, and WHO Extended Content (custom code system for this project) is suggested as last priority in all cases.</t>
  </si>
  <si>
    <t>FP.DE.0259</t>
  </si>
  <si>
    <t>Severe allergic reaction to latex</t>
  </si>
  <si>
    <t>When a person's body has a strong reaction to contact with latex. Hives or rash over much of body, dizziness, difficulty breathing, or loss of consciousness during or after condom use.</t>
  </si>
  <si>
    <r>
      <t xml:space="preserve">This is a serious issue and concern. 
Definition from </t>
    </r>
    <r>
      <rPr>
        <i/>
        <sz val="10"/>
        <rFont val="Calibri"/>
        <family val="2"/>
      </rPr>
      <t>Family Planning: A Global Handbook for Providers (2018)</t>
    </r>
    <r>
      <rPr>
        <sz val="10"/>
        <rFont val="Calibri"/>
        <family val="2"/>
      </rPr>
      <t xml:space="preserve"> p385</t>
    </r>
  </si>
  <si>
    <t>FP.DE.0260</t>
  </si>
  <si>
    <t>When arteries to the brain become blocked or burst, preventing normal blood flow and leading to the death of brain tissue</t>
  </si>
  <si>
    <t xml:space="preserve">       HIV test </t>
  </si>
  <si>
    <r>
      <t xml:space="preserve">This is a serious issue and concern. 
Definition from </t>
    </r>
    <r>
      <rPr>
        <i/>
        <sz val="10"/>
        <rFont val="Calibri"/>
        <family val="2"/>
      </rPr>
      <t>Family Planning: A Global Handbook for Providers (2018)</t>
    </r>
    <r>
      <rPr>
        <sz val="10"/>
        <rFont val="Calibri"/>
        <family val="2"/>
      </rPr>
      <t xml:space="preserve"> p385</t>
    </r>
  </si>
  <si>
    <t>ST.DE.433</t>
  </si>
  <si>
    <t>FP.DE.0261</t>
  </si>
  <si>
    <t>A severe reaction throughout the body to toxins released by bacteria</t>
  </si>
  <si>
    <t xml:space="preserve">HIV test </t>
  </si>
  <si>
    <r>
      <t xml:space="preserve">This is a serious issue and concern. 
Definition from </t>
    </r>
    <r>
      <rPr>
        <i/>
        <sz val="10"/>
        <rFont val="Calibri"/>
        <family val="2"/>
      </rPr>
      <t>Family Planning: A Global Handbook for Providers (2018)</t>
    </r>
    <r>
      <rPr>
        <sz val="10"/>
        <rFont val="Calibri"/>
        <family val="2"/>
      </rPr>
      <t xml:space="preserve"> p385</t>
    </r>
  </si>
  <si>
    <t>FP.DE.0262</t>
  </si>
  <si>
    <t>Other (Specify)</t>
  </si>
  <si>
    <t>If none of the input options above appropriately describe the client's issues and concerns, the issues and concerns should be detailed here.</t>
  </si>
  <si>
    <t xml:space="preserve">?specific test? </t>
  </si>
  <si>
    <t>FP.B7. Keep method?</t>
  </si>
  <si>
    <t>FP.DE.0263</t>
  </si>
  <si>
    <t>Keep method?</t>
  </si>
  <si>
    <t>Whether client wants to continue with current method OR stop using current method AND/OR Switching method</t>
  </si>
  <si>
    <t>Required if 'Method at intake' =/= 'No Method'</t>
  </si>
  <si>
    <t>FP.DE.0264</t>
  </si>
  <si>
    <t>Stop using method</t>
  </si>
  <si>
    <t>Client wishes to stop using the current method e.g. client wishes to have an IUD removed</t>
  </si>
  <si>
    <t>FP.DE.0265</t>
  </si>
  <si>
    <t>Continue with method</t>
  </si>
  <si>
    <t>Client wishes to continue with current method</t>
  </si>
  <si>
    <t>FP.DE.0266</t>
  </si>
  <si>
    <t>Switch method</t>
  </si>
  <si>
    <t>Client wishes to switch to another family planning method</t>
  </si>
  <si>
    <t xml:space="preserve">       Syphilis screen</t>
  </si>
  <si>
    <t>FP.B11.1. Method in mind</t>
  </si>
  <si>
    <t>FP.DE.0267</t>
  </si>
  <si>
    <t>Whether the client has a method in mind coming in to the visit.</t>
  </si>
  <si>
    <t>ST.DE.232</t>
  </si>
  <si>
    <t>Syphilis screen</t>
  </si>
  <si>
    <t>FP.B11.3. Select methods of interest</t>
  </si>
  <si>
    <t>FP.DE.0268</t>
  </si>
  <si>
    <t>Include if 'Method in mind'  = TRUE</t>
  </si>
  <si>
    <t>this is really a data element; i think that all of thes are data elements..can we talk about this; maybe i am wrong</t>
  </si>
  <si>
    <t>Z11.8</t>
  </si>
  <si>
    <t>20507-0</t>
  </si>
  <si>
    <t>FP.DE.0269</t>
  </si>
  <si>
    <t>Copper-bearing intrauterine device</t>
  </si>
  <si>
    <t xml:space="preserve">z11.8 (same as chlamydia) 
;20507-0 (RPR) </t>
  </si>
  <si>
    <t>Methods here are included in the MEC wheel</t>
  </si>
  <si>
    <t>FP.DE.0270</t>
  </si>
  <si>
    <t>Levonorgestrel intrauterine device, a hormone releasing intrauterine contraception device</t>
  </si>
  <si>
    <t>FP.DE.0271</t>
  </si>
  <si>
    <t>Etonogestrel one-rod implant</t>
  </si>
  <si>
    <t>FP.DE.0272</t>
  </si>
  <si>
    <t>Levonorgestrel two-rod implant</t>
  </si>
  <si>
    <t>FP.DE.0273</t>
  </si>
  <si>
    <t>Injectible depot medroxyprogesterone acetate (DMPA), administered intramuscularly</t>
  </si>
  <si>
    <t>FP.DE.0274</t>
  </si>
  <si>
    <t>Injectible depot medroxyprogesterone acetate (DMPA), administered subcutaneously</t>
  </si>
  <si>
    <t>FP.DE.0275</t>
  </si>
  <si>
    <t>Injectible norethisterone enanthate (NET-EN)</t>
  </si>
  <si>
    <t>FP.DE.0276</t>
  </si>
  <si>
    <t>FP.DE.0277</t>
  </si>
  <si>
    <t>Combined oral contraceptives (COCs) pills</t>
  </si>
  <si>
    <t>FP.DE.0278</t>
  </si>
  <si>
    <t>Transdermal combined contraceptive patch</t>
  </si>
  <si>
    <t>FP.DE.0279</t>
  </si>
  <si>
    <t>Other (specify) - Screenings performed</t>
  </si>
  <si>
    <t>FP.DE.0280</t>
  </si>
  <si>
    <t>FP.DE.0281</t>
  </si>
  <si>
    <t>Write in other screenings if not included in the list</t>
  </si>
  <si>
    <t>FP.DE.0282</t>
  </si>
  <si>
    <t>FP.DE.0283</t>
  </si>
  <si>
    <t>FP.DE.0284</t>
  </si>
  <si>
    <t>FP.DE.0285</t>
  </si>
  <si>
    <t>FP.DE.0286</t>
  </si>
  <si>
    <t>Male surgical sterilization (a vasectomy)</t>
  </si>
  <si>
    <t>FP.DE.0287</t>
  </si>
  <si>
    <t>Female surgical sterilization</t>
  </si>
  <si>
    <t>FP.DE.0288</t>
  </si>
  <si>
    <t>Withdrawal or coitus interruptus method</t>
  </si>
  <si>
    <t>Date of Screening</t>
  </si>
  <si>
    <t>FP.B11.4 Screen for medical eligibility</t>
  </si>
  <si>
    <t>FP.DE.0289</t>
  </si>
  <si>
    <t>Health condition(s)</t>
  </si>
  <si>
    <t xml:space="preserve">Health conditions that are relevant to determining medical eligibility for contraceptive methods </t>
  </si>
  <si>
    <t>FP.DE.0290</t>
  </si>
  <si>
    <t>No reported health conditions</t>
  </si>
  <si>
    <t xml:space="preserve">The client has reported none of the health conditions listed here. </t>
  </si>
  <si>
    <t>Required if no other health conditions are selected</t>
  </si>
  <si>
    <t>Postpartum Category</t>
  </si>
  <si>
    <t>Parent category for organizing data dictionary - no data recorded</t>
  </si>
  <si>
    <t>Parent Category</t>
  </si>
  <si>
    <t>Screening Result</t>
  </si>
  <si>
    <t>FP.DE.0291</t>
  </si>
  <si>
    <t>Puerperal sepsis postpartum</t>
  </si>
  <si>
    <t>Including puerperal fever and puerperal sepsis intrapartum</t>
  </si>
  <si>
    <t>FP.DE.0292</t>
  </si>
  <si>
    <t>Mild pre-eclampsia</t>
  </si>
  <si>
    <t xml:space="preserve">Client has been previously diagnosed with mild pre-eclampsia whereby, Diastolic blood pressure 90-110 mmHg on two readings and 2+ proteinuria. Pre-eclampsia is hypertension with either excess protein in the urine, or local or generalized swlling, or both (but without convulsions) after 20 weeks of pregnancy. </t>
  </si>
  <si>
    <r>
      <t xml:space="preserve">Health conditions critical for determining medical eligibility for Female Sterilization.
Definition from </t>
    </r>
    <r>
      <rPr>
        <i/>
        <sz val="10"/>
        <rFont val="Calibri"/>
        <family val="2"/>
      </rPr>
      <t xml:space="preserve">Integrated Management of Pregnancy and Childbirth: Pregnancy, Childbirth, Postpartum and Newborn Care: A guide for essental practice (2006) </t>
    </r>
    <r>
      <rPr>
        <sz val="10"/>
        <rFont val="Calibri"/>
        <family val="2"/>
      </rPr>
      <t xml:space="preserve">&amp; glossary of </t>
    </r>
    <r>
      <rPr>
        <i/>
        <sz val="10"/>
        <rFont val="Calibri"/>
        <family val="2"/>
      </rPr>
      <t>Family Planning: A Global Handbook for Providers (2018) p405</t>
    </r>
  </si>
  <si>
    <t>FP.DE.0293</t>
  </si>
  <si>
    <t>Severe pre-eclampsia/eclampsia</t>
  </si>
  <si>
    <t>Client has been previously diagnosed with severe pre-eclampsia or eclampsia whereby, Diastolic blood pressure &gt;= 110 mmHg &amp; 3+ proteinuria OR diastolic blood pressure &gt;= 90 mm Hg on two readings and 2+ proteinuria, and any of severe headache, blurred vision, or epigastric pain. Eclampsia is a condition of late pregnancy, labor, and the period immediately agter delivery characterized by convulsions. In serious cases, sometimes followed by coma and death.</t>
  </si>
  <si>
    <t>Specimen collection</t>
  </si>
  <si>
    <r>
      <t xml:space="preserve">Health conditions critical for determining medical eligibility for Female Sterilization1
Definition from </t>
    </r>
    <r>
      <rPr>
        <i/>
        <sz val="10"/>
        <rFont val="Calibri"/>
        <family val="2"/>
      </rPr>
      <t xml:space="preserve">Integrated Management of Pregnancy and Childbirth: Pregnancy, Childbirth, Postpartum and Newborn Care: A guide for essental practice (2006) </t>
    </r>
    <r>
      <rPr>
        <sz val="10"/>
        <rFont val="Calibri"/>
        <family val="2"/>
      </rPr>
      <t xml:space="preserve">&amp; glossary of </t>
    </r>
    <r>
      <rPr>
        <i/>
        <sz val="10"/>
        <rFont val="Calibri"/>
        <family val="2"/>
      </rPr>
      <t>Family Planning: A Global Handbook for Providers (2018) p401</t>
    </r>
  </si>
  <si>
    <t>FP.DE.0294</t>
  </si>
  <si>
    <t>Prolonged rupture of membranes postpartum</t>
  </si>
  <si>
    <t xml:space="preserve">Client experienced prolonged rupture of membranes postpartum for 24 hours or more </t>
  </si>
  <si>
    <t>Health conditions critical for determining medical eligibility for Female Sterilization</t>
  </si>
  <si>
    <t>FP.DE.0295</t>
  </si>
  <si>
    <t>Severe antepartum or postpartum haemorrhage</t>
  </si>
  <si>
    <t>Client has been previously diagnosed with severe antepartum or postpartum haemorrhage</t>
  </si>
  <si>
    <t>FP.DE.0296</t>
  </si>
  <si>
    <t>Severe trauma to the genital tract</t>
  </si>
  <si>
    <t>Cervical or vaginal tear at the time of delivery</t>
  </si>
  <si>
    <t>ST.DE.048</t>
  </si>
  <si>
    <t>FP.DE.0297</t>
  </si>
  <si>
    <t>Uterine rupture or perforation</t>
  </si>
  <si>
    <t>Client experience uterine rupture or perforation</t>
  </si>
  <si>
    <t>FP.DE.0298</t>
  </si>
  <si>
    <t xml:space="preserve">Client experiences a past pregnancy in which the fertilized egg implants on tissue outside the uterus, most commonly in a fallopian tube but sometimes in the cervior abdominal cavity. </t>
  </si>
  <si>
    <t>FP.DE.0299</t>
  </si>
  <si>
    <t>History of pelvic surgery including casesarean section</t>
  </si>
  <si>
    <t xml:space="preserve">can they give us options? </t>
  </si>
  <si>
    <t>FP.DE.0300</t>
  </si>
  <si>
    <t>Client is obese wherby BMI &gt;= 30 kg/m^2</t>
  </si>
  <si>
    <t>TRUE IF "Body Mass Index&gt; 30kg/m^2"</t>
  </si>
  <si>
    <t>MEC. Included in MEC app conditions.csv
If height and weight are recorded, system can calculate BMI and automatically determine if the client is obese.</t>
  </si>
  <si>
    <t>Smoking</t>
  </si>
  <si>
    <t>Complicated condition</t>
  </si>
  <si>
    <t>FP.DE.0301</t>
  </si>
  <si>
    <t>Smokes &lt; 15 cigarettes per day</t>
  </si>
  <si>
    <t>Client smokes &lt; 15 cigarettes per day</t>
  </si>
  <si>
    <t>ST.DE.051</t>
  </si>
  <si>
    <t>Whether STI is a complicated infection</t>
  </si>
  <si>
    <t>FP.DE.0302</t>
  </si>
  <si>
    <t>Smokes &gt;= 15 cigarettes per day</t>
  </si>
  <si>
    <t>Must be associated with a condition</t>
  </si>
  <si>
    <t>Client smokes &gt;= 15 cigarettes per day</t>
  </si>
  <si>
    <t>Include if condition = Syphilis</t>
  </si>
  <si>
    <t>DL Treatment recommendations</t>
  </si>
  <si>
    <t>Parent category for organizing data dictionary - no data recorded. 
Diabetes (diabetes mellitus) is a chronic disorder that occurs when blood glucose levels become too high because the body does not produce enough insulin or cannot use the insulin properly.</t>
  </si>
  <si>
    <t>26039008</t>
  </si>
  <si>
    <t>Most likely referring to neurosyphillis?</t>
  </si>
  <si>
    <t>FP.DE.0303</t>
  </si>
  <si>
    <t>History of gestational diabetes</t>
  </si>
  <si>
    <t xml:space="preserve">History of diabetes during pregnancy only </t>
  </si>
  <si>
    <t>FP.DE.0304</t>
  </si>
  <si>
    <t>FP.DE.0305</t>
  </si>
  <si>
    <t xml:space="preserve">Non-vascular insulin-dependent </t>
  </si>
  <si>
    <t>Non-vascular insulin-dependent diabetes</t>
  </si>
  <si>
    <t>FP.DE.0306</t>
  </si>
  <si>
    <t>Kidney disease, including damage to the small blood vessels in the kidneys from long-standing diabetes</t>
  </si>
  <si>
    <t>ST.DE.111</t>
  </si>
  <si>
    <t>&lt;= {Current Date}</t>
  </si>
  <si>
    <r>
      <t xml:space="preserve">MEC. Included in MEC app conditions.csv
Definition from glossary of </t>
    </r>
    <r>
      <rPr>
        <i/>
        <sz val="10"/>
        <color rgb="FF000000"/>
        <rFont val="Calibri"/>
        <family val="2"/>
      </rPr>
      <t>Family Planning: A Global Handbook for Providers (2018) p404</t>
    </r>
  </si>
  <si>
    <t>FP.DE.0307</t>
  </si>
  <si>
    <t>Disease of the retina (nerve tissue lining the back of the eye), including damage to the small blood vessels to the retina from long-standing diabetes</t>
  </si>
  <si>
    <r>
      <t xml:space="preserve">MEC. Included in MEC app conditions.csv
Definition from glossary of </t>
    </r>
    <r>
      <rPr>
        <i/>
        <sz val="10"/>
        <color rgb="FF000000"/>
        <rFont val="Calibri"/>
        <family val="2"/>
      </rPr>
      <t>Family Planning: A Global Handbook for Providers (2018) p405</t>
    </r>
  </si>
  <si>
    <t>HIV postiive test</t>
  </si>
  <si>
    <t>FP.DE.0308</t>
  </si>
  <si>
    <t>365866002</t>
  </si>
  <si>
    <t>Nervous system or nerve disease, including nerve degeneration dur to damage to the small blood vessels in the nervous system from long-standing diabetes</t>
  </si>
  <si>
    <r>
      <t xml:space="preserve">MEC. Included in MEC app conditions.csv
Definition from glossary of </t>
    </r>
    <r>
      <rPr>
        <i/>
        <sz val="10"/>
        <color rgb="FF000000"/>
        <rFont val="Calibri"/>
        <family val="2"/>
      </rPr>
      <t>Family Planning: A Global Handbook for Providers (2018) p404</t>
    </r>
  </si>
  <si>
    <t>FP.DE.0309</t>
  </si>
  <si>
    <t>Client has had diabetes for more than 20 years</t>
  </si>
  <si>
    <t>FP.DE.0310</t>
  </si>
  <si>
    <t>Client has had any other vascular disease for more than 20 years</t>
  </si>
  <si>
    <t>Hypertension Category</t>
  </si>
  <si>
    <t>ST.DE.112</t>
  </si>
  <si>
    <t>FP.DE.0311</t>
  </si>
  <si>
    <t>History of hypertension, but blood pressure cannot be evaluated</t>
  </si>
  <si>
    <t>FP.DE.0312</t>
  </si>
  <si>
    <t>History of hypertension during pregnancy, and blood pressure can be evaluated</t>
  </si>
  <si>
    <t>Client experienced Diastolic blood pressure of &gt;= 90 mm Hg on two readings during pregnancy; and blood pressure measurement can be taken</t>
  </si>
  <si>
    <r>
      <t xml:space="preserve">Definition from </t>
    </r>
    <r>
      <rPr>
        <i/>
        <sz val="10"/>
        <color rgb="FF000000"/>
        <rFont val="Calibri"/>
        <family val="2"/>
      </rPr>
      <t>Integrated Management of Pregnancy and Childbirth: Pregnancy, Childbirth, Postpartum and Newborn Care: A guide for essental practice (2006)</t>
    </r>
  </si>
  <si>
    <t>FP.DE.0313</t>
  </si>
  <si>
    <t>Adequately controlled hypertension, and blood pressure can be evaluated</t>
  </si>
  <si>
    <t>Client has been diagnosed with hypertension, but it is adequately controlled, and blood pressure measurement can be taken</t>
  </si>
  <si>
    <t>FP.DE.0314</t>
  </si>
  <si>
    <t>Vascular disease</t>
  </si>
  <si>
    <t>Any disease of the blood vessel</t>
  </si>
  <si>
    <t>Calculation - HIV Positive</t>
  </si>
  <si>
    <r>
      <t xml:space="preserve">Definition from glossary of </t>
    </r>
    <r>
      <rPr>
        <i/>
        <sz val="10"/>
        <color rgb="FF000000"/>
        <rFont val="Calibri"/>
        <family val="2"/>
      </rPr>
      <t>Family Planning: A Global Handbook for Providers (2018) p407</t>
    </r>
  </si>
  <si>
    <t>FP.DE.0315</t>
  </si>
  <si>
    <t>ST.DE.113</t>
  </si>
  <si>
    <t xml:space="preserve">Client is known to have dyslipidemias, whereby the client has abnormal concentrations of lipids or lipoproteins in the blood </t>
  </si>
  <si>
    <r>
      <rPr>
        <sz val="10"/>
        <color rgb="FF000000"/>
        <rFont val="Calibri"/>
        <family val="2"/>
      </rPr>
      <t>Definition from</t>
    </r>
    <r>
      <rPr>
        <i/>
        <sz val="10"/>
        <color rgb="FF000000"/>
        <rFont val="Calibri"/>
        <family val="2"/>
      </rPr>
      <t xml:space="preserve"> Merriam-Webster Dictionary</t>
    </r>
  </si>
  <si>
    <t>FP.DE.0316</t>
  </si>
  <si>
    <t>Multiple risk factors for arterial cardiovascular disease</t>
  </si>
  <si>
    <t>Client has multiple risk factors such as, older age, smoking, diabetes, hypertension, and known dyslipidaemias</t>
  </si>
  <si>
    <t>JA - Issue</t>
  </si>
  <si>
    <t>Deep venous thrombosis (DVT)/Pulmonary embolism (PE) Category</t>
  </si>
  <si>
    <t>Parent category for organizing data dictionary - no data recorde. 
Venous thrombo-embolism categories, including risks, for checking medical eligibility.</t>
  </si>
  <si>
    <t>FP.DE.0317</t>
  </si>
  <si>
    <t>FP.DE.0318</t>
  </si>
  <si>
    <t>ST.DE.114</t>
  </si>
  <si>
    <t>FP.DE.0319</t>
  </si>
  <si>
    <t>DVT/PE and established on anticoagulant therapy</t>
  </si>
  <si>
    <t>Client has Deep venous thrombosis (DVT)/Pulmonary embolism (PE) and is currently on anticoagulant therapy</t>
  </si>
  <si>
    <t>FP.DE.0320</t>
  </si>
  <si>
    <t>Family history of DVT/PE</t>
  </si>
  <si>
    <t>History of Deep venous thrombosis (DVT)/Pulmonary embolism (PE) in first-degree relatives</t>
  </si>
  <si>
    <t>FP.DE.0321</t>
  </si>
  <si>
    <t>Major surgery with prolonged immobilization</t>
  </si>
  <si>
    <t>FP.DE.0322</t>
  </si>
  <si>
    <t>FP.DE.0323</t>
  </si>
  <si>
    <t>Concept for HIV status in LOINC, but not for partner</t>
  </si>
  <si>
    <t>FP.DE.0324</t>
  </si>
  <si>
    <t>Client has known thrombogenetic mutations, which are any of several genetic disorders that cause abnormal thickening or clotting of the blood</t>
  </si>
  <si>
    <r>
      <t xml:space="preserve">Definition from glossary of </t>
    </r>
    <r>
      <rPr>
        <i/>
        <sz val="10"/>
        <color rgb="FF000000"/>
        <rFont val="Calibri"/>
        <family val="2"/>
      </rPr>
      <t>Family Planning: A Global Handbook for Providers (2018) p406</t>
    </r>
  </si>
  <si>
    <t>Superficial venous disorders</t>
  </si>
  <si>
    <t>FP.DE.0325</t>
  </si>
  <si>
    <t>Enlarged, twisted veins, most commonly seen in veins just beneath the skin of the legs</t>
  </si>
  <si>
    <t>ST.DE.115</t>
  </si>
  <si>
    <r>
      <t xml:space="preserve">Definition from glossary of </t>
    </r>
    <r>
      <rPr>
        <i/>
        <sz val="10"/>
        <color rgb="FF000000"/>
        <rFont val="Calibri"/>
        <family val="2"/>
      </rPr>
      <t>Family Planning: A Global Handbook for Providers (2018) p407</t>
    </r>
  </si>
  <si>
    <t>FP.DE.0326</t>
  </si>
  <si>
    <t>Superficial venous thrombosis, or superficial thrombophlebitis, is inflammation of a vein just beneath the skin due to the formation of a blood clot inside a blood vessel</t>
  </si>
  <si>
    <r>
      <t xml:space="preserve">Definition from glossary of </t>
    </r>
    <r>
      <rPr>
        <i/>
        <sz val="10"/>
        <color rgb="FF000000"/>
        <rFont val="Calibri"/>
        <family val="2"/>
      </rPr>
      <t>Family Planning: A Global Handbook for Providers (2018) p406</t>
    </r>
  </si>
  <si>
    <t>FP.DE.0327</t>
  </si>
  <si>
    <t>Current and history of ischaemic heart disease, or ischemia, which is reduced blood flow to tissues of the body. When this reduced flow is in the arteries of the heart, it is called ischemic heart disease.</t>
  </si>
  <si>
    <r>
      <t xml:space="preserve">MEC. Included in MEC app conditions.csv
Definition from glossary of </t>
    </r>
    <r>
      <rPr>
        <i/>
        <sz val="10"/>
        <color rgb="FF000000"/>
        <rFont val="Calibri"/>
        <family val="2"/>
      </rPr>
      <t>Family Planning: A Global Handbook for Providers (2018) p404</t>
    </r>
  </si>
  <si>
    <t>FP.DE.0328</t>
  </si>
  <si>
    <t>History of stroke or cerebrovascular accident. When arteries to the brain become blocked or burst, preventing normal blood flow and leading to the death of brain tissue.</t>
  </si>
  <si>
    <t>ST.DE.116</t>
  </si>
  <si>
    <r>
      <t xml:space="preserve">MEC. Included in MEC app conditions.csv
Definition from </t>
    </r>
    <r>
      <rPr>
        <i/>
        <sz val="10"/>
        <color rgb="FF000000"/>
        <rFont val="Calibri"/>
        <family val="2"/>
      </rPr>
      <t>Family Planning: A Global Handbook for Providers (2018) p385</t>
    </r>
  </si>
  <si>
    <t>Parent category for organizing data dictionary - no data recorded
Valvular heart disease includes health problems due to improperly functioning heart valves.</t>
  </si>
  <si>
    <t>10828004</t>
  </si>
  <si>
    <r>
      <t xml:space="preserve">Definition from glossary of </t>
    </r>
    <r>
      <rPr>
        <i/>
        <sz val="10"/>
        <color rgb="FF000000"/>
        <rFont val="Calibri"/>
        <family val="2"/>
      </rPr>
      <t>Family Planning: A Global Handbook for Providers (2018) p407</t>
    </r>
  </si>
  <si>
    <t>FP.DE.0329</t>
  </si>
  <si>
    <t>Uncomplicated valvular heart disease</t>
  </si>
  <si>
    <t>Uncomplicated health problems due to improperly functioning heart valves.</t>
  </si>
  <si>
    <r>
      <t xml:space="preserve">Definition from glossary of </t>
    </r>
    <r>
      <rPr>
        <i/>
        <sz val="10"/>
        <color rgb="FF000000"/>
        <rFont val="Calibri"/>
        <family val="2"/>
      </rPr>
      <t>Family Planning: A Global Handbook for Providers (2018) p407</t>
    </r>
  </si>
  <si>
    <t>FP.DE.0330</t>
  </si>
  <si>
    <t>Complicated valvular heart disease</t>
  </si>
  <si>
    <t>Complicated health problems due to improperly functioning heart valves. This includes Pulmonary hypertension, risk of atrial fibrillation, history of subacute bacterial endocarditis</t>
  </si>
  <si>
    <r>
      <t xml:space="preserve">Definition from glossary of </t>
    </r>
    <r>
      <rPr>
        <i/>
        <sz val="10"/>
        <color rgb="FF000000"/>
        <rFont val="Calibri"/>
        <family val="2"/>
      </rPr>
      <t>Family Planning: A Global Handbook for Providers (2018) p407</t>
    </r>
  </si>
  <si>
    <t>Systemic lupus erythematosus (SLE) Category</t>
  </si>
  <si>
    <t>Parent category for organizing data dictionary - no data recorded.
Categorization of lupus, which may affect medical eligibility for contraception</t>
  </si>
  <si>
    <t>FP.DE.0331</t>
  </si>
  <si>
    <t>SLE, also called Lupus, with positive (or unknown) antiphospholipid antibodies</t>
  </si>
  <si>
    <t>ST.DE.117</t>
  </si>
  <si>
    <t>FP.DE.0332</t>
  </si>
  <si>
    <t>SLE, also called Lupus, with severe thrombocytopenia</t>
  </si>
  <si>
    <t>FP.DE.0333</t>
  </si>
  <si>
    <t>SLE, also called Lupus, with immunosuppressive treatment</t>
  </si>
  <si>
    <t>260385009</t>
  </si>
  <si>
    <t>FP.DE.0334</t>
  </si>
  <si>
    <t>SLE, also called Lupus, with none of the above</t>
  </si>
  <si>
    <t>Headaches Category</t>
  </si>
  <si>
    <t>ST.DE.118</t>
  </si>
  <si>
    <t>FP.DE.0335</t>
  </si>
  <si>
    <t>Non-Migrainous</t>
  </si>
  <si>
    <t>Mild or severe headaches that are not migraine headaches</t>
  </si>
  <si>
    <t>select one</t>
  </si>
  <si>
    <t>FP.DE.0336</t>
  </si>
  <si>
    <t>A type of severe, recurrent, throbbing headache, often on one side of the head, that lasts from 4-72 hours (migraine heache) without a nervous system disturbance that affect sight and sometimes touch and speech (aura)</t>
  </si>
  <si>
    <t>313077009</t>
  </si>
  <si>
    <r>
      <t xml:space="preserve">Definition from glossary of </t>
    </r>
    <r>
      <rPr>
        <i/>
        <sz val="10"/>
        <color rgb="FF000000"/>
        <rFont val="Calibri"/>
        <family val="2"/>
      </rPr>
      <t>Family Planning: A Global Handbook for Providers (2018) p404 &amp; p436</t>
    </r>
  </si>
  <si>
    <t>FP.DE.0337</t>
  </si>
  <si>
    <t>A type of severe, recurrent, throbbing headache, often on one side of the head, that lasts from 4-72 hours (migraine heache) with a nervous system disturbance that affect sight and sometimes touch and speech (aura)</t>
  </si>
  <si>
    <r>
      <t xml:space="preserve">Definition from glossary of </t>
    </r>
    <r>
      <rPr>
        <i/>
        <sz val="10"/>
        <color rgb="FF000000"/>
        <rFont val="Calibri"/>
        <family val="2"/>
      </rPr>
      <t>Family Planning: A Global Handbook for Providers (2018) p404 &amp; p436</t>
    </r>
  </si>
  <si>
    <t>FP.DE.0338</t>
  </si>
  <si>
    <t>A chronic disorder caused by disturbed brain function. May involve convulsions.</t>
  </si>
  <si>
    <r>
      <t xml:space="preserve">Definition from glossary of </t>
    </r>
    <r>
      <rPr>
        <i/>
        <sz val="10"/>
        <color rgb="FF000000"/>
        <rFont val="Calibri"/>
        <family val="2"/>
      </rPr>
      <t>Family Planning: A Global Handbook for Providers (2018) p402</t>
    </r>
  </si>
  <si>
    <t>FP.DE.0339</t>
  </si>
  <si>
    <t>Disorders characterized by depression, a mental condition that is typically marked by dejection, despair, lack of hope, and sometimes either extreme tiredness or agitation</t>
  </si>
  <si>
    <r>
      <t xml:space="preserve">Definition from glossary of </t>
    </r>
    <r>
      <rPr>
        <i/>
        <sz val="10"/>
        <color rgb="FF000000"/>
        <rFont val="Calibri"/>
        <family val="2"/>
      </rPr>
      <t>Family Planning: A Global Handbook for Providers (2018) p401</t>
    </r>
  </si>
  <si>
    <t>Vaginal bleeding patterns Category</t>
  </si>
  <si>
    <t>ST.DE.119</t>
  </si>
  <si>
    <t>Parent category for organizing data dictionary - no data recorded.
Vaginal bleeding define as any bloody vaginal discharge (pink, red, or brown) that requires the use of sanitary protection (pads, cloths, or tampons).</t>
  </si>
  <si>
    <t>FP.DE.0340</t>
  </si>
  <si>
    <t>Irregular vaginal bleeding patterns</t>
  </si>
  <si>
    <t>http://hl7.org/fhir/request-status</t>
  </si>
  <si>
    <t>Irregular vaginal bleeding patterns without heavy bleeding</t>
  </si>
  <si>
    <t>FP.DE.0341</t>
  </si>
  <si>
    <t>Heavy or prolonged vaginal bleeding patterns</t>
  </si>
  <si>
    <t>Heavy or prolonged  vaginal bleeding patterns (including regular and irregular patterns)</t>
  </si>
  <si>
    <t>FP.DE.0342</t>
  </si>
  <si>
    <t>Unexplained vaginal bleeding (suspicious for serious condition) - before evaluation. Vaginal bleeding includes any bloody vaginal discharge (pink, red, or brown) that requires the use of sanitary protection (pads, cloth, or tampons).</t>
  </si>
  <si>
    <t>ST.DE.120</t>
  </si>
  <si>
    <r>
      <t xml:space="preserve">Definition from glossary of </t>
    </r>
    <r>
      <rPr>
        <i/>
        <sz val="10"/>
        <color rgb="FF000000"/>
        <rFont val="Calibri"/>
        <family val="2"/>
      </rPr>
      <t>Family Planning: A Global Handbook for Providers (2018) p407</t>
    </r>
  </si>
  <si>
    <t>FP.DE.0343</t>
  </si>
  <si>
    <t xml:space="preserve">A condition in which tissue of the endometrium grows outside the uterus. Tissue may attach itself to the reproductive organs or to other organs in the abdominal cavity. Can cause pelvic pain and impair fertility. </t>
  </si>
  <si>
    <t>Not Done</t>
  </si>
  <si>
    <r>
      <t xml:space="preserve">Definition from glossary of </t>
    </r>
    <r>
      <rPr>
        <i/>
        <sz val="10"/>
        <color rgb="FF000000"/>
        <rFont val="Calibri"/>
        <family val="2"/>
      </rPr>
      <t>Family Planning: A Global Handbook for Providers (2018) p402</t>
    </r>
  </si>
  <si>
    <t>FP.DE.0344</t>
  </si>
  <si>
    <t>Benign ovarian tumors</t>
  </si>
  <si>
    <t>Benign ovarian tumors (including cysts). Noncancerous growth that develops on or in the ovary.</t>
  </si>
  <si>
    <r>
      <t xml:space="preserve">Definition from glossary of </t>
    </r>
    <r>
      <rPr>
        <i/>
        <sz val="10"/>
        <color rgb="FF000000"/>
        <rFont val="Calibri"/>
        <family val="2"/>
      </rPr>
      <t>Family Planning: A Global Handbook for Providers (2018) p400</t>
    </r>
  </si>
  <si>
    <t>FP.DE.0345</t>
  </si>
  <si>
    <t>Severe pain during vaginal bleeding, commonly known as menstrual cramps</t>
  </si>
  <si>
    <r>
      <t xml:space="preserve">Definition from glossary of </t>
    </r>
    <r>
      <rPr>
        <i/>
        <sz val="10"/>
        <color rgb="FF000000"/>
        <rFont val="Calibri"/>
        <family val="2"/>
      </rPr>
      <t>Family Planning: A Global Handbook for Providers (2018) p401</t>
    </r>
  </si>
  <si>
    <t>ST.DE.033</t>
  </si>
  <si>
    <t>Condition the patient is being diagnosed with</t>
  </si>
  <si>
    <t>Gestational trophoblastic disease Category</t>
  </si>
  <si>
    <t>Parent category for organizing data dictionary - no data recorded.
Disease during pregnancy involving abnormal cell growth of the trophoblast, the outermost layer of cells of the developing embryo, which develops into the placenta.</t>
  </si>
  <si>
    <t>54531-9</t>
  </si>
  <si>
    <r>
      <t xml:space="preserve">Definition from glossary of </t>
    </r>
    <r>
      <rPr>
        <i/>
        <sz val="10"/>
        <color rgb="FF000000"/>
        <rFont val="Calibri"/>
        <family val="2"/>
      </rPr>
      <t>Family Planning: A Global Handbook for Providers (2018) p403</t>
    </r>
  </si>
  <si>
    <t>FP.DE.0346</t>
  </si>
  <si>
    <t>Gestational trophoblastic disease with decreasing or undetectable ß-hCG level</t>
  </si>
  <si>
    <t>Disease during pregnancy involving abnormal cell growth of the trophoblast, the outermost layer of cells of the developing embryo, which develops into the placenta - with decreasing or undetectable ß-hCG level.</t>
  </si>
  <si>
    <r>
      <t xml:space="preserve">Definition from glossary of </t>
    </r>
    <r>
      <rPr>
        <i/>
        <sz val="10"/>
        <color rgb="FF000000"/>
        <rFont val="Calibri"/>
        <family val="2"/>
      </rPr>
      <t>Family Planning: A Global Handbook for Providers (2018) p403</t>
    </r>
  </si>
  <si>
    <t>FP.DE.0347</t>
  </si>
  <si>
    <t>Gestational trophoblastic disease with persistently elevated ß-hCG levels or malignant disease</t>
  </si>
  <si>
    <t>Disease during pregnancy involving abnormal cell growth of the trophoblast, the outermost layer of cells of the developing embryo, which develops into the placenta - with persistently elevated ß-hCG levels or malignant disease.</t>
  </si>
  <si>
    <t xml:space="preserve">       Chlamydia</t>
  </si>
  <si>
    <r>
      <t xml:space="preserve">Definition from glossary of </t>
    </r>
    <r>
      <rPr>
        <i/>
        <sz val="10"/>
        <color rgb="FF000000"/>
        <rFont val="Calibri"/>
        <family val="2"/>
      </rPr>
      <t>Family Planning: A Global Handbook for Providers (2018) p403</t>
    </r>
  </si>
  <si>
    <t>FP.DE.0348</t>
  </si>
  <si>
    <t>A nonserious condition in which the mucus-producing cells found in the cervical canal begin to grow on the area around the opening of the cervix.</t>
  </si>
  <si>
    <r>
      <t xml:space="preserve">Definition from glossary of </t>
    </r>
    <r>
      <rPr>
        <i/>
        <sz val="10"/>
        <color rgb="FF000000"/>
        <rFont val="Calibri"/>
        <family val="2"/>
      </rPr>
      <t>Family Planning: A Global Handbook for Providers (2018) p401</t>
    </r>
  </si>
  <si>
    <t>FP.DE.0349</t>
  </si>
  <si>
    <t>Cervical intraepithelial neoplasia (CIN)</t>
  </si>
  <si>
    <t>Abnormal, precancerous cells in the cervix. Mild forms may go away on their own, but more severe abnormalities may progress to cervical cancer if not treated. Also called cervical dysplasia or precancer.</t>
  </si>
  <si>
    <r>
      <t xml:space="preserve">Definition from glossary of </t>
    </r>
    <r>
      <rPr>
        <i/>
        <sz val="10"/>
        <color rgb="FF000000"/>
        <rFont val="Calibri"/>
        <family val="2"/>
      </rPr>
      <t>Family Planning: A Global Handbook for Providers (2018) p401</t>
    </r>
  </si>
  <si>
    <t>FP.DE.0350</t>
  </si>
  <si>
    <t>Cervical cancer (awaiting treatment)</t>
  </si>
  <si>
    <t xml:space="preserve">Client is awaiting treatment for malignant (cancerous) growth that occurs in the cervix, usually due to persistent infection with certain types of human papillomavirus. </t>
  </si>
  <si>
    <r>
      <t xml:space="preserve">Definition from glossary of </t>
    </r>
    <r>
      <rPr>
        <i/>
        <sz val="10"/>
        <color rgb="FF000000"/>
        <rFont val="Calibri"/>
        <family val="2"/>
      </rPr>
      <t>Family Planning: A Global Handbook for Providers (2018) p401</t>
    </r>
  </si>
  <si>
    <t>Breast disease category</t>
  </si>
  <si>
    <t>Parent category for organizing data dictionary - no data recorded.
Category for diseases of the breasts.</t>
  </si>
  <si>
    <t>FP.DE.0351</t>
  </si>
  <si>
    <t>Client has abnormal growth in breast, but is not yet diagnosed.</t>
  </si>
  <si>
    <t>105629000</t>
  </si>
  <si>
    <t>FP.DE.0352</t>
  </si>
  <si>
    <t>Growth of abnormal but noncancerous breast tissue.</t>
  </si>
  <si>
    <r>
      <t xml:space="preserve">Definition from glossary of </t>
    </r>
    <r>
      <rPr>
        <i/>
        <sz val="10"/>
        <color rgb="FF000000"/>
        <rFont val="Calibri"/>
        <family val="2"/>
      </rPr>
      <t>Family Planning: A Global Handbook for Providers (2018) p400</t>
    </r>
  </si>
  <si>
    <t>FP.DE.0353</t>
  </si>
  <si>
    <t>Client has a family history of breast cancer.</t>
  </si>
  <si>
    <t>FP.DE.0354</t>
  </si>
  <si>
    <t>Currently has breast cancer</t>
  </si>
  <si>
    <t xml:space="preserve">Client has malignant (cancerous) growth that develops in breast tissue. </t>
  </si>
  <si>
    <t xml:space="preserve">       Syphilis</t>
  </si>
  <si>
    <r>
      <t xml:space="preserve">Definition from glossary of </t>
    </r>
    <r>
      <rPr>
        <i/>
        <sz val="10"/>
        <color rgb="FF000000"/>
        <rFont val="Calibri"/>
        <family val="2"/>
      </rPr>
      <t>Family Planning: A Global Handbook for Providers (2018) p400</t>
    </r>
  </si>
  <si>
    <t>FP.DE.0355</t>
  </si>
  <si>
    <t>Past history of breast cancer</t>
  </si>
  <si>
    <t xml:space="preserve">Past history of breast cancer and no evidence of current breast cancer for 5 years. Breast cancer defined as malignant (cancerous) growth that develops in breast tissue. </t>
  </si>
  <si>
    <r>
      <t xml:space="preserve">Definition from glossary of </t>
    </r>
    <r>
      <rPr>
        <i/>
        <sz val="10"/>
        <color rgb="FF000000"/>
        <rFont val="Calibri"/>
        <family val="2"/>
      </rPr>
      <t>Family Planning: A Global Handbook for Providers (2018) p400</t>
    </r>
  </si>
  <si>
    <t>FP.DE.0356</t>
  </si>
  <si>
    <t xml:space="preserve">Malignant (cancerous) growth in the lining of the uterus. </t>
  </si>
  <si>
    <r>
      <t xml:space="preserve">Definition from glossary of </t>
    </r>
    <r>
      <rPr>
        <i/>
        <sz val="10"/>
        <color rgb="FF000000"/>
        <rFont val="Calibri"/>
        <family val="2"/>
      </rPr>
      <t>Family Planning: A Global Handbook for Providers (2018) p402</t>
    </r>
  </si>
  <si>
    <t>A53.9</t>
  </si>
  <si>
    <t>76272004</t>
  </si>
  <si>
    <t>FP.DE.0357</t>
  </si>
  <si>
    <t>Malignant (cancerous) growth on the ovaries.</t>
  </si>
  <si>
    <t>Uterine fibroids Category</t>
  </si>
  <si>
    <t xml:space="preserve">Parent category for organizing data dictionary - no data recorde.
Uterine fibroids (noncancerous tumor that grows in the muscle of the uterus). </t>
  </si>
  <si>
    <t>FP.DE.0358</t>
  </si>
  <si>
    <t>Uterine fibroids without distortion</t>
  </si>
  <si>
    <t>Uterine fibroids (noncancerous tumor that grows in the muscle of the uterus) without distortion of the uterine cavity.</t>
  </si>
  <si>
    <t xml:space="preserve">       Genital herpes</t>
  </si>
  <si>
    <r>
      <t xml:space="preserve">Definition from glossary of </t>
    </r>
    <r>
      <rPr>
        <i/>
        <sz val="10"/>
        <color rgb="FF000000"/>
        <rFont val="Calibri"/>
        <family val="2"/>
      </rPr>
      <t>Family Planning: A Global Handbook for Providers (2018) p407</t>
    </r>
  </si>
  <si>
    <t>FP.DE.0359</t>
  </si>
  <si>
    <t>Uterine fibroids with distortion</t>
  </si>
  <si>
    <t>Uterine fibroids (noncancerous tumor that grows in the muscle of the uterus) with distortion of the uterine cavity.</t>
  </si>
  <si>
    <t>Herpes simplex virus (HSV)</t>
  </si>
  <si>
    <r>
      <t xml:space="preserve">Definition from glossary of </t>
    </r>
    <r>
      <rPr>
        <i/>
        <sz val="10"/>
        <color rgb="FF000000"/>
        <rFont val="Calibri"/>
        <family val="2"/>
      </rPr>
      <t>Family Planning: A Global Handbook for Providers (2018) p407</t>
    </r>
  </si>
  <si>
    <t>Genital herpes</t>
  </si>
  <si>
    <t>Anatomical abnormalities Category</t>
  </si>
  <si>
    <t>FP.DE.0360</t>
  </si>
  <si>
    <t>Anatomical abnormalities that distort the uterine cavity</t>
  </si>
  <si>
    <t>33839006; 40745002; 402894005</t>
  </si>
  <si>
    <t>Client has anatomical abnormalities that distort the uterine cavity.</t>
  </si>
  <si>
    <t>FP.DE.0361</t>
  </si>
  <si>
    <t>Anatomical abnormalities that do not distort the uterine cavity</t>
  </si>
  <si>
    <t>Client has anatomical abnormalities, but they do not distort the uterine cavity.</t>
  </si>
  <si>
    <t>Pelvic inflammatory disease (PID) Category</t>
  </si>
  <si>
    <t>Parent category for organizing data dictionary - no data recorded.
PID is an infection of the upper genital tract, caused by various types of bacteria.</t>
  </si>
  <si>
    <t xml:space="preserve">       Gonorrhea</t>
  </si>
  <si>
    <r>
      <t xml:space="preserve">Definition from </t>
    </r>
    <r>
      <rPr>
        <i/>
        <sz val="10"/>
        <color rgb="FF000000"/>
        <rFont val="Calibri"/>
        <family val="2"/>
      </rPr>
      <t>Family Planning: A Global Handbook for Providers (2018) p385</t>
    </r>
  </si>
  <si>
    <t>FP.DE.0362</t>
  </si>
  <si>
    <t>Past Pelvic inflammatory disease (PID) with subsequent pregnancy</t>
  </si>
  <si>
    <t>Client had a past infection of the upper genital tract, caused by various types of bacteria; with subsequent pregnancy</t>
  </si>
  <si>
    <r>
      <t xml:space="preserve">Definition from </t>
    </r>
    <r>
      <rPr>
        <i/>
        <sz val="10"/>
        <color rgb="FF000000"/>
        <rFont val="Calibri"/>
        <family val="2"/>
      </rPr>
      <t>Family Planning: A Global Handbook for Providers (2018) p385</t>
    </r>
  </si>
  <si>
    <t>FP.DE.0363</t>
  </si>
  <si>
    <t>Past Pelvic inflammatory disease (PID) without subsequent pregnancy</t>
  </si>
  <si>
    <t>Client had a past infection of the upper genital tract, caused by various types of bacteria; without subsequent pregnancy</t>
  </si>
  <si>
    <r>
      <t xml:space="preserve">Definition from </t>
    </r>
    <r>
      <rPr>
        <i/>
        <sz val="10"/>
        <color rgb="FF000000"/>
        <rFont val="Calibri"/>
        <family val="2"/>
      </rPr>
      <t>Family Planning: A Global Handbook for Providers (2018) p385</t>
    </r>
  </si>
  <si>
    <t>FP.DE.0364</t>
  </si>
  <si>
    <t>Current Pelvic inflammatory disease (PID)</t>
  </si>
  <si>
    <t>Client currently has an infection of the upper genital tract, caused by various types of bacteria. Signs and symptoms include Lower abdominal pain; pain during sex, pelvic examination, or urination; abnormal vaginal bleeding or discharge; fever; cervix bleeds when touched. In a pelvic examination, signs of PID include tenderness in the ovaries or fallopian tubes, yellowish cervical discharge containing mucus and pus, bleeding easily when the cervix is touched with a swab, or a positive swab test, and tenderness or pain when moving the cervix and uterus during pelvic examination.</t>
  </si>
  <si>
    <r>
      <t xml:space="preserve">Definition from </t>
    </r>
    <r>
      <rPr>
        <i/>
        <sz val="10"/>
        <color rgb="FF000000"/>
        <rFont val="Calibri"/>
        <family val="2"/>
      </rPr>
      <t>Family Planning: A Global Handbook for Providers (2018) p385</t>
    </r>
  </si>
  <si>
    <t>Sexually transmitted infections (STIs) Category</t>
  </si>
  <si>
    <t>FP.DE.0365</t>
  </si>
  <si>
    <t>Client currently has inflammation of the cervix accompanied by a pus-like discharge. Often indicates infection with gonorrhea or chlamydia.</t>
  </si>
  <si>
    <r>
      <t xml:space="preserve">Definition from glossary of </t>
    </r>
    <r>
      <rPr>
        <i/>
        <sz val="10"/>
        <color rgb="FF000000"/>
        <rFont val="Calibri"/>
        <family val="2"/>
      </rPr>
      <t>Family Planning: A Global Handbook for Providers (2018) p405</t>
    </r>
  </si>
  <si>
    <t xml:space="preserve">       Gonococcal </t>
  </si>
  <si>
    <t>FP.DE.0366</t>
  </si>
  <si>
    <t>Client currently has chlamydial sexually transmitted infection caused by chylamydia trachomatis. If left untreated, it can cause infertility.</t>
  </si>
  <si>
    <t>ST.DE.353</t>
  </si>
  <si>
    <r>
      <t xml:space="preserve">MEC. Included in MEC app conditions.csv
Definition from glossary of </t>
    </r>
    <r>
      <rPr>
        <i/>
        <sz val="10"/>
        <color rgb="FF000000"/>
        <rFont val="Calibri"/>
        <family val="2"/>
      </rPr>
      <t>Family Planning: A Global Handbook for Providers (2018) p401</t>
    </r>
  </si>
  <si>
    <t>FP.DE.0367</t>
  </si>
  <si>
    <t xml:space="preserve">Gonococcal </t>
  </si>
  <si>
    <t>Client currently has sexually transmitted infection caused by neisseria gonorrhoeae. If left untreated, it can cause infertility.</t>
  </si>
  <si>
    <r>
      <t xml:space="preserve">MEC. Included in MEC app conditions.csv
Definition from glossary of </t>
    </r>
    <r>
      <rPr>
        <i/>
        <sz val="10"/>
        <color rgb="FF000000"/>
        <rFont val="Calibri"/>
        <family val="2"/>
      </rPr>
      <t>Family Planning: A Global Handbook for Providers (2018) p401</t>
    </r>
  </si>
  <si>
    <t>FP.DE.0368</t>
  </si>
  <si>
    <t xml:space="preserve">Other STIs </t>
  </si>
  <si>
    <t>Other STIs, excluding HIV and hepatitis. Not including:  purulent cervicitis, chlamydia, or gonorrhea</t>
  </si>
  <si>
    <t>68704007</t>
  </si>
  <si>
    <t>FP.DE.0369</t>
  </si>
  <si>
    <t>Vaginitis</t>
  </si>
  <si>
    <r>
      <t xml:space="preserve">Including trichomonas vaginalis and bacterial vaginosis. Inflammation of the vagina. May be due to infection by bacteria, viruses, or fungi, or to chemical irritation. </t>
    </r>
    <r>
      <rPr>
        <sz val="10"/>
        <color rgb="FFFF0000"/>
        <rFont val="Calibri"/>
        <family val="2"/>
      </rPr>
      <t>Not a sexually transmitted infection.</t>
    </r>
  </si>
  <si>
    <r>
      <t xml:space="preserve">MEC. Included in MEC app conditions.csv
Definition from glossary of </t>
    </r>
    <r>
      <rPr>
        <i/>
        <sz val="10"/>
        <color rgb="FF000000"/>
        <rFont val="Calibri"/>
        <family val="2"/>
      </rPr>
      <t>Family Planning: A Global Handbook for Providers (2018) p407</t>
    </r>
  </si>
  <si>
    <t>FP.DE.0370</t>
  </si>
  <si>
    <t xml:space="preserve">       Vaginal infection</t>
  </si>
  <si>
    <t>HIV/AIDS Category</t>
  </si>
  <si>
    <t>Parent category for organizing data dictionary - no data recorded
Human immunodeficiency virus (HIV), which causes acquired immunodeficiency syndrome (AIDS).</t>
  </si>
  <si>
    <t>ST.DE.365</t>
  </si>
  <si>
    <t>FP.DE.0371</t>
  </si>
  <si>
    <t>Vaginal infection</t>
  </si>
  <si>
    <t>Client is at a high risk of contracting human immunodeficiency virus (HIV), which causes acquired immunodeficiency syndrome (AIDS).</t>
  </si>
  <si>
    <t>FP.DE.0372</t>
  </si>
  <si>
    <t>HIV Stage 1</t>
  </si>
  <si>
    <t>WHO Stage 1: Asymptomatic HIV clinical disease</t>
  </si>
  <si>
    <t>FP.DE.0373</t>
  </si>
  <si>
    <t>HIV Stage 2</t>
  </si>
  <si>
    <t>WHO Stage 2: Mild HIV clinical disease</t>
  </si>
  <si>
    <t>? specific?</t>
  </si>
  <si>
    <t>237091009</t>
  </si>
  <si>
    <t>FP.DE.0374</t>
  </si>
  <si>
    <t>HIV Stage 3</t>
  </si>
  <si>
    <t>WHO Stage 3: Severe HIV clinical disease</t>
  </si>
  <si>
    <t>FP.DE.0375</t>
  </si>
  <si>
    <t>HIV Stage 4</t>
  </si>
  <si>
    <t>WHO Stage 4: Advanced HIV clinical disease</t>
  </si>
  <si>
    <t>Schistosomiasis Category</t>
  </si>
  <si>
    <t>Parent category for organizing data dictionary - no data recorded
Schistosomiasis is a parasite diseasecaused bya flatworm living in a snail host. People become infected while wading or bathing in water containing larvae of the infected snails.</t>
  </si>
  <si>
    <r>
      <t xml:space="preserve">Definition from glossary of </t>
    </r>
    <r>
      <rPr>
        <i/>
        <sz val="10"/>
        <color rgb="FF000000"/>
        <rFont val="Calibri"/>
        <family val="2"/>
      </rPr>
      <t>Family Planning: A Global Handbook for Providers (2018) p406</t>
    </r>
  </si>
  <si>
    <t>FP.DE.0376</t>
  </si>
  <si>
    <t>Uncomplicated schistosomiasis.</t>
  </si>
  <si>
    <t xml:space="preserve">       Yeast infection</t>
  </si>
  <si>
    <t>FP.DE.0377</t>
  </si>
  <si>
    <t xml:space="preserve">Client has schistosomiasis that has lead to the excess formation of fibrous tissue, as in reaction to organ damage (fibrosis) in the liver. </t>
  </si>
  <si>
    <t>Tuberculosis Category</t>
  </si>
  <si>
    <t>Parent category for organizing data dictionary - no data recorded
Tuberculosis (TB) is a contagious disease caused by a bacterium. Most commonly infects the respiratory system; also infects the organs in a woman's pelvis, and then known as pelvic tuberculosis</t>
  </si>
  <si>
    <r>
      <t xml:space="preserve">Definition from glossary of </t>
    </r>
    <r>
      <rPr>
        <i/>
        <sz val="10"/>
        <color rgb="FF000000"/>
        <rFont val="Calibri"/>
        <family val="2"/>
      </rPr>
      <t>Family Planning: A Global Handbook for Providers (2018) p407</t>
    </r>
  </si>
  <si>
    <t>FP.DE.0378</t>
  </si>
  <si>
    <t>Client has tuberculosis, but it is non-pelvic tuberculosis</t>
  </si>
  <si>
    <t>FP.DE.0379</t>
  </si>
  <si>
    <t>Client has female tuberculous pelvic inflammatory disease (disorder)</t>
  </si>
  <si>
    <t>FP.DE.0380</t>
  </si>
  <si>
    <t>Client has malaria</t>
  </si>
  <si>
    <t>Parent category for organizing data dictionary - no data recorded
Any disease of the thyroid</t>
  </si>
  <si>
    <r>
      <t xml:space="preserve">Definition from glossary of </t>
    </r>
    <r>
      <rPr>
        <i/>
        <sz val="10"/>
        <color rgb="FF000000"/>
        <rFont val="Calibri"/>
        <family val="2"/>
      </rPr>
      <t>Family Planning: A Global Handbook for Providers (2018) p407</t>
    </r>
  </si>
  <si>
    <t>FP.DE.0381</t>
  </si>
  <si>
    <t>Client has been diagnosed with a simple goiter (a noncancerous enlargement of the thyroid)</t>
  </si>
  <si>
    <r>
      <t xml:space="preserve">Definition from glossary of </t>
    </r>
    <r>
      <rPr>
        <i/>
        <sz val="10"/>
        <color rgb="FF000000"/>
        <rFont val="Calibri"/>
        <family val="2"/>
      </rPr>
      <t>Family Planning: A Global Handbook for Providers (2018) p403</t>
    </r>
  </si>
  <si>
    <t>FP.DE.0382</t>
  </si>
  <si>
    <t>Client has been diagnosed as hyperthyroid - too much production of thyroid hormones</t>
  </si>
  <si>
    <r>
      <t xml:space="preserve">Definition from glossary of </t>
    </r>
    <r>
      <rPr>
        <i/>
        <sz val="10"/>
        <color rgb="FF000000"/>
        <rFont val="Calibri"/>
        <family val="2"/>
      </rPr>
      <t>Family Planning: A Global Handbook for Providers (2018) p403</t>
    </r>
  </si>
  <si>
    <t>FP.DE.0383</t>
  </si>
  <si>
    <t>Client has been diagnosed as hypothyroid - not enough production of thyroid hormones</t>
  </si>
  <si>
    <r>
      <t xml:space="preserve">Definition from glossary of </t>
    </r>
    <r>
      <rPr>
        <i/>
        <sz val="10"/>
        <color rgb="FF000000"/>
        <rFont val="Calibri"/>
        <family val="2"/>
      </rPr>
      <t>Family Planning: A Global Handbook for Providers (2018) p403</t>
    </r>
  </si>
  <si>
    <t>Gallbladder disease Category</t>
  </si>
  <si>
    <t>Parent category for organizing data dictionary - no data recorded
Conditions that affect the gallbladder, a sac located under the liver that stores bile use in fat digestion. May include inflammation, infection, or obstruction, gallbladder cancer or gall stones (when the components of bile solidy within the organ)</t>
  </si>
  <si>
    <r>
      <t xml:space="preserve">Definition from glossary of </t>
    </r>
    <r>
      <rPr>
        <i/>
        <sz val="10"/>
        <color rgb="FF000000"/>
        <rFont val="Calibri"/>
        <family val="2"/>
      </rPr>
      <t>Family Planning: A Global Handbook for Providers (2018) p402</t>
    </r>
  </si>
  <si>
    <t>FP.DE.0384</t>
  </si>
  <si>
    <t>Symptomatic (treated by cholecystectomy)</t>
  </si>
  <si>
    <t>Client has symptomatic gallbladder disease treated by cholecystectomy (surgical removal of the gallbladder)</t>
  </si>
  <si>
    <r>
      <t xml:space="preserve">Definition from glossary of </t>
    </r>
    <r>
      <rPr>
        <i/>
        <sz val="10"/>
        <color rgb="FF000000"/>
        <rFont val="Calibri"/>
        <family val="2"/>
      </rPr>
      <t>Family Planning: A Global Handbook for Providers (2018) p401</t>
    </r>
  </si>
  <si>
    <t>FP.DE.0385</t>
  </si>
  <si>
    <t>Symptomatic (medically treated)</t>
  </si>
  <si>
    <t>FP.DE.0386</t>
  </si>
  <si>
    <t xml:space="preserve">       Trichomoniasis</t>
  </si>
  <si>
    <t>FP.DE.0387</t>
  </si>
  <si>
    <t>Asymptomatic</t>
  </si>
  <si>
    <t>Client is known to have  gallbladder disease, but does not have any symptoms of gallbladder disease</t>
  </si>
  <si>
    <t>History of cholestasis Category</t>
  </si>
  <si>
    <t>Parent category for organizing data dictionary - no data recorded
Cholestatis is reduced flow of bile secreted by the liver</t>
  </si>
  <si>
    <r>
      <t xml:space="preserve">Definition from glossary of </t>
    </r>
    <r>
      <rPr>
        <i/>
        <sz val="10"/>
        <color rgb="FF000000"/>
        <rFont val="Calibri"/>
        <family val="2"/>
      </rPr>
      <t>Family Planning: A Global Handbook for Providers (2018) p401</t>
    </r>
  </si>
  <si>
    <t>FP.DE.0388</t>
  </si>
  <si>
    <t>Client has a history of pregnancy-related cholestasis (reduced flow of bile secreted by the liver)</t>
  </si>
  <si>
    <t>A59.9</t>
  </si>
  <si>
    <t>FP.DE.0389</t>
  </si>
  <si>
    <t>Client has a history of cholestasis (reduced flow of bile secreted by the liver) related to combined oral contraceptives</t>
  </si>
  <si>
    <t>Viral hepatitis Category</t>
  </si>
  <si>
    <t xml:space="preserve">Parent category for organizing data dictionary - no data recorded
Includes hepatitis A, B, C, D and E all of which could inflame the liver, leading to liver disorder </t>
  </si>
  <si>
    <r>
      <t xml:space="preserve">Definition from Appendix B of </t>
    </r>
    <r>
      <rPr>
        <i/>
        <sz val="10"/>
        <color rgb="FF000000"/>
        <rFont val="Calibri"/>
        <family val="2"/>
      </rPr>
      <t>Family Planning: A Global Handbook for Providers (2018) p385</t>
    </r>
  </si>
  <si>
    <t>FP.DE.0390</t>
  </si>
  <si>
    <t>FP.DE.0391</t>
  </si>
  <si>
    <t>FP.DE.0392</t>
  </si>
  <si>
    <t>Cirrhosis Category</t>
  </si>
  <si>
    <t>Parent category for organizing data dictionary - no data recorded
Cirrhosis scars tissue, which blocks blood flow through the liver</t>
  </si>
  <si>
    <r>
      <t xml:space="preserve">Definition from Appendix B of </t>
    </r>
    <r>
      <rPr>
        <i/>
        <sz val="10"/>
        <color rgb="FF000000"/>
        <rFont val="Calibri"/>
        <family val="2"/>
      </rPr>
      <t>Family Planning: A Global Handbook for Providers (2018) p385</t>
    </r>
  </si>
  <si>
    <t>FP.DE.0393</t>
  </si>
  <si>
    <t>FP.DE.0394</t>
  </si>
  <si>
    <t>447353001</t>
  </si>
  <si>
    <t>Liver tumors Category</t>
  </si>
  <si>
    <t>Parent category for organizing data dictionary - no data recorded
Abnormal growth in the liver</t>
  </si>
  <si>
    <t>FP.DE.0395</t>
  </si>
  <si>
    <t>Benign focal nodular hyperplasia</t>
  </si>
  <si>
    <t>FP.DE.0396</t>
  </si>
  <si>
    <t>Benign hepatocellular adenoma</t>
  </si>
  <si>
    <t>FP.DE.0397</t>
  </si>
  <si>
    <t>Malignant (hepatoma)</t>
  </si>
  <si>
    <t xml:space="preserve">       Anaerobic infection</t>
  </si>
  <si>
    <t>Anaemias Category</t>
  </si>
  <si>
    <t>Parent category for organizing data dictionary - no data recorded
Anaemia is a confition in which the body lack adequate hemoglobin, commonly due to iron deficiency or excessive blood loss. As a result, tissues do not receive adequate oxygen.</t>
  </si>
  <si>
    <r>
      <t xml:space="preserve">Definition from glossary of </t>
    </r>
    <r>
      <rPr>
        <i/>
        <sz val="10"/>
        <color rgb="FF000000"/>
        <rFont val="Calibri"/>
        <family val="2"/>
      </rPr>
      <t>Family Planning: A Global Handbook for Providers (2018) p400</t>
    </r>
  </si>
  <si>
    <t>FP.DE.0398</t>
  </si>
  <si>
    <t>Inherited anaemia</t>
  </si>
  <si>
    <r>
      <t xml:space="preserve">Definition from glossary of </t>
    </r>
    <r>
      <rPr>
        <i/>
        <sz val="10"/>
        <color rgb="FF000000"/>
        <rFont val="Calibri"/>
        <family val="2"/>
      </rPr>
      <t>Family Planning: A Global Handbook for Providers (2018) p406</t>
    </r>
  </si>
  <si>
    <t>FP.DE.0399</t>
  </si>
  <si>
    <t xml:space="preserve">Hereditary, chronic form of anemia. Blood cells take on an abnormal sickle or crescent shape when deprived of oxygen. </t>
  </si>
  <si>
    <t>423451008</t>
  </si>
  <si>
    <r>
      <t xml:space="preserve">Definition from glossary of </t>
    </r>
    <r>
      <rPr>
        <i/>
        <sz val="10"/>
        <color rgb="FF000000"/>
        <rFont val="Calibri"/>
        <family val="2"/>
      </rPr>
      <t>Family Planning: A Global Handbook for Providers (2018) p406</t>
    </r>
  </si>
  <si>
    <t>FP.DE.0400</t>
  </si>
  <si>
    <t>Iron-deficiency anaemia</t>
  </si>
  <si>
    <t>Anaemis due to iron-deficiency</t>
  </si>
  <si>
    <t>Antiretroviral therapy (ART) Category</t>
  </si>
  <si>
    <t>Parent category for organizing data dictionary - no data recorded.
Client is currently taking antiretroviral medication</t>
  </si>
  <si>
    <t>FP.DE.0401</t>
  </si>
  <si>
    <t>Nucleoside reverse transcriptase inhibitors (NRTIs)</t>
  </si>
  <si>
    <t>Treated with nucleoside reverse transcriptase inhibitors (NRTIs) including: Abacavir (ABC), Tenofovir (TDF), Zidovudine (AZT), Lamivudine (3TC), Didanosine (DDI), Emtricitabine (FTC), Stavudine (D4T)</t>
  </si>
  <si>
    <t xml:space="preserve">       Pelvic Inflammatory Disease</t>
  </si>
  <si>
    <t>Antiretroviral therapy (ART) Category - Non-nucleoside reverse transcriptase inhibitors (NNRTIs) Sub-Category</t>
  </si>
  <si>
    <t>Sub-Parent Category</t>
  </si>
  <si>
    <t>FP.DE.0402</t>
  </si>
  <si>
    <t>FP.DE.0403</t>
  </si>
  <si>
    <t>Treated with etravirine (ETR)</t>
  </si>
  <si>
    <t>FP.DE.0404</t>
  </si>
  <si>
    <t>FP.DE.0405</t>
  </si>
  <si>
    <t>FP.DE.0406</t>
  </si>
  <si>
    <t>Protease inhibitors (PIs)</t>
  </si>
  <si>
    <t>Treated with protease inhibitors (PIs), including: Ritonavir-boosted atazanavir (ATV/r), Ritonavir-boosted lopinavir (LPV/r), Ritonavir-boosted darunavir (DRV/r), Ritonavit (RTV)</t>
  </si>
  <si>
    <t>FP.DE.0407</t>
  </si>
  <si>
    <t>Treated with integrase inhibitors, Raltegravir   (RAL)</t>
  </si>
  <si>
    <t xml:space="preserve">       Genital warts</t>
  </si>
  <si>
    <t>FP.DE.0408</t>
  </si>
  <si>
    <t>Client is currently taking anti-convulsant medication including, phenytoin, carbamazepine, barbiturates, primidone, topiramate, and oxcarbazepine</t>
  </si>
  <si>
    <t>FP.DE.0409</t>
  </si>
  <si>
    <t>Anticonvulsant therapy with lamotrigine</t>
  </si>
  <si>
    <t>Genital warts</t>
  </si>
  <si>
    <t>FP.DE.0410</t>
  </si>
  <si>
    <t>Client is currently taking antimicrobial medication, including broad-spectrum antibiotics, antifungals, and antiparasitics</t>
  </si>
  <si>
    <t>266113007</t>
  </si>
  <si>
    <t>FP.DE.0411</t>
  </si>
  <si>
    <t>Antimicrobial therapy with Rifampicin or Rifabutin</t>
  </si>
  <si>
    <t>Client is on antimicrobial therapy using Rifampicin or Rifabutin</t>
  </si>
  <si>
    <t>FP.DE.0412</t>
  </si>
  <si>
    <t>Allergy to latex</t>
  </si>
  <si>
    <t>Client has a raction to contact with latex e.g. rash over body, dizziness brought on by a sudden drop in blood pressure, difficult breathing, loss of consciousness (anaphylactic shock)</t>
  </si>
  <si>
    <r>
      <t xml:space="preserve">Definition from Appendix B of </t>
    </r>
    <r>
      <rPr>
        <i/>
        <sz val="10"/>
        <color rgb="FF000000"/>
        <rFont val="Calibri"/>
        <family val="2"/>
      </rPr>
      <t>Family Planning: A Global Handbook for Providers (2018) p385</t>
    </r>
  </si>
  <si>
    <t>FP.DE.0413</t>
  </si>
  <si>
    <t>CYP3A4 Inducers</t>
  </si>
  <si>
    <t xml:space="preserve">       Cervical warts</t>
  </si>
  <si>
    <r>
      <t xml:space="preserve">Strong CYP3A4 Inducers may reduce the effectiveness of emergency contraceptive pills. 
Inlcudes </t>
    </r>
    <r>
      <rPr>
        <b/>
        <sz val="10"/>
        <color theme="1"/>
        <rFont val="Calibri"/>
        <family val="2"/>
      </rPr>
      <t xml:space="preserve">fosphenytoin, St. John's wort/hypericum perforatum, phenobarbital,  </t>
    </r>
    <r>
      <rPr>
        <sz val="10"/>
        <color theme="1"/>
        <rFont val="Calibri"/>
        <family val="2"/>
      </rPr>
      <t xml:space="preserve">Antimirobials [rifampicin, rifabutin], Anticonvulsants [phenytoin, carbamazepine, primidone, oxcarbazepine], Antiretrovirals [efavirenz, nevirapine] </t>
    </r>
  </si>
  <si>
    <t>FP.DE.0414</t>
  </si>
  <si>
    <t>Repeated Emergency Contraceptive Pills (ECP) Use</t>
  </si>
  <si>
    <t>ST.DE.263</t>
  </si>
  <si>
    <t>Repeated use of ECP</t>
  </si>
  <si>
    <t>Cervical warts</t>
  </si>
  <si>
    <t xml:space="preserve">Repeated use of ECPs poses no known health risks. It may be helpful, however, to screen women who take ECPs often for health conditions that can limit use of hormonal contraceptives. </t>
  </si>
  <si>
    <t>FP.DE.0415</t>
  </si>
  <si>
    <t>Chronic disease that elevates body temperature</t>
  </si>
  <si>
    <t>Client has any chronic disease that elevates body temperature</t>
  </si>
  <si>
    <t>FP.DE.0416</t>
  </si>
  <si>
    <t>Acute disease that elevates body temperature</t>
  </si>
  <si>
    <t>Client has any acute disease that elevates body temperature</t>
  </si>
  <si>
    <t>419266001</t>
  </si>
  <si>
    <t>Post-abortion Category</t>
  </si>
  <si>
    <t xml:space="preserve">       Toxic shock syndrome </t>
  </si>
  <si>
    <t>FP.DE.0417</t>
  </si>
  <si>
    <t>Abortion without any complications</t>
  </si>
  <si>
    <t>FP.DE.0418</t>
  </si>
  <si>
    <t>Post-abortal sepsis or fever</t>
  </si>
  <si>
    <t>Abortion (either spontaneous or induced) that is then complicated by infection.</t>
  </si>
  <si>
    <t>FP.DE.0419</t>
  </si>
  <si>
    <t>Severe post-abortal haemorrhage</t>
  </si>
  <si>
    <t>Severe haemorrhage post-abortion</t>
  </si>
  <si>
    <t>FP.DE.0420</t>
  </si>
  <si>
    <t>Severe trauma to the gental tract</t>
  </si>
  <si>
    <t>Cervical or vaginal tear at time of abortion</t>
  </si>
  <si>
    <t>FP.DE.0421</t>
  </si>
  <si>
    <t xml:space="preserve">Post-abortion uterine perforation </t>
  </si>
  <si>
    <t>Puncturing of the wall of the uterus, which may occur during an induced abortion.</t>
  </si>
  <si>
    <r>
      <t xml:space="preserve">Definition from glossary of </t>
    </r>
    <r>
      <rPr>
        <i/>
        <sz val="10"/>
        <color rgb="FF000000"/>
        <rFont val="Calibri"/>
        <family val="2"/>
      </rPr>
      <t>Family Planning: A Global Handbook for Providers (2018) p407</t>
    </r>
  </si>
  <si>
    <t>FP.DE.0422</t>
  </si>
  <si>
    <t>Acute haematometra</t>
  </si>
  <si>
    <t>An accumulation of blood in the uterus, which may occur following spontaneous or induced abortion</t>
  </si>
  <si>
    <r>
      <t xml:space="preserve">Definition from glossary of </t>
    </r>
    <r>
      <rPr>
        <i/>
        <sz val="10"/>
        <color rgb="FF000000"/>
        <rFont val="Calibri"/>
        <family val="2"/>
      </rPr>
      <t>Family Planning: A Global Handbook for Providers (2018) p403</t>
    </r>
  </si>
  <si>
    <t>FP.DE.0423</t>
  </si>
  <si>
    <t>Local Infection</t>
  </si>
  <si>
    <t>Client has an infection at the site planned for sterilization</t>
  </si>
  <si>
    <t>Medical eligbility check only for: Female Sterilization</t>
  </si>
  <si>
    <t>FP.DE.0424</t>
  </si>
  <si>
    <t>Client has coagulation disorders</t>
  </si>
  <si>
    <t>Medical eligbility check only for: Male &amp; Female Sterilization</t>
  </si>
  <si>
    <t>Repiratory diseases Category</t>
  </si>
  <si>
    <t>FP.DE.0425</t>
  </si>
  <si>
    <t>Acute</t>
  </si>
  <si>
    <t>Acute respiratory diseases such as, Bronchitis, pneumonia</t>
  </si>
  <si>
    <t>FP.DE.0426</t>
  </si>
  <si>
    <t>Chronic respiratory diseases, such as, Asthma, Bronchitis, Emphysema, lung infection</t>
  </si>
  <si>
    <t>FP.DE.0427</t>
  </si>
  <si>
    <t>Systemic infection or gasteroenteritis</t>
  </si>
  <si>
    <t>Client has systemic infection or gastroenteritis (inflammation of the stomach and intestine.)</t>
  </si>
  <si>
    <t xml:space="preserve">       Human papillomavirus (HPV)</t>
  </si>
  <si>
    <r>
      <t xml:space="preserve">Medical eligbility check only for: Male &amp; Female Sterilization
Definition from glossary of </t>
    </r>
    <r>
      <rPr>
        <i/>
        <sz val="10"/>
        <rFont val="Calibri"/>
        <family val="2"/>
      </rPr>
      <t>Family Planning: A Global Handbook for Providers (2018) p402</t>
    </r>
  </si>
  <si>
    <t>FP.DE.0428</t>
  </si>
  <si>
    <t>Fixed uterus due to previous surgery or infection</t>
  </si>
  <si>
    <t>A fixed uterus is a uterus that cannot be moved out of place, often as a result of endometriosis, past surgery, or infection</t>
  </si>
  <si>
    <r>
      <t xml:space="preserve">Medical eligbility check only for: Female Sterilization
Definition from glossary of </t>
    </r>
    <r>
      <rPr>
        <i/>
        <sz val="10"/>
        <rFont val="Calibri"/>
        <family val="2"/>
      </rPr>
      <t>Family Planning: A Global Handbook for Providers (2018) p402</t>
    </r>
  </si>
  <si>
    <t>Human papillomavirus (HPV)</t>
  </si>
  <si>
    <t>FP.DE.0429</t>
  </si>
  <si>
    <t>Abdominal wall or umbilical hernia</t>
  </si>
  <si>
    <t xml:space="preserve">The projection of the abdominal wall or umbilical hernia, or parts of it, or any bodily structure through the wall that normally contains it. </t>
  </si>
  <si>
    <r>
      <t xml:space="preserve">Medical eligbility check only for: Female Sterilization
Definition from glossary of </t>
    </r>
    <r>
      <rPr>
        <i/>
        <sz val="10"/>
        <rFont val="Calibri"/>
        <family val="2"/>
      </rPr>
      <t>Family Planning: A Global Handbook for Providers (2018) p403</t>
    </r>
  </si>
  <si>
    <t>FP.DE.0430</t>
  </si>
  <si>
    <t>Diaphragmatic hernia</t>
  </si>
  <si>
    <t>The projection of the diaphragm, or part of it, or any bodily structure through the wall that normally contains it.</t>
  </si>
  <si>
    <t>240532009</t>
  </si>
  <si>
    <r>
      <t xml:space="preserve">Medical eligbility check only for: Female Sterilization
Definition from glossary of </t>
    </r>
    <r>
      <rPr>
        <i/>
        <sz val="10"/>
        <rFont val="Calibri"/>
        <family val="2"/>
      </rPr>
      <t>Family Planning: A Global Handbook for Providers (2018) p403</t>
    </r>
  </si>
  <si>
    <t>FP.DE.0431</t>
  </si>
  <si>
    <t>Client has kidney disease</t>
  </si>
  <si>
    <t>FP.DE.0432</t>
  </si>
  <si>
    <t>Severe nutritional deficiencies</t>
  </si>
  <si>
    <t>Client has severe nutritional deficiencies</t>
  </si>
  <si>
    <t>FP.DE.0433</t>
  </si>
  <si>
    <t>Previous abdominal or pelvic surgery</t>
  </si>
  <si>
    <t>Client has ha previous abdominal or pelvic surgery</t>
  </si>
  <si>
    <t>Sterilization concurrent with abdominal surgery Category</t>
  </si>
  <si>
    <t>FP.DE.0434</t>
  </si>
  <si>
    <t>Elective</t>
  </si>
  <si>
    <t>Elective abdominal surgery</t>
  </si>
  <si>
    <t>FP.DE.0435</t>
  </si>
  <si>
    <t>Emergency (without previous counselling)</t>
  </si>
  <si>
    <t>Emergency abdominal surgery (without previous counselling)</t>
  </si>
  <si>
    <t>FP.DE.0436</t>
  </si>
  <si>
    <t>Infectious condition</t>
  </si>
  <si>
    <t>Abdominal surgery due to infectious condition</t>
  </si>
  <si>
    <t>FP.DE.0437</t>
  </si>
  <si>
    <t>Sterilization concurrent with caesarean section</t>
  </si>
  <si>
    <t>Local infection Category</t>
  </si>
  <si>
    <t>Parent category for organizing data dictionary - no data recorded
Scrotal skin infection, active STI, Balanitis, Epididymitis or orchitis</t>
  </si>
  <si>
    <t>Other (specify) - Diagnosis</t>
  </si>
  <si>
    <t>Medical eligbility check only for: Male Sterilization</t>
  </si>
  <si>
    <t>FP.DE.0438</t>
  </si>
  <si>
    <t>Client has a skin infection on the scrotum</t>
  </si>
  <si>
    <t>FP.DE.0439</t>
  </si>
  <si>
    <t>Active STI</t>
  </si>
  <si>
    <t>Client has an active STI</t>
  </si>
  <si>
    <t>FP.DE.0440</t>
  </si>
  <si>
    <t>Inflammation of the tip of the penis</t>
  </si>
  <si>
    <r>
      <t xml:space="preserve">Medical eligbility check only for: Male Sterilization
Definition from glossary of </t>
    </r>
    <r>
      <rPr>
        <i/>
        <sz val="10"/>
        <rFont val="Calibri"/>
        <family val="2"/>
      </rPr>
      <t>Family Planning: A Global Handbook for Providers (2018) p400</t>
    </r>
  </si>
  <si>
    <t>FP.DE.0441</t>
  </si>
  <si>
    <t>Inflammation of the epididymis</t>
  </si>
  <si>
    <r>
      <t xml:space="preserve">Medical eligbility check only for: Male Sterilization
Definition from glossary of </t>
    </r>
    <r>
      <rPr>
        <i/>
        <sz val="10"/>
        <rFont val="Calibri"/>
        <family val="2"/>
      </rPr>
      <t>Family Planning: A Global Handbook for Providers (2018) p402</t>
    </r>
  </si>
  <si>
    <t>FP.DE.0442</t>
  </si>
  <si>
    <t>Inflammation of a testis</t>
  </si>
  <si>
    <r>
      <t xml:space="preserve">Medical eligbility check only for: Male Sterilization
Definition from glossary of </t>
    </r>
    <r>
      <rPr>
        <i/>
        <sz val="10"/>
        <rFont val="Calibri"/>
        <family val="2"/>
      </rPr>
      <t>Family Planning: A Global Handbook for Providers (2018) p405</t>
    </r>
  </si>
  <si>
    <t>FP.DE.0443</t>
  </si>
  <si>
    <t>Client has had previous injury to the scrotum</t>
  </si>
  <si>
    <t>FP.DE.0444</t>
  </si>
  <si>
    <t>Enlargement of the veins within the scrotum</t>
  </si>
  <si>
    <t>FP.DE.0445</t>
  </si>
  <si>
    <t>Swelling in the scrotum</t>
  </si>
  <si>
    <t>Method of diagnosis</t>
  </si>
  <si>
    <t>FP.DE.0446</t>
  </si>
  <si>
    <t>Filiariasis or Elephantiasis</t>
  </si>
  <si>
    <t>Client has Filiariasis or Elephantiasis, a chronic parasitic disease caused by filarial worms. May lead to inflammation and permanent clogging of channels in the lymphatic system and elephantiasis (a chronic and often extreme swelling and hardening of skin and tissue just beneath the skin, especially of the legs and scrotum, due to an obstruction in the lymphatic system).</t>
  </si>
  <si>
    <t>ST.DE.258</t>
  </si>
  <si>
    <t xml:space="preserve">How each diagnosis was made. </t>
  </si>
  <si>
    <t>Include if Diagnosis is not = None for each diagnoses during the visit</t>
  </si>
  <si>
    <r>
      <t xml:space="preserve">Medical eligbility check only for: Male Sterilization
Definition from glossary of </t>
    </r>
    <r>
      <rPr>
        <i/>
        <sz val="10"/>
        <rFont val="Calibri"/>
        <family val="2"/>
      </rPr>
      <t>Family Planning: A Global Handbook for Providers (2018) p401-402</t>
    </r>
  </si>
  <si>
    <t>FP.DE.0447</t>
  </si>
  <si>
    <t>Intrascrtoal mass</t>
  </si>
  <si>
    <t>Abnormal mass in the scrotum</t>
  </si>
  <si>
    <t>FP.DE.0448</t>
  </si>
  <si>
    <t>Failure of one or both testes to descend into the scrotum after birth</t>
  </si>
  <si>
    <r>
      <t xml:space="preserve">Medical eligbility check only for: Male Sterilization
Definition from glossary of </t>
    </r>
    <r>
      <rPr>
        <i/>
        <sz val="10"/>
        <rFont val="Calibri"/>
        <family val="2"/>
      </rPr>
      <t>Family Planning: A Global Handbook for Providers (2018) p401</t>
    </r>
  </si>
  <si>
    <t>FP.DE.0449</t>
  </si>
  <si>
    <t>A hernia in the groin</t>
  </si>
  <si>
    <t xml:space="preserve">diagnosis of anything? </t>
  </si>
  <si>
    <r>
      <t xml:space="preserve">Medical eligbility check only for: Male Sterilization
Definition from glossary of </t>
    </r>
    <r>
      <rPr>
        <i/>
        <sz val="10"/>
        <rFont val="Calibri"/>
        <family val="2"/>
      </rPr>
      <t>Family Planning: A Global Handbook for Providers (2018) p403</t>
    </r>
  </si>
  <si>
    <t>FP.DE.0450</t>
  </si>
  <si>
    <t>Medical eligibility category</t>
  </si>
  <si>
    <t>System generated medical eligibility value for numerical ratings based on Medical Eligibility Criteria (MEC) decision logic</t>
  </si>
  <si>
    <t>Just simply not in LOINC... don't know valid synonym</t>
  </si>
  <si>
    <t>MEC Decision Logic</t>
  </si>
  <si>
    <t>Only possible outputs are, '1', '2', '3', '4', 'Accept', 'Caution', 'Delay', 'Special'</t>
  </si>
  <si>
    <t xml:space="preserve">Skip if 'Method requested' = Fertility awareness-based methods (FAB) OR 'Male Sterilization' OR 'Female Sterilization' </t>
  </si>
  <si>
    <t>FP.DE.0451</t>
  </si>
  <si>
    <t>FP.DE.0452</t>
  </si>
  <si>
    <t>FP.DE.0453</t>
  </si>
  <si>
    <t xml:space="preserve">       Syndromic</t>
  </si>
  <si>
    <t>FP.DE.0454</t>
  </si>
  <si>
    <t>ST.DE.131</t>
  </si>
  <si>
    <t>FP.B11.5 Medically Eligible?</t>
  </si>
  <si>
    <t>FP.DE.0455</t>
  </si>
  <si>
    <t>Diagnosed based on clinical signs and patient-reported symptoms, not diagnostic tests.</t>
  </si>
  <si>
    <t>Medically eligible</t>
  </si>
  <si>
    <t>Client is medically eligible to receive for 'Methods Requested' with a medical eligibility criteria of 1 (A condition for which there is no restriction for the use of the contraceptive method) OR 2 (A condition where the advantages of using the method generally outweigh the theoretical or proven risks)</t>
  </si>
  <si>
    <t>IF 'Medical eligibility category' = '1' OR '2', THEN Medically eligible = TRUE. 
IF 'Medical eligibiliy category' = '3' OR '4', THEN Medically eligible = FALSE</t>
  </si>
  <si>
    <t>Syndromic</t>
  </si>
  <si>
    <t>As per the Medical eligbility criteria for contraceptive use, fifth edition (2015), p.105 - with limited resources for clinical judgement, a medical eligibility category of 1 or 2, it can be interpreted as Yes (the client can use this method). With a medical eligibility category of 3 or 4, it can be interpreted as No (the client should not use this method).</t>
  </si>
  <si>
    <t>FP.DE.0456</t>
  </si>
  <si>
    <t>There is no medical reason to deny this method to a person with this condition</t>
  </si>
  <si>
    <t xml:space="preserve">Skip if 'Method requested' =/= Fertility awareness-based methods (FAB) OR 'Male Sterilization' OR 'Female Sterilization' </t>
  </si>
  <si>
    <t>FP.DE.0457</t>
  </si>
  <si>
    <t>what is being diagnosed</t>
  </si>
  <si>
    <t>Caution</t>
  </si>
  <si>
    <t>This method is normally provided in a routine setting, but with extra preparation and precautions. 
For FAB methods, this usually
means that special counselling may be needed to ensure correct use of the method by a woman in this circumstance.</t>
  </si>
  <si>
    <t>39154008</t>
  </si>
  <si>
    <t>confirm what this means;</t>
  </si>
  <si>
    <t>FP.DE.0458</t>
  </si>
  <si>
    <t>FP.DE.0459</t>
  </si>
  <si>
    <t xml:space="preserve">Skip if 'Method requested' =/= 'Male Sterilization' OR 'Female Sterilization' </t>
  </si>
  <si>
    <t>FP.B11.6 Choose method</t>
  </si>
  <si>
    <t>FP.DE.0460</t>
  </si>
  <si>
    <t>Chosen Method</t>
  </si>
  <si>
    <t>The client's chosen method given the discussion of methods and options with the health worker as well as the client's medical eligibility for Requested Methods</t>
  </si>
  <si>
    <t>FP.DE.0461</t>
  </si>
  <si>
    <t>Include as input options if this method = 'Requested method'</t>
  </si>
  <si>
    <t>FP.DE.0462</t>
  </si>
  <si>
    <t xml:space="preserve">       Laboratory testing</t>
  </si>
  <si>
    <t>FP.DE.0463</t>
  </si>
  <si>
    <t>ST.DE.132</t>
  </si>
  <si>
    <t>Diagnosed based on laboratory reports or test results, not by clinical/physical examination.</t>
  </si>
  <si>
    <t>Laboratory testing</t>
  </si>
  <si>
    <t>FP.DE.0464</t>
  </si>
  <si>
    <t>FP.DE.0465</t>
  </si>
  <si>
    <t>FP.DE.0466</t>
  </si>
  <si>
    <t>15220000</t>
  </si>
  <si>
    <t>FP.DE.0467</t>
  </si>
  <si>
    <t>FP.DE.0468</t>
  </si>
  <si>
    <t>FP.DE.0469</t>
  </si>
  <si>
    <t xml:space="preserve">       Point-of-care rapid testing</t>
  </si>
  <si>
    <t>FP.DE.0470</t>
  </si>
  <si>
    <t>FP.DE.0471</t>
  </si>
  <si>
    <t>ST.DE.133</t>
  </si>
  <si>
    <t>Diagnosed using a rapid test onsite.</t>
  </si>
  <si>
    <t>Point-of-care rapid testing</t>
  </si>
  <si>
    <t>FP.DE.0472</t>
  </si>
  <si>
    <t>FP.DE.0473</t>
  </si>
  <si>
    <t>FP.DE.0474</t>
  </si>
  <si>
    <t>405262001</t>
  </si>
  <si>
    <t>FP.DE.0475</t>
  </si>
  <si>
    <t>FP.DE.0476</t>
  </si>
  <si>
    <t>FP.DE.0477</t>
  </si>
  <si>
    <t>FP.DE.0478</t>
  </si>
  <si>
    <t xml:space="preserve">Test status </t>
  </si>
  <si>
    <t>FP.DE.0479</t>
  </si>
  <si>
    <t>FP.DE.0480</t>
  </si>
  <si>
    <t>ST.DE.134</t>
  </si>
  <si>
    <t>FP.DE.0481</t>
  </si>
  <si>
    <t xml:space="preserve">Whether the test was performed or ordered. </t>
  </si>
  <si>
    <t>Client has decided not to choose any method after consultation and review of medical eligibility</t>
  </si>
  <si>
    <t>Required if no other method selected for 'Chosen Method'</t>
  </si>
  <si>
    <t>FP.B14 Determine where service can be provided</t>
  </si>
  <si>
    <t>FP.DE.0482</t>
  </si>
  <si>
    <t>Where method will be provided</t>
  </si>
  <si>
    <t>Where the client will be receiving the method. This depends on the available stock and the skill of the health worker present.</t>
  </si>
  <si>
    <t>FP.DE.0483</t>
  </si>
  <si>
    <t>Provided on site</t>
  </si>
  <si>
    <t>The method can be provided on-site.</t>
  </si>
  <si>
    <t>Required if other input options not chosen</t>
  </si>
  <si>
    <t>FP.DE.0484</t>
  </si>
  <si>
    <t>The method requires a referral</t>
  </si>
  <si>
    <t>FP.C3. Use Pregnancy Checklist</t>
  </si>
  <si>
    <t>FP.DE.0485</t>
  </si>
  <si>
    <t>Last monthly bleeding started within the past 7 days</t>
  </si>
  <si>
    <t xml:space="preserve">Whether the client has started monthly bleeding within the past 7 days. 
This can automatically be calculated, therefore it should not be editable.
</t>
  </si>
  <si>
    <t>"Days since start of last normal menses" &lt;= 7 Days</t>
  </si>
  <si>
    <t>Include only if 'Chosen Method' = 'Copper-bearing intrauterine devices (Cu-IUDs)' OR 'Levonorgestrel IUD (LNG-IUD)' OR 'Etonogestrel (ETG) one-rod' OR 'Levonorgestrel (LNG) two-rod' OR 'DMPA-IM' OR 'DMPA-SC' OR 'NET-EN norethisterone enanthate' OR 'Progestogen-only pills (POP)' OR 'Combined oral contraceptives (COCs)' OR 'Combined contraceptive patch' OR 'Combined contraceptive vaginal ring (CVR)' OR 'Progesterone-releasing vaginal ring (PVR)' OR 'Emergency contraceptive pills (ECPs)'</t>
  </si>
  <si>
    <r>
      <rPr>
        <sz val="10"/>
        <color rgb="FF000000"/>
        <rFont val="Calibri"/>
        <family val="2"/>
      </rPr>
      <t xml:space="preserve">Ruling out pregnancy is recommended before starting a hormonal contraceptive and before IUD insertion. </t>
    </r>
    <r>
      <rPr>
        <i/>
        <sz val="10"/>
        <color rgb="FF000000"/>
        <rFont val="Calibri"/>
        <family val="2"/>
      </rPr>
      <t>Family Planning: a Global Handbook for Providers 2018 edition (p439)</t>
    </r>
  </si>
  <si>
    <t xml:space="preserve">       Performed</t>
  </si>
  <si>
    <t>FP.DE.0486</t>
  </si>
  <si>
    <t>Abstained from sexual intercourse since last normal menses, delivery, miscarriage or abortion</t>
  </si>
  <si>
    <t>Whether the client has abstained from sexual intercourse since her last normal menses, delivery, miscarriage, or abortion.</t>
  </si>
  <si>
    <r>
      <rPr>
        <sz val="10"/>
        <color rgb="FF000000"/>
        <rFont val="Calibri"/>
        <family val="2"/>
      </rPr>
      <t xml:space="preserve">Ruling out pregnancy is recommended before starting a hormonal contraceptive and before IUD insertion. </t>
    </r>
    <r>
      <rPr>
        <i/>
        <sz val="10"/>
        <color rgb="FF000000"/>
        <rFont val="Calibri"/>
        <family val="2"/>
      </rPr>
      <t>Family Planning: a Global Handbook for Providers 2018 edition (p439)</t>
    </r>
  </si>
  <si>
    <t>FP.DE.0487</t>
  </si>
  <si>
    <t>Consistently and correctly using reliable contraceptive method</t>
  </si>
  <si>
    <t>Whether the client has had sexual intercourse since last normal menses, delivery, miscarriage or abortion - but with with reliable contraceptive method that is consistently and correctly used</t>
  </si>
  <si>
    <t>ST.DE.135</t>
  </si>
  <si>
    <t xml:space="preserve">The test was performed and any specimens needed were collected, but have not been submitted for analysis and results are not yet available. </t>
  </si>
  <si>
    <t>Performed</t>
  </si>
  <si>
    <r>
      <rPr>
        <sz val="10"/>
        <color rgb="FF000000"/>
        <rFont val="Calibri"/>
        <family val="2"/>
      </rPr>
      <t xml:space="preserve">Ruling out pregnancy is recommended before starting a hormonal contraceptive and before IUD insertion. </t>
    </r>
    <r>
      <rPr>
        <i/>
        <sz val="10"/>
        <color rgb="FF000000"/>
        <rFont val="Calibri"/>
        <family val="2"/>
      </rPr>
      <t>Family Planning: a Global Handbook for Providers 2018 edition (p439)</t>
    </r>
  </si>
  <si>
    <t>FP.DE.0488</t>
  </si>
  <si>
    <t>Delivered in the last 4 weeks</t>
  </si>
  <si>
    <t>Whether the client has had a baby in the last 4 weeks.
This can automatically be calculated, therefore it should not be editable.</t>
  </si>
  <si>
    <t xml:space="preserve">"Time postpartum" &lt;= 4 weeks 
OR
("Date of delivery" - "Visit Date")/7 &lt;= 4 weeks </t>
  </si>
  <si>
    <r>
      <rPr>
        <sz val="10"/>
        <color rgb="FF000000"/>
        <rFont val="Calibri"/>
        <family val="2"/>
      </rPr>
      <t xml:space="preserve">Ruling out pregnancy is recommended before starting a hormonal contraceptive and before IUD insertion. </t>
    </r>
    <r>
      <rPr>
        <i/>
        <sz val="10"/>
        <color rgb="FF000000"/>
        <rFont val="Calibri"/>
        <family val="2"/>
      </rPr>
      <t>Family Planning: a Global Handbook for Providers 2018 edition (p439)</t>
    </r>
  </si>
  <si>
    <t>http://hl7.org/fhir/observation-status</t>
  </si>
  <si>
    <t>FP.DE.0489</t>
  </si>
  <si>
    <t>Delivered less than 6 months ago, fully or nearly-fully breastfeeding, and amenorrhoeic</t>
  </si>
  <si>
    <t>Whether the client has had a baby less than 6 months ago, fully or nearly-fully breastfeeding, and no monthly bleeding since then (amenorrhea).
This can automatically be calculated, therefore it should not be editable.</t>
  </si>
  <si>
    <t>From Decision Table</t>
  </si>
  <si>
    <r>
      <t xml:space="preserve">The amenorrhoeic condition is from the </t>
    </r>
    <r>
      <rPr>
        <i/>
        <sz val="10"/>
        <color rgb="FF000000"/>
        <rFont val="Calibri"/>
        <family val="2"/>
      </rPr>
      <t>Selected practice recommendations for contraceptive use</t>
    </r>
    <r>
      <rPr>
        <sz val="10"/>
        <color rgb="FF000000"/>
        <rFont val="Calibri"/>
        <family val="2"/>
      </rPr>
      <t xml:space="preserve">, whereas 'no monthly bleeding since' is a condition provided in the </t>
    </r>
    <r>
      <rPr>
        <i/>
        <sz val="10"/>
        <color rgb="FF000000"/>
        <rFont val="Calibri"/>
        <family val="2"/>
      </rPr>
      <t>Family Planning: a Global Handbook for Providers 2018 edition</t>
    </r>
  </si>
  <si>
    <t>FP.DE.0490</t>
  </si>
  <si>
    <t>final</t>
  </si>
  <si>
    <t>Miscarriage or abortion in the past 7 days</t>
  </si>
  <si>
    <t>Whether the client has had a miscarriage or abortion in the past 7 days.
This can automatically be calculated, therefore it should not be editable.</t>
  </si>
  <si>
    <t>"Date of miscarriage or abortion" - "Visit Date" &lt;= 7 days</t>
  </si>
  <si>
    <t>FP.DE.0491</t>
  </si>
  <si>
    <t>Miscarriage or abortion in the past 12 days</t>
  </si>
  <si>
    <t>Whether the client has had a miscarriage or abortion in the past 12 days.
This can automatically be calculated, therefore it should not be editable.</t>
  </si>
  <si>
    <t>"Date of miscarriage or abortion" - "Visit Date" &lt;= 12 days</t>
  </si>
  <si>
    <t>FP.C4. Pregnancy ruled out</t>
  </si>
  <si>
    <t>FP.DE.0492</t>
  </si>
  <si>
    <t>Reasonably certain a woman is not pregnant</t>
  </si>
  <si>
    <t xml:space="preserve">Given the answers from the client on the pregnancy checklist, are you able to determine that the client is not pregnant with reasonable certainty. </t>
  </si>
  <si>
    <t>Decision table ref. checklist</t>
  </si>
  <si>
    <t>FP.C5. Perform Pregnancy Test</t>
  </si>
  <si>
    <t>FP.DE.0493</t>
  </si>
  <si>
    <t>Pregnancy Test Result</t>
  </si>
  <si>
    <t>Results of a pregnancy test</t>
  </si>
  <si>
    <t>If the woman cannot be determined reasonably not pregnant using the pregnancy checklist, it is recommended to use a pregnancy test to determine whether or not the woman is pregnant before starting a hormonal contraceptive or receiving an IUD.</t>
  </si>
  <si>
    <t>FP.DE.0494</t>
  </si>
  <si>
    <t>Pregnancy test is positive - the woman is pregnant</t>
  </si>
  <si>
    <t>FP.DE.0495</t>
  </si>
  <si>
    <t>Not Pregnant</t>
  </si>
  <si>
    <t>Pregnancy test is negative - the woman is not pregnant</t>
  </si>
  <si>
    <r>
      <t xml:space="preserve">If the client presents with a late/missed menses, use a pregnancy test to rule out pregnancy. If using a highly sensitive pregnancy test (for example, 25 mIU/ml) and it is negative, provide her desired method. If using a test with lower sensitivity (for example, 50 mIU/ml) and it is negative during the time of her missed period, wait until at least 10 days after expected date of menses and repeat the test.
Advise the woman to use condoms or abstain in the meantime. If the test is still negative, provide her desired method. If test sensitivity is not specified, assume lower sensitivity. Pregnancy test sensitivities should be determined at the central level. 
'How and when to use the pregnancy checklist and pregnancy tests' </t>
    </r>
    <r>
      <rPr>
        <i/>
        <sz val="10"/>
        <color rgb="FF000000"/>
        <rFont val="Calibri"/>
        <family val="2"/>
      </rPr>
      <t>Family Planning: A Global Handbook for Providers (2018) p440</t>
    </r>
  </si>
  <si>
    <t>FP.C6. Get informed consent</t>
  </si>
  <si>
    <t>FP.DE.0496</t>
  </si>
  <si>
    <t>Informed consent</t>
  </si>
  <si>
    <t xml:space="preserve">Does the client give informed consent to receiving the services? </t>
  </si>
  <si>
    <t>Would vary by context (e.g. for some implementations biometric confirmation is also needed)</t>
  </si>
  <si>
    <t>ST.DE.137</t>
  </si>
  <si>
    <t>A sample was submitted for analysis, awaiting test results.</t>
  </si>
  <si>
    <t>This data element is optional due to the different laws and policies surrounding consent. If consent is required to be documented, then this data element becomed required. If going to the health facility implies consent then this data element can be considered optional.</t>
  </si>
  <si>
    <t>FP.C7. Perform Exams &amp; Tests</t>
  </si>
  <si>
    <t>FP.DE.0497</t>
  </si>
  <si>
    <t>A "Pelvic/genital Examination" is Class A: Essential and mandatory in all circumstances for safe and effective use of the contraceptive method. Pelvic/genital examination is needed for  Cu-IUD, LNG-IUD, Male Sterilization and Female Sterilization.</t>
  </si>
  <si>
    <t>From Decision Logic</t>
  </si>
  <si>
    <t>FP.DE.0498</t>
  </si>
  <si>
    <t>Haemoglobin test needed</t>
  </si>
  <si>
    <t>"Haemoglobin test" is Class B: The examination or test contributes substantially to safe and effective use, but implementation may be considered within the public health and/or service context. The risk of not performing the examination or test should be balanced against the benefits of making the contraceptive method available , meaning they contributes substantially to safe and effective use. Haemoglobin test might be needed for Cu-IUD, LNG-IUD and female sterilization if the test is available and does not outweigh the benefits of making the contraceptive method available.</t>
  </si>
  <si>
    <t>FP.DE.0499</t>
  </si>
  <si>
    <t>STI risk assessment: medical history and physical examination needed</t>
  </si>
  <si>
    <t>"STI Risk assessment: medical history and physical examination" is Class A: Essential and mandatory in all circumstances for safe and effective use of the contraceptive method for Cu-IUD and LNG-IUD.</t>
  </si>
  <si>
    <t>FP.DE.0500</t>
  </si>
  <si>
    <t>STI/HIV screening: laboratory tests needed</t>
  </si>
  <si>
    <t>registered</t>
  </si>
  <si>
    <t>"STI/HIV screening: laboratory tests" is Class B: The examination or test contributes substantially to safe and effective use, but implementation may be considered within the public health and/or service context. The risk of not performing the examination or test should be balanced against the benefits of making the contraceptive method available , meaning they contributes substantially to safe and effective use. STI/HIV screening might be needed for Cu-IUD and LNG-IUD if STI/HIV screening is available and does not outweigh the benefits of making the contraceptive method available.</t>
  </si>
  <si>
    <t>FP.DE.0501</t>
  </si>
  <si>
    <t>Blood pressure screening needed</t>
  </si>
  <si>
    <t xml:space="preserve">"Blood pressure screening" is mostly Class C: The examination or test does not contribute substantially to safe and effective use of the contraceptive methods (Cu-IUD, Male condoms, Female condoms,); for male sterilization performed using only local anesthesia. With the exception of female sterilization, "Blood pressure screening" is then Class A: Essential and mandatory in all circumstances for safe and effective use of the contraceptive method. It is desirable for all other methods, but in settings where the risks of pregnancy are high, and hormonal contraceptive methods are among the few methods widely available, women should not be denied use of hormonal methods solely because their blood pressure cannot be measured.  </t>
  </si>
  <si>
    <t>If 'Blood pressure screening' is needed and 'Blood pressure measurement' is available, THEN 'Systolic Blood Pressure' and 'Diastolic Blood Pressure' should be recorded.</t>
  </si>
  <si>
    <t>FP.DE.0502</t>
  </si>
  <si>
    <t>Haemoglobin test available</t>
  </si>
  <si>
    <t>Indicates that Haemoglobin testing is available in the facility in which the service is being provided.</t>
  </si>
  <si>
    <t>This data element is to determine site-specific or context specific relevancy of other data elements. For example, if this test is available, then the test results can be input as proof that the test was conducted as opposed to asking whether the test was conducted.</t>
  </si>
  <si>
    <t>FP.DE.0503</t>
  </si>
  <si>
    <t>STI/HIV screening: laboratory tests available</t>
  </si>
  <si>
    <t>Indicates that laboratory testing for STIs/HIV is available in the facility in which the service is being provided.</t>
  </si>
  <si>
    <t xml:space="preserve">       Completed</t>
  </si>
  <si>
    <t>FP.DE.0504</t>
  </si>
  <si>
    <t>Blood pressure measurement available</t>
  </si>
  <si>
    <t xml:space="preserve">Indicates that blood pressure can be measured at the facility. </t>
  </si>
  <si>
    <t>ST.DE.434</t>
  </si>
  <si>
    <t>Results from the test are available.</t>
  </si>
  <si>
    <t>FP.DE.0505</t>
  </si>
  <si>
    <t>Pelvic/genital examination conducted</t>
  </si>
  <si>
    <t>Whether a pelvic/genital examination was conducted</t>
  </si>
  <si>
    <t>FP.DE.0506</t>
  </si>
  <si>
    <t>Haemoglobin test conducted</t>
  </si>
  <si>
    <t>Whether a haemoglobin test conducted</t>
  </si>
  <si>
    <t>FP.DE.0507</t>
  </si>
  <si>
    <t>STI/HIV screening: laboratory tests conducted</t>
  </si>
  <si>
    <t>Whether laboratory tests for STI/HIV screening were conducted</t>
  </si>
  <si>
    <t>FP.DE.0508</t>
  </si>
  <si>
    <t>Blood pressure screening conducted</t>
  </si>
  <si>
    <t>Whether blood pressure screening was conducted. This is beyond whether blood pressure measurement was taken, but screening was also conducted based on that blood pressure screening to determine if the client has any risk factors in starting specific contraceptive methods.</t>
  </si>
  <si>
    <t>FP.DE.0509</t>
  </si>
  <si>
    <t>Required IF 'Pelvic/genital examination conducted' = TRUE, OR 'Haemoglobin test conducted' = TRUE, OR 'STI/HIV screening: laboratory tests conducted' = TRUE, OR 'Blood pressure screening conducted' = TRUE, OR 'STI Risk assessment conducted' = TRUE</t>
  </si>
  <si>
    <t>This field can be coded if any linkages to laboratory information systems exist, and/or if the implementation so chooses.</t>
  </si>
  <si>
    <t>dont you want result?</t>
  </si>
  <si>
    <t>FP.C8. Determine when to start</t>
  </si>
  <si>
    <t>FP.DE.0510</t>
  </si>
  <si>
    <t>When to start</t>
  </si>
  <si>
    <t>When the client is recommended to start using a family planning method.</t>
  </si>
  <si>
    <t>FP.DE.0511</t>
  </si>
  <si>
    <t>At the client's convenience</t>
  </si>
  <si>
    <t>Method can be provided immediately or at the client's convenience.</t>
  </si>
  <si>
    <t>FP.DE.0512</t>
  </si>
  <si>
    <t>Do not start</t>
  </si>
  <si>
    <t>Method should not be initiated yet.</t>
  </si>
  <si>
    <t>FP.DE.0513</t>
  </si>
  <si>
    <t>If neither of the two options above apply, then the recommended contraception start date and/or notes should be recorded here.</t>
  </si>
  <si>
    <t>FP.C9. Provide Method</t>
  </si>
  <si>
    <t>FP.DE.0514</t>
  </si>
  <si>
    <t>Stage of Syphilis condition</t>
  </si>
  <si>
    <t>FP.DE.0515</t>
  </si>
  <si>
    <t>Method or Service provided</t>
  </si>
  <si>
    <t>Contraceptive method that was provided to the client. What method did the client leave with (supplies, training in, or otherwise)?</t>
  </si>
  <si>
    <t>ST.DE.259</t>
  </si>
  <si>
    <t>FP.DE.0516</t>
  </si>
  <si>
    <t>Copper-bearing intrauterine device (Cu-IUD) Insertion</t>
  </si>
  <si>
    <t>Stage of condition</t>
  </si>
  <si>
    <t>FP.DE.0517</t>
  </si>
  <si>
    <t>Levonorgestrel intrauterine device (LNG-IUD) Insertion</t>
  </si>
  <si>
    <t>FP.DE.0518</t>
  </si>
  <si>
    <t>Copper-bearing intrauterine device (Cu-IUD) Removal</t>
  </si>
  <si>
    <t>Removal of Cu-IUD</t>
  </si>
  <si>
    <t>FP.DE.0519</t>
  </si>
  <si>
    <t>Levonorgestrel intrauterine device (LNG-IUD) Removal</t>
  </si>
  <si>
    <t>Removal of LNG-IUD</t>
  </si>
  <si>
    <t>FP.DE.0520</t>
  </si>
  <si>
    <t>Unspecified IUD Removal</t>
  </si>
  <si>
    <t>Removal of IUD, but unclear what type of IUD was removed</t>
  </si>
  <si>
    <t>Syphilis Stage</t>
  </si>
  <si>
    <t>syphilis( they may want to consider extending this to a larger codes et for unspecified; though this is the right code for that)</t>
  </si>
  <si>
    <t>FP.DE.0521</t>
  </si>
  <si>
    <t>Etonogestrel (ETG) one-rod implant insertion</t>
  </si>
  <si>
    <t>may want to do primary (A51.0); secondary (A51.49), neurosyphilis (A52.3), latent (A53.0).. code sets are different</t>
  </si>
  <si>
    <t>FP.DE.0522</t>
  </si>
  <si>
    <t>Levonorgestrel (LNG) two-rod implant insertion</t>
  </si>
  <si>
    <t>FP.DE.0523</t>
  </si>
  <si>
    <t>Etonogestrel (ETG) one-rod implant removal</t>
  </si>
  <si>
    <t>Removal of ETG one-rod implant</t>
  </si>
  <si>
    <t>FP.DE.0524</t>
  </si>
  <si>
    <t>Levonorgestrel (LNG) two-rod implant removal</t>
  </si>
  <si>
    <t>Removal of LNG two-rod implant</t>
  </si>
  <si>
    <t>FP.DE.0525</t>
  </si>
  <si>
    <t>Unspecified implant removal</t>
  </si>
  <si>
    <t>Removal of implants, but unclear what type of implant was removed</t>
  </si>
  <si>
    <t xml:space="preserve">       early</t>
  </si>
  <si>
    <t>FP.DE.0526</t>
  </si>
  <si>
    <t>DMPA-IM injected</t>
  </si>
  <si>
    <t>ST.DE.139</t>
  </si>
  <si>
    <t>FP.DE.0527</t>
  </si>
  <si>
    <t>DMPA-SC injected</t>
  </si>
  <si>
    <t>Include if Diagnosis = Syphilus</t>
  </si>
  <si>
    <t>Treatment recommendations are different based on the stage</t>
  </si>
  <si>
    <t>FP.DE.0528</t>
  </si>
  <si>
    <t>NET-EN norethisterone enanthate injected</t>
  </si>
  <si>
    <t>FP.DE.0529</t>
  </si>
  <si>
    <t>A51.9</t>
  </si>
  <si>
    <t>FP.DE.0530</t>
  </si>
  <si>
    <t>FP.DE.0531</t>
  </si>
  <si>
    <t>FP.DE.0532</t>
  </si>
  <si>
    <t>FP.DE.0533</t>
  </si>
  <si>
    <t xml:space="preserve">       late</t>
  </si>
  <si>
    <t>FP.DE.0534</t>
  </si>
  <si>
    <t>FP.DE.0535</t>
  </si>
  <si>
    <t>ST.DE.140</t>
  </si>
  <si>
    <t>late</t>
  </si>
  <si>
    <t>FP.DE.0536</t>
  </si>
  <si>
    <t>FP.DE.0537</t>
  </si>
  <si>
    <t>FP.DE.0538</t>
  </si>
  <si>
    <t>Prescription provided</t>
  </si>
  <si>
    <t>Whether a prescription for a contraceptive method was provided (if a prescription was needed)</t>
  </si>
  <si>
    <t>A52.9</t>
  </si>
  <si>
    <t>FP.DE.0539</t>
  </si>
  <si>
    <t>Fertility awareness-based methods (FAB) consultation</t>
  </si>
  <si>
    <t>FP.DE.0540</t>
  </si>
  <si>
    <t>FP.DE.0541</t>
  </si>
  <si>
    <t>FP.DE.0542</t>
  </si>
  <si>
    <t>Withdrawal consultation</t>
  </si>
  <si>
    <t>FP.DE.0543</t>
  </si>
  <si>
    <t>No method provided</t>
  </si>
  <si>
    <t>Client did not receive any method</t>
  </si>
  <si>
    <t xml:space="preserve">       unknown </t>
  </si>
  <si>
    <t>FP.DE.0544</t>
  </si>
  <si>
    <t>Reason for no contraceptive method use reported at exit (as the client leaves the health service provider)</t>
  </si>
  <si>
    <t>ST.DE.141</t>
  </si>
  <si>
    <t xml:space="preserve">unknown </t>
  </si>
  <si>
    <t>Included and required if 'Method or service provided' = No method provided</t>
  </si>
  <si>
    <t>FP.DE.0545</t>
  </si>
  <si>
    <t>Client chooses to not use contraception</t>
  </si>
  <si>
    <t>FP.DE.0546</t>
  </si>
  <si>
    <t>The chosen method is out of stock. Normally the health care facility would have the method in stock, but in this instance the method is out of stock.</t>
  </si>
  <si>
    <t>FP.DE.0547</t>
  </si>
  <si>
    <t>Health worker attempted to insert an IUD, but the IUD could not be inserted during the visit</t>
  </si>
  <si>
    <t>Include if 'Chosen Method' = 'Cu-IUD' OR 'LNG-IUD'</t>
  </si>
  <si>
    <t>FP.DE.0548</t>
  </si>
  <si>
    <t xml:space="preserve">        Partner management recommended</t>
  </si>
  <si>
    <t>FP.DE.0549</t>
  </si>
  <si>
    <t>Whether a backup method based on client history and method initiation or start date</t>
  </si>
  <si>
    <t>ST.2 Consultation, ST.3. Service Provision</t>
  </si>
  <si>
    <t>2.14 Diagnose, 3.3 Provide treatment</t>
  </si>
  <si>
    <t>Based on Decision Logic</t>
  </si>
  <si>
    <t>FP.C10. Discuss dual protection</t>
  </si>
  <si>
    <t>FP.DE.0550</t>
  </si>
  <si>
    <t>ST.DE.142, ST.DE.228</t>
  </si>
  <si>
    <t>A backup method was provided during the visit in case there was a stock-out of the chosen method, risk of STIs, and/or other reasons.</t>
  </si>
  <si>
    <t>Partner management recommended</t>
  </si>
  <si>
    <t>System generated if partner management is recommended based on diagnosis</t>
  </si>
  <si>
    <t xml:space="preserve">True/False </t>
  </si>
  <si>
    <t>FP.DE.0551</t>
  </si>
  <si>
    <t xml:space="preserve">DL </t>
  </si>
  <si>
    <t>Required only if 'Backup method provided' = TRUE</t>
  </si>
  <si>
    <t>FP.DE.0552</t>
  </si>
  <si>
    <t>Male condoms</t>
  </si>
  <si>
    <t>FP.DE.0553</t>
  </si>
  <si>
    <t>Female condoms</t>
  </si>
  <si>
    <t>FP.DE.0554</t>
  </si>
  <si>
    <t>Please specify what the 'other' back up method(s) are</t>
  </si>
  <si>
    <t>FP.C12. Determine follow up requirements</t>
  </si>
  <si>
    <t>FP.DE.0555</t>
  </si>
  <si>
    <t>Recommended follow up date</t>
  </si>
  <si>
    <t>FP.C13. Follow up required?</t>
  </si>
  <si>
    <t>FP.DE.0556</t>
  </si>
  <si>
    <t>A follow up appointment is recommended based on follow up requirements</t>
  </si>
  <si>
    <t>FP.D1. Emergency referral?</t>
  </si>
  <si>
    <t>FP.DE.0557</t>
  </si>
  <si>
    <t>FP.D6. Provide information to referral facility</t>
  </si>
  <si>
    <t>FP.DE.0558</t>
  </si>
  <si>
    <t>FP.DE.0559</t>
  </si>
  <si>
    <t xml:space="preserve">Procedures such as providing injectible contraception, implant insertion or removal, IUD insertion or removal, and sterilization are recommended to only be provided by a select number of health worker cadres. If the health worker is unable to provide the client with their method of choice and needs to be referred, this option shuold be selected. </t>
  </si>
  <si>
    <t>FP.DE.0560</t>
  </si>
  <si>
    <t>The client is referred because they need a lab test done and/or diagnostics done, but those services are unavailable at the current health facility.</t>
  </si>
  <si>
    <t xml:space="preserve">Inguinal bubo </t>
  </si>
  <si>
    <t>FP.DE.0561</t>
  </si>
  <si>
    <t>Referral for other general services</t>
  </si>
  <si>
    <t>If none of the reasons above apply, this should be selected</t>
  </si>
  <si>
    <t>FP.DE.0562</t>
  </si>
  <si>
    <t>ST.DE.241</t>
  </si>
  <si>
    <t>FP.DE.0563</t>
  </si>
  <si>
    <t>Should come from facility registry list</t>
  </si>
  <si>
    <t>FP.DE.0564</t>
  </si>
  <si>
    <t>="Visit Date"</t>
  </si>
  <si>
    <t>FP.DE.0565</t>
  </si>
  <si>
    <t>264037006</t>
  </si>
  <si>
    <t>Provider who made referral</t>
  </si>
  <si>
    <t>The name of the provider who made the referral</t>
  </si>
  <si>
    <t>Same as end user that is logged in</t>
  </si>
  <si>
    <t>FP.DE.0566</t>
  </si>
  <si>
    <t>Provider's facility</t>
  </si>
  <si>
    <t>Facility client is being referred from</t>
  </si>
  <si>
    <t>Same as end user's profile</t>
  </si>
  <si>
    <t>FP.DE.0567</t>
  </si>
  <si>
    <t>Provider's telephone number</t>
  </si>
  <si>
    <t>The contact details of the provider making the referral.</t>
  </si>
  <si>
    <t>FP.DE.0568</t>
  </si>
  <si>
    <t>Referral notes</t>
  </si>
  <si>
    <t>Any additional relevant details of clinical significance for the referral facility to provide quality care.</t>
  </si>
  <si>
    <t>FP.DE.0569</t>
  </si>
  <si>
    <t>Client history summary</t>
  </si>
  <si>
    <t>With interoperable systems, the provider receiving the referral should be able to access the client's health record digitally. However, in the absence of this, the referral provider should receive a summary of the client's health records that include the client's history, reported issues and concerns, and any other relevant clinical information the health care provider had already obtained.</t>
  </si>
  <si>
    <t>Same as information collected from "FP.B3. Capture or update client history" activity</t>
  </si>
  <si>
    <t>Femoral bubo</t>
  </si>
  <si>
    <t>ST.DE.242</t>
  </si>
  <si>
    <t>11585000</t>
  </si>
  <si>
    <t>medcin ; SNOMED non femoral
292858</t>
  </si>
  <si>
    <t>High prevalence</t>
  </si>
  <si>
    <t>ST.DE.233</t>
  </si>
  <si>
    <t>Underspecified. Not sure what "High prevalance" is referring to.</t>
  </si>
  <si>
    <t xml:space="preserve">Recent syphilis treatment </t>
  </si>
  <si>
    <t>ST.DE.234</t>
  </si>
  <si>
    <t>75197-4</t>
  </si>
  <si>
    <t>STI Treatment recommendation</t>
  </si>
  <si>
    <t>ST.3. Service Provision</t>
  </si>
  <si>
    <t>3.3 Provide treatment</t>
  </si>
  <si>
    <t>ST.DE.052</t>
  </si>
  <si>
    <t>Treatment recommendation</t>
  </si>
  <si>
    <t>STI.IND.06</t>
  </si>
  <si>
    <t>this is unclear to me</t>
  </si>
  <si>
    <t>ST.DE.245</t>
  </si>
  <si>
    <t>see above</t>
  </si>
  <si>
    <t>ST.DE.237</t>
  </si>
  <si>
    <t xml:space="preserve">       Herpes simplex virus</t>
  </si>
  <si>
    <t>Herpes simplex virus</t>
  </si>
  <si>
    <t>19965007</t>
  </si>
  <si>
    <t xml:space="preserve">       Herpes simplex virus type 2</t>
  </si>
  <si>
    <t>ST.DE.236</t>
  </si>
  <si>
    <t>Herpes simplex virus type 2</t>
  </si>
  <si>
    <t>13687007</t>
  </si>
  <si>
    <t xml:space="preserve">       Candida albicans</t>
  </si>
  <si>
    <t>53326005</t>
  </si>
  <si>
    <t>56335008</t>
  </si>
  <si>
    <t>Used infection of cervix by chlamydia, since this was only infection of cervix SNOMED term</t>
  </si>
  <si>
    <t xml:space="preserve">       Chancroid</t>
  </si>
  <si>
    <t>ST.DE.238</t>
  </si>
  <si>
    <t>Chancroid</t>
  </si>
  <si>
    <t>266143009</t>
  </si>
  <si>
    <t xml:space="preserve">       Pelvic Inflammatory Disease (PID)</t>
  </si>
  <si>
    <t>Pelvic Inflammatory Disease (PID)</t>
  </si>
  <si>
    <t xml:space="preserve">       Human papillomavirus</t>
  </si>
  <si>
    <t>R87.1</t>
  </si>
  <si>
    <t xml:space="preserve">       Postpartum infection</t>
  </si>
  <si>
    <t>Postpartum infection</t>
  </si>
  <si>
    <t>JOE_ use SNOMED 86569001 for post partum state (so, anything postpartum plus something else ?)</t>
  </si>
  <si>
    <t>Other (specify) - Treatment recommendation</t>
  </si>
  <si>
    <t>Current STI Medications</t>
  </si>
  <si>
    <t>ST.DE.053</t>
  </si>
  <si>
    <t>Prescribed drugs</t>
  </si>
  <si>
    <t xml:space="preserve">Drugs prescribed to treat the diagnosis </t>
  </si>
  <si>
    <t>If client's drug allergy =  this medication class, do not include option</t>
  </si>
  <si>
    <t>aciclovir</t>
  </si>
  <si>
    <t>ST.DE.147</t>
  </si>
  <si>
    <t>248108</t>
  </si>
  <si>
    <t>C0789387 CUI</t>
  </si>
  <si>
    <t>benzyl penicillin</t>
  </si>
  <si>
    <t>ST.DE.148</t>
  </si>
  <si>
    <t>75247008</t>
  </si>
  <si>
    <t>7982</t>
  </si>
  <si>
    <t xml:space="preserve">Pen G </t>
  </si>
  <si>
    <t>azithromycin</t>
  </si>
  <si>
    <t>ST.DE.149</t>
  </si>
  <si>
    <t>18631</t>
  </si>
  <si>
    <t>benzathine penicillin</t>
  </si>
  <si>
    <t>ST.DE.150</t>
  </si>
  <si>
    <t>cefixime</t>
  </si>
  <si>
    <t>ST.DE.151</t>
  </si>
  <si>
    <t>25033</t>
  </si>
  <si>
    <t>c0060400</t>
  </si>
  <si>
    <t>ceftriaxone</t>
  </si>
  <si>
    <t>ST.DE.152</t>
  </si>
  <si>
    <t>2193</t>
  </si>
  <si>
    <t>c0007561</t>
  </si>
  <si>
    <t>chloramphenicol</t>
  </si>
  <si>
    <t>ST.DE.153</t>
  </si>
  <si>
    <t>2348</t>
  </si>
  <si>
    <t>C0008168</t>
  </si>
  <si>
    <t>clindamycin</t>
  </si>
  <si>
    <t>ST.DE.154</t>
  </si>
  <si>
    <t>2582</t>
  </si>
  <si>
    <t>c0008947</t>
  </si>
  <si>
    <t>Clotrimazoleb</t>
  </si>
  <si>
    <t>ST.DE.155</t>
  </si>
  <si>
    <t xml:space="preserve">is this oral or topical: do they mean clotrimazole? </t>
  </si>
  <si>
    <t>1153919</t>
  </si>
  <si>
    <t>oral c3208393</t>
  </si>
  <si>
    <t>doxycycline</t>
  </si>
  <si>
    <t>ST.DE.156</t>
  </si>
  <si>
    <t>1160779</t>
  </si>
  <si>
    <t>c3215139</t>
  </si>
  <si>
    <t>erythromycin</t>
  </si>
  <si>
    <t>ST.DE.157</t>
  </si>
  <si>
    <t>4053</t>
  </si>
  <si>
    <t>c0014806</t>
  </si>
  <si>
    <t>imiquimod</t>
  </si>
  <si>
    <t>ST.DE.435</t>
  </si>
  <si>
    <t>oral</t>
  </si>
  <si>
    <t>1248439</t>
  </si>
  <si>
    <t>C3268225</t>
  </si>
  <si>
    <t>famciclovir</t>
  </si>
  <si>
    <t>ST.DE.158</t>
  </si>
  <si>
    <t>68099</t>
  </si>
  <si>
    <t>c0209227</t>
  </si>
  <si>
    <t>fluconazole</t>
  </si>
  <si>
    <t>ST.DE.159</t>
  </si>
  <si>
    <t>4450</t>
  </si>
  <si>
    <t>c0016277</t>
  </si>
  <si>
    <t>gentamicin</t>
  </si>
  <si>
    <t>ST.DE.160</t>
  </si>
  <si>
    <t>1596450</t>
  </si>
  <si>
    <t>c3854019</t>
  </si>
  <si>
    <t>kanamycin</t>
  </si>
  <si>
    <t>ST.DE.161</t>
  </si>
  <si>
    <t>6099</t>
  </si>
  <si>
    <t>c0022487</t>
  </si>
  <si>
    <t>metronidazole</t>
  </si>
  <si>
    <t>ST.DE.162</t>
  </si>
  <si>
    <t>metronidazolea</t>
  </si>
  <si>
    <t>6922</t>
  </si>
  <si>
    <t>c0025872</t>
  </si>
  <si>
    <t>Miconazole</t>
  </si>
  <si>
    <t>ST.DE.163</t>
  </si>
  <si>
    <t>6932</t>
  </si>
  <si>
    <t>c0025942</t>
  </si>
  <si>
    <t>nystatin</t>
  </si>
  <si>
    <t>ST.DE.164</t>
  </si>
  <si>
    <t>7597</t>
  </si>
  <si>
    <t>c0028741</t>
  </si>
  <si>
    <t>ofloxacin</t>
  </si>
  <si>
    <t>ST.DE.165</t>
  </si>
  <si>
    <t>7623</t>
  </si>
  <si>
    <t>c0028902</t>
  </si>
  <si>
    <t>podophyllin</t>
  </si>
  <si>
    <t>ST.DE.436</t>
  </si>
  <si>
    <t>Pregnant = False</t>
  </si>
  <si>
    <t>8462</t>
  </si>
  <si>
    <t>c0032333</t>
  </si>
  <si>
    <t>povidone iodine</t>
  </si>
  <si>
    <t>ST.DE.166</t>
  </si>
  <si>
    <t>1300277</t>
  </si>
  <si>
    <t>c3474128</t>
  </si>
  <si>
    <t>procaine penicillin</t>
  </si>
  <si>
    <t>ST.DE.167</t>
  </si>
  <si>
    <t>pen G x</t>
  </si>
  <si>
    <t>1008532</t>
  </si>
  <si>
    <t>c2052688</t>
  </si>
  <si>
    <t>silver nitrate</t>
  </si>
  <si>
    <t>ST.DE.168</t>
  </si>
  <si>
    <t>9789</t>
  </si>
  <si>
    <t>c0037129</t>
  </si>
  <si>
    <t>clotrimazole</t>
  </si>
  <si>
    <t>ST.DE.169</t>
  </si>
  <si>
    <t>2623</t>
  </si>
  <si>
    <t>c0009074</t>
  </si>
  <si>
    <t>spectinomycin</t>
  </si>
  <si>
    <t>ST.DE.170</t>
  </si>
  <si>
    <t>270</t>
  </si>
  <si>
    <t>c0001268</t>
  </si>
  <si>
    <t>tetracycline</t>
  </si>
  <si>
    <t>ST.DE.171</t>
  </si>
  <si>
    <t>10395</t>
  </si>
  <si>
    <t>c0039644</t>
  </si>
  <si>
    <t>tetracycline hydrochloride</t>
  </si>
  <si>
    <t>ST.DE.172</t>
  </si>
  <si>
    <t>142446</t>
  </si>
  <si>
    <t>c0546879</t>
  </si>
  <si>
    <t>tinidazolea</t>
  </si>
  <si>
    <t>ST.DE.173</t>
  </si>
  <si>
    <t>x tinidazole</t>
  </si>
  <si>
    <t>10612</t>
  </si>
  <si>
    <t>c0040263</t>
  </si>
  <si>
    <t xml:space="preserve">trichloracetic acid </t>
  </si>
  <si>
    <t>ST.DE.437</t>
  </si>
  <si>
    <t>10773</t>
  </si>
  <si>
    <t>c0040900</t>
  </si>
  <si>
    <t>valaciclovir</t>
  </si>
  <si>
    <t>ST.DE.174</t>
  </si>
  <si>
    <t>73645</t>
  </si>
  <si>
    <t>c0249458</t>
  </si>
  <si>
    <t>amoxicillin</t>
  </si>
  <si>
    <t>ST.DE.175</t>
  </si>
  <si>
    <t>723</t>
  </si>
  <si>
    <t>c0002645</t>
  </si>
  <si>
    <t>787481004</t>
  </si>
  <si>
    <t>Other (specify) - STI treatment medication history</t>
  </si>
  <si>
    <t>Type of treatment</t>
  </si>
  <si>
    <t>ST.DE.176</t>
  </si>
  <si>
    <t>Underspecified</t>
  </si>
  <si>
    <t xml:space="preserve">       dual therapy</t>
  </si>
  <si>
    <t>ST.DE.177</t>
  </si>
  <si>
    <t>dual therapy</t>
  </si>
  <si>
    <t>HL7V3. DU</t>
  </si>
  <si>
    <t xml:space="preserve">       episodic therapy</t>
  </si>
  <si>
    <t>ST.DE.178</t>
  </si>
  <si>
    <t>episodic therapy</t>
  </si>
  <si>
    <t>278499009</t>
  </si>
  <si>
    <t>SNOMED qualified</t>
  </si>
  <si>
    <t xml:space="preserve">       single therapy</t>
  </si>
  <si>
    <t>ST.DE.179</t>
  </si>
  <si>
    <t>single therapy</t>
  </si>
  <si>
    <t>/</t>
  </si>
  <si>
    <t>C157514- NCI code (but that is for chemotherapy)</t>
  </si>
  <si>
    <t xml:space="preserve">       WHO recommended therapy (not entered)</t>
  </si>
  <si>
    <t>ST.DE.180</t>
  </si>
  <si>
    <t>WHO recommended therapy (not entered)</t>
  </si>
  <si>
    <t>MEDCIN 341303 plus WHO</t>
  </si>
  <si>
    <t xml:space="preserve">       suppressive therapy</t>
  </si>
  <si>
    <t>ST.DE.181</t>
  </si>
  <si>
    <t>suppressive therapy</t>
  </si>
  <si>
    <t>244840000</t>
  </si>
  <si>
    <t>C155924- NVI; suppressive antiretroviral</t>
  </si>
  <si>
    <t xml:space="preserve">       application</t>
  </si>
  <si>
    <t>Application of treatment to area</t>
  </si>
  <si>
    <t>application</t>
  </si>
  <si>
    <t>413568008</t>
  </si>
  <si>
    <t>Drug form</t>
  </si>
  <si>
    <t>ST.DE.184</t>
  </si>
  <si>
    <t>[System - Associated with the medication, not user selected]</t>
  </si>
  <si>
    <t xml:space="preserve">       gel</t>
  </si>
  <si>
    <t>ST.DE.185</t>
  </si>
  <si>
    <t>gel</t>
  </si>
  <si>
    <t>385100002</t>
  </si>
  <si>
    <t xml:space="preserve">       compound tincture of benzoin</t>
  </si>
  <si>
    <t>ST.DE.438</t>
  </si>
  <si>
    <t>compound tincture of benzoin</t>
  </si>
  <si>
    <t>215648</t>
  </si>
  <si>
    <t>C0718909</t>
  </si>
  <si>
    <t xml:space="preserve">       oral</t>
  </si>
  <si>
    <t>ST.DE.186</t>
  </si>
  <si>
    <t>26643006</t>
  </si>
  <si>
    <t xml:space="preserve">C102246- NCI </t>
  </si>
  <si>
    <t xml:space="preserve">       vaginal suppository</t>
  </si>
  <si>
    <t>ST.DE.187</t>
  </si>
  <si>
    <t>vaginal suppository</t>
  </si>
  <si>
    <t>421195004</t>
  </si>
  <si>
    <t xml:space="preserve">       intramuscular</t>
  </si>
  <si>
    <t>ST.DE.188</t>
  </si>
  <si>
    <t>intramuscular</t>
  </si>
  <si>
    <t>255559005</t>
  </si>
  <si>
    <t xml:space="preserve">       vaginal tablet</t>
  </si>
  <si>
    <t>ST.DE.189</t>
  </si>
  <si>
    <t>vaginal tablet</t>
  </si>
  <si>
    <t>385178005</t>
  </si>
  <si>
    <t xml:space="preserve">       eye ointment</t>
  </si>
  <si>
    <t>ST.DE.190</t>
  </si>
  <si>
    <t>eye ointment</t>
  </si>
  <si>
    <t>421427005</t>
  </si>
  <si>
    <t xml:space="preserve">       intravaginally</t>
  </si>
  <si>
    <t>ST.DE.191</t>
  </si>
  <si>
    <t>intravaginally</t>
  </si>
  <si>
    <t>264049007</t>
  </si>
  <si>
    <t>qualifier</t>
  </si>
  <si>
    <t>ST.DE.192</t>
  </si>
  <si>
    <t xml:space="preserve">       cream</t>
  </si>
  <si>
    <t>ST.DE.439</t>
  </si>
  <si>
    <t>cream</t>
  </si>
  <si>
    <t>385165005</t>
  </si>
  <si>
    <t xml:space="preserve">       Vaginal cream</t>
  </si>
  <si>
    <t>ST.DE.193</t>
  </si>
  <si>
    <t>Vaginal cream</t>
  </si>
  <si>
    <t xml:space="preserve">       solution</t>
  </si>
  <si>
    <t>ST.DE.194</t>
  </si>
  <si>
    <t>solution</t>
  </si>
  <si>
    <t>739006009</t>
  </si>
  <si>
    <t>C42986; NCI code
solution dosage form</t>
  </si>
  <si>
    <t>Route of administration</t>
  </si>
  <si>
    <t>ST.DE.440</t>
  </si>
  <si>
    <t>Route of adminstration</t>
  </si>
  <si>
    <t>How the medication is administered</t>
  </si>
  <si>
    <t>HL7v 3 
2.16.840.1.113883.1.11.14581
snomed 410675002</t>
  </si>
  <si>
    <t xml:space="preserve">       Drug-device combination product</t>
  </si>
  <si>
    <t>ST.DE.441</t>
  </si>
  <si>
    <t>Drug-device combination product</t>
  </si>
  <si>
    <t>Route of administration is associated with the item</t>
  </si>
  <si>
    <t>411115002</t>
  </si>
  <si>
    <t xml:space="preserve">       Intramuscular</t>
  </si>
  <si>
    <t>ST.DE.442</t>
  </si>
  <si>
    <t>Intramuscular</t>
  </si>
  <si>
    <t xml:space="preserve">       Subcutaneous</t>
  </si>
  <si>
    <t>ST.DE.443</t>
  </si>
  <si>
    <t>Subcutaneous</t>
  </si>
  <si>
    <t>263887005</t>
  </si>
  <si>
    <t>qualifier value</t>
  </si>
  <si>
    <t xml:space="preserve">       Injectable solution</t>
  </si>
  <si>
    <t>ST.DE.469</t>
  </si>
  <si>
    <t>Injectable solution</t>
  </si>
  <si>
    <t>385219001</t>
  </si>
  <si>
    <t xml:space="preserve">       Biomedical device</t>
  </si>
  <si>
    <t>ST.DE.470</t>
  </si>
  <si>
    <t>Biomedical device</t>
  </si>
  <si>
    <t>63653004</t>
  </si>
  <si>
    <t>lot sof medical devices; this is specific for biomedical</t>
  </si>
  <si>
    <t>Drug warnings</t>
  </si>
  <si>
    <t>ST.DE.195</t>
  </si>
  <si>
    <t>[System]</t>
  </si>
  <si>
    <t>MSH code- black box warning; D004348</t>
  </si>
  <si>
    <t xml:space="preserve">       avoid alcohol with use</t>
  </si>
  <si>
    <t>ST.DE.196</t>
  </si>
  <si>
    <t>avoid alcohol with use</t>
  </si>
  <si>
    <t>avoid alcohol and tobacco</t>
  </si>
  <si>
    <t>419822006</t>
  </si>
  <si>
    <t>NIC code; MTHU015943
Warning. Avoid alcoholic drink: 419822006</t>
  </si>
  <si>
    <t xml:space="preserve">       pregnancy warning</t>
  </si>
  <si>
    <t>ST.DE.197</t>
  </si>
  <si>
    <t>pregnancy warning</t>
  </si>
  <si>
    <t>609496007</t>
  </si>
  <si>
    <t>Could not find term for "Pregnancy Warnings" or "Pregnancy Contraindications" or "Pregnancy Considerations", so used Complications occuring during pregnancy: 609496007</t>
  </si>
  <si>
    <t>Dosage</t>
  </si>
  <si>
    <t>ST.DE.054</t>
  </si>
  <si>
    <t>snomed 260911001; snomed qualifier 
277406006</t>
  </si>
  <si>
    <t>Date of treatment</t>
  </si>
  <si>
    <t>ST.DE.449</t>
  </si>
  <si>
    <t>Date &gt;= Current Date</t>
  </si>
  <si>
    <t>Counseling recommendations</t>
  </si>
  <si>
    <t>3.9 Schedule follow-up</t>
  </si>
  <si>
    <t>ST.DE.444</t>
  </si>
  <si>
    <t xml:space="preserve">       provide partner treatment</t>
  </si>
  <si>
    <t>ST.DE.445</t>
  </si>
  <si>
    <t>provide partner treatment</t>
  </si>
  <si>
    <t>There's a MEDCIN term "arrange for treatment of sexual partner" with ID: 40012</t>
  </si>
  <si>
    <t xml:space="preserve">       re-treat</t>
  </si>
  <si>
    <t>ST.DE.446</t>
  </si>
  <si>
    <t>re-treat</t>
  </si>
  <si>
    <t>182919001</t>
  </si>
  <si>
    <t>Previous treatment repeat</t>
  </si>
  <si>
    <t xml:space="preserve">       reinforce condom use</t>
  </si>
  <si>
    <t>ST.DE.447</t>
  </si>
  <si>
    <t>reinforce condom use</t>
  </si>
  <si>
    <t>16311004</t>
  </si>
  <si>
    <t>Condom use education</t>
  </si>
  <si>
    <t xml:space="preserve">       reinforce sexual abstinence</t>
  </si>
  <si>
    <t>ST.DE.448</t>
  </si>
  <si>
    <t>reinforce sexual abstinence</t>
  </si>
  <si>
    <t>225160006</t>
  </si>
  <si>
    <t>Reinforcing behavior: 225160006; not sexually active: 162171002</t>
  </si>
  <si>
    <t>134403003</t>
  </si>
  <si>
    <t>ServiceRequest.reasonCode</t>
  </si>
  <si>
    <t>ServiceRequest.previousTreatment.code</t>
  </si>
  <si>
    <t>FP.DE.117</t>
  </si>
  <si>
    <t>FP.DE.118</t>
  </si>
  <si>
    <t>FP.DE.119</t>
  </si>
  <si>
    <t>convulsion</t>
  </si>
  <si>
    <t>91175000</t>
  </si>
  <si>
    <t>FP.DE.120</t>
  </si>
  <si>
    <t>FP.DE.121</t>
  </si>
  <si>
    <t>FP.DE.122</t>
  </si>
  <si>
    <t>FP.DE.123</t>
  </si>
  <si>
    <t>FP.DE.124</t>
  </si>
  <si>
    <t>FP.DE.125</t>
  </si>
  <si>
    <t>FP.DE.126</t>
  </si>
  <si>
    <t xml:space="preserve"> Select one</t>
  </si>
  <si>
    <t>86395003; 305930006</t>
  </si>
  <si>
    <t>86395003; referral for family planning 305930006</t>
  </si>
  <si>
    <t>306228005</t>
  </si>
  <si>
    <t>306206005</t>
  </si>
  <si>
    <t>Facility can accomodate</t>
  </si>
  <si>
    <t>5 (closed)</t>
  </si>
  <si>
    <t>183924009</t>
  </si>
  <si>
    <t>Period</t>
  </si>
  <si>
    <t>Appointment.end</t>
  </si>
  <si>
    <t>This is probably best modeled as FHIR's AllergyIntolerence with the patient as the asserter.</t>
  </si>
  <si>
    <t>http://hl7.org/fhir/ValueSet/procedure-code</t>
  </si>
  <si>
    <t>I couldn't find a SNOMED term for "Procedure" or "Personal history of procedures". I would recommend using FHIR's Procedure resource with the code set to a value from the value set http://hl7.org/fhir/ValueSet/procedure-code</t>
  </si>
  <si>
    <t>DocumentReference.content.attachment</t>
  </si>
  <si>
    <t>57133-1</t>
  </si>
  <si>
    <t>Not sure if this is a place for recording visit notes or (more likely based on the domain) a place for recording prior visit notes. In any case, this should probably be a FHIR resource and not a concept mapping.</t>
  </si>
  <si>
    <t>ServiceRequest.priority</t>
  </si>
  <si>
    <t>http://hl7.org/fhir/ValueSet/request-priority</t>
  </si>
  <si>
    <t>14 (also 6)</t>
  </si>
  <si>
    <t>ServiceRequest.note</t>
  </si>
  <si>
    <t>11</t>
  </si>
  <si>
    <t>Item details</t>
  </si>
  <si>
    <t>FP.5. Dispensing</t>
  </si>
  <si>
    <t>Dispensing</t>
  </si>
  <si>
    <t>ST.DE.450</t>
  </si>
  <si>
    <t>MedicationDispense.note</t>
  </si>
  <si>
    <t>dose_unit</t>
  </si>
  <si>
    <t>ST.DE.451</t>
  </si>
  <si>
    <t>Dosing unit</t>
  </si>
  <si>
    <t>The dosing unit for the material.</t>
  </si>
  <si>
    <t>MedicationAdministration.dosage.unit</t>
  </si>
  <si>
    <t>unit does; snomed 
408102007</t>
  </si>
  <si>
    <t>form_code</t>
  </si>
  <si>
    <t>ST.DE.452</t>
  </si>
  <si>
    <t>Form of medication</t>
  </si>
  <si>
    <t>The form code (capsules, injection, etc.)</t>
  </si>
  <si>
    <t>http://hl7.org/fhir/ValueSet/medication-form-codes</t>
  </si>
  <si>
    <t>expiry</t>
  </si>
  <si>
    <t>ST.DE.453</t>
  </si>
  <si>
    <t>Expiration date</t>
  </si>
  <si>
    <t>The expiration date of the material</t>
  </si>
  <si>
    <t>DATE</t>
  </si>
  <si>
    <t>Medication.batch.expirationDate</t>
  </si>
  <si>
    <t>gtin</t>
  </si>
  <si>
    <t>ST.DE.454</t>
  </si>
  <si>
    <t>GTIN</t>
  </si>
  <si>
    <t>The global trade item number of the product.</t>
  </si>
  <si>
    <t>Medication.identifier</t>
  </si>
  <si>
    <t>lot</t>
  </si>
  <si>
    <t>ST.DE.455</t>
  </si>
  <si>
    <t>Item lot</t>
  </si>
  <si>
    <t>The lot or batch number of the product.</t>
  </si>
  <si>
    <t>Medication.batch.lotNumber</t>
  </si>
  <si>
    <t>lot number NCI code C70848</t>
  </si>
  <si>
    <t>manufacturer</t>
  </si>
  <si>
    <t>ST.DE.456</t>
  </si>
  <si>
    <t>Item manufacturer</t>
  </si>
  <si>
    <t>The name of the manufacturer</t>
  </si>
  <si>
    <t>Medication.manufacturer</t>
  </si>
  <si>
    <t>NCI C25392</t>
  </si>
  <si>
    <t>Duration of action</t>
  </si>
  <si>
    <t>ST.DE.457</t>
  </si>
  <si>
    <t xml:space="preserve">The length of time that a method is protective from when it is given or taken. </t>
  </si>
  <si>
    <t>Time</t>
  </si>
  <si>
    <t>Medication.effectDuration</t>
  </si>
  <si>
    <t>strength</t>
  </si>
  <si>
    <t>ST.DE.458</t>
  </si>
  <si>
    <t>Medication strength</t>
  </si>
  <si>
    <t>Strength of medication</t>
  </si>
  <si>
    <t>Medication.ingredient.strength</t>
  </si>
  <si>
    <t>Unit of measure</t>
  </si>
  <si>
    <t>ST.DE.459</t>
  </si>
  <si>
    <t>http://unitsofmeasure.org/</t>
  </si>
  <si>
    <t>default to UCUM terminology</t>
  </si>
  <si>
    <t>Batch</t>
  </si>
  <si>
    <t>ST.DE.460</t>
  </si>
  <si>
    <t>Medication.batch</t>
  </si>
  <si>
    <t>Frequency</t>
  </si>
  <si>
    <t>FP.5. Dispensing, ST.3. Service Provision</t>
  </si>
  <si>
    <t>Dispensing, 3.3 Provide treatment</t>
  </si>
  <si>
    <t>ST.DE.461</t>
  </si>
  <si>
    <t>MedicationDispense.dosageInstruction.timing.repeat</t>
  </si>
  <si>
    <t>frequency</t>
  </si>
  <si>
    <t>NCI code; how often C118873</t>
  </si>
  <si>
    <t>Drug name</t>
  </si>
  <si>
    <t>ST.DE.462</t>
  </si>
  <si>
    <t>MedicationDispense.dosageInstruction.timing</t>
  </si>
  <si>
    <t>Partner communication consent</t>
  </si>
  <si>
    <t>ST.7 Partner Management</t>
  </si>
  <si>
    <t>7.8 Willing to let facility staff notify?</t>
  </si>
  <si>
    <t>ST.DE.083</t>
  </si>
  <si>
    <t>Agreement by client to record and communicate with past or current partners</t>
  </si>
  <si>
    <t>Partner name</t>
  </si>
  <si>
    <t>ST.DE.084</t>
  </si>
  <si>
    <t xml:space="preserve">Name of each partner client consents to sharing for potential follow-up </t>
  </si>
  <si>
    <t>Name</t>
  </si>
  <si>
    <t>Need to contact partner</t>
  </si>
  <si>
    <t>ST.DE.085</t>
  </si>
  <si>
    <t>Contacting of partner</t>
  </si>
  <si>
    <t>Whether partner needs to be contacted</t>
  </si>
  <si>
    <t>Partial ?</t>
  </si>
  <si>
    <t>408565001</t>
  </si>
  <si>
    <t>requires communication with partner</t>
  </si>
  <si>
    <t>Partner Communication method</t>
  </si>
  <si>
    <t>7.11 Attempt to notify partner</t>
  </si>
  <si>
    <t>ST.DE.086</t>
  </si>
  <si>
    <t xml:space="preserve">http://terminology.hl7.org/ValueSet/v3-ParticipationMode
</t>
  </si>
  <si>
    <t>Partner Communication dateTime</t>
  </si>
  <si>
    <t>ST.DE.087</t>
  </si>
  <si>
    <t>Date and time when communication was made</t>
  </si>
  <si>
    <t>Contact with partner by the facility staff</t>
  </si>
  <si>
    <t>ST.DE.090</t>
  </si>
  <si>
    <t>Whether contact with the partner was made</t>
  </si>
  <si>
    <t>notification pf partner; MSH D016358</t>
  </si>
  <si>
    <t>ST.DE.091</t>
  </si>
  <si>
    <t>Reason client was not contacted if client had given consent to be contacted</t>
  </si>
  <si>
    <t>http://hl7.org/fhir/ValueSet/communication-not-done-reason</t>
  </si>
  <si>
    <t>https://github.com/who-int/Data-Dictionary-Mapping/issues/61</t>
  </si>
  <si>
    <t>Contact notes</t>
  </si>
  <si>
    <t>ST.DE.471</t>
  </si>
  <si>
    <t>Notes on the partner contact</t>
  </si>
  <si>
    <t>http://terminology.hl7.org/ValueSet/v3-ParticipationMode</t>
  </si>
  <si>
    <t>partial?</t>
  </si>
  <si>
    <t>DEC HL7V3.0 plus informed</t>
  </si>
  <si>
    <t>Communication.status = 'completed'</t>
  </si>
  <si>
    <t>49941 MEDCIN</t>
  </si>
  <si>
    <t>Communication.payload.content[x]</t>
  </si>
  <si>
    <t>Invalid Address</t>
  </si>
  <si>
    <t>No longer in the service area</t>
  </si>
  <si>
    <t xml:space="preserve">snomed 184081008 for moved; LA6431-6 moved form Service area (not a good code even though in UMLS) </t>
  </si>
  <si>
    <t>patient-objection</t>
  </si>
  <si>
    <t>DEC hl7.3</t>
  </si>
  <si>
    <t>397709008</t>
  </si>
  <si>
    <t>Date &lt;= Current Date and (date &gt;= date of birth if date of birth is not null)</t>
  </si>
  <si>
    <t>399753006</t>
  </si>
  <si>
    <t>Patient.deathCause</t>
  </si>
  <si>
    <t>184305005</t>
  </si>
  <si>
    <t>544112-8</t>
  </si>
  <si>
    <t>Location - Services provided</t>
  </si>
  <si>
    <t>Location Master Data</t>
  </si>
  <si>
    <t>Location</t>
  </si>
  <si>
    <t>Services provided</t>
  </si>
  <si>
    <t>Services provided at the facility</t>
  </si>
  <si>
    <t>http://terminology.hl7.org/CodeSystem/service-category</t>
  </si>
  <si>
    <t>Location - Contraception Methods provided</t>
  </si>
  <si>
    <t>Methods provided</t>
  </si>
  <si>
    <t>Methods provided at the facility</t>
  </si>
  <si>
    <t xml:space="preserve">Location - Facility Identifier </t>
  </si>
  <si>
    <t xml:space="preserve">Facility Identifier </t>
  </si>
  <si>
    <t xml:space="preserve">Unique identifier of the facility. A reference to a facility registry or a reporting system of record (e.g., DHIS2), should be included where possible. </t>
  </si>
  <si>
    <t>Location - Facility name</t>
  </si>
  <si>
    <t>Facility name</t>
  </si>
  <si>
    <t xml:space="preserve">Name of the facility, based </t>
  </si>
  <si>
    <t>Location.name</t>
  </si>
  <si>
    <t>Location - Facility open date</t>
  </si>
  <si>
    <t>Facility open date</t>
  </si>
  <si>
    <t>Location.openDate</t>
  </si>
  <si>
    <t>Location - Ownership</t>
  </si>
  <si>
    <t>Ownership</t>
  </si>
  <si>
    <t>Public or private facility</t>
  </si>
  <si>
    <t>Location.managingOrganization</t>
  </si>
  <si>
    <t>Location - fac_type</t>
  </si>
  <si>
    <t>fac_type</t>
  </si>
  <si>
    <t>Type of facility, based on country terminology (e.g., health center, dispensary, hospital)</t>
  </si>
  <si>
    <t>Location.type</t>
  </si>
  <si>
    <t>Location - Latitude</t>
  </si>
  <si>
    <t>Latitude</t>
  </si>
  <si>
    <t>Location.position.latitude</t>
  </si>
  <si>
    <t>Location - Longitude</t>
  </si>
  <si>
    <t>Longitude</t>
  </si>
  <si>
    <t>Location.position.longitude</t>
  </si>
  <si>
    <t>Location - System rollout date</t>
  </si>
  <si>
    <t>System rollout date</t>
  </si>
  <si>
    <t xml:space="preserve">Date that the digital system was rolled out at the facility. </t>
  </si>
  <si>
    <t>Location.systemRollout</t>
  </si>
  <si>
    <t xml:space="preserve">Location - Administrative area 1 </t>
  </si>
  <si>
    <t xml:space="preserve">Administrative area 1 </t>
  </si>
  <si>
    <t>Location.address</t>
  </si>
  <si>
    <t>Location - Catchment population</t>
  </si>
  <si>
    <t>Catchment population</t>
  </si>
  <si>
    <t>Location.catchmentPopulation</t>
  </si>
  <si>
    <t>Location - Rapid diagnostic test</t>
  </si>
  <si>
    <t>Rapid diagnostic test</t>
  </si>
  <si>
    <t>Location - Lab tests available</t>
  </si>
  <si>
    <t>Lab tests available</t>
  </si>
  <si>
    <t>Location - Prevalence of gonococcal and chlamydial infections</t>
  </si>
  <si>
    <t>Prevalence of cervical gonococcal and chlamydial infections</t>
  </si>
  <si>
    <t>high prevalence of cervical gonococcal and chlamydial infections in area</t>
  </si>
  <si>
    <t>Location.infectionPrevalence</t>
  </si>
  <si>
    <t>calculated (prevalence)</t>
  </si>
  <si>
    <t>none</t>
  </si>
  <si>
    <t>Location - Limited STI screening</t>
  </si>
  <si>
    <t>Limited STI screening</t>
  </si>
  <si>
    <t>Limited STI screening in area</t>
  </si>
  <si>
    <t>Counseling provided</t>
  </si>
  <si>
    <t>Provides HIV counseling</t>
  </si>
  <si>
    <t>Facility provides HIV counseling</t>
  </si>
  <si>
    <t>would be z71.7 and available at facility</t>
  </si>
  <si>
    <t>Provides GBV counseling</t>
  </si>
  <si>
    <t>GBV</t>
  </si>
  <si>
    <t>? same as 2311?</t>
  </si>
  <si>
    <t>Antimicrobial resistance</t>
  </si>
  <si>
    <t>Location.antimicrobialResistance</t>
  </si>
  <si>
    <t>Z16</t>
  </si>
  <si>
    <t>address</t>
  </si>
  <si>
    <t>SNOMED code 397635003</t>
  </si>
  <si>
    <t>see 1722</t>
  </si>
  <si>
    <t>8 (Closed)</t>
  </si>
  <si>
    <t>snomed 184103008</t>
  </si>
  <si>
    <t xml:space="preserve">Telecom2
</t>
  </si>
  <si>
    <t>7 (Closed)</t>
  </si>
  <si>
    <t xml:space="preserve">Alternate contact name  - Name of next Of Kin </t>
  </si>
  <si>
    <t>HL&amp;3.0 NOK</t>
  </si>
  <si>
    <t>Alternate contact phone number - Contact of next of Kin</t>
  </si>
  <si>
    <t>lp75420-7</t>
  </si>
  <si>
    <t>Caretaker.telecom.value</t>
  </si>
  <si>
    <t>caregiver plus phone number</t>
  </si>
  <si>
    <t>408400006snomed</t>
  </si>
  <si>
    <t>LOINCLL836-8; 80913-7</t>
  </si>
  <si>
    <t xml:space="preserve">LA12457-0
</t>
  </si>
  <si>
    <t>LA 36-9</t>
  </si>
  <si>
    <t>NONE</t>
  </si>
  <si>
    <t>snomed 224294005</t>
  </si>
  <si>
    <t>14679004</t>
  </si>
  <si>
    <t>job</t>
  </si>
  <si>
    <t>73438004</t>
  </si>
  <si>
    <t>224363007</t>
  </si>
  <si>
    <t>Sex Worker</t>
  </si>
  <si>
    <t>159798008 (prostitute); sex worker 449344001 SNOMED; sex worker (occupation) 449344001</t>
  </si>
  <si>
    <t>0000031845 CHV;
63066-5        PhenX - health insurance coverage protocol 011501                        
 Indent
63513-6        Are you covered by health insurance or some other kind of health care plan?                        
 Indent
63514-4        What kind of health insurance or health care coverage do you have?</t>
  </si>
  <si>
    <t xml:space="preserve">see 1755 </t>
  </si>
  <si>
    <t>Coding (Select all that apply</t>
  </si>
  <si>
    <t>C93619; pyament sources LOINC code -52556-8; answer list LL544-8 with multiple answer codes</t>
  </si>
  <si>
    <t>G</t>
  </si>
  <si>
    <t>use ll544-9</t>
  </si>
  <si>
    <t>I</t>
  </si>
  <si>
    <t>use ll544-8</t>
  </si>
  <si>
    <t>(blank)</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</si>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</sst>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
  </numFmts>
  <fonts count="114">
    <font>
      <sz val="10"/>
      <color rgb="FF000000"/>
      <name val="Arial"/>
    </font>
    <font>
      <sz val="10"/>
      <color rgb="FF000000"/>
      <name val="Calibri"/>
      <family val="2"/>
    </font>
    <font>
      <b/>
      <sz val="10"/>
      <color rgb="FF000000"/>
      <name val="Arial"/>
      <family val="2"/>
    </font>
    <font>
      <b/>
      <sz val="10"/>
      <color rgb="FF000000"/>
      <name val="Calibri"/>
      <family val="2"/>
    </font>
    <font>
      <sz val="10"/>
      <color theme="1"/>
      <name val="Calibri"/>
      <family val="2"/>
    </font>
    <font>
      <u/>
      <sz val="10"/>
      <color rgb="FF000000"/>
      <name val="Arial"/>
      <family val="2"/>
    </font>
    <font>
      <sz val="10"/>
      <color rgb="FF000000"/>
      <name val="Arial"/>
      <family val="2"/>
    </font>
    <font>
      <b/>
      <sz val="10"/>
      <color theme="1"/>
      <name val="Calibri"/>
      <family val="2"/>
    </font>
    <font>
      <sz val="10"/>
      <color theme="1"/>
      <name val="Arial"/>
      <family val="2"/>
    </font>
    <font>
      <b/>
      <sz val="10"/>
      <color theme="1"/>
      <name val="Arial"/>
      <family val="2"/>
    </font>
    <font>
      <sz val="10"/>
      <color rgb="FF000000"/>
      <name val="Proxima Nova"/>
    </font>
    <font>
      <sz val="11"/>
      <color theme="1"/>
      <name val="Calibri"/>
      <family val="2"/>
    </font>
    <font>
      <sz val="10"/>
      <color rgb="FFFF0000"/>
      <name val="Calibri"/>
      <family val="2"/>
    </font>
    <font>
      <b/>
      <sz val="10"/>
      <color rgb="FF000000"/>
      <name val="Arial"/>
      <family val="2"/>
    </font>
    <font>
      <sz val="10"/>
      <color theme="1"/>
      <name val="Calibri"/>
      <family val="2"/>
    </font>
    <font>
      <sz val="10"/>
      <color rgb="FFFF0000"/>
      <name val="Arial"/>
      <family val="2"/>
    </font>
    <font>
      <sz val="11"/>
      <color rgb="FF333333"/>
      <name val="Calibri"/>
      <family val="2"/>
    </font>
    <font>
      <sz val="10"/>
      <color rgb="FFFF0000"/>
      <name val="Proxima Nova"/>
    </font>
    <font>
      <sz val="11"/>
      <color rgb="FF0000FF"/>
      <name val="Calibri"/>
      <family val="2"/>
    </font>
    <font>
      <sz val="10"/>
      <color rgb="FF333333"/>
      <name val="Arial"/>
      <family val="2"/>
    </font>
    <font>
      <sz val="10"/>
      <color rgb="FF333333"/>
      <name val="Arial"/>
      <family val="2"/>
    </font>
    <font>
      <sz val="10"/>
      <color rgb="FF0000FF"/>
      <name val="Arial"/>
      <family val="2"/>
    </font>
    <font>
      <sz val="10"/>
      <color rgb="FF0000FF"/>
      <name val="Arial"/>
      <family val="2"/>
    </font>
    <font>
      <sz val="10"/>
      <color rgb="FF0000FF"/>
      <name val="Calibri"/>
      <family val="2"/>
    </font>
    <font>
      <sz val="11"/>
      <color rgb="FF333333"/>
      <name val="Arial"/>
      <family val="2"/>
    </font>
    <font>
      <sz val="11"/>
      <color rgb="FF0000FF"/>
      <name val="Arial"/>
      <family val="2"/>
    </font>
    <font>
      <sz val="10"/>
      <color rgb="FF333333"/>
      <name val="Calibri"/>
      <family val="2"/>
    </font>
    <font>
      <sz val="10"/>
      <color theme="1"/>
      <name val="Proxima Nova"/>
    </font>
    <font>
      <sz val="10"/>
      <color rgb="FFFF0000"/>
      <name val="Helvetica Neue"/>
      <family val="2"/>
    </font>
    <font>
      <b/>
      <sz val="10"/>
      <color rgb="FFFF0000"/>
      <name val="Arial"/>
      <family val="2"/>
    </font>
    <font>
      <sz val="10"/>
      <color rgb="FF1C4587"/>
      <name val="Proxima Nova"/>
    </font>
    <font>
      <i/>
      <sz val="10"/>
      <color theme="1"/>
      <name val="Arial"/>
      <family val="2"/>
    </font>
    <font>
      <i/>
      <sz val="10"/>
      <color rgb="FF000000"/>
      <name val="Calibri"/>
      <family val="2"/>
    </font>
    <font>
      <i/>
      <sz val="10"/>
      <color rgb="FF000000"/>
      <name val="Arial"/>
      <family val="2"/>
    </font>
    <font>
      <i/>
      <sz val="10"/>
      <color theme="1"/>
      <name val="Proxima Nova"/>
    </font>
    <font>
      <sz val="10"/>
      <color rgb="FF1C4587"/>
      <name val="Helvetica Neue"/>
      <family val="2"/>
    </font>
    <font>
      <sz val="10"/>
      <color rgb="FF1C4587"/>
      <name val="Arial"/>
      <family val="2"/>
    </font>
    <font>
      <sz val="11"/>
      <color rgb="FF000000"/>
      <name val="Arial"/>
      <family val="2"/>
    </font>
    <font>
      <sz val="10"/>
      <color rgb="FF073763"/>
      <name val="Proxima Nova"/>
    </font>
    <font>
      <b/>
      <sz val="10"/>
      <color theme="1"/>
      <name val="Proxima Nova"/>
    </font>
    <font>
      <b/>
      <u/>
      <sz val="10"/>
      <color rgb="FF000000"/>
      <name val="Arial"/>
      <family val="2"/>
    </font>
    <font>
      <b/>
      <u/>
      <sz val="10"/>
      <color rgb="FF000000"/>
      <name val="Arial"/>
      <family val="2"/>
    </font>
    <font>
      <sz val="10"/>
      <color theme="1"/>
      <name val="Arial"/>
      <family val="2"/>
    </font>
    <font>
      <u/>
      <sz val="10"/>
      <color rgb="FF000000"/>
      <name val="Arial"/>
      <family val="2"/>
    </font>
    <font>
      <u/>
      <sz val="10"/>
      <color rgb="FF000000"/>
      <name val="Arial"/>
      <family val="2"/>
    </font>
    <font>
      <sz val="8"/>
      <color rgb="FF333333"/>
      <name val="Verdana"/>
      <family val="2"/>
    </font>
    <font>
      <sz val="11"/>
      <color rgb="FF000000"/>
      <name val="Roboto"/>
    </font>
    <font>
      <b/>
      <sz val="10"/>
      <color theme="1"/>
      <name val="Arial"/>
      <family val="2"/>
    </font>
    <font>
      <sz val="10"/>
      <color rgb="FF000000"/>
      <name val="Calibri"/>
      <family val="2"/>
    </font>
    <font>
      <u/>
      <sz val="10"/>
      <color rgb="FF000000"/>
      <name val="Arial"/>
      <family val="2"/>
    </font>
    <font>
      <sz val="11"/>
      <color rgb="FF000000"/>
      <name val="Calibri"/>
      <family val="2"/>
    </font>
    <font>
      <sz val="9"/>
      <color rgb="FF234979"/>
      <name val="Arial"/>
      <family val="2"/>
    </font>
    <font>
      <sz val="10"/>
      <color rgb="FF073763"/>
      <name val="Arial"/>
      <family val="2"/>
    </font>
    <font>
      <sz val="10"/>
      <color rgb="FF000000"/>
      <name val="Roboto"/>
    </font>
    <font>
      <u/>
      <sz val="10"/>
      <color rgb="FF000000"/>
      <name val="Arial"/>
      <family val="2"/>
    </font>
    <font>
      <u/>
      <sz val="10"/>
      <color rgb="FF000000"/>
      <name val="Arial"/>
      <family val="2"/>
    </font>
    <font>
      <sz val="12"/>
      <color rgb="FF000000"/>
      <name val="Arial"/>
      <family val="2"/>
    </font>
    <font>
      <sz val="10"/>
      <color rgb="FF231F20"/>
      <name val="Arial"/>
      <family val="2"/>
    </font>
    <font>
      <u/>
      <sz val="10"/>
      <color rgb="FF000000"/>
      <name val="Arial"/>
      <family val="2"/>
    </font>
    <font>
      <sz val="11"/>
      <color rgb="FF000000"/>
      <name val="Lato"/>
    </font>
    <font>
      <b/>
      <sz val="10"/>
      <color rgb="FF005C00"/>
      <name val="Arial"/>
      <family val="2"/>
    </font>
    <font>
      <strike/>
      <sz val="10"/>
      <color rgb="FF000000"/>
      <name val="Arial"/>
      <family val="2"/>
    </font>
    <font>
      <u/>
      <sz val="10"/>
      <color rgb="FF0563C1"/>
      <name val="Arial"/>
      <family val="2"/>
    </font>
    <font>
      <sz val="10"/>
      <color rgb="FF0563C1"/>
      <name val="Arial"/>
      <family val="2"/>
    </font>
    <font>
      <u/>
      <sz val="10"/>
      <color rgb="FF0563C1"/>
      <name val="Arial"/>
      <family val="2"/>
    </font>
    <font>
      <sz val="11"/>
      <color rgb="FF24292E"/>
      <name val="-apple-system"/>
    </font>
    <font>
      <u/>
      <sz val="10"/>
      <color rgb="FF000000"/>
      <name val="Arial"/>
      <family val="2"/>
    </font>
    <font>
      <u/>
      <sz val="10"/>
      <color rgb="FF000000"/>
      <name val="Arial"/>
      <family val="2"/>
    </font>
    <font>
      <u/>
      <sz val="10"/>
      <color rgb="FF000000"/>
      <name val="Arial"/>
      <family val="2"/>
    </font>
    <font>
      <sz val="10"/>
      <color rgb="FF0563C1"/>
      <name val="Arial"/>
      <family val="2"/>
    </font>
    <font>
      <u/>
      <sz val="10"/>
      <color rgb="FF000000"/>
      <name val="Arial"/>
      <family val="2"/>
    </font>
    <font>
      <b/>
      <i/>
      <sz val="10"/>
      <color rgb="FF000000"/>
      <name val="Arial"/>
      <family val="2"/>
    </font>
    <font>
      <sz val="10"/>
      <color rgb="FFFFFFFF"/>
      <name val="Arial"/>
      <family val="2"/>
    </font>
    <font>
      <sz val="6"/>
      <color rgb="FF000000"/>
      <name val="Calibri"/>
      <family val="2"/>
    </font>
    <font>
      <b/>
      <sz val="14"/>
      <color rgb="FF000000"/>
      <name val="Consolas"/>
      <family val="2"/>
    </font>
    <font>
      <i/>
      <u/>
      <sz val="10"/>
      <color rgb="FF000000"/>
      <name val="Arial"/>
      <family val="2"/>
    </font>
    <font>
      <sz val="10"/>
      <color rgb="FF231F20"/>
      <name val="Arial"/>
      <family val="2"/>
    </font>
    <font>
      <b/>
      <sz val="10"/>
      <color rgb="FF586A75"/>
      <name val="Arial"/>
      <family val="2"/>
    </font>
    <font>
      <b/>
      <sz val="14"/>
      <color rgb="FF586A75"/>
      <name val="Arial"/>
      <family val="2"/>
    </font>
    <font>
      <u/>
      <sz val="10"/>
      <color rgb="FF0000FF"/>
      <name val="Arial"/>
      <family val="2"/>
    </font>
    <font>
      <u/>
      <sz val="10"/>
      <color rgb="FF000000"/>
      <name val="Arial"/>
      <family val="2"/>
    </font>
    <font>
      <u/>
      <sz val="9"/>
      <color rgb="FF333333"/>
      <name val="Verdana"/>
      <family val="2"/>
    </font>
    <font>
      <b/>
      <sz val="10"/>
      <color rgb="FF005C00"/>
      <name val="Monaco"/>
      <family val="2"/>
    </font>
    <font>
      <i/>
      <sz val="10"/>
      <color rgb="FF000000"/>
      <name val="Arial"/>
      <family val="2"/>
    </font>
    <font>
      <u/>
      <sz val="9"/>
      <color rgb="FF2A6496"/>
      <name val="Verdana"/>
      <family val="2"/>
    </font>
    <font>
      <u/>
      <sz val="10"/>
      <color rgb="FF0000FF"/>
      <name val="Arial"/>
      <family val="2"/>
    </font>
    <font>
      <u/>
      <sz val="9"/>
      <color rgb="FF2A6496"/>
      <name val="Verdana"/>
      <family val="2"/>
    </font>
    <font>
      <u/>
      <sz val="10"/>
      <color rgb="FF0000FF"/>
      <name val="Arial"/>
      <family val="2"/>
    </font>
    <font>
      <sz val="10"/>
      <color theme="1"/>
      <name val="Proxima Nova"/>
    </font>
    <font>
      <u/>
      <sz val="9"/>
      <color rgb="FF2A6496"/>
      <name val="Verdana"/>
      <family val="2"/>
    </font>
    <font>
      <u/>
      <sz val="9"/>
      <color rgb="FF2A6496"/>
      <name val="Verdana"/>
      <family val="2"/>
    </font>
    <font>
      <b/>
      <sz val="10"/>
      <color theme="1"/>
      <name val="Calibri"/>
      <family val="2"/>
    </font>
    <font>
      <u/>
      <sz val="10"/>
      <color rgb="FF0000FF"/>
      <name val="Arial"/>
      <family val="2"/>
    </font>
    <font>
      <sz val="10"/>
      <color rgb="FF000000"/>
      <name val="Proxima Nova"/>
    </font>
    <font>
      <u/>
      <sz val="18"/>
      <color rgb="FF000000"/>
      <name val="Calibri"/>
      <family val="2"/>
    </font>
    <font>
      <sz val="10"/>
      <color rgb="FFFFFFFF"/>
      <name val="Calibri"/>
      <family val="2"/>
    </font>
    <font>
      <b/>
      <sz val="11"/>
      <color rgb="FF000000"/>
      <name val="Calibri"/>
      <family val="2"/>
    </font>
    <font>
      <b/>
      <sz val="10"/>
      <color theme="0"/>
      <name val="Calibri"/>
      <family val="2"/>
    </font>
    <font>
      <i/>
      <sz val="10"/>
      <color theme="1"/>
      <name val="Arial"/>
      <family val="2"/>
    </font>
    <font>
      <strike/>
      <sz val="10"/>
      <color rgb="FFFF0000"/>
      <name val="Calibri"/>
      <family val="2"/>
    </font>
    <font>
      <sz val="10"/>
      <color rgb="FFC00000"/>
      <name val="Calibri"/>
      <family val="2"/>
    </font>
    <font>
      <i/>
      <sz val="10"/>
      <color theme="1"/>
      <name val="Calibri"/>
      <family val="2"/>
    </font>
    <font>
      <i/>
      <strike/>
      <sz val="10"/>
      <color rgb="FFFF0000"/>
      <name val="Calibri"/>
      <family val="2"/>
    </font>
    <font>
      <sz val="10"/>
      <color rgb="FF231F20"/>
      <name val="Calibri"/>
      <family val="2"/>
    </font>
    <font>
      <i/>
      <sz val="10"/>
      <color rgb="FFFF0000"/>
      <name val="Calibri"/>
      <family val="2"/>
    </font>
    <font>
      <sz val="10"/>
      <color rgb="FF00B0F0"/>
      <name val="Calibri"/>
      <family val="2"/>
    </font>
    <font>
      <sz val="10"/>
      <color rgb="FF0070C0"/>
      <name val="Calibri"/>
      <family val="2"/>
    </font>
    <font>
      <sz val="9"/>
      <color rgb="FF000000"/>
      <name val="Arial"/>
      <family val="2"/>
    </font>
    <font>
      <b/>
      <sz val="9"/>
      <color rgb="FF333333"/>
      <name val="Verdana"/>
      <family val="2"/>
    </font>
    <font>
      <sz val="9"/>
      <color rgb="FF000000"/>
      <name val="Verdana"/>
      <family val="2"/>
    </font>
    <font>
      <b/>
      <sz val="10"/>
      <name val="Arial"/>
      <family val="2"/>
    </font>
    <font>
      <sz val="10"/>
      <name val="Arial"/>
      <family val="2"/>
    </font>
    <font>
      <i/>
      <sz val="10"/>
      <name val="Calibri"/>
      <family val="2"/>
    </font>
    <font>
      <sz val="10"/>
      <name val="Calibri"/>
      <family val="2"/>
    </font>
  </fonts>
  <fills count="36">
    <fill>
      <patternFill patternType="none"/>
    </fill>
    <fill>
      <patternFill patternType="gray125"/>
    </fill>
    <fill>
      <patternFill patternType="solid">
        <fgColor rgb="FFEFEFEF"/>
        <bgColor rgb="FFEFEFEF"/>
      </patternFill>
    </fill>
    <fill>
      <patternFill patternType="solid">
        <fgColor rgb="FFE2EFD9"/>
        <bgColor rgb="FFE2EFD9"/>
      </patternFill>
    </fill>
    <fill>
      <patternFill patternType="solid">
        <fgColor rgb="FFFFC000"/>
        <bgColor rgb="FFFFC000"/>
      </patternFill>
    </fill>
    <fill>
      <patternFill patternType="solid">
        <fgColor rgb="FF6D9EEB"/>
        <bgColor rgb="FF6D9EEB"/>
      </patternFill>
    </fill>
    <fill>
      <patternFill patternType="solid">
        <fgColor rgb="FFD9EAD3"/>
        <bgColor rgb="FFD9EAD3"/>
      </patternFill>
    </fill>
    <fill>
      <patternFill patternType="solid">
        <fgColor rgb="FFFFF2CC"/>
        <bgColor rgb="FFFFF2CC"/>
      </patternFill>
    </fill>
    <fill>
      <patternFill patternType="solid">
        <fgColor rgb="FFB6D7A8"/>
        <bgColor rgb="FFB6D7A8"/>
      </patternFill>
    </fill>
    <fill>
      <patternFill patternType="solid">
        <fgColor rgb="FFFCE5CD"/>
        <bgColor rgb="FFFCE5CD"/>
      </patternFill>
    </fill>
    <fill>
      <patternFill patternType="solid">
        <fgColor rgb="FFFFFFFF"/>
        <bgColor rgb="FFFFFFFF"/>
      </patternFill>
    </fill>
    <fill>
      <patternFill patternType="solid">
        <fgColor rgb="FFFCFCFC"/>
        <bgColor rgb="FFFCFCFC"/>
      </patternFill>
    </fill>
    <fill>
      <patternFill patternType="solid">
        <fgColor rgb="FFF9F9F9"/>
        <bgColor rgb="FFF9F9F9"/>
      </patternFill>
    </fill>
    <fill>
      <patternFill patternType="solid">
        <fgColor rgb="FFFFFF00"/>
        <bgColor rgb="FFFFFF00"/>
      </patternFill>
    </fill>
    <fill>
      <patternFill patternType="solid">
        <fgColor rgb="FFCCCCCC"/>
        <bgColor rgb="FFCCCCCC"/>
      </patternFill>
    </fill>
    <fill>
      <patternFill patternType="solid">
        <fgColor rgb="FFD9D9D9"/>
        <bgColor rgb="FFD9D9D9"/>
      </patternFill>
    </fill>
    <fill>
      <patternFill patternType="solid">
        <fgColor rgb="FFF4CCCC"/>
        <bgColor rgb="FFF4CCCC"/>
      </patternFill>
    </fill>
    <fill>
      <patternFill patternType="solid">
        <fgColor rgb="FFF05494"/>
        <bgColor rgb="FFF05494"/>
      </patternFill>
    </fill>
    <fill>
      <patternFill patternType="solid">
        <fgColor rgb="FFCFE2F3"/>
        <bgColor rgb="FFCFE2F3"/>
      </patternFill>
    </fill>
    <fill>
      <patternFill patternType="solid">
        <fgColor rgb="FFFF00FF"/>
        <bgColor rgb="FFFF00FF"/>
      </patternFill>
    </fill>
    <fill>
      <patternFill patternType="solid">
        <fgColor rgb="FFFF9900"/>
        <bgColor rgb="FFFF9900"/>
      </patternFill>
    </fill>
    <fill>
      <patternFill patternType="solid">
        <fgColor rgb="FFFFE599"/>
        <bgColor rgb="FFFFE599"/>
      </patternFill>
    </fill>
    <fill>
      <patternFill patternType="solid">
        <fgColor rgb="FFF5FAFA"/>
        <bgColor rgb="FFF5FAFA"/>
      </patternFill>
    </fill>
    <fill>
      <patternFill patternType="solid">
        <fgColor rgb="FFEA9999"/>
        <bgColor rgb="FFEA9999"/>
      </patternFill>
    </fill>
    <fill>
      <patternFill patternType="solid">
        <fgColor rgb="FF999999"/>
        <bgColor rgb="FF999999"/>
      </patternFill>
    </fill>
    <fill>
      <patternFill patternType="solid">
        <fgColor rgb="FF666666"/>
        <bgColor rgb="FF666666"/>
      </patternFill>
    </fill>
    <fill>
      <patternFill patternType="solid">
        <fgColor rgb="FFEFF5FF"/>
        <bgColor rgb="FFEFF5FF"/>
      </patternFill>
    </fill>
    <fill>
      <patternFill patternType="solid">
        <fgColor rgb="FFF9F2F4"/>
        <bgColor rgb="FFF9F2F4"/>
      </patternFill>
    </fill>
    <fill>
      <patternFill patternType="solid">
        <fgColor rgb="FF2A6496"/>
        <bgColor rgb="FF2A6496"/>
      </patternFill>
    </fill>
    <fill>
      <patternFill patternType="solid">
        <fgColor rgb="FFC9DAF8"/>
        <bgColor rgb="FFC9DAF8"/>
      </patternFill>
    </fill>
    <fill>
      <patternFill patternType="solid">
        <fgColor theme="4"/>
        <bgColor theme="4"/>
      </patternFill>
    </fill>
    <fill>
      <patternFill patternType="solid">
        <fgColor rgb="FFFFCCFF"/>
        <bgColor rgb="FFFFCCFF"/>
      </patternFill>
    </fill>
    <fill>
      <patternFill patternType="solid">
        <fgColor theme="6"/>
        <bgColor theme="6"/>
      </patternFill>
    </fill>
    <fill>
      <patternFill patternType="solid">
        <fgColor rgb="FF00B0F0"/>
        <bgColor rgb="FF00B0F0"/>
      </patternFill>
    </fill>
    <fill>
      <patternFill patternType="solid">
        <fgColor rgb="FFECECEC"/>
        <bgColor rgb="FFECECEC"/>
      </patternFill>
    </fill>
    <fill>
      <patternFill patternType="solid">
        <fgColor rgb="FFB4A7D6"/>
        <bgColor rgb="FFB4A7D6"/>
      </patternFill>
    </fill>
  </fills>
  <borders count="33">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808080"/>
      </bottom>
      <diagonal/>
    </border>
    <border>
      <left/>
      <right style="thin">
        <color rgb="FF808080"/>
      </right>
      <top/>
      <bottom style="thin">
        <color rgb="FF808080"/>
      </bottom>
      <diagonal/>
    </border>
    <border>
      <left style="thin">
        <color rgb="FFD8D8D8"/>
      </left>
      <right style="thin">
        <color rgb="FFD8D8D8"/>
      </right>
      <top style="thin">
        <color rgb="FFD8D8D8"/>
      </top>
      <bottom style="thin">
        <color rgb="FFD8D8D8"/>
      </bottom>
      <diagonal/>
    </border>
    <border>
      <left/>
      <right style="thin">
        <color rgb="FFD8D8D8"/>
      </right>
      <top/>
      <bottom style="thin">
        <color rgb="FFD8D8D8"/>
      </bottom>
      <diagonal/>
    </border>
    <border>
      <left/>
      <right/>
      <top/>
      <bottom style="thin">
        <color rgb="FFD8D8D8"/>
      </bottom>
      <diagonal/>
    </border>
    <border>
      <left style="thin">
        <color rgb="FFD8D8D8"/>
      </left>
      <right style="thin">
        <color rgb="FFD8D8D8"/>
      </right>
      <top/>
      <bottom style="thin">
        <color rgb="FFD8D8D8"/>
      </bottom>
      <diagonal/>
    </border>
    <border>
      <left style="thin">
        <color rgb="FF808080"/>
      </left>
      <right style="thin">
        <color rgb="FF808080"/>
      </right>
      <top style="thin">
        <color rgb="FF808080"/>
      </top>
      <bottom style="thin">
        <color rgb="FF808080"/>
      </bottom>
      <diagonal/>
    </border>
    <border>
      <left/>
      <right/>
      <top style="thin">
        <color rgb="FF000000"/>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812">
    <xf numFmtId="0" fontId="0" fillId="0" borderId="0" xfId="0" applyFont="1" applyAlignment="1"/>
    <xf numFmtId="0" fontId="0" fillId="2"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3"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2" fillId="4" borderId="1" xfId="0" applyFont="1" applyFill="1" applyBorder="1" applyAlignment="1">
      <alignment horizontal="left" vertical="top"/>
    </xf>
    <xf numFmtId="0" fontId="5" fillId="2" borderId="1" xfId="0" applyFont="1" applyFill="1" applyBorder="1" applyAlignment="1">
      <alignment horizontal="left" vertical="top" wrapText="1"/>
    </xf>
    <xf numFmtId="0" fontId="2" fillId="5" borderId="1" xfId="0" applyFont="1" applyFill="1" applyBorder="1" applyAlignment="1">
      <alignment horizontal="left" vertical="top"/>
    </xf>
    <xf numFmtId="0" fontId="3" fillId="5" borderId="1" xfId="0" applyFont="1" applyFill="1" applyBorder="1" applyAlignment="1">
      <alignment horizontal="left" vertical="top"/>
    </xf>
    <xf numFmtId="0" fontId="3" fillId="5" borderId="1" xfId="0" applyFont="1" applyFill="1" applyBorder="1" applyAlignment="1">
      <alignment horizontal="left" vertical="top" wrapText="1"/>
    </xf>
    <xf numFmtId="0" fontId="6" fillId="2" borderId="1" xfId="0" applyFont="1" applyFill="1" applyBorder="1" applyAlignment="1">
      <alignment vertical="top" wrapText="1"/>
    </xf>
    <xf numFmtId="0" fontId="7" fillId="5" borderId="1" xfId="0" applyFont="1" applyFill="1" applyBorder="1" applyAlignment="1">
      <alignment horizontal="left" vertical="top"/>
    </xf>
    <xf numFmtId="0" fontId="6" fillId="2" borderId="3" xfId="0" applyFont="1" applyFill="1" applyBorder="1" applyAlignment="1">
      <alignment vertical="top" wrapText="1"/>
    </xf>
    <xf numFmtId="0" fontId="8" fillId="3" borderId="0" xfId="0" applyFont="1" applyFill="1" applyAlignment="1">
      <alignment horizontal="left" vertical="top"/>
    </xf>
    <xf numFmtId="0" fontId="2" fillId="4" borderId="1" xfId="0" applyFont="1" applyFill="1" applyBorder="1" applyAlignment="1">
      <alignment horizontal="left" vertical="top" wrapText="1"/>
    </xf>
    <xf numFmtId="0" fontId="3" fillId="3" borderId="1" xfId="0" applyFont="1" applyFill="1" applyBorder="1" applyAlignment="1">
      <alignment horizontal="left" vertical="top"/>
    </xf>
    <xf numFmtId="0" fontId="2" fillId="4" borderId="1" xfId="0" applyFont="1" applyFill="1" applyBorder="1" applyAlignment="1">
      <alignment horizontal="left" vertical="top" wrapText="1"/>
    </xf>
    <xf numFmtId="0" fontId="3" fillId="6" borderId="2" xfId="0" applyFont="1" applyFill="1" applyBorder="1" applyAlignment="1">
      <alignment horizontal="left" vertical="top"/>
    </xf>
    <xf numFmtId="0" fontId="0" fillId="0" borderId="0" xfId="0" applyFont="1" applyAlignment="1">
      <alignment horizontal="left" vertical="top" wrapText="1"/>
    </xf>
    <xf numFmtId="0" fontId="2" fillId="5" borderId="1" xfId="0" applyFont="1" applyFill="1" applyBorder="1" applyAlignment="1">
      <alignment horizontal="left" vertical="top" wrapText="1"/>
    </xf>
    <xf numFmtId="0" fontId="0" fillId="0" borderId="0" xfId="0" applyFont="1" applyAlignment="1">
      <alignment horizontal="left" vertical="top"/>
    </xf>
    <xf numFmtId="0" fontId="1" fillId="0" borderId="0" xfId="0" applyFont="1" applyAlignment="1">
      <alignment horizontal="left" vertical="top"/>
    </xf>
    <xf numFmtId="0" fontId="9" fillId="5" borderId="1" xfId="0" applyFont="1" applyFill="1" applyBorder="1" applyAlignment="1">
      <alignment horizontal="left" vertical="top" wrapText="1"/>
    </xf>
    <xf numFmtId="0" fontId="4" fillId="0" borderId="0" xfId="0" applyFont="1" applyAlignment="1">
      <alignment horizontal="left" vertical="top" wrapText="1"/>
    </xf>
    <xf numFmtId="0" fontId="1" fillId="0" borderId="0" xfId="0" applyFont="1" applyAlignment="1">
      <alignment horizontal="left" vertical="top" wrapText="1"/>
    </xf>
    <xf numFmtId="0" fontId="4" fillId="0" borderId="0" xfId="0" applyFont="1" applyAlignment="1">
      <alignment horizontal="left" vertical="top"/>
    </xf>
    <xf numFmtId="0" fontId="2"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10" fillId="0" borderId="0" xfId="0" applyFont="1" applyAlignment="1">
      <alignment horizontal="left" vertical="top"/>
    </xf>
    <xf numFmtId="0" fontId="2" fillId="8" borderId="1" xfId="0" applyFont="1" applyFill="1" applyBorder="1" applyAlignment="1">
      <alignment horizontal="left" vertical="top" wrapText="1"/>
    </xf>
    <xf numFmtId="0" fontId="11" fillId="0" borderId="0" xfId="0" applyFont="1" applyAlignment="1">
      <alignment horizontal="left" vertical="top" wrapText="1"/>
    </xf>
    <xf numFmtId="0" fontId="2" fillId="8" borderId="1" xfId="0" applyFont="1" applyFill="1" applyBorder="1" applyAlignment="1">
      <alignment horizontal="left" vertical="top" wrapText="1"/>
    </xf>
    <xf numFmtId="0" fontId="2" fillId="9" borderId="0" xfId="0" applyFont="1" applyFill="1" applyAlignment="1">
      <alignment horizontal="left" vertical="top" wrapText="1"/>
    </xf>
    <xf numFmtId="0" fontId="12" fillId="0" borderId="0" xfId="0" applyFont="1" applyAlignment="1">
      <alignment horizontal="left" vertical="top"/>
    </xf>
    <xf numFmtId="0" fontId="2" fillId="9" borderId="2" xfId="0" applyFont="1" applyFill="1" applyBorder="1" applyAlignment="1">
      <alignment horizontal="left" vertical="top" wrapText="1"/>
    </xf>
    <xf numFmtId="0" fontId="13" fillId="8" borderId="4" xfId="0" applyFont="1" applyFill="1" applyBorder="1" applyAlignment="1">
      <alignment vertical="top" wrapText="1"/>
    </xf>
    <xf numFmtId="0" fontId="13" fillId="8" borderId="5" xfId="0" applyFont="1" applyFill="1" applyBorder="1" applyAlignment="1">
      <alignment vertical="top" wrapText="1"/>
    </xf>
    <xf numFmtId="0" fontId="2" fillId="6" borderId="0" xfId="0" applyFont="1" applyFill="1" applyAlignment="1">
      <alignment horizontal="left" vertical="top" wrapText="1"/>
    </xf>
    <xf numFmtId="0" fontId="9" fillId="0" borderId="0" xfId="0"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0" xfId="0" applyFont="1" applyAlignment="1">
      <alignment horizontal="left" vertical="top"/>
    </xf>
    <xf numFmtId="0" fontId="8" fillId="0" borderId="0" xfId="0" applyFont="1" applyAlignment="1">
      <alignment horizontal="left" vertical="top"/>
    </xf>
    <xf numFmtId="0" fontId="14" fillId="0" borderId="0" xfId="0" applyFont="1" applyAlignment="1">
      <alignment vertical="top"/>
    </xf>
    <xf numFmtId="0" fontId="0" fillId="0" borderId="0" xfId="0" applyFont="1" applyAlignment="1">
      <alignment horizontal="left" vertical="top"/>
    </xf>
    <xf numFmtId="0" fontId="15" fillId="0" borderId="0" xfId="0" applyFont="1" applyAlignment="1">
      <alignment horizontal="left" vertical="top"/>
    </xf>
    <xf numFmtId="0" fontId="10" fillId="10" borderId="2" xfId="0" applyFont="1" applyFill="1" applyBorder="1" applyAlignment="1">
      <alignment horizontal="left" vertical="top"/>
    </xf>
    <xf numFmtId="0" fontId="10" fillId="11" borderId="2" xfId="0" applyFont="1" applyFill="1" applyBorder="1" applyAlignment="1">
      <alignment horizontal="left" vertical="top"/>
    </xf>
    <xf numFmtId="0" fontId="8" fillId="0" borderId="0" xfId="0" applyFont="1" applyAlignment="1">
      <alignment horizontal="left" vertical="top"/>
    </xf>
    <xf numFmtId="0" fontId="16" fillId="12" borderId="2" xfId="0" applyFont="1" applyFill="1" applyBorder="1" applyAlignment="1">
      <alignment horizontal="left" vertical="top"/>
    </xf>
    <xf numFmtId="0" fontId="16" fillId="10" borderId="2" xfId="0" applyFont="1" applyFill="1" applyBorder="1" applyAlignment="1">
      <alignment horizontal="left" vertical="top"/>
    </xf>
    <xf numFmtId="0" fontId="4" fillId="10" borderId="2" xfId="0" applyFont="1" applyFill="1" applyBorder="1" applyAlignment="1">
      <alignment horizontal="left" vertical="top" wrapText="1"/>
    </xf>
    <xf numFmtId="0" fontId="4" fillId="10" borderId="2" xfId="0" applyFont="1" applyFill="1" applyBorder="1" applyAlignment="1">
      <alignment horizontal="left" vertical="top"/>
    </xf>
    <xf numFmtId="0" fontId="17" fillId="10" borderId="2" xfId="0" applyFont="1" applyFill="1" applyBorder="1" applyAlignment="1">
      <alignment horizontal="left" vertical="top"/>
    </xf>
    <xf numFmtId="0" fontId="17" fillId="0" borderId="0" xfId="0" applyFont="1" applyAlignment="1">
      <alignment horizontal="left" vertical="top"/>
    </xf>
    <xf numFmtId="0" fontId="17" fillId="13" borderId="2" xfId="0" applyFont="1" applyFill="1" applyBorder="1" applyAlignment="1">
      <alignment horizontal="left" vertical="top"/>
    </xf>
    <xf numFmtId="0" fontId="0" fillId="10" borderId="2" xfId="0" applyFont="1" applyFill="1" applyBorder="1" applyAlignment="1">
      <alignment horizontal="left" vertical="top"/>
    </xf>
    <xf numFmtId="0" fontId="18" fillId="12" borderId="2" xfId="0" applyFont="1" applyFill="1" applyBorder="1" applyAlignment="1">
      <alignment horizontal="left" vertical="top"/>
    </xf>
    <xf numFmtId="0" fontId="17" fillId="11" borderId="2" xfId="0" applyFont="1" applyFill="1" applyBorder="1" applyAlignment="1">
      <alignment horizontal="left" vertical="top"/>
    </xf>
    <xf numFmtId="0" fontId="0" fillId="11" borderId="2" xfId="0" applyFont="1" applyFill="1" applyBorder="1" applyAlignment="1">
      <alignment horizontal="left" vertical="top"/>
    </xf>
    <xf numFmtId="0" fontId="14" fillId="0" borderId="6" xfId="0" applyFont="1" applyBorder="1" applyAlignment="1">
      <alignment vertical="top"/>
    </xf>
    <xf numFmtId="0" fontId="19" fillId="12" borderId="2" xfId="0" applyFont="1" applyFill="1" applyBorder="1" applyAlignment="1">
      <alignment horizontal="left" vertical="top"/>
    </xf>
    <xf numFmtId="0" fontId="20" fillId="12" borderId="7" xfId="0" applyFont="1" applyFill="1" applyBorder="1" applyAlignment="1">
      <alignment vertical="top"/>
    </xf>
    <xf numFmtId="0" fontId="19" fillId="10" borderId="2" xfId="0" applyFont="1" applyFill="1" applyBorder="1" applyAlignment="1">
      <alignment horizontal="left" vertical="top"/>
    </xf>
    <xf numFmtId="0" fontId="17" fillId="10" borderId="2" xfId="0" applyFont="1" applyFill="1" applyBorder="1" applyAlignment="1">
      <alignment horizontal="left" vertical="top"/>
    </xf>
    <xf numFmtId="0" fontId="20" fillId="10" borderId="7" xfId="0" applyFont="1" applyFill="1" applyBorder="1" applyAlignment="1">
      <alignment vertical="top"/>
    </xf>
    <xf numFmtId="0" fontId="2" fillId="0" borderId="0" xfId="0" applyFont="1" applyAlignment="1">
      <alignment horizontal="left" vertical="top" wrapText="1"/>
    </xf>
    <xf numFmtId="3" fontId="17" fillId="0" borderId="0" xfId="0" applyNumberFormat="1" applyFont="1" applyAlignment="1">
      <alignment horizontal="left" vertical="top"/>
    </xf>
    <xf numFmtId="0" fontId="8" fillId="10" borderId="0" xfId="0" applyFont="1" applyFill="1" applyAlignment="1">
      <alignment horizontal="left" vertical="top" wrapText="1"/>
    </xf>
    <xf numFmtId="0" fontId="8" fillId="10" borderId="2" xfId="0" applyFont="1" applyFill="1" applyBorder="1" applyAlignment="1">
      <alignment horizontal="left" vertical="top" wrapText="1"/>
    </xf>
    <xf numFmtId="0" fontId="9" fillId="10" borderId="2" xfId="0" applyFont="1" applyFill="1" applyBorder="1" applyAlignment="1">
      <alignment horizontal="left" vertical="top" wrapText="1"/>
    </xf>
    <xf numFmtId="0" fontId="8" fillId="10" borderId="2" xfId="0" applyFont="1" applyFill="1" applyBorder="1" applyAlignment="1">
      <alignment horizontal="left" vertical="top"/>
    </xf>
    <xf numFmtId="0" fontId="1" fillId="14" borderId="2" xfId="0" applyFont="1" applyFill="1" applyBorder="1" applyAlignment="1">
      <alignment horizontal="left" vertical="top"/>
    </xf>
    <xf numFmtId="0" fontId="15" fillId="10" borderId="2" xfId="0" applyFont="1" applyFill="1" applyBorder="1" applyAlignment="1">
      <alignment horizontal="left" vertical="top"/>
    </xf>
    <xf numFmtId="0" fontId="17" fillId="14" borderId="2" xfId="0" applyFont="1" applyFill="1" applyBorder="1" applyAlignment="1">
      <alignment horizontal="left" vertical="top"/>
    </xf>
    <xf numFmtId="0" fontId="15" fillId="10" borderId="2" xfId="0" applyFont="1" applyFill="1" applyBorder="1" applyAlignment="1">
      <alignment horizontal="left" vertical="top"/>
    </xf>
    <xf numFmtId="0" fontId="9" fillId="0" borderId="0" xfId="0" applyFont="1" applyAlignment="1">
      <alignment horizontal="left" vertical="top"/>
    </xf>
    <xf numFmtId="0" fontId="15" fillId="13" borderId="2" xfId="0" applyFont="1" applyFill="1" applyBorder="1" applyAlignment="1">
      <alignment horizontal="left" vertical="top"/>
    </xf>
    <xf numFmtId="0" fontId="15" fillId="0" borderId="0" xfId="0" applyFont="1" applyAlignment="1">
      <alignment horizontal="left" vertical="top"/>
    </xf>
    <xf numFmtId="3" fontId="17" fillId="10" borderId="2" xfId="0" applyNumberFormat="1" applyFont="1" applyFill="1" applyBorder="1" applyAlignment="1">
      <alignment horizontal="left" vertical="top"/>
    </xf>
    <xf numFmtId="0" fontId="21" fillId="12" borderId="2" xfId="0" applyFont="1" applyFill="1" applyBorder="1" applyAlignment="1">
      <alignment horizontal="left" vertical="top"/>
    </xf>
    <xf numFmtId="0" fontId="15" fillId="11" borderId="2" xfId="0" applyFont="1" applyFill="1" applyBorder="1" applyAlignment="1">
      <alignment horizontal="left" vertical="top"/>
    </xf>
    <xf numFmtId="0" fontId="22" fillId="12" borderId="8" xfId="0" applyFont="1" applyFill="1" applyBorder="1" applyAlignment="1">
      <alignment vertical="top"/>
    </xf>
    <xf numFmtId="0" fontId="20" fillId="10" borderId="8" xfId="0" applyFont="1" applyFill="1" applyBorder="1" applyAlignment="1">
      <alignment vertical="top"/>
    </xf>
    <xf numFmtId="3" fontId="15" fillId="0" borderId="0" xfId="0" applyNumberFormat="1" applyFont="1" applyAlignment="1">
      <alignment horizontal="left" vertical="top"/>
    </xf>
    <xf numFmtId="3" fontId="22" fillId="12" borderId="8" xfId="0" applyNumberFormat="1" applyFont="1" applyFill="1" applyBorder="1" applyAlignment="1">
      <alignment vertical="top"/>
    </xf>
    <xf numFmtId="3" fontId="20" fillId="10" borderId="7" xfId="0" applyNumberFormat="1" applyFont="1" applyFill="1" applyBorder="1" applyAlignment="1">
      <alignment vertical="top"/>
    </xf>
    <xf numFmtId="3" fontId="14" fillId="0" borderId="0" xfId="0" applyNumberFormat="1" applyFont="1" applyAlignment="1">
      <alignment vertical="top"/>
    </xf>
    <xf numFmtId="0" fontId="18" fillId="10" borderId="2" xfId="0" applyFont="1" applyFill="1" applyBorder="1" applyAlignment="1">
      <alignment horizontal="left" vertical="top"/>
    </xf>
    <xf numFmtId="0" fontId="23" fillId="0" borderId="0" xfId="0" applyFont="1" applyAlignment="1">
      <alignment horizontal="left" vertical="top"/>
    </xf>
    <xf numFmtId="0" fontId="0" fillId="14" borderId="2" xfId="0" applyFont="1" applyFill="1" applyBorder="1" applyAlignment="1">
      <alignment horizontal="left" vertical="top"/>
    </xf>
    <xf numFmtId="0" fontId="15" fillId="14" borderId="2" xfId="0" applyFont="1" applyFill="1" applyBorder="1" applyAlignment="1">
      <alignment horizontal="left" vertical="top"/>
    </xf>
    <xf numFmtId="0" fontId="14" fillId="14" borderId="8" xfId="0" applyFont="1" applyFill="1" applyBorder="1" applyAlignment="1">
      <alignment vertical="top"/>
    </xf>
    <xf numFmtId="0" fontId="14" fillId="14" borderId="7" xfId="0" applyFont="1" applyFill="1" applyBorder="1" applyAlignment="1">
      <alignment vertical="top"/>
    </xf>
    <xf numFmtId="0" fontId="20" fillId="12" borderId="8" xfId="0" applyFont="1" applyFill="1" applyBorder="1" applyAlignment="1">
      <alignment vertical="top"/>
    </xf>
    <xf numFmtId="3" fontId="15" fillId="10" borderId="2" xfId="0" applyNumberFormat="1" applyFont="1" applyFill="1" applyBorder="1" applyAlignment="1">
      <alignment horizontal="left" vertical="top"/>
    </xf>
    <xf numFmtId="0" fontId="1" fillId="13" borderId="2" xfId="0" applyFont="1" applyFill="1" applyBorder="1" applyAlignment="1">
      <alignment horizontal="left" vertical="top"/>
    </xf>
    <xf numFmtId="3" fontId="20" fillId="10" borderId="8" xfId="0" applyNumberFormat="1" applyFont="1" applyFill="1" applyBorder="1" applyAlignment="1">
      <alignment vertical="top"/>
    </xf>
    <xf numFmtId="3" fontId="20" fillId="12" borderId="7" xfId="0" applyNumberFormat="1" applyFont="1" applyFill="1" applyBorder="1" applyAlignment="1">
      <alignment vertical="top"/>
    </xf>
    <xf numFmtId="0" fontId="17" fillId="15" borderId="2" xfId="0" applyFont="1" applyFill="1" applyBorder="1" applyAlignment="1">
      <alignment horizontal="left" vertical="top"/>
    </xf>
    <xf numFmtId="0" fontId="24" fillId="12" borderId="2" xfId="0" applyFont="1" applyFill="1" applyBorder="1" applyAlignment="1">
      <alignment horizontal="left" vertical="top"/>
    </xf>
    <xf numFmtId="0" fontId="25" fillId="12" borderId="2" xfId="0" applyFont="1" applyFill="1" applyBorder="1" applyAlignment="1">
      <alignment horizontal="left" vertical="top"/>
    </xf>
    <xf numFmtId="0" fontId="24" fillId="10" borderId="2" xfId="0" applyFont="1" applyFill="1" applyBorder="1" applyAlignment="1">
      <alignment horizontal="left" vertical="top"/>
    </xf>
    <xf numFmtId="0" fontId="21" fillId="10" borderId="2" xfId="0" applyFont="1" applyFill="1" applyBorder="1" applyAlignment="1">
      <alignment horizontal="left" vertical="top"/>
    </xf>
    <xf numFmtId="0" fontId="21" fillId="0" borderId="0" xfId="0" applyFont="1" applyAlignment="1">
      <alignment horizontal="left" vertical="top"/>
    </xf>
    <xf numFmtId="0" fontId="22" fillId="10" borderId="8" xfId="0" applyFont="1" applyFill="1" applyBorder="1" applyAlignment="1">
      <alignment vertical="top"/>
    </xf>
    <xf numFmtId="0" fontId="22" fillId="12" borderId="7" xfId="0" applyFont="1" applyFill="1" applyBorder="1" applyAlignment="1">
      <alignment vertical="top"/>
    </xf>
    <xf numFmtId="0" fontId="1" fillId="0" borderId="0" xfId="0" applyFont="1" applyAlignment="1">
      <alignment vertical="top" wrapText="1"/>
    </xf>
    <xf numFmtId="0" fontId="1" fillId="0" borderId="0" xfId="0" applyFont="1" applyAlignment="1">
      <alignment vertical="top"/>
    </xf>
    <xf numFmtId="0" fontId="26" fillId="0" borderId="0" xfId="0" applyFont="1" applyAlignment="1">
      <alignment horizontal="left"/>
    </xf>
    <xf numFmtId="0" fontId="4" fillId="0" borderId="0" xfId="0" applyFont="1" applyAlignment="1">
      <alignment vertical="top" wrapText="1"/>
    </xf>
    <xf numFmtId="0" fontId="12" fillId="0" borderId="0" xfId="0" applyFont="1"/>
    <xf numFmtId="0" fontId="12" fillId="10" borderId="2" xfId="0" applyFont="1" applyFill="1" applyBorder="1"/>
    <xf numFmtId="0" fontId="16" fillId="10" borderId="2" xfId="0" applyFont="1" applyFill="1" applyBorder="1"/>
    <xf numFmtId="0" fontId="26" fillId="12" borderId="2" xfId="0" applyFont="1" applyFill="1" applyBorder="1" applyAlignment="1">
      <alignment horizontal="left"/>
    </xf>
    <xf numFmtId="0" fontId="1" fillId="7" borderId="2" xfId="0" applyFont="1" applyFill="1" applyBorder="1" applyAlignment="1">
      <alignment vertical="top"/>
    </xf>
    <xf numFmtId="0" fontId="1" fillId="7" borderId="2" xfId="0" applyFont="1" applyFill="1" applyBorder="1" applyAlignment="1">
      <alignment horizontal="left" vertical="top"/>
    </xf>
    <xf numFmtId="0" fontId="26" fillId="10" borderId="2" xfId="0" applyFont="1" applyFill="1" applyBorder="1" applyAlignment="1">
      <alignment horizontal="left"/>
    </xf>
    <xf numFmtId="0" fontId="0" fillId="13" borderId="2" xfId="0" applyFont="1" applyFill="1" applyBorder="1" applyAlignment="1">
      <alignment horizontal="left" vertical="top"/>
    </xf>
    <xf numFmtId="0" fontId="14" fillId="13" borderId="7" xfId="0" applyFont="1" applyFill="1" applyBorder="1" applyAlignment="1">
      <alignment vertical="top"/>
    </xf>
    <xf numFmtId="0" fontId="4" fillId="0" borderId="0" xfId="0" applyFont="1" applyAlignment="1">
      <alignment wrapText="1"/>
    </xf>
    <xf numFmtId="0" fontId="14" fillId="0" borderId="7" xfId="0" applyFont="1" applyBorder="1" applyAlignment="1">
      <alignment vertical="top"/>
    </xf>
    <xf numFmtId="0" fontId="4" fillId="0" borderId="0" xfId="0" applyFont="1"/>
    <xf numFmtId="0" fontId="1" fillId="7" borderId="2" xfId="0" applyFont="1" applyFill="1" applyBorder="1" applyAlignment="1">
      <alignment vertical="top" wrapText="1"/>
    </xf>
    <xf numFmtId="0" fontId="15" fillId="15" borderId="2" xfId="0" applyFont="1" applyFill="1" applyBorder="1" applyAlignment="1">
      <alignment horizontal="left" vertical="top"/>
    </xf>
    <xf numFmtId="0" fontId="23" fillId="10" borderId="2" xfId="0" applyFont="1" applyFill="1" applyBorder="1" applyAlignment="1">
      <alignment horizontal="left"/>
    </xf>
    <xf numFmtId="0" fontId="1" fillId="0" borderId="0" xfId="0" applyFont="1" applyAlignment="1">
      <alignment wrapText="1"/>
    </xf>
    <xf numFmtId="0" fontId="23" fillId="12" borderId="2" xfId="0" applyFont="1" applyFill="1" applyBorder="1" applyAlignment="1">
      <alignment horizontal="left"/>
    </xf>
    <xf numFmtId="0" fontId="4" fillId="16" borderId="2" xfId="0" applyFont="1" applyFill="1" applyBorder="1"/>
    <xf numFmtId="0" fontId="0" fillId="0" borderId="0" xfId="0" applyFont="1" applyAlignment="1">
      <alignment vertical="top" wrapText="1"/>
    </xf>
    <xf numFmtId="0" fontId="0" fillId="0" borderId="0" xfId="0" applyFont="1" applyAlignment="1">
      <alignment vertical="top"/>
    </xf>
    <xf numFmtId="0" fontId="19" fillId="0" borderId="0" xfId="0" applyFont="1" applyAlignment="1">
      <alignment horizontal="left"/>
    </xf>
    <xf numFmtId="0" fontId="8" fillId="0" borderId="0" xfId="0" applyFont="1" applyAlignment="1">
      <alignment vertical="top" wrapText="1"/>
    </xf>
    <xf numFmtId="0" fontId="15" fillId="0" borderId="0" xfId="0" applyFont="1"/>
    <xf numFmtId="0" fontId="23" fillId="10" borderId="2" xfId="0" applyFont="1" applyFill="1" applyBorder="1"/>
    <xf numFmtId="0" fontId="15" fillId="0" borderId="0" xfId="0" applyFont="1" applyAlignment="1"/>
    <xf numFmtId="0" fontId="20" fillId="0" borderId="0" xfId="0" applyFont="1" applyAlignment="1"/>
    <xf numFmtId="0" fontId="23" fillId="12" borderId="2" xfId="0" applyFont="1" applyFill="1" applyBorder="1"/>
    <xf numFmtId="0" fontId="14" fillId="0" borderId="9" xfId="0" applyFont="1" applyBorder="1" applyAlignment="1">
      <alignment vertical="top"/>
    </xf>
    <xf numFmtId="0" fontId="15" fillId="10" borderId="2" xfId="0" applyFont="1" applyFill="1" applyBorder="1"/>
    <xf numFmtId="0" fontId="12" fillId="10" borderId="2" xfId="0" applyFont="1" applyFill="1" applyBorder="1"/>
    <xf numFmtId="0" fontId="20" fillId="0" borderId="6" xfId="0" applyFont="1" applyBorder="1" applyAlignment="1"/>
    <xf numFmtId="0" fontId="12" fillId="0" borderId="0" xfId="0" applyFont="1"/>
    <xf numFmtId="0" fontId="19" fillId="10" borderId="2" xfId="0" applyFont="1" applyFill="1" applyBorder="1"/>
    <xf numFmtId="0" fontId="19" fillId="12" borderId="2" xfId="0" applyFont="1" applyFill="1" applyBorder="1" applyAlignment="1">
      <alignment horizontal="left"/>
    </xf>
    <xf numFmtId="0" fontId="14" fillId="10" borderId="8" xfId="0" applyFont="1" applyFill="1" applyBorder="1" applyAlignment="1"/>
    <xf numFmtId="0" fontId="20" fillId="12" borderId="7" xfId="0" applyFont="1" applyFill="1" applyBorder="1" applyAlignment="1"/>
    <xf numFmtId="0" fontId="0" fillId="7" borderId="2" xfId="0" applyFont="1" applyFill="1" applyBorder="1" applyAlignment="1">
      <alignment vertical="top"/>
    </xf>
    <xf numFmtId="0" fontId="0" fillId="7" borderId="2" xfId="0" applyFont="1" applyFill="1" applyBorder="1" applyAlignment="1">
      <alignment horizontal="left" vertical="top"/>
    </xf>
    <xf numFmtId="0" fontId="14" fillId="7" borderId="8" xfId="0" applyFont="1" applyFill="1" applyBorder="1" applyAlignment="1">
      <alignment vertical="top"/>
    </xf>
    <xf numFmtId="0" fontId="14" fillId="7" borderId="7" xfId="0" applyFont="1" applyFill="1" applyBorder="1" applyAlignment="1">
      <alignment vertical="top"/>
    </xf>
    <xf numFmtId="0" fontId="16" fillId="12" borderId="2" xfId="0" applyFont="1" applyFill="1" applyBorder="1"/>
    <xf numFmtId="0" fontId="19" fillId="10" borderId="2" xfId="0" applyFont="1" applyFill="1" applyBorder="1" applyAlignment="1">
      <alignment horizontal="left"/>
    </xf>
    <xf numFmtId="0" fontId="20" fillId="10" borderId="7" xfId="0" applyFont="1" applyFill="1" applyBorder="1" applyAlignment="1"/>
    <xf numFmtId="0" fontId="18" fillId="12" borderId="2" xfId="0" applyFont="1" applyFill="1" applyBorder="1"/>
    <xf numFmtId="0" fontId="22" fillId="0" borderId="7" xfId="0" applyFont="1" applyBorder="1" applyAlignment="1">
      <alignment vertical="top"/>
    </xf>
    <xf numFmtId="0" fontId="4" fillId="10" borderId="2" xfId="0" applyFont="1" applyFill="1" applyBorder="1" applyAlignment="1">
      <alignment wrapText="1"/>
    </xf>
    <xf numFmtId="0" fontId="4" fillId="10" borderId="2" xfId="0" applyFont="1" applyFill="1" applyBorder="1"/>
    <xf numFmtId="0" fontId="9" fillId="0" borderId="0" xfId="0" applyFont="1" applyAlignment="1">
      <alignment wrapText="1"/>
    </xf>
    <xf numFmtId="0" fontId="8" fillId="0" borderId="0" xfId="0" applyFont="1" applyAlignment="1">
      <alignment wrapText="1"/>
    </xf>
    <xf numFmtId="0" fontId="8" fillId="0" borderId="0" xfId="0" applyFont="1"/>
    <xf numFmtId="0" fontId="0" fillId="7" borderId="2" xfId="0" applyFont="1" applyFill="1" applyBorder="1" applyAlignment="1">
      <alignment vertical="top" wrapText="1"/>
    </xf>
    <xf numFmtId="0" fontId="21" fillId="10" borderId="2" xfId="0" applyFont="1" applyFill="1" applyBorder="1" applyAlignment="1">
      <alignment horizontal="left"/>
    </xf>
    <xf numFmtId="0" fontId="15" fillId="10" borderId="2" xfId="0" applyFont="1" applyFill="1" applyBorder="1" applyAlignment="1"/>
    <xf numFmtId="0" fontId="22" fillId="10" borderId="7" xfId="0" applyFont="1" applyFill="1" applyBorder="1" applyAlignment="1"/>
    <xf numFmtId="0" fontId="9" fillId="0" borderId="0" xfId="0" applyFont="1"/>
    <xf numFmtId="0" fontId="0" fillId="0" borderId="0" xfId="0" applyFont="1" applyAlignment="1">
      <alignment wrapText="1"/>
    </xf>
    <xf numFmtId="0" fontId="22" fillId="0" borderId="9" xfId="0" applyFont="1" applyBorder="1" applyAlignment="1">
      <alignment vertical="top"/>
    </xf>
    <xf numFmtId="0" fontId="21" fillId="12" borderId="2" xfId="0" applyFont="1" applyFill="1" applyBorder="1" applyAlignment="1">
      <alignment horizontal="left"/>
    </xf>
    <xf numFmtId="0" fontId="22" fillId="12" borderId="7" xfId="0" applyFont="1" applyFill="1" applyBorder="1" applyAlignment="1"/>
    <xf numFmtId="0" fontId="23" fillId="0" borderId="0" xfId="0" applyFont="1" applyAlignment="1">
      <alignment vertical="top"/>
    </xf>
    <xf numFmtId="0" fontId="23" fillId="0" borderId="0" xfId="0" applyFont="1" applyAlignment="1">
      <alignment horizontal="left"/>
    </xf>
    <xf numFmtId="0" fontId="23" fillId="10" borderId="2" xfId="0" applyFont="1" applyFill="1" applyBorder="1" applyAlignment="1">
      <alignment vertical="top"/>
    </xf>
    <xf numFmtId="0" fontId="26" fillId="10" borderId="2" xfId="0" applyFont="1" applyFill="1" applyBorder="1"/>
    <xf numFmtId="0" fontId="2" fillId="0" borderId="0" xfId="0" applyFont="1" applyAlignment="1">
      <alignment wrapText="1"/>
    </xf>
    <xf numFmtId="0" fontId="0" fillId="0" borderId="0" xfId="0" applyFont="1" applyAlignment="1">
      <alignment vertical="top"/>
    </xf>
    <xf numFmtId="0" fontId="26" fillId="12" borderId="2" xfId="0" applyFont="1" applyFill="1" applyBorder="1"/>
    <xf numFmtId="0" fontId="26" fillId="12" borderId="2" xfId="0" applyFont="1" applyFill="1" applyBorder="1" applyAlignment="1">
      <alignment vertical="top"/>
    </xf>
    <xf numFmtId="0" fontId="4" fillId="0" borderId="0" xfId="0" applyFont="1" applyAlignment="1">
      <alignment horizontal="left"/>
    </xf>
    <xf numFmtId="0" fontId="8" fillId="16" borderId="2" xfId="0" applyFont="1" applyFill="1" applyBorder="1" applyAlignment="1"/>
    <xf numFmtId="0" fontId="12" fillId="0" borderId="0" xfId="0" applyFont="1" applyAlignment="1">
      <alignment wrapText="1"/>
    </xf>
    <xf numFmtId="0" fontId="21" fillId="10" borderId="2" xfId="0" applyFont="1" applyFill="1" applyBorder="1"/>
    <xf numFmtId="0" fontId="22" fillId="10" borderId="8" xfId="0" applyFont="1" applyFill="1" applyBorder="1" applyAlignment="1"/>
    <xf numFmtId="0" fontId="21" fillId="12" borderId="2" xfId="0" applyFont="1" applyFill="1" applyBorder="1"/>
    <xf numFmtId="0" fontId="22" fillId="12" borderId="8" xfId="0" applyFont="1" applyFill="1" applyBorder="1" applyAlignment="1"/>
    <xf numFmtId="0" fontId="23" fillId="7" borderId="2" xfId="0" applyFont="1" applyFill="1" applyBorder="1" applyAlignment="1">
      <alignment horizontal="left" vertical="top"/>
    </xf>
    <xf numFmtId="0" fontId="22" fillId="12" borderId="7" xfId="0" applyFont="1" applyFill="1" applyBorder="1" applyAlignment="1"/>
    <xf numFmtId="0" fontId="19" fillId="12" borderId="2" xfId="0" applyFont="1" applyFill="1" applyBorder="1"/>
    <xf numFmtId="0" fontId="20" fillId="12" borderId="8" xfId="0" applyFont="1" applyFill="1" applyBorder="1" applyAlignment="1"/>
    <xf numFmtId="0" fontId="8" fillId="10" borderId="0" xfId="0" applyFont="1" applyFill="1" applyAlignment="1">
      <alignment wrapText="1"/>
    </xf>
    <xf numFmtId="0" fontId="8" fillId="10" borderId="2" xfId="0" applyFont="1" applyFill="1" applyBorder="1" applyAlignment="1">
      <alignment wrapText="1"/>
    </xf>
    <xf numFmtId="0" fontId="9" fillId="10" borderId="2" xfId="0" applyFont="1" applyFill="1" applyBorder="1" applyAlignment="1">
      <alignment wrapText="1"/>
    </xf>
    <xf numFmtId="0" fontId="8" fillId="10" borderId="2" xfId="0" applyFont="1" applyFill="1" applyBorder="1"/>
    <xf numFmtId="0" fontId="1" fillId="10" borderId="2" xfId="0" applyFont="1" applyFill="1" applyBorder="1" applyAlignment="1">
      <alignment wrapText="1"/>
    </xf>
    <xf numFmtId="0" fontId="20" fillId="10" borderId="7" xfId="0" applyFont="1" applyFill="1" applyBorder="1" applyAlignment="1"/>
    <xf numFmtId="0" fontId="14" fillId="0" borderId="9" xfId="0" applyFont="1" applyBorder="1" applyAlignment="1">
      <alignment vertical="top"/>
    </xf>
    <xf numFmtId="0" fontId="20" fillId="12" borderId="7" xfId="0" applyFont="1" applyFill="1" applyBorder="1" applyAlignment="1"/>
    <xf numFmtId="0" fontId="14" fillId="0" borderId="7" xfId="0" applyFont="1" applyBorder="1" applyAlignment="1">
      <alignment vertical="top"/>
    </xf>
    <xf numFmtId="0" fontId="23" fillId="0" borderId="0" xfId="0" applyFont="1"/>
    <xf numFmtId="0" fontId="1" fillId="10" borderId="2" xfId="0" applyFont="1" applyFill="1" applyBorder="1"/>
    <xf numFmtId="0" fontId="27" fillId="10" borderId="2" xfId="0" applyFont="1" applyFill="1" applyBorder="1" applyAlignment="1">
      <alignment wrapText="1"/>
    </xf>
    <xf numFmtId="0" fontId="17" fillId="10" borderId="2" xfId="0" applyFont="1" applyFill="1" applyBorder="1"/>
    <xf numFmtId="0" fontId="0" fillId="0" borderId="10" xfId="0" applyFont="1" applyBorder="1" applyAlignment="1">
      <alignment horizontal="left" vertical="top"/>
    </xf>
    <xf numFmtId="0" fontId="28" fillId="10" borderId="2" xfId="0" applyFont="1" applyFill="1" applyBorder="1"/>
    <xf numFmtId="0" fontId="21" fillId="0" borderId="0" xfId="0" applyFont="1" applyAlignment="1">
      <alignment vertical="top"/>
    </xf>
    <xf numFmtId="0" fontId="22" fillId="0" borderId="6" xfId="0" applyFont="1" applyBorder="1" applyAlignment="1">
      <alignment vertical="top"/>
    </xf>
    <xf numFmtId="0" fontId="21" fillId="0" borderId="0" xfId="0" applyFont="1" applyAlignment="1">
      <alignment horizontal="left"/>
    </xf>
    <xf numFmtId="0" fontId="21" fillId="10" borderId="2" xfId="0" applyFont="1" applyFill="1" applyBorder="1" applyAlignment="1">
      <alignment vertical="top"/>
    </xf>
    <xf numFmtId="0" fontId="22" fillId="0" borderId="9" xfId="0" applyFont="1" applyBorder="1" applyAlignment="1"/>
    <xf numFmtId="0" fontId="22" fillId="10" borderId="7" xfId="0" applyFont="1" applyFill="1" applyBorder="1" applyAlignment="1">
      <alignment vertical="top"/>
    </xf>
    <xf numFmtId="0" fontId="20" fillId="0" borderId="9" xfId="0" applyFont="1" applyBorder="1" applyAlignment="1"/>
    <xf numFmtId="0" fontId="0" fillId="0" borderId="0" xfId="0" applyFont="1" applyAlignment="1">
      <alignment vertical="center" wrapText="1"/>
    </xf>
    <xf numFmtId="0" fontId="14" fillId="10" borderId="7" xfId="0" applyFont="1" applyFill="1" applyBorder="1" applyAlignment="1"/>
    <xf numFmtId="0" fontId="1" fillId="7" borderId="2" xfId="0" applyFont="1" applyFill="1" applyBorder="1" applyAlignment="1">
      <alignment horizontal="left" vertical="top" wrapText="1"/>
    </xf>
    <xf numFmtId="0" fontId="19" fillId="12" borderId="2" xfId="0" applyFont="1" applyFill="1" applyBorder="1" applyAlignment="1">
      <alignment vertical="top"/>
    </xf>
    <xf numFmtId="0" fontId="8" fillId="0" borderId="0" xfId="0" applyFont="1" applyAlignment="1">
      <alignment horizontal="left"/>
    </xf>
    <xf numFmtId="0" fontId="14" fillId="0" borderId="0" xfId="0" applyFont="1" applyAlignment="1"/>
    <xf numFmtId="0" fontId="15" fillId="0" borderId="0" xfId="0" applyFont="1" applyAlignment="1">
      <alignment wrapText="1"/>
    </xf>
    <xf numFmtId="0" fontId="29" fillId="0" borderId="0" xfId="0" applyFont="1" applyAlignment="1">
      <alignment wrapText="1"/>
    </xf>
    <xf numFmtId="0" fontId="30" fillId="10" borderId="2" xfId="0" applyFont="1" applyFill="1" applyBorder="1"/>
    <xf numFmtId="0" fontId="27" fillId="0" borderId="0" xfId="0" applyFont="1" applyAlignment="1">
      <alignment wrapText="1"/>
    </xf>
    <xf numFmtId="0" fontId="0" fillId="0" borderId="0" xfId="0" applyFont="1"/>
    <xf numFmtId="0" fontId="31" fillId="0" borderId="0" xfId="0" applyFont="1" applyAlignment="1">
      <alignment vertical="top" wrapText="1"/>
    </xf>
    <xf numFmtId="0" fontId="32" fillId="0" borderId="0" xfId="0" applyFont="1" applyAlignment="1">
      <alignment horizontal="left" vertical="top" wrapText="1"/>
    </xf>
    <xf numFmtId="0" fontId="32" fillId="7" borderId="2" xfId="0" applyFont="1" applyFill="1" applyBorder="1" applyAlignment="1">
      <alignment horizontal="left" vertical="top" wrapText="1"/>
    </xf>
    <xf numFmtId="0" fontId="33" fillId="0" borderId="0" xfId="0" applyFont="1" applyAlignment="1">
      <alignment vertical="top" wrapText="1"/>
    </xf>
    <xf numFmtId="0" fontId="34" fillId="0" borderId="0" xfId="0" applyFont="1" applyAlignment="1">
      <alignment vertical="top" wrapText="1"/>
    </xf>
    <xf numFmtId="0" fontId="16" fillId="0" borderId="0" xfId="0" applyFont="1" applyAlignment="1">
      <alignment horizontal="left"/>
    </xf>
    <xf numFmtId="0" fontId="18" fillId="0" borderId="0" xfId="0" applyFont="1" applyAlignment="1">
      <alignment horizontal="left"/>
    </xf>
    <xf numFmtId="0" fontId="4" fillId="7" borderId="2" xfId="0" applyFont="1" applyFill="1" applyBorder="1" applyAlignment="1">
      <alignment horizontal="left"/>
    </xf>
    <xf numFmtId="0" fontId="10" fillId="10" borderId="2" xfId="0" applyFont="1" applyFill="1" applyBorder="1" applyAlignment="1">
      <alignment wrapText="1"/>
    </xf>
    <xf numFmtId="0" fontId="17" fillId="17" borderId="2" xfId="0" applyFont="1" applyFill="1" applyBorder="1"/>
    <xf numFmtId="0" fontId="30" fillId="17" borderId="2" xfId="0" applyFont="1" applyFill="1" applyBorder="1"/>
    <xf numFmtId="0" fontId="21" fillId="7" borderId="2" xfId="0" applyFont="1" applyFill="1" applyBorder="1" applyAlignment="1">
      <alignment horizontal="left" vertical="top"/>
    </xf>
    <xf numFmtId="0" fontId="17" fillId="10" borderId="2" xfId="0" applyFont="1" applyFill="1" applyBorder="1" applyAlignment="1">
      <alignment wrapText="1"/>
    </xf>
    <xf numFmtId="0" fontId="0" fillId="10" borderId="2" xfId="0" applyFont="1" applyFill="1" applyBorder="1" applyAlignment="1">
      <alignment horizontal="left" wrapText="1"/>
    </xf>
    <xf numFmtId="0" fontId="18" fillId="12" borderId="2" xfId="0" applyFont="1" applyFill="1" applyBorder="1" applyAlignment="1">
      <alignment horizontal="left"/>
    </xf>
    <xf numFmtId="0" fontId="16" fillId="10" borderId="2" xfId="0" applyFont="1" applyFill="1" applyBorder="1" applyAlignment="1">
      <alignment horizontal="left"/>
    </xf>
    <xf numFmtId="0" fontId="0" fillId="10" borderId="2" xfId="0" applyFont="1" applyFill="1" applyBorder="1" applyAlignment="1">
      <alignment wrapText="1"/>
    </xf>
    <xf numFmtId="0" fontId="35" fillId="10" borderId="2" xfId="0" applyFont="1" applyFill="1" applyBorder="1"/>
    <xf numFmtId="0" fontId="21" fillId="0" borderId="0" xfId="0" applyFont="1"/>
    <xf numFmtId="0" fontId="22" fillId="0" borderId="0" xfId="0" applyFont="1" applyAlignment="1"/>
    <xf numFmtId="0" fontId="23" fillId="0" borderId="0" xfId="0" applyFont="1" applyAlignment="1">
      <alignment horizontal="left" vertical="top" wrapText="1"/>
    </xf>
    <xf numFmtId="0" fontId="9" fillId="10" borderId="2" xfId="0" applyFont="1" applyFill="1" applyBorder="1"/>
    <xf numFmtId="0" fontId="0" fillId="10" borderId="0" xfId="0" applyFont="1" applyFill="1" applyAlignment="1">
      <alignment wrapText="1"/>
    </xf>
    <xf numFmtId="0" fontId="0" fillId="10" borderId="2" xfId="0" applyFont="1" applyFill="1" applyBorder="1"/>
    <xf numFmtId="0" fontId="4" fillId="7" borderId="2" xfId="0" applyFont="1" applyFill="1" applyBorder="1" applyAlignment="1">
      <alignment horizontal="left" vertical="top" wrapText="1"/>
    </xf>
    <xf numFmtId="0" fontId="0" fillId="0" borderId="0" xfId="0" applyFont="1" applyAlignment="1"/>
    <xf numFmtId="0" fontId="26" fillId="0" borderId="0" xfId="0" applyFont="1" applyAlignment="1">
      <alignment horizontal="left" vertical="top"/>
    </xf>
    <xf numFmtId="164" fontId="23" fillId="0" borderId="0" xfId="0" applyNumberFormat="1" applyFont="1" applyAlignment="1">
      <alignment horizontal="left" vertical="top"/>
    </xf>
    <xf numFmtId="0" fontId="26" fillId="7" borderId="2" xfId="0" applyFont="1" applyFill="1" applyBorder="1" applyAlignment="1">
      <alignment horizontal="left"/>
    </xf>
    <xf numFmtId="3" fontId="12" fillId="0" borderId="0" xfId="0" applyNumberFormat="1" applyFont="1"/>
    <xf numFmtId="0" fontId="4" fillId="0" borderId="0" xfId="0" quotePrefix="1" applyFont="1"/>
    <xf numFmtId="0" fontId="0" fillId="7" borderId="2" xfId="0" applyFont="1" applyFill="1" applyBorder="1" applyAlignment="1">
      <alignment horizontal="left" vertical="top" wrapText="1"/>
    </xf>
    <xf numFmtId="164" fontId="23" fillId="10" borderId="2" xfId="0" applyNumberFormat="1" applyFont="1" applyFill="1" applyBorder="1" applyAlignment="1">
      <alignment horizontal="left"/>
    </xf>
    <xf numFmtId="0" fontId="1" fillId="16" borderId="2" xfId="0" applyFont="1" applyFill="1" applyBorder="1" applyAlignment="1">
      <alignment wrapText="1"/>
    </xf>
    <xf numFmtId="0" fontId="1" fillId="16" borderId="2" xfId="0" applyFont="1" applyFill="1" applyBorder="1" applyAlignment="1">
      <alignment wrapText="1"/>
    </xf>
    <xf numFmtId="0" fontId="4" fillId="16" borderId="2" xfId="0" applyFont="1" applyFill="1" applyBorder="1"/>
    <xf numFmtId="0" fontId="26" fillId="0" borderId="0" xfId="0" applyFont="1" applyAlignment="1">
      <alignment horizontal="left" vertical="center"/>
    </xf>
    <xf numFmtId="0" fontId="0" fillId="0" borderId="0" xfId="0" applyFont="1" applyAlignment="1">
      <alignment horizontal="left" vertical="top"/>
    </xf>
    <xf numFmtId="164" fontId="23" fillId="0" borderId="0" xfId="0" applyNumberFormat="1" applyFont="1" applyAlignment="1">
      <alignment horizontal="left" vertical="center"/>
    </xf>
    <xf numFmtId="0" fontId="4" fillId="10" borderId="2" xfId="0" applyFont="1" applyFill="1" applyBorder="1" applyAlignment="1">
      <alignment wrapText="1"/>
    </xf>
    <xf numFmtId="0" fontId="4" fillId="10" borderId="2" xfId="0" applyFont="1" applyFill="1" applyBorder="1"/>
    <xf numFmtId="0" fontId="8" fillId="10" borderId="2" xfId="0" applyFont="1" applyFill="1" applyBorder="1" applyAlignment="1"/>
    <xf numFmtId="0" fontId="36" fillId="10" borderId="2" xfId="0" applyFont="1" applyFill="1" applyBorder="1"/>
    <xf numFmtId="0" fontId="8" fillId="0" borderId="0" xfId="0" applyFont="1" applyAlignment="1"/>
    <xf numFmtId="0" fontId="1" fillId="10" borderId="2" xfId="0" applyFont="1" applyFill="1" applyBorder="1" applyAlignment="1">
      <alignment horizontal="left"/>
    </xf>
    <xf numFmtId="0" fontId="33" fillId="0" borderId="0" xfId="0" applyFont="1" applyAlignment="1">
      <alignment horizontal="left" vertical="top" wrapText="1"/>
    </xf>
    <xf numFmtId="0" fontId="33" fillId="7" borderId="2" xfId="0" applyFont="1" applyFill="1" applyBorder="1" applyAlignment="1">
      <alignment horizontal="left" vertical="top" wrapText="1"/>
    </xf>
    <xf numFmtId="0" fontId="33" fillId="0" borderId="0" xfId="0" applyFont="1" applyAlignment="1">
      <alignment vertical="top"/>
    </xf>
    <xf numFmtId="0" fontId="22" fillId="0" borderId="6" xfId="0" applyFont="1" applyBorder="1" applyAlignment="1"/>
    <xf numFmtId="0" fontId="8" fillId="7" borderId="2" xfId="0" applyFont="1" applyFill="1" applyBorder="1" applyAlignment="1">
      <alignment horizontal="left"/>
    </xf>
    <xf numFmtId="0" fontId="14" fillId="7" borderId="7" xfId="0" applyFont="1" applyFill="1" applyBorder="1" applyAlignment="1"/>
    <xf numFmtId="0" fontId="15" fillId="17" borderId="2" xfId="0" applyFont="1" applyFill="1" applyBorder="1"/>
    <xf numFmtId="0" fontId="36" fillId="17" borderId="2" xfId="0" applyFont="1" applyFill="1" applyBorder="1"/>
    <xf numFmtId="0" fontId="15" fillId="17" borderId="2" xfId="0" applyFont="1" applyFill="1" applyBorder="1" applyAlignment="1"/>
    <xf numFmtId="0" fontId="15" fillId="10" borderId="2" xfId="0" applyFont="1" applyFill="1" applyBorder="1" applyAlignment="1">
      <alignment wrapText="1"/>
    </xf>
    <xf numFmtId="0" fontId="26" fillId="10" borderId="2" xfId="0" applyFont="1" applyFill="1" applyBorder="1" applyAlignment="1">
      <alignment horizontal="left" vertical="center"/>
    </xf>
    <xf numFmtId="0" fontId="24" fillId="7" borderId="2" xfId="0" applyFont="1" applyFill="1" applyBorder="1" applyAlignment="1">
      <alignment horizontal="left"/>
    </xf>
    <xf numFmtId="0" fontId="37" fillId="0" borderId="0" xfId="0" applyFont="1" applyAlignment="1">
      <alignment wrapText="1"/>
    </xf>
    <xf numFmtId="0" fontId="1" fillId="7" borderId="2" xfId="0" applyFont="1" applyFill="1" applyBorder="1" applyAlignment="1">
      <alignment wrapText="1"/>
    </xf>
    <xf numFmtId="0" fontId="17" fillId="0" borderId="0" xfId="0" applyFont="1"/>
    <xf numFmtId="0" fontId="1" fillId="7" borderId="2" xfId="0" applyFont="1" applyFill="1" applyBorder="1" applyAlignment="1">
      <alignment horizontal="left" wrapText="1"/>
    </xf>
    <xf numFmtId="0" fontId="26" fillId="0" borderId="0" xfId="0" applyFont="1" applyAlignment="1">
      <alignment horizontal="left" wrapText="1"/>
    </xf>
    <xf numFmtId="0" fontId="23" fillId="0" borderId="0" xfId="0" applyFont="1" applyAlignment="1">
      <alignment horizontal="left" wrapText="1"/>
    </xf>
    <xf numFmtId="0" fontId="23" fillId="10" borderId="2" xfId="0" applyFont="1" applyFill="1" applyBorder="1" applyAlignment="1">
      <alignment horizontal="left" wrapText="1"/>
    </xf>
    <xf numFmtId="0" fontId="2" fillId="10" borderId="2" xfId="0" applyFont="1" applyFill="1" applyBorder="1" applyAlignment="1">
      <alignment wrapText="1"/>
    </xf>
    <xf numFmtId="0" fontId="1" fillId="0" borderId="0" xfId="0" applyFont="1" applyAlignment="1">
      <alignment horizontal="left" wrapText="1"/>
    </xf>
    <xf numFmtId="0" fontId="17" fillId="11" borderId="2" xfId="0" applyFont="1" applyFill="1" applyBorder="1"/>
    <xf numFmtId="0" fontId="8" fillId="10" borderId="2" xfId="0" applyFont="1" applyFill="1" applyBorder="1"/>
    <xf numFmtId="0" fontId="17" fillId="10" borderId="2" xfId="0" applyFont="1" applyFill="1" applyBorder="1"/>
    <xf numFmtId="0" fontId="37" fillId="7" borderId="2" xfId="0" applyFont="1" applyFill="1" applyBorder="1" applyAlignment="1">
      <alignment wrapText="1"/>
    </xf>
    <xf numFmtId="0" fontId="27" fillId="0" borderId="0" xfId="0" applyFont="1"/>
    <xf numFmtId="0" fontId="10" fillId="0" borderId="0" xfId="0" applyFont="1" applyAlignment="1">
      <alignment wrapText="1"/>
    </xf>
    <xf numFmtId="0" fontId="17" fillId="0" borderId="0" xfId="0" applyFont="1" applyAlignment="1">
      <alignment wrapText="1"/>
    </xf>
    <xf numFmtId="0" fontId="27" fillId="7" borderId="2" xfId="0" applyFont="1" applyFill="1" applyBorder="1" applyAlignment="1">
      <alignment wrapText="1"/>
    </xf>
    <xf numFmtId="0" fontId="27" fillId="0" borderId="0" xfId="0" applyFont="1" applyAlignment="1">
      <alignment wrapText="1"/>
    </xf>
    <xf numFmtId="0" fontId="8" fillId="0" borderId="0" xfId="0" applyFont="1"/>
    <xf numFmtId="0" fontId="10" fillId="16" borderId="2" xfId="0" applyFont="1" applyFill="1" applyBorder="1" applyAlignment="1">
      <alignment wrapText="1"/>
    </xf>
    <xf numFmtId="0" fontId="8" fillId="16" borderId="2" xfId="0" applyFont="1" applyFill="1" applyBorder="1"/>
    <xf numFmtId="0" fontId="27" fillId="10" borderId="2" xfId="0" applyFont="1" applyFill="1" applyBorder="1" applyAlignment="1">
      <alignment wrapText="1"/>
    </xf>
    <xf numFmtId="0" fontId="8" fillId="7" borderId="2" xfId="0" applyFont="1" applyFill="1" applyBorder="1"/>
    <xf numFmtId="0" fontId="21" fillId="0" borderId="0" xfId="0" applyFont="1" applyAlignment="1">
      <alignment horizontal="left" vertical="top" wrapText="1"/>
    </xf>
    <xf numFmtId="0" fontId="8" fillId="7" borderId="2" xfId="0" applyFont="1" applyFill="1" applyBorder="1" applyAlignment="1">
      <alignment wrapText="1"/>
    </xf>
    <xf numFmtId="0" fontId="22" fillId="0" borderId="0" xfId="0" applyFont="1" applyAlignment="1">
      <alignment vertical="top" wrapText="1"/>
    </xf>
    <xf numFmtId="0" fontId="27" fillId="10" borderId="2" xfId="0" applyFont="1" applyFill="1" applyBorder="1"/>
    <xf numFmtId="0" fontId="8" fillId="0" borderId="0" xfId="0" applyFont="1" applyAlignment="1">
      <alignment vertical="top"/>
    </xf>
    <xf numFmtId="0" fontId="14" fillId="0" borderId="6" xfId="0" applyFont="1" applyBorder="1" applyAlignment="1"/>
    <xf numFmtId="0" fontId="8" fillId="7" borderId="2" xfId="0" applyFont="1" applyFill="1" applyBorder="1" applyAlignment="1">
      <alignment horizontal="left" vertical="top" wrapText="1"/>
    </xf>
    <xf numFmtId="0" fontId="14" fillId="7" borderId="8" xfId="0" applyFont="1" applyFill="1" applyBorder="1" applyAlignment="1"/>
    <xf numFmtId="0" fontId="19" fillId="0" borderId="0" xfId="0" applyFont="1" applyAlignment="1">
      <alignment horizontal="left" vertical="top"/>
    </xf>
    <xf numFmtId="164" fontId="21" fillId="0" borderId="0" xfId="0" applyNumberFormat="1" applyFont="1" applyAlignment="1">
      <alignment horizontal="left" vertical="top"/>
    </xf>
    <xf numFmtId="0" fontId="20" fillId="0" borderId="0" xfId="0" applyFont="1" applyAlignment="1">
      <alignment vertical="top"/>
    </xf>
    <xf numFmtId="164" fontId="22" fillId="0" borderId="0" xfId="0" applyNumberFormat="1" applyFont="1" applyAlignment="1">
      <alignment vertical="top"/>
    </xf>
    <xf numFmtId="0" fontId="20" fillId="0" borderId="6" xfId="0" applyFont="1" applyBorder="1" applyAlignment="1">
      <alignment vertical="top"/>
    </xf>
    <xf numFmtId="0" fontId="19" fillId="7" borderId="2" xfId="0" applyFont="1" applyFill="1" applyBorder="1" applyAlignment="1">
      <alignment horizontal="left"/>
    </xf>
    <xf numFmtId="0" fontId="10" fillId="0" borderId="0" xfId="0" applyFont="1" applyAlignment="1">
      <alignment wrapText="1"/>
    </xf>
    <xf numFmtId="0" fontId="17" fillId="0" borderId="0" xfId="0" applyFont="1" applyAlignment="1">
      <alignment wrapText="1"/>
    </xf>
    <xf numFmtId="0" fontId="27" fillId="7" borderId="2" xfId="0" applyFont="1" applyFill="1" applyBorder="1" applyAlignment="1">
      <alignment wrapText="1"/>
    </xf>
    <xf numFmtId="0" fontId="10" fillId="16" borderId="2" xfId="0" applyFont="1" applyFill="1" applyBorder="1" applyAlignment="1">
      <alignment wrapText="1"/>
    </xf>
    <xf numFmtId="0" fontId="8" fillId="16" borderId="2" xfId="0" applyFont="1" applyFill="1" applyBorder="1"/>
    <xf numFmtId="0" fontId="22" fillId="10" borderId="7" xfId="0" applyFont="1" applyFill="1" applyBorder="1" applyAlignment="1"/>
    <xf numFmtId="0" fontId="22" fillId="0" borderId="0" xfId="0" applyFont="1" applyAlignment="1">
      <alignment vertical="top"/>
    </xf>
    <xf numFmtId="0" fontId="10" fillId="10" borderId="2" xfId="0" applyFont="1" applyFill="1" applyBorder="1" applyAlignment="1">
      <alignment wrapText="1"/>
    </xf>
    <xf numFmtId="0" fontId="0" fillId="10" borderId="2" xfId="0" applyFont="1" applyFill="1" applyBorder="1"/>
    <xf numFmtId="0" fontId="17" fillId="10" borderId="2" xfId="0" applyFont="1" applyFill="1" applyBorder="1" applyAlignment="1">
      <alignment wrapText="1"/>
    </xf>
    <xf numFmtId="3" fontId="15" fillId="0" borderId="0" xfId="0" applyNumberFormat="1" applyFont="1" applyAlignment="1"/>
    <xf numFmtId="3" fontId="22" fillId="0" borderId="0" xfId="0" applyNumberFormat="1" applyFont="1" applyAlignment="1"/>
    <xf numFmtId="3" fontId="20" fillId="0" borderId="6" xfId="0" applyNumberFormat="1" applyFont="1" applyBorder="1" applyAlignment="1"/>
    <xf numFmtId="3" fontId="14" fillId="0" borderId="0" xfId="0" applyNumberFormat="1" applyFont="1" applyAlignment="1"/>
    <xf numFmtId="0" fontId="8" fillId="0" borderId="0" xfId="0" quotePrefix="1" applyFont="1" applyAlignment="1">
      <alignment wrapText="1"/>
    </xf>
    <xf numFmtId="164" fontId="21" fillId="10" borderId="2" xfId="0" applyNumberFormat="1" applyFont="1" applyFill="1" applyBorder="1" applyAlignment="1">
      <alignment horizontal="left"/>
    </xf>
    <xf numFmtId="164" fontId="22" fillId="10" borderId="7" xfId="0" applyNumberFormat="1" applyFont="1" applyFill="1" applyBorder="1" applyAlignment="1"/>
    <xf numFmtId="0" fontId="22" fillId="0" borderId="7" xfId="0" applyFont="1" applyBorder="1" applyAlignment="1"/>
    <xf numFmtId="0" fontId="2" fillId="16" borderId="2" xfId="0" applyFont="1" applyFill="1" applyBorder="1" applyAlignment="1">
      <alignment wrapText="1"/>
    </xf>
    <xf numFmtId="0" fontId="0" fillId="16" borderId="2" xfId="0" applyFont="1" applyFill="1" applyBorder="1" applyAlignment="1">
      <alignment wrapText="1"/>
    </xf>
    <xf numFmtId="0" fontId="8" fillId="16" borderId="2" xfId="0" applyFont="1" applyFill="1" applyBorder="1" applyAlignment="1">
      <alignment wrapText="1"/>
    </xf>
    <xf numFmtId="0" fontId="19" fillId="0" borderId="0" xfId="0" applyFont="1" applyAlignment="1">
      <alignment horizontal="left" vertical="center"/>
    </xf>
    <xf numFmtId="164" fontId="21" fillId="0" borderId="0" xfId="0" applyNumberFormat="1" applyFont="1" applyAlignment="1">
      <alignment horizontal="left" vertical="center"/>
    </xf>
    <xf numFmtId="0" fontId="20" fillId="0" borderId="0" xfId="0" applyFont="1"/>
    <xf numFmtId="164" fontId="22" fillId="0" borderId="0" xfId="0" applyNumberFormat="1" applyFont="1"/>
    <xf numFmtId="0" fontId="20" fillId="0" borderId="6" xfId="0" applyFont="1" applyBorder="1"/>
    <xf numFmtId="0" fontId="27" fillId="10" borderId="2" xfId="0" applyFont="1" applyFill="1" applyBorder="1"/>
    <xf numFmtId="0" fontId="27" fillId="0" borderId="0" xfId="0" quotePrefix="1" applyFont="1" applyAlignment="1">
      <alignment wrapText="1"/>
    </xf>
    <xf numFmtId="0" fontId="22" fillId="0" borderId="9" xfId="0" applyFont="1" applyBorder="1" applyAlignment="1"/>
    <xf numFmtId="0" fontId="20" fillId="10" borderId="8" xfId="0" applyFont="1" applyFill="1" applyBorder="1" applyAlignment="1"/>
    <xf numFmtId="0" fontId="0" fillId="10" borderId="2" xfId="0" applyFont="1" applyFill="1" applyBorder="1" applyAlignment="1">
      <alignment horizontal="left"/>
    </xf>
    <xf numFmtId="0" fontId="6" fillId="10" borderId="7" xfId="0" applyFont="1" applyFill="1" applyBorder="1" applyAlignment="1"/>
    <xf numFmtId="0" fontId="10" fillId="10" borderId="2" xfId="0" applyFont="1" applyFill="1" applyBorder="1"/>
    <xf numFmtId="0" fontId="30" fillId="0" borderId="0" xfId="0" applyFont="1"/>
    <xf numFmtId="0" fontId="27" fillId="0" borderId="0" xfId="0" quotePrefix="1" applyFont="1" applyAlignment="1">
      <alignment wrapText="1"/>
    </xf>
    <xf numFmtId="0" fontId="17" fillId="0" borderId="0" xfId="0" applyFont="1"/>
    <xf numFmtId="0" fontId="10" fillId="10" borderId="2" xfId="0" applyFont="1" applyFill="1" applyBorder="1"/>
    <xf numFmtId="0" fontId="38" fillId="0" borderId="0" xfId="0" applyFont="1"/>
    <xf numFmtId="0" fontId="30" fillId="10" borderId="2" xfId="0" applyFont="1" applyFill="1" applyBorder="1"/>
    <xf numFmtId="0" fontId="38" fillId="10" borderId="2" xfId="0" applyFont="1" applyFill="1" applyBorder="1"/>
    <xf numFmtId="0" fontId="19" fillId="10" borderId="2" xfId="0" applyFont="1" applyFill="1" applyBorder="1" applyAlignment="1">
      <alignment horizontal="left" vertical="center"/>
    </xf>
    <xf numFmtId="0" fontId="20" fillId="10" borderId="7" xfId="0" applyFont="1" applyFill="1" applyBorder="1"/>
    <xf numFmtId="0" fontId="22" fillId="0" borderId="7" xfId="0" applyFont="1" applyBorder="1" applyAlignment="1"/>
    <xf numFmtId="0" fontId="0" fillId="7" borderId="2" xfId="0" applyFont="1" applyFill="1" applyBorder="1" applyAlignment="1">
      <alignment wrapText="1"/>
    </xf>
    <xf numFmtId="0" fontId="0" fillId="7" borderId="2" xfId="0" applyFont="1" applyFill="1" applyBorder="1" applyAlignment="1">
      <alignment horizontal="left" wrapText="1"/>
    </xf>
    <xf numFmtId="0" fontId="19" fillId="0" borderId="0" xfId="0" applyFont="1" applyAlignment="1">
      <alignment horizontal="left" wrapText="1"/>
    </xf>
    <xf numFmtId="0" fontId="20" fillId="0" borderId="6" xfId="0" applyFont="1" applyBorder="1" applyAlignment="1">
      <alignment wrapText="1"/>
    </xf>
    <xf numFmtId="0" fontId="21" fillId="0" borderId="0" xfId="0" applyFont="1" applyAlignment="1">
      <alignment horizontal="left" wrapText="1"/>
    </xf>
    <xf numFmtId="0" fontId="22" fillId="0" borderId="6" xfId="0" applyFont="1" applyBorder="1" applyAlignment="1">
      <alignment wrapText="1"/>
    </xf>
    <xf numFmtId="0" fontId="0" fillId="0" borderId="0" xfId="0" applyFont="1" applyAlignment="1">
      <alignment horizontal="left" vertical="top"/>
    </xf>
    <xf numFmtId="0" fontId="21" fillId="10" borderId="2" xfId="0" applyFont="1" applyFill="1" applyBorder="1" applyAlignment="1">
      <alignment horizontal="left" wrapText="1"/>
    </xf>
    <xf numFmtId="0" fontId="22" fillId="10" borderId="7" xfId="0" applyFont="1" applyFill="1" applyBorder="1" applyAlignment="1">
      <alignment wrapText="1"/>
    </xf>
    <xf numFmtId="0" fontId="0" fillId="0" borderId="0" xfId="0" applyFont="1" applyAlignment="1">
      <alignment horizontal="left" wrapText="1"/>
    </xf>
    <xf numFmtId="0" fontId="22" fillId="0" borderId="0" xfId="0" applyFont="1" applyAlignment="1">
      <alignment wrapText="1"/>
    </xf>
    <xf numFmtId="0" fontId="20" fillId="0" borderId="0" xfId="0" applyFont="1" applyAlignment="1">
      <alignment wrapText="1"/>
    </xf>
    <xf numFmtId="0" fontId="15" fillId="11" borderId="2" xfId="0" applyFont="1" applyFill="1" applyBorder="1"/>
    <xf numFmtId="0" fontId="20" fillId="0" borderId="9" xfId="0" applyFont="1" applyBorder="1" applyAlignment="1"/>
    <xf numFmtId="0" fontId="14" fillId="0" borderId="9" xfId="0" applyFont="1" applyBorder="1" applyAlignment="1"/>
    <xf numFmtId="0" fontId="39" fillId="0" borderId="0" xfId="0" applyFont="1" applyAlignment="1">
      <alignment wrapText="1"/>
    </xf>
    <xf numFmtId="0" fontId="10" fillId="0" borderId="0" xfId="0" applyFont="1" applyAlignment="1">
      <alignment horizontal="right" wrapText="1"/>
    </xf>
    <xf numFmtId="0" fontId="38" fillId="10" borderId="2" xfId="0" applyFont="1" applyFill="1" applyBorder="1"/>
    <xf numFmtId="0" fontId="9" fillId="7" borderId="2" xfId="0" applyFont="1" applyFill="1" applyBorder="1" applyAlignment="1">
      <alignment wrapText="1"/>
    </xf>
    <xf numFmtId="0" fontId="27" fillId="0" borderId="0" xfId="0" applyFont="1" applyAlignment="1">
      <alignment horizontal="right" wrapText="1"/>
    </xf>
    <xf numFmtId="0" fontId="10" fillId="18" borderId="2" xfId="0" applyFont="1" applyFill="1" applyBorder="1" applyAlignment="1">
      <alignment wrapText="1"/>
    </xf>
    <xf numFmtId="0" fontId="8" fillId="18" borderId="2" xfId="0" applyFont="1" applyFill="1" applyBorder="1"/>
    <xf numFmtId="0" fontId="0" fillId="2" borderId="1" xfId="0" applyFont="1" applyFill="1" applyBorder="1" applyAlignment="1">
      <alignment horizontal="left" vertical="top"/>
    </xf>
    <xf numFmtId="49" fontId="0" fillId="2" borderId="1" xfId="0" applyNumberFormat="1" applyFont="1" applyFill="1" applyBorder="1" applyAlignment="1">
      <alignment horizontal="left" vertical="top" wrapText="1"/>
    </xf>
    <xf numFmtId="49" fontId="0" fillId="2" borderId="1" xfId="0" applyNumberFormat="1" applyFont="1" applyFill="1" applyBorder="1" applyAlignment="1">
      <alignment horizontal="left" vertical="top" wrapText="1"/>
    </xf>
    <xf numFmtId="0" fontId="8" fillId="3" borderId="0" xfId="0" applyFont="1" applyFill="1" applyAlignment="1">
      <alignment horizontal="left" vertical="top" wrapText="1"/>
    </xf>
    <xf numFmtId="0" fontId="8" fillId="3" borderId="0" xfId="0" applyFont="1" applyFill="1" applyAlignment="1">
      <alignment horizontal="left" vertical="top"/>
    </xf>
    <xf numFmtId="0" fontId="9" fillId="5" borderId="1" xfId="0" applyFont="1" applyFill="1" applyBorder="1" applyAlignment="1">
      <alignment horizontal="left" vertical="top"/>
    </xf>
    <xf numFmtId="0" fontId="2" fillId="19" borderId="1" xfId="0" applyFont="1" applyFill="1" applyBorder="1" applyAlignment="1">
      <alignment horizontal="left" vertical="top" wrapText="1"/>
    </xf>
    <xf numFmtId="0" fontId="2" fillId="20" borderId="1" xfId="0" applyFont="1" applyFill="1" applyBorder="1" applyAlignment="1">
      <alignment horizontal="left" vertical="top" wrapText="1"/>
    </xf>
    <xf numFmtId="0" fontId="2" fillId="20" borderId="0" xfId="0" applyFont="1" applyFill="1" applyAlignment="1">
      <alignment horizontal="left" vertical="top" wrapText="1"/>
    </xf>
    <xf numFmtId="49" fontId="40" fillId="8" borderId="1" xfId="0" applyNumberFormat="1" applyFont="1" applyFill="1" applyBorder="1" applyAlignment="1">
      <alignment horizontal="left" vertical="top" wrapText="1"/>
    </xf>
    <xf numFmtId="49" fontId="2" fillId="8" borderId="1" xfId="0" applyNumberFormat="1" applyFont="1" applyFill="1" applyBorder="1" applyAlignment="1">
      <alignment horizontal="left" vertical="top" wrapText="1"/>
    </xf>
    <xf numFmtId="49" fontId="41" fillId="8" borderId="1" xfId="0" applyNumberFormat="1" applyFont="1" applyFill="1" applyBorder="1" applyAlignment="1">
      <alignment horizontal="left" vertical="top" wrapText="1"/>
    </xf>
    <xf numFmtId="0" fontId="9" fillId="6" borderId="0" xfId="0" applyFont="1" applyFill="1" applyAlignment="1">
      <alignment horizontal="left" vertical="top" wrapText="1"/>
    </xf>
    <xf numFmtId="0" fontId="2" fillId="7" borderId="0" xfId="0" applyFont="1" applyFill="1" applyAlignment="1">
      <alignment horizontal="left" vertical="top" wrapText="1"/>
    </xf>
    <xf numFmtId="0" fontId="0" fillId="6" borderId="0" xfId="0" applyFont="1" applyFill="1" applyAlignment="1">
      <alignment horizontal="left" vertical="top" wrapText="1"/>
    </xf>
    <xf numFmtId="0" fontId="0" fillId="6" borderId="0" xfId="0" applyFont="1" applyFill="1" applyAlignment="1">
      <alignment horizontal="left" vertical="top"/>
    </xf>
    <xf numFmtId="0" fontId="0" fillId="6" borderId="0" xfId="0" applyFont="1" applyFill="1" applyAlignment="1">
      <alignment horizontal="left" vertical="top"/>
    </xf>
    <xf numFmtId="0" fontId="0" fillId="6" borderId="0" xfId="0" applyFont="1" applyFill="1" applyAlignment="1">
      <alignment horizontal="left" vertical="top"/>
    </xf>
    <xf numFmtId="0" fontId="6" fillId="6" borderId="0" xfId="0" applyFont="1" applyFill="1" applyAlignment="1">
      <alignment vertical="top" wrapText="1"/>
    </xf>
    <xf numFmtId="0" fontId="6" fillId="6" borderId="0" xfId="0" applyFont="1" applyFill="1" applyAlignment="1">
      <alignment vertical="top"/>
    </xf>
    <xf numFmtId="0" fontId="42" fillId="6" borderId="0" xfId="0" applyFont="1" applyFill="1" applyAlignment="1">
      <alignment vertical="top" wrapText="1"/>
    </xf>
    <xf numFmtId="0" fontId="6" fillId="6" borderId="0" xfId="0" applyFont="1" applyFill="1" applyAlignment="1">
      <alignment vertical="top"/>
    </xf>
    <xf numFmtId="0" fontId="14" fillId="6" borderId="0" xfId="0" applyFont="1" applyFill="1" applyAlignment="1">
      <alignment vertical="top"/>
    </xf>
    <xf numFmtId="0" fontId="14" fillId="6" borderId="0" xfId="0" applyFont="1" applyFill="1" applyAlignment="1">
      <alignment vertical="top"/>
    </xf>
    <xf numFmtId="0" fontId="0" fillId="6" borderId="0" xfId="0" applyFont="1" applyFill="1" applyAlignment="1">
      <alignment horizontal="left" vertical="top" wrapText="1"/>
    </xf>
    <xf numFmtId="0" fontId="0" fillId="6" borderId="0" xfId="0" applyFont="1" applyFill="1" applyAlignment="1">
      <alignment horizontal="left" vertical="top" wrapText="1"/>
    </xf>
    <xf numFmtId="49" fontId="0" fillId="6" borderId="0" xfId="0" applyNumberFormat="1" applyFont="1" applyFill="1" applyAlignment="1">
      <alignment horizontal="left" vertical="top" wrapText="1"/>
    </xf>
    <xf numFmtId="49" fontId="14" fillId="6" borderId="0" xfId="0" applyNumberFormat="1" applyFont="1" applyFill="1" applyAlignment="1">
      <alignment vertical="top"/>
    </xf>
    <xf numFmtId="0" fontId="0" fillId="6" borderId="0" xfId="0" applyFont="1" applyFill="1" applyAlignment="1">
      <alignment horizontal="left" vertical="top" wrapText="1"/>
    </xf>
    <xf numFmtId="0" fontId="14" fillId="6" borderId="0" xfId="0" applyFont="1" applyFill="1" applyAlignment="1"/>
    <xf numFmtId="0" fontId="43" fillId="6" borderId="0" xfId="0" applyFont="1" applyFill="1" applyAlignment="1">
      <alignment horizontal="left" vertical="top" wrapText="1"/>
    </xf>
    <xf numFmtId="0" fontId="44" fillId="6" borderId="0" xfId="0" applyFont="1" applyFill="1" applyAlignment="1">
      <alignment horizontal="left" vertical="top" wrapText="1"/>
    </xf>
    <xf numFmtId="0" fontId="45" fillId="6" borderId="0" xfId="0" applyFont="1" applyFill="1" applyAlignment="1">
      <alignment horizontal="left" vertical="top"/>
    </xf>
    <xf numFmtId="49" fontId="46" fillId="10" borderId="0" xfId="0" applyNumberFormat="1" applyFont="1" applyFill="1" applyAlignment="1">
      <alignment horizontal="left"/>
    </xf>
    <xf numFmtId="0" fontId="42" fillId="6" borderId="0" xfId="0" applyFont="1" applyFill="1" applyAlignment="1">
      <alignment vertical="top"/>
    </xf>
    <xf numFmtId="0" fontId="6" fillId="6" borderId="9" xfId="0" applyFont="1" applyFill="1" applyBorder="1" applyAlignment="1">
      <alignment vertical="top"/>
    </xf>
    <xf numFmtId="0" fontId="14" fillId="6" borderId="9" xfId="0" applyFont="1" applyFill="1" applyBorder="1" applyAlignment="1">
      <alignment vertical="top"/>
    </xf>
    <xf numFmtId="0" fontId="0" fillId="21" borderId="0" xfId="0" applyFont="1" applyFill="1" applyAlignment="1">
      <alignment horizontal="left" vertical="top" wrapText="1"/>
    </xf>
    <xf numFmtId="0" fontId="0" fillId="21" borderId="0" xfId="0" applyFont="1" applyFill="1" applyAlignment="1">
      <alignment horizontal="left" vertical="top" wrapText="1"/>
    </xf>
    <xf numFmtId="0" fontId="6" fillId="6" borderId="0" xfId="0" applyFont="1" applyFill="1" applyAlignment="1">
      <alignment vertical="top"/>
    </xf>
    <xf numFmtId="0" fontId="14" fillId="6" borderId="0" xfId="0" applyFont="1" applyFill="1" applyAlignment="1"/>
    <xf numFmtId="0" fontId="6" fillId="6" borderId="9" xfId="0" applyFont="1" applyFill="1" applyBorder="1" applyAlignment="1">
      <alignment vertical="top"/>
    </xf>
    <xf numFmtId="0" fontId="47" fillId="6" borderId="0" xfId="0" applyFont="1" applyFill="1" applyAlignment="1">
      <alignment vertical="top" wrapText="1"/>
    </xf>
    <xf numFmtId="0" fontId="2" fillId="6" borderId="0" xfId="0" applyFont="1" applyFill="1" applyAlignment="1">
      <alignment horizontal="left" vertical="top" wrapText="1"/>
    </xf>
    <xf numFmtId="0" fontId="42" fillId="6" borderId="9" xfId="0" applyFont="1" applyFill="1" applyBorder="1" applyAlignment="1">
      <alignment vertical="top"/>
    </xf>
    <xf numFmtId="0" fontId="45" fillId="10" borderId="0" xfId="0" applyFont="1" applyFill="1" applyAlignment="1">
      <alignment horizontal="left"/>
    </xf>
    <xf numFmtId="0" fontId="42" fillId="6" borderId="0" xfId="0" applyFont="1" applyFill="1" applyAlignment="1">
      <alignment vertical="top"/>
    </xf>
    <xf numFmtId="0" fontId="14" fillId="6" borderId="9" xfId="0" applyFont="1" applyFill="1" applyBorder="1" applyAlignment="1">
      <alignment vertical="top"/>
    </xf>
    <xf numFmtId="49" fontId="48" fillId="0" borderId="0" xfId="0" applyNumberFormat="1" applyFont="1" applyAlignment="1"/>
    <xf numFmtId="49" fontId="0" fillId="6" borderId="0" xfId="0" applyNumberFormat="1" applyFont="1" applyFill="1" applyAlignment="1">
      <alignment horizontal="left" vertical="top" wrapText="1"/>
    </xf>
    <xf numFmtId="0" fontId="46" fillId="10" borderId="0" xfId="0" applyFont="1" applyFill="1" applyAlignment="1">
      <alignment horizontal="left"/>
    </xf>
    <xf numFmtId="0" fontId="6" fillId="6" borderId="9" xfId="0" applyFont="1" applyFill="1" applyBorder="1" applyAlignment="1">
      <alignment vertical="top" wrapText="1"/>
    </xf>
    <xf numFmtId="0" fontId="6" fillId="6" borderId="0" xfId="0" applyFont="1" applyFill="1" applyAlignment="1"/>
    <xf numFmtId="0" fontId="49" fillId="6" borderId="0" xfId="0" applyFont="1" applyFill="1" applyAlignment="1">
      <alignment horizontal="left" vertical="top" wrapText="1"/>
    </xf>
    <xf numFmtId="0" fontId="2" fillId="10" borderId="2" xfId="0" applyFont="1" applyFill="1" applyBorder="1"/>
    <xf numFmtId="0" fontId="6" fillId="6" borderId="0" xfId="0" applyFont="1" applyFill="1" applyAlignment="1">
      <alignment vertical="top" wrapText="1"/>
    </xf>
    <xf numFmtId="0" fontId="2" fillId="6" borderId="0" xfId="0" applyFont="1" applyFill="1" applyAlignment="1">
      <alignment horizontal="left" vertical="top" wrapText="1"/>
    </xf>
    <xf numFmtId="0" fontId="50" fillId="6" borderId="0" xfId="0" applyFont="1" applyFill="1" applyAlignment="1">
      <alignment vertical="top"/>
    </xf>
    <xf numFmtId="0" fontId="50" fillId="6" borderId="9" xfId="0" applyFont="1" applyFill="1" applyBorder="1" applyAlignment="1">
      <alignment vertical="top"/>
    </xf>
    <xf numFmtId="0" fontId="6" fillId="6" borderId="9" xfId="0" applyFont="1" applyFill="1" applyBorder="1" applyAlignment="1"/>
    <xf numFmtId="0" fontId="36" fillId="0" borderId="0" xfId="0" applyFont="1"/>
    <xf numFmtId="0" fontId="51" fillId="22" borderId="0" xfId="0" applyFont="1" applyFill="1" applyAlignment="1">
      <alignment horizontal="left"/>
    </xf>
    <xf numFmtId="0" fontId="11" fillId="6" borderId="9" xfId="0" applyFont="1" applyFill="1" applyBorder="1" applyAlignment="1">
      <alignment vertical="top"/>
    </xf>
    <xf numFmtId="0" fontId="42" fillId="6" borderId="9" xfId="0" applyFont="1" applyFill="1" applyBorder="1" applyAlignment="1">
      <alignment vertical="top"/>
    </xf>
    <xf numFmtId="0" fontId="42" fillId="6" borderId="9" xfId="0" applyFont="1" applyFill="1" applyBorder="1" applyAlignment="1">
      <alignment vertical="top" wrapText="1"/>
    </xf>
    <xf numFmtId="0" fontId="6" fillId="23" borderId="0" xfId="0" applyFont="1" applyFill="1" applyAlignment="1">
      <alignment vertical="top" wrapText="1"/>
    </xf>
    <xf numFmtId="0" fontId="6" fillId="6" borderId="9" xfId="0" applyFont="1" applyFill="1" applyBorder="1" applyAlignment="1">
      <alignment vertical="top"/>
    </xf>
    <xf numFmtId="49" fontId="6" fillId="6" borderId="0" xfId="0" applyNumberFormat="1" applyFont="1" applyFill="1" applyAlignment="1">
      <alignment vertical="top" wrapText="1"/>
    </xf>
    <xf numFmtId="0" fontId="6" fillId="6" borderId="0" xfId="0" applyFont="1" applyFill="1" applyAlignment="1">
      <alignment vertical="top" wrapText="1"/>
    </xf>
    <xf numFmtId="0" fontId="42" fillId="6" borderId="0" xfId="0" applyFont="1" applyFill="1" applyAlignment="1">
      <alignment vertical="top" wrapText="1"/>
    </xf>
    <xf numFmtId="0" fontId="52" fillId="0" borderId="0" xfId="0" applyFont="1"/>
    <xf numFmtId="0" fontId="47" fillId="6" borderId="0" xfId="0" applyFont="1" applyFill="1" applyAlignment="1">
      <alignment vertical="top" wrapText="1"/>
    </xf>
    <xf numFmtId="0" fontId="52" fillId="10" borderId="2" xfId="0" applyFont="1" applyFill="1" applyBorder="1"/>
    <xf numFmtId="0" fontId="0" fillId="6" borderId="0" xfId="0" applyFont="1" applyFill="1" applyAlignment="1">
      <alignment horizontal="left" vertical="top" wrapText="1"/>
    </xf>
    <xf numFmtId="49" fontId="6" fillId="6" borderId="0" xfId="0" applyNumberFormat="1" applyFont="1" applyFill="1" applyAlignment="1">
      <alignment horizontal="left"/>
    </xf>
    <xf numFmtId="0" fontId="14" fillId="6" borderId="0" xfId="0" quotePrefix="1" applyFont="1" applyFill="1" applyAlignment="1">
      <alignment vertical="top"/>
    </xf>
    <xf numFmtId="0" fontId="0" fillId="24" borderId="0" xfId="0" applyFont="1" applyFill="1" applyAlignment="1">
      <alignment horizontal="left" vertical="top" wrapText="1"/>
    </xf>
    <xf numFmtId="0" fontId="29" fillId="10" borderId="2" xfId="0" applyFont="1" applyFill="1" applyBorder="1" applyAlignment="1">
      <alignment wrapText="1"/>
    </xf>
    <xf numFmtId="0" fontId="0" fillId="25" borderId="0" xfId="0" applyFont="1" applyFill="1" applyAlignment="1">
      <alignment horizontal="left" vertical="top" wrapText="1"/>
    </xf>
    <xf numFmtId="0" fontId="13" fillId="6" borderId="0" xfId="0" applyFont="1" applyFill="1" applyAlignment="1"/>
    <xf numFmtId="0" fontId="53" fillId="10" borderId="0" xfId="0" applyFont="1" applyFill="1" applyAlignment="1"/>
    <xf numFmtId="0" fontId="54" fillId="6" borderId="0" xfId="0" applyFont="1" applyFill="1" applyAlignment="1">
      <alignment horizontal="left" vertical="top" wrapText="1"/>
    </xf>
    <xf numFmtId="0" fontId="14" fillId="6" borderId="0" xfId="0" applyFont="1" applyFill="1" applyAlignment="1">
      <alignment vertical="top" wrapText="1"/>
    </xf>
    <xf numFmtId="0" fontId="55" fillId="6" borderId="0" xfId="0" applyFont="1" applyFill="1" applyAlignment="1">
      <alignment vertical="top" wrapText="1"/>
    </xf>
    <xf numFmtId="0" fontId="0" fillId="0" borderId="0" xfId="0" applyFont="1" applyAlignment="1">
      <alignment horizontal="right" wrapText="1"/>
    </xf>
    <xf numFmtId="0" fontId="14" fillId="6" borderId="0" xfId="0" applyFont="1" applyFill="1" applyAlignment="1">
      <alignment vertical="top"/>
    </xf>
    <xf numFmtId="0" fontId="56" fillId="6" borderId="0" xfId="0" applyFont="1" applyFill="1" applyAlignment="1">
      <alignment horizontal="left" wrapText="1"/>
    </xf>
    <xf numFmtId="0" fontId="8" fillId="0" borderId="0" xfId="0" applyFont="1" applyAlignment="1">
      <alignment horizontal="right" wrapText="1"/>
    </xf>
    <xf numFmtId="0" fontId="6" fillId="6" borderId="11" xfId="0" applyFont="1" applyFill="1" applyBorder="1" applyAlignment="1">
      <alignment vertical="top" wrapText="1"/>
    </xf>
    <xf numFmtId="0" fontId="14" fillId="6" borderId="12" xfId="0" applyFont="1" applyFill="1" applyBorder="1" applyAlignment="1">
      <alignment vertical="top"/>
    </xf>
    <xf numFmtId="0" fontId="45" fillId="10" borderId="0" xfId="0" applyFont="1" applyFill="1" applyAlignment="1">
      <alignment horizontal="left" vertical="top"/>
    </xf>
    <xf numFmtId="0" fontId="57" fillId="6" borderId="9" xfId="0" applyFont="1" applyFill="1" applyBorder="1" applyAlignment="1">
      <alignment vertical="top"/>
    </xf>
    <xf numFmtId="49" fontId="6" fillId="6" borderId="0" xfId="0" applyNumberFormat="1" applyFont="1" applyFill="1" applyAlignment="1">
      <alignment vertical="top" wrapText="1"/>
    </xf>
    <xf numFmtId="0" fontId="58" fillId="6" borderId="0" xfId="0" applyFont="1" applyFill="1" applyAlignment="1">
      <alignment vertical="top" wrapText="1"/>
    </xf>
    <xf numFmtId="0" fontId="42" fillId="0" borderId="0" xfId="0" applyFont="1" applyAlignment="1">
      <alignment vertical="top"/>
    </xf>
    <xf numFmtId="49" fontId="59" fillId="26" borderId="0" xfId="0" applyNumberFormat="1" applyFont="1" applyFill="1" applyAlignment="1"/>
    <xf numFmtId="49" fontId="60" fillId="27" borderId="0" xfId="0" applyNumberFormat="1" applyFont="1" applyFill="1" applyAlignment="1">
      <alignment horizontal="left"/>
    </xf>
    <xf numFmtId="0" fontId="2" fillId="18" borderId="2" xfId="0" applyFont="1" applyFill="1" applyBorder="1" applyAlignment="1">
      <alignment wrapText="1"/>
    </xf>
    <xf numFmtId="0" fontId="0" fillId="18" borderId="2" xfId="0" applyFont="1" applyFill="1" applyBorder="1" applyAlignment="1">
      <alignment wrapText="1"/>
    </xf>
    <xf numFmtId="0" fontId="8" fillId="18" borderId="2" xfId="0" applyFont="1" applyFill="1" applyBorder="1" applyAlignment="1">
      <alignment wrapText="1"/>
    </xf>
    <xf numFmtId="0" fontId="6" fillId="0" borderId="0" xfId="0" applyFont="1"/>
    <xf numFmtId="0" fontId="8" fillId="18" borderId="2" xfId="0" applyFont="1" applyFill="1" applyBorder="1" applyAlignment="1"/>
    <xf numFmtId="0" fontId="14" fillId="18" borderId="8" xfId="0" applyFont="1" applyFill="1" applyBorder="1" applyAlignment="1"/>
    <xf numFmtId="0" fontId="14" fillId="18" borderId="7" xfId="0" applyFont="1" applyFill="1" applyBorder="1" applyAlignment="1"/>
    <xf numFmtId="0" fontId="0" fillId="6" borderId="0" xfId="0" applyFont="1" applyFill="1" applyAlignment="1">
      <alignment vertical="top" wrapText="1"/>
    </xf>
    <xf numFmtId="0" fontId="0" fillId="6" borderId="0" xfId="0" applyFont="1" applyFill="1" applyAlignment="1">
      <alignment vertical="top"/>
    </xf>
    <xf numFmtId="0" fontId="0" fillId="6" borderId="0" xfId="0" applyFont="1" applyFill="1" applyAlignment="1">
      <alignment vertical="top"/>
    </xf>
    <xf numFmtId="0" fontId="15" fillId="6" borderId="0" xfId="0" applyFont="1" applyFill="1" applyAlignment="1">
      <alignment horizontal="left" vertical="top"/>
    </xf>
    <xf numFmtId="0" fontId="0" fillId="6" borderId="2" xfId="0" applyFont="1" applyFill="1" applyBorder="1" applyAlignment="1">
      <alignment horizontal="left" vertical="top" wrapText="1"/>
    </xf>
    <xf numFmtId="0" fontId="0" fillId="6" borderId="2" xfId="0" applyFont="1" applyFill="1" applyBorder="1" applyAlignment="1">
      <alignment horizontal="left" vertical="top" wrapText="1"/>
    </xf>
    <xf numFmtId="0" fontId="0" fillId="6" borderId="0" xfId="0" applyFont="1" applyFill="1" applyAlignment="1">
      <alignment vertical="top"/>
    </xf>
    <xf numFmtId="0" fontId="61" fillId="6" borderId="0" xfId="0" applyFont="1" applyFill="1" applyAlignment="1">
      <alignment horizontal="left" vertical="top" wrapText="1"/>
    </xf>
    <xf numFmtId="0" fontId="14" fillId="6" borderId="6" xfId="0" applyFont="1" applyFill="1" applyBorder="1" applyAlignment="1">
      <alignment vertical="top"/>
    </xf>
    <xf numFmtId="0" fontId="2" fillId="6" borderId="0" xfId="0" applyFont="1" applyFill="1" applyAlignment="1">
      <alignment vertical="top" wrapText="1"/>
    </xf>
    <xf numFmtId="0" fontId="0" fillId="6" borderId="0" xfId="0" applyFont="1" applyFill="1" applyAlignment="1">
      <alignment vertical="top" wrapText="1"/>
    </xf>
    <xf numFmtId="0" fontId="0" fillId="6" borderId="0" xfId="0" applyFont="1" applyFill="1" applyAlignment="1">
      <alignment vertical="top" wrapText="1"/>
    </xf>
    <xf numFmtId="0" fontId="62" fillId="6" borderId="0" xfId="0" applyFont="1" applyFill="1"/>
    <xf numFmtId="0" fontId="63" fillId="6" borderId="0" xfId="0" applyFont="1" applyFill="1"/>
    <xf numFmtId="0" fontId="64" fillId="6" borderId="0" xfId="0" applyFont="1" applyFill="1" applyAlignment="1"/>
    <xf numFmtId="0" fontId="65" fillId="10" borderId="0" xfId="0" applyFont="1" applyFill="1" applyAlignment="1">
      <alignment wrapText="1"/>
    </xf>
    <xf numFmtId="0" fontId="66" fillId="6" borderId="0" xfId="0" applyFont="1" applyFill="1" applyAlignment="1">
      <alignment vertical="top" wrapText="1"/>
    </xf>
    <xf numFmtId="0" fontId="15" fillId="6" borderId="0" xfId="0" applyFont="1" applyFill="1" applyAlignment="1">
      <alignment vertical="top"/>
    </xf>
    <xf numFmtId="0" fontId="15" fillId="6" borderId="0" xfId="0" applyFont="1" applyFill="1" applyAlignment="1">
      <alignment vertical="top"/>
    </xf>
    <xf numFmtId="0" fontId="67" fillId="6" borderId="0" xfId="0" applyFont="1" applyFill="1" applyAlignment="1">
      <alignment vertical="top" wrapText="1"/>
    </xf>
    <xf numFmtId="0" fontId="2" fillId="6" borderId="0" xfId="0" applyFont="1" applyFill="1" applyAlignment="1">
      <alignment vertical="top"/>
    </xf>
    <xf numFmtId="0" fontId="0" fillId="6" borderId="0" xfId="0" applyFont="1" applyFill="1" applyAlignment="1">
      <alignment vertical="top" wrapText="1"/>
    </xf>
    <xf numFmtId="0" fontId="0" fillId="6" borderId="0" xfId="0" applyFont="1" applyFill="1" applyAlignment="1">
      <alignment vertical="top"/>
    </xf>
    <xf numFmtId="49" fontId="0" fillId="6" borderId="0" xfId="0" applyNumberFormat="1" applyFont="1" applyFill="1" applyAlignment="1">
      <alignment vertical="top"/>
    </xf>
    <xf numFmtId="0" fontId="19" fillId="6" borderId="2" xfId="0" applyFont="1" applyFill="1" applyBorder="1" applyAlignment="1">
      <alignment horizontal="left" wrapText="1"/>
    </xf>
    <xf numFmtId="0" fontId="19" fillId="6" borderId="0" xfId="0" applyFont="1" applyFill="1" applyAlignment="1">
      <alignment horizontal="left" wrapText="1"/>
    </xf>
    <xf numFmtId="0" fontId="68" fillId="6" borderId="0" xfId="0" applyFont="1" applyFill="1" applyAlignment="1">
      <alignment vertical="top" wrapText="1"/>
    </xf>
    <xf numFmtId="0" fontId="0" fillId="6" borderId="0" xfId="0" applyFont="1" applyFill="1" applyAlignment="1">
      <alignment horizontal="right" vertical="top"/>
    </xf>
    <xf numFmtId="0" fontId="0" fillId="6" borderId="0" xfId="0" applyFont="1" applyFill="1"/>
    <xf numFmtId="0" fontId="0" fillId="6" borderId="0" xfId="0" applyFont="1" applyFill="1" applyAlignment="1">
      <alignment horizontal="left"/>
    </xf>
    <xf numFmtId="0" fontId="6" fillId="6" borderId="0" xfId="0" applyFont="1" applyFill="1" applyAlignment="1">
      <alignment horizontal="right" vertical="top"/>
    </xf>
    <xf numFmtId="0" fontId="0" fillId="6" borderId="2" xfId="0" applyFont="1" applyFill="1" applyBorder="1" applyAlignment="1">
      <alignment vertical="top" wrapText="1"/>
    </xf>
    <xf numFmtId="0" fontId="14" fillId="6" borderId="6" xfId="0" applyFont="1" applyFill="1" applyBorder="1" applyAlignment="1"/>
    <xf numFmtId="0" fontId="0" fillId="6" borderId="2" xfId="0" applyFont="1" applyFill="1" applyBorder="1" applyAlignment="1">
      <alignment vertical="top"/>
    </xf>
    <xf numFmtId="0" fontId="2" fillId="6" borderId="2" xfId="0" applyFont="1" applyFill="1" applyBorder="1" applyAlignment="1">
      <alignment vertical="top"/>
    </xf>
    <xf numFmtId="0" fontId="0" fillId="6" borderId="2" xfId="0" applyFont="1" applyFill="1" applyBorder="1" applyAlignment="1">
      <alignment vertical="top"/>
    </xf>
    <xf numFmtId="0" fontId="0" fillId="6" borderId="2" xfId="0" applyFont="1" applyFill="1" applyBorder="1" applyAlignment="1">
      <alignment vertical="top" wrapText="1"/>
    </xf>
    <xf numFmtId="0" fontId="0" fillId="6" borderId="2" xfId="0" applyFont="1" applyFill="1" applyBorder="1" applyAlignment="1">
      <alignment vertical="top"/>
    </xf>
    <xf numFmtId="0" fontId="0" fillId="6" borderId="2" xfId="0" applyFont="1" applyFill="1" applyBorder="1" applyAlignment="1">
      <alignment vertical="top"/>
    </xf>
    <xf numFmtId="0" fontId="14" fillId="6" borderId="8" xfId="0" applyFont="1" applyFill="1" applyBorder="1" applyAlignment="1">
      <alignment vertical="top"/>
    </xf>
    <xf numFmtId="0" fontId="14" fillId="6" borderId="7" xfId="0" applyFont="1" applyFill="1" applyBorder="1" applyAlignment="1">
      <alignment vertical="top"/>
    </xf>
    <xf numFmtId="0" fontId="19" fillId="6" borderId="0" xfId="0" applyFont="1" applyFill="1" applyAlignment="1">
      <alignment horizontal="left" vertical="top" wrapText="1"/>
    </xf>
    <xf numFmtId="0" fontId="33" fillId="6" borderId="0" xfId="0" applyFont="1" applyFill="1" applyAlignment="1">
      <alignment horizontal="left" vertical="top" wrapText="1"/>
    </xf>
    <xf numFmtId="0" fontId="0" fillId="6" borderId="0" xfId="0" applyFont="1" applyFill="1" applyAlignment="1">
      <alignment horizontal="left" vertical="top"/>
    </xf>
    <xf numFmtId="0" fontId="61" fillId="6" borderId="13" xfId="0" applyFont="1" applyFill="1" applyBorder="1" applyAlignment="1">
      <alignment horizontal="left" vertical="top"/>
    </xf>
    <xf numFmtId="49" fontId="63" fillId="6" borderId="0" xfId="0" applyNumberFormat="1" applyFont="1" applyFill="1"/>
    <xf numFmtId="0" fontId="0" fillId="6" borderId="13" xfId="0" applyFont="1" applyFill="1" applyBorder="1" applyAlignment="1">
      <alignment horizontal="left" vertical="top"/>
    </xf>
    <xf numFmtId="0" fontId="6" fillId="6" borderId="14" xfId="0" applyFont="1" applyFill="1" applyBorder="1" applyAlignment="1">
      <alignment vertical="top"/>
    </xf>
    <xf numFmtId="49" fontId="69" fillId="6" borderId="0" xfId="0" applyNumberFormat="1" applyFont="1" applyFill="1" applyAlignment="1"/>
    <xf numFmtId="49" fontId="63" fillId="6" borderId="0" xfId="0" applyNumberFormat="1" applyFont="1" applyFill="1" applyAlignment="1"/>
    <xf numFmtId="164" fontId="0" fillId="6" borderId="0" xfId="0" applyNumberFormat="1" applyFont="1" applyFill="1" applyAlignment="1">
      <alignment horizontal="left" vertical="top" wrapText="1"/>
    </xf>
    <xf numFmtId="0" fontId="0" fillId="6" borderId="0" xfId="0" applyFont="1" applyFill="1" applyAlignment="1">
      <alignment horizontal="left" vertical="top"/>
    </xf>
    <xf numFmtId="49" fontId="0" fillId="6" borderId="0" xfId="0" applyNumberFormat="1" applyFont="1" applyFill="1"/>
    <xf numFmtId="0" fontId="0" fillId="6" borderId="0" xfId="0" applyFont="1" applyFill="1" applyAlignment="1"/>
    <xf numFmtId="49" fontId="6" fillId="6" borderId="0" xfId="0" applyNumberFormat="1" applyFont="1" applyFill="1" applyAlignment="1"/>
    <xf numFmtId="0" fontId="48" fillId="6" borderId="0" xfId="0" applyFont="1" applyFill="1" applyAlignment="1">
      <alignment vertical="top"/>
    </xf>
    <xf numFmtId="0" fontId="0" fillId="6" borderId="0" xfId="0" quotePrefix="1" applyFont="1" applyFill="1" applyAlignment="1">
      <alignment horizontal="left" vertical="top" wrapText="1"/>
    </xf>
    <xf numFmtId="0" fontId="6" fillId="6" borderId="0" xfId="0" applyFont="1" applyFill="1" applyAlignment="1">
      <alignment horizontal="right"/>
    </xf>
    <xf numFmtId="49" fontId="6" fillId="6" borderId="6" xfId="0" applyNumberFormat="1" applyFont="1" applyFill="1" applyBorder="1" applyAlignment="1"/>
    <xf numFmtId="0" fontId="0" fillId="6" borderId="2" xfId="0" applyFont="1" applyFill="1" applyBorder="1" applyAlignment="1">
      <alignment horizontal="left"/>
    </xf>
    <xf numFmtId="0" fontId="63" fillId="6" borderId="0" xfId="0" applyFont="1" applyFill="1" applyAlignment="1">
      <alignment horizontal="left" vertical="top" wrapText="1"/>
    </xf>
    <xf numFmtId="49" fontId="0" fillId="6" borderId="0" xfId="0" applyNumberFormat="1" applyFont="1" applyFill="1" applyAlignment="1"/>
    <xf numFmtId="0" fontId="13" fillId="6" borderId="0" xfId="0" applyFont="1" applyFill="1" applyAlignment="1">
      <alignment horizontal="left"/>
    </xf>
    <xf numFmtId="0" fontId="14" fillId="6" borderId="15" xfId="0" applyFont="1" applyFill="1" applyBorder="1" applyAlignment="1">
      <alignment vertical="top"/>
    </xf>
    <xf numFmtId="0" fontId="0" fillId="6" borderId="13" xfId="0" applyFont="1" applyFill="1" applyBorder="1" applyAlignment="1">
      <alignment horizontal="left" vertical="top" wrapText="1"/>
    </xf>
    <xf numFmtId="0" fontId="6" fillId="6" borderId="14" xfId="0" applyFont="1" applyFill="1" applyBorder="1" applyAlignment="1">
      <alignment vertical="top" wrapText="1"/>
    </xf>
    <xf numFmtId="0" fontId="8" fillId="6" borderId="0" xfId="0" applyFont="1" applyFill="1" applyAlignment="1">
      <alignment horizontal="left" vertical="top" wrapText="1"/>
    </xf>
    <xf numFmtId="0" fontId="0" fillId="19" borderId="0" xfId="0" applyFont="1" applyFill="1" applyAlignment="1">
      <alignment horizontal="left" vertical="top"/>
    </xf>
    <xf numFmtId="49" fontId="2" fillId="6" borderId="0" xfId="0" applyNumberFormat="1" applyFont="1" applyFill="1" applyAlignment="1">
      <alignment horizontal="left" vertical="top"/>
    </xf>
    <xf numFmtId="0" fontId="0" fillId="6" borderId="13" xfId="0" applyFont="1" applyFill="1" applyBorder="1" applyAlignment="1">
      <alignment horizontal="left" vertical="top"/>
    </xf>
    <xf numFmtId="0" fontId="53" fillId="6" borderId="9" xfId="0" applyFont="1" applyFill="1" applyBorder="1" applyAlignment="1">
      <alignment vertical="top"/>
    </xf>
    <xf numFmtId="0" fontId="2" fillId="6" borderId="0" xfId="0" applyFont="1" applyFill="1"/>
    <xf numFmtId="0" fontId="63" fillId="6" borderId="0" xfId="0" applyFont="1" applyFill="1" applyAlignment="1">
      <alignment horizontal="left" vertical="top" wrapText="1"/>
    </xf>
    <xf numFmtId="0" fontId="53" fillId="6" borderId="0" xfId="0" applyFont="1" applyFill="1" applyAlignment="1">
      <alignment vertical="top"/>
    </xf>
    <xf numFmtId="49" fontId="63" fillId="6" borderId="0" xfId="0" applyNumberFormat="1" applyFont="1" applyFill="1" applyAlignment="1">
      <alignment wrapText="1"/>
    </xf>
    <xf numFmtId="0" fontId="0" fillId="6" borderId="2" xfId="0" applyFont="1" applyFill="1" applyBorder="1" applyAlignment="1">
      <alignment horizontal="left" vertical="top"/>
    </xf>
    <xf numFmtId="0" fontId="0" fillId="6" borderId="0" xfId="0" applyFont="1" applyFill="1" applyAlignment="1">
      <alignment wrapText="1"/>
    </xf>
    <xf numFmtId="0" fontId="0" fillId="6" borderId="0" xfId="0" applyFont="1" applyFill="1" applyAlignment="1"/>
    <xf numFmtId="0" fontId="0" fillId="6" borderId="0" xfId="0" applyFont="1" applyFill="1" applyAlignment="1">
      <alignment horizontal="right"/>
    </xf>
    <xf numFmtId="0" fontId="0" fillId="6" borderId="0" xfId="0" applyFont="1" applyFill="1" applyAlignment="1">
      <alignment horizontal="right"/>
    </xf>
    <xf numFmtId="49" fontId="6" fillId="6" borderId="9" xfId="0" applyNumberFormat="1" applyFont="1" applyFill="1" applyBorder="1" applyAlignment="1"/>
    <xf numFmtId="0" fontId="0" fillId="6" borderId="0" xfId="0" applyFont="1" applyFill="1" applyAlignment="1">
      <alignment horizontal="right"/>
    </xf>
    <xf numFmtId="49" fontId="0" fillId="6" borderId="0" xfId="0" applyNumberFormat="1" applyFont="1" applyFill="1" applyAlignment="1">
      <alignment wrapText="1"/>
    </xf>
    <xf numFmtId="0" fontId="70" fillId="6" borderId="0" xfId="0" applyFont="1" applyFill="1" applyAlignment="1">
      <alignment horizontal="left" vertical="top"/>
    </xf>
    <xf numFmtId="0" fontId="6" fillId="6" borderId="16" xfId="0" applyFont="1" applyFill="1" applyBorder="1" applyAlignment="1">
      <alignment vertical="top" wrapText="1"/>
    </xf>
    <xf numFmtId="0" fontId="2" fillId="6" borderId="0" xfId="0" applyFont="1" applyFill="1" applyAlignment="1">
      <alignment horizontal="left" vertical="top"/>
    </xf>
    <xf numFmtId="0" fontId="53" fillId="10" borderId="0" xfId="0" applyFont="1" applyFill="1" applyAlignment="1">
      <alignment wrapText="1"/>
    </xf>
    <xf numFmtId="49" fontId="0" fillId="6" borderId="0" xfId="0" applyNumberFormat="1" applyFont="1" applyFill="1" applyAlignment="1"/>
    <xf numFmtId="49" fontId="14" fillId="6" borderId="0" xfId="0" applyNumberFormat="1" applyFont="1" applyFill="1" applyAlignment="1"/>
    <xf numFmtId="49" fontId="6" fillId="6" borderId="0" xfId="0" applyNumberFormat="1" applyFont="1" applyFill="1" applyAlignment="1">
      <alignment horizontal="right"/>
    </xf>
    <xf numFmtId="0" fontId="0" fillId="6" borderId="13" xfId="0" applyFont="1" applyFill="1" applyBorder="1" applyAlignment="1">
      <alignment horizontal="left" vertical="top" wrapText="1"/>
    </xf>
    <xf numFmtId="49" fontId="53" fillId="10" borderId="0" xfId="0" applyNumberFormat="1" applyFont="1" applyFill="1" applyAlignment="1">
      <alignment wrapText="1"/>
    </xf>
    <xf numFmtId="0" fontId="71" fillId="6" borderId="0" xfId="0" applyFont="1" applyFill="1" applyAlignment="1">
      <alignment horizontal="left" vertical="top" wrapText="1"/>
    </xf>
    <xf numFmtId="0" fontId="0" fillId="6" borderId="2" xfId="0" applyFont="1" applyFill="1" applyBorder="1" applyAlignment="1">
      <alignment horizontal="left" vertical="top"/>
    </xf>
    <xf numFmtId="0" fontId="59" fillId="26" borderId="0" xfId="0" applyFont="1" applyFill="1" applyAlignment="1"/>
    <xf numFmtId="49" fontId="72" fillId="6" borderId="0" xfId="0" applyNumberFormat="1" applyFont="1" applyFill="1" applyAlignment="1">
      <alignment wrapText="1"/>
    </xf>
    <xf numFmtId="0" fontId="6" fillId="6" borderId="0" xfId="0" applyFont="1" applyFill="1" applyAlignment="1">
      <alignment vertical="top" wrapText="1"/>
    </xf>
    <xf numFmtId="0" fontId="73" fillId="0" borderId="0" xfId="0" applyFont="1" applyAlignment="1"/>
    <xf numFmtId="0" fontId="0" fillId="6" borderId="0" xfId="0" applyFont="1" applyFill="1" applyAlignment="1">
      <alignment horizontal="left" vertical="top" wrapText="1"/>
    </xf>
    <xf numFmtId="0" fontId="2" fillId="6" borderId="2" xfId="0" applyFont="1" applyFill="1" applyBorder="1" applyAlignment="1">
      <alignment horizontal="left" vertical="top" wrapText="1"/>
    </xf>
    <xf numFmtId="0" fontId="74" fillId="10" borderId="0" xfId="0" applyFont="1" applyFill="1" applyAlignment="1"/>
    <xf numFmtId="0" fontId="33" fillId="6" borderId="0" xfId="0" applyFont="1" applyFill="1" applyAlignment="1">
      <alignment horizontal="left" vertical="top"/>
    </xf>
    <xf numFmtId="0" fontId="33" fillId="6" borderId="0" xfId="0" applyFont="1" applyFill="1" applyAlignment="1">
      <alignment horizontal="left" vertical="top" wrapText="1"/>
    </xf>
    <xf numFmtId="0" fontId="33" fillId="6" borderId="0" xfId="0" applyFont="1" applyFill="1" applyAlignment="1">
      <alignment horizontal="left" vertical="top"/>
    </xf>
    <xf numFmtId="0" fontId="75" fillId="6" borderId="0" xfId="0" applyFont="1" applyFill="1" applyAlignment="1">
      <alignment horizontal="left" vertical="top" wrapText="1"/>
    </xf>
    <xf numFmtId="0" fontId="33" fillId="6" borderId="0" xfId="0" applyFont="1" applyFill="1" applyAlignment="1">
      <alignment horizontal="left" vertical="top"/>
    </xf>
    <xf numFmtId="0" fontId="15" fillId="6" borderId="0" xfId="0" applyFont="1" applyFill="1" applyAlignment="1">
      <alignment horizontal="left" vertical="top" wrapText="1"/>
    </xf>
    <xf numFmtId="0" fontId="15" fillId="6" borderId="0" xfId="0" applyFont="1" applyFill="1" applyAlignment="1">
      <alignment horizontal="left" vertical="top"/>
    </xf>
    <xf numFmtId="0" fontId="71" fillId="6" borderId="2" xfId="0" applyFont="1" applyFill="1" applyBorder="1" applyAlignment="1">
      <alignment horizontal="left" vertical="top" wrapText="1"/>
    </xf>
    <xf numFmtId="0" fontId="15" fillId="6" borderId="2" xfId="0" applyFont="1" applyFill="1" applyBorder="1" applyAlignment="1">
      <alignment horizontal="left" vertical="top"/>
    </xf>
    <xf numFmtId="0" fontId="0" fillId="6" borderId="2" xfId="0" applyFont="1" applyFill="1" applyBorder="1" applyAlignment="1">
      <alignment wrapText="1"/>
    </xf>
    <xf numFmtId="49" fontId="0" fillId="6" borderId="2" xfId="0" applyNumberFormat="1" applyFont="1" applyFill="1" applyBorder="1"/>
    <xf numFmtId="0" fontId="0" fillId="6" borderId="2" xfId="0" applyFont="1" applyFill="1" applyBorder="1"/>
    <xf numFmtId="0" fontId="0" fillId="6" borderId="2" xfId="0" applyFont="1" applyFill="1" applyBorder="1" applyAlignment="1"/>
    <xf numFmtId="0" fontId="6" fillId="6" borderId="7" xfId="0" applyFont="1" applyFill="1" applyBorder="1" applyAlignment="1"/>
    <xf numFmtId="49" fontId="14" fillId="6" borderId="7" xfId="0" applyNumberFormat="1" applyFont="1" applyFill="1" applyBorder="1" applyAlignment="1"/>
    <xf numFmtId="0" fontId="33" fillId="6" borderId="2" xfId="0" applyFont="1" applyFill="1" applyBorder="1" applyAlignment="1">
      <alignment horizontal="left" vertical="top" wrapText="1"/>
    </xf>
    <xf numFmtId="0" fontId="48" fillId="6" borderId="9" xfId="0" applyFont="1" applyFill="1" applyBorder="1" applyAlignment="1">
      <alignment vertical="top"/>
    </xf>
    <xf numFmtId="0" fontId="2" fillId="6" borderId="0" xfId="0" applyFont="1" applyFill="1" applyAlignment="1">
      <alignment horizontal="left"/>
    </xf>
    <xf numFmtId="0" fontId="0" fillId="6" borderId="0" xfId="0" applyFont="1" applyFill="1" applyAlignment="1">
      <alignment horizontal="left"/>
    </xf>
    <xf numFmtId="0" fontId="0" fillId="6" borderId="17" xfId="0" applyFont="1" applyFill="1" applyBorder="1" applyAlignment="1">
      <alignment horizontal="left"/>
    </xf>
    <xf numFmtId="0" fontId="76" fillId="6" borderId="0" xfId="0" applyFont="1" applyFill="1" applyAlignment="1">
      <alignment horizontal="left"/>
    </xf>
    <xf numFmtId="49" fontId="14" fillId="6" borderId="0" xfId="0" applyNumberFormat="1" applyFont="1" applyFill="1" applyAlignment="1"/>
    <xf numFmtId="0" fontId="76" fillId="6" borderId="0" xfId="0" applyFont="1" applyFill="1" applyAlignment="1">
      <alignment horizontal="left" wrapText="1"/>
    </xf>
    <xf numFmtId="49" fontId="77" fillId="6" borderId="0" xfId="0" applyNumberFormat="1" applyFont="1" applyFill="1" applyAlignment="1"/>
    <xf numFmtId="0" fontId="78" fillId="10" borderId="0" xfId="0" applyFont="1" applyFill="1" applyAlignment="1"/>
    <xf numFmtId="0" fontId="71" fillId="6" borderId="0" xfId="0" applyFont="1" applyFill="1" applyAlignment="1">
      <alignment horizontal="left" vertical="top"/>
    </xf>
    <xf numFmtId="0" fontId="2" fillId="6" borderId="0" xfId="0" applyFont="1" applyFill="1" applyAlignment="1">
      <alignment horizontal="left" vertical="top"/>
    </xf>
    <xf numFmtId="0" fontId="0" fillId="6" borderId="2" xfId="0" applyFont="1" applyFill="1" applyBorder="1" applyAlignment="1"/>
    <xf numFmtId="11" fontId="0" fillId="6" borderId="0" xfId="0" applyNumberFormat="1" applyFont="1" applyFill="1" applyAlignment="1">
      <alignment horizontal="left" vertical="top"/>
    </xf>
    <xf numFmtId="49" fontId="53" fillId="10" borderId="0" xfId="0" applyNumberFormat="1" applyFont="1" applyFill="1" applyAlignment="1"/>
    <xf numFmtId="49" fontId="0" fillId="6" borderId="2" xfId="0" applyNumberFormat="1" applyFont="1" applyFill="1" applyBorder="1" applyAlignment="1">
      <alignment horizontal="left" vertical="top"/>
    </xf>
    <xf numFmtId="49" fontId="0" fillId="6" borderId="0" xfId="0" applyNumberFormat="1" applyFont="1" applyFill="1" applyAlignment="1">
      <alignment horizontal="left" vertical="top"/>
    </xf>
    <xf numFmtId="49" fontId="0" fillId="6" borderId="0" xfId="0" applyNumberFormat="1" applyFont="1" applyFill="1" applyAlignment="1">
      <alignment horizontal="left" vertical="top"/>
    </xf>
    <xf numFmtId="0" fontId="13" fillId="6" borderId="0" xfId="0" applyFont="1" applyFill="1" applyAlignment="1">
      <alignment vertical="top" wrapText="1"/>
    </xf>
    <xf numFmtId="0" fontId="42" fillId="0" borderId="9" xfId="0" applyFont="1" applyBorder="1" applyAlignment="1">
      <alignment vertical="top"/>
    </xf>
    <xf numFmtId="0" fontId="42" fillId="0" borderId="9" xfId="0" applyFont="1" applyBorder="1" applyAlignment="1">
      <alignment vertical="top"/>
    </xf>
    <xf numFmtId="0" fontId="71" fillId="6" borderId="0" xfId="0" applyFont="1" applyFill="1" applyAlignment="1">
      <alignment horizontal="left" vertical="top"/>
    </xf>
    <xf numFmtId="0" fontId="79" fillId="0" borderId="0" xfId="0" applyFont="1" applyAlignment="1"/>
    <xf numFmtId="0" fontId="14" fillId="6" borderId="9" xfId="0" applyFont="1" applyFill="1" applyBorder="1" applyAlignment="1"/>
    <xf numFmtId="0" fontId="6" fillId="6" borderId="0" xfId="0" applyFont="1" applyFill="1" applyAlignment="1"/>
    <xf numFmtId="0" fontId="80" fillId="6" borderId="0" xfId="0" applyFont="1" applyFill="1" applyAlignment="1">
      <alignment horizontal="left" vertical="top" wrapText="1"/>
    </xf>
    <xf numFmtId="0" fontId="6" fillId="23" borderId="0" xfId="0" applyFont="1" applyFill="1" applyAlignment="1">
      <alignment vertical="top" wrapText="1"/>
    </xf>
    <xf numFmtId="0" fontId="42" fillId="6" borderId="9" xfId="0" applyFont="1" applyFill="1" applyBorder="1" applyAlignment="1"/>
    <xf numFmtId="0" fontId="0" fillId="6" borderId="2" xfId="0" applyFont="1" applyFill="1" applyBorder="1" applyAlignment="1">
      <alignment horizontal="left" vertical="top" wrapText="1"/>
    </xf>
    <xf numFmtId="0" fontId="81" fillId="10" borderId="0" xfId="0" applyFont="1" applyFill="1" applyAlignment="1">
      <alignment horizontal="left"/>
    </xf>
    <xf numFmtId="49" fontId="2" fillId="6" borderId="0" xfId="0" applyNumberFormat="1" applyFont="1" applyFill="1" applyAlignment="1">
      <alignment vertical="top"/>
    </xf>
    <xf numFmtId="0" fontId="6" fillId="6" borderId="0" xfId="0" applyFont="1" applyFill="1" applyAlignment="1">
      <alignment wrapText="1"/>
    </xf>
    <xf numFmtId="0" fontId="82" fillId="27" borderId="0" xfId="0" applyFont="1" applyFill="1" applyAlignment="1">
      <alignment horizontal="left"/>
    </xf>
    <xf numFmtId="0" fontId="60" fillId="27" borderId="0" xfId="0" applyFont="1" applyFill="1" applyAlignment="1">
      <alignment horizontal="left"/>
    </xf>
    <xf numFmtId="0" fontId="47" fillId="6" borderId="0" xfId="0" applyFont="1" applyFill="1" applyAlignment="1">
      <alignment vertical="top"/>
    </xf>
    <xf numFmtId="0" fontId="42" fillId="6" borderId="0" xfId="0" applyFont="1" applyFill="1" applyAlignment="1">
      <alignment vertical="top"/>
    </xf>
    <xf numFmtId="0" fontId="47" fillId="6" borderId="0" xfId="0" applyFont="1" applyFill="1" applyAlignment="1">
      <alignment vertical="top"/>
    </xf>
    <xf numFmtId="0" fontId="42" fillId="6" borderId="9" xfId="0" applyFont="1" applyFill="1" applyBorder="1" applyAlignment="1">
      <alignment vertical="top"/>
    </xf>
    <xf numFmtId="0" fontId="83" fillId="6" borderId="0" xfId="0" applyFont="1" applyFill="1" applyAlignment="1">
      <alignment vertical="top"/>
    </xf>
    <xf numFmtId="0" fontId="83" fillId="6" borderId="0" xfId="0" applyFont="1" applyFill="1" applyAlignment="1">
      <alignment vertical="top"/>
    </xf>
    <xf numFmtId="0" fontId="0" fillId="6" borderId="0" xfId="0" applyFont="1" applyFill="1" applyAlignment="1">
      <alignment horizontal="left" wrapText="1"/>
    </xf>
    <xf numFmtId="0" fontId="0" fillId="6" borderId="2" xfId="0" applyFont="1" applyFill="1" applyBorder="1" applyAlignment="1">
      <alignment horizontal="left" wrapText="1"/>
    </xf>
    <xf numFmtId="0" fontId="0" fillId="6" borderId="2" xfId="0" applyFont="1" applyFill="1" applyBorder="1" applyAlignment="1">
      <alignment horizontal="left"/>
    </xf>
    <xf numFmtId="0" fontId="83" fillId="6" borderId="9" xfId="0" applyFont="1" applyFill="1" applyBorder="1" applyAlignment="1">
      <alignment vertical="top"/>
    </xf>
    <xf numFmtId="0" fontId="83" fillId="6" borderId="9" xfId="0" applyFont="1" applyFill="1" applyBorder="1" applyAlignment="1">
      <alignment vertical="top"/>
    </xf>
    <xf numFmtId="0" fontId="48" fillId="6" borderId="0" xfId="0" applyFont="1" applyFill="1" applyAlignment="1">
      <alignment vertical="top" wrapText="1"/>
    </xf>
    <xf numFmtId="0" fontId="6" fillId="6" borderId="9" xfId="0" applyFont="1" applyFill="1" applyBorder="1" applyAlignment="1"/>
    <xf numFmtId="0" fontId="84" fillId="10" borderId="0" xfId="0" applyFont="1" applyFill="1" applyAlignment="1">
      <alignment horizontal="left"/>
    </xf>
    <xf numFmtId="0" fontId="85" fillId="0" borderId="0" xfId="0" applyFont="1" applyAlignment="1">
      <alignment wrapText="1"/>
    </xf>
    <xf numFmtId="0" fontId="86" fillId="10" borderId="0" xfId="0" applyFont="1" applyFill="1" applyAlignment="1">
      <alignment wrapText="1"/>
    </xf>
    <xf numFmtId="0" fontId="14" fillId="0" borderId="0" xfId="0" applyFont="1" applyAlignment="1">
      <alignment wrapText="1"/>
    </xf>
    <xf numFmtId="0" fontId="6" fillId="6" borderId="9" xfId="0" applyFont="1" applyFill="1" applyBorder="1" applyAlignment="1">
      <alignment vertical="top"/>
    </xf>
    <xf numFmtId="0" fontId="87" fillId="0" borderId="0" xfId="0" applyFont="1" applyAlignment="1">
      <alignment wrapText="1"/>
    </xf>
    <xf numFmtId="0" fontId="88" fillId="6" borderId="9" xfId="0" applyFont="1" applyFill="1" applyBorder="1" applyAlignment="1">
      <alignment vertical="top"/>
    </xf>
    <xf numFmtId="0" fontId="88" fillId="6" borderId="0" xfId="0" applyFont="1" applyFill="1" applyAlignment="1">
      <alignment vertical="top"/>
    </xf>
    <xf numFmtId="0" fontId="56" fillId="6" borderId="0" xfId="0" applyFont="1" applyFill="1" applyAlignment="1">
      <alignment horizontal="left"/>
    </xf>
    <xf numFmtId="0" fontId="89" fillId="10" borderId="0" xfId="0" applyFont="1" applyFill="1" applyAlignment="1"/>
    <xf numFmtId="0" fontId="90" fillId="10" borderId="0" xfId="0" applyFont="1" applyFill="1" applyAlignment="1">
      <alignment horizontal="left" wrapText="1"/>
    </xf>
    <xf numFmtId="0" fontId="14" fillId="0" borderId="0" xfId="0" applyFont="1"/>
    <xf numFmtId="0" fontId="91" fillId="0" borderId="0" xfId="0" applyFont="1" applyAlignment="1"/>
    <xf numFmtId="0" fontId="14" fillId="0" borderId="0" xfId="0" applyFont="1" applyAlignment="1"/>
    <xf numFmtId="0" fontId="14" fillId="14" borderId="0" xfId="0" applyFont="1" applyFill="1" applyAlignment="1">
      <alignment wrapText="1"/>
    </xf>
    <xf numFmtId="0" fontId="14" fillId="0" borderId="0" xfId="0" applyFont="1" applyAlignment="1">
      <alignment wrapText="1"/>
    </xf>
    <xf numFmtId="0" fontId="14" fillId="0" borderId="0" xfId="0" applyFont="1" applyAlignment="1"/>
    <xf numFmtId="0" fontId="92" fillId="0" borderId="0" xfId="0" applyFont="1" applyAlignment="1"/>
    <xf numFmtId="0" fontId="14" fillId="0" borderId="0" xfId="0" applyFont="1"/>
    <xf numFmtId="0" fontId="93" fillId="6" borderId="0" xfId="0" applyFont="1" applyFill="1" applyAlignment="1">
      <alignment vertical="top"/>
    </xf>
    <xf numFmtId="0" fontId="14" fillId="0" borderId="9" xfId="0" applyFont="1" applyBorder="1" applyAlignment="1"/>
    <xf numFmtId="0" fontId="14" fillId="0" borderId="9" xfId="0" applyFont="1" applyBorder="1" applyAlignment="1"/>
    <xf numFmtId="0" fontId="14" fillId="0" borderId="0" xfId="0" applyFont="1" applyAlignment="1"/>
    <xf numFmtId="0" fontId="13" fillId="6" borderId="0" xfId="0" applyFont="1" applyFill="1" applyAlignment="1">
      <alignment vertical="top"/>
    </xf>
    <xf numFmtId="0" fontId="91" fillId="0" borderId="0" xfId="0" applyFont="1"/>
    <xf numFmtId="0" fontId="91" fillId="0" borderId="0" xfId="0" applyFont="1"/>
    <xf numFmtId="0" fontId="14" fillId="0" borderId="0" xfId="0" applyFont="1"/>
    <xf numFmtId="0" fontId="14" fillId="0" borderId="0" xfId="0" applyFont="1" applyAlignment="1"/>
    <xf numFmtId="0" fontId="94" fillId="10" borderId="0" xfId="0" applyFont="1" applyFill="1" applyAlignment="1">
      <alignment horizontal="left"/>
    </xf>
    <xf numFmtId="0" fontId="95" fillId="28" borderId="0" xfId="0" applyFont="1" applyFill="1" applyAlignment="1"/>
    <xf numFmtId="0" fontId="95" fillId="28" borderId="0" xfId="0" applyFont="1" applyFill="1" applyAlignment="1">
      <alignment wrapText="1"/>
    </xf>
    <xf numFmtId="0" fontId="14" fillId="29" borderId="0" xfId="0" applyFont="1" applyFill="1" applyAlignment="1">
      <alignment wrapText="1"/>
    </xf>
    <xf numFmtId="0" fontId="14" fillId="29" borderId="0" xfId="0" applyFont="1" applyFill="1" applyAlignment="1"/>
    <xf numFmtId="0" fontId="14" fillId="0" borderId="0" xfId="0" applyFont="1" applyAlignment="1">
      <alignment horizontal="left"/>
    </xf>
    <xf numFmtId="0" fontId="50" fillId="0" borderId="0" xfId="0" applyFont="1" applyAlignment="1"/>
    <xf numFmtId="0" fontId="50" fillId="0" borderId="0" xfId="0" applyFont="1" applyAlignment="1">
      <alignment horizontal="right"/>
    </xf>
    <xf numFmtId="0" fontId="50" fillId="0" borderId="0" xfId="0" applyFont="1" applyAlignment="1"/>
    <xf numFmtId="0" fontId="50" fillId="0" borderId="0" xfId="0" applyFont="1" applyAlignment="1"/>
    <xf numFmtId="16" fontId="50" fillId="0" borderId="0" xfId="0" applyNumberFormat="1" applyFont="1" applyAlignment="1"/>
    <xf numFmtId="49" fontId="74" fillId="10" borderId="0" xfId="0" applyNumberFormat="1" applyFont="1" applyFill="1"/>
    <xf numFmtId="0" fontId="96" fillId="0" borderId="0" xfId="0" applyFont="1" applyAlignment="1">
      <alignment horizontal="center"/>
    </xf>
    <xf numFmtId="0" fontId="50" fillId="0" borderId="0" xfId="0" applyFont="1" applyAlignment="1"/>
    <xf numFmtId="0" fontId="50" fillId="0" borderId="0" xfId="0" applyFont="1" applyAlignment="1">
      <alignment horizontal="right"/>
    </xf>
    <xf numFmtId="0" fontId="50" fillId="0" borderId="0" xfId="0" applyFont="1"/>
    <xf numFmtId="0" fontId="97" fillId="30" borderId="1" xfId="0" applyFont="1" applyFill="1" applyBorder="1" applyAlignment="1">
      <alignment vertical="top" wrapText="1"/>
    </xf>
    <xf numFmtId="0" fontId="97" fillId="30" borderId="1" xfId="0" applyFont="1" applyFill="1" applyBorder="1" applyAlignment="1">
      <alignment horizontal="left" vertical="top" wrapText="1"/>
    </xf>
    <xf numFmtId="0" fontId="3" fillId="0" borderId="0" xfId="0" applyFont="1" applyAlignment="1">
      <alignment vertical="top" wrapText="1"/>
    </xf>
    <xf numFmtId="0" fontId="7" fillId="0" borderId="0" xfId="0" applyFont="1" applyAlignment="1">
      <alignment vertical="top" wrapText="1"/>
    </xf>
    <xf numFmtId="0" fontId="98" fillId="6" borderId="0" xfId="0" applyFont="1" applyFill="1" applyAlignment="1">
      <alignment vertical="top" wrapText="1"/>
    </xf>
    <xf numFmtId="0" fontId="7" fillId="0" borderId="0" xfId="0" applyFont="1" applyAlignment="1">
      <alignment horizontal="left" vertical="top" wrapText="1"/>
    </xf>
    <xf numFmtId="0" fontId="1" fillId="13" borderId="2" xfId="0" applyFont="1" applyFill="1" applyBorder="1" applyAlignment="1">
      <alignment horizontal="left" vertical="top" wrapText="1"/>
    </xf>
    <xf numFmtId="0" fontId="3" fillId="0" borderId="0" xfId="0" applyFont="1" applyAlignment="1">
      <alignment horizontal="left" vertical="top" wrapText="1"/>
    </xf>
    <xf numFmtId="0" fontId="1" fillId="13" borderId="2" xfId="0" quotePrefix="1" applyFont="1" applyFill="1" applyBorder="1" applyAlignment="1">
      <alignment vertical="top" wrapText="1"/>
    </xf>
    <xf numFmtId="0" fontId="1" fillId="0" borderId="0" xfId="0" quotePrefix="1" applyFont="1" applyAlignment="1">
      <alignment vertical="top" wrapText="1"/>
    </xf>
    <xf numFmtId="0" fontId="4" fillId="0" borderId="0" xfId="0" quotePrefix="1" applyFont="1" applyAlignment="1">
      <alignment horizontal="left" vertical="top" wrapText="1"/>
    </xf>
    <xf numFmtId="0" fontId="1" fillId="0" borderId="0" xfId="0" quotePrefix="1" applyFont="1" applyAlignment="1">
      <alignment horizontal="left" vertical="top" wrapText="1"/>
    </xf>
    <xf numFmtId="0" fontId="3" fillId="31" borderId="2" xfId="0" applyFont="1" applyFill="1" applyBorder="1" applyAlignment="1">
      <alignment horizontal="left" vertical="top" wrapText="1"/>
    </xf>
    <xf numFmtId="0" fontId="1" fillId="31" borderId="2" xfId="0" applyFont="1" applyFill="1" applyBorder="1" applyAlignment="1">
      <alignment horizontal="left" vertical="top" wrapText="1"/>
    </xf>
    <xf numFmtId="0" fontId="4" fillId="31" borderId="2" xfId="0" applyFont="1" applyFill="1" applyBorder="1" applyAlignment="1">
      <alignment horizontal="left" vertical="top" wrapText="1"/>
    </xf>
    <xf numFmtId="0" fontId="1" fillId="31" borderId="2" xfId="0" applyFont="1" applyFill="1" applyBorder="1" applyAlignment="1">
      <alignment vertical="top" wrapText="1"/>
    </xf>
    <xf numFmtId="0" fontId="1" fillId="31" borderId="2" xfId="0" quotePrefix="1" applyFont="1" applyFill="1" applyBorder="1" applyAlignment="1">
      <alignment horizontal="left" vertical="top" wrapText="1"/>
    </xf>
    <xf numFmtId="0" fontId="95" fillId="32" borderId="0" xfId="0" applyFont="1" applyFill="1" applyAlignment="1"/>
    <xf numFmtId="0" fontId="7" fillId="33" borderId="2" xfId="0" applyFont="1" applyFill="1" applyBorder="1" applyAlignment="1">
      <alignment horizontal="left" vertical="top" wrapText="1"/>
    </xf>
    <xf numFmtId="0" fontId="1" fillId="33" borderId="2" xfId="0" applyFont="1" applyFill="1" applyBorder="1" applyAlignment="1">
      <alignment horizontal="left" vertical="top" wrapText="1"/>
    </xf>
    <xf numFmtId="0" fontId="1" fillId="33" borderId="2" xfId="0" applyFont="1" applyFill="1" applyBorder="1" applyAlignment="1">
      <alignment vertical="top" wrapText="1"/>
    </xf>
    <xf numFmtId="0" fontId="99" fillId="0" borderId="0" xfId="0" applyFont="1" applyAlignment="1">
      <alignment horizontal="left" vertical="top" wrapText="1"/>
    </xf>
    <xf numFmtId="0" fontId="99" fillId="0" borderId="0" xfId="0" applyFont="1" applyAlignment="1">
      <alignment vertical="top" wrapText="1"/>
    </xf>
    <xf numFmtId="0" fontId="12" fillId="0" borderId="0" xfId="0" applyFont="1" applyAlignment="1">
      <alignment horizontal="left" vertical="top" wrapText="1"/>
    </xf>
    <xf numFmtId="0" fontId="4" fillId="13" borderId="2" xfId="0" applyFont="1" applyFill="1" applyBorder="1" applyAlignment="1">
      <alignment horizontal="left" vertical="top" wrapText="1"/>
    </xf>
    <xf numFmtId="0" fontId="6" fillId="6" borderId="0" xfId="0" applyFont="1" applyFill="1" applyAlignment="1">
      <alignment horizontal="left"/>
    </xf>
    <xf numFmtId="0" fontId="1" fillId="13" borderId="2" xfId="0" applyFont="1" applyFill="1" applyBorder="1" applyAlignment="1">
      <alignment vertical="top" wrapText="1"/>
    </xf>
    <xf numFmtId="0" fontId="99" fillId="13" borderId="2" xfId="0" applyFont="1" applyFill="1" applyBorder="1" applyAlignment="1">
      <alignment horizontal="left" vertical="top" wrapText="1"/>
    </xf>
    <xf numFmtId="0" fontId="100" fillId="0" borderId="0" xfId="0" applyFont="1" applyAlignment="1">
      <alignment horizontal="left" vertical="top" wrapText="1"/>
    </xf>
    <xf numFmtId="0" fontId="7" fillId="34" borderId="2" xfId="0" applyFont="1" applyFill="1" applyBorder="1" applyAlignment="1">
      <alignment horizontal="left" vertical="top" wrapText="1"/>
    </xf>
    <xf numFmtId="0" fontId="101" fillId="34" borderId="2" xfId="0" applyFont="1" applyFill="1" applyBorder="1" applyAlignment="1">
      <alignment horizontal="left" vertical="top" wrapText="1"/>
    </xf>
    <xf numFmtId="0" fontId="1" fillId="34" borderId="2" xfId="0" applyFont="1" applyFill="1" applyBorder="1" applyAlignment="1">
      <alignment horizontal="left" vertical="top" wrapText="1"/>
    </xf>
    <xf numFmtId="0" fontId="101" fillId="34" borderId="2" xfId="0" applyFont="1" applyFill="1" applyBorder="1" applyAlignment="1">
      <alignment vertical="top" wrapText="1"/>
    </xf>
    <xf numFmtId="0" fontId="102" fillId="0" borderId="0" xfId="0" applyFont="1" applyAlignment="1">
      <alignment horizontal="left" vertical="top" wrapText="1"/>
    </xf>
    <xf numFmtId="0" fontId="1" fillId="34" borderId="2" xfId="0" applyFont="1" applyFill="1" applyBorder="1" applyAlignment="1">
      <alignment vertical="top" wrapText="1"/>
    </xf>
    <xf numFmtId="0" fontId="4" fillId="34" borderId="2" xfId="0" applyFont="1" applyFill="1" applyBorder="1" applyAlignment="1">
      <alignment vertical="top" wrapText="1"/>
    </xf>
    <xf numFmtId="0" fontId="4" fillId="34" borderId="2" xfId="0" applyFont="1" applyFill="1" applyBorder="1" applyAlignment="1">
      <alignment horizontal="left" vertical="top" wrapText="1"/>
    </xf>
    <xf numFmtId="0" fontId="103" fillId="0" borderId="0" xfId="0" applyFont="1" applyAlignment="1">
      <alignment horizontal="left" vertical="top" wrapText="1"/>
    </xf>
    <xf numFmtId="0" fontId="101" fillId="34" borderId="2" xfId="0" applyFont="1" applyFill="1" applyBorder="1" applyAlignment="1">
      <alignment horizontal="left" vertical="top"/>
    </xf>
    <xf numFmtId="0" fontId="32" fillId="34" borderId="2" xfId="0" applyFont="1" applyFill="1" applyBorder="1" applyAlignment="1">
      <alignment horizontal="left" vertical="top" wrapText="1"/>
    </xf>
    <xf numFmtId="0" fontId="12" fillId="34" borderId="2" xfId="0" applyFont="1" applyFill="1" applyBorder="1" applyAlignment="1">
      <alignment horizontal="left" vertical="top" wrapText="1"/>
    </xf>
    <xf numFmtId="0" fontId="12" fillId="34" borderId="2" xfId="0" applyFont="1" applyFill="1" applyBorder="1" applyAlignment="1">
      <alignment vertical="top" wrapText="1"/>
    </xf>
    <xf numFmtId="0" fontId="104" fillId="34" borderId="2" xfId="0" applyFont="1" applyFill="1" applyBorder="1" applyAlignment="1">
      <alignment horizontal="left" vertical="top" wrapText="1"/>
    </xf>
    <xf numFmtId="0" fontId="99" fillId="34" borderId="2" xfId="0" applyFont="1" applyFill="1" applyBorder="1" applyAlignment="1">
      <alignment vertical="top" wrapText="1"/>
    </xf>
    <xf numFmtId="0" fontId="99" fillId="34" borderId="2" xfId="0" applyFont="1" applyFill="1" applyBorder="1" applyAlignment="1">
      <alignment horizontal="left" vertical="top" wrapText="1"/>
    </xf>
    <xf numFmtId="0" fontId="102" fillId="34" borderId="2" xfId="0" applyFont="1" applyFill="1" applyBorder="1" applyAlignment="1">
      <alignment horizontal="left" vertical="top" wrapText="1"/>
    </xf>
    <xf numFmtId="0" fontId="105" fillId="34" borderId="2" xfId="0" applyFont="1" applyFill="1" applyBorder="1" applyAlignment="1">
      <alignment horizontal="left" vertical="top" wrapText="1"/>
    </xf>
    <xf numFmtId="0" fontId="32" fillId="0" borderId="0" xfId="0" applyFont="1" applyAlignment="1">
      <alignment vertical="top" wrapText="1"/>
    </xf>
    <xf numFmtId="0" fontId="106" fillId="0" borderId="0" xfId="0" applyFont="1" applyAlignment="1">
      <alignment horizontal="left" vertical="top" wrapText="1"/>
    </xf>
    <xf numFmtId="0" fontId="106" fillId="0" borderId="0" xfId="0" applyFont="1" applyAlignment="1">
      <alignment vertical="top" wrapText="1"/>
    </xf>
    <xf numFmtId="0" fontId="4" fillId="0" borderId="0" xfId="0" applyFont="1" applyAlignment="1">
      <alignment vertical="top"/>
    </xf>
    <xf numFmtId="0" fontId="1" fillId="13" borderId="2" xfId="0" applyFont="1" applyFill="1" applyBorder="1" applyAlignment="1">
      <alignment vertical="top"/>
    </xf>
    <xf numFmtId="0" fontId="13" fillId="6" borderId="0" xfId="0" applyFont="1" applyFill="1" applyAlignment="1">
      <alignment vertical="top"/>
    </xf>
    <xf numFmtId="0" fontId="4" fillId="0" borderId="0" xfId="0" quotePrefix="1" applyFont="1" applyAlignment="1">
      <alignment vertical="top" wrapText="1"/>
    </xf>
    <xf numFmtId="0" fontId="14" fillId="6" borderId="9" xfId="0" applyFont="1" applyFill="1" applyBorder="1" applyAlignment="1"/>
    <xf numFmtId="0" fontId="6" fillId="6" borderId="0" xfId="0" applyFont="1" applyFill="1"/>
    <xf numFmtId="0" fontId="6" fillId="6" borderId="9" xfId="0" applyFont="1" applyFill="1" applyBorder="1" applyAlignment="1">
      <alignment wrapText="1"/>
    </xf>
    <xf numFmtId="0" fontId="6" fillId="6" borderId="9" xfId="0" applyFont="1" applyFill="1" applyBorder="1" applyAlignment="1"/>
    <xf numFmtId="49" fontId="107" fillId="0" borderId="0" xfId="0" applyNumberFormat="1" applyFont="1" applyAlignment="1"/>
    <xf numFmtId="0" fontId="48" fillId="0" borderId="0" xfId="0" applyFont="1" applyAlignment="1">
      <alignment wrapText="1"/>
    </xf>
    <xf numFmtId="0" fontId="13" fillId="6" borderId="10" xfId="0" applyFont="1" applyFill="1" applyBorder="1" applyAlignment="1">
      <alignment vertical="top" wrapText="1"/>
    </xf>
    <xf numFmtId="0" fontId="14" fillId="6" borderId="10" xfId="0" applyFont="1" applyFill="1" applyBorder="1" applyAlignment="1">
      <alignment vertical="top"/>
    </xf>
    <xf numFmtId="0" fontId="6" fillId="6" borderId="10" xfId="0" applyFont="1" applyFill="1" applyBorder="1" applyAlignment="1">
      <alignment vertical="top" wrapText="1"/>
    </xf>
    <xf numFmtId="0" fontId="42" fillId="6" borderId="18" xfId="0" applyFont="1" applyFill="1" applyBorder="1" applyAlignment="1">
      <alignment vertical="top"/>
    </xf>
    <xf numFmtId="0" fontId="6" fillId="6" borderId="10" xfId="0" applyFont="1" applyFill="1" applyBorder="1" applyAlignment="1">
      <alignment vertical="top"/>
    </xf>
    <xf numFmtId="0" fontId="0" fillId="35" borderId="0" xfId="0" applyFont="1" applyFill="1" applyAlignment="1">
      <alignment horizontal="left" vertical="top"/>
    </xf>
    <xf numFmtId="49" fontId="14" fillId="6" borderId="0" xfId="0" applyNumberFormat="1" applyFont="1" applyFill="1" applyAlignment="1">
      <alignment vertical="top"/>
    </xf>
    <xf numFmtId="0" fontId="6" fillId="6" borderId="7" xfId="0" applyFont="1" applyFill="1" applyBorder="1" applyAlignment="1">
      <alignment vertical="top" wrapText="1"/>
    </xf>
    <xf numFmtId="0" fontId="6" fillId="6" borderId="6" xfId="0" applyFont="1" applyFill="1" applyBorder="1" applyAlignment="1">
      <alignment vertical="top" wrapText="1"/>
    </xf>
    <xf numFmtId="0" fontId="6" fillId="6" borderId="0" xfId="0" applyFont="1" applyFill="1" applyAlignment="1">
      <alignment horizontal="left" vertical="top"/>
    </xf>
    <xf numFmtId="0" fontId="108" fillId="0" borderId="0" xfId="0" applyFont="1" applyAlignment="1">
      <alignment horizontal="left" vertical="top"/>
    </xf>
    <xf numFmtId="0" fontId="6" fillId="6" borderId="0" xfId="0" applyFont="1" applyFill="1" applyAlignment="1"/>
    <xf numFmtId="0" fontId="14" fillId="6" borderId="0" xfId="0" applyFont="1" applyFill="1"/>
    <xf numFmtId="0" fontId="14" fillId="6" borderId="7" xfId="0" applyFont="1" applyFill="1" applyBorder="1"/>
    <xf numFmtId="49" fontId="13" fillId="6" borderId="0" xfId="0" applyNumberFormat="1" applyFont="1" applyFill="1" applyAlignment="1">
      <alignment vertical="top" wrapText="1"/>
    </xf>
    <xf numFmtId="49" fontId="47" fillId="6" borderId="0" xfId="0" applyNumberFormat="1" applyFont="1" applyFill="1" applyAlignment="1">
      <alignment vertical="top" wrapText="1"/>
    </xf>
    <xf numFmtId="49" fontId="47" fillId="6" borderId="0" xfId="0" applyNumberFormat="1" applyFont="1" applyFill="1"/>
    <xf numFmtId="49" fontId="47" fillId="6" borderId="9" xfId="0" applyNumberFormat="1" applyFont="1" applyFill="1" applyBorder="1" applyAlignment="1"/>
    <xf numFmtId="0" fontId="42" fillId="6" borderId="0" xfId="0" applyFont="1" applyFill="1" applyAlignment="1">
      <alignment wrapText="1"/>
    </xf>
    <xf numFmtId="49" fontId="6" fillId="6" borderId="8" xfId="0" applyNumberFormat="1" applyFont="1" applyFill="1" applyBorder="1" applyAlignment="1">
      <alignment vertical="top" wrapText="1"/>
    </xf>
    <xf numFmtId="0" fontId="42" fillId="6" borderId="7" xfId="0" applyFont="1" applyFill="1" applyBorder="1" applyAlignment="1">
      <alignment vertical="top" wrapText="1"/>
    </xf>
    <xf numFmtId="0" fontId="6" fillId="6" borderId="7" xfId="0" applyFont="1" applyFill="1" applyBorder="1" applyAlignment="1">
      <alignment vertical="top"/>
    </xf>
    <xf numFmtId="0" fontId="14" fillId="6" borderId="7" xfId="0" applyFont="1" applyFill="1" applyBorder="1" applyAlignment="1">
      <alignment vertical="top"/>
    </xf>
    <xf numFmtId="0" fontId="42" fillId="6" borderId="7" xfId="0" applyFont="1" applyFill="1" applyBorder="1" applyAlignment="1">
      <alignment vertical="top"/>
    </xf>
    <xf numFmtId="0" fontId="88" fillId="6" borderId="7" xfId="0" applyFont="1" applyFill="1" applyBorder="1" applyAlignment="1">
      <alignment vertical="top"/>
    </xf>
    <xf numFmtId="0" fontId="88" fillId="6" borderId="7" xfId="0" applyFont="1" applyFill="1" applyBorder="1" applyAlignment="1">
      <alignment wrapText="1"/>
    </xf>
    <xf numFmtId="0" fontId="88" fillId="6" borderId="7" xfId="0" applyFont="1" applyFill="1" applyBorder="1" applyAlignment="1">
      <alignment vertical="top"/>
    </xf>
    <xf numFmtId="0" fontId="42" fillId="6" borderId="7" xfId="0" applyFont="1" applyFill="1" applyBorder="1" applyAlignment="1">
      <alignment vertical="top"/>
    </xf>
    <xf numFmtId="0" fontId="108" fillId="0" borderId="0" xfId="0" applyFont="1" applyAlignment="1">
      <alignment horizontal="left" vertical="top" wrapText="1"/>
    </xf>
    <xf numFmtId="0" fontId="109" fillId="6" borderId="0" xfId="0" applyFont="1" applyFill="1" applyAlignment="1">
      <alignment vertical="top"/>
    </xf>
    <xf numFmtId="0" fontId="0" fillId="0" borderId="19" xfId="0" pivotButton="1" applyFont="1" applyBorder="1" applyAlignment="1"/>
    <xf numFmtId="0" fontId="0" fillId="0" borderId="20" xfId="0" applyFont="1" applyBorder="1" applyAlignment="1"/>
    <xf numFmtId="0" fontId="0" fillId="0" borderId="19" xfId="0" applyFont="1" applyBorder="1" applyAlignment="1"/>
    <xf numFmtId="0" fontId="0" fillId="0" borderId="20" xfId="0" applyNumberFormat="1" applyFont="1" applyBorder="1" applyAlignment="1"/>
    <xf numFmtId="0" fontId="0" fillId="0" borderId="21" xfId="0" applyFont="1" applyBorder="1" applyAlignment="1"/>
    <xf numFmtId="0" fontId="0" fillId="0" borderId="22" xfId="0" applyFont="1" applyBorder="1" applyAlignment="1"/>
    <xf numFmtId="0" fontId="0" fillId="0" borderId="23" xfId="0" applyNumberFormat="1" applyFont="1" applyBorder="1" applyAlignment="1"/>
    <xf numFmtId="0" fontId="0" fillId="0" borderId="24" xfId="0" applyFont="1" applyBorder="1" applyAlignment="1"/>
    <xf numFmtId="0" fontId="0" fillId="0" borderId="25" xfId="0" applyNumberFormat="1" applyFont="1" applyBorder="1" applyAlignment="1"/>
    <xf numFmtId="0" fontId="0" fillId="0" borderId="25" xfId="0" pivotButton="1" applyFont="1" applyBorder="1" applyAlignment="1"/>
    <xf numFmtId="0" fontId="0" fillId="0" borderId="25" xfId="0" applyFont="1" applyBorder="1" applyAlignment="1"/>
    <xf numFmtId="0" fontId="0" fillId="0" borderId="26" xfId="0" applyFont="1" applyBorder="1" applyAlignment="1"/>
    <xf numFmtId="0" fontId="0" fillId="0" borderId="27" xfId="0" applyFont="1" applyBorder="1" applyAlignment="1"/>
    <xf numFmtId="0" fontId="0" fillId="0" borderId="28" xfId="0" applyFont="1" applyBorder="1" applyAlignment="1"/>
    <xf numFmtId="0" fontId="0" fillId="0" borderId="29" xfId="0" applyFont="1" applyBorder="1" applyAlignment="1"/>
    <xf numFmtId="0" fontId="0" fillId="0" borderId="19" xfId="0" applyNumberFormat="1" applyFont="1" applyBorder="1" applyAlignment="1"/>
    <xf numFmtId="0" fontId="0" fillId="0" borderId="28" xfId="0" applyNumberFormat="1" applyFont="1" applyBorder="1" applyAlignment="1"/>
    <xf numFmtId="0" fontId="0" fillId="0" borderId="29" xfId="0" applyNumberFormat="1" applyFont="1" applyBorder="1" applyAlignment="1"/>
    <xf numFmtId="0" fontId="0" fillId="0" borderId="22" xfId="0" applyNumberFormat="1" applyFont="1" applyBorder="1" applyAlignment="1"/>
    <xf numFmtId="0" fontId="0" fillId="0" borderId="9" xfId="0" applyNumberFormat="1" applyFont="1" applyBorder="1" applyAlignment="1"/>
    <xf numFmtId="0" fontId="0" fillId="0" borderId="30" xfId="0" applyNumberFormat="1" applyFont="1" applyBorder="1" applyAlignment="1"/>
    <xf numFmtId="0" fontId="0" fillId="0" borderId="24" xfId="0" applyNumberFormat="1" applyFont="1" applyBorder="1" applyAlignment="1"/>
    <xf numFmtId="0" fontId="0" fillId="0" borderId="31" xfId="0" applyNumberFormat="1" applyFont="1" applyBorder="1" applyAlignment="1"/>
    <xf numFmtId="0" fontId="0" fillId="0" borderId="32" xfId="0" applyNumberFormat="1" applyFont="1" applyBorder="1" applyAlignment="1"/>
    <xf numFmtId="0" fontId="50" fillId="0" borderId="0" xfId="0" applyFont="1" applyAlignment="1"/>
    <xf numFmtId="0" fontId="0" fillId="0" borderId="0" xfId="0" applyFont="1" applyAlignment="1"/>
  </cellXfs>
  <cellStyles count="1">
    <cellStyle name="Normal" xfId="0" builtinId="0"/>
  </cellStyles>
  <dxfs count="360">
    <dxf>
      <fill>
        <patternFill patternType="solid">
          <fgColor rgb="FF808080"/>
          <bgColor rgb="FF808080"/>
        </patternFill>
      </fill>
    </dxf>
    <dxf>
      <fill>
        <patternFill patternType="solid">
          <fgColor rgb="FFFF0000"/>
          <bgColor rgb="FFFF0000"/>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EA9999"/>
          <bgColor rgb="FFEA9999"/>
        </patternFill>
      </fill>
    </dxf>
    <dxf>
      <fill>
        <patternFill patternType="solid">
          <fgColor rgb="FFEA9999"/>
          <bgColor rgb="FFEA9999"/>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FF0000"/>
          <bgColor rgb="FFFF0000"/>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DEEAF6"/>
          <bgColor rgb="FFDEEAF6"/>
        </patternFill>
      </fill>
    </dxf>
    <dxf>
      <fill>
        <patternFill patternType="solid">
          <fgColor rgb="FFD8D8D8"/>
          <bgColor rgb="FFD8D8D8"/>
        </patternFill>
      </fill>
    </dxf>
    <dxf>
      <fill>
        <patternFill patternType="solid">
          <fgColor theme="0"/>
          <bgColor theme="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s>
  <tableStyles count="171">
    <tableStyle name="Master 0.1-style" pivot="0" count="2" xr9:uid="{00000000-0011-0000-FFFF-FFFF00000000}">
      <tableStyleElement type="firstRowStripe" dxfId="359"/>
      <tableStyleElement type="secondRowStripe" dxfId="358"/>
    </tableStyle>
    <tableStyle name="Master 0.1-style 2" pivot="0" count="2" xr9:uid="{00000000-0011-0000-FFFF-FFFF01000000}">
      <tableStyleElement type="firstRowStripe" dxfId="357"/>
      <tableStyleElement type="secondRowStripe" dxfId="356"/>
    </tableStyle>
    <tableStyle name="Master 0.1-style 3" pivot="0" count="2" xr9:uid="{00000000-0011-0000-FFFF-FFFF02000000}">
      <tableStyleElement type="firstRowStripe" dxfId="355"/>
      <tableStyleElement type="secondRowStripe" dxfId="354"/>
    </tableStyle>
    <tableStyle name="Master 0.1-style 4" pivot="0" count="2" xr9:uid="{00000000-0011-0000-FFFF-FFFF03000000}">
      <tableStyleElement type="firstRowStripe" dxfId="353"/>
      <tableStyleElement type="secondRowStripe" dxfId="352"/>
    </tableStyle>
    <tableStyle name="Master 0.1-style 5" pivot="0" count="2" xr9:uid="{00000000-0011-0000-FFFF-FFFF04000000}">
      <tableStyleElement type="firstRowStripe" dxfId="351"/>
      <tableStyleElement type="secondRowStripe" dxfId="350"/>
    </tableStyle>
    <tableStyle name="Master 0.1-style 6" pivot="0" count="2" xr9:uid="{00000000-0011-0000-FFFF-FFFF05000000}">
      <tableStyleElement type="firstRowStripe" dxfId="349"/>
      <tableStyleElement type="secondRowStripe" dxfId="348"/>
    </tableStyle>
    <tableStyle name="Master 0.1-style 7" pivot="0" count="2" xr9:uid="{00000000-0011-0000-FFFF-FFFF06000000}">
      <tableStyleElement type="firstRowStripe" dxfId="347"/>
      <tableStyleElement type="secondRowStripe" dxfId="346"/>
    </tableStyle>
    <tableStyle name="Master 0.1-style 8" pivot="0" count="2" xr9:uid="{00000000-0011-0000-FFFF-FFFF07000000}">
      <tableStyleElement type="firstRowStripe" dxfId="345"/>
      <tableStyleElement type="secondRowStripe" dxfId="344"/>
    </tableStyle>
    <tableStyle name="Master 0.1-style 9" pivot="0" count="2" xr9:uid="{00000000-0011-0000-FFFF-FFFF08000000}">
      <tableStyleElement type="firstRowStripe" dxfId="343"/>
      <tableStyleElement type="secondRowStripe" dxfId="342"/>
    </tableStyle>
    <tableStyle name="Master 0.1-style 10" pivot="0" count="2" xr9:uid="{00000000-0011-0000-FFFF-FFFF09000000}">
      <tableStyleElement type="firstRowStripe" dxfId="341"/>
      <tableStyleElement type="secondRowStripe" dxfId="340"/>
    </tableStyle>
    <tableStyle name="Master 0.1-style 11" pivot="0" count="2" xr9:uid="{00000000-0011-0000-FFFF-FFFF0A000000}">
      <tableStyleElement type="firstRowStripe" dxfId="339"/>
      <tableStyleElement type="secondRowStripe" dxfId="338"/>
    </tableStyle>
    <tableStyle name="Master 0.1-style 12" pivot="0" count="2" xr9:uid="{00000000-0011-0000-FFFF-FFFF0B000000}">
      <tableStyleElement type="firstRowStripe" dxfId="337"/>
      <tableStyleElement type="secondRowStripe" dxfId="336"/>
    </tableStyle>
    <tableStyle name="Master 0.1-style 13" pivot="0" count="2" xr9:uid="{00000000-0011-0000-FFFF-FFFF0C000000}">
      <tableStyleElement type="firstRowStripe" dxfId="335"/>
      <tableStyleElement type="secondRowStripe" dxfId="334"/>
    </tableStyle>
    <tableStyle name="Master 0.1-style 14" pivot="0" count="2" xr9:uid="{00000000-0011-0000-FFFF-FFFF0D000000}">
      <tableStyleElement type="firstRowStripe" dxfId="333"/>
      <tableStyleElement type="secondRowStripe" dxfId="332"/>
    </tableStyle>
    <tableStyle name="Master 0.1-style 15" pivot="0" count="2" xr9:uid="{00000000-0011-0000-FFFF-FFFF0E000000}">
      <tableStyleElement type="firstRowStripe" dxfId="331"/>
      <tableStyleElement type="secondRowStripe" dxfId="330"/>
    </tableStyle>
    <tableStyle name="Master 0.1-style 16" pivot="0" count="2" xr9:uid="{00000000-0011-0000-FFFF-FFFF0F000000}">
      <tableStyleElement type="firstRowStripe" dxfId="329"/>
      <tableStyleElement type="secondRowStripe" dxfId="328"/>
    </tableStyle>
    <tableStyle name="Master 0.1-style 17" pivot="0" count="2" xr9:uid="{00000000-0011-0000-FFFF-FFFF10000000}">
      <tableStyleElement type="firstRowStripe" dxfId="327"/>
      <tableStyleElement type="secondRowStripe" dxfId="326"/>
    </tableStyle>
    <tableStyle name="Master 0.1-style 18" pivot="0" count="2" xr9:uid="{00000000-0011-0000-FFFF-FFFF11000000}">
      <tableStyleElement type="firstRowStripe" dxfId="325"/>
      <tableStyleElement type="secondRowStripe" dxfId="324"/>
    </tableStyle>
    <tableStyle name="Master 0.1-style 19" pivot="0" count="2" xr9:uid="{00000000-0011-0000-FFFF-FFFF12000000}">
      <tableStyleElement type="firstRowStripe" dxfId="323"/>
      <tableStyleElement type="secondRowStripe" dxfId="322"/>
    </tableStyle>
    <tableStyle name="Master 0.1-style 20" pivot="0" count="2" xr9:uid="{00000000-0011-0000-FFFF-FFFF13000000}">
      <tableStyleElement type="firstRowStripe" dxfId="321"/>
      <tableStyleElement type="secondRowStripe" dxfId="320"/>
    </tableStyle>
    <tableStyle name="Master 0.1-style 21" pivot="0" count="2" xr9:uid="{00000000-0011-0000-FFFF-FFFF14000000}">
      <tableStyleElement type="firstRowStripe" dxfId="319"/>
      <tableStyleElement type="secondRowStripe" dxfId="318"/>
    </tableStyle>
    <tableStyle name="Master 0.1-style 22" pivot="0" count="2" xr9:uid="{00000000-0011-0000-FFFF-FFFF15000000}">
      <tableStyleElement type="firstRowStripe" dxfId="317"/>
      <tableStyleElement type="secondRowStripe" dxfId="316"/>
    </tableStyle>
    <tableStyle name="Master 0.1-style 23" pivot="0" count="2" xr9:uid="{00000000-0011-0000-FFFF-FFFF16000000}">
      <tableStyleElement type="firstRowStripe" dxfId="315"/>
      <tableStyleElement type="secondRowStripe" dxfId="314"/>
    </tableStyle>
    <tableStyle name="Master 0.1-style 24" pivot="0" count="2" xr9:uid="{00000000-0011-0000-FFFF-FFFF17000000}">
      <tableStyleElement type="firstRowStripe" dxfId="313"/>
      <tableStyleElement type="secondRowStripe" dxfId="312"/>
    </tableStyle>
    <tableStyle name="Master 0.1-style 25" pivot="0" count="2" xr9:uid="{00000000-0011-0000-FFFF-FFFF18000000}">
      <tableStyleElement type="firstRowStripe" dxfId="311"/>
      <tableStyleElement type="secondRowStripe" dxfId="310"/>
    </tableStyle>
    <tableStyle name="Master 0.1-style 26" pivot="0" count="2" xr9:uid="{00000000-0011-0000-FFFF-FFFF19000000}">
      <tableStyleElement type="firstRowStripe" dxfId="309"/>
      <tableStyleElement type="secondRowStripe" dxfId="308"/>
    </tableStyle>
    <tableStyle name="Master 0.1-style 27" pivot="0" count="2" xr9:uid="{00000000-0011-0000-FFFF-FFFF1A000000}">
      <tableStyleElement type="firstRowStripe" dxfId="307"/>
      <tableStyleElement type="secondRowStripe" dxfId="306"/>
    </tableStyle>
    <tableStyle name="Master 0.1-style 28" pivot="0" count="2" xr9:uid="{00000000-0011-0000-FFFF-FFFF1B000000}">
      <tableStyleElement type="firstRowStripe" dxfId="305"/>
      <tableStyleElement type="secondRowStripe" dxfId="304"/>
    </tableStyle>
    <tableStyle name="Master 0.1-style 29" pivot="0" count="2" xr9:uid="{00000000-0011-0000-FFFF-FFFF1C000000}">
      <tableStyleElement type="firstRowStripe" dxfId="303"/>
      <tableStyleElement type="secondRowStripe" dxfId="302"/>
    </tableStyle>
    <tableStyle name="Master 0.1-style 30" pivot="0" count="2" xr9:uid="{00000000-0011-0000-FFFF-FFFF1D000000}">
      <tableStyleElement type="firstRowStripe" dxfId="301"/>
      <tableStyleElement type="secondRowStripe" dxfId="300"/>
    </tableStyle>
    <tableStyle name="Master 0.1-style 31" pivot="0" count="2" xr9:uid="{00000000-0011-0000-FFFF-FFFF1E000000}">
      <tableStyleElement type="firstRowStripe" dxfId="299"/>
      <tableStyleElement type="secondRowStripe" dxfId="298"/>
    </tableStyle>
    <tableStyle name="Master 0.1-style 32" pivot="0" count="2" xr9:uid="{00000000-0011-0000-FFFF-FFFF1F000000}">
      <tableStyleElement type="firstRowStripe" dxfId="297"/>
      <tableStyleElement type="secondRowStripe" dxfId="296"/>
    </tableStyle>
    <tableStyle name="Master 0.1-style 33" pivot="0" count="2" xr9:uid="{00000000-0011-0000-FFFF-FFFF20000000}">
      <tableStyleElement type="firstRowStripe" dxfId="295"/>
      <tableStyleElement type="secondRowStripe" dxfId="294"/>
    </tableStyle>
    <tableStyle name="Master 0.1-style 34" pivot="0" count="2" xr9:uid="{00000000-0011-0000-FFFF-FFFF21000000}">
      <tableStyleElement type="firstRowStripe" dxfId="293"/>
      <tableStyleElement type="secondRowStripe" dxfId="292"/>
    </tableStyle>
    <tableStyle name="Master 0.1-style 35" pivot="0" count="2" xr9:uid="{00000000-0011-0000-FFFF-FFFF22000000}">
      <tableStyleElement type="firstRowStripe" dxfId="291"/>
      <tableStyleElement type="secondRowStripe" dxfId="290"/>
    </tableStyle>
    <tableStyle name="Master 0.1-style 36" pivot="0" count="2" xr9:uid="{00000000-0011-0000-FFFF-FFFF23000000}">
      <tableStyleElement type="firstRowStripe" dxfId="289"/>
      <tableStyleElement type="secondRowStripe" dxfId="288"/>
    </tableStyle>
    <tableStyle name="Master 0.1-style 37" pivot="0" count="2" xr9:uid="{00000000-0011-0000-FFFF-FFFF24000000}">
      <tableStyleElement type="firstRowStripe" dxfId="287"/>
      <tableStyleElement type="secondRowStripe" dxfId="286"/>
    </tableStyle>
    <tableStyle name="Master 0.1-style 38" pivot="0" count="2" xr9:uid="{00000000-0011-0000-FFFF-FFFF25000000}">
      <tableStyleElement type="firstRowStripe" dxfId="285"/>
      <tableStyleElement type="secondRowStripe" dxfId="284"/>
    </tableStyle>
    <tableStyle name="Master 0.1-style 39" pivot="0" count="2" xr9:uid="{00000000-0011-0000-FFFF-FFFF26000000}">
      <tableStyleElement type="firstRowStripe" dxfId="283"/>
      <tableStyleElement type="secondRowStripe" dxfId="282"/>
    </tableStyle>
    <tableStyle name="Master 0.1-style 40" pivot="0" count="2" xr9:uid="{00000000-0011-0000-FFFF-FFFF27000000}">
      <tableStyleElement type="firstRowStripe" dxfId="281"/>
      <tableStyleElement type="secondRowStripe" dxfId="280"/>
    </tableStyle>
    <tableStyle name="Master 0.1-style 41" pivot="0" count="2" xr9:uid="{00000000-0011-0000-FFFF-FFFF28000000}">
      <tableStyleElement type="firstRowStripe" dxfId="279"/>
      <tableStyleElement type="secondRowStripe" dxfId="278"/>
    </tableStyle>
    <tableStyle name="Master 0.1-style 42" pivot="0" count="2" xr9:uid="{00000000-0011-0000-FFFF-FFFF29000000}">
      <tableStyleElement type="firstRowStripe" dxfId="277"/>
      <tableStyleElement type="secondRowStripe" dxfId="276"/>
    </tableStyle>
    <tableStyle name="Master 0.1-style 43" pivot="0" count="2" xr9:uid="{00000000-0011-0000-FFFF-FFFF2A000000}">
      <tableStyleElement type="firstRowStripe" dxfId="275"/>
      <tableStyleElement type="secondRowStripe" dxfId="274"/>
    </tableStyle>
    <tableStyle name="Master 0.1-style 44" pivot="0" count="2" xr9:uid="{00000000-0011-0000-FFFF-FFFF2B000000}">
      <tableStyleElement type="firstRowStripe" dxfId="273"/>
      <tableStyleElement type="secondRowStripe" dxfId="272"/>
    </tableStyle>
    <tableStyle name="Master 0.1-style 45" pivot="0" count="2" xr9:uid="{00000000-0011-0000-FFFF-FFFF2C000000}">
      <tableStyleElement type="firstRowStripe" dxfId="271"/>
      <tableStyleElement type="secondRowStripe" dxfId="270"/>
    </tableStyle>
    <tableStyle name="Master 0.1-style 46" pivot="0" count="2" xr9:uid="{00000000-0011-0000-FFFF-FFFF2D000000}">
      <tableStyleElement type="firstRowStripe" dxfId="269"/>
      <tableStyleElement type="secondRowStripe" dxfId="268"/>
    </tableStyle>
    <tableStyle name="Master 0.1-style 47" pivot="0" count="2" xr9:uid="{00000000-0011-0000-FFFF-FFFF2E000000}">
      <tableStyleElement type="firstRowStripe" dxfId="267"/>
      <tableStyleElement type="secondRowStripe" dxfId="266"/>
    </tableStyle>
    <tableStyle name="Master 0.1-style 48" pivot="0" count="2" xr9:uid="{00000000-0011-0000-FFFF-FFFF2F000000}">
      <tableStyleElement type="firstRowStripe" dxfId="265"/>
      <tableStyleElement type="secondRowStripe" dxfId="264"/>
    </tableStyle>
    <tableStyle name="Master 0.1-style 49" pivot="0" count="2" xr9:uid="{00000000-0011-0000-FFFF-FFFF30000000}">
      <tableStyleElement type="firstRowStripe" dxfId="263"/>
      <tableStyleElement type="secondRowStripe" dxfId="262"/>
    </tableStyle>
    <tableStyle name="Master 0.1-style 50" pivot="0" count="2" xr9:uid="{00000000-0011-0000-FFFF-FFFF31000000}">
      <tableStyleElement type="firstRowStripe" dxfId="261"/>
      <tableStyleElement type="secondRowStripe" dxfId="260"/>
    </tableStyle>
    <tableStyle name="Master 0.1-style 51" pivot="0" count="2" xr9:uid="{00000000-0011-0000-FFFF-FFFF32000000}">
      <tableStyleElement type="firstRowStripe" dxfId="259"/>
      <tableStyleElement type="secondRowStripe" dxfId="258"/>
    </tableStyle>
    <tableStyle name="Master 0.1-style 52" pivot="0" count="2" xr9:uid="{00000000-0011-0000-FFFF-FFFF33000000}">
      <tableStyleElement type="firstRowStripe" dxfId="257"/>
      <tableStyleElement type="secondRowStripe" dxfId="256"/>
    </tableStyle>
    <tableStyle name="Master 0.1-style 53" pivot="0" count="2" xr9:uid="{00000000-0011-0000-FFFF-FFFF34000000}">
      <tableStyleElement type="firstRowStripe" dxfId="255"/>
      <tableStyleElement type="secondRowStripe" dxfId="254"/>
    </tableStyle>
    <tableStyle name="Master 0.1-style 54" pivot="0" count="2" xr9:uid="{00000000-0011-0000-FFFF-FFFF35000000}">
      <tableStyleElement type="firstRowStripe" dxfId="253"/>
      <tableStyleElement type="secondRowStripe" dxfId="252"/>
    </tableStyle>
    <tableStyle name="Master 0.1-style 55" pivot="0" count="2" xr9:uid="{00000000-0011-0000-FFFF-FFFF36000000}">
      <tableStyleElement type="firstRowStripe" dxfId="251"/>
      <tableStyleElement type="secondRowStripe" dxfId="250"/>
    </tableStyle>
    <tableStyle name="Master 0.1-style 56" pivot="0" count="2" xr9:uid="{00000000-0011-0000-FFFF-FFFF37000000}">
      <tableStyleElement type="firstRowStripe" dxfId="249"/>
      <tableStyleElement type="secondRowStripe" dxfId="248"/>
    </tableStyle>
    <tableStyle name="Master 0.1-style 57" pivot="0" count="2" xr9:uid="{00000000-0011-0000-FFFF-FFFF38000000}">
      <tableStyleElement type="firstRowStripe" dxfId="247"/>
      <tableStyleElement type="secondRowStripe" dxfId="246"/>
    </tableStyle>
    <tableStyle name="Master 0.1-style 58" pivot="0" count="2" xr9:uid="{00000000-0011-0000-FFFF-FFFF39000000}">
      <tableStyleElement type="firstRowStripe" dxfId="245"/>
      <tableStyleElement type="secondRowStripe" dxfId="244"/>
    </tableStyle>
    <tableStyle name="Master 0.1-style 59" pivot="0" count="2" xr9:uid="{00000000-0011-0000-FFFF-FFFF3A000000}">
      <tableStyleElement type="firstRowStripe" dxfId="243"/>
      <tableStyleElement type="secondRowStripe" dxfId="242"/>
    </tableStyle>
    <tableStyle name="Master 0.1-style 60" pivot="0" count="2" xr9:uid="{00000000-0011-0000-FFFF-FFFF3B000000}">
      <tableStyleElement type="firstRowStripe" dxfId="241"/>
      <tableStyleElement type="secondRowStripe" dxfId="240"/>
    </tableStyle>
    <tableStyle name="Master 0.1-style 61" pivot="0" count="2" xr9:uid="{00000000-0011-0000-FFFF-FFFF3C000000}">
      <tableStyleElement type="firstRowStripe" dxfId="239"/>
      <tableStyleElement type="secondRowStripe" dxfId="238"/>
    </tableStyle>
    <tableStyle name="Master 0.1-style 62" pivot="0" count="2" xr9:uid="{00000000-0011-0000-FFFF-FFFF3D000000}">
      <tableStyleElement type="firstRowStripe" dxfId="237"/>
      <tableStyleElement type="secondRowStripe" dxfId="236"/>
    </tableStyle>
    <tableStyle name="Master 0.1-style 63" pivot="0" count="2" xr9:uid="{00000000-0011-0000-FFFF-FFFF3E000000}">
      <tableStyleElement type="firstRowStripe" dxfId="235"/>
      <tableStyleElement type="secondRowStripe" dxfId="234"/>
    </tableStyle>
    <tableStyle name="Master 0.1-style 64" pivot="0" count="2" xr9:uid="{00000000-0011-0000-FFFF-FFFF3F000000}">
      <tableStyleElement type="firstRowStripe" dxfId="233"/>
      <tableStyleElement type="secondRowStripe" dxfId="232"/>
    </tableStyle>
    <tableStyle name="Master 0.1-style 65" pivot="0" count="2" xr9:uid="{00000000-0011-0000-FFFF-FFFF40000000}">
      <tableStyleElement type="firstRowStripe" dxfId="231"/>
      <tableStyleElement type="secondRowStripe" dxfId="230"/>
    </tableStyle>
    <tableStyle name="Master 0.1-style 66" pivot="0" count="2" xr9:uid="{00000000-0011-0000-FFFF-FFFF41000000}">
      <tableStyleElement type="firstRowStripe" dxfId="229"/>
      <tableStyleElement type="secondRowStripe" dxfId="228"/>
    </tableStyle>
    <tableStyle name="Master 0.1-style 67" pivot="0" count="2" xr9:uid="{00000000-0011-0000-FFFF-FFFF42000000}">
      <tableStyleElement type="firstRowStripe" dxfId="227"/>
      <tableStyleElement type="secondRowStripe" dxfId="226"/>
    </tableStyle>
    <tableStyle name="Master 0.1-style 68" pivot="0" count="2" xr9:uid="{00000000-0011-0000-FFFF-FFFF43000000}">
      <tableStyleElement type="firstRowStripe" dxfId="225"/>
      <tableStyleElement type="secondRowStripe" dxfId="224"/>
    </tableStyle>
    <tableStyle name="Master 0.1-style 69" pivot="0" count="2" xr9:uid="{00000000-0011-0000-FFFF-FFFF44000000}">
      <tableStyleElement type="firstRowStripe" dxfId="223"/>
      <tableStyleElement type="secondRowStripe" dxfId="222"/>
    </tableStyle>
    <tableStyle name="Master 0.1-style 70" pivot="0" count="2" xr9:uid="{00000000-0011-0000-FFFF-FFFF45000000}">
      <tableStyleElement type="firstRowStripe" dxfId="221"/>
      <tableStyleElement type="secondRowStripe" dxfId="220"/>
    </tableStyle>
    <tableStyle name="Master 0.1-style 71" pivot="0" count="2" xr9:uid="{00000000-0011-0000-FFFF-FFFF46000000}">
      <tableStyleElement type="firstRowStripe" dxfId="219"/>
      <tableStyleElement type="secondRowStripe" dxfId="218"/>
    </tableStyle>
    <tableStyle name="Master 0.1-style 72" pivot="0" count="2" xr9:uid="{00000000-0011-0000-FFFF-FFFF47000000}">
      <tableStyleElement type="firstRowStripe" dxfId="217"/>
      <tableStyleElement type="secondRowStripe" dxfId="216"/>
    </tableStyle>
    <tableStyle name="Master 0.1-style 73" pivot="0" count="2" xr9:uid="{00000000-0011-0000-FFFF-FFFF48000000}">
      <tableStyleElement type="firstRowStripe" dxfId="215"/>
      <tableStyleElement type="secondRowStripe" dxfId="214"/>
    </tableStyle>
    <tableStyle name="Master 0.1-style 74" pivot="0" count="2" xr9:uid="{00000000-0011-0000-FFFF-FFFF49000000}">
      <tableStyleElement type="firstRowStripe" dxfId="213"/>
      <tableStyleElement type="secondRowStripe" dxfId="212"/>
    </tableStyle>
    <tableStyle name="Master 0.1-style 75" pivot="0" count="2" xr9:uid="{00000000-0011-0000-FFFF-FFFF4A000000}">
      <tableStyleElement type="firstRowStripe" dxfId="211"/>
      <tableStyleElement type="secondRowStripe" dxfId="210"/>
    </tableStyle>
    <tableStyle name="Master 0.1-style 76" pivot="0" count="2" xr9:uid="{00000000-0011-0000-FFFF-FFFF4B000000}">
      <tableStyleElement type="firstRowStripe" dxfId="209"/>
      <tableStyleElement type="secondRowStripe" dxfId="208"/>
    </tableStyle>
    <tableStyle name="Master 0.1-style 77" pivot="0" count="2" xr9:uid="{00000000-0011-0000-FFFF-FFFF4C000000}">
      <tableStyleElement type="firstRowStripe" dxfId="207"/>
      <tableStyleElement type="secondRowStripe" dxfId="206"/>
    </tableStyle>
    <tableStyle name="Master 0.1-style 78" pivot="0" count="2" xr9:uid="{00000000-0011-0000-FFFF-FFFF4D000000}">
      <tableStyleElement type="firstRowStripe" dxfId="205"/>
      <tableStyleElement type="secondRowStripe" dxfId="204"/>
    </tableStyle>
    <tableStyle name="Master 0.1-style 79" pivot="0" count="2" xr9:uid="{00000000-0011-0000-FFFF-FFFF4E000000}">
      <tableStyleElement type="firstRowStripe" dxfId="203"/>
      <tableStyleElement type="secondRowStripe" dxfId="202"/>
    </tableStyle>
    <tableStyle name="Master 0.1-style 80" pivot="0" count="2" xr9:uid="{00000000-0011-0000-FFFF-FFFF4F000000}">
      <tableStyleElement type="firstRowStripe" dxfId="201"/>
      <tableStyleElement type="secondRowStripe" dxfId="200"/>
    </tableStyle>
    <tableStyle name="Master 0.1-style 81" pivot="0" count="2" xr9:uid="{00000000-0011-0000-FFFF-FFFF50000000}">
      <tableStyleElement type="firstRowStripe" dxfId="199"/>
      <tableStyleElement type="secondRowStripe" dxfId="198"/>
    </tableStyle>
    <tableStyle name="Master 0.1-style 82" pivot="0" count="2" xr9:uid="{00000000-0011-0000-FFFF-FFFF51000000}">
      <tableStyleElement type="firstRowStripe" dxfId="197"/>
      <tableStyleElement type="secondRowStripe" dxfId="196"/>
    </tableStyle>
    <tableStyle name="Master 0.1-style 83" pivot="0" count="2" xr9:uid="{00000000-0011-0000-FFFF-FFFF52000000}">
      <tableStyleElement type="firstRowStripe" dxfId="195"/>
      <tableStyleElement type="secondRowStripe" dxfId="194"/>
    </tableStyle>
    <tableStyle name="Master 0.1-style 84" pivot="0" count="2" xr9:uid="{00000000-0011-0000-FFFF-FFFF53000000}">
      <tableStyleElement type="firstRowStripe" dxfId="193"/>
      <tableStyleElement type="secondRowStripe" dxfId="192"/>
    </tableStyle>
    <tableStyle name="Master 0.1-style 85" pivot="0" count="2" xr9:uid="{00000000-0011-0000-FFFF-FFFF54000000}">
      <tableStyleElement type="firstRowStripe" dxfId="191"/>
      <tableStyleElement type="secondRowStripe" dxfId="190"/>
    </tableStyle>
    <tableStyle name="Master 0.1-style 86" pivot="0" count="2" xr9:uid="{00000000-0011-0000-FFFF-FFFF55000000}">
      <tableStyleElement type="firstRowStripe" dxfId="189"/>
      <tableStyleElement type="secondRowStripe" dxfId="188"/>
    </tableStyle>
    <tableStyle name="Master 0.1-style 87" pivot="0" count="2" xr9:uid="{00000000-0011-0000-FFFF-FFFF56000000}">
      <tableStyleElement type="firstRowStripe" dxfId="187"/>
      <tableStyleElement type="secondRowStripe" dxfId="186"/>
    </tableStyle>
    <tableStyle name="Master 0.1-style 88" pivot="0" count="2" xr9:uid="{00000000-0011-0000-FFFF-FFFF57000000}">
      <tableStyleElement type="firstRowStripe" dxfId="185"/>
      <tableStyleElement type="secondRowStripe" dxfId="184"/>
    </tableStyle>
    <tableStyle name="Master 0.1-style 89" pivot="0" count="2" xr9:uid="{00000000-0011-0000-FFFF-FFFF58000000}">
      <tableStyleElement type="firstRowStripe" dxfId="183"/>
      <tableStyleElement type="secondRowStripe" dxfId="182"/>
    </tableStyle>
    <tableStyle name="Master 0.1-style 90" pivot="0" count="2" xr9:uid="{00000000-0011-0000-FFFF-FFFF59000000}">
      <tableStyleElement type="firstRowStripe" dxfId="181"/>
      <tableStyleElement type="secondRowStripe" dxfId="180"/>
    </tableStyle>
    <tableStyle name="Master 0.1-style 91" pivot="0" count="2" xr9:uid="{00000000-0011-0000-FFFF-FFFF5A000000}">
      <tableStyleElement type="firstRowStripe" dxfId="179"/>
      <tableStyleElement type="secondRowStripe" dxfId="178"/>
    </tableStyle>
    <tableStyle name="Master 0.1-style 92" pivot="0" count="2" xr9:uid="{00000000-0011-0000-FFFF-FFFF5B000000}">
      <tableStyleElement type="firstRowStripe" dxfId="177"/>
      <tableStyleElement type="secondRowStripe" dxfId="176"/>
    </tableStyle>
    <tableStyle name="Master 0.1-style 93" pivot="0" count="2" xr9:uid="{00000000-0011-0000-FFFF-FFFF5C000000}">
      <tableStyleElement type="firstRowStripe" dxfId="175"/>
      <tableStyleElement type="secondRowStripe" dxfId="174"/>
    </tableStyle>
    <tableStyle name="Master 0.1-style 94" pivot="0" count="2" xr9:uid="{00000000-0011-0000-FFFF-FFFF5D000000}">
      <tableStyleElement type="firstRowStripe" dxfId="173"/>
      <tableStyleElement type="secondRowStripe" dxfId="172"/>
    </tableStyle>
    <tableStyle name="Master 0.1-style 95" pivot="0" count="2" xr9:uid="{00000000-0011-0000-FFFF-FFFF5E000000}">
      <tableStyleElement type="firstRowStripe" dxfId="171"/>
      <tableStyleElement type="secondRowStripe" dxfId="170"/>
    </tableStyle>
    <tableStyle name="Master 0.1-style 96" pivot="0" count="2" xr9:uid="{00000000-0011-0000-FFFF-FFFF5F000000}">
      <tableStyleElement type="firstRowStripe" dxfId="169"/>
      <tableStyleElement type="secondRowStripe" dxfId="168"/>
    </tableStyle>
    <tableStyle name="Master 0.1-style 97" pivot="0" count="2" xr9:uid="{00000000-0011-0000-FFFF-FFFF60000000}">
      <tableStyleElement type="firstRowStripe" dxfId="167"/>
      <tableStyleElement type="secondRowStripe" dxfId="166"/>
    </tableStyle>
    <tableStyle name="Master 0.1-style 98" pivot="0" count="2" xr9:uid="{00000000-0011-0000-FFFF-FFFF61000000}">
      <tableStyleElement type="firstRowStripe" dxfId="165"/>
      <tableStyleElement type="secondRowStripe" dxfId="164"/>
    </tableStyle>
    <tableStyle name="Master 0.1-style 99" pivot="0" count="2" xr9:uid="{00000000-0011-0000-FFFF-FFFF62000000}">
      <tableStyleElement type="firstRowStripe" dxfId="163"/>
      <tableStyleElement type="secondRowStripe" dxfId="162"/>
    </tableStyle>
    <tableStyle name="Master 0.1-style 100" pivot="0" count="2" xr9:uid="{00000000-0011-0000-FFFF-FFFF63000000}">
      <tableStyleElement type="firstRowStripe" dxfId="161"/>
      <tableStyleElement type="secondRowStripe" dxfId="160"/>
    </tableStyle>
    <tableStyle name="Master 0.1-style 101" pivot="0" count="2" xr9:uid="{00000000-0011-0000-FFFF-FFFF64000000}">
      <tableStyleElement type="firstRowStripe" dxfId="159"/>
      <tableStyleElement type="secondRowStripe" dxfId="158"/>
    </tableStyle>
    <tableStyle name="Master 0.1-style 102" pivot="0" count="2" xr9:uid="{00000000-0011-0000-FFFF-FFFF65000000}">
      <tableStyleElement type="firstRowStripe" dxfId="157"/>
      <tableStyleElement type="secondRowStripe" dxfId="156"/>
    </tableStyle>
    <tableStyle name="Master 0.1-style 103" pivot="0" count="2" xr9:uid="{00000000-0011-0000-FFFF-FFFF66000000}">
      <tableStyleElement type="firstRowStripe" dxfId="155"/>
      <tableStyleElement type="secondRowStripe" dxfId="154"/>
    </tableStyle>
    <tableStyle name="Master 0.1-style 104" pivot="0" count="2" xr9:uid="{00000000-0011-0000-FFFF-FFFF67000000}">
      <tableStyleElement type="firstRowStripe" dxfId="153"/>
      <tableStyleElement type="secondRowStripe" dxfId="152"/>
    </tableStyle>
    <tableStyle name="Master 0.1-style 105" pivot="0" count="2" xr9:uid="{00000000-0011-0000-FFFF-FFFF68000000}">
      <tableStyleElement type="firstRowStripe" dxfId="151"/>
      <tableStyleElement type="secondRowStripe" dxfId="150"/>
    </tableStyle>
    <tableStyle name="Master 0.1-style 106" pivot="0" count="2" xr9:uid="{00000000-0011-0000-FFFF-FFFF69000000}">
      <tableStyleElement type="firstRowStripe" dxfId="149"/>
      <tableStyleElement type="secondRowStripe" dxfId="148"/>
    </tableStyle>
    <tableStyle name="Master 0.1-style 107" pivot="0" count="2" xr9:uid="{00000000-0011-0000-FFFF-FFFF6A000000}">
      <tableStyleElement type="firstRowStripe" dxfId="147"/>
      <tableStyleElement type="secondRowStripe" dxfId="146"/>
    </tableStyle>
    <tableStyle name="Master 0.1-style 108" pivot="0" count="2" xr9:uid="{00000000-0011-0000-FFFF-FFFF6B000000}">
      <tableStyleElement type="firstRowStripe" dxfId="145"/>
      <tableStyleElement type="secondRowStripe" dxfId="144"/>
    </tableStyle>
    <tableStyle name="Master 0.1-style 109" pivot="0" count="2" xr9:uid="{00000000-0011-0000-FFFF-FFFF6C000000}">
      <tableStyleElement type="firstRowStripe" dxfId="143"/>
      <tableStyleElement type="secondRowStripe" dxfId="142"/>
    </tableStyle>
    <tableStyle name="Master 0.1-style 110" pivot="0" count="2" xr9:uid="{00000000-0011-0000-FFFF-FFFF6D000000}">
      <tableStyleElement type="firstRowStripe" dxfId="141"/>
      <tableStyleElement type="secondRowStripe" dxfId="140"/>
    </tableStyle>
    <tableStyle name="Master 0.1-style 111" pivot="0" count="2" xr9:uid="{00000000-0011-0000-FFFF-FFFF6E000000}">
      <tableStyleElement type="firstRowStripe" dxfId="139"/>
      <tableStyleElement type="secondRowStripe" dxfId="138"/>
    </tableStyle>
    <tableStyle name="Master 0.1-style 112" pivot="0" count="2" xr9:uid="{00000000-0011-0000-FFFF-FFFF6F000000}">
      <tableStyleElement type="firstRowStripe" dxfId="137"/>
      <tableStyleElement type="secondRowStripe" dxfId="136"/>
    </tableStyle>
    <tableStyle name="Master 0.1-style 113" pivot="0" count="2" xr9:uid="{00000000-0011-0000-FFFF-FFFF70000000}">
      <tableStyleElement type="firstRowStripe" dxfId="135"/>
      <tableStyleElement type="secondRowStripe" dxfId="134"/>
    </tableStyle>
    <tableStyle name="Master 0.1-style 114" pivot="0" count="2" xr9:uid="{00000000-0011-0000-FFFF-FFFF71000000}">
      <tableStyleElement type="firstRowStripe" dxfId="133"/>
      <tableStyleElement type="secondRowStripe" dxfId="132"/>
    </tableStyle>
    <tableStyle name="Master 0.1-style 115" pivot="0" count="2" xr9:uid="{00000000-0011-0000-FFFF-FFFF72000000}">
      <tableStyleElement type="firstRowStripe" dxfId="131"/>
      <tableStyleElement type="secondRowStripe" dxfId="130"/>
    </tableStyle>
    <tableStyle name="Master 0.1-style 116" pivot="0" count="2" xr9:uid="{00000000-0011-0000-FFFF-FFFF73000000}">
      <tableStyleElement type="firstRowStripe" dxfId="129"/>
      <tableStyleElement type="secondRowStripe" dxfId="128"/>
    </tableStyle>
    <tableStyle name="Master 0.1-style 117" pivot="0" count="2" xr9:uid="{00000000-0011-0000-FFFF-FFFF74000000}">
      <tableStyleElement type="firstRowStripe" dxfId="127"/>
      <tableStyleElement type="secondRowStripe" dxfId="126"/>
    </tableStyle>
    <tableStyle name="Master 0.1-style 118" pivot="0" count="2" xr9:uid="{00000000-0011-0000-FFFF-FFFF75000000}">
      <tableStyleElement type="firstRowStripe" dxfId="125"/>
      <tableStyleElement type="secondRowStripe" dxfId="124"/>
    </tableStyle>
    <tableStyle name="Master 0.1-style 119" pivot="0" count="2" xr9:uid="{00000000-0011-0000-FFFF-FFFF76000000}">
      <tableStyleElement type="firstRowStripe" dxfId="123"/>
      <tableStyleElement type="secondRowStripe" dxfId="122"/>
    </tableStyle>
    <tableStyle name="Master 0.1-style 120" pivot="0" count="2" xr9:uid="{00000000-0011-0000-FFFF-FFFF77000000}">
      <tableStyleElement type="firstRowStripe" dxfId="121"/>
      <tableStyleElement type="secondRowStripe" dxfId="120"/>
    </tableStyle>
    <tableStyle name="Master 0.1-style 121" pivot="0" count="2" xr9:uid="{00000000-0011-0000-FFFF-FFFF78000000}">
      <tableStyleElement type="firstRowStripe" dxfId="119"/>
      <tableStyleElement type="secondRowStripe" dxfId="118"/>
    </tableStyle>
    <tableStyle name="Master 0.1-style 122" pivot="0" count="2" xr9:uid="{00000000-0011-0000-FFFF-FFFF79000000}">
      <tableStyleElement type="firstRowStripe" dxfId="117"/>
      <tableStyleElement type="secondRowStripe" dxfId="116"/>
    </tableStyle>
    <tableStyle name="Master 0.1-style 123" pivot="0" count="2" xr9:uid="{00000000-0011-0000-FFFF-FFFF7A000000}">
      <tableStyleElement type="firstRowStripe" dxfId="115"/>
      <tableStyleElement type="secondRowStripe" dxfId="114"/>
    </tableStyle>
    <tableStyle name="Master 0.1-style 124" pivot="0" count="2" xr9:uid="{00000000-0011-0000-FFFF-FFFF7B000000}">
      <tableStyleElement type="firstRowStripe" dxfId="113"/>
      <tableStyleElement type="secondRowStripe" dxfId="112"/>
    </tableStyle>
    <tableStyle name="Master 0.1-style 125" pivot="0" count="2" xr9:uid="{00000000-0011-0000-FFFF-FFFF7C000000}">
      <tableStyleElement type="firstRowStripe" dxfId="111"/>
      <tableStyleElement type="secondRowStripe" dxfId="110"/>
    </tableStyle>
    <tableStyle name="Master 0.1-style 126" pivot="0" count="2" xr9:uid="{00000000-0011-0000-FFFF-FFFF7D000000}">
      <tableStyleElement type="firstRowStripe" dxfId="109"/>
      <tableStyleElement type="secondRowStripe" dxfId="108"/>
    </tableStyle>
    <tableStyle name="Master 0.1-style 127" pivot="0" count="2" xr9:uid="{00000000-0011-0000-FFFF-FFFF7E000000}">
      <tableStyleElement type="firstRowStripe" dxfId="107"/>
      <tableStyleElement type="secondRowStripe" dxfId="106"/>
    </tableStyle>
    <tableStyle name="Master 0.1-style 128" pivot="0" count="2" xr9:uid="{00000000-0011-0000-FFFF-FFFF7F000000}">
      <tableStyleElement type="firstRowStripe" dxfId="105"/>
      <tableStyleElement type="secondRowStripe" dxfId="104"/>
    </tableStyle>
    <tableStyle name="Master 0.1-style 129" pivot="0" count="2" xr9:uid="{00000000-0011-0000-FFFF-FFFF80000000}">
      <tableStyleElement type="firstRowStripe" dxfId="103"/>
      <tableStyleElement type="secondRowStripe" dxfId="102"/>
    </tableStyle>
    <tableStyle name="Master 0.1-style 130" pivot="0" count="2" xr9:uid="{00000000-0011-0000-FFFF-FFFF81000000}">
      <tableStyleElement type="firstRowStripe" dxfId="101"/>
      <tableStyleElement type="secondRowStripe" dxfId="100"/>
    </tableStyle>
    <tableStyle name="Master 0.1-style 131" pivot="0" count="2" xr9:uid="{00000000-0011-0000-FFFF-FFFF82000000}">
      <tableStyleElement type="firstRowStripe" dxfId="99"/>
      <tableStyleElement type="secondRowStripe" dxfId="98"/>
    </tableStyle>
    <tableStyle name="Master 0.1-style 132" pivot="0" count="2" xr9:uid="{00000000-0011-0000-FFFF-FFFF83000000}">
      <tableStyleElement type="firstRowStripe" dxfId="97"/>
      <tableStyleElement type="secondRowStripe" dxfId="96"/>
    </tableStyle>
    <tableStyle name="Master 0.1-style 133" pivot="0" count="2" xr9:uid="{00000000-0011-0000-FFFF-FFFF84000000}">
      <tableStyleElement type="firstRowStripe" dxfId="95"/>
      <tableStyleElement type="secondRowStripe" dxfId="94"/>
    </tableStyle>
    <tableStyle name="Master 0.1-style 134" pivot="0" count="2" xr9:uid="{00000000-0011-0000-FFFF-FFFF85000000}">
      <tableStyleElement type="firstRowStripe" dxfId="93"/>
      <tableStyleElement type="secondRowStripe" dxfId="92"/>
    </tableStyle>
    <tableStyle name="Master 0.1-style 135" pivot="0" count="2" xr9:uid="{00000000-0011-0000-FFFF-FFFF86000000}">
      <tableStyleElement type="firstRowStripe" dxfId="91"/>
      <tableStyleElement type="secondRowStripe" dxfId="90"/>
    </tableStyle>
    <tableStyle name="Master 0.1-style 136" pivot="0" count="2" xr9:uid="{00000000-0011-0000-FFFF-FFFF87000000}">
      <tableStyleElement type="firstRowStripe" dxfId="89"/>
      <tableStyleElement type="secondRowStripe" dxfId="88"/>
    </tableStyle>
    <tableStyle name="Master 0.1-style 137" pivot="0" count="2" xr9:uid="{00000000-0011-0000-FFFF-FFFF88000000}">
      <tableStyleElement type="firstRowStripe" dxfId="87"/>
      <tableStyleElement type="secondRowStripe" dxfId="86"/>
    </tableStyle>
    <tableStyle name="Master 0.1-style 138" pivot="0" count="2" xr9:uid="{00000000-0011-0000-FFFF-FFFF89000000}">
      <tableStyleElement type="firstRowStripe" dxfId="85"/>
      <tableStyleElement type="secondRowStripe" dxfId="84"/>
    </tableStyle>
    <tableStyle name="Master 0.1-style 139" pivot="0" count="2" xr9:uid="{00000000-0011-0000-FFFF-FFFF8A000000}">
      <tableStyleElement type="firstRowStripe" dxfId="83"/>
      <tableStyleElement type="secondRowStripe" dxfId="82"/>
    </tableStyle>
    <tableStyle name="Master 0.1-style 140" pivot="0" count="2" xr9:uid="{00000000-0011-0000-FFFF-FFFF8B000000}">
      <tableStyleElement type="firstRowStripe" dxfId="81"/>
      <tableStyleElement type="secondRowStripe" dxfId="80"/>
    </tableStyle>
    <tableStyle name="Master 0.1-style 141" pivot="0" count="2" xr9:uid="{00000000-0011-0000-FFFF-FFFF8C000000}">
      <tableStyleElement type="firstRowStripe" dxfId="79"/>
      <tableStyleElement type="secondRowStripe" dxfId="78"/>
    </tableStyle>
    <tableStyle name="Master 0.1-style 142" pivot="0" count="2" xr9:uid="{00000000-0011-0000-FFFF-FFFF8D000000}">
      <tableStyleElement type="firstRowStripe" dxfId="77"/>
      <tableStyleElement type="secondRowStripe" dxfId="76"/>
    </tableStyle>
    <tableStyle name="Master 0.1-style 143" pivot="0" count="2" xr9:uid="{00000000-0011-0000-FFFF-FFFF8E000000}">
      <tableStyleElement type="firstRowStripe" dxfId="75"/>
      <tableStyleElement type="secondRowStripe" dxfId="74"/>
    </tableStyle>
    <tableStyle name="Master 0.1-style 144" pivot="0" count="2" xr9:uid="{00000000-0011-0000-FFFF-FFFF8F000000}">
      <tableStyleElement type="firstRowStripe" dxfId="73"/>
      <tableStyleElement type="secondRowStripe" dxfId="72"/>
    </tableStyle>
    <tableStyle name="Master 0.1-style 145" pivot="0" count="2" xr9:uid="{00000000-0011-0000-FFFF-FFFF90000000}">
      <tableStyleElement type="firstRowStripe" dxfId="71"/>
      <tableStyleElement type="secondRowStripe" dxfId="70"/>
    </tableStyle>
    <tableStyle name="Master 0.1-style 146" pivot="0" count="2" xr9:uid="{00000000-0011-0000-FFFF-FFFF91000000}">
      <tableStyleElement type="firstRowStripe" dxfId="69"/>
      <tableStyleElement type="secondRowStripe" dxfId="68"/>
    </tableStyle>
    <tableStyle name="Master 0.1-style 147" pivot="0" count="2" xr9:uid="{00000000-0011-0000-FFFF-FFFF92000000}">
      <tableStyleElement type="firstRowStripe" dxfId="67"/>
      <tableStyleElement type="secondRowStripe" dxfId="66"/>
    </tableStyle>
    <tableStyle name="Master 0.1-style 148" pivot="0" count="2" xr9:uid="{00000000-0011-0000-FFFF-FFFF93000000}">
      <tableStyleElement type="firstRowStripe" dxfId="65"/>
      <tableStyleElement type="secondRowStripe" dxfId="64"/>
    </tableStyle>
    <tableStyle name="Master 0.1-style 149" pivot="0" count="2" xr9:uid="{00000000-0011-0000-FFFF-FFFF94000000}">
      <tableStyleElement type="firstRowStripe" dxfId="63"/>
      <tableStyleElement type="secondRowStripe" dxfId="62"/>
    </tableStyle>
    <tableStyle name="Master 0.1-style 150" pivot="0" count="2" xr9:uid="{00000000-0011-0000-FFFF-FFFF95000000}">
      <tableStyleElement type="firstRowStripe" dxfId="61"/>
      <tableStyleElement type="secondRowStripe" dxfId="60"/>
    </tableStyle>
    <tableStyle name="Master 0.1-style 151" pivot="0" count="2" xr9:uid="{00000000-0011-0000-FFFF-FFFF96000000}">
      <tableStyleElement type="firstRowStripe" dxfId="59"/>
      <tableStyleElement type="secondRowStripe" dxfId="58"/>
    </tableStyle>
    <tableStyle name="Master 0.1-style 152" pivot="0" count="2" xr9:uid="{00000000-0011-0000-FFFF-FFFF97000000}">
      <tableStyleElement type="firstRowStripe" dxfId="57"/>
      <tableStyleElement type="secondRowStripe" dxfId="56"/>
    </tableStyle>
    <tableStyle name="Master 0.1-style 153" pivot="0" count="2" xr9:uid="{00000000-0011-0000-FFFF-FFFF98000000}">
      <tableStyleElement type="firstRowStripe" dxfId="55"/>
      <tableStyleElement type="secondRowStripe" dxfId="54"/>
    </tableStyle>
    <tableStyle name="Master 0.1-style 154" pivot="0" count="2" xr9:uid="{00000000-0011-0000-FFFF-FFFF99000000}">
      <tableStyleElement type="firstRowStripe" dxfId="53"/>
      <tableStyleElement type="secondRowStripe" dxfId="52"/>
    </tableStyle>
    <tableStyle name="Master 0.1-style 155" pivot="0" count="2" xr9:uid="{00000000-0011-0000-FFFF-FFFF9A000000}">
      <tableStyleElement type="firstRowStripe" dxfId="51"/>
      <tableStyleElement type="secondRowStripe" dxfId="50"/>
    </tableStyle>
    <tableStyle name="Master 0.1-style 156" pivot="0" count="2" xr9:uid="{00000000-0011-0000-FFFF-FFFF9B000000}">
      <tableStyleElement type="firstRowStripe" dxfId="49"/>
      <tableStyleElement type="secondRowStripe" dxfId="48"/>
    </tableStyle>
    <tableStyle name="Master 0.1-style 157" pivot="0" count="2" xr9:uid="{00000000-0011-0000-FFFF-FFFF9C000000}">
      <tableStyleElement type="firstRowStripe" dxfId="47"/>
      <tableStyleElement type="secondRowStripe" dxfId="46"/>
    </tableStyle>
    <tableStyle name="Master 0.1-style 158" pivot="0" count="2" xr9:uid="{00000000-0011-0000-FFFF-FFFF9D000000}">
      <tableStyleElement type="firstRowStripe" dxfId="45"/>
      <tableStyleElement type="secondRowStripe" dxfId="44"/>
    </tableStyle>
    <tableStyle name="Master 0.1-style 159" pivot="0" count="2" xr9:uid="{00000000-0011-0000-FFFF-FFFF9E000000}">
      <tableStyleElement type="firstRowStripe" dxfId="43"/>
      <tableStyleElement type="secondRowStripe" dxfId="42"/>
    </tableStyle>
    <tableStyle name="Master 0.1-style 160" pivot="0" count="2" xr9:uid="{00000000-0011-0000-FFFF-FFFF9F000000}">
      <tableStyleElement type="firstRowStripe" dxfId="41"/>
      <tableStyleElement type="secondRowStripe" dxfId="40"/>
    </tableStyle>
    <tableStyle name="Master 0.1-style 161" pivot="0" count="2" xr9:uid="{00000000-0011-0000-FFFF-FFFFA0000000}">
      <tableStyleElement type="firstRowStripe" dxfId="39"/>
      <tableStyleElement type="secondRowStripe" dxfId="38"/>
    </tableStyle>
    <tableStyle name="Master 0.1-style 162" pivot="0" count="2" xr9:uid="{00000000-0011-0000-FFFF-FFFFA1000000}">
      <tableStyleElement type="firstRowStripe" dxfId="37"/>
      <tableStyleElement type="secondRowStripe" dxfId="36"/>
    </tableStyle>
    <tableStyle name="Master 0.1-style 163" pivot="0" count="2" xr9:uid="{00000000-0011-0000-FFFF-FFFFA2000000}">
      <tableStyleElement type="firstRowStripe" dxfId="35"/>
      <tableStyleElement type="secondRowStripe" dxfId="34"/>
    </tableStyle>
    <tableStyle name="Master 0.1-style 164" pivot="0" count="2" xr9:uid="{00000000-0011-0000-FFFF-FFFFA3000000}">
      <tableStyleElement type="firstRowStripe" dxfId="33"/>
      <tableStyleElement type="secondRowStripe" dxfId="32"/>
    </tableStyle>
    <tableStyle name="Master 0.1-style 165" pivot="0" count="2" xr9:uid="{00000000-0011-0000-FFFF-FFFFA4000000}">
      <tableStyleElement type="firstRowStripe" dxfId="31"/>
      <tableStyleElement type="secondRowStripe" dxfId="30"/>
    </tableStyle>
    <tableStyle name="Master 0.1-style 166" pivot="0" count="2" xr9:uid="{00000000-0011-0000-FFFF-FFFFA5000000}">
      <tableStyleElement type="firstRowStripe" dxfId="29"/>
      <tableStyleElement type="secondRowStripe" dxfId="28"/>
    </tableStyle>
    <tableStyle name="Master 0.1-style 167" pivot="0" count="2" xr9:uid="{00000000-0011-0000-FFFF-FFFFA6000000}">
      <tableStyleElement type="firstRowStripe" dxfId="27"/>
      <tableStyleElement type="secondRowStripe" dxfId="26"/>
    </tableStyle>
    <tableStyle name="Master 0.1-style 168" pivot="0" count="2" xr9:uid="{00000000-0011-0000-FFFF-FFFFA7000000}">
      <tableStyleElement type="firstRowStripe" dxfId="25"/>
      <tableStyleElement type="secondRowStripe" dxfId="24"/>
    </tableStyle>
    <tableStyle name="Master 0.1-style 169" pivot="0" count="2" xr9:uid="{00000000-0011-0000-FFFF-FFFFA8000000}">
      <tableStyleElement type="firstRowStripe" dxfId="23"/>
      <tableStyleElement type="secondRowStripe" dxfId="22"/>
    </tableStyle>
    <tableStyle name="Master 0.1-style 170" pivot="0" count="2" xr9:uid="{00000000-0011-0000-FFFF-FFFFA9000000}">
      <tableStyleElement type="firstRowStripe" dxfId="21"/>
      <tableStyleElement type="secondRowStripe" dxfId="20"/>
    </tableStyle>
    <tableStyle name="Process-style" pivot="0" count="3" xr9:uid="{00000000-0011-0000-FFFF-FFFFAA000000}">
      <tableStyleElement type="headerRow" dxfId="19"/>
      <tableStyleElement type="firstRowStripe" dxfId="18"/>
      <tableStyleElement type="secondRowStripe"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t>Total, Completed, Open and Extension Needed</a:t>
            </a:r>
          </a:p>
        </c:rich>
      </c:tx>
      <c:overlay val="0"/>
    </c:title>
    <c:autoTitleDeleted val="0"/>
    <c:plotArea>
      <c:layout>
        <c:manualLayout>
          <c:xMode val="edge"/>
          <c:yMode val="edge"/>
          <c:x val="5.7437392549399433E-2"/>
          <c:y val="0.21094094922737305"/>
          <c:w val="0.91564119121571286"/>
          <c:h val="0.44965507726269321"/>
        </c:manualLayout>
      </c:layout>
      <c:barChart>
        <c:barDir val="col"/>
        <c:grouping val="clustered"/>
        <c:varyColors val="1"/>
        <c:ser>
          <c:idx val="0"/>
          <c:order val="0"/>
          <c:tx>
            <c:strRef>
              <c:f>'Status Tracking '!$B$25</c:f>
              <c:strCache>
                <c:ptCount val="1"/>
              </c:strCache>
            </c:strRef>
          </c:tx>
          <c:spPr>
            <a:solidFill>
              <a:srgbClr val="5B9BD5"/>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'!$B$26:$B$45</c:f>
              <c:numCache>
                <c:formatCode>General</c:formatCode>
                <c:ptCount val="20"/>
                <c:pt idx="0">
                  <c:v>0</c:v>
                </c:pt>
                <c:pt idx="1">
                  <c:v>91</c:v>
                </c:pt>
                <c:pt idx="2">
                  <c:v>47</c:v>
                </c:pt>
                <c:pt idx="3">
                  <c:v>49</c:v>
                </c:pt>
                <c:pt idx="4">
                  <c:v>11</c:v>
                </c:pt>
                <c:pt idx="5">
                  <c:v>40</c:v>
                </c:pt>
                <c:pt idx="6">
                  <c:v>17</c:v>
                </c:pt>
                <c:pt idx="7">
                  <c:v>70</c:v>
                </c:pt>
                <c:pt idx="8">
                  <c:v>33</c:v>
                </c:pt>
                <c:pt idx="9">
                  <c:v>125</c:v>
                </c:pt>
                <c:pt idx="10">
                  <c:v>43</c:v>
                </c:pt>
                <c:pt idx="11">
                  <c:v>13</c:v>
                </c:pt>
                <c:pt idx="12">
                  <c:v>119</c:v>
                </c:pt>
                <c:pt idx="13">
                  <c:v>37</c:v>
                </c:pt>
                <c:pt idx="14">
                  <c:v>33</c:v>
                </c:pt>
                <c:pt idx="15">
                  <c:v>24</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3F1-7049-877C-FACAD32A85F3}"/>
            </c:ext>
          </c:extLst>
        </c:ser>
        <c:ser>
          <c:idx val="1"/>
          <c:order val="1"/>
          <c:tx>
            <c:strRef>
              <c:f>'Status Tracking '!$C$25</c:f>
              <c:strCache>
                <c:ptCount val="1"/>
              </c:strCache>
            </c:strRef>
          </c:tx>
          <c:spPr>
            <a:solidFill>
              <a:srgbClr val="ED7D31"/>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'!$C$26:$C$45</c:f>
              <c:numCache>
                <c:formatCode>General</c:formatCode>
                <c:ptCount val="20"/>
                <c:pt idx="0">
                  <c:v>0</c:v>
                </c:pt>
                <c:pt idx="1">
                  <c:v>98</c:v>
                </c:pt>
                <c:pt idx="2">
                  <c:v>47</c:v>
                </c:pt>
                <c:pt idx="3">
                  <c:v>49</c:v>
                </c:pt>
                <c:pt idx="4">
                  <c:v>15</c:v>
                </c:pt>
                <c:pt idx="5">
                  <c:v>40</c:v>
                </c:pt>
                <c:pt idx="6">
                  <c:v>18</c:v>
                </c:pt>
                <c:pt idx="7">
                  <c:v>71</c:v>
                </c:pt>
                <c:pt idx="8">
                  <c:v>33</c:v>
                </c:pt>
                <c:pt idx="9">
                  <c:v>125</c:v>
                </c:pt>
                <c:pt idx="10">
                  <c:v>43</c:v>
                </c:pt>
                <c:pt idx="11">
                  <c:v>13</c:v>
                </c:pt>
                <c:pt idx="12">
                  <c:v>119</c:v>
                </c:pt>
                <c:pt idx="13">
                  <c:v>37</c:v>
                </c:pt>
                <c:pt idx="14">
                  <c:v>34</c:v>
                </c:pt>
                <c:pt idx="15">
                  <c:v>25</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23F1-7049-877C-FACAD32A85F3}"/>
            </c:ext>
          </c:extLst>
        </c:ser>
        <c:ser>
          <c:idx val="2"/>
          <c:order val="2"/>
          <c:tx>
            <c:strRef>
              <c:f>'Status Tracking '!$D$25</c:f>
              <c:strCache>
                <c:ptCount val="1"/>
              </c:strCache>
            </c:strRef>
          </c:tx>
          <c:spPr>
            <a:solidFill>
              <a:srgbClr val="A5A5A5"/>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'!$D$26:$D$45</c:f>
              <c:numCache>
                <c:formatCode>General</c:formatCode>
                <c:ptCount val="20"/>
                <c:pt idx="0">
                  <c:v>0</c:v>
                </c:pt>
                <c:pt idx="1">
                  <c:v>91</c:v>
                </c:pt>
                <c:pt idx="2">
                  <c:v>47</c:v>
                </c:pt>
                <c:pt idx="3">
                  <c:v>50</c:v>
                </c:pt>
                <c:pt idx="4">
                  <c:v>11</c:v>
                </c:pt>
                <c:pt idx="5">
                  <c:v>40</c:v>
                </c:pt>
                <c:pt idx="6">
                  <c:v>17</c:v>
                </c:pt>
                <c:pt idx="7">
                  <c:v>70</c:v>
                </c:pt>
                <c:pt idx="8">
                  <c:v>33</c:v>
                </c:pt>
                <c:pt idx="9">
                  <c:v>126</c:v>
                </c:pt>
                <c:pt idx="10">
                  <c:v>43</c:v>
                </c:pt>
                <c:pt idx="11">
                  <c:v>13</c:v>
                </c:pt>
                <c:pt idx="12">
                  <c:v>119</c:v>
                </c:pt>
                <c:pt idx="13">
                  <c:v>38</c:v>
                </c:pt>
                <c:pt idx="14">
                  <c:v>34</c:v>
                </c:pt>
                <c:pt idx="15">
                  <c:v>24</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23F1-7049-877C-FACAD32A85F3}"/>
            </c:ext>
          </c:extLst>
        </c:ser>
        <c:ser>
          <c:idx val="3"/>
          <c:order val="3"/>
          <c:tx>
            <c:strRef>
              <c:f>'Status Tracking '!$E$25</c:f>
              <c:strCache>
                <c:ptCount val="1"/>
              </c:strCache>
            </c:strRef>
          </c:tx>
          <c:spPr>
            <a:solidFill>
              <a:srgbClr val="FFC000"/>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'!$E$26:$E$45</c:f>
              <c:numCache>
                <c:formatCode>General</c:formatCode>
                <c:ptCount val="20"/>
                <c:pt idx="0">
                  <c:v>0</c:v>
                </c:pt>
                <c:pt idx="1">
                  <c:v>7</c:v>
                </c:pt>
                <c:pt idx="2">
                  <c:v>0</c:v>
                </c:pt>
                <c:pt idx="3">
                  <c:v>1</c:v>
                </c:pt>
                <c:pt idx="4">
                  <c:v>4</c:v>
                </c:pt>
                <c:pt idx="5">
                  <c:v>0</c:v>
                </c:pt>
                <c:pt idx="6">
                  <c:v>1</c:v>
                </c:pt>
                <c:pt idx="7">
                  <c:v>1</c:v>
                </c:pt>
                <c:pt idx="8">
                  <c:v>0</c:v>
                </c:pt>
                <c:pt idx="9">
                  <c:v>1</c:v>
                </c:pt>
                <c:pt idx="10">
                  <c:v>0</c:v>
                </c:pt>
                <c:pt idx="11">
                  <c:v>0</c:v>
                </c:pt>
                <c:pt idx="12">
                  <c:v>0</c:v>
                </c:pt>
                <c:pt idx="13">
                  <c:v>1</c:v>
                </c:pt>
                <c:pt idx="14">
                  <c:v>2</c:v>
                </c:pt>
                <c:pt idx="15">
                  <c:v>1</c:v>
                </c:pt>
                <c:pt idx="16">
                  <c:v>0</c:v>
                </c:pt>
                <c:pt idx="17">
                  <c:v>0</c:v>
                </c:pt>
                <c:pt idx="18">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23F1-7049-877C-FACAD32A85F3}"/>
            </c:ext>
          </c:extLst>
        </c:ser>
        <c:ser>
          <c:idx val="4"/>
          <c:order val="4"/>
          <c:tx>
            <c:strRef>
              <c:f>'Status Tracking '!$F$25</c:f>
              <c:strCache>
                <c:ptCount val="1"/>
              </c:strCache>
            </c:strRef>
          </c:tx>
          <c:spPr>
            <a:solidFill>
              <a:srgbClr val="4472C4"/>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'!$F$26:$F$45</c:f>
              <c:numCache>
                <c:formatCode>General</c:formatCode>
                <c:ptCount val="20"/>
                <c:pt idx="0">
                  <c:v>0</c:v>
                </c:pt>
                <c:pt idx="1">
                  <c:v>4</c:v>
                </c:pt>
                <c:pt idx="2">
                  <c:v>9</c:v>
                </c:pt>
                <c:pt idx="3">
                  <c:v>0</c:v>
                </c:pt>
                <c:pt idx="4">
                  <c:v>5</c:v>
                </c:pt>
                <c:pt idx="5">
                  <c:v>0</c:v>
                </c:pt>
                <c:pt idx="6">
                  <c:v>1</c:v>
                </c:pt>
                <c:pt idx="7">
                  <c:v>0</c:v>
                </c:pt>
                <c:pt idx="8">
                  <c:v>0</c:v>
                </c:pt>
                <c:pt idx="9">
                  <c:v>0</c:v>
                </c:pt>
                <c:pt idx="10">
                  <c:v>1</c:v>
                </c:pt>
                <c:pt idx="11">
                  <c:v>0</c:v>
                </c:pt>
                <c:pt idx="12">
                  <c:v>4</c:v>
                </c:pt>
                <c:pt idx="13">
                  <c:v>0</c:v>
                </c:pt>
                <c:pt idx="14">
                  <c:v>1</c:v>
                </c:pt>
                <c:pt idx="15">
                  <c:v>2</c:v>
                </c:pt>
                <c:pt idx="16">
                  <c:v>0</c:v>
                </c:pt>
                <c:pt idx="17">
                  <c:v>0</c:v>
                </c:pt>
                <c:pt idx="18">
                  <c:v>0</c:v>
                </c:pt>
                <c:pt idx="19">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23F1-7049-877C-FACAD32A85F3}"/>
            </c:ext>
          </c:extLst>
        </c:ser>
        <c:ser>
          <c:idx val="6"/>
          <c:order val="5"/>
          <c:tx>
            <c:strRef>
              <c:f>'Status Tracking '!$G$25</c:f>
              <c:strCache>
                <c:ptCount val="1"/>
              </c:strCache>
            </c:strRef>
          </c:tx>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'!$G$26:$G$45</c:f>
              <c:numCache>
                <c:formatCode>General</c:formatCode>
                <c:ptCount val="20"/>
                <c:pt idx="0">
                  <c:v>0</c:v>
                </c:pt>
                <c:pt idx="1">
                  <c:v>102</c:v>
                </c:pt>
                <c:pt idx="2">
                  <c:v>56</c:v>
                </c:pt>
                <c:pt idx="3">
                  <c:v>50</c:v>
                </c:pt>
                <c:pt idx="4">
                  <c:v>20</c:v>
                </c:pt>
                <c:pt idx="5">
                  <c:v>40</c:v>
                </c:pt>
                <c:pt idx="6">
                  <c:v>19</c:v>
                </c:pt>
                <c:pt idx="7">
                  <c:v>71</c:v>
                </c:pt>
                <c:pt idx="8">
                  <c:v>33</c:v>
                </c:pt>
                <c:pt idx="9">
                  <c:v>126</c:v>
                </c:pt>
                <c:pt idx="10">
                  <c:v>44</c:v>
                </c:pt>
                <c:pt idx="11">
                  <c:v>13</c:v>
                </c:pt>
                <c:pt idx="12">
                  <c:v>123</c:v>
                </c:pt>
                <c:pt idx="13">
                  <c:v>38</c:v>
                </c:pt>
                <c:pt idx="14">
                  <c:v>36</c:v>
                </c:pt>
                <c:pt idx="15">
                  <c:v>27</c:v>
                </c:pt>
                <c:pt idx="16">
                  <c:v>8</c:v>
                </c:pt>
                <c:pt idx="17">
                  <c:v>17</c:v>
                </c:pt>
                <c:pt idx="18">
                  <c:v>100</c:v>
                </c:pt>
                <c:pt idx="19">
                  <c:v>8</c:v>
                </c:pt>
              </c:numCache>
            </c:numRef>
          </c:val>
          <c:extLst>
            <c:ext xmlns:c16="http://schemas.microsoft.com/office/drawing/2014/chart" uri="{C3380CC4-5D6E-409C-BE32-E72D297353CC}">
              <c16:uniqueId val="{00000005-23F1-7049-877C-FACAD32A85F3}"/>
            </c:ext>
          </c:extLst>
        </c:ser>
        <c:dLbls>
          <c:showLegendKey val="0"/>
          <c:showVal val="0"/>
          <c:showCatName val="0"/>
          <c:showSerName val="0"/>
          <c:showPercent val="0"/>
          <c:showBubbleSize val="0"/>
        </c:dLbls>
        <c:gapWidth val="150"/>
        <c:axId val="635640098"/>
        <c:axId val="639830160"/>
      </c:barChart>
      <c:catAx>
        <c:axId val="635640098"/>
        <c:scaling>
          <c:orientation val="minMax"/>
        </c:scaling>
        <c:delete val="0"/>
        <c:axPos val="b"/>
        <c:title>
          <c:tx>
            <c:rich>
              <a:bodyPr/>
              <a:lstStyle/>
              <a:p>
                <a:pPr lvl="0">
                  <a:defRPr b="0">
                    <a:solidFill>
                      <a:srgbClr val="000000"/>
                    </a:solidFill>
                    <a:latin typeface="+mn-lt"/>
                  </a:defRPr>
                </a:pPr>
                <a:r>
                  <a:t>Medical Domain</a:t>
                </a:r>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n-US"/>
          </a:p>
        </c:txPr>
        <c:crossAx val="639830160"/>
        <c:crosses val="autoZero"/>
        <c:auto val="1"/>
        <c:lblAlgn val="ctr"/>
        <c:lblOffset val="100"/>
        <c:noMultiLvlLbl val="1"/>
      </c:catAx>
      <c:valAx>
        <c:axId val="6398301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mn-lt"/>
              </a:defRPr>
            </a:pPr>
            <a:endParaRPr lang="en-US"/>
          </a:p>
        </c:txPr>
        <c:crossAx val="635640098"/>
        <c:crosses val="autoZero"/>
        <c:crossBetween val="between"/>
      </c:valAx>
    </c:plotArea>
    <c:legend>
      <c:legendPos val="t"/>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t>Grand Total</a:t>
            </a:r>
          </a:p>
        </c:rich>
      </c:tx>
      <c:overlay val="0"/>
    </c:title>
    <c:autoTitleDeleted val="0"/>
    <c:plotArea>
      <c:layout/>
      <c:barChart>
        <c:barDir val="col"/>
        <c:grouping val="clustered"/>
        <c:varyColors val="1"/>
        <c:ser>
          <c:idx val="0"/>
          <c:order val="0"/>
          <c:tx>
            <c:strRef>
              <c:f>'Status Tracking '!$G$4</c:f>
              <c:strCache>
                <c:ptCount val="1"/>
              </c:strCache>
            </c:strRef>
          </c:tx>
          <c:spPr>
            <a:solidFill>
              <a:srgbClr val="5B9BD5"/>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'!$H$4</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3F17-C648-803A-1CADA739A211}"/>
            </c:ext>
          </c:extLst>
        </c:ser>
        <c:ser>
          <c:idx val="1"/>
          <c:order val="1"/>
          <c:tx>
            <c:strRef>
              <c:f>'Status Tracking '!$G$5</c:f>
              <c:strCache>
                <c:ptCount val="1"/>
                <c:pt idx="0">
                  <c:v>0</c:v>
                </c:pt>
              </c:strCache>
            </c:strRef>
          </c:tx>
          <c:spPr>
            <a:solidFill>
              <a:srgbClr val="ED7D31"/>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'!$H$5</c:f>
              <c:numCache>
                <c:formatCode>General</c:formatCode>
                <c:ptCount val="1"/>
                <c:pt idx="0">
                  <c:v>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3F17-C648-803A-1CADA739A211}"/>
            </c:ext>
          </c:extLst>
        </c:ser>
        <c:ser>
          <c:idx val="2"/>
          <c:order val="2"/>
          <c:tx>
            <c:strRef>
              <c:f>'Status Tracking '!$G$6</c:f>
              <c:strCache>
                <c:ptCount val="1"/>
                <c:pt idx="0">
                  <c:v>0</c:v>
                </c:pt>
              </c:strCache>
            </c:strRef>
          </c:tx>
          <c:spPr>
            <a:solidFill>
              <a:srgbClr val="A5A5A5"/>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'!$H$6</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3F17-C648-803A-1CADA739A211}"/>
            </c:ext>
          </c:extLst>
        </c:ser>
        <c:ser>
          <c:idx val="3"/>
          <c:order val="3"/>
          <c:tx>
            <c:strRef>
              <c:f>'Status Tracking '!$G$7</c:f>
              <c:strCache>
                <c:ptCount val="1"/>
                <c:pt idx="0">
                  <c:v>0</c:v>
                </c:pt>
              </c:strCache>
            </c:strRef>
          </c:tx>
          <c:spPr>
            <a:solidFill>
              <a:srgbClr val="FFC000"/>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'!$H$7</c:f>
              <c:numCache>
                <c:formatCode>General</c:formatCode>
                <c:ptCount val="1"/>
                <c:pt idx="0">
                  <c:v>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3F17-C648-803A-1CADA739A211}"/>
            </c:ext>
          </c:extLst>
        </c:ser>
        <c:ser>
          <c:idx val="4"/>
          <c:order val="4"/>
          <c:tx>
            <c:strRef>
              <c:f>'Status Tracking '!$G$8</c:f>
              <c:strCache>
                <c:ptCount val="1"/>
                <c:pt idx="0">
                  <c:v>Extension Needed</c:v>
                </c:pt>
              </c:strCache>
            </c:strRef>
          </c:tx>
          <c:spPr>
            <a:solidFill>
              <a:srgbClr val="4472C4"/>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3F17-C648-803A-1CADA739A211}"/>
            </c:ext>
          </c:extLst>
        </c:ser>
        <c:ser>
          <c:idx val="5"/>
          <c:order val="5"/>
          <c:tx>
            <c:strRef>
              <c:f>'Status Tracking '!$G$9</c:f>
              <c:strCache>
                <c:ptCount val="1"/>
                <c:pt idx="0">
                  <c:v>Total</c:v>
                </c:pt>
              </c:strCache>
            </c:strRef>
          </c:tx>
          <c:spPr>
            <a:solidFill>
              <a:srgbClr val="70AD47"/>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'!$H$9</c:f>
              <c:numCache>
                <c:formatCode>General</c:formatCode>
                <c:ptCount val="1"/>
                <c:pt idx="0">
                  <c:v>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5-3F17-C648-803A-1CADA739A211}"/>
            </c:ext>
          </c:extLst>
        </c:ser>
        <c:ser>
          <c:idx val="6"/>
          <c:order val="6"/>
          <c:tx>
            <c:strRef>
              <c:f>'Status Tracking '!$G$10</c:f>
              <c:strCache>
                <c:ptCount val="1"/>
              </c:strCache>
            </c:strRef>
          </c:tx>
          <c:invertIfNegative val="1"/>
          <c:val>
            <c:numRef>
              <c:f>'Status Tracking '!$H$10</c:f>
              <c:numCache>
                <c:formatCode>General</c:formatCode>
                <c:ptCount val="1"/>
              </c:numCache>
            </c:numRef>
          </c:val>
          <c:extLst>
            <c:ext xmlns:c16="http://schemas.microsoft.com/office/drawing/2014/chart" uri="{C3380CC4-5D6E-409C-BE32-E72D297353CC}">
              <c16:uniqueId val="{00000006-3F17-C648-803A-1CADA739A211}"/>
            </c:ext>
          </c:extLst>
        </c:ser>
        <c:dLbls>
          <c:showLegendKey val="0"/>
          <c:showVal val="0"/>
          <c:showCatName val="0"/>
          <c:showSerName val="0"/>
          <c:showPercent val="0"/>
          <c:showBubbleSize val="0"/>
        </c:dLbls>
        <c:gapWidth val="150"/>
        <c:axId val="1942672308"/>
        <c:axId val="2019403869"/>
      </c:barChart>
      <c:catAx>
        <c:axId val="1942672308"/>
        <c:scaling>
          <c:orientation val="minMax"/>
        </c:scaling>
        <c:delete val="0"/>
        <c:axPos val="b"/>
        <c:title>
          <c:tx>
            <c:rich>
              <a:bodyPr/>
              <a:lstStyle/>
              <a:p>
                <a:pPr lvl="0">
                  <a:defRPr b="0">
                    <a:solidFill>
                      <a:srgbClr val="000000"/>
                    </a:solidFill>
                    <a:latin typeface="+mn-lt"/>
                  </a:defRPr>
                </a:pPr>
                <a:endParaRPr/>
              </a:p>
            </c:rich>
          </c:tx>
          <c:overlay val="0"/>
        </c:title>
        <c:majorTickMark val="cross"/>
        <c:minorTickMark val="cross"/>
        <c:tickLblPos val="nextTo"/>
        <c:txPr>
          <a:bodyPr/>
          <a:lstStyle/>
          <a:p>
            <a:pPr lvl="0">
              <a:defRPr b="0">
                <a:solidFill>
                  <a:srgbClr val="000000"/>
                </a:solidFill>
                <a:latin typeface="+mn-lt"/>
              </a:defRPr>
            </a:pPr>
            <a:endParaRPr lang="en-US"/>
          </a:p>
        </c:txPr>
        <c:crossAx val="2019403869"/>
        <c:crosses val="autoZero"/>
        <c:auto val="1"/>
        <c:lblAlgn val="ctr"/>
        <c:lblOffset val="100"/>
        <c:noMultiLvlLbl val="1"/>
      </c:catAx>
      <c:valAx>
        <c:axId val="2019403869"/>
        <c:scaling>
          <c:orientation val="minMax"/>
          <c:max val="10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mn-lt"/>
              </a:defRPr>
            </a:pPr>
            <a:endParaRPr lang="en-US"/>
          </a:p>
        </c:txPr>
        <c:crossAx val="1942672308"/>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0</xdr:colOff>
      <xdr:row>21</xdr:row>
      <xdr:rowOff>0</xdr:rowOff>
    </xdr:from>
    <xdr:ext cx="9525" cy="9525"/>
    <xdr:pic>
      <xdr:nvPicPr>
        <xdr:cNvPr id="2" name="image1.png" descr="page30image1153590272">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3" name="image1.png" descr="page30image1086513984">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4" name="image1.png" descr="page30image1086506496">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5" name="image1.png" descr="page30image1086543680">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6" name="image1.png" descr="page30image1086540416">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7" name="image1.png" descr="page30image1086544832">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8" name="image2.png" descr="page30image757642592">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9" name="image1.png" descr="page30image1086537472">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0" name="image1.png" descr="page30image1086586240">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1" name="image1.png" descr="page30image1086456960">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2" name="image1.png" descr="page30image1086471360">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3" name="image1.png" descr="page30image1086482944">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14" name="image2.png" descr="page30image757871520">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5" name="image1.png" descr="page30image1086480640">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6" name="image1.png" descr="page30image1086490304">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17" name="image1.png" descr="page30image1153585088">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8" name="image1.png" descr="page30image1153589504">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19" name="image2.png" descr="page30image757999232">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0" name="image1.png" descr="page30image1153598784">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1" name="image1.png" descr="page30image1153601664">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2" name="image1.png" descr="page30image1153598016">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3" name="image1.png" descr="page30image1153613184">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24" name="image3.png" descr="page31image756159408">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25" name="image1.png" descr="page31image1153468480">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6" name="image1.png" descr="page31image1153917568">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7" name="image1.png" descr="page30image1153585088">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8" name="image1.png" descr="page30image1153598784">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9" name="image1.png" descr="page30image1153601664">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0" name="image1.png" descr="page30image1153598016">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1" name="image1.png" descr="page30image1153613184">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2" name="image1.png" descr="page31image1153917568">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3" name="image1.png" descr="page30image1153590272">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4" name="image1.png" descr="page30image1086513984">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5" name="image1.png" descr="page30image1086506496">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6" name="image1.png" descr="page30image1086543680">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7" name="image1.png" descr="page30image1086540416">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8" name="image1.png" descr="page30image1086544832">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39" name="image2.png" descr="page30image757642592">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0" name="image1.png" descr="page30image1086537472">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1" name="image1.png" descr="page30image1086586240">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2" name="image1.png" descr="page30image1086456960">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3" name="image1.png" descr="page30image1086471360">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4" name="image1.png" descr="page30image1086482944">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45" name="image2.png" descr="page30image757871520">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6" name="image1.png" descr="page30image1086480640">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7" name="image1.png" descr="page30image1086490304">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48" name="image1.png" descr="page30image1153585088">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9" name="image1.png" descr="page30image1153589504">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0" name="image2.png" descr="page30image757999232">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1" name="image1.png" descr="page30image1153598784">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2" name="image1.png" descr="page30image1153601664">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3" name="image1.png" descr="page30image1153598016">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4" name="image1.png" descr="page30image1153613184">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5" name="image2.png" descr="page30image756261184">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6" name="image2.png" descr="page30image756263200">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57" name="image3.png" descr="page31image756159408">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8" name="image2.png" descr="page31image756165008">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59" name="image1.png" descr="page31image1153468480">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0" name="image2.png" descr="page31image756160640">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1" name="image2.png" descr="page31image756170608">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2" name="image1.png" descr="page31image1153902912">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3" name="image2.png" descr="page31image756249616">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4" name="image1.png" descr="page31image1086445568">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5" name="image2.png" descr="page31image757899136">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6" name="image1.png" descr="page31image1086424768">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7" name="image2.png" descr="page31image758054320">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8" name="image1.png" descr="page31image1086409152">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9" name="image2.png" descr="page31image757758400">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0" name="image1.png" descr="page31image1153907520">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1" name="image1.png" descr="page31image1153893504">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2" name="image1.png" descr="page31image1153490624">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3" name="image1.png" descr="page31image1086769408">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4" name="image1.png" descr="page31image1153909888">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5" name="image1.png" descr="page31image1153913920">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76" name="image1.png" descr="page31image1153917568">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7" name="image1.png" descr="page30image1153590272">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8" name="image1.png" descr="page30image1086513984">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9" name="image1.png" descr="page30image1086506496">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0" name="image1.png" descr="page30image1086543680">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1" name="image1.png" descr="page30image1086540416">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2" name="image1.png" descr="page30image1086544832">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83" name="image2.png" descr="page30image757642592">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4" name="image1.png" descr="page30image1086537472">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5" name="image1.png" descr="page30image1086586240">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6" name="image1.png" descr="page30image1086456960">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7" name="image1.png" descr="page30image1086471360">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8" name="image1.png" descr="page30image1086482944">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89" name="image2.png" descr="page30image757871520">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0" name="image1.png" descr="page30image1086480640">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1" name="image1.png" descr="page30image1086490304">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2" name="image1.png" descr="page30image1153585088">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3" name="image1.png" descr="page30image1153589504">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94" name="image2.png" descr="page30image757999232">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5" name="image1.png" descr="page30image1153598784">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6" name="image1.png" descr="page30image1153601664">
          <a:extLst>
            <a:ext uri="{FF2B5EF4-FFF2-40B4-BE49-F238E27FC236}">
              <a16:creationId xmlns:a16="http://schemas.microsoft.com/office/drawing/2014/main" id="{00000000-0008-0000-00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7" name="image1.png" descr="page30image1153598016">
          <a:extLst>
            <a:ext uri="{FF2B5EF4-FFF2-40B4-BE49-F238E27FC236}">
              <a16:creationId xmlns:a16="http://schemas.microsoft.com/office/drawing/2014/main" id="{00000000-0008-0000-00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8" name="image1.png" descr="page30image1153613184">
          <a:extLst>
            <a:ext uri="{FF2B5EF4-FFF2-40B4-BE49-F238E27FC236}">
              <a16:creationId xmlns:a16="http://schemas.microsoft.com/office/drawing/2014/main" id="{00000000-0008-0000-0000-00006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99" name="image2.png" descr="page30image756261184">
          <a:extLst>
            <a:ext uri="{FF2B5EF4-FFF2-40B4-BE49-F238E27FC236}">
              <a16:creationId xmlns:a16="http://schemas.microsoft.com/office/drawing/2014/main" id="{00000000-0008-0000-00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0" name="image2.png" descr="page30image756263200">
          <a:extLst>
            <a:ext uri="{FF2B5EF4-FFF2-40B4-BE49-F238E27FC236}">
              <a16:creationId xmlns:a16="http://schemas.microsoft.com/office/drawing/2014/main" id="{00000000-0008-0000-0000-00006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1" name="image3.png" descr="page31image756159408">
          <a:extLst>
            <a:ext uri="{FF2B5EF4-FFF2-40B4-BE49-F238E27FC236}">
              <a16:creationId xmlns:a16="http://schemas.microsoft.com/office/drawing/2014/main" id="{00000000-0008-0000-0000-00006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2" name="image2.png" descr="page31image756165008">
          <a:extLst>
            <a:ext uri="{FF2B5EF4-FFF2-40B4-BE49-F238E27FC236}">
              <a16:creationId xmlns:a16="http://schemas.microsoft.com/office/drawing/2014/main" id="{00000000-0008-0000-0000-00006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3" name="image1.png" descr="page31image1153468480">
          <a:extLst>
            <a:ext uri="{FF2B5EF4-FFF2-40B4-BE49-F238E27FC236}">
              <a16:creationId xmlns:a16="http://schemas.microsoft.com/office/drawing/2014/main" id="{00000000-0008-0000-00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4" name="image2.png" descr="page31image756160640">
          <a:extLst>
            <a:ext uri="{FF2B5EF4-FFF2-40B4-BE49-F238E27FC236}">
              <a16:creationId xmlns:a16="http://schemas.microsoft.com/office/drawing/2014/main" id="{00000000-0008-0000-0000-00006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5" name="image2.png" descr="page31image756170608">
          <a:extLst>
            <a:ext uri="{FF2B5EF4-FFF2-40B4-BE49-F238E27FC236}">
              <a16:creationId xmlns:a16="http://schemas.microsoft.com/office/drawing/2014/main" id="{00000000-0008-0000-0000-00006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6" name="image1.png" descr="page31image1153902912">
          <a:extLst>
            <a:ext uri="{FF2B5EF4-FFF2-40B4-BE49-F238E27FC236}">
              <a16:creationId xmlns:a16="http://schemas.microsoft.com/office/drawing/2014/main" id="{00000000-0008-0000-00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7" name="image2.png" descr="page31image756249616">
          <a:extLst>
            <a:ext uri="{FF2B5EF4-FFF2-40B4-BE49-F238E27FC236}">
              <a16:creationId xmlns:a16="http://schemas.microsoft.com/office/drawing/2014/main" id="{00000000-0008-0000-0000-00006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8" name="image1.png" descr="page31image1086445568">
          <a:extLst>
            <a:ext uri="{FF2B5EF4-FFF2-40B4-BE49-F238E27FC236}">
              <a16:creationId xmlns:a16="http://schemas.microsoft.com/office/drawing/2014/main" id="{00000000-0008-0000-00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9" name="image2.png" descr="page31image757899136">
          <a:extLst>
            <a:ext uri="{FF2B5EF4-FFF2-40B4-BE49-F238E27FC236}">
              <a16:creationId xmlns:a16="http://schemas.microsoft.com/office/drawing/2014/main" id="{00000000-0008-0000-0000-00006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0" name="image1.png" descr="page31image1086424768">
          <a:extLst>
            <a:ext uri="{FF2B5EF4-FFF2-40B4-BE49-F238E27FC236}">
              <a16:creationId xmlns:a16="http://schemas.microsoft.com/office/drawing/2014/main" id="{00000000-0008-0000-00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11" name="image2.png" descr="page31image758054320">
          <a:extLst>
            <a:ext uri="{FF2B5EF4-FFF2-40B4-BE49-F238E27FC236}">
              <a16:creationId xmlns:a16="http://schemas.microsoft.com/office/drawing/2014/main" id="{00000000-0008-0000-0000-00006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2" name="image1.png" descr="page31image1086409152">
          <a:extLst>
            <a:ext uri="{FF2B5EF4-FFF2-40B4-BE49-F238E27FC236}">
              <a16:creationId xmlns:a16="http://schemas.microsoft.com/office/drawing/2014/main" id="{00000000-0008-0000-0000-00007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13" name="image2.png" descr="page31image757758400">
          <a:extLst>
            <a:ext uri="{FF2B5EF4-FFF2-40B4-BE49-F238E27FC236}">
              <a16:creationId xmlns:a16="http://schemas.microsoft.com/office/drawing/2014/main" id="{00000000-0008-0000-00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4" name="image1.png" descr="page31image1153907520">
          <a:extLst>
            <a:ext uri="{FF2B5EF4-FFF2-40B4-BE49-F238E27FC236}">
              <a16:creationId xmlns:a16="http://schemas.microsoft.com/office/drawing/2014/main" id="{00000000-0008-0000-00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5" name="image1.png" descr="page31image1153893504">
          <a:extLst>
            <a:ext uri="{FF2B5EF4-FFF2-40B4-BE49-F238E27FC236}">
              <a16:creationId xmlns:a16="http://schemas.microsoft.com/office/drawing/2014/main" id="{00000000-0008-0000-00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6" name="image1.png" descr="page31image1153490624">
          <a:extLst>
            <a:ext uri="{FF2B5EF4-FFF2-40B4-BE49-F238E27FC236}">
              <a16:creationId xmlns:a16="http://schemas.microsoft.com/office/drawing/2014/main" id="{00000000-0008-0000-00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7" name="image1.png" descr="page31image1086769408">
          <a:extLst>
            <a:ext uri="{FF2B5EF4-FFF2-40B4-BE49-F238E27FC236}">
              <a16:creationId xmlns:a16="http://schemas.microsoft.com/office/drawing/2014/main" id="{00000000-0008-0000-00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8" name="image1.png" descr="page31image1153909888">
          <a:extLst>
            <a:ext uri="{FF2B5EF4-FFF2-40B4-BE49-F238E27FC236}">
              <a16:creationId xmlns:a16="http://schemas.microsoft.com/office/drawing/2014/main" id="{00000000-0008-0000-00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9" name="image1.png" descr="page31image1153913920">
          <a:extLst>
            <a:ext uri="{FF2B5EF4-FFF2-40B4-BE49-F238E27FC236}">
              <a16:creationId xmlns:a16="http://schemas.microsoft.com/office/drawing/2014/main" id="{00000000-0008-0000-00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120" name="image1.png" descr="page31image1153917568">
          <a:extLst>
            <a:ext uri="{FF2B5EF4-FFF2-40B4-BE49-F238E27FC236}">
              <a16:creationId xmlns:a16="http://schemas.microsoft.com/office/drawing/2014/main" id="{00000000-0008-0000-00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1" name="image1.png" descr="page30image1153590272">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2" name="image1.png" descr="page30image1086513984">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3" name="image1.png" descr="page30image1086506496">
          <a:extLst>
            <a:ext uri="{FF2B5EF4-FFF2-40B4-BE49-F238E27FC236}">
              <a16:creationId xmlns:a16="http://schemas.microsoft.com/office/drawing/2014/main" id="{00000000-0008-0000-00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4" name="image1.png" descr="page30image1086543680">
          <a:extLst>
            <a:ext uri="{FF2B5EF4-FFF2-40B4-BE49-F238E27FC236}">
              <a16:creationId xmlns:a16="http://schemas.microsoft.com/office/drawing/2014/main" id="{00000000-0008-0000-00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5" name="image1.png" descr="page30image1086540416">
          <a:extLst>
            <a:ext uri="{FF2B5EF4-FFF2-40B4-BE49-F238E27FC236}">
              <a16:creationId xmlns:a16="http://schemas.microsoft.com/office/drawing/2014/main" id="{00000000-0008-0000-00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6" name="image1.png" descr="page30image1086544832">
          <a:extLst>
            <a:ext uri="{FF2B5EF4-FFF2-40B4-BE49-F238E27FC236}">
              <a16:creationId xmlns:a16="http://schemas.microsoft.com/office/drawing/2014/main" id="{00000000-0008-0000-0000-00007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7" name="image1.png" descr="page30image1086537472">
          <a:extLst>
            <a:ext uri="{FF2B5EF4-FFF2-40B4-BE49-F238E27FC236}">
              <a16:creationId xmlns:a16="http://schemas.microsoft.com/office/drawing/2014/main" id="{00000000-0008-0000-0000-00007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8" name="image1.png" descr="page30image1086586240">
          <a:extLst>
            <a:ext uri="{FF2B5EF4-FFF2-40B4-BE49-F238E27FC236}">
              <a16:creationId xmlns:a16="http://schemas.microsoft.com/office/drawing/2014/main" id="{00000000-0008-0000-00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9" name="image1.png" descr="page30image1086456960">
          <a:extLst>
            <a:ext uri="{FF2B5EF4-FFF2-40B4-BE49-F238E27FC236}">
              <a16:creationId xmlns:a16="http://schemas.microsoft.com/office/drawing/2014/main" id="{00000000-0008-0000-00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0" name="image1.png" descr="page30image1086471360">
          <a:extLst>
            <a:ext uri="{FF2B5EF4-FFF2-40B4-BE49-F238E27FC236}">
              <a16:creationId xmlns:a16="http://schemas.microsoft.com/office/drawing/2014/main" id="{00000000-0008-0000-00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1" name="image1.png" descr="page30image1086482944">
          <a:extLst>
            <a:ext uri="{FF2B5EF4-FFF2-40B4-BE49-F238E27FC236}">
              <a16:creationId xmlns:a16="http://schemas.microsoft.com/office/drawing/2014/main" id="{00000000-0008-0000-00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2" name="image1.png" descr="page30image1086480640">
          <a:extLst>
            <a:ext uri="{FF2B5EF4-FFF2-40B4-BE49-F238E27FC236}">
              <a16:creationId xmlns:a16="http://schemas.microsoft.com/office/drawing/2014/main" id="{00000000-0008-0000-00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3" name="image1.png" descr="page30image1086490304">
          <a:extLst>
            <a:ext uri="{FF2B5EF4-FFF2-40B4-BE49-F238E27FC236}">
              <a16:creationId xmlns:a16="http://schemas.microsoft.com/office/drawing/2014/main" id="{00000000-0008-0000-00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4" name="image1.png" descr="page30image1153585088">
          <a:extLst>
            <a:ext uri="{FF2B5EF4-FFF2-40B4-BE49-F238E27FC236}">
              <a16:creationId xmlns:a16="http://schemas.microsoft.com/office/drawing/2014/main" id="{00000000-0008-0000-00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5" name="image1.png" descr="page30image1153589504">
          <a:extLst>
            <a:ext uri="{FF2B5EF4-FFF2-40B4-BE49-F238E27FC236}">
              <a16:creationId xmlns:a16="http://schemas.microsoft.com/office/drawing/2014/main" id="{00000000-0008-0000-00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6" name="image1.png" descr="page30image1153598784">
          <a:extLst>
            <a:ext uri="{FF2B5EF4-FFF2-40B4-BE49-F238E27FC236}">
              <a16:creationId xmlns:a16="http://schemas.microsoft.com/office/drawing/2014/main" id="{00000000-0008-0000-00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7" name="image1.png" descr="page30image1153601664">
          <a:extLst>
            <a:ext uri="{FF2B5EF4-FFF2-40B4-BE49-F238E27FC236}">
              <a16:creationId xmlns:a16="http://schemas.microsoft.com/office/drawing/2014/main" id="{00000000-0008-0000-00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8" name="image1.png" descr="page30image1153598016">
          <a:extLst>
            <a:ext uri="{FF2B5EF4-FFF2-40B4-BE49-F238E27FC236}">
              <a16:creationId xmlns:a16="http://schemas.microsoft.com/office/drawing/2014/main" id="{00000000-0008-0000-00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9" name="image1.png" descr="page30image1153613184">
          <a:extLst>
            <a:ext uri="{FF2B5EF4-FFF2-40B4-BE49-F238E27FC236}">
              <a16:creationId xmlns:a16="http://schemas.microsoft.com/office/drawing/2014/main" id="{00000000-0008-0000-00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0" name="image3.png" descr="page31image756159408">
          <a:extLst>
            <a:ext uri="{FF2B5EF4-FFF2-40B4-BE49-F238E27FC236}">
              <a16:creationId xmlns:a16="http://schemas.microsoft.com/office/drawing/2014/main" id="{00000000-0008-0000-0000-00008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1" name="image1.png" descr="page31image1153468480">
          <a:extLst>
            <a:ext uri="{FF2B5EF4-FFF2-40B4-BE49-F238E27FC236}">
              <a16:creationId xmlns:a16="http://schemas.microsoft.com/office/drawing/2014/main" id="{00000000-0008-0000-0000-00008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2" name="image1.png" descr="page31image1153902912">
          <a:extLst>
            <a:ext uri="{FF2B5EF4-FFF2-40B4-BE49-F238E27FC236}">
              <a16:creationId xmlns:a16="http://schemas.microsoft.com/office/drawing/2014/main" id="{00000000-0008-0000-00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3" name="image1.png" descr="page31image1086445568">
          <a:extLst>
            <a:ext uri="{FF2B5EF4-FFF2-40B4-BE49-F238E27FC236}">
              <a16:creationId xmlns:a16="http://schemas.microsoft.com/office/drawing/2014/main" id="{00000000-0008-0000-00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4" name="image1.png" descr="page31image1086424768">
          <a:extLst>
            <a:ext uri="{FF2B5EF4-FFF2-40B4-BE49-F238E27FC236}">
              <a16:creationId xmlns:a16="http://schemas.microsoft.com/office/drawing/2014/main" id="{00000000-0008-0000-00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5" name="image1.png" descr="page31image1086409152">
          <a:extLst>
            <a:ext uri="{FF2B5EF4-FFF2-40B4-BE49-F238E27FC236}">
              <a16:creationId xmlns:a16="http://schemas.microsoft.com/office/drawing/2014/main" id="{00000000-0008-0000-00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6" name="image1.png" descr="page31image1153907520">
          <a:extLst>
            <a:ext uri="{FF2B5EF4-FFF2-40B4-BE49-F238E27FC236}">
              <a16:creationId xmlns:a16="http://schemas.microsoft.com/office/drawing/2014/main" id="{00000000-0008-0000-00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7" name="image1.png" descr="page31image1153893504">
          <a:extLst>
            <a:ext uri="{FF2B5EF4-FFF2-40B4-BE49-F238E27FC236}">
              <a16:creationId xmlns:a16="http://schemas.microsoft.com/office/drawing/2014/main" id="{00000000-0008-0000-00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8" name="image1.png" descr="page31image1153490624">
          <a:extLst>
            <a:ext uri="{FF2B5EF4-FFF2-40B4-BE49-F238E27FC236}">
              <a16:creationId xmlns:a16="http://schemas.microsoft.com/office/drawing/2014/main" id="{00000000-0008-0000-00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9" name="image1.png" descr="page31image1086769408">
          <a:extLst>
            <a:ext uri="{FF2B5EF4-FFF2-40B4-BE49-F238E27FC236}">
              <a16:creationId xmlns:a16="http://schemas.microsoft.com/office/drawing/2014/main" id="{00000000-0008-0000-00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50" name="image1.png" descr="page31image1153909888">
          <a:extLst>
            <a:ext uri="{FF2B5EF4-FFF2-40B4-BE49-F238E27FC236}">
              <a16:creationId xmlns:a16="http://schemas.microsoft.com/office/drawing/2014/main" id="{00000000-0008-0000-00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51" name="image1.png" descr="page31image1153913920">
          <a:extLst>
            <a:ext uri="{FF2B5EF4-FFF2-40B4-BE49-F238E27FC236}">
              <a16:creationId xmlns:a16="http://schemas.microsoft.com/office/drawing/2014/main" id="{00000000-0008-0000-00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52" name="image1.png" descr="page31image1153917568">
          <a:extLst>
            <a:ext uri="{FF2B5EF4-FFF2-40B4-BE49-F238E27FC236}">
              <a16:creationId xmlns:a16="http://schemas.microsoft.com/office/drawing/2014/main" id="{00000000-0008-0000-00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13868400" cy="3971925"/>
    <xdr:graphicFrame macro="">
      <xdr:nvGraphicFramePr>
        <xdr:cNvPr id="2" name="Chart 1" title="Chart">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504825</xdr:colOff>
      <xdr:row>24</xdr:row>
      <xdr:rowOff>9525</xdr:rowOff>
    </xdr:from>
    <xdr:ext cx="6457950" cy="3971925"/>
    <xdr:graphicFrame macro="">
      <xdr:nvGraphicFramePr>
        <xdr:cNvPr id="3" name="Chart 2" title="Chart">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17</xdr:row>
      <xdr:rowOff>0</xdr:rowOff>
    </xdr:from>
    <xdr:ext cx="19050" cy="19050"/>
    <xdr:pic>
      <xdr:nvPicPr>
        <xdr:cNvPr id="2" name="image4.png" descr="page30image1153590272">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 name="image4.png" descr="page30image1086513984">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4" name="image4.png" descr="page30image1086506496">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5" name="image4.png" descr="page30image1086543680">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6" name="image4.png" descr="page30image1086540416">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7" name="image4.png" descr="page30image1086544832">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8" name="image4.png" descr="page30image1086537472">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9" name="image4.png" descr="page30image1086586240">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0" name="image4.png" descr="page30image1086456960">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1" name="image4.png" descr="page30image1086471360">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2" name="image4.png" descr="page30image1086482944">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3" name="image4.png" descr="page30image1086480640">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4" name="image4.png" descr="page30image1086490304">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5" name="image4.png" descr="page30image1153585088">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6" name="image4.png" descr="page30image1153589504">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7" name="image4.png" descr="page30image1153598784">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8" name="image4.png" descr="page30image1153601664">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9" name="image4.png" descr="page30image1153598016">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0" name="image4.png" descr="page30image1153613184">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1" name="image5.png" descr="page31image756159408">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2" name="image4.png" descr="page31image1153468480">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3" name="image4.png" descr="page31image1153902912">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4" name="image4.png" descr="page31image1086445568">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5" name="image4.png" descr="page31image1086424768">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6" name="image4.png" descr="page31image1086409152">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7" name="image4.png" descr="page31image1153907520">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8" name="image4.png" descr="page31image1153893504">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9" name="image4.png" descr="page31image1153490624">
          <a:extLst>
            <a:ext uri="{FF2B5EF4-FFF2-40B4-BE49-F238E27FC236}">
              <a16:creationId xmlns:a16="http://schemas.microsoft.com/office/drawing/2014/main" id="{00000000-0008-0000-0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0" name="image4.png" descr="page31image1086769408">
          <a:extLst>
            <a:ext uri="{FF2B5EF4-FFF2-40B4-BE49-F238E27FC236}">
              <a16:creationId xmlns:a16="http://schemas.microsoft.com/office/drawing/2014/main" id="{00000000-0008-0000-0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1" name="image4.png" descr="page31image1153909888">
          <a:extLst>
            <a:ext uri="{FF2B5EF4-FFF2-40B4-BE49-F238E27FC236}">
              <a16:creationId xmlns:a16="http://schemas.microsoft.com/office/drawing/2014/main" id="{00000000-0008-0000-09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2" name="image4.png" descr="page31image1153913920">
          <a:extLst>
            <a:ext uri="{FF2B5EF4-FFF2-40B4-BE49-F238E27FC236}">
              <a16:creationId xmlns:a16="http://schemas.microsoft.com/office/drawing/2014/main" id="{00000000-0008-0000-09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3" name="image6.png" descr="page30image757642592">
          <a:extLst>
            <a:ext uri="{FF2B5EF4-FFF2-40B4-BE49-F238E27FC236}">
              <a16:creationId xmlns:a16="http://schemas.microsoft.com/office/drawing/2014/main" id="{00000000-0008-0000-09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4" name="image6.png" descr="page30image757871520">
          <a:extLst>
            <a:ext uri="{FF2B5EF4-FFF2-40B4-BE49-F238E27FC236}">
              <a16:creationId xmlns:a16="http://schemas.microsoft.com/office/drawing/2014/main" id="{00000000-0008-0000-09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5" name="image4.png" descr="page30image1153585088">
          <a:extLst>
            <a:ext uri="{FF2B5EF4-FFF2-40B4-BE49-F238E27FC236}">
              <a16:creationId xmlns:a16="http://schemas.microsoft.com/office/drawing/2014/main" id="{00000000-0008-0000-09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6" name="image6.png" descr="page30image757999232">
          <a:extLst>
            <a:ext uri="{FF2B5EF4-FFF2-40B4-BE49-F238E27FC236}">
              <a16:creationId xmlns:a16="http://schemas.microsoft.com/office/drawing/2014/main" id="{00000000-0008-0000-0900-00002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7" name="image4.png" descr="page30image1153598784">
          <a:extLst>
            <a:ext uri="{FF2B5EF4-FFF2-40B4-BE49-F238E27FC236}">
              <a16:creationId xmlns:a16="http://schemas.microsoft.com/office/drawing/2014/main" id="{00000000-0008-0000-09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8" name="image4.png" descr="page30image1153601664">
          <a:extLst>
            <a:ext uri="{FF2B5EF4-FFF2-40B4-BE49-F238E27FC236}">
              <a16:creationId xmlns:a16="http://schemas.microsoft.com/office/drawing/2014/main" id="{00000000-0008-0000-09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9" name="image4.png" descr="page30image1153598016">
          <a:extLst>
            <a:ext uri="{FF2B5EF4-FFF2-40B4-BE49-F238E27FC236}">
              <a16:creationId xmlns:a16="http://schemas.microsoft.com/office/drawing/2014/main" id="{00000000-0008-0000-09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40" name="image4.png" descr="page30image1153613184">
          <a:extLst>
            <a:ext uri="{FF2B5EF4-FFF2-40B4-BE49-F238E27FC236}">
              <a16:creationId xmlns:a16="http://schemas.microsoft.com/office/drawing/2014/main" id="{00000000-0008-0000-09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1" name="image6.png" descr="page30image756261184">
          <a:extLst>
            <a:ext uri="{FF2B5EF4-FFF2-40B4-BE49-F238E27FC236}">
              <a16:creationId xmlns:a16="http://schemas.microsoft.com/office/drawing/2014/main" id="{00000000-0008-0000-0900-00002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2" name="image6.png" descr="page30image756263200">
          <a:extLst>
            <a:ext uri="{FF2B5EF4-FFF2-40B4-BE49-F238E27FC236}">
              <a16:creationId xmlns:a16="http://schemas.microsoft.com/office/drawing/2014/main" id="{00000000-0008-0000-0900-00002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3" name="image6.png" descr="page31image756165008">
          <a:extLst>
            <a:ext uri="{FF2B5EF4-FFF2-40B4-BE49-F238E27FC236}">
              <a16:creationId xmlns:a16="http://schemas.microsoft.com/office/drawing/2014/main" id="{00000000-0008-0000-0900-00002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4" name="image6.png" descr="page31image756160640">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5" name="image6.png" descr="page31image756170608">
          <a:extLst>
            <a:ext uri="{FF2B5EF4-FFF2-40B4-BE49-F238E27FC236}">
              <a16:creationId xmlns:a16="http://schemas.microsoft.com/office/drawing/2014/main" id="{00000000-0008-0000-0900-00002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6" name="image6.png" descr="page31image756249616">
          <a:extLst>
            <a:ext uri="{FF2B5EF4-FFF2-40B4-BE49-F238E27FC236}">
              <a16:creationId xmlns:a16="http://schemas.microsoft.com/office/drawing/2014/main" id="{00000000-0008-0000-0900-00002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47" name="image4.png" descr="page31image1153917568">
          <a:extLst>
            <a:ext uri="{FF2B5EF4-FFF2-40B4-BE49-F238E27FC236}">
              <a16:creationId xmlns:a16="http://schemas.microsoft.com/office/drawing/2014/main" id="{00000000-0008-0000-09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am Stevenson" refreshedDate="43931.508517824077" refreshedVersion="6" recordCount="944" xr:uid="{00000000-000A-0000-FFFF-FFFF00000000}">
  <cacheSource type="worksheet">
    <worksheetSource ref="A2:CF946" sheet="Master-1.0"/>
  </cacheSource>
  <cacheFields count="84">
    <cacheField name="Master ID" numFmtId="0">
      <sharedItems containsSemiMixedTypes="0" containsString="0" containsNumber="1" containsInteger="1" minValue="1229" maxValue="2384"/>
    </cacheField>
    <cacheField name="Master Data Element Label" numFmtId="0">
      <sharedItems/>
    </cacheField>
    <cacheField name="Duplicate Master ID Column" numFmtId="0">
      <sharedItems containsString="0" containsBlank="1" containsNumber="1" containsInteger="1" minValue="1229" maxValue="2370"/>
    </cacheField>
    <cacheField name="Master Data Element Label - Indented formula" numFmtId="0">
      <sharedItems containsBlank="1" containsMixedTypes="1" containsNumber="1" containsInteger="1" minValue="0" maxValue="0"/>
    </cacheField>
    <cacheField name="Master Data Element Label - Raw" numFmtId="0">
      <sharedItems containsBlank="1" containsMixedTypes="1" containsNumber="1" containsInteger="1" minValue="0" maxValue="4"/>
    </cacheField>
    <cacheField name="Master Data Type" numFmtId="0">
      <sharedItems count="5">
        <s v="Data Element"/>
        <s v="Input Option"/>
        <s v="UI Element"/>
        <s v="Calculation"/>
        <s v="Slice"/>
      </sharedItems>
    </cacheField>
    <cacheField name="Length" numFmtId="0">
      <sharedItems containsString="0" containsBlank="1" containsNumber="1" containsInteger="1" minValue="3" maxValue="74"/>
    </cacheField>
    <cacheField name="Data Element Parent for Input Options" numFmtId="0">
      <sharedItems containsBlank="1"/>
    </cacheField>
    <cacheField name="Element Group" numFmtId="0">
      <sharedItems containsNonDate="0" containsString="0" containsBlank="1"/>
    </cacheField>
    <cacheField name="ANC Dictionary Tab" numFmtId="0">
      <sharedItems containsNonDate="0" containsString="0" containsBlank="1"/>
    </cacheField>
    <cacheField name="FP/STI Dictionary Tab" numFmtId="0">
      <sharedItems containsBlank="1"/>
    </cacheField>
    <cacheField name="Medical Domain" numFmtId="0">
      <sharedItems containsBlank="1" count="21">
        <s v="Demographic"/>
        <s v="Registration"/>
        <s v="Referral"/>
        <s v="General Family Planning"/>
        <s v="Vital Signs"/>
        <s v="Female Medical History"/>
        <s v="Pregnancy"/>
        <s v="Sexual History"/>
        <s v="Contraception"/>
        <m/>
        <s v="Misc"/>
        <s v="Medical (non-sexual) history"/>
        <s v="HIV"/>
        <s v="Medications"/>
        <s v="Follow-up"/>
        <s v="STI"/>
        <s v="Medical Exam"/>
        <s v="Medical Tests"/>
        <s v="Diagnosis"/>
        <s v="STI Communication"/>
        <s v="Facility"/>
      </sharedItems>
    </cacheField>
    <cacheField name="Suggested Action" numFmtId="0">
      <sharedItems containsBlank="1"/>
    </cacheField>
    <cacheField name="Activity ID" numFmtId="0">
      <sharedItems containsBlank="1"/>
    </cacheField>
    <cacheField name="Data Element Code (STI)" numFmtId="0">
      <sharedItems containsBlank="1"/>
    </cacheField>
    <cacheField name="Data Element Code (FP)" numFmtId="0">
      <sharedItems containsBlank="1"/>
    </cacheField>
    <cacheField name="Data Element Label" numFmtId="0">
      <sharedItems containsBlank="1"/>
    </cacheField>
    <cacheField name="Data Element Name" numFmtId="0">
      <sharedItems containsBlank="1"/>
    </cacheField>
    <cacheField name="Description" numFmtId="0">
      <sharedItems containsBlank="1"/>
    </cacheField>
    <cacheField name="Data Type" numFmtId="0">
      <sharedItems containsBlank="1"/>
    </cacheField>
    <cacheField name="Multiple Choice" numFmtId="0">
      <sharedItems containsBlank="1"/>
    </cacheField>
    <cacheField name="Input Options" numFmtId="0">
      <sharedItems containsBlank="1" containsMixedTypes="1" containsNumber="1" containsInteger="1" minValue="1" maxValue="4"/>
    </cacheField>
    <cacheField name="Calculation" numFmtId="0">
      <sharedItems containsBlank="1"/>
    </cacheField>
    <cacheField name="Validation Required" numFmtId="0">
      <sharedItems containsBlank="1"/>
    </cacheField>
    <cacheField name="Validation Condition" numFmtId="0">
      <sharedItems containsBlank="1"/>
    </cacheField>
    <cacheField name="Editable" numFmtId="0">
      <sharedItems containsBlank="1"/>
    </cacheField>
    <cacheField name="Required" numFmtId="0">
      <sharedItems containsBlank="1"/>
    </cacheField>
    <cacheField name="Skip Logic" numFmtId="0">
      <sharedItems containsBlank="1"/>
    </cacheField>
    <cacheField name="Reason for Required Data" numFmtId="0">
      <sharedItems containsBlank="1"/>
    </cacheField>
    <cacheField name="Aggregate Indicators" numFmtId="0">
      <sharedItems containsBlank="1"/>
    </cacheField>
    <cacheField name="Linkages to Aggregate Indicators" numFmtId="0">
      <sharedItems containsBlank="1"/>
    </cacheField>
    <cacheField name="Notes" numFmtId="0">
      <sharedItems containsBlank="1"/>
    </cacheField>
    <cacheField name="Guidelines References" numFmtId="0">
      <sharedItems containsBlank="1"/>
    </cacheField>
    <cacheField name="Orphaned Record" numFmtId="0">
      <sharedItems containsNonDate="0" containsString="0" containsBlank="1"/>
    </cacheField>
    <cacheField name="Due" numFmtId="0">
      <sharedItems containsNonDate="0" containsString="0" containsBlank="1"/>
    </cacheField>
    <cacheField name="Master Data Element Path" numFmtId="0">
      <sharedItems containsBlank="1"/>
    </cacheField>
    <cacheField name="HL7 FHIR R4 - Resource" numFmtId="0">
      <sharedItems containsBlank="1" count="133">
        <s v="Patient.name.given"/>
        <s v="Patient.name.family"/>
        <s v="Appointment.appointmentType"/>
        <m/>
        <s v="Appointment.start"/>
        <s v="ServiceRequest.requesterType"/>
        <s v="Patient.identifier.value"/>
        <s v="Patient.birthDate"/>
        <s v="Patient.estimatedAge"/>
        <s v="Patient.gender"/>
        <s v="Patient.maritalStatus"/>
        <s v="Patient.address.district"/>
        <s v="Patient.address.line"/>
        <s v="Patient.consentToContact"/>
        <s v="Patient.communication.reminder"/>
        <s v="Patient.communication.preferred"/>
        <s v="Encounter.reasonCode"/>
        <s v="Observation.value[x]"/>
        <s v="DeviceUseStatement.device.type"/>
        <s v="DeviceUseStatement.timing[x]"/>
        <s v="MedicationStatement.medication[x]"/>
        <s v="MedicationStatement.effective[x]"/>
        <s v="Procedure.code"/>
        <s v="Procedure.performed[x]"/>
        <s v="CarePlan.activity.detail.code"/>
        <s v="Observation.code"/>
        <s v="Observation.stage"/>
        <s v="HealthcareService.type"/>
        <s v="Encounter.reasonCode.text"/>
        <s v="MedicationDispense.whenHandedOver"/>
        <s v="Observation.effective[x]"/>
        <s v="Condition.code"/>
        <s v="Procedure.status"/>
        <s v="Procedure.outcome"/>
        <s v="Procedure.note"/>
        <s v="Observation.method"/>
        <s v="Consent.provision.action"/>
        <s v="Consent.policyRule.code"/>
        <s v="CarePlan.activity.detail.deliveryMethod"/>
        <s v="Practitioner.name"/>
        <s v="Observation.note"/>
        <s v="CarePlan.activity.detail.kind"/>
        <s v="CarePlan.activity.detail.scheduled[x]"/>
        <s v="MedicationStatement.medication[x].text"/>
        <s v="Condition.code.text"/>
        <s v="Condition.clinicalStatus"/>
        <s v="AllergyIntolerance.code"/>
        <s v="AllergyIntolerance.code.text"/>
        <s v="MedicationStatement.dosage"/>
        <s v="Procedure.code.text"/>
        <s v="Procedure.outcome.text"/>
        <s v="Condition.STIConditionType"/>
        <s v="Observation.code.text"/>
        <s v="Specimen.collection"/>
        <s v="Observation.complicated"/>
        <s v="Condition.onset[x]"/>
        <s v="CarePlan.activity"/>
        <s v="Condition.evidence.code"/>
        <s v="Observation.status"/>
        <s v="CarePlan.activity.detail.reasonCode"/>
        <s v="CarePlan.activity.detail.reasonCode.text"/>
        <s v="MedicationStatement.treatmentType"/>
        <s v="Medication.form"/>
        <s v="MedicationAdministration.dosage.route"/>
        <s v="Medication.warning"/>
        <s v="MedicationAdministration.dosage"/>
        <s v="MedicationAdministration.effective[x]"/>
        <s v="CarePlan.description"/>
        <s v="ServiceRequest.category"/>
        <s v="ServiceRequest.reasonCode"/>
        <s v="ServiceRequest.previousTreatment.code"/>
        <s v="ServiceRequest.code"/>
        <s v="ServiceRequest.occurrence[x]"/>
        <s v="ServiceRequest.locationReference"/>
        <s v="Appointment.end"/>
        <s v="ServiceRequest.authoredOn"/>
        <s v="DocumentReference.content.attachment"/>
        <s v="ServiceRequest.priority"/>
        <s v="Practitioner.address"/>
        <s v="ServiceRequest.note"/>
        <s v="MedicationDispense.note"/>
        <s v="MedicationAdministration.dosage.unit"/>
        <s v="Medication.batch.expirationDate"/>
        <s v="Medication.identifier"/>
        <s v="Medication.batch.lotNumber"/>
        <s v="Medication.manufacturer"/>
        <s v="Medication.effectDuration"/>
        <s v="Medication.ingredient.strength"/>
        <s v="Medication.batch"/>
        <s v="MedicationDispense.dosageInstruction.timing.repeat"/>
        <s v="MedicationDispense.dosageInstruction.timing"/>
        <s v="Patient.contact.consentToContact"/>
        <s v="Communication.recipient"/>
        <s v="Patient.contact.contactNeeded"/>
        <s v="Communication.medium"/>
        <s v="Communication.sent"/>
        <s v="Communication.status"/>
        <s v="Communication.statusReason"/>
        <s v="Communication.note"/>
        <s v="Patient.deceased[x]"/>
        <s v="Communication.payload.content[x]"/>
        <s v="Patient.deathCause"/>
        <s v="Location.identifier"/>
        <s v="Location.name"/>
        <s v="Location.openDate"/>
        <s v="Location.managingOrganization"/>
        <s v="Location.type"/>
        <s v="Location.position.latitude"/>
        <s v="Location.position.longitude"/>
        <s v="Location.systemRollout"/>
        <s v="Location.address"/>
        <s v="Location.catchmentPopulation"/>
        <s v="Location.infectionPrevalence"/>
        <s v="Location.antimicrobialResistance"/>
        <s v="Patient.address.city"/>
        <s v="Patient.address.country"/>
        <s v="Patient.address.postalCode"/>
        <s v="Patient.address.state"/>
        <s v="Patient.address.use"/>
        <s v="Patient.telecom"/>
        <s v="Patient.telecom.value"/>
        <s v="Patient.contact.name"/>
        <s v="Patient.contact.telecom.value"/>
        <s v="Patient.contact.address"/>
        <s v="Patient.contact.relationship"/>
        <s v="Patient.contact"/>
        <s v="Patient.educationLevel"/>
        <s v="Patient.Occupation"/>
        <s v="Patient.insurance"/>
        <s v="Coverage.status"/>
        <s v="Coverage.type"/>
        <s v="Coverage.subscriberID"/>
        <s v="Coverage.method"/>
      </sharedItems>
    </cacheField>
    <cacheField name="HL7 FHIR R4 - Resource Type" numFmtId="0">
      <sharedItems containsBlank="1" count="13">
        <m/>
        <s v=""/>
        <s v="CodeableConcept"/>
        <s v="integer"/>
        <s v="boolean"/>
        <s v="code"/>
        <s v="string"/>
        <s v="Quantity"/>
        <s v="dateTime"/>
        <s v=" "/>
        <s v="Timing"/>
        <s v="Period"/>
        <s v="frequency"/>
      </sharedItems>
    </cacheField>
    <cacheField name="HL7 FHIR R4 - Base Profile" numFmtId="0">
      <sharedItems containsBlank="1"/>
    </cacheField>
    <cacheField name="HL7 FHIR R4 - Version Number" numFmtId="0">
      <sharedItems containsBlank="1"/>
    </cacheField>
    <cacheField name="HL7 FHIR R4 - Additional FHIR Mapping details" numFmtId="0">
      <sharedItems containsBlank="1"/>
    </cacheField>
    <cacheField name="Custom Profile ID" numFmtId="0">
      <sharedItems containsBlank="1" count="106">
        <s v="WHO-Core Patient"/>
        <s v="WHO-Core Appointment (Visit)"/>
        <m/>
        <s v="WHO-Core ServiceRequest (Referral)"/>
        <s v="WHO-FP Encounter"/>
        <s v="WHO-FP Observation (Reason for Stopping Contraception)"/>
        <s v="WHO-FP Observation (Pregnancy Intention)"/>
        <s v="WHO-Core Observation (Body Height)"/>
        <s v="WHO-Core Observation (Body Weight)"/>
        <s v="WHO-Core Observation (Number of births)"/>
        <s v="WHO-Core Observation (Number of Pregnancies)"/>
        <s v="WHO-Core Observation (Sexual History)"/>
        <s v="WHO-Core Observation (Never used contraception)"/>
        <s v="WHO-Core DeviceUseStatement (Intake Contraceptive Method)"/>
        <s v="WHO-Core MedicationStatement (Current Contraceptive Methods)"/>
        <s v="WHO-Core Procedure (Intake Contraceptive Method)"/>
        <s v="WHO-Core CarePlan (Intake Contraceptive Method)"/>
        <s v="WHO-Core Observation (Reason for no contraceptive method at intake)"/>
        <s v="WHO-Core DeviceUseStatement (Prior Contraceptive Methods)"/>
        <s v="WHO-Core MedicationStatement (Prior Contraceptive Methods)"/>
        <s v="WHO-Core Procedure (Prior Contraceptive Methods)"/>
        <s v="WHO-Core CarePlan (Prior Contraceptive Methods)"/>
        <s v="WHO-Core Observation (Breastfeeding)"/>
        <s v="WHO-FP Observation (Breastfeeding Status)"/>
        <s v="WHO-Core Observation (Date of Delivery)"/>
        <s v="WHO-Core Observation (Time Postpartum)"/>
        <s v="WHO-Core Observation (Postpartum)"/>
        <s v="WHO-Core Observation (Miscarriage or Abortion)"/>
        <s v="WHO-Core Observation (Last Normal Menses)"/>
        <s v="WHO-FP Observation (Missed or Late Menses)"/>
        <s v="WHO-FP Observation (Days since Last Normal Menses)"/>
        <s v="WHO-Core Observation (Pregnancy Status)"/>
        <s v="WHO-FP Observation (Intercourse since Last Normal Menses)"/>
        <s v="WHO-Core Observation (Recent Sexual History)"/>
        <s v="WHO-Core Observation (Days since Unprotected Sex)"/>
        <s v="WHO-FP HealthcareService"/>
        <s v="WHO-Core Observation (Gender-based Violence Victim)"/>
        <s v="WHO-Core Observation (Gender-based Violence Risk Factors)"/>
        <s v="WHO-Core Observation (Sexually Active)"/>
        <s v="WHO-Core Observation (Clinical Observations)"/>
        <s v="WHO-FP Encounter (Contraception Issues and Concerns) "/>
        <s v="WHO-FP DeviceUseStatement (Requested Contraceptive Method)"/>
        <s v="WHO-FP MedicationStatement (Requested Contraceptive Method)"/>
        <s v="WHO-FP Procedure (Requested Contraceptive Method)"/>
        <s v="WHO-FP CarePlan (Requested Contraceptive Method)"/>
        <s v="WHO-FP Observation (Medical eligibility number)"/>
        <s v="WHO-FP Observation (Medical eligibility text)"/>
        <s v="WHO-FP Observation (Medical Eligibility)"/>
        <s v="WHO-FP Condition (Medical Eligibility)"/>
        <s v="WHO-Core Observation (BMI) "/>
        <s v="WHO-FP Observation (Smoking Status)"/>
        <s v="WHO-Core Observation (HIV Status)"/>
        <s v="WHO-Core Observation (HIV Stage)"/>
        <s v="WHO-FP MedicationStatement (Current Medication)"/>
        <s v="WHO-FP CarePlan (Recommendation)"/>
        <s v="WHO-Core Observation (HIV Test)"/>
        <s v="WHO-FP Observation (Test Results)"/>
        <s v="WHO-FP Consent"/>
        <s v="WHO-FP DeviceUseStatement (Exit Contraceptive Method)"/>
        <s v="WHO-FP MedicationStatement (Exit Contraceptive Method)"/>
        <s v="WHO-FP Procedure (Exit Contraceptive Method)"/>
        <s v="WHO-FP Procedure (Service Provided)"/>
        <s v="WHO-FP CarePlan (Exit Contraceptive Method)"/>
        <s v="WHO-Core Practitioner"/>
        <s v="WHO-FP Observation (Reason for no contraceptive method at exit)"/>
        <s v="WHO-Core Appointment (Return Visit)"/>
        <s v="WHO-Core CarePlan (Follow-up)"/>
        <s v="WHO-FP CarePlan (Backup Contraceptive Method)"/>
        <s v="WHO-Core Observation (Temperature)"/>
        <s v="WHO-STI Observation (Signs of Fever)"/>
        <s v="WHO-STI Observation (Signs of Shock)"/>
        <s v="WHO-STI Observation (Risk Assessment)"/>
        <s v="WHO-Core Observation (STI Risk Factors)"/>
        <s v="WHO-STI Observation (Increased STI Risk)"/>
        <s v="WHO-Core MedicationStatement (Current Medication)"/>
        <s v="WHO-STI Observation (Current STI Treatment)"/>
        <s v="WHO-STI Observation (Past STI Treatment)"/>
        <s v="WHO-STI Condition (STI History)"/>
        <s v="WHO-STI MedicationStatement (Medication History)"/>
        <s v="WHO-Core AllergyIntolerance (Drug Allergies)"/>
        <s v="WHO-Core Observation (HIV Care Enrollment)"/>
        <s v="WHO-Core Observation (PrEP Status)"/>
        <s v="WHO-STI CarePlan (Recommendation)"/>
        <s v="WHO-STI Observation (Recent Abortion or Miscarriage)"/>
        <s v="WHO-STI Observation (Reported Symptoms)"/>
        <s v="WHO-STI Observation (Partner Symptoms)"/>
        <s v="WHO-STI Observation (Disease Exposure)"/>
        <s v="WHO-STI Observation (LGV Follow-up)"/>
        <s v="WHO-STI Procedure (Service Provided)"/>
        <s v="WHO-STI Observation (External Genital Examination)"/>
        <s v="WHO-STI Observation (Speculum Examination)"/>
        <s v="WHO-STI Observation (Trauma History)"/>
        <s v="WHO-STI Observation (STI Screening)"/>
        <s v="WHO-STI Specimen"/>
        <s v="WHO-STI Condition (HIV)"/>
        <s v="WHO-STI Observation (Partner HIV Status)"/>
        <s v="WHO-STI Condition (Diagnosis)"/>
        <s v="WHO-STI Observation (Syphilis Stage)"/>
        <s v="WHO-STI Observation (Recent Syphilis Treatment)"/>
        <s v="WHO-STI MedicationStatement (Current Medication)"/>
        <s v="WHO-STI Medication"/>
        <s v="WHO-STI MedicationAdministration"/>
        <s v="WHO-Core AllergyIntolerance"/>
        <s v="WHO-STI Patient"/>
        <s v="WHO-STI Communication (Partner)"/>
        <s v="WHO-Core Coverage (Insurance)"/>
      </sharedItems>
    </cacheField>
    <cacheField name="Row Check" numFmtId="0">
      <sharedItems containsBlank="1"/>
    </cacheField>
    <cacheField name="Binding or Custom Value Set Name or Reference" numFmtId="0">
      <sharedItems containsBlank="1"/>
    </cacheField>
    <cacheField name="Binding Strength" numFmtId="0">
      <sharedItems containsBlank="1"/>
    </cacheField>
    <cacheField name="UCUM" numFmtId="0">
      <sharedItems containsBlank="1"/>
    </cacheField>
    <cacheField name="Term name in old DD" numFmtId="0">
      <sharedItems containsBlank="1"/>
    </cacheField>
    <cacheField name="Changed in new DD" numFmtId="0">
      <sharedItems containsBlank="1"/>
    </cacheField>
    <cacheField name="Did the DD change affect anything?" numFmtId="0">
      <sharedItems containsBlank="1"/>
    </cacheField>
    <cacheField name="Core, FP, STI" numFmtId="0">
      <sharedItems count="3">
        <s v="Core"/>
        <s v="FP"/>
        <s v="STI"/>
      </sharedItems>
    </cacheField>
    <cacheField name="Name Audit" numFmtId="0">
      <sharedItems containsBlank="1"/>
    </cacheField>
    <cacheField name="Status" numFmtId="0">
      <sharedItems containsBlank="1"/>
    </cacheField>
    <cacheField name="In New DD" numFmtId="0">
      <sharedItems containsMixedTypes="1" containsNumber="1" containsInteger="1" minValue="0" maxValue="1" count="3">
        <n v="1"/>
        <s v="ST"/>
        <n v="0"/>
      </sharedItems>
    </cacheField>
    <cacheField name="FHIR Code System" numFmtId="0">
      <sharedItems containsBlank="1"/>
    </cacheField>
    <cacheField name="HL7 FHIR R4 Code" numFmtId="0">
      <sharedItems containsBlank="1" containsMixedTypes="1" containsNumber="1" containsInteger="1" minValue="1" maxValue="4"/>
    </cacheField>
    <cacheField name="Done by Terry" numFmtId="0">
      <sharedItems containsBlank="1"/>
    </cacheField>
    <cacheField name="ICD-10-WHO" numFmtId="49">
      <sharedItems containsBlank="1"/>
    </cacheField>
    <cacheField name="ICD-11" numFmtId="49">
      <sharedItems containsBlank="1"/>
    </cacheField>
    <cacheField name="SNOMED-CT" numFmtId="49">
      <sharedItems containsBlank="1"/>
    </cacheField>
    <cacheField name="LOINC" numFmtId="49">
      <sharedItems containsBlank="1"/>
    </cacheField>
    <cacheField name="RxNorm" numFmtId="49">
      <sharedItems containsBlank="1"/>
    </cacheField>
    <cacheField name="No code" numFmtId="0">
      <sharedItems containsBlank="1"/>
    </cacheField>
    <cacheField name="Exactness of Mapping" numFmtId="0">
      <sharedItems containsBlank="1"/>
    </cacheField>
    <cacheField name="Paul validation" numFmtId="0">
      <sharedItems containsBlank="1"/>
    </cacheField>
    <cacheField name="Notes and Questions during mapping" numFmtId="0">
      <sharedItems containsBlank="1" containsMixedTypes="1" containsNumber="1" containsInteger="1" minValue="72" maxValue="43356"/>
    </cacheField>
    <cacheField name="GitHub Ticket Number" numFmtId="0">
      <sharedItems containsBlank="1" containsMixedTypes="1" containsNumber="1" containsInteger="1" minValue="34" maxValue="86"/>
    </cacheField>
    <cacheField name="CIEL" numFmtId="0">
      <sharedItems containsBlank="1" containsMixedTypes="1" containsNumber="1" containsInteger="1" minValue="159" maxValue="165271"/>
    </cacheField>
    <cacheField name="OpenMRS entity parent" numFmtId="0">
      <sharedItems containsBlank="1"/>
    </cacheField>
    <cacheField name="OpenMRS entity" numFmtId="0">
      <sharedItems containsBlank="1"/>
    </cacheField>
    <cacheField name="OpenMRS entity ID" numFmtId="0">
      <sharedItems containsBlank="1"/>
    </cacheField>
    <cacheField name="ICD-10-WHO (Backup)" numFmtId="0">
      <sharedItems containsNonDate="0" containsString="0" containsBlank="1"/>
    </cacheField>
    <cacheField name="SNOMED-CT (Backup)" numFmtId="0">
      <sharedItems containsNonDate="0" containsString="0" containsBlank="1"/>
    </cacheField>
    <cacheField name="LOINC (Backup)" numFmtId="49">
      <sharedItems containsNonDate="0" containsString="0" containsBlank="1"/>
    </cacheField>
    <cacheField name="Base Resource" numFmtId="0">
      <sharedItems count="20">
        <s v="Patient"/>
        <s v="Appointment"/>
        <s v=""/>
        <s v="ServiceRequest"/>
        <s v="Encounter"/>
        <s v="Observation"/>
        <s v="DeviceUseStatement"/>
        <s v="MedicationStatement"/>
        <s v="Procedure"/>
        <s v="CarePlan"/>
        <s v="HealthcareService"/>
        <s v="Condition"/>
        <s v="Consent"/>
        <s v="Practitioner"/>
        <s v="AllergyIntolerance"/>
        <s v="Specimen"/>
        <s v="Medication"/>
        <s v="MedicationAdministration"/>
        <s v="Communication"/>
        <s v="Coverage"/>
      </sharedItems>
    </cacheField>
    <cacheField name="Data Element Base Resource" numFmtId="0">
      <sharedItems containsMixedTypes="1" containsNumber="1" containsInteger="1" minValue="0" maxValue="0"/>
    </cacheField>
    <cacheField name="Base or DE Resource" numFmtId="0">
      <sharedItems containsMixedTypes="1" containsNumber="1" containsInteger="1" minValue="0" maxValue="0" count="21">
        <s v="Patient"/>
        <s v="Appointment"/>
        <n v="0"/>
        <s v=""/>
        <s v="ServiceRequest"/>
        <s v="Encounter"/>
        <s v="Observation"/>
        <s v="DeviceUseStatement"/>
        <s v="MedicationStatement"/>
        <s v="Procedure"/>
        <s v="CarePlan"/>
        <s v="HealthcareService"/>
        <s v="Condition"/>
        <s v="Consent"/>
        <s v="Practitioner"/>
        <s v="AllergyIntolerance"/>
        <s v="Specimen"/>
        <s v="Medication"/>
        <s v="MedicationAdministration"/>
        <s v="Communication"/>
        <s v="Coverage"/>
      </sharedItems>
    </cacheField>
    <cacheField name="Base or DE Profile" numFmtId="0">
      <sharedItems containsMixedTypes="1" containsNumber="1" containsInteger="1" minValue="0" maxValue="0" count="107">
        <s v="WHO-Core Patient"/>
        <s v="WHO-Core Appointment (Visit)"/>
        <s v=""/>
        <s v="WHO-Core ServiceRequest (Referral)"/>
        <s v="WHO-FP Encounter"/>
        <s v="WHO-FP Observation (Reason for Stopping Contraception)"/>
        <s v="WHO-FP Observation (Pregnancy Intention)"/>
        <s v="WHO-Core Observation (Body Height)"/>
        <s v="WHO-Core Observation (Body Weight)"/>
        <s v="WHO-Core Observation (Number of births)"/>
        <s v="WHO-Core Observation (Number of Pregnancies)"/>
        <s v="WHO-Core Observation (Sexual History)"/>
        <n v="0"/>
        <s v="WHO-Core Observation (Never used contraception)"/>
        <s v="WHO-Core DeviceUseStatement (Intake Contraceptive Method)"/>
        <s v="WHO-Core MedicationStatement (Current Contraceptive Methods)"/>
        <s v="WHO-Core Procedure (Intake Contraceptive Method)"/>
        <s v="WHO-Core CarePlan (Intake Contraceptive Method)"/>
        <s v="WHO-Core Observation (Reason for no contraceptive method at intake)"/>
        <s v="WHO-Core DeviceUseStatement (Prior Contraceptive Methods)"/>
        <s v="WHO-Core MedicationStatement (Prior Contraceptive Methods)"/>
        <s v="WHO-Core Procedure (Prior Contraceptive Methods)"/>
        <s v="WHO-Core CarePlan (Prior Contraceptive Methods)"/>
        <s v="WHO-Core Observation (Breastfeeding)"/>
        <s v="WHO-FP Observation (Breastfeeding Status)"/>
        <s v="WHO-Core Observation (Date of Delivery)"/>
        <s v="WHO-Core Observation (Time Postpartum)"/>
        <s v="WHO-Core Observation (Postpartum)"/>
        <s v="WHO-Core Observation (Miscarriage or Abortion)"/>
        <s v="WHO-Core Observation (Last Normal Menses)"/>
        <s v="WHO-FP Observation (Missed or Late Menses)"/>
        <s v="WHO-FP Observation (Days since Last Normal Menses)"/>
        <s v="WHO-Core Observation (Pregnancy Status)"/>
        <s v="WHO-FP Observation (Intercourse since Last Normal Menses)"/>
        <s v="WHO-Core Observation (Recent Sexual History)"/>
        <s v="WHO-Core Observation (Days since Unprotected Sex)"/>
        <s v="WHO-FP HealthcareService"/>
        <s v="WHO-Core Observation (Gender-based Violence Victim)"/>
        <s v="WHO-Core Observation (Gender-based Violence Risk Factors)"/>
        <s v="WHO-Core Observation (Sexually Active)"/>
        <s v="WHO-Core Observation (Clinical Observations)"/>
        <s v="WHO-FP Encounter (Contraception Issues and Concerns) "/>
        <s v="WHO-FP DeviceUseStatement (Requested Contraceptive Method)"/>
        <s v="WHO-FP MedicationStatement (Requested Contraceptive Method)"/>
        <s v="WHO-FP Procedure (Requested Contraceptive Method)"/>
        <s v="WHO-FP CarePlan (Requested Contraceptive Method)"/>
        <s v="WHO-FP Observation (Medical eligibility number)"/>
        <s v="WHO-FP Observation (Medical eligibility text)"/>
        <s v="WHO-FP Observation (Medical Eligibility)"/>
        <s v="WHO-FP Condition (Medical Eligibility)"/>
        <s v="WHO-Core Observation (BMI) "/>
        <s v="WHO-FP Observation (Smoking Status)"/>
        <s v="WHO-Core Observation (HIV Status)"/>
        <s v="WHO-Core Observation (HIV Stage)"/>
        <s v="WHO-FP MedicationStatement (Current Medication)"/>
        <s v="WHO-FP CarePlan (Recommendation)"/>
        <s v="WHO-Core Observation (HIV Test)"/>
        <s v="WHO-FP Observation (Test Results)"/>
        <s v="WHO-FP Consent"/>
        <s v="WHO-FP DeviceUseStatement (Exit Contraceptive Method)"/>
        <s v="WHO-FP MedicationStatement (Exit Contraceptive Method)"/>
        <s v="WHO-FP Procedure (Exit Contraceptive Method)"/>
        <s v="WHO-FP Procedure (Service Provided)"/>
        <s v="WHO-FP CarePlan (Exit Contraceptive Method)"/>
        <s v="WHO-Core Practitioner"/>
        <s v="WHO-FP Observation (Reason for no contraceptive method at exit)"/>
        <s v="WHO-Core Appointment (Return Visit)"/>
        <s v="WHO-Core CarePlan (Follow-up)"/>
        <s v="WHO-FP CarePlan (Backup Contraceptive Method)"/>
        <s v="WHO-Core Observation (Temperature)"/>
        <s v="WHO-STI Observation (Signs of Fever)"/>
        <s v="WHO-STI Observation (Signs of Shock)"/>
        <s v="WHO-STI Observation (Risk Assessment)"/>
        <s v="WHO-Core Observation (STI Risk Factors)"/>
        <s v="WHO-STI Observation (Increased STI Risk)"/>
        <s v="WHO-Core MedicationStatement (Current Medication)"/>
        <s v="WHO-STI Observation (Current STI Treatment)"/>
        <s v="WHO-STI Observation (Past STI Treatment)"/>
        <s v="WHO-STI Condition (STI History)"/>
        <s v="WHO-STI MedicationStatement (Medication History)"/>
        <s v="WHO-Core AllergyIntolerance (Drug Allergies)"/>
        <s v="WHO-Core Observation (HIV Care Enrollment)"/>
        <s v="WHO-Core Observation (PrEP Status)"/>
        <s v="WHO-STI CarePlan (Recommendation)"/>
        <s v="WHO-STI Observation (Recent Abortion or Miscarriage)"/>
        <s v="WHO-STI Observation (Reported Symptoms)"/>
        <s v="WHO-STI Observation (Partner Symptoms)"/>
        <s v="WHO-STI Observation (Disease Exposure)"/>
        <s v="WHO-STI Observation (LGV Follow-up)"/>
        <s v="WHO-STI Procedure (Service Provided)"/>
        <s v="WHO-STI Observation (External Genital Examination)"/>
        <s v="WHO-STI Observation (Speculum Examination)"/>
        <s v="WHO-STI Observation (Trauma History)"/>
        <s v="WHO-STI Observation (STI Screening)"/>
        <s v="WHO-STI Specimen"/>
        <s v="WHO-STI Condition (HIV)"/>
        <s v="WHO-STI Observation (Partner HIV Status)"/>
        <s v="WHO-STI Condition (Diagnosis)"/>
        <s v="WHO-STI Observation (Syphilis Stage)"/>
        <s v="WHO-STI Observation (Recent Syphilis Treatment)"/>
        <s v="WHO-STI MedicationStatement (Current Medication)"/>
        <s v="WHO-STI Medication"/>
        <s v="WHO-STI MedicationAdministration"/>
        <s v="WHO-Core AllergyIntolerance"/>
        <s v="WHO-STI Patient"/>
        <s v="WHO-STI Communication (Partner)"/>
        <s v="WHO-Core Coverage (Insurance)"/>
      </sharedItems>
    </cacheField>
    <cacheField name="Total" numFmtId="0">
      <sharedItems containsSemiMixedTypes="0" containsString="0" containsNumber="1" containsInteger="1" minValue="1" maxValue="1"/>
    </cacheField>
    <cacheField name="Has Input Options" numFmtId="0">
      <sharedItems containsMixedTypes="1" containsNumber="1" containsInteger="1" minValue="0" maxValue="1"/>
    </cacheField>
    <cacheField name="Completed" numFmtId="0">
      <sharedItems containsSemiMixedTypes="0" containsString="0" containsNumber="1" containsInteger="1" minValue="0" maxValue="1"/>
    </cacheField>
    <cacheField name="FHIR Mapping Completed" numFmtId="0">
      <sharedItems containsSemiMixedTypes="0" containsString="0" containsNumber="1" containsInteger="1" minValue="0" maxValue="1"/>
    </cacheField>
    <cacheField name="Terminology Mapping Completed" numFmtId="0">
      <sharedItems containsSemiMixedTypes="0" containsString="0" containsNumber="1" containsInteger="1" minValue="0" maxValue="1"/>
    </cacheField>
    <cacheField name="Open" numFmtId="0">
      <sharedItems containsSemiMixedTypes="0" containsString="0" containsNumber="1" containsInteger="1" minValue="0" maxValue="1"/>
    </cacheField>
    <cacheField name="Extension Needed"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n v="1229"/>
    <s v="Client first name"/>
    <n v="1229"/>
    <s v="Client first name"/>
    <s v="Client first name"/>
    <x v="0"/>
    <n v="17"/>
    <s v=""/>
    <m/>
    <m/>
    <s v="1. Registration"/>
    <x v="0"/>
    <m/>
    <s v="1.2 Gather client details "/>
    <s v="ST.DE.01"/>
    <s v="FP.DE.01"/>
    <s v="Client first name"/>
    <s v="first_name"/>
    <s v="first name"/>
    <s v="Text"/>
    <m/>
    <m/>
    <m/>
    <s v="Yes"/>
    <s v="Only letters and special characters (period, dash) allowed."/>
    <s v="Yes"/>
    <s v="R"/>
    <m/>
    <m/>
    <m/>
    <m/>
    <m/>
    <m/>
    <m/>
    <m/>
    <m/>
    <x v="0"/>
    <x v="0"/>
    <s v="FHIR"/>
    <s v="4.0.1"/>
    <m/>
    <x v="0"/>
    <s v="JS, JA"/>
    <m/>
    <m/>
    <m/>
    <s v="Client first name"/>
    <s v="Same"/>
    <m/>
    <x v="0"/>
    <s v=""/>
    <s v="Ready for testing"/>
    <x v="0"/>
    <m/>
    <m/>
    <m/>
    <m/>
    <m/>
    <m/>
    <m/>
    <m/>
    <s v="No terminology code required"/>
    <m/>
    <m/>
    <m/>
    <m/>
    <m/>
    <s v="NA"/>
    <s v="person"/>
    <s v="first_name"/>
    <m/>
    <m/>
    <m/>
    <x v="0"/>
    <s v=""/>
    <x v="0"/>
    <x v="0"/>
    <n v="1"/>
    <n v="0"/>
    <n v="1"/>
    <n v="1"/>
    <n v="1"/>
    <n v="0"/>
    <n v="0"/>
  </r>
  <r>
    <n v="1230"/>
    <s v="Client last name"/>
    <n v="1230"/>
    <s v="Client last name"/>
    <s v="Client last name"/>
    <x v="0"/>
    <n v="16"/>
    <s v=""/>
    <m/>
    <m/>
    <s v="1. Registration"/>
    <x v="0"/>
    <m/>
    <s v="1.2 Gather client details "/>
    <s v="ST.DE.02"/>
    <s v="FP.DE.02"/>
    <s v="Client last name"/>
    <s v="last_name"/>
    <s v="family or last name"/>
    <s v="Text"/>
    <m/>
    <m/>
    <m/>
    <s v="Yes"/>
    <s v="Only letters and special characters (period, dash) allowed."/>
    <s v="Yes"/>
    <s v="R"/>
    <m/>
    <m/>
    <m/>
    <m/>
    <s v="*SNOMED code is Patient surname. Patient name is 397678008"/>
    <m/>
    <m/>
    <m/>
    <m/>
    <x v="1"/>
    <x v="0"/>
    <s v="FHIR"/>
    <s v="4.0.1"/>
    <m/>
    <x v="0"/>
    <s v="JS, JA"/>
    <m/>
    <m/>
    <m/>
    <s v="Client last name"/>
    <s v="Same"/>
    <m/>
    <x v="0"/>
    <s v=""/>
    <s v="Ready for testing"/>
    <x v="0"/>
    <m/>
    <m/>
    <m/>
    <m/>
    <m/>
    <s v="184096005"/>
    <m/>
    <m/>
    <s v="No terminology code required"/>
    <m/>
    <m/>
    <m/>
    <m/>
    <m/>
    <s v="NA"/>
    <s v="person"/>
    <s v="last_name"/>
    <m/>
    <m/>
    <m/>
    <x v="0"/>
    <s v=""/>
    <x v="0"/>
    <x v="0"/>
    <n v="1"/>
    <n v="0"/>
    <n v="1"/>
    <n v="1"/>
    <n v="1"/>
    <n v="0"/>
    <n v="0"/>
  </r>
  <r>
    <n v="2313"/>
    <s v="Visit type"/>
    <n v="2313"/>
    <s v="Visit type"/>
    <s v="Visit type"/>
    <x v="0"/>
    <n v="10"/>
    <s v=""/>
    <m/>
    <m/>
    <s v="1. Registration"/>
    <x v="1"/>
    <m/>
    <s v="1.2 Gather client details "/>
    <s v="ST.DE.03"/>
    <m/>
    <s v="Visit type"/>
    <s v="visit_type"/>
    <s v="If the client is returning, was referred, or is a new client. "/>
    <s v="Coding"/>
    <s v="(Select all that apply"/>
    <m/>
    <m/>
    <s v="No"/>
    <m/>
    <s v="Yes"/>
    <s v="R"/>
    <m/>
    <m/>
    <m/>
    <m/>
    <m/>
    <m/>
    <m/>
    <m/>
    <s v=""/>
    <x v="2"/>
    <x v="0"/>
    <s v="FHIR"/>
    <s v="4.0.1"/>
    <s v=""/>
    <x v="1"/>
    <s v="JS, JA"/>
    <m/>
    <m/>
    <m/>
    <m/>
    <s v=""/>
    <m/>
    <x v="0"/>
    <s v=""/>
    <s v="Ready for testing"/>
    <x v="1"/>
    <m/>
    <s v=""/>
    <s v=""/>
    <m/>
    <s v=""/>
    <m/>
    <m/>
    <m/>
    <s v="No terminology code required"/>
    <s v=""/>
    <m/>
    <s v=""/>
    <s v=""/>
    <s v=""/>
    <s v=""/>
    <s v=""/>
    <s v=""/>
    <m/>
    <m/>
    <m/>
    <x v="1"/>
    <s v=""/>
    <x v="1"/>
    <x v="1"/>
    <n v="1"/>
    <n v="1"/>
    <n v="1"/>
    <n v="1"/>
    <n v="1"/>
    <n v="0"/>
    <n v="0"/>
  </r>
  <r>
    <n v="2314"/>
    <s v="       Returning client"/>
    <n v="2314"/>
    <e v="#NAME?"/>
    <s v="Returning client"/>
    <x v="1"/>
    <n v="23"/>
    <s v="Visit type"/>
    <m/>
    <m/>
    <s v="1. Registration"/>
    <x v="1"/>
    <m/>
    <s v="1.2 Gather client details "/>
    <s v="ST.DE.388"/>
    <m/>
    <m/>
    <m/>
    <m/>
    <m/>
    <m/>
    <s v="Returning client"/>
    <m/>
    <m/>
    <m/>
    <m/>
    <m/>
    <m/>
    <m/>
    <m/>
    <m/>
    <m/>
    <m/>
    <m/>
    <m/>
    <s v=""/>
    <x v="3"/>
    <x v="1"/>
    <m/>
    <s v=""/>
    <s v=""/>
    <x v="2"/>
    <s v="JS"/>
    <m/>
    <m/>
    <m/>
    <m/>
    <s v=""/>
    <m/>
    <x v="0"/>
    <e v="#NAME?"/>
    <s v="Ready for testing"/>
    <x v="1"/>
    <s v="http://who.int/cg/CodeSystem/extended-content"/>
    <s v="Returning Client"/>
    <s v=""/>
    <m/>
    <s v=""/>
    <m/>
    <m/>
    <m/>
    <s v="No FHIR valueset code available"/>
    <s v=""/>
    <m/>
    <s v=""/>
    <s v=""/>
    <s v=""/>
    <s v=""/>
    <s v=""/>
    <s v=""/>
    <m/>
    <m/>
    <m/>
    <x v="2"/>
    <n v="0"/>
    <x v="2"/>
    <x v="1"/>
    <n v="1"/>
    <s v=""/>
    <n v="1"/>
    <n v="1"/>
    <n v="1"/>
    <n v="0"/>
    <n v="0"/>
  </r>
  <r>
    <n v="2315"/>
    <s v="       Follow up appointment"/>
    <n v="2315"/>
    <e v="#NAME?"/>
    <s v="Follow up appointment"/>
    <x v="1"/>
    <n v="28"/>
    <s v="Visit type"/>
    <m/>
    <m/>
    <s v="1. Registration"/>
    <x v="1"/>
    <m/>
    <s v="1.2 Gather client details "/>
    <s v="ST.DE.389"/>
    <m/>
    <m/>
    <m/>
    <m/>
    <m/>
    <m/>
    <s v="Follow up appointment"/>
    <m/>
    <m/>
    <m/>
    <m/>
    <m/>
    <m/>
    <m/>
    <m/>
    <m/>
    <m/>
    <m/>
    <m/>
    <m/>
    <s v=""/>
    <x v="3"/>
    <x v="1"/>
    <m/>
    <s v=""/>
    <s v=""/>
    <x v="2"/>
    <s v="JS"/>
    <m/>
    <m/>
    <m/>
    <m/>
    <s v=""/>
    <m/>
    <x v="0"/>
    <e v="#NAME?"/>
    <s v="Ready for testing"/>
    <x v="1"/>
    <s v="http://terminology.hl7.org/CodeSystem/v2-0276"/>
    <s v="FOLLOWUP"/>
    <s v=""/>
    <m/>
    <s v=""/>
    <m/>
    <m/>
    <m/>
    <s v=""/>
    <s v=""/>
    <m/>
    <s v=""/>
    <s v=""/>
    <s v=""/>
    <s v=""/>
    <s v=""/>
    <s v=""/>
    <m/>
    <m/>
    <m/>
    <x v="2"/>
    <n v="0"/>
    <x v="2"/>
    <x v="1"/>
    <n v="1"/>
    <s v=""/>
    <n v="1"/>
    <n v="1"/>
    <n v="1"/>
    <n v="0"/>
    <n v="0"/>
  </r>
  <r>
    <n v="2316"/>
    <s v="       Referral "/>
    <n v="2316"/>
    <e v="#NAME?"/>
    <s v="Referral "/>
    <x v="1"/>
    <n v="16"/>
    <s v="Visit type"/>
    <m/>
    <m/>
    <s v="1. Registration"/>
    <x v="1"/>
    <m/>
    <s v="1.2 Gather client details "/>
    <s v="ST.DE.390"/>
    <m/>
    <m/>
    <m/>
    <m/>
    <m/>
    <m/>
    <s v="Referral "/>
    <m/>
    <m/>
    <m/>
    <m/>
    <m/>
    <m/>
    <m/>
    <m/>
    <m/>
    <m/>
    <m/>
    <m/>
    <m/>
    <s v=""/>
    <x v="3"/>
    <x v="1"/>
    <m/>
    <s v=""/>
    <s v=""/>
    <x v="2"/>
    <s v="JS"/>
    <m/>
    <m/>
    <m/>
    <m/>
    <s v=""/>
    <m/>
    <x v="0"/>
    <e v="#NAME?"/>
    <s v="Ready for testing"/>
    <x v="1"/>
    <s v="http://who.int/cg/CodeSystem/extended-content"/>
    <s v="Referral"/>
    <s v=""/>
    <m/>
    <s v=""/>
    <m/>
    <m/>
    <m/>
    <s v="No FHIR valueset code available"/>
    <s v=""/>
    <m/>
    <s v=""/>
    <s v=""/>
    <s v=""/>
    <s v=""/>
    <s v=""/>
    <s v=""/>
    <m/>
    <m/>
    <m/>
    <x v="2"/>
    <n v="0"/>
    <x v="2"/>
    <x v="1"/>
    <n v="1"/>
    <s v=""/>
    <n v="1"/>
    <n v="1"/>
    <n v="1"/>
    <n v="0"/>
    <n v="0"/>
  </r>
  <r>
    <n v="2317"/>
    <s v="       New client"/>
    <n v="2317"/>
    <e v="#NAME?"/>
    <s v="New client"/>
    <x v="1"/>
    <n v="17"/>
    <s v="Visit type"/>
    <m/>
    <m/>
    <s v="1. Registration"/>
    <x v="1"/>
    <m/>
    <s v="1.2 Gather client details "/>
    <s v="ST.DE.391"/>
    <m/>
    <m/>
    <m/>
    <m/>
    <m/>
    <m/>
    <s v="New client"/>
    <m/>
    <m/>
    <m/>
    <m/>
    <m/>
    <m/>
    <m/>
    <m/>
    <m/>
    <m/>
    <m/>
    <m/>
    <m/>
    <s v=""/>
    <x v="3"/>
    <x v="1"/>
    <m/>
    <s v=""/>
    <s v=""/>
    <x v="2"/>
    <s v="JS"/>
    <m/>
    <m/>
    <m/>
    <m/>
    <s v=""/>
    <m/>
    <x v="0"/>
    <e v="#NAME?"/>
    <s v="Ready for testing"/>
    <x v="1"/>
    <s v="http://who.int/cg/CodeSystem/extended-content"/>
    <s v="New Client"/>
    <s v=""/>
    <m/>
    <s v=""/>
    <m/>
    <m/>
    <m/>
    <s v="No FHIR valueset code available"/>
    <s v=""/>
    <m/>
    <s v=""/>
    <s v=""/>
    <s v=""/>
    <s v=""/>
    <s v=""/>
    <s v=""/>
    <m/>
    <m/>
    <m/>
    <x v="2"/>
    <n v="0"/>
    <x v="2"/>
    <x v="1"/>
    <n v="1"/>
    <s v=""/>
    <n v="1"/>
    <n v="1"/>
    <n v="1"/>
    <n v="0"/>
    <n v="0"/>
  </r>
  <r>
    <n v="2318"/>
    <s v="       First visit for symptoms"/>
    <n v="2318"/>
    <e v="#NAME?"/>
    <s v="First visit for symptoms"/>
    <x v="1"/>
    <n v="31"/>
    <s v="Visit type"/>
    <m/>
    <m/>
    <s v="1. Registration"/>
    <x v="1"/>
    <m/>
    <s v="1.2 Gather client details "/>
    <s v="ST.DE.392"/>
    <m/>
    <m/>
    <m/>
    <m/>
    <m/>
    <m/>
    <s v="First visit for symptoms"/>
    <m/>
    <m/>
    <m/>
    <m/>
    <m/>
    <m/>
    <m/>
    <m/>
    <m/>
    <m/>
    <m/>
    <m/>
    <m/>
    <s v=""/>
    <x v="3"/>
    <x v="1"/>
    <m/>
    <s v=""/>
    <s v=""/>
    <x v="2"/>
    <s v="JS"/>
    <m/>
    <m/>
    <m/>
    <m/>
    <s v=""/>
    <m/>
    <x v="0"/>
    <e v="#NAME?"/>
    <s v="Ready for testing"/>
    <x v="1"/>
    <s v="http://who.int/cg/CodeSystem/extended-content"/>
    <s v="First visit for symptoms"/>
    <s v=""/>
    <m/>
    <s v=""/>
    <m/>
    <m/>
    <m/>
    <s v="No FHIR valueset code available"/>
    <s v=""/>
    <m/>
    <s v=""/>
    <s v=""/>
    <s v=""/>
    <s v=""/>
    <s v=""/>
    <s v=""/>
    <m/>
    <m/>
    <m/>
    <x v="2"/>
    <n v="0"/>
    <x v="2"/>
    <x v="1"/>
    <n v="1"/>
    <s v=""/>
    <n v="1"/>
    <n v="1"/>
    <n v="1"/>
    <n v="0"/>
    <n v="0"/>
  </r>
  <r>
    <n v="2319"/>
    <s v="       Follow up for STI management"/>
    <n v="2319"/>
    <e v="#NAME?"/>
    <s v="Follow up for STI management"/>
    <x v="1"/>
    <n v="35"/>
    <s v="Visit type"/>
    <m/>
    <m/>
    <s v="1. Registration"/>
    <x v="1"/>
    <m/>
    <s v="1.2 Gather client details "/>
    <s v="ST.DE.393"/>
    <m/>
    <m/>
    <m/>
    <m/>
    <m/>
    <m/>
    <s v="Follow up for STI management"/>
    <m/>
    <m/>
    <m/>
    <m/>
    <m/>
    <m/>
    <m/>
    <m/>
    <m/>
    <m/>
    <m/>
    <m/>
    <m/>
    <s v=""/>
    <x v="3"/>
    <x v="1"/>
    <m/>
    <s v=""/>
    <s v=""/>
    <x v="2"/>
    <s v="JS"/>
    <m/>
    <m/>
    <m/>
    <m/>
    <s v=""/>
    <m/>
    <x v="0"/>
    <e v="#NAME?"/>
    <s v="Ready for testing"/>
    <x v="1"/>
    <s v="http://who.int/cg/CodeSystem/extended-content"/>
    <s v="STI Follow up"/>
    <s v=""/>
    <m/>
    <s v=""/>
    <m/>
    <m/>
    <m/>
    <s v="No FHIR valueset code available"/>
    <s v=""/>
    <m/>
    <s v=""/>
    <s v=""/>
    <s v=""/>
    <s v=""/>
    <s v=""/>
    <s v=""/>
    <m/>
    <m/>
    <m/>
    <x v="2"/>
    <n v="0"/>
    <x v="2"/>
    <x v="1"/>
    <n v="1"/>
    <s v=""/>
    <n v="1"/>
    <n v="1"/>
    <n v="1"/>
    <n v="0"/>
    <n v="0"/>
  </r>
  <r>
    <n v="1236"/>
    <s v="Visit Date"/>
    <n v="1236"/>
    <s v="Visit Date"/>
    <s v="Visit Date"/>
    <x v="0"/>
    <n v="10"/>
    <s v=""/>
    <m/>
    <m/>
    <s v="1. Registration"/>
    <x v="1"/>
    <m/>
    <s v="1.2 Gather client details "/>
    <s v="ST.DE.394"/>
    <s v="FP.DE.12"/>
    <s v="Visit Date"/>
    <m/>
    <s v="The date and time of the client's visit"/>
    <s v="DateTime"/>
    <m/>
    <m/>
    <m/>
    <s v="Yes"/>
    <s v="DateTime &lt;= Current DateTime"/>
    <s v="Yes"/>
    <s v="R"/>
    <m/>
    <m/>
    <m/>
    <m/>
    <s v="The encounter date may be system generated, but there is a requirement to be able to backenter data."/>
    <m/>
    <m/>
    <m/>
    <m/>
    <x v="4"/>
    <x v="0"/>
    <s v="FHIR"/>
    <s v="4.0.1"/>
    <m/>
    <x v="1"/>
    <s v="JS, JA"/>
    <m/>
    <m/>
    <m/>
    <s v="Visit Date"/>
    <s v="Same"/>
    <m/>
    <x v="0"/>
    <s v=""/>
    <s v="Ready for testing"/>
    <x v="0"/>
    <m/>
    <m/>
    <s v="x"/>
    <m/>
    <m/>
    <m/>
    <s v="76427-4"/>
    <m/>
    <m/>
    <m/>
    <m/>
    <m/>
    <m/>
    <m/>
    <m/>
    <m/>
    <m/>
    <m/>
    <m/>
    <m/>
    <x v="1"/>
    <s v=""/>
    <x v="1"/>
    <x v="1"/>
    <n v="1"/>
    <n v="0"/>
    <n v="1"/>
    <n v="1"/>
    <n v="1"/>
    <n v="0"/>
    <n v="0"/>
  </r>
  <r>
    <n v="1238"/>
    <s v="Referral "/>
    <n v="1238"/>
    <s v="Referral "/>
    <s v="Referral "/>
    <x v="2"/>
    <n v="9"/>
    <s v=""/>
    <m/>
    <m/>
    <s v="1. Registration"/>
    <x v="2"/>
    <m/>
    <s v="1.4 Check referral documentation"/>
    <s v="ST.DE.395"/>
    <s v="FP.DE.14"/>
    <s v="Referral "/>
    <m/>
    <s v="If client was referred for care"/>
    <s v="Boolean"/>
    <m/>
    <s v="True/False"/>
    <m/>
    <s v="No"/>
    <m/>
    <m/>
    <s v="O"/>
    <m/>
    <m/>
    <m/>
    <m/>
    <m/>
    <m/>
    <m/>
    <m/>
    <m/>
    <x v="3"/>
    <x v="0"/>
    <m/>
    <m/>
    <m/>
    <x v="2"/>
    <s v="NA"/>
    <m/>
    <m/>
    <m/>
    <s v="Referral (If client was referred for care)"/>
    <s v="Changed"/>
    <m/>
    <x v="0"/>
    <s v=""/>
    <s v="Ready for testing"/>
    <x v="0"/>
    <m/>
    <m/>
    <m/>
    <m/>
    <m/>
    <m/>
    <m/>
    <m/>
    <s v="No terminology code required"/>
    <m/>
    <m/>
    <m/>
    <m/>
    <m/>
    <m/>
    <m/>
    <m/>
    <m/>
    <m/>
    <m/>
    <x v="2"/>
    <s v=""/>
    <x v="3"/>
    <x v="2"/>
    <n v="1"/>
    <s v=""/>
    <n v="1"/>
    <n v="1"/>
    <n v="1"/>
    <n v="0"/>
    <n v="0"/>
  </r>
  <r>
    <n v="1239"/>
    <s v="Referred by"/>
    <n v="1239"/>
    <s v="Referred by"/>
    <s v="Referred by"/>
    <x v="0"/>
    <n v="11"/>
    <s v=""/>
    <m/>
    <m/>
    <s v="1. Registration"/>
    <x v="2"/>
    <m/>
    <s v="1.4 Check referral documentation"/>
    <s v="ST.DE.04"/>
    <s v="FP.DE.04"/>
    <s v="Referred by"/>
    <s v="referred_by"/>
    <s v="How the client was referred"/>
    <s v="Coding"/>
    <s v="Select one"/>
    <m/>
    <m/>
    <s v="No"/>
    <m/>
    <m/>
    <s v="C"/>
    <s v="Included if Referral = TRUE"/>
    <m/>
    <m/>
    <m/>
    <m/>
    <m/>
    <m/>
    <m/>
    <m/>
    <x v="5"/>
    <x v="2"/>
    <s v="Extension Needed"/>
    <s v="4.0.1"/>
    <m/>
    <x v="3"/>
    <s v="JS"/>
    <m/>
    <m/>
    <m/>
    <s v="Referred by"/>
    <s v="Same"/>
    <m/>
    <x v="0"/>
    <s v=""/>
    <s v="Ready for testing"/>
    <x v="0"/>
    <m/>
    <m/>
    <s v="x"/>
    <m/>
    <m/>
    <m/>
    <m/>
    <m/>
    <s v="No terminology code required"/>
    <m/>
    <m/>
    <s v="HL# v 3 REFB"/>
    <m/>
    <m/>
    <m/>
    <m/>
    <m/>
    <m/>
    <m/>
    <m/>
    <x v="3"/>
    <s v=""/>
    <x v="4"/>
    <x v="3"/>
    <n v="1"/>
    <n v="1"/>
    <n v="0"/>
    <n v="0"/>
    <n v="0"/>
    <n v="0"/>
    <n v="1"/>
  </r>
  <r>
    <n v="1240"/>
    <s v="       Community"/>
    <n v="1240"/>
    <e v="#NAME?"/>
    <s v="Community"/>
    <x v="1"/>
    <n v="16"/>
    <s v="Referred by"/>
    <m/>
    <m/>
    <s v="1. Registration"/>
    <x v="2"/>
    <m/>
    <s v="1.4 Check referral documentation"/>
    <s v="ST.DE.396"/>
    <s v="FP.DE.40"/>
    <m/>
    <m/>
    <m/>
    <m/>
    <m/>
    <s v="Community"/>
    <m/>
    <m/>
    <m/>
    <m/>
    <m/>
    <m/>
    <m/>
    <m/>
    <m/>
    <m/>
    <m/>
    <m/>
    <m/>
    <m/>
    <x v="3"/>
    <x v="0"/>
    <m/>
    <m/>
    <m/>
    <x v="2"/>
    <s v="JS"/>
    <m/>
    <m/>
    <m/>
    <s v="       Community"/>
    <s v="Same"/>
    <m/>
    <x v="0"/>
    <e v="#NAME?"/>
    <s v="Ready for testing"/>
    <x v="0"/>
    <s v="http://who.int/cg/CodeSystem/extended-content"/>
    <s v="Community"/>
    <s v="?"/>
    <m/>
    <m/>
    <m/>
    <m/>
    <m/>
    <s v="No terminology code required"/>
    <m/>
    <m/>
    <s v="use referred by and add community name"/>
    <m/>
    <m/>
    <m/>
    <m/>
    <m/>
    <m/>
    <m/>
    <m/>
    <x v="2"/>
    <n v="0"/>
    <x v="2"/>
    <x v="3"/>
    <n v="1"/>
    <s v=""/>
    <n v="1"/>
    <n v="1"/>
    <n v="1"/>
    <n v="0"/>
    <n v="0"/>
  </r>
  <r>
    <n v="1241"/>
    <s v="       Facility"/>
    <n v="1241"/>
    <e v="#NAME?"/>
    <s v="Facility"/>
    <x v="1"/>
    <n v="15"/>
    <s v="Referred by"/>
    <m/>
    <m/>
    <s v="1. Registration"/>
    <x v="2"/>
    <m/>
    <s v="1.4 Check referral documentation"/>
    <s v="ST.DE.397"/>
    <s v="FP.DE.41"/>
    <m/>
    <m/>
    <m/>
    <m/>
    <m/>
    <s v="Facility"/>
    <m/>
    <m/>
    <m/>
    <m/>
    <m/>
    <m/>
    <m/>
    <m/>
    <m/>
    <m/>
    <m/>
    <m/>
    <m/>
    <m/>
    <x v="3"/>
    <x v="0"/>
    <m/>
    <m/>
    <m/>
    <x v="2"/>
    <s v="JS"/>
    <m/>
    <m/>
    <m/>
    <s v="       Facility"/>
    <s v="Same"/>
    <m/>
    <x v="0"/>
    <e v="#NAME?"/>
    <s v="Ready for testing"/>
    <x v="0"/>
    <s v="http://who.int/cg/CodeSystem/extended-content"/>
    <s v="Facility"/>
    <s v="x"/>
    <m/>
    <m/>
    <s v="309015008"/>
    <m/>
    <m/>
    <s v="No terminology code required"/>
    <m/>
    <m/>
    <s v="referred by facility ;need facility name also"/>
    <m/>
    <m/>
    <m/>
    <m/>
    <m/>
    <m/>
    <m/>
    <m/>
    <x v="2"/>
    <n v="0"/>
    <x v="2"/>
    <x v="3"/>
    <n v="1"/>
    <s v=""/>
    <n v="1"/>
    <n v="1"/>
    <n v="1"/>
    <n v="0"/>
    <n v="0"/>
  </r>
  <r>
    <n v="1242"/>
    <s v="Patient Unique identification"/>
    <n v="1242"/>
    <s v="Unique identification"/>
    <s v="Unique identification"/>
    <x v="0"/>
    <n v="29"/>
    <s v=""/>
    <m/>
    <m/>
    <s v="1. Registration"/>
    <x v="0"/>
    <m/>
    <s v="1.6 Validate client details / 1.7 Create client record"/>
    <s v="ST.DE.05"/>
    <s v="FP.DE.05"/>
    <s v="Unique identification"/>
    <s v="client_id"/>
    <s v="Unique identifier generated for new clients or a universal ID, if used in the country."/>
    <s v="Identifier"/>
    <m/>
    <m/>
    <m/>
    <s v="Yes"/>
    <s v="minimum of 'x' number of characters"/>
    <s v="No"/>
    <s v="R"/>
    <s v="System generated"/>
    <m/>
    <m/>
    <m/>
    <m/>
    <m/>
    <m/>
    <m/>
    <m/>
    <x v="6"/>
    <x v="0"/>
    <s v="FHIR"/>
    <s v="4.0.1"/>
    <m/>
    <x v="0"/>
    <s v="JS, JA"/>
    <m/>
    <m/>
    <m/>
    <s v="Unique identification"/>
    <s v="Changed"/>
    <m/>
    <x v="0"/>
    <s v="&quot;Unique identification&quot;-&gt;&quot;Patient Unique identification&quot;"/>
    <s v="Ready for testing"/>
    <x v="0"/>
    <m/>
    <m/>
    <m/>
    <m/>
    <m/>
    <m/>
    <m/>
    <m/>
    <s v="No terminology code required"/>
    <m/>
    <m/>
    <m/>
    <m/>
    <m/>
    <m/>
    <s v="person_identifier"/>
    <m/>
    <m/>
    <m/>
    <m/>
    <x v="0"/>
    <s v=""/>
    <x v="0"/>
    <x v="0"/>
    <n v="1"/>
    <n v="0"/>
    <n v="1"/>
    <n v="1"/>
    <n v="1"/>
    <n v="0"/>
    <n v="0"/>
  </r>
  <r>
    <n v="1244"/>
    <s v="Date of birth "/>
    <n v="1244"/>
    <s v="Date of birth "/>
    <s v="Date of birth "/>
    <x v="0"/>
    <n v="14"/>
    <s v=""/>
    <m/>
    <m/>
    <s v="1. Registration"/>
    <x v="0"/>
    <m/>
    <s v="1.6 Validate client details / 1.7 Create client record"/>
    <s v="ST.DE.06"/>
    <s v="FP.DE.06"/>
    <s v="Date of birth "/>
    <s v="dob_entered"/>
    <s v="The client's date of birth (DOB) if known."/>
    <s v="Date"/>
    <m/>
    <s v="Date"/>
    <m/>
    <s v="Yes"/>
    <s v="Date of birth OR Date of birth unknown and estimated age should be entered."/>
    <s v="Yes"/>
    <s v="C"/>
    <s v="Age-specific  patient care (e.g. dosing); patient identifier; report  disaggregation. If taken from "/>
    <m/>
    <s v="STI.IND.01"/>
    <s v="Disaggregation_x000a_FP2020: Core Indicator 1 - Number of additional users of modern methods of contraception, 2018 Global Reference List of 100 Core Indicators – Demand for family planning satisfied with modern methods   SDG 3.7.1]. "/>
    <s v=" May determine from birth certificate, national ID, U5 vaccination/growth card. If system generated such as from a national identifier, record may not be editable. "/>
    <m/>
    <m/>
    <m/>
    <m/>
    <x v="7"/>
    <x v="0"/>
    <s v="FHIR"/>
    <s v="4.0.1"/>
    <m/>
    <x v="0"/>
    <s v="JS, JA"/>
    <m/>
    <m/>
    <m/>
    <s v="Date of birth "/>
    <s v="Same"/>
    <m/>
    <x v="0"/>
    <s v=""/>
    <s v="Ready for testing"/>
    <x v="0"/>
    <m/>
    <s v=" "/>
    <m/>
    <m/>
    <m/>
    <m/>
    <s v="21112-8"/>
    <m/>
    <s v="No terminology code required"/>
    <m/>
    <m/>
    <m/>
    <m/>
    <m/>
    <m/>
    <s v="person"/>
    <s v="birthdate"/>
    <m/>
    <m/>
    <m/>
    <x v="0"/>
    <s v=""/>
    <x v="0"/>
    <x v="0"/>
    <n v="1"/>
    <n v="0"/>
    <n v="1"/>
    <n v="1"/>
    <n v="1"/>
    <n v="0"/>
    <n v="0"/>
  </r>
  <r>
    <n v="1245"/>
    <s v="Date of birth unknown"/>
    <n v="1245"/>
    <s v="Date of birth unknown"/>
    <s v="Date of birth unknown"/>
    <x v="2"/>
    <n v="21"/>
    <s v=""/>
    <m/>
    <m/>
    <s v="1. Registration"/>
    <x v="0"/>
    <m/>
    <s v="1.6 Validate client details / 1.7 Create client record"/>
    <s v="ST.DE.07"/>
    <s v="FP.DE.07"/>
    <s v="Date of birth unknown"/>
    <s v="dob_unknown"/>
    <s v="Select this if the client's DOB is unknown or cannot be estimated."/>
    <s v="Boolean"/>
    <m/>
    <s v="True/False"/>
    <m/>
    <s v="Yes"/>
    <s v="Date of birth OR Date of birth unknown and estimated age should be entered."/>
    <s v="Yes"/>
    <s v="C"/>
    <m/>
    <m/>
    <m/>
    <m/>
    <m/>
    <m/>
    <m/>
    <m/>
    <m/>
    <x v="3"/>
    <x v="0"/>
    <m/>
    <m/>
    <m/>
    <x v="2"/>
    <s v="NA"/>
    <m/>
    <m/>
    <m/>
    <s v="Date of birth unknown"/>
    <s v="Same"/>
    <m/>
    <x v="0"/>
    <s v=""/>
    <s v="Ready for testing"/>
    <x v="0"/>
    <m/>
    <m/>
    <m/>
    <m/>
    <m/>
    <m/>
    <m/>
    <m/>
    <s v="No terminology code required"/>
    <m/>
    <m/>
    <s v="&quot;Date of birth unknown&quot; is a user interface (UI) element. We believe that the purpose in the UI is to allow a user to not enter the date of birth in case it is unknown, ensuring that the date of birth question is not mistakenly skipped. In FHIR, the date "/>
    <s v="9 (Closed)"/>
    <m/>
    <s v="--"/>
    <s v="--"/>
    <s v="--"/>
    <m/>
    <m/>
    <m/>
    <x v="2"/>
    <s v=""/>
    <x v="3"/>
    <x v="2"/>
    <n v="1"/>
    <s v=""/>
    <n v="1"/>
    <n v="1"/>
    <n v="1"/>
    <n v="0"/>
    <n v="0"/>
  </r>
  <r>
    <n v="1246"/>
    <s v="Estimated age"/>
    <n v="1246"/>
    <s v="Estimated age"/>
    <s v="Estimated age"/>
    <x v="0"/>
    <n v="13"/>
    <s v=""/>
    <m/>
    <m/>
    <s v="1. Registration"/>
    <x v="0"/>
    <m/>
    <s v="1.6 Validate client details / 1.7 Create client record"/>
    <s v="ST.DE.08"/>
    <s v="FP.DE.08"/>
    <s v="Estimated age"/>
    <s v="age_entered"/>
    <s v="If DOB is unknown, enter the client's age. Note displaying the client's age in years."/>
    <s v="Note"/>
    <m/>
    <s v="Integer"/>
    <m/>
    <s v="Required if DOB unknown "/>
    <s v="Date of birth OR Date of birth unknown and estimated age should be entered."/>
    <s v="Yes"/>
    <s v="C"/>
    <s v="Include if Date of birth unknown = TRUE"/>
    <m/>
    <m/>
    <m/>
    <m/>
    <m/>
    <m/>
    <m/>
    <m/>
    <x v="8"/>
    <x v="3"/>
    <s v="Extension Needed"/>
    <s v="4.0.1"/>
    <m/>
    <x v="0"/>
    <s v="JS, JA"/>
    <m/>
    <m/>
    <m/>
    <s v="Estimated age"/>
    <s v="Same"/>
    <m/>
    <x v="0"/>
    <s v=""/>
    <s v="Ready for testing"/>
    <x v="0"/>
    <m/>
    <m/>
    <m/>
    <m/>
    <m/>
    <m/>
    <m/>
    <m/>
    <s v="No terminology code required"/>
    <m/>
    <m/>
    <m/>
    <m/>
    <m/>
    <s v="--"/>
    <s v="--"/>
    <s v="--"/>
    <m/>
    <m/>
    <m/>
    <x v="0"/>
    <s v=""/>
    <x v="0"/>
    <x v="0"/>
    <n v="1"/>
    <n v="0"/>
    <n v="0"/>
    <n v="0"/>
    <n v="0"/>
    <n v="0"/>
    <n v="1"/>
  </r>
  <r>
    <n v="1843"/>
    <s v="Age (calculated)"/>
    <n v="1843"/>
    <s v="Age (calculated)"/>
    <s v="Age (calculated)"/>
    <x v="2"/>
    <n v="16"/>
    <s v=""/>
    <m/>
    <m/>
    <s v="1. Registration"/>
    <x v="0"/>
    <m/>
    <s v="1.6 Validate client details / 1.7 Create client record"/>
    <s v="ST.DE.017"/>
    <s v="FP.DE.13"/>
    <s v="Age (calculated)"/>
    <s v="age_calculated"/>
    <s v="Calculated age of the client based on date of birth"/>
    <s v="Integer"/>
    <m/>
    <s v="N/A"/>
    <m/>
    <s v="No"/>
    <m/>
    <s v="No"/>
    <s v="N/A"/>
    <m/>
    <m/>
    <m/>
    <m/>
    <m/>
    <m/>
    <m/>
    <m/>
    <s v=""/>
    <x v="3"/>
    <x v="1"/>
    <m/>
    <s v=""/>
    <s v=""/>
    <x v="2"/>
    <s v="NA"/>
    <m/>
    <m/>
    <m/>
    <m/>
    <s v=""/>
    <m/>
    <x v="0"/>
    <s v=""/>
    <s v="Ready for testing"/>
    <x v="0"/>
    <m/>
    <s v=""/>
    <s v=""/>
    <m/>
    <s v=""/>
    <m/>
    <m/>
    <m/>
    <s v="No terminology code required"/>
    <s v=""/>
    <m/>
    <s v=""/>
    <s v=""/>
    <s v=""/>
    <s v=""/>
    <s v=""/>
    <s v=""/>
    <m/>
    <m/>
    <m/>
    <x v="2"/>
    <s v=""/>
    <x v="3"/>
    <x v="2"/>
    <n v="1"/>
    <s v=""/>
    <n v="1"/>
    <n v="1"/>
    <n v="1"/>
    <n v="0"/>
    <n v="0"/>
  </r>
  <r>
    <n v="1247"/>
    <s v="Gender"/>
    <n v="1247"/>
    <s v="Gender"/>
    <s v="Gender"/>
    <x v="0"/>
    <n v="6"/>
    <s v=""/>
    <m/>
    <m/>
    <s v="1. Registration"/>
    <x v="0"/>
    <m/>
    <s v="1.6 Validate client details / 1.7 Create client record"/>
    <s v="ST.DE.09"/>
    <s v="FP.DE.09"/>
    <s v="Gender"/>
    <s v="Patient.gender"/>
    <s v="Gender of the client"/>
    <s v="Coding"/>
    <s v="Select one"/>
    <m/>
    <m/>
    <s v="No"/>
    <m/>
    <s v="Yes"/>
    <s v="R"/>
    <m/>
    <m/>
    <s v="STI.IND.02"/>
    <s v="&quot;FP2020: Core Indicator 1 - Number of additional users of modern methods of contraception, 2018 Global Reference List of 100 Core Indicators – Demand for family planning satisfied with modern methods   SDG 3.7.1]. _x000a_Numerator - (18-49)_x000a_Disaggregation&quot;"/>
    <m/>
    <s v="Gender-specific patient care and interventions (e.g. pregnancy, family planning methods); patient identifier; report  disaggregation"/>
    <m/>
    <m/>
    <m/>
    <x v="9"/>
    <x v="0"/>
    <s v="FHIR"/>
    <s v="4.0.1"/>
    <m/>
    <x v="0"/>
    <s v="JS, JA"/>
    <m/>
    <m/>
    <m/>
    <s v="Gender"/>
    <s v="Same"/>
    <m/>
    <x v="0"/>
    <s v=""/>
    <s v="Ready for testing"/>
    <x v="0"/>
    <m/>
    <s v=" "/>
    <m/>
    <m/>
    <m/>
    <m/>
    <m/>
    <m/>
    <s v="No terminology code required"/>
    <m/>
    <m/>
    <m/>
    <m/>
    <m/>
    <m/>
    <s v="patient"/>
    <s v="gender"/>
    <m/>
    <m/>
    <m/>
    <x v="0"/>
    <s v=""/>
    <x v="0"/>
    <x v="0"/>
    <n v="1"/>
    <n v="1"/>
    <n v="1"/>
    <n v="1"/>
    <n v="1"/>
    <n v="0"/>
    <n v="0"/>
  </r>
  <r>
    <n v="1248"/>
    <s v="       Female"/>
    <n v="1248"/>
    <e v="#NAME?"/>
    <s v="Female"/>
    <x v="1"/>
    <n v="13"/>
    <s v="Gender"/>
    <m/>
    <m/>
    <s v="1. Registration"/>
    <x v="0"/>
    <m/>
    <s v="1.6 Validate client details / 1.7 Create client record"/>
    <s v="ST.DE.398"/>
    <s v="FP.DE.72"/>
    <m/>
    <m/>
    <m/>
    <m/>
    <m/>
    <s v="Female"/>
    <m/>
    <m/>
    <m/>
    <m/>
    <m/>
    <m/>
    <m/>
    <m/>
    <m/>
    <m/>
    <m/>
    <m/>
    <m/>
    <m/>
    <x v="3"/>
    <x v="0"/>
    <m/>
    <m/>
    <m/>
    <x v="2"/>
    <s v="JS"/>
    <m/>
    <m/>
    <m/>
    <s v="       Female"/>
    <s v="Same"/>
    <m/>
    <x v="0"/>
    <e v="#NAME?"/>
    <s v="Ready for testing"/>
    <x v="0"/>
    <s v="http://hl7.org/fhir/administrative-gender"/>
    <s v="female"/>
    <m/>
    <m/>
    <m/>
    <m/>
    <m/>
    <m/>
    <m/>
    <m/>
    <m/>
    <m/>
    <m/>
    <m/>
    <m/>
    <m/>
    <m/>
    <m/>
    <m/>
    <m/>
    <x v="2"/>
    <n v="0"/>
    <x v="2"/>
    <x v="0"/>
    <n v="1"/>
    <s v=""/>
    <n v="1"/>
    <n v="1"/>
    <n v="1"/>
    <n v="0"/>
    <n v="0"/>
  </r>
  <r>
    <n v="1249"/>
    <s v="       Male"/>
    <n v="1249"/>
    <e v="#NAME?"/>
    <s v="Male"/>
    <x v="1"/>
    <n v="11"/>
    <s v="Gender"/>
    <m/>
    <m/>
    <s v="1. Registration"/>
    <x v="0"/>
    <m/>
    <s v="1.6 Validate client details / 1.7 Create client record"/>
    <s v="ST.DE.399"/>
    <s v="FP.DE.73"/>
    <m/>
    <m/>
    <m/>
    <m/>
    <m/>
    <s v="Male"/>
    <m/>
    <m/>
    <m/>
    <m/>
    <m/>
    <m/>
    <m/>
    <m/>
    <m/>
    <m/>
    <m/>
    <m/>
    <m/>
    <m/>
    <x v="3"/>
    <x v="0"/>
    <m/>
    <m/>
    <m/>
    <x v="2"/>
    <s v="JS"/>
    <m/>
    <m/>
    <m/>
    <s v="       Male"/>
    <s v="Same"/>
    <m/>
    <x v="0"/>
    <e v="#NAME?"/>
    <s v="Ready for testing"/>
    <x v="0"/>
    <s v="http://hl7.org/fhir/administrative-gender"/>
    <s v="male"/>
    <m/>
    <m/>
    <m/>
    <m/>
    <m/>
    <m/>
    <m/>
    <m/>
    <m/>
    <m/>
    <m/>
    <m/>
    <m/>
    <m/>
    <m/>
    <m/>
    <m/>
    <m/>
    <x v="2"/>
    <n v="0"/>
    <x v="2"/>
    <x v="0"/>
    <n v="1"/>
    <s v=""/>
    <n v="1"/>
    <n v="1"/>
    <n v="1"/>
    <n v="0"/>
    <n v="0"/>
  </r>
  <r>
    <n v="1250"/>
    <s v="       Other"/>
    <n v="1250"/>
    <e v="#NAME?"/>
    <s v="Other"/>
    <x v="1"/>
    <n v="12"/>
    <s v="Gender"/>
    <m/>
    <m/>
    <s v="1. Registration"/>
    <x v="0"/>
    <m/>
    <s v="1.6 Validate client details / 1.7 Create client record"/>
    <s v="ST.DE.400"/>
    <s v="FP.DE.74"/>
    <m/>
    <m/>
    <m/>
    <m/>
    <m/>
    <s v="Other"/>
    <m/>
    <m/>
    <m/>
    <m/>
    <m/>
    <m/>
    <m/>
    <m/>
    <m/>
    <s v="For “Other” specify in certain settings. May not specify in settings where to do so would be to put the patient at risk."/>
    <m/>
    <m/>
    <m/>
    <m/>
    <x v="3"/>
    <x v="0"/>
    <m/>
    <m/>
    <m/>
    <x v="2"/>
    <s v="JS"/>
    <m/>
    <m/>
    <m/>
    <s v="       Other"/>
    <s v="Same"/>
    <m/>
    <x v="0"/>
    <e v="#NAME?"/>
    <s v="Ready for testing"/>
    <x v="0"/>
    <s v="http://hl7.org/fhir/administrative-gender"/>
    <s v="other"/>
    <m/>
    <m/>
    <m/>
    <m/>
    <m/>
    <m/>
    <m/>
    <m/>
    <m/>
    <m/>
    <m/>
    <m/>
    <m/>
    <m/>
    <m/>
    <m/>
    <m/>
    <m/>
    <x v="2"/>
    <n v="0"/>
    <x v="2"/>
    <x v="0"/>
    <n v="1"/>
    <s v=""/>
    <n v="1"/>
    <n v="1"/>
    <n v="1"/>
    <n v="0"/>
    <n v="0"/>
  </r>
  <r>
    <n v="1251"/>
    <s v="Marital Status"/>
    <n v="1251"/>
    <s v="Marital Status"/>
    <s v="Marital Status"/>
    <x v="0"/>
    <n v="14"/>
    <s v=""/>
    <m/>
    <m/>
    <s v="1. Registration"/>
    <x v="0"/>
    <m/>
    <s v="1.6 Validate client details / 1.7 Create client record"/>
    <s v="ST.DE.010"/>
    <s v="FP.DE.10"/>
    <s v="Marital Status"/>
    <m/>
    <s v="Client’s current marital status "/>
    <s v="Coding"/>
    <s v="Select one"/>
    <m/>
    <m/>
    <s v="No"/>
    <m/>
    <s v="Yes"/>
    <s v="O"/>
    <m/>
    <m/>
    <m/>
    <m/>
    <s v="Required if indicators include marital status for disaggregations or for other national requirements."/>
    <m/>
    <m/>
    <m/>
    <m/>
    <x v="10"/>
    <x v="0"/>
    <s v="FHIR"/>
    <s v="4.0.1"/>
    <m/>
    <x v="0"/>
    <s v="JS, JA"/>
    <m/>
    <m/>
    <m/>
    <s v="Marital Status"/>
    <s v="Same"/>
    <m/>
    <x v="0"/>
    <s v=""/>
    <s v="Ready for testing"/>
    <x v="0"/>
    <m/>
    <m/>
    <m/>
    <m/>
    <m/>
    <m/>
    <m/>
    <m/>
    <s v="No terminology code required"/>
    <m/>
    <m/>
    <m/>
    <m/>
    <m/>
    <m/>
    <m/>
    <m/>
    <m/>
    <m/>
    <m/>
    <x v="0"/>
    <s v=""/>
    <x v="0"/>
    <x v="0"/>
    <n v="1"/>
    <n v="1"/>
    <n v="1"/>
    <n v="1"/>
    <n v="1"/>
    <n v="0"/>
    <n v="0"/>
  </r>
  <r>
    <n v="1252"/>
    <s v="       Unmarried"/>
    <n v="1252"/>
    <e v="#NAME?"/>
    <s v="Unmarried"/>
    <x v="1"/>
    <n v="16"/>
    <s v="Marital Status"/>
    <m/>
    <m/>
    <s v="1. Registration"/>
    <x v="0"/>
    <m/>
    <s v="1.6 Validate client details / 1.7 Create client record"/>
    <s v="ST.DE.401"/>
    <s v="FP.DE.40"/>
    <m/>
    <m/>
    <m/>
    <m/>
    <m/>
    <s v="Unmarried"/>
    <m/>
    <m/>
    <m/>
    <s v="Yes"/>
    <m/>
    <m/>
    <m/>
    <m/>
    <m/>
    <m/>
    <m/>
    <m/>
    <m/>
    <m/>
    <x v="3"/>
    <x v="0"/>
    <m/>
    <m/>
    <m/>
    <x v="2"/>
    <s v="JS"/>
    <m/>
    <m/>
    <m/>
    <s v="       Unmarried"/>
    <s v="Same"/>
    <m/>
    <x v="0"/>
    <e v="#NAME?"/>
    <s v="Ready for testing"/>
    <x v="0"/>
    <s v="http://terminology.hl7.org/CodeSystem/v3-MaritalStatus"/>
    <s v="U"/>
    <m/>
    <m/>
    <m/>
    <m/>
    <m/>
    <m/>
    <m/>
    <m/>
    <m/>
    <m/>
    <m/>
    <n v="5615"/>
    <m/>
    <m/>
    <s v="5615AAAAAAAAAAAAAAAAAAAAAAAAAAAAAAAA"/>
    <m/>
    <m/>
    <m/>
    <x v="2"/>
    <n v="0"/>
    <x v="2"/>
    <x v="0"/>
    <n v="1"/>
    <s v=""/>
    <n v="1"/>
    <n v="1"/>
    <n v="1"/>
    <n v="0"/>
    <n v="0"/>
  </r>
  <r>
    <n v="1253"/>
    <s v="       Married"/>
    <n v="1253"/>
    <e v="#NAME?"/>
    <s v="Married"/>
    <x v="1"/>
    <n v="14"/>
    <s v="Marital Status"/>
    <m/>
    <m/>
    <s v="1. Registration"/>
    <x v="0"/>
    <m/>
    <s v="1.6 Validate client details / 1.7 Create client record"/>
    <s v="ST.DE.402"/>
    <s v="FP.DE.41"/>
    <m/>
    <m/>
    <s v="A current marriage contract is active"/>
    <m/>
    <m/>
    <s v="Married"/>
    <m/>
    <m/>
    <m/>
    <s v="Yes"/>
    <m/>
    <m/>
    <m/>
    <m/>
    <m/>
    <m/>
    <m/>
    <m/>
    <m/>
    <m/>
    <x v="3"/>
    <x v="0"/>
    <m/>
    <m/>
    <m/>
    <x v="2"/>
    <s v="JS"/>
    <m/>
    <m/>
    <m/>
    <s v="       Married"/>
    <s v="Same"/>
    <m/>
    <x v="0"/>
    <e v="#NAME?"/>
    <s v="Ready for testing"/>
    <x v="0"/>
    <s v="http://terminology.hl7.org/CodeSystem/v3-MaritalStatus"/>
    <s v="M"/>
    <m/>
    <m/>
    <m/>
    <m/>
    <m/>
    <m/>
    <m/>
    <m/>
    <m/>
    <m/>
    <m/>
    <n v="1055"/>
    <m/>
    <m/>
    <s v="1055AAAAAAAAAAAAAAAAAAAAAAAAAAAAAAAA"/>
    <m/>
    <m/>
    <m/>
    <x v="2"/>
    <n v="0"/>
    <x v="2"/>
    <x v="0"/>
    <n v="1"/>
    <s v=""/>
    <n v="1"/>
    <n v="1"/>
    <n v="1"/>
    <n v="0"/>
    <n v="0"/>
  </r>
  <r>
    <n v="1254"/>
    <s v="       Divorced "/>
    <n v="1254"/>
    <e v="#NAME?"/>
    <s v="Divorced "/>
    <x v="1"/>
    <n v="16"/>
    <s v="Marital Status"/>
    <m/>
    <m/>
    <s v="1. Registration"/>
    <x v="0"/>
    <m/>
    <s v="1.6 Validate client details / 1.7 Create client record"/>
    <s v="ST.DE.403"/>
    <s v="FP.DE.75"/>
    <m/>
    <m/>
    <m/>
    <m/>
    <m/>
    <s v="Divorced "/>
    <m/>
    <m/>
    <m/>
    <s v="Yes"/>
    <m/>
    <m/>
    <m/>
    <m/>
    <m/>
    <m/>
    <m/>
    <m/>
    <m/>
    <m/>
    <x v="3"/>
    <x v="0"/>
    <m/>
    <m/>
    <m/>
    <x v="2"/>
    <s v="JS"/>
    <m/>
    <m/>
    <m/>
    <s v="       Divorced "/>
    <s v="Same"/>
    <m/>
    <x v="0"/>
    <e v="#NAME?"/>
    <s v="Ready for testing"/>
    <x v="0"/>
    <s v="http://terminology.hl7.org/CodeSystem/v3-MaritalStatus"/>
    <s v="D"/>
    <m/>
    <m/>
    <m/>
    <m/>
    <m/>
    <m/>
    <m/>
    <m/>
    <m/>
    <m/>
    <m/>
    <n v="1058"/>
    <m/>
    <m/>
    <s v="1058AAAAAAAAAAAAAAAAAAAAAAAAAAAAAAAA"/>
    <m/>
    <m/>
    <m/>
    <x v="2"/>
    <n v="0"/>
    <x v="2"/>
    <x v="0"/>
    <n v="1"/>
    <s v=""/>
    <n v="1"/>
    <n v="1"/>
    <n v="1"/>
    <n v="0"/>
    <n v="0"/>
  </r>
  <r>
    <n v="1255"/>
    <s v="       Widowed_x000a_"/>
    <n v="1255"/>
    <e v="#NAME?"/>
    <s v="Widowed_x000a_"/>
    <x v="1"/>
    <n v="15"/>
    <s v="Marital Status"/>
    <m/>
    <m/>
    <s v="1. Registration"/>
    <x v="0"/>
    <m/>
    <s v="1.6 Validate client details / 1.7 Create client record"/>
    <s v="ST.DE.404"/>
    <s v="FP.DE.76"/>
    <m/>
    <m/>
    <m/>
    <m/>
    <m/>
    <s v="Widowed_x000a_"/>
    <m/>
    <m/>
    <m/>
    <s v="Yes"/>
    <m/>
    <m/>
    <m/>
    <m/>
    <m/>
    <m/>
    <m/>
    <m/>
    <m/>
    <m/>
    <x v="3"/>
    <x v="0"/>
    <m/>
    <m/>
    <m/>
    <x v="2"/>
    <s v="JS"/>
    <m/>
    <m/>
    <m/>
    <s v="       Widowed_x000a_"/>
    <s v="Same"/>
    <m/>
    <x v="0"/>
    <e v="#NAME?"/>
    <s v="Ready for testing"/>
    <x v="0"/>
    <s v="http://terminology.hl7.org/CodeSystem/v3-MaritalStatus"/>
    <s v="W"/>
    <m/>
    <m/>
    <m/>
    <m/>
    <m/>
    <m/>
    <m/>
    <m/>
    <m/>
    <m/>
    <m/>
    <n v="1059"/>
    <m/>
    <m/>
    <s v="1059AAAAAAAAAAAAAAAAAAAAAAAAAAAAAAAA"/>
    <m/>
    <m/>
    <m/>
    <x v="2"/>
    <n v="0"/>
    <x v="2"/>
    <x v="0"/>
    <n v="1"/>
    <s v=""/>
    <n v="1"/>
    <n v="1"/>
    <n v="1"/>
    <n v="0"/>
    <n v="0"/>
  </r>
  <r>
    <n v="1256"/>
    <s v="       Unknown"/>
    <n v="1256"/>
    <e v="#NAME?"/>
    <s v="Unknown"/>
    <x v="1"/>
    <n v="14"/>
    <s v="Marital Status"/>
    <m/>
    <m/>
    <s v="1. Registration"/>
    <x v="0"/>
    <m/>
    <s v="1.6 Validate client details / 1.7 Create client record"/>
    <s v="ST.DE.405"/>
    <s v="FP.DE.80"/>
    <m/>
    <m/>
    <m/>
    <m/>
    <m/>
    <s v="Unknown"/>
    <m/>
    <m/>
    <m/>
    <s v="Yes"/>
    <m/>
    <m/>
    <m/>
    <m/>
    <m/>
    <m/>
    <m/>
    <m/>
    <m/>
    <m/>
    <x v="3"/>
    <x v="0"/>
    <m/>
    <m/>
    <m/>
    <x v="2"/>
    <s v="JS"/>
    <m/>
    <m/>
    <m/>
    <s v="       Unknown"/>
    <s v="Same"/>
    <m/>
    <x v="0"/>
    <e v="#NAME?"/>
    <s v="Ready for testing"/>
    <x v="0"/>
    <s v="http://terminology.hl7.org/CodeSystem/v3-MaritalStatus"/>
    <s v="UNK"/>
    <m/>
    <m/>
    <m/>
    <m/>
    <m/>
    <m/>
    <m/>
    <m/>
    <m/>
    <m/>
    <m/>
    <m/>
    <m/>
    <m/>
    <m/>
    <m/>
    <m/>
    <m/>
    <x v="2"/>
    <n v="0"/>
    <x v="2"/>
    <x v="0"/>
    <n v="1"/>
    <s v=""/>
    <n v="1"/>
    <n v="1"/>
    <n v="1"/>
    <n v="0"/>
    <n v="0"/>
  </r>
  <r>
    <n v="1844"/>
    <s v="Administrative Area"/>
    <n v="1844"/>
    <s v="[Administrative Area]"/>
    <s v="[Administrative Area]"/>
    <x v="0"/>
    <n v="19"/>
    <s v=""/>
    <m/>
    <m/>
    <s v="1. Registration"/>
    <x v="0"/>
    <m/>
    <s v="1.6 Validate client details / 1.7 Create client record"/>
    <s v="ST.DE.011"/>
    <s v="FP.DE.11"/>
    <s v="[Administrative Area]"/>
    <m/>
    <s v="Village, district, etc."/>
    <s v="Text"/>
    <m/>
    <m/>
    <m/>
    <m/>
    <m/>
    <s v="Yes"/>
    <s v="R"/>
    <m/>
    <m/>
    <m/>
    <m/>
    <m/>
    <m/>
    <m/>
    <m/>
    <s v=""/>
    <x v="11"/>
    <x v="0"/>
    <s v="FHIR"/>
    <s v="4.0.1"/>
    <s v=""/>
    <x v="0"/>
    <s v="JS, JA"/>
    <m/>
    <m/>
    <m/>
    <m/>
    <s v=""/>
    <m/>
    <x v="0"/>
    <s v="&quot;[Administrative Area]&quot;-&gt;&quot;Administrative Area&quot;"/>
    <s v="Ready for testing"/>
    <x v="0"/>
    <m/>
    <s v=""/>
    <s v=""/>
    <m/>
    <s v=""/>
    <m/>
    <m/>
    <m/>
    <s v="No terminology code required"/>
    <s v=""/>
    <m/>
    <s v=""/>
    <s v=""/>
    <s v=""/>
    <s v=""/>
    <s v=""/>
    <s v=""/>
    <m/>
    <m/>
    <m/>
    <x v="0"/>
    <s v=""/>
    <x v="0"/>
    <x v="0"/>
    <n v="1"/>
    <n v="0"/>
    <n v="1"/>
    <n v="1"/>
    <n v="1"/>
    <n v="0"/>
    <n v="0"/>
  </r>
  <r>
    <n v="1721"/>
    <s v="Client address line"/>
    <n v="1721"/>
    <s v="Client address"/>
    <s v="Client address"/>
    <x v="0"/>
    <n v="19"/>
    <s v=""/>
    <m/>
    <m/>
    <s v="1. Registration"/>
    <x v="0"/>
    <m/>
    <s v="1.6 Validate client details / 1.7 Create client record"/>
    <s v="ST.DE.012"/>
    <s v="FP.DE.95"/>
    <s v="Client address"/>
    <m/>
    <m/>
    <s v="Text"/>
    <m/>
    <m/>
    <m/>
    <m/>
    <m/>
    <s v="Yes"/>
    <s v="O"/>
    <m/>
    <m/>
    <m/>
    <m/>
    <m/>
    <m/>
    <m/>
    <m/>
    <m/>
    <x v="12"/>
    <x v="0"/>
    <s v="FHIR"/>
    <s v="4.0.1"/>
    <m/>
    <x v="0"/>
    <s v="JS, JA"/>
    <m/>
    <m/>
    <m/>
    <s v="Client address"/>
    <s v="Changed"/>
    <m/>
    <x v="0"/>
    <s v="&quot;Client address&quot;-&gt;&quot;Client address line&quot;"/>
    <s v="Ready for testing"/>
    <x v="0"/>
    <m/>
    <m/>
    <m/>
    <m/>
    <m/>
    <m/>
    <m/>
    <m/>
    <s v="No terminology code required"/>
    <m/>
    <m/>
    <m/>
    <m/>
    <m/>
    <s v="NA"/>
    <s v="person_address"/>
    <s v="address2"/>
    <m/>
    <m/>
    <m/>
    <x v="0"/>
    <s v=""/>
    <x v="0"/>
    <x v="0"/>
    <n v="1"/>
    <n v="0"/>
    <n v="1"/>
    <n v="1"/>
    <n v="1"/>
    <n v="0"/>
    <n v="0"/>
  </r>
  <r>
    <n v="1729"/>
    <s v="Communication consent"/>
    <n v="1729"/>
    <s v="Communication consent"/>
    <s v="Communication consent"/>
    <x v="0"/>
    <n v="21"/>
    <s v=""/>
    <m/>
    <m/>
    <s v="1. Registration"/>
    <x v="0"/>
    <m/>
    <s v="1.6 Validate client details / 1.7 Create client record"/>
    <s v="ST.DE.014"/>
    <s v="FP.DE.98"/>
    <s v="Communication consent"/>
    <m/>
    <s v="Indication that client gave consent to be contacted"/>
    <s v="Boolean"/>
    <m/>
    <s v="True/False"/>
    <m/>
    <m/>
    <m/>
    <s v="Yes"/>
    <s v="O"/>
    <m/>
    <m/>
    <m/>
    <m/>
    <m/>
    <m/>
    <m/>
    <m/>
    <m/>
    <x v="13"/>
    <x v="4"/>
    <s v="Extension Needed"/>
    <s v="4.0.1"/>
    <m/>
    <x v="0"/>
    <s v="JS, JA"/>
    <m/>
    <m/>
    <m/>
    <s v="Communication consent"/>
    <s v="Same"/>
    <m/>
    <x v="0"/>
    <s v=""/>
    <s v="Ready for testing"/>
    <x v="0"/>
    <m/>
    <m/>
    <m/>
    <m/>
    <m/>
    <m/>
    <m/>
    <m/>
    <s v="No terminology code required"/>
    <m/>
    <m/>
    <m/>
    <m/>
    <m/>
    <m/>
    <m/>
    <m/>
    <m/>
    <m/>
    <m/>
    <x v="0"/>
    <s v=""/>
    <x v="0"/>
    <x v="0"/>
    <n v="1"/>
    <n v="0"/>
    <n v="0"/>
    <n v="0"/>
    <n v="0"/>
    <n v="0"/>
    <n v="1"/>
  </r>
  <r>
    <n v="1730"/>
    <s v="Reminder messages"/>
    <n v="1730"/>
    <s v="Reminder messages"/>
    <s v="Reminder messages"/>
    <x v="0"/>
    <n v="17"/>
    <s v=""/>
    <m/>
    <m/>
    <s v="1. Registration"/>
    <x v="0"/>
    <m/>
    <s v="1.6 Validate client details / 1.7 Create client record"/>
    <s v="ST.DE.015"/>
    <s v="FP.DE.15"/>
    <s v="Reminder messages"/>
    <m/>
    <s v="Whether client wants to receive text or other messages as follow-up for family planning"/>
    <s v="Boolean"/>
    <m/>
    <s v="True/False"/>
    <m/>
    <m/>
    <m/>
    <s v="Yes"/>
    <s v="C"/>
    <s v="Skip if Communication Consent = False OR null"/>
    <m/>
    <m/>
    <m/>
    <m/>
    <m/>
    <m/>
    <m/>
    <m/>
    <x v="14"/>
    <x v="4"/>
    <s v="Extension Needed"/>
    <s v="4.0.1"/>
    <m/>
    <x v="0"/>
    <s v="JS, JA"/>
    <m/>
    <m/>
    <m/>
    <s v="Reminder messages"/>
    <s v="Same"/>
    <m/>
    <x v="0"/>
    <s v=""/>
    <s v="Ready for testing"/>
    <x v="0"/>
    <m/>
    <m/>
    <m/>
    <m/>
    <m/>
    <m/>
    <m/>
    <m/>
    <s v="No terminology code required"/>
    <m/>
    <m/>
    <m/>
    <m/>
    <m/>
    <m/>
    <m/>
    <m/>
    <m/>
    <m/>
    <m/>
    <x v="0"/>
    <s v=""/>
    <x v="0"/>
    <x v="0"/>
    <n v="1"/>
    <n v="0"/>
    <n v="0"/>
    <n v="0"/>
    <n v="0"/>
    <n v="0"/>
    <n v="1"/>
  </r>
  <r>
    <n v="1731"/>
    <s v="Communication preferences"/>
    <n v="1731"/>
    <s v="Communication preferences"/>
    <s v="Communication preferences"/>
    <x v="0"/>
    <n v="25"/>
    <s v=""/>
    <m/>
    <m/>
    <s v="1. Registration"/>
    <x v="0"/>
    <m/>
    <s v="1.6 Validate client details / 1.7 Create client record"/>
    <s v="ST.DE.016"/>
    <s v="FP.DE.17"/>
    <s v="Communication preferences"/>
    <m/>
    <s v="How the client would like to receive family planning communications."/>
    <s v="Coding"/>
    <s v="Select all that apply"/>
    <m/>
    <m/>
    <m/>
    <m/>
    <s v="Yes"/>
    <s v="C"/>
    <s v="Skip if Communication Consent = False OR null"/>
    <m/>
    <m/>
    <m/>
    <m/>
    <m/>
    <m/>
    <m/>
    <m/>
    <x v="15"/>
    <x v="5"/>
    <s v=" FHIR"/>
    <s v="4.0.1"/>
    <m/>
    <x v="0"/>
    <s v="JS, JA"/>
    <m/>
    <m/>
    <m/>
    <s v="Communication preferences"/>
    <s v="Same"/>
    <m/>
    <x v="0"/>
    <s v=""/>
    <s v="Ready for testing"/>
    <x v="0"/>
    <m/>
    <m/>
    <m/>
    <m/>
    <m/>
    <m/>
    <m/>
    <m/>
    <s v="No terminology code required"/>
    <m/>
    <m/>
    <m/>
    <m/>
    <m/>
    <m/>
    <m/>
    <m/>
    <m/>
    <m/>
    <m/>
    <x v="0"/>
    <s v=""/>
    <x v="0"/>
    <x v="0"/>
    <n v="1"/>
    <n v="0"/>
    <n v="1"/>
    <n v="1"/>
    <n v="1"/>
    <n v="0"/>
    <n v="0"/>
  </r>
  <r>
    <n v="1362"/>
    <s v="Reason for family planning visit"/>
    <n v="1362"/>
    <s v="Reason for visit"/>
    <s v="Reason for visit"/>
    <x v="0"/>
    <n v="32"/>
    <s v=""/>
    <m/>
    <m/>
    <s v="FP.2. Counseling"/>
    <x v="3"/>
    <m/>
    <s v="2.1 Determine reason for visit"/>
    <m/>
    <s v="FP.DE.427"/>
    <s v="Reason for visit"/>
    <m/>
    <s v="Establish reason for visit"/>
    <s v="Coding "/>
    <s v="Select all that apply"/>
    <m/>
    <m/>
    <s v="No"/>
    <m/>
    <s v="Yes"/>
    <s v="R"/>
    <m/>
    <m/>
    <m/>
    <m/>
    <m/>
    <m/>
    <m/>
    <m/>
    <m/>
    <x v="16"/>
    <x v="0"/>
    <s v="FHIR"/>
    <s v="4.0.1"/>
    <s v="Condition.category = &quot;problem-list-item&quot;"/>
    <x v="4"/>
    <s v="JS, JA"/>
    <m/>
    <m/>
    <m/>
    <s v="Reason for visit"/>
    <s v="Changed"/>
    <m/>
    <x v="1"/>
    <s v="&quot;Reason for visit&quot;-&gt;&quot;Reason for family planning visit&quot;"/>
    <m/>
    <x v="0"/>
    <m/>
    <m/>
    <m/>
    <m/>
    <m/>
    <m/>
    <m/>
    <m/>
    <s v="No terminology code required"/>
    <m/>
    <m/>
    <m/>
    <m/>
    <m/>
    <m/>
    <m/>
    <m/>
    <m/>
    <m/>
    <m/>
    <x v="4"/>
    <s v=""/>
    <x v="5"/>
    <x v="4"/>
    <n v="1"/>
    <n v="1"/>
    <n v="1"/>
    <n v="1"/>
    <n v="1"/>
    <n v="0"/>
    <n v="0"/>
  </r>
  <r>
    <n v="1363"/>
    <s v="       Stopping contraception"/>
    <n v="1363"/>
    <e v="#NAME?"/>
    <s v="Stopping contraception"/>
    <x v="1"/>
    <n v="29"/>
    <s v="Reason for family planning visit"/>
    <m/>
    <m/>
    <s v="FP.2. Counseling"/>
    <x v="3"/>
    <m/>
    <s v="2.1 Determine reason for visit"/>
    <m/>
    <s v="FP.DE.428"/>
    <m/>
    <m/>
    <s v="Visit to stop using contraception"/>
    <m/>
    <m/>
    <s v="Stopping contraception"/>
    <m/>
    <s v="No"/>
    <m/>
    <s v="Yes"/>
    <s v="C"/>
    <m/>
    <m/>
    <m/>
    <m/>
    <m/>
    <m/>
    <m/>
    <m/>
    <m/>
    <x v="3"/>
    <x v="0"/>
    <m/>
    <m/>
    <m/>
    <x v="2"/>
    <s v="JS"/>
    <m/>
    <m/>
    <m/>
    <s v="       Stopping contraception"/>
    <s v="Same"/>
    <m/>
    <x v="1"/>
    <e v="#NAME?"/>
    <m/>
    <x v="0"/>
    <m/>
    <m/>
    <s v="needs code plus date"/>
    <m/>
    <m/>
    <s v="169450001"/>
    <m/>
    <m/>
    <m/>
    <m/>
    <m/>
    <m/>
    <s v="Brinn"/>
    <m/>
    <m/>
    <m/>
    <m/>
    <m/>
    <m/>
    <m/>
    <x v="2"/>
    <n v="0"/>
    <x v="2"/>
    <x v="4"/>
    <n v="1"/>
    <s v=""/>
    <n v="1"/>
    <n v="1"/>
    <n v="1"/>
    <n v="0"/>
    <n v="0"/>
  </r>
  <r>
    <n v="1364"/>
    <s v="       Contraception counseling"/>
    <n v="1364"/>
    <e v="#NAME?"/>
    <s v="Contraception counseling"/>
    <x v="1"/>
    <n v="31"/>
    <s v="Reason for family planning visit"/>
    <m/>
    <m/>
    <s v="FP.2. Counseling"/>
    <x v="3"/>
    <m/>
    <s v="2.1 Determine reason for visit"/>
    <m/>
    <s v="FP.DE.429"/>
    <m/>
    <m/>
    <s v="Visit for counseling on contraception"/>
    <m/>
    <m/>
    <s v="Contraception counseling"/>
    <m/>
    <s v="No"/>
    <m/>
    <s v="Yes"/>
    <s v="O"/>
    <m/>
    <m/>
    <m/>
    <m/>
    <m/>
    <m/>
    <m/>
    <m/>
    <m/>
    <x v="3"/>
    <x v="0"/>
    <m/>
    <m/>
    <m/>
    <x v="2"/>
    <s v="JS"/>
    <m/>
    <m/>
    <m/>
    <s v="       Contraception counseling"/>
    <s v="Same"/>
    <m/>
    <x v="1"/>
    <e v="#NAME?"/>
    <m/>
    <x v="0"/>
    <m/>
    <m/>
    <s v="x"/>
    <s v="Z30.0"/>
    <m/>
    <s v="408968008"/>
    <m/>
    <m/>
    <m/>
    <m/>
    <m/>
    <m/>
    <m/>
    <m/>
    <m/>
    <m/>
    <m/>
    <m/>
    <m/>
    <m/>
    <x v="2"/>
    <n v="0"/>
    <x v="2"/>
    <x v="4"/>
    <n v="1"/>
    <s v=""/>
    <n v="1"/>
    <n v="1"/>
    <n v="1"/>
    <n v="0"/>
    <n v="0"/>
  </r>
  <r>
    <n v="1365"/>
    <s v="       Starting contraception"/>
    <n v="1365"/>
    <e v="#NAME?"/>
    <s v="Starting contraception"/>
    <x v="1"/>
    <n v="29"/>
    <s v="Reason for family planning visit"/>
    <m/>
    <m/>
    <s v="FP.2. Counseling"/>
    <x v="3"/>
    <m/>
    <s v="2.1 Determine reason for visit"/>
    <m/>
    <s v="FP.DE.430"/>
    <m/>
    <m/>
    <s v="Visit to start contraception"/>
    <m/>
    <m/>
    <s v="Starting contraception"/>
    <m/>
    <s v="No"/>
    <m/>
    <s v="Yes"/>
    <s v="O"/>
    <m/>
    <m/>
    <m/>
    <s v="FP.IND.03"/>
    <m/>
    <m/>
    <m/>
    <m/>
    <m/>
    <x v="3"/>
    <x v="0"/>
    <m/>
    <m/>
    <m/>
    <x v="2"/>
    <s v="JS"/>
    <m/>
    <m/>
    <m/>
    <s v="       Starting contraception"/>
    <s v="Same"/>
    <m/>
    <x v="1"/>
    <e v="#NAME?"/>
    <m/>
    <x v="0"/>
    <m/>
    <m/>
    <s v="x"/>
    <s v="Z30.01"/>
    <m/>
    <m/>
    <m/>
    <m/>
    <m/>
    <m/>
    <m/>
    <m/>
    <m/>
    <m/>
    <m/>
    <m/>
    <m/>
    <m/>
    <m/>
    <m/>
    <x v="2"/>
    <n v="0"/>
    <x v="2"/>
    <x v="4"/>
    <n v="1"/>
    <s v=""/>
    <n v="1"/>
    <n v="1"/>
    <n v="1"/>
    <n v="0"/>
    <n v="0"/>
  </r>
  <r>
    <n v="1366"/>
    <s v="       Contraceptive continuation"/>
    <n v="1366"/>
    <e v="#NAME?"/>
    <s v="Contraceptive continuation"/>
    <x v="1"/>
    <n v="33"/>
    <s v="Reason for family planning visit"/>
    <m/>
    <m/>
    <s v="FP.2. Counseling"/>
    <x v="3"/>
    <m/>
    <s v="2.1 Determine reason for visit"/>
    <m/>
    <s v="FP.DE.431"/>
    <m/>
    <m/>
    <s v="Visit to continue use of current contraception"/>
    <m/>
    <m/>
    <s v="Contraceptive continuation"/>
    <m/>
    <s v="No"/>
    <m/>
    <s v="Yes"/>
    <s v="O"/>
    <m/>
    <m/>
    <m/>
    <s v="FP.IND.03"/>
    <m/>
    <m/>
    <m/>
    <m/>
    <m/>
    <x v="3"/>
    <x v="0"/>
    <m/>
    <m/>
    <m/>
    <x v="2"/>
    <s v="JS"/>
    <m/>
    <m/>
    <m/>
    <s v="       Contraceptive management"/>
    <s v="Changed"/>
    <m/>
    <x v="1"/>
    <e v="#NAME?"/>
    <m/>
    <x v="0"/>
    <m/>
    <m/>
    <m/>
    <s v="Z30"/>
    <m/>
    <s v="243816001"/>
    <m/>
    <m/>
    <m/>
    <m/>
    <m/>
    <s v="contraception status in SNOMED"/>
    <m/>
    <m/>
    <m/>
    <m/>
    <m/>
    <m/>
    <m/>
    <m/>
    <x v="2"/>
    <n v="0"/>
    <x v="2"/>
    <x v="4"/>
    <n v="1"/>
    <s v=""/>
    <n v="1"/>
    <n v="1"/>
    <n v="1"/>
    <n v="0"/>
    <n v="0"/>
  </r>
  <r>
    <n v="1367"/>
    <s v="       Emergency contraception"/>
    <n v="1367"/>
    <e v="#NAME?"/>
    <s v="Emergency contraception"/>
    <x v="1"/>
    <n v="30"/>
    <s v="Reason for family planning visit"/>
    <m/>
    <m/>
    <s v="FP.2. Counseling"/>
    <x v="3"/>
    <m/>
    <s v="2.1 Determine reason for visit"/>
    <m/>
    <s v="FP.DE.432"/>
    <m/>
    <m/>
    <s v="Visit for emergency contraception"/>
    <m/>
    <m/>
    <s v="Emergency contraception"/>
    <m/>
    <s v="No"/>
    <m/>
    <s v="Yes"/>
    <s v="O"/>
    <m/>
    <m/>
    <m/>
    <m/>
    <m/>
    <m/>
    <m/>
    <m/>
    <m/>
    <x v="3"/>
    <x v="0"/>
    <m/>
    <m/>
    <m/>
    <x v="2"/>
    <s v="JS"/>
    <m/>
    <m/>
    <m/>
    <s v="       Emergency contraception"/>
    <s v="Same"/>
    <m/>
    <x v="1"/>
    <e v="#NAME?"/>
    <m/>
    <x v="0"/>
    <m/>
    <m/>
    <s v="x"/>
    <s v="Z30.012"/>
    <m/>
    <s v="275813002"/>
    <s v="LA 27921-8"/>
    <m/>
    <m/>
    <m/>
    <m/>
    <m/>
    <m/>
    <m/>
    <m/>
    <m/>
    <m/>
    <m/>
    <m/>
    <m/>
    <x v="2"/>
    <n v="0"/>
    <x v="2"/>
    <x v="4"/>
    <n v="1"/>
    <s v=""/>
    <n v="1"/>
    <n v="1"/>
    <n v="1"/>
    <n v="0"/>
    <n v="0"/>
  </r>
  <r>
    <n v="1368"/>
    <s v="       Contraception Issues and concerns"/>
    <n v="1368"/>
    <e v="#NAME?"/>
    <s v="Issues and concerns"/>
    <x v="1"/>
    <n v="40"/>
    <s v="Reason for family planning visit"/>
    <m/>
    <m/>
    <s v="FP.2. Counseling"/>
    <x v="3"/>
    <m/>
    <s v="2.1 Determine reason for visit"/>
    <m/>
    <s v="FP.DE.433"/>
    <m/>
    <m/>
    <s v="Side effects or symptoms with current method, administration, missed pills and late injections"/>
    <m/>
    <m/>
    <s v="Issues and concerns"/>
    <m/>
    <s v="No"/>
    <m/>
    <s v="Yes"/>
    <s v="O"/>
    <m/>
    <m/>
    <m/>
    <m/>
    <m/>
    <m/>
    <m/>
    <m/>
    <m/>
    <x v="3"/>
    <x v="0"/>
    <m/>
    <m/>
    <m/>
    <x v="2"/>
    <s v="JS"/>
    <m/>
    <m/>
    <m/>
    <s v="       Contraception Issues and concerns"/>
    <s v="Same"/>
    <m/>
    <x v="1"/>
    <e v="#NAME?"/>
    <m/>
    <x v="0"/>
    <m/>
    <m/>
    <s v="contractptive surveillance x ( issues and concerns needs its own list) "/>
    <s v="Z30.40"/>
    <m/>
    <m/>
    <m/>
    <m/>
    <m/>
    <m/>
    <m/>
    <m/>
    <m/>
    <m/>
    <m/>
    <m/>
    <m/>
    <m/>
    <m/>
    <m/>
    <x v="2"/>
    <n v="0"/>
    <x v="2"/>
    <x v="4"/>
    <n v="1"/>
    <s v=""/>
    <n v="1"/>
    <n v="1"/>
    <n v="1"/>
    <n v="0"/>
    <n v="0"/>
  </r>
  <r>
    <n v="1369"/>
    <s v="       Implant removal"/>
    <n v="1369"/>
    <e v="#NAME?"/>
    <s v="Implant removal"/>
    <x v="1"/>
    <n v="22"/>
    <s v="Reason for family planning visit"/>
    <m/>
    <m/>
    <s v="FP.2. Counseling"/>
    <x v="3"/>
    <m/>
    <s v="2.1 Determine reason for visit"/>
    <m/>
    <s v="FP.DE.272"/>
    <m/>
    <m/>
    <s v="Visit for removal of an implant"/>
    <m/>
    <m/>
    <s v="Implant removal"/>
    <m/>
    <s v="No"/>
    <m/>
    <s v="Yes"/>
    <s v="C"/>
    <m/>
    <m/>
    <s v="FP.IND.14"/>
    <m/>
    <s v="ICD-10 code is not specific to removal it is for surveillance, but is the recommended code for Implant removal. "/>
    <m/>
    <m/>
    <m/>
    <m/>
    <x v="3"/>
    <x v="0"/>
    <m/>
    <m/>
    <m/>
    <x v="2"/>
    <s v="JS"/>
    <m/>
    <m/>
    <m/>
    <s v="       Implant removal"/>
    <s v="Same"/>
    <m/>
    <x v="1"/>
    <e v="#NAME?"/>
    <m/>
    <x v="0"/>
    <m/>
    <m/>
    <s v="x"/>
    <s v="Z30.46"/>
    <m/>
    <m/>
    <m/>
    <m/>
    <m/>
    <m/>
    <m/>
    <m/>
    <m/>
    <m/>
    <m/>
    <m/>
    <m/>
    <m/>
    <m/>
    <m/>
    <x v="2"/>
    <n v="0"/>
    <x v="2"/>
    <x v="4"/>
    <n v="1"/>
    <s v=""/>
    <n v="1"/>
    <n v="1"/>
    <n v="1"/>
    <n v="0"/>
    <n v="0"/>
  </r>
  <r>
    <n v="1370"/>
    <s v="       IUD Removal"/>
    <n v="1370"/>
    <e v="#NAME?"/>
    <s v="IUD Removal"/>
    <x v="1"/>
    <n v="18"/>
    <s v="Reason for family planning visit"/>
    <m/>
    <m/>
    <s v="FP.2. Counseling"/>
    <x v="3"/>
    <m/>
    <s v="2.1 Determine reason for visit"/>
    <m/>
    <s v="FP.DE.271"/>
    <m/>
    <m/>
    <s v="Visit for removal of an intrauterine device"/>
    <m/>
    <m/>
    <s v="IUD Removal"/>
    <m/>
    <s v="No"/>
    <m/>
    <s v="Yes"/>
    <s v="C"/>
    <m/>
    <m/>
    <s v="FP.IND.14"/>
    <m/>
    <m/>
    <m/>
    <m/>
    <m/>
    <m/>
    <x v="3"/>
    <x v="0"/>
    <m/>
    <m/>
    <m/>
    <x v="2"/>
    <s v="JS"/>
    <m/>
    <m/>
    <m/>
    <s v="       IUD Removal"/>
    <s v="Same"/>
    <m/>
    <x v="1"/>
    <e v="#NAME?"/>
    <m/>
    <x v="0"/>
    <m/>
    <m/>
    <s v="x"/>
    <s v="Z30.432"/>
    <m/>
    <m/>
    <m/>
    <m/>
    <m/>
    <m/>
    <m/>
    <m/>
    <m/>
    <m/>
    <m/>
    <m/>
    <m/>
    <m/>
    <m/>
    <m/>
    <x v="2"/>
    <n v="0"/>
    <x v="2"/>
    <x v="4"/>
    <n v="1"/>
    <s v=""/>
    <n v="1"/>
    <n v="1"/>
    <n v="1"/>
    <n v="0"/>
    <n v="0"/>
  </r>
  <r>
    <n v="1371"/>
    <s v="       Contraception Method switch"/>
    <n v="1371"/>
    <e v="#NAME?"/>
    <s v="Method switch"/>
    <x v="1"/>
    <n v="34"/>
    <s v="Reason for family planning visit"/>
    <m/>
    <m/>
    <s v="FP.2. Counseling"/>
    <x v="3"/>
    <m/>
    <s v="2.1 Determine reason for visit"/>
    <m/>
    <s v="FP.DE.242"/>
    <m/>
    <m/>
    <s v="Visit to change contraceptive methods"/>
    <m/>
    <m/>
    <s v="Method switch"/>
    <m/>
    <s v="No"/>
    <m/>
    <s v="Yes"/>
    <s v="C"/>
    <m/>
    <m/>
    <m/>
    <m/>
    <m/>
    <m/>
    <m/>
    <m/>
    <m/>
    <x v="3"/>
    <x v="0"/>
    <m/>
    <m/>
    <m/>
    <x v="2"/>
    <s v="JS"/>
    <m/>
    <m/>
    <m/>
    <s v="       Method switch"/>
    <s v="Changed"/>
    <m/>
    <x v="1"/>
    <e v="#NAME?"/>
    <m/>
    <x v="0"/>
    <m/>
    <m/>
    <s v="?"/>
    <m/>
    <m/>
    <s v="424016000"/>
    <m/>
    <m/>
    <m/>
    <m/>
    <s v="x"/>
    <s v="D003268- MSH code"/>
    <m/>
    <m/>
    <m/>
    <m/>
    <m/>
    <m/>
    <m/>
    <m/>
    <x v="2"/>
    <n v="0"/>
    <x v="2"/>
    <x v="4"/>
    <n v="1"/>
    <s v=""/>
    <n v="1"/>
    <n v="1"/>
    <n v="1"/>
    <n v="0"/>
    <n v="0"/>
  </r>
  <r>
    <n v="1372"/>
    <s v="Reason for stopping contraception method"/>
    <n v="1372"/>
    <s v="Reason for stopping method"/>
    <s v="Reason for stopping method"/>
    <x v="0"/>
    <n v="40"/>
    <s v=""/>
    <m/>
    <m/>
    <s v="FP.2. Counseling"/>
    <x v="3"/>
    <m/>
    <s v="2.1 Determine reason for visit"/>
    <m/>
    <s v="FP.DE.051"/>
    <s v="Reason for stopping method"/>
    <m/>
    <s v="If stopping a method, the reason why."/>
    <s v="Coding "/>
    <s v="Select all that apply"/>
    <m/>
    <m/>
    <s v="No"/>
    <m/>
    <s v="Yes"/>
    <s v="C"/>
    <s v="Include if Stopping use of a contraceptive method = TRUE"/>
    <m/>
    <m/>
    <m/>
    <m/>
    <m/>
    <m/>
    <m/>
    <m/>
    <x v="17"/>
    <x v="2"/>
    <s v="FHIR"/>
    <s v="4.0.1"/>
    <m/>
    <x v="5"/>
    <s v="JS, JA"/>
    <s v="http://hl7.org/fhir/who-int/core/ImplementationGuide/core/ValueSet/nobirthcontrolmethods-values"/>
    <s v="Extensible"/>
    <m/>
    <s v="Reason for stopping contraception method"/>
    <s v="Same"/>
    <m/>
    <x v="1"/>
    <s v="&quot;Reason for stopping method&quot;-&gt;&quot;Reason for stopping contraception method&quot;"/>
    <m/>
    <x v="0"/>
    <m/>
    <m/>
    <s v="check my comments with Nat"/>
    <m/>
    <m/>
    <m/>
    <s v="LL4579-0"/>
    <m/>
    <m/>
    <m/>
    <m/>
    <s v="Terry: assume this means reson for no borth control use at exist.. need to confirm"/>
    <m/>
    <m/>
    <m/>
    <m/>
    <m/>
    <m/>
    <m/>
    <m/>
    <x v="5"/>
    <s v=""/>
    <x v="6"/>
    <x v="5"/>
    <n v="1"/>
    <n v="1"/>
    <n v="1"/>
    <n v="1"/>
    <n v="1"/>
    <n v="0"/>
    <n v="0"/>
  </r>
  <r>
    <n v="1845"/>
    <s v="Other (specify) - Reason for stopping method"/>
    <n v="1845"/>
    <s v="Other (specify)"/>
    <s v="Other (specify)"/>
    <x v="0"/>
    <n v="44"/>
    <s v=""/>
    <m/>
    <m/>
    <s v="FP.2. Counseling"/>
    <x v="3"/>
    <m/>
    <s v="2.1 Determine reason for visit"/>
    <m/>
    <s v="FP.DE.107"/>
    <s v="Other (specify)"/>
    <m/>
    <s v="Write in other observations not included in the list"/>
    <s v="Text"/>
    <m/>
    <m/>
    <m/>
    <s v="No"/>
    <m/>
    <s v="Yes"/>
    <s v="C"/>
    <s v="Include if Reason for stopping method = Other"/>
    <m/>
    <m/>
    <m/>
    <m/>
    <m/>
    <m/>
    <m/>
    <s v=""/>
    <x v="17"/>
    <x v="6"/>
    <s v="FHIR"/>
    <s v="4.0.1"/>
    <s v=""/>
    <x v="5"/>
    <s v="JA"/>
    <m/>
    <m/>
    <m/>
    <m/>
    <s v=""/>
    <m/>
    <x v="1"/>
    <s v="&quot;Other (specify)&quot;-&gt;&quot;Other (specify) - Reason for stopping method&quot;"/>
    <m/>
    <x v="0"/>
    <m/>
    <s v=""/>
    <s v=""/>
    <m/>
    <s v=""/>
    <m/>
    <m/>
    <m/>
    <s v="No terminology code required"/>
    <s v=""/>
    <m/>
    <s v=""/>
    <s v=""/>
    <s v=""/>
    <s v=""/>
    <s v=""/>
    <s v=""/>
    <m/>
    <m/>
    <m/>
    <x v="5"/>
    <s v=""/>
    <x v="6"/>
    <x v="5"/>
    <n v="1"/>
    <n v="0"/>
    <n v="1"/>
    <n v="1"/>
    <n v="1"/>
    <n v="0"/>
    <n v="0"/>
  </r>
  <r>
    <n v="1846"/>
    <s v="Pregnancy intention"/>
    <n v="1846"/>
    <s v="Pregnancy intention"/>
    <s v="Pregnancy intention"/>
    <x v="0"/>
    <n v="19"/>
    <s v=""/>
    <m/>
    <m/>
    <s v="FP.2. Counseling"/>
    <x v="3"/>
    <m/>
    <s v="2.1 Determine reason for visit"/>
    <m/>
    <s v="FP.DE.108"/>
    <s v="Pregnancy intention"/>
    <m/>
    <s v="Client's intention or desire in the next year to either become pregnant or prevent a future pregnancy. "/>
    <s v="Coding "/>
    <s v="Select one"/>
    <m/>
    <m/>
    <s v="No"/>
    <m/>
    <s v="Yes"/>
    <s v="O"/>
    <m/>
    <m/>
    <m/>
    <m/>
    <s v="Input options taken from LOINC value set. "/>
    <m/>
    <m/>
    <m/>
    <s v=""/>
    <x v="17"/>
    <x v="2"/>
    <s v="FHIR"/>
    <s v="4.0.1"/>
    <s v=""/>
    <x v="6"/>
    <s v="JS"/>
    <m/>
    <m/>
    <m/>
    <m/>
    <s v=""/>
    <m/>
    <x v="1"/>
    <s v=""/>
    <m/>
    <x v="0"/>
    <m/>
    <s v=""/>
    <s v="x; intention for next year"/>
    <m/>
    <s v=""/>
    <m/>
    <s v="86645-9"/>
    <m/>
    <s v=""/>
    <s v=""/>
    <m/>
    <s v="Observation resource? See IPS Pregnancy resource for suggestion. Might extend IPS Pregnancy Status value set?"/>
    <s v=""/>
    <s v=""/>
    <s v=""/>
    <s v=""/>
    <s v=""/>
    <m/>
    <m/>
    <m/>
    <x v="5"/>
    <s v=""/>
    <x v="6"/>
    <x v="6"/>
    <n v="1"/>
    <n v="1"/>
    <n v="1"/>
    <n v="1"/>
    <n v="1"/>
    <n v="0"/>
    <n v="0"/>
  </r>
  <r>
    <n v="1847"/>
    <s v="       Yes, I want to become pregnant    "/>
    <n v="1847"/>
    <e v="#NAME?"/>
    <s v="Yes, I want to become pregnant    "/>
    <x v="1"/>
    <n v="41"/>
    <s v="Pregnancy intention"/>
    <m/>
    <m/>
    <s v="FP.2. Counseling"/>
    <x v="3"/>
    <m/>
    <s v="2.1 Determine reason for visit"/>
    <m/>
    <s v="FP.DE.109"/>
    <m/>
    <m/>
    <m/>
    <m/>
    <m/>
    <s v="Yes, I want to become pregnant    "/>
    <m/>
    <s v="No"/>
    <m/>
    <s v="Yes"/>
    <s v="O"/>
    <m/>
    <m/>
    <m/>
    <m/>
    <m/>
    <m/>
    <m/>
    <m/>
    <s v=""/>
    <x v="3"/>
    <x v="1"/>
    <m/>
    <s v=""/>
    <s v=""/>
    <x v="2"/>
    <s v="JS"/>
    <m/>
    <m/>
    <m/>
    <m/>
    <s v=""/>
    <m/>
    <x v="1"/>
    <e v="#NAME?"/>
    <m/>
    <x v="0"/>
    <m/>
    <s v=""/>
    <s v="x; intention for next year"/>
    <m/>
    <s v=""/>
    <m/>
    <s v="LA28438-4"/>
    <m/>
    <s v=""/>
    <s v=""/>
    <m/>
    <s v=""/>
    <s v=""/>
    <s v=""/>
    <s v=""/>
    <s v=""/>
    <s v=""/>
    <m/>
    <m/>
    <m/>
    <x v="2"/>
    <n v="0"/>
    <x v="2"/>
    <x v="6"/>
    <n v="1"/>
    <s v=""/>
    <n v="1"/>
    <n v="1"/>
    <n v="1"/>
    <n v="0"/>
    <n v="0"/>
  </r>
  <r>
    <n v="1848"/>
    <s v="       I'm OK either way    "/>
    <n v="1848"/>
    <e v="#NAME?"/>
    <s v="I'm OK either way    "/>
    <x v="1"/>
    <n v="28"/>
    <s v="Pregnancy intention"/>
    <m/>
    <m/>
    <s v="FP.2. Counseling"/>
    <x v="3"/>
    <m/>
    <s v="2.1 Determine reason for visit"/>
    <m/>
    <s v="FP.DE.110"/>
    <m/>
    <m/>
    <m/>
    <m/>
    <m/>
    <s v="I'm OK either way    "/>
    <m/>
    <s v="No"/>
    <m/>
    <s v="Yes"/>
    <s v="O"/>
    <m/>
    <m/>
    <m/>
    <m/>
    <m/>
    <m/>
    <m/>
    <m/>
    <s v=""/>
    <x v="3"/>
    <x v="1"/>
    <m/>
    <s v=""/>
    <s v=""/>
    <x v="2"/>
    <s v="JS"/>
    <m/>
    <m/>
    <m/>
    <m/>
    <s v=""/>
    <m/>
    <x v="1"/>
    <e v="#NAME?"/>
    <m/>
    <x v="0"/>
    <m/>
    <s v=""/>
    <s v="x; intention for next year"/>
    <m/>
    <s v=""/>
    <m/>
    <s v="LA26439-2"/>
    <m/>
    <s v=""/>
    <s v=""/>
    <m/>
    <s v=""/>
    <s v=""/>
    <s v=""/>
    <s v=""/>
    <s v=""/>
    <s v=""/>
    <m/>
    <m/>
    <m/>
    <x v="2"/>
    <n v="0"/>
    <x v="2"/>
    <x v="6"/>
    <n v="1"/>
    <s v=""/>
    <n v="1"/>
    <n v="1"/>
    <n v="1"/>
    <n v="0"/>
    <n v="0"/>
  </r>
  <r>
    <n v="1849"/>
    <s v="       No, I don't want to become pregnant    "/>
    <n v="1849"/>
    <e v="#NAME?"/>
    <s v="No, I don't want to become pregnant    "/>
    <x v="1"/>
    <n v="46"/>
    <s v="Pregnancy intention"/>
    <m/>
    <m/>
    <s v="FP.2. Counseling"/>
    <x v="3"/>
    <m/>
    <s v="2.1 Determine reason for visit"/>
    <m/>
    <s v="FP.DE.111"/>
    <m/>
    <m/>
    <m/>
    <m/>
    <m/>
    <s v="No, I don't want to become pregnant    "/>
    <m/>
    <s v="No"/>
    <m/>
    <s v="Yes"/>
    <s v="O"/>
    <m/>
    <m/>
    <m/>
    <m/>
    <m/>
    <m/>
    <m/>
    <m/>
    <s v=""/>
    <x v="3"/>
    <x v="1"/>
    <m/>
    <s v=""/>
    <s v=""/>
    <x v="2"/>
    <s v="JS"/>
    <m/>
    <m/>
    <m/>
    <m/>
    <s v=""/>
    <m/>
    <x v="1"/>
    <e v="#NAME?"/>
    <m/>
    <x v="0"/>
    <m/>
    <s v=""/>
    <s v="x; intention for next year"/>
    <m/>
    <s v=""/>
    <m/>
    <s v="LA26440-0"/>
    <m/>
    <s v=""/>
    <s v=""/>
    <m/>
    <s v=""/>
    <s v=""/>
    <s v=""/>
    <s v=""/>
    <s v=""/>
    <s v=""/>
    <m/>
    <m/>
    <m/>
    <x v="2"/>
    <n v="0"/>
    <x v="2"/>
    <x v="6"/>
    <n v="1"/>
    <s v=""/>
    <n v="1"/>
    <n v="1"/>
    <n v="1"/>
    <n v="0"/>
    <n v="0"/>
  </r>
  <r>
    <n v="1850"/>
    <s v="       Unsure    "/>
    <n v="1850"/>
    <e v="#NAME?"/>
    <s v="Unsure    "/>
    <x v="1"/>
    <n v="17"/>
    <s v="Pregnancy intention"/>
    <m/>
    <m/>
    <s v="FP.2. Counseling"/>
    <x v="3"/>
    <m/>
    <s v="2.1 Determine reason for visit"/>
    <m/>
    <s v="FP.DE.112"/>
    <m/>
    <m/>
    <m/>
    <m/>
    <m/>
    <s v="Unsure    "/>
    <m/>
    <s v="No"/>
    <m/>
    <s v="Yes"/>
    <s v="O"/>
    <m/>
    <m/>
    <m/>
    <m/>
    <m/>
    <m/>
    <m/>
    <m/>
    <s v=""/>
    <x v="3"/>
    <x v="1"/>
    <m/>
    <s v=""/>
    <s v=""/>
    <x v="2"/>
    <s v="JS"/>
    <m/>
    <m/>
    <m/>
    <m/>
    <s v=""/>
    <m/>
    <x v="1"/>
    <e v="#NAME?"/>
    <m/>
    <x v="0"/>
    <m/>
    <s v=""/>
    <s v="x"/>
    <m/>
    <s v=""/>
    <m/>
    <s v="LA14072-5"/>
    <m/>
    <s v=""/>
    <s v=""/>
    <m/>
    <s v=""/>
    <s v=""/>
    <s v=""/>
    <s v=""/>
    <s v=""/>
    <s v=""/>
    <m/>
    <m/>
    <m/>
    <x v="2"/>
    <n v="0"/>
    <x v="2"/>
    <x v="6"/>
    <n v="1"/>
    <s v=""/>
    <n v="1"/>
    <n v="1"/>
    <n v="1"/>
    <n v="0"/>
    <n v="0"/>
  </r>
  <r>
    <n v="1263"/>
    <s v="Body height"/>
    <n v="1263"/>
    <s v="Body height"/>
    <s v="Body height"/>
    <x v="0"/>
    <n v="11"/>
    <s v=""/>
    <m/>
    <m/>
    <s v="FP.2. Counseling"/>
    <x v="4"/>
    <m/>
    <s v="2.2 Take vital signs"/>
    <m/>
    <s v="FP.DE.019"/>
    <s v="Body height"/>
    <m/>
    <s v="The client's height in centimetres."/>
    <s v="Decimal"/>
    <m/>
    <m/>
    <m/>
    <m/>
    <s v="&gt;= 50 and &lt;= 250"/>
    <s v="Yes"/>
    <s v="O"/>
    <s v="Skip if Body height is not null"/>
    <m/>
    <m/>
    <m/>
    <m/>
    <m/>
    <m/>
    <m/>
    <m/>
    <x v="17"/>
    <x v="7"/>
    <s v="http://hl7.org/fhir/StructureDefinition/bodyheight"/>
    <s v="4.0.1"/>
    <s v="Observation.category= 'Vital Signs'"/>
    <x v="7"/>
    <s v="JS"/>
    <m/>
    <m/>
    <s v="cm"/>
    <s v="Body height"/>
    <s v="Same"/>
    <m/>
    <x v="0"/>
    <s v=""/>
    <s v="Ready for testing"/>
    <x v="0"/>
    <m/>
    <m/>
    <s v="x"/>
    <m/>
    <m/>
    <s v="50373000"/>
    <s v="8302-2"/>
    <m/>
    <m/>
    <m/>
    <m/>
    <m/>
    <m/>
    <n v="5090"/>
    <m/>
    <s v="Concept - Height (cm)"/>
    <s v="5090AAAAAAAAAAAAAAAAAAAAAAAAAAAAAAAA"/>
    <m/>
    <m/>
    <m/>
    <x v="5"/>
    <s v=""/>
    <x v="6"/>
    <x v="7"/>
    <n v="1"/>
    <n v="0"/>
    <n v="1"/>
    <n v="1"/>
    <n v="1"/>
    <n v="0"/>
    <n v="0"/>
  </r>
  <r>
    <n v="1264"/>
    <s v="Body weight"/>
    <n v="1264"/>
    <s v="Body weight"/>
    <s v="Body weight"/>
    <x v="0"/>
    <n v="11"/>
    <s v=""/>
    <m/>
    <m/>
    <s v="FP.2. Counseling"/>
    <x v="4"/>
    <m/>
    <s v="2.2 Take vital signs"/>
    <m/>
    <s v="FP.DE.020"/>
    <s v="Body weight"/>
    <m/>
    <s v="The client's current weight in kilograms."/>
    <s v="Decimal"/>
    <m/>
    <m/>
    <m/>
    <m/>
    <s v="&gt;= 30 and &lt;= 400"/>
    <s v="Yes"/>
    <s v="O"/>
    <m/>
    <m/>
    <m/>
    <m/>
    <s v="kg"/>
    <m/>
    <m/>
    <m/>
    <m/>
    <x v="17"/>
    <x v="7"/>
    <s v="http://hl7.org/fhir/StructureDefinition/bodyweight"/>
    <s v="4.0.1"/>
    <s v="Observation.category= 'Vital Signs'"/>
    <x v="8"/>
    <s v="JS"/>
    <m/>
    <m/>
    <s v="kg"/>
    <s v="Body weight"/>
    <s v="Same"/>
    <m/>
    <x v="0"/>
    <s v=""/>
    <s v="Ready for testing"/>
    <x v="0"/>
    <m/>
    <m/>
    <s v="x_x000a_"/>
    <m/>
    <m/>
    <s v="27113001"/>
    <s v="29463-7"/>
    <m/>
    <m/>
    <m/>
    <m/>
    <m/>
    <m/>
    <n v="5089"/>
    <m/>
    <m/>
    <m/>
    <m/>
    <m/>
    <m/>
    <x v="5"/>
    <s v=""/>
    <x v="6"/>
    <x v="8"/>
    <n v="1"/>
    <n v="0"/>
    <n v="1"/>
    <n v="1"/>
    <n v="1"/>
    <n v="0"/>
    <n v="0"/>
  </r>
  <r>
    <n v="1851"/>
    <s v="Number of births"/>
    <n v="1851"/>
    <s v="Number of births"/>
    <s v="Number of births"/>
    <x v="0"/>
    <n v="16"/>
    <s v=""/>
    <m/>
    <m/>
    <s v="FP.2. Counseling, ST.2 Consultation"/>
    <x v="5"/>
    <m/>
    <s v="2.3 Capture or update client history"/>
    <m/>
    <s v="FP.DE.024"/>
    <s v="Number of births"/>
    <m/>
    <s v="The number of pregnancies reaching parity."/>
    <s v="Integer"/>
    <m/>
    <m/>
    <m/>
    <m/>
    <m/>
    <s v="Yes"/>
    <s v="FP = C. ST = O"/>
    <s v="Skip if Gender = Male, used by MEC logic"/>
    <m/>
    <m/>
    <m/>
    <m/>
    <m/>
    <m/>
    <m/>
    <s v=""/>
    <x v="17"/>
    <x v="3"/>
    <s v="FHIR"/>
    <s v="4.0.1"/>
    <s v=""/>
    <x v="9"/>
    <s v="JS"/>
    <m/>
    <m/>
    <m/>
    <m/>
    <s v=""/>
    <m/>
    <x v="0"/>
    <s v=""/>
    <m/>
    <x v="0"/>
    <m/>
    <s v=""/>
    <s v=""/>
    <m/>
    <s v=""/>
    <s v="118212000"/>
    <s v="11640-0"/>
    <m/>
    <s v=""/>
    <s v="parity SNOMED; number of births. total LOINC"/>
    <m/>
    <s v=""/>
    <s v=""/>
    <s v=""/>
    <s v=""/>
    <s v=""/>
    <s v=""/>
    <m/>
    <m/>
    <m/>
    <x v="5"/>
    <s v=""/>
    <x v="6"/>
    <x v="9"/>
    <n v="1"/>
    <n v="0"/>
    <n v="1"/>
    <n v="1"/>
    <n v="1"/>
    <n v="0"/>
    <n v="0"/>
  </r>
  <r>
    <n v="1268"/>
    <s v="Number of pregnancies"/>
    <n v="1268"/>
    <s v="Number of pregnancies"/>
    <s v="Number of pregnancies"/>
    <x v="0"/>
    <n v="21"/>
    <s v=""/>
    <m/>
    <m/>
    <s v="FP.2. Counseling"/>
    <x v="6"/>
    <m/>
    <s v="2.3 Capture or update client history"/>
    <m/>
    <s v="FP.DE.025"/>
    <s v="Number of pregnancies"/>
    <m/>
    <s v="The number of pregnancies (gravidity), current and past, regardless of pregnancy outcome."/>
    <s v="Integer"/>
    <m/>
    <m/>
    <m/>
    <s v="&gt;=0"/>
    <m/>
    <s v="Yes"/>
    <s v="FP = C, ST = O"/>
    <s v="Skip if Gender = Male, used by MEC logic"/>
    <m/>
    <m/>
    <m/>
    <m/>
    <m/>
    <m/>
    <m/>
    <m/>
    <x v="17"/>
    <x v="3"/>
    <s v="FHIR"/>
    <s v="4.0.1"/>
    <m/>
    <x v="10"/>
    <s v="JS"/>
    <m/>
    <m/>
    <m/>
    <s v="Number of pregnancies"/>
    <s v="Same"/>
    <m/>
    <x v="0"/>
    <s v=""/>
    <s v="Ready for testing"/>
    <x v="0"/>
    <m/>
    <m/>
    <s v="x"/>
    <m/>
    <m/>
    <m/>
    <s v="11996-6"/>
    <m/>
    <m/>
    <m/>
    <m/>
    <m/>
    <m/>
    <m/>
    <m/>
    <m/>
    <m/>
    <m/>
    <m/>
    <m/>
    <x v="5"/>
    <s v=""/>
    <x v="6"/>
    <x v="10"/>
    <n v="1"/>
    <n v="0"/>
    <n v="1"/>
    <n v="1"/>
    <n v="1"/>
    <n v="0"/>
    <n v="0"/>
  </r>
  <r>
    <n v="1282"/>
    <s v="Ever had sex - Reported"/>
    <n v="1282"/>
    <s v="Ever had sex - Reported"/>
    <s v="Ever had sex - Reported"/>
    <x v="0"/>
    <n v="23"/>
    <s v=""/>
    <m/>
    <m/>
    <s v="FP.2. Counseling"/>
    <x v="7"/>
    <m/>
    <s v="2.3 Capture or update client history"/>
    <m/>
    <s v="FP.DE.378"/>
    <s v="Ever had sex - Reported"/>
    <m/>
    <s v="If the client has been sexually active"/>
    <s v="Boolean"/>
    <m/>
    <s v="True/False"/>
    <m/>
    <s v="No"/>
    <m/>
    <s v="Yes"/>
    <s v="O"/>
    <m/>
    <m/>
    <m/>
    <m/>
    <s v="SNOMED - never had sex: 267068004"/>
    <m/>
    <m/>
    <m/>
    <m/>
    <x v="17"/>
    <x v="4"/>
    <s v="FHIR"/>
    <s v="4.0.1"/>
    <m/>
    <x v="11"/>
    <s v="JS"/>
    <m/>
    <m/>
    <m/>
    <s v="Ever had sex - Reported"/>
    <s v="Same"/>
    <m/>
    <x v="0"/>
    <s v=""/>
    <s v="Ready for testing"/>
    <x v="0"/>
    <m/>
    <m/>
    <s v="x"/>
    <m/>
    <m/>
    <s v="68732003"/>
    <m/>
    <m/>
    <m/>
    <m/>
    <m/>
    <s v="Potential Modeling Change: This could have answers along with the question. The answers could be the LOINC or the SNOMED answers. SNOMED 68732003 = Non-virginal, 309842008 = Virgin; LOINC: 86646-7"/>
    <m/>
    <m/>
    <m/>
    <m/>
    <m/>
    <m/>
    <m/>
    <m/>
    <x v="5"/>
    <s v=""/>
    <x v="6"/>
    <x v="11"/>
    <n v="1"/>
    <n v="0"/>
    <n v="1"/>
    <n v="1"/>
    <n v="1"/>
    <n v="0"/>
    <n v="0"/>
  </r>
  <r>
    <n v="1283"/>
    <s v="Date of last sexual intercourse"/>
    <n v="1283"/>
    <s v="Date of last sexual intercourse"/>
    <s v="Date of last sexual intercourse"/>
    <x v="0"/>
    <n v="31"/>
    <s v=""/>
    <m/>
    <m/>
    <s v="FP.2. Counseling"/>
    <x v="7"/>
    <m/>
    <s v="2.3 Capture or update client history"/>
    <m/>
    <s v="FP.DE.380"/>
    <s v="Date of last sexual intercourse"/>
    <m/>
    <s v="When the client last had sexual intercourse."/>
    <s v="Date"/>
    <m/>
    <m/>
    <m/>
    <s v="Yes"/>
    <s v="Date &lt;=Current Date"/>
    <s v="Yes"/>
    <s v="C"/>
    <s v="If Pregnancy status = unknown, needed for DSL Pregnancy checklist_x000a_"/>
    <m/>
    <m/>
    <m/>
    <m/>
    <m/>
    <m/>
    <m/>
    <m/>
    <x v="17"/>
    <x v="8"/>
    <s v="FHIR"/>
    <s v="4.0.1"/>
    <m/>
    <x v="2"/>
    <s v="NA"/>
    <m/>
    <m/>
    <m/>
    <s v="Date of last sexual intercourse"/>
    <s v="Same"/>
    <m/>
    <x v="0"/>
    <s v=""/>
    <s v="Ready for testing"/>
    <x v="2"/>
    <m/>
    <m/>
    <s v="doesnt exist; could combine something like sexually active with last date"/>
    <m/>
    <m/>
    <s v="449331006"/>
    <m/>
    <m/>
    <m/>
    <m/>
    <m/>
    <m/>
    <m/>
    <m/>
    <m/>
    <m/>
    <m/>
    <m/>
    <m/>
    <m/>
    <x v="2"/>
    <s v=""/>
    <x v="3"/>
    <x v="12"/>
    <n v="1"/>
    <n v="0"/>
    <n v="1"/>
    <n v="1"/>
    <n v="1"/>
    <n v="0"/>
    <n v="0"/>
  </r>
  <r>
    <n v="1284"/>
    <s v="Never used contraception"/>
    <n v="1284"/>
    <s v="Never used contraception"/>
    <s v="Never used contraception"/>
    <x v="0"/>
    <n v="24"/>
    <s v=""/>
    <m/>
    <m/>
    <s v="FP.2. Counseling, ST.2 Consultation"/>
    <x v="8"/>
    <m/>
    <s v="2.3 Capture or update client history"/>
    <s v="ST.DE.304"/>
    <s v="FP.DE.028"/>
    <s v="Never used contraception"/>
    <m/>
    <s v="If the client has never previously used any modern method of contraception."/>
    <s v="Boolean"/>
    <m/>
    <s v="True/False"/>
    <m/>
    <s v="No"/>
    <m/>
    <s v="Yes"/>
    <s v="FP = R, STI = O"/>
    <m/>
    <m/>
    <m/>
    <s v="FP.IND.01"/>
    <s v="Required to support multiple indicators which use this data."/>
    <m/>
    <m/>
    <m/>
    <m/>
    <x v="17"/>
    <x v="4"/>
    <s v="FHIR"/>
    <s v="4.0.1"/>
    <m/>
    <x v="12"/>
    <s v="JS"/>
    <m/>
    <m/>
    <m/>
    <s v="Never used contraception"/>
    <s v="Same"/>
    <m/>
    <x v="0"/>
    <s v=""/>
    <s v="Ready for testing"/>
    <x v="0"/>
    <m/>
    <m/>
    <s v="x"/>
    <m/>
    <m/>
    <s v="473387004"/>
    <m/>
    <m/>
    <m/>
    <m/>
    <m/>
    <m/>
    <m/>
    <m/>
    <m/>
    <m/>
    <m/>
    <m/>
    <m/>
    <m/>
    <x v="5"/>
    <s v=""/>
    <x v="6"/>
    <x v="13"/>
    <n v="1"/>
    <n v="0"/>
    <n v="1"/>
    <n v="1"/>
    <n v="1"/>
    <n v="0"/>
    <n v="0"/>
  </r>
  <r>
    <n v="1286"/>
    <s v="Device-based Birth control method reported at intake"/>
    <n v="1286"/>
    <s v="Method at intake"/>
    <s v="Method at intake"/>
    <x v="0"/>
    <n v="52"/>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18"/>
    <x v="0"/>
    <s v="FHIR"/>
    <s v="4.0.1"/>
    <m/>
    <x v="13"/>
    <s v="JS, JA"/>
    <s v="DeviceBirthControlMethods"/>
    <m/>
    <m/>
    <s v="Birth control method reported at intake"/>
    <s v="Changed"/>
    <m/>
    <x v="0"/>
    <s v="&quot;Method at intake&quot;-&gt;&quot;Device-based Birth control method reported at intake&quot;"/>
    <s v="Ready for testing"/>
    <x v="0"/>
    <m/>
    <m/>
    <s v="Done (called contraception method in LOINC) "/>
    <m/>
    <m/>
    <m/>
    <s v="86649-1_x000a_"/>
    <m/>
    <m/>
    <m/>
    <m/>
    <m/>
    <m/>
    <m/>
    <m/>
    <m/>
    <m/>
    <m/>
    <m/>
    <m/>
    <x v="6"/>
    <s v=""/>
    <x v="7"/>
    <x v="14"/>
    <n v="1"/>
    <n v="1"/>
    <n v="1"/>
    <n v="1"/>
    <n v="1"/>
    <n v="0"/>
    <n v="0"/>
  </r>
  <r>
    <n v="1287"/>
    <s v="       No Device-based method"/>
    <n v="1287"/>
    <e v="#NAME?"/>
    <s v="No method"/>
    <x v="1"/>
    <n v="29"/>
    <s v="Device-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DeviceBirthControlMethods"/>
    <m/>
    <m/>
    <s v="       No method"/>
    <s v="Changed"/>
    <m/>
    <x v="0"/>
    <e v="#NAME?"/>
    <s v="Ready for testing"/>
    <x v="0"/>
    <m/>
    <m/>
    <s v="Done"/>
    <m/>
    <m/>
    <s v="169450001"/>
    <m/>
    <m/>
    <m/>
    <m/>
    <m/>
    <m/>
    <m/>
    <m/>
    <m/>
    <m/>
    <m/>
    <m/>
    <m/>
    <m/>
    <x v="2"/>
    <n v="0"/>
    <x v="2"/>
    <x v="14"/>
    <n v="1"/>
    <s v=""/>
    <n v="1"/>
    <n v="1"/>
    <n v="1"/>
    <n v="0"/>
    <n v="0"/>
  </r>
  <r>
    <n v="1300"/>
    <s v="       Levonorgestrel IUD (LNG-IUD)"/>
    <n v="1300"/>
    <e v="#NAME?"/>
    <s v="Levonorgestrel IUD (LNG-IUD)"/>
    <x v="1"/>
    <n v="35"/>
    <s v="Device-based Birth control method reported at intake"/>
    <m/>
    <m/>
    <s v="FP.2. Counseling"/>
    <x v="8"/>
    <m/>
    <s v="2.3 Capture or update client history"/>
    <m/>
    <s v="FP.DE.394"/>
    <m/>
    <m/>
    <s v="Uses hormone releasing intrauterine device contraception"/>
    <m/>
    <m/>
    <s v="Levonorgestrel IUD (LNG-IUD)"/>
    <m/>
    <s v="No"/>
    <m/>
    <s v="Yes"/>
    <s v="C"/>
    <s v="Skip if Gender = Male"/>
    <m/>
    <m/>
    <m/>
    <m/>
    <m/>
    <m/>
    <m/>
    <m/>
    <x v="3"/>
    <x v="0"/>
    <m/>
    <m/>
    <m/>
    <x v="2"/>
    <s v="JS"/>
    <s v="DeviceBirthControlMethods"/>
    <m/>
    <m/>
    <s v="       Levonorgestrel IUD (LNG-IUD)"/>
    <s v="Same"/>
    <m/>
    <x v="0"/>
    <e v="#NAME?"/>
    <s v="Ready for testing"/>
    <x v="0"/>
    <m/>
    <m/>
    <s v="Done"/>
    <m/>
    <m/>
    <s v="449038007"/>
    <s v="LA27902-8"/>
    <s v="3127785"/>
    <m/>
    <m/>
    <m/>
    <m/>
    <m/>
    <m/>
    <m/>
    <m/>
    <m/>
    <m/>
    <m/>
    <m/>
    <x v="2"/>
    <n v="0"/>
    <x v="2"/>
    <x v="14"/>
    <n v="1"/>
    <s v=""/>
    <n v="1"/>
    <n v="1"/>
    <n v="1"/>
    <n v="0"/>
    <n v="0"/>
  </r>
  <r>
    <n v="1301"/>
    <s v="       Copper-bearing intrauterine device (Cu-IUD)"/>
    <n v="1301"/>
    <e v="#NAME?"/>
    <s v="Copper-bearing intrauterine device (Cu-IUD)"/>
    <x v="1"/>
    <n v="50"/>
    <s v="Device-based Birth control method reported at intake"/>
    <m/>
    <m/>
    <s v="FP.2. Counseling"/>
    <x v="8"/>
    <m/>
    <s v="2.3 Capture or update client history"/>
    <m/>
    <s v="FP.DE.395"/>
    <m/>
    <m/>
    <s v="Has a copper intrauterine device contraception i"/>
    <m/>
    <m/>
    <s v="Copper-bearing intrauterine device (Cu-IUD)"/>
    <m/>
    <s v="No"/>
    <m/>
    <s v="Yes"/>
    <s v="C"/>
    <s v="Skip if Gender = Male"/>
    <m/>
    <m/>
    <m/>
    <m/>
    <m/>
    <m/>
    <m/>
    <m/>
    <x v="3"/>
    <x v="0"/>
    <m/>
    <m/>
    <m/>
    <x v="2"/>
    <s v="JS"/>
    <s v="DeviceBirthControlMethods"/>
    <m/>
    <m/>
    <s v="       Copper IUD (Cu-IUD)"/>
    <s v="Changed"/>
    <s v="no"/>
    <x v="0"/>
    <e v="#NAME?"/>
    <s v="Ready for testing"/>
    <x v="0"/>
    <m/>
    <m/>
    <s v="Done"/>
    <m/>
    <m/>
    <s v="448962006"/>
    <s v="LA27903-6"/>
    <m/>
    <m/>
    <m/>
    <m/>
    <m/>
    <m/>
    <m/>
    <m/>
    <m/>
    <m/>
    <m/>
    <m/>
    <m/>
    <x v="2"/>
    <n v="0"/>
    <x v="2"/>
    <x v="14"/>
    <n v="1"/>
    <s v=""/>
    <n v="1"/>
    <n v="1"/>
    <n v="1"/>
    <n v="0"/>
    <n v="0"/>
  </r>
  <r>
    <n v="1302"/>
    <s v="       Unspecified IUD"/>
    <n v="1302"/>
    <e v="#NAME?"/>
    <s v="Unspecified IUD"/>
    <x v="1"/>
    <n v="22"/>
    <s v="Device-based Birth control method reported at intake"/>
    <m/>
    <m/>
    <s v="FP.2. Counseling"/>
    <x v="8"/>
    <m/>
    <s v="2.3 Capture or update client history"/>
    <m/>
    <s v="FP.DE.396"/>
    <m/>
    <m/>
    <s v="Uses an unspecified intrauterine device contraception"/>
    <m/>
    <m/>
    <s v="Unspecified IUD"/>
    <m/>
    <s v="No"/>
    <m/>
    <s v="Yes"/>
    <s v="C"/>
    <s v="Skip if Gender = Male"/>
    <m/>
    <m/>
    <m/>
    <m/>
    <m/>
    <m/>
    <m/>
    <m/>
    <x v="3"/>
    <x v="0"/>
    <m/>
    <m/>
    <m/>
    <x v="2"/>
    <s v="JS"/>
    <s v="DeviceBirthControlMethods"/>
    <m/>
    <m/>
    <s v="       Unspecified IUD"/>
    <s v="Same"/>
    <m/>
    <x v="0"/>
    <e v="#NAME?"/>
    <s v="Ready for testing"/>
    <x v="0"/>
    <m/>
    <m/>
    <s v="Done"/>
    <m/>
    <m/>
    <s v="312081001"/>
    <s v="LA27904-4"/>
    <m/>
    <m/>
    <m/>
    <m/>
    <m/>
    <m/>
    <n v="5275"/>
    <m/>
    <m/>
    <s v="5275AAAAAAAAAAAAAAAAAAAAAAAAAAAAAAAA"/>
    <m/>
    <m/>
    <m/>
    <x v="2"/>
    <n v="0"/>
    <x v="2"/>
    <x v="14"/>
    <n v="1"/>
    <s v=""/>
    <n v="1"/>
    <n v="1"/>
    <n v="1"/>
    <n v="0"/>
    <n v="0"/>
  </r>
  <r>
    <n v="1297"/>
    <s v="       Implant"/>
    <n v="1297"/>
    <e v="#NAME?"/>
    <s v="Implant"/>
    <x v="1"/>
    <n v="14"/>
    <s v="Device-based Birth control method reported at intake"/>
    <m/>
    <m/>
    <s v="FP.2. Counseling"/>
    <x v="8"/>
    <m/>
    <s v="2.3 Capture or update client history"/>
    <m/>
    <s v="FP.DE.391"/>
    <m/>
    <s v="LNG-ETG"/>
    <s v="Has a subcutaneous implant"/>
    <m/>
    <m/>
    <s v="Implant"/>
    <m/>
    <s v="No"/>
    <m/>
    <s v="Yes"/>
    <s v="C"/>
    <s v="Skip if Gender = Male"/>
    <m/>
    <m/>
    <m/>
    <m/>
    <m/>
    <m/>
    <m/>
    <m/>
    <x v="3"/>
    <x v="0"/>
    <m/>
    <m/>
    <m/>
    <x v="2"/>
    <s v="JS"/>
    <s v="DeviceBirthControlMethods"/>
    <m/>
    <m/>
    <s v="       Implants"/>
    <s v="Changed"/>
    <m/>
    <x v="0"/>
    <e v="#NAME?"/>
    <s v="Ready for testing"/>
    <x v="0"/>
    <m/>
    <m/>
    <s v="Done"/>
    <m/>
    <m/>
    <s v="428987008"/>
    <s v="LA27901-0"/>
    <m/>
    <m/>
    <m/>
    <m/>
    <m/>
    <m/>
    <m/>
    <m/>
    <m/>
    <m/>
    <m/>
    <m/>
    <m/>
    <x v="2"/>
    <n v="0"/>
    <x v="2"/>
    <x v="14"/>
    <n v="1"/>
    <s v=""/>
    <n v="1"/>
    <n v="1"/>
    <n v="1"/>
    <n v="0"/>
    <n v="0"/>
  </r>
  <r>
    <n v="1852"/>
    <s v="       Etonogestrel (ETG) one-rod implant"/>
    <n v="1852"/>
    <e v="#NAME?"/>
    <s v="Etonogestrel (ETG) one-rod implant"/>
    <x v="1"/>
    <n v="41"/>
    <s v="Device-based Birth control method reported at intake"/>
    <m/>
    <m/>
    <s v="FP.2. Counseling"/>
    <x v="8"/>
    <m/>
    <s v="2.3 Capture or update client history"/>
    <m/>
    <s v="FP.DE.115"/>
    <m/>
    <s v="LNG-ETG"/>
    <s v="Has an ETG subcutaneous implant"/>
    <m/>
    <m/>
    <s v="Etonogestrel (ETG) one-rod implant"/>
    <m/>
    <s v="No"/>
    <m/>
    <s v="Yes"/>
    <s v="C"/>
    <s v="Skip if Gender = Male"/>
    <m/>
    <m/>
    <m/>
    <m/>
    <m/>
    <m/>
    <m/>
    <s v=""/>
    <x v="3"/>
    <x v="1"/>
    <m/>
    <s v=""/>
    <s v=""/>
    <x v="2"/>
    <s v="JS"/>
    <s v="DeviceBirthControlMethods"/>
    <m/>
    <m/>
    <m/>
    <s v=""/>
    <m/>
    <x v="0"/>
    <e v="#NAME?"/>
    <s v="Ready for testing"/>
    <x v="0"/>
    <m/>
    <s v=""/>
    <s v="x"/>
    <m/>
    <s v=""/>
    <s v="396050000"/>
    <m/>
    <s v="393401; 646249"/>
    <s v=""/>
    <s v=""/>
    <m/>
    <s v="C1306383, C1724739"/>
    <s v=""/>
    <s v=""/>
    <s v=""/>
    <s v=""/>
    <s v=""/>
    <m/>
    <m/>
    <m/>
    <x v="2"/>
    <n v="0"/>
    <x v="2"/>
    <x v="14"/>
    <n v="1"/>
    <s v=""/>
    <n v="1"/>
    <n v="1"/>
    <n v="1"/>
    <n v="0"/>
    <n v="0"/>
  </r>
  <r>
    <n v="1853"/>
    <s v="       Levonorgestrel (LNG) two-rod implant"/>
    <n v="1853"/>
    <e v="#NAME?"/>
    <s v="Levonorgestrel (LNG) two-rod implant"/>
    <x v="1"/>
    <n v="43"/>
    <s v="Device-based Birth control method reported at intake"/>
    <m/>
    <m/>
    <s v="FP.2. Counseling"/>
    <x v="8"/>
    <m/>
    <s v="2.3 Capture or update client history"/>
    <m/>
    <s v="FP.DE.116"/>
    <m/>
    <m/>
    <s v="Has an LNG subcutaneous implant"/>
    <m/>
    <m/>
    <s v="Levonorgestrel (LNG) two-rod implant"/>
    <m/>
    <m/>
    <m/>
    <m/>
    <m/>
    <m/>
    <m/>
    <m/>
    <m/>
    <m/>
    <m/>
    <m/>
    <m/>
    <s v=""/>
    <x v="3"/>
    <x v="1"/>
    <m/>
    <s v=""/>
    <s v=""/>
    <x v="2"/>
    <s v="JS"/>
    <s v="DeviceBirthControlMethods"/>
    <m/>
    <m/>
    <m/>
    <s v=""/>
    <m/>
    <x v="0"/>
    <e v="#NAME?"/>
    <s v="Ready for testing"/>
    <x v="0"/>
    <s v="http://who.int/cg/CodeSystem/extended-content"/>
    <s v="Levonorgestrel (LNG) two-rod implant"/>
    <s v="x"/>
    <m/>
    <s v=""/>
    <m/>
    <m/>
    <m/>
    <s v="No RXNorm code available"/>
    <s v=""/>
    <m/>
    <s v="C0497802"/>
    <s v=""/>
    <s v=""/>
    <s v=""/>
    <s v=""/>
    <s v=""/>
    <m/>
    <m/>
    <m/>
    <x v="2"/>
    <n v="0"/>
    <x v="2"/>
    <x v="14"/>
    <n v="1"/>
    <s v=""/>
    <n v="1"/>
    <n v="1"/>
    <n v="1"/>
    <n v="0"/>
    <n v="0"/>
  </r>
  <r>
    <n v="1854"/>
    <s v="       Combined contraceptive patch"/>
    <n v="1854"/>
    <e v="#NAME?"/>
    <s v="Combined contraceptive patch"/>
    <x v="1"/>
    <n v="35"/>
    <s v="Device-based Birth control method reported at intake"/>
    <m/>
    <m/>
    <s v="FP.2. Counseling"/>
    <x v="8"/>
    <m/>
    <s v="2.3 Capture or update client history"/>
    <m/>
    <s v="FP.DE.383"/>
    <m/>
    <s v="Contraceptive patch"/>
    <s v="Uses a transdermal combined contraceptive patch "/>
    <m/>
    <m/>
    <s v="Combined contraceptive patch"/>
    <m/>
    <s v="No"/>
    <m/>
    <s v="Yes"/>
    <s v="C"/>
    <s v="Skip if Gender = Male"/>
    <m/>
    <m/>
    <m/>
    <m/>
    <m/>
    <m/>
    <m/>
    <s v=""/>
    <x v="3"/>
    <x v="1"/>
    <m/>
    <s v=""/>
    <s v=""/>
    <x v="2"/>
    <s v="JS"/>
    <s v="DeviceBirthControlMethods"/>
    <m/>
    <m/>
    <m/>
    <s v=""/>
    <m/>
    <x v="0"/>
    <e v="#NAME?"/>
    <s v="Ready for testing"/>
    <x v="0"/>
    <m/>
    <s v=""/>
    <s v="x"/>
    <m/>
    <s v=""/>
    <s v="450881000124106"/>
    <s v="LA16581-3"/>
    <m/>
    <m/>
    <s v=""/>
    <m/>
    <s v="C2985284"/>
    <s v=""/>
    <s v=""/>
    <s v=""/>
    <s v=""/>
    <s v=""/>
    <m/>
    <m/>
    <m/>
    <x v="2"/>
    <n v="0"/>
    <x v="2"/>
    <x v="14"/>
    <n v="1"/>
    <s v=""/>
    <n v="1"/>
    <n v="1"/>
    <n v="1"/>
    <n v="0"/>
    <n v="0"/>
  </r>
  <r>
    <n v="1855"/>
    <s v="       Combined contraceptive vaginal ring (CVR)"/>
    <n v="1855"/>
    <e v="#NAME?"/>
    <s v="Combined contraceptive vaginal ring (CVR)"/>
    <x v="1"/>
    <n v="48"/>
    <s v="Device-based Birth control method reported at intake"/>
    <m/>
    <m/>
    <s v="FP.2. Counseling"/>
    <x v="8"/>
    <m/>
    <s v="2.3 Capture or update client history"/>
    <m/>
    <s v="FP.DE.384"/>
    <m/>
    <s v="Contraceptive ring"/>
    <s v="Uses a combrined contraceptive vaginal ring"/>
    <m/>
    <m/>
    <s v="Combined contraceptive vaginal ring (CVR)"/>
    <m/>
    <s v="No"/>
    <m/>
    <s v="Yes"/>
    <s v="C"/>
    <s v="Skip if Gender = Male"/>
    <m/>
    <m/>
    <m/>
    <m/>
    <m/>
    <m/>
    <m/>
    <s v=""/>
    <x v="3"/>
    <x v="1"/>
    <m/>
    <s v=""/>
    <s v=""/>
    <x v="2"/>
    <s v="JS"/>
    <s v="DeviceBirthControlMethods"/>
    <m/>
    <m/>
    <m/>
    <s v=""/>
    <m/>
    <x v="0"/>
    <e v="#NAME?"/>
    <m/>
    <x v="0"/>
    <m/>
    <s v=""/>
    <s v="?"/>
    <m/>
    <s v=""/>
    <s v="702680002"/>
    <s v="LA14546-8"/>
    <s v="710529"/>
    <s v=""/>
    <s v="surveillance of. ring (SNOMED). ; LOINC NuvaRing; RXNORM NuvaRing"/>
    <m/>
    <s v="From new DD:_x000a_●A flexible ring that a woman places in her vagina._x000a_●Continuously releases 2 hormones—a progestin and an estrogen, like the natural hormones progesterone and estrogen in a woman’s body—from inside the ring. Hormones are absorbed through the w"/>
    <s v=""/>
    <s v=""/>
    <s v=""/>
    <s v=""/>
    <s v=""/>
    <m/>
    <m/>
    <m/>
    <x v="2"/>
    <n v="0"/>
    <x v="2"/>
    <x v="14"/>
    <n v="1"/>
    <s v=""/>
    <n v="1"/>
    <n v="1"/>
    <n v="1"/>
    <n v="0"/>
    <n v="0"/>
  </r>
  <r>
    <n v="1856"/>
    <s v="       Progesterone-releasing vaginal ring (PVR)"/>
    <n v="1856"/>
    <e v="#NAME?"/>
    <s v="Progesterone-releasing vaginal ring (PVR)"/>
    <x v="1"/>
    <n v="48"/>
    <s v="Device-based Birth control method reported at intake"/>
    <m/>
    <m/>
    <s v="FP.2. Counseling"/>
    <x v="8"/>
    <m/>
    <s v="2.3 Capture or update client history"/>
    <m/>
    <s v="FP.DE.114"/>
    <m/>
    <m/>
    <s v="Uses a progesterone-releasing vaginal ring"/>
    <m/>
    <m/>
    <s v="Progesterone-releasing vaginal ring (PVR)"/>
    <m/>
    <m/>
    <m/>
    <m/>
    <m/>
    <m/>
    <m/>
    <m/>
    <m/>
    <m/>
    <m/>
    <m/>
    <m/>
    <s v=""/>
    <x v="3"/>
    <x v="1"/>
    <m/>
    <s v=""/>
    <s v=""/>
    <x v="2"/>
    <s v="JS"/>
    <s v="DeviceBirthControlMethods"/>
    <m/>
    <m/>
    <m/>
    <s v=""/>
    <m/>
    <x v="0"/>
    <e v="#NAME?"/>
    <s v="Ready for testing"/>
    <x v="0"/>
    <m/>
    <s v=""/>
    <s v="x"/>
    <m/>
    <s v=""/>
    <m/>
    <m/>
    <s v="2109022"/>
    <s v=""/>
    <s v=""/>
    <m/>
    <s v="C4759125, C2981233, 2109022"/>
    <s v=""/>
    <s v=""/>
    <s v=""/>
    <s v=""/>
    <s v=""/>
    <m/>
    <m/>
    <m/>
    <x v="2"/>
    <n v="0"/>
    <x v="2"/>
    <x v="14"/>
    <n v="1"/>
    <s v=""/>
    <n v="1"/>
    <n v="1"/>
    <n v="1"/>
    <n v="0"/>
    <n v="0"/>
  </r>
  <r>
    <n v="1305"/>
    <s v="       Barrier method"/>
    <n v="1305"/>
    <e v="#NAME?"/>
    <s v="Barrier method"/>
    <x v="1"/>
    <n v="21"/>
    <s v="Device-based Birth control method reported at intake"/>
    <m/>
    <m/>
    <s v="FP.2. Counseling"/>
    <x v="8"/>
    <m/>
    <s v="2.3 Capture or update client history"/>
    <m/>
    <s v="FP.DE.399"/>
    <m/>
    <m/>
    <s v="Uses a barrier method"/>
    <m/>
    <m/>
    <s v="Barrier method"/>
    <m/>
    <s v="No"/>
    <m/>
    <s v="Yes"/>
    <s v="C"/>
    <m/>
    <m/>
    <m/>
    <m/>
    <m/>
    <m/>
    <m/>
    <m/>
    <m/>
    <x v="3"/>
    <x v="0"/>
    <m/>
    <m/>
    <m/>
    <x v="2"/>
    <s v="JS"/>
    <s v="DeviceBirthControlMethods"/>
    <m/>
    <m/>
    <s v="       Barrier method"/>
    <s v="Same"/>
    <m/>
    <x v="0"/>
    <e v="#NAME?"/>
    <s v="Ready for testing"/>
    <x v="0"/>
    <m/>
    <m/>
    <s v="Done"/>
    <m/>
    <m/>
    <s v="225370004"/>
    <m/>
    <m/>
    <m/>
    <m/>
    <m/>
    <m/>
    <m/>
    <n v="160694"/>
    <m/>
    <m/>
    <s v="160694AAAAAAAAAAAAAAAAAAAAAAAAAAAAAA"/>
    <m/>
    <m/>
    <m/>
    <x v="2"/>
    <n v="0"/>
    <x v="2"/>
    <x v="14"/>
    <n v="1"/>
    <s v=""/>
    <n v="1"/>
    <n v="1"/>
    <n v="1"/>
    <n v="0"/>
    <n v="0"/>
  </r>
  <r>
    <n v="1306"/>
    <s v="       Male condom"/>
    <n v="1306"/>
    <e v="#NAME?"/>
    <s v="Male condom"/>
    <x v="1"/>
    <n v="18"/>
    <s v="Device-based Birth control method reported at intake"/>
    <m/>
    <m/>
    <s v="FP.2. Counseling"/>
    <x v="8"/>
    <m/>
    <s v="2.3 Capture or update client history"/>
    <m/>
    <s v="FP.DE.400"/>
    <m/>
    <m/>
    <s v="Uses male condoms"/>
    <m/>
    <m/>
    <s v="Male condom"/>
    <m/>
    <s v="No"/>
    <m/>
    <s v="Yes"/>
    <s v="C"/>
    <m/>
    <m/>
    <m/>
    <m/>
    <m/>
    <m/>
    <m/>
    <m/>
    <m/>
    <x v="3"/>
    <x v="0"/>
    <m/>
    <m/>
    <m/>
    <x v="2"/>
    <s v="JS"/>
    <s v="DeviceBirthControlMethods"/>
    <m/>
    <m/>
    <s v="       Male condom use"/>
    <s v="Changed"/>
    <m/>
    <x v="0"/>
    <e v="#NAME?"/>
    <s v="Ready for testing"/>
    <x v="0"/>
    <m/>
    <m/>
    <s v="Done"/>
    <m/>
    <m/>
    <s v="275831001"/>
    <m/>
    <m/>
    <m/>
    <m/>
    <m/>
    <m/>
    <m/>
    <m/>
    <m/>
    <m/>
    <m/>
    <m/>
    <m/>
    <m/>
    <x v="2"/>
    <n v="0"/>
    <x v="2"/>
    <x v="14"/>
    <n v="1"/>
    <s v=""/>
    <n v="1"/>
    <n v="1"/>
    <n v="1"/>
    <n v="0"/>
    <n v="0"/>
  </r>
  <r>
    <n v="1307"/>
    <s v="       Female condom"/>
    <n v="1307"/>
    <e v="#NAME?"/>
    <s v="Female condom"/>
    <x v="1"/>
    <n v="20"/>
    <s v="Device-based Birth control method reported at intake"/>
    <m/>
    <m/>
    <s v="FP.2. Counseling"/>
    <x v="8"/>
    <m/>
    <s v="2.3 Capture or update client history"/>
    <m/>
    <s v="FP.DE.401"/>
    <m/>
    <m/>
    <s v="Uses female condoms"/>
    <m/>
    <m/>
    <s v="Female condom"/>
    <m/>
    <s v="No"/>
    <m/>
    <s v="Yes"/>
    <s v="C"/>
    <s v="Skip if Gender = Male"/>
    <m/>
    <m/>
    <m/>
    <m/>
    <m/>
    <m/>
    <m/>
    <m/>
    <x v="3"/>
    <x v="0"/>
    <m/>
    <m/>
    <m/>
    <x v="2"/>
    <s v="JS"/>
    <s v="DeviceBirthControlMethods"/>
    <m/>
    <m/>
    <s v="       Female condom"/>
    <s v="Same"/>
    <m/>
    <x v="0"/>
    <e v="#NAME?"/>
    <s v="Ready for testing"/>
    <x v="0"/>
    <m/>
    <m/>
    <s v="Done"/>
    <s v="Z30.49"/>
    <m/>
    <s v="228479001"/>
    <m/>
    <m/>
    <m/>
    <m/>
    <m/>
    <m/>
    <m/>
    <m/>
    <m/>
    <m/>
    <m/>
    <m/>
    <m/>
    <m/>
    <x v="2"/>
    <n v="0"/>
    <x v="2"/>
    <x v="14"/>
    <n v="1"/>
    <s v=""/>
    <n v="1"/>
    <n v="1"/>
    <n v="1"/>
    <n v="0"/>
    <n v="0"/>
  </r>
  <r>
    <n v="1316"/>
    <s v="Implant Date"/>
    <n v="1316"/>
    <s v="Implant Date"/>
    <s v="Implant Date"/>
    <x v="0"/>
    <n v="12"/>
    <s v=""/>
    <m/>
    <m/>
    <s v="FP.2. Counseling"/>
    <x v="8"/>
    <m/>
    <s v="2.3 Capture or update client history"/>
    <m/>
    <s v="FP.DE.368"/>
    <s v="Implant Date"/>
    <m/>
    <s v="Date of last implant if currently using the method. "/>
    <s v="DateTime"/>
    <m/>
    <m/>
    <m/>
    <s v="Yes"/>
    <s v="Date &lt;= visit Date"/>
    <s v="Yes"/>
    <s v="C"/>
    <s v="Include if Method at intake - reported = Implant AND   no data on insertion date]"/>
    <m/>
    <m/>
    <m/>
    <m/>
    <m/>
    <m/>
    <m/>
    <m/>
    <x v="19"/>
    <x v="8"/>
    <s v="FHIR"/>
    <s v="4.0.1"/>
    <m/>
    <x v="13"/>
    <s v="JA"/>
    <m/>
    <m/>
    <m/>
    <s v="Implant Date"/>
    <s v="Same"/>
    <m/>
    <x v="0"/>
    <s v=""/>
    <s v="Ready for testing"/>
    <x v="0"/>
    <m/>
    <m/>
    <s v="talked with JS; confirmed implant snomed code"/>
    <m/>
    <m/>
    <s v="428987008"/>
    <m/>
    <m/>
    <m/>
    <m/>
    <m/>
    <m/>
    <m/>
    <m/>
    <m/>
    <m/>
    <m/>
    <m/>
    <m/>
    <m/>
    <x v="6"/>
    <s v=""/>
    <x v="7"/>
    <x v="14"/>
    <n v="1"/>
    <n v="0"/>
    <n v="1"/>
    <n v="1"/>
    <n v="1"/>
    <n v="0"/>
    <n v="0"/>
  </r>
  <r>
    <n v="1317"/>
    <s v="IUD Insertion Date"/>
    <n v="1317"/>
    <s v="IUD Insertion Date"/>
    <s v="IUD Insertion Date"/>
    <x v="0"/>
    <n v="18"/>
    <s v=""/>
    <m/>
    <m/>
    <s v="FP.2. Counseling"/>
    <x v="8"/>
    <m/>
    <s v="2.3 Capture or update client history"/>
    <m/>
    <s v="FP.DE.369"/>
    <s v="IUD Insertion Date"/>
    <m/>
    <s v="Date of IUD insertion if currently using the method."/>
    <s v="DateTime"/>
    <m/>
    <m/>
    <m/>
    <s v="Yes"/>
    <s v="Date &lt;= visit Date"/>
    <s v="Yes"/>
    <s v="C"/>
    <s v="Include if Method at intake - reported = Cu-IUD OR LNG-IUD AND   no data on insertion date]"/>
    <m/>
    <m/>
    <m/>
    <m/>
    <m/>
    <m/>
    <m/>
    <m/>
    <x v="19"/>
    <x v="8"/>
    <s v="FHIR"/>
    <s v="4.0.1"/>
    <m/>
    <x v="13"/>
    <s v="JA"/>
    <m/>
    <m/>
    <m/>
    <s v="IUD Insertion Date"/>
    <s v="Same"/>
    <m/>
    <x v="0"/>
    <s v=""/>
    <s v="Ready for testing"/>
    <x v="0"/>
    <m/>
    <m/>
    <s v="Talked with JS; date plus z30.430"/>
    <s v="z30.430"/>
    <m/>
    <m/>
    <m/>
    <m/>
    <s v="No terminology code required"/>
    <m/>
    <m/>
    <s v="male and female? are condoms included here"/>
    <m/>
    <m/>
    <m/>
    <m/>
    <m/>
    <m/>
    <m/>
    <m/>
    <x v="6"/>
    <s v=""/>
    <x v="7"/>
    <x v="14"/>
    <n v="1"/>
    <n v="0"/>
    <n v="1"/>
    <n v="1"/>
    <n v="1"/>
    <n v="0"/>
    <n v="0"/>
  </r>
  <r>
    <n v="2346"/>
    <s v="Medication-based Birth control method reported at intake"/>
    <n v="2346"/>
    <s v="Method at intake"/>
    <s v="Method at intake"/>
    <x v="0"/>
    <n v="56"/>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0"/>
    <x v="2"/>
    <s v="FHIR"/>
    <s v="4.0.1"/>
    <m/>
    <x v="14"/>
    <s v="JA"/>
    <s v="MedicationBirthControlMethods"/>
    <m/>
    <m/>
    <s v="Birth control method reported at intake"/>
    <s v="Changed"/>
    <m/>
    <x v="0"/>
    <s v="&quot;Method at intake&quot;-&gt;&quot;Medication-based Birth control method reported at intake&quot;"/>
    <s v="Ready for testing"/>
    <x v="0"/>
    <m/>
    <m/>
    <s v="Done (called contraception method in LOINC) "/>
    <m/>
    <m/>
    <m/>
    <s v="86649-1_x000a_"/>
    <m/>
    <m/>
    <m/>
    <m/>
    <m/>
    <m/>
    <m/>
    <m/>
    <m/>
    <m/>
    <m/>
    <m/>
    <m/>
    <x v="7"/>
    <s v=""/>
    <x v="8"/>
    <x v="15"/>
    <n v="1"/>
    <n v="1"/>
    <n v="1"/>
    <n v="1"/>
    <n v="1"/>
    <n v="0"/>
    <n v="0"/>
  </r>
  <r>
    <n v="2347"/>
    <s v="       No Medication-based method"/>
    <n v="2347"/>
    <e v="#NAME?"/>
    <s v="No method"/>
    <x v="1"/>
    <n v="33"/>
    <s v="Medication-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MedicationBirthControlMethods"/>
    <m/>
    <m/>
    <s v="       No method"/>
    <s v="Changed"/>
    <m/>
    <x v="0"/>
    <e v="#NAME?"/>
    <s v="Ready for testing"/>
    <x v="0"/>
    <m/>
    <m/>
    <s v="Done"/>
    <m/>
    <m/>
    <s v="169450001"/>
    <m/>
    <m/>
    <m/>
    <m/>
    <m/>
    <m/>
    <m/>
    <m/>
    <m/>
    <m/>
    <m/>
    <m/>
    <m/>
    <m/>
    <x v="2"/>
    <n v="0"/>
    <x v="2"/>
    <x v="15"/>
    <n v="1"/>
    <s v=""/>
    <n v="1"/>
    <n v="1"/>
    <n v="1"/>
    <n v="0"/>
    <n v="0"/>
  </r>
  <r>
    <n v="1291"/>
    <s v="       DMPA-IM _x000a_ DMPA, administered intramuscularly"/>
    <n v="1291"/>
    <e v="#NAME?"/>
    <s v="DMPA-IM _x000a_ DMPA, administered intramuscularly"/>
    <x v="1"/>
    <n v="51"/>
    <s v="Medication-based Birth control method reported at intake"/>
    <m/>
    <m/>
    <s v="FP.2. Counseling"/>
    <x v="8"/>
    <m/>
    <s v="2.3 Capture or update client history"/>
    <m/>
    <s v="FP.DE.385"/>
    <m/>
    <s v="Combined injectable "/>
    <s v="Uses depot medroxyprogesterone acetate-intramuscular deliver by the provider"/>
    <m/>
    <m/>
    <s v="DMPA-IM _x000a_ DMPA, administered intramuscularly"/>
    <m/>
    <s v="No"/>
    <m/>
    <s v="Yes"/>
    <s v="C"/>
    <s v="Skip if Gender = Male"/>
    <m/>
    <m/>
    <m/>
    <m/>
    <m/>
    <m/>
    <m/>
    <m/>
    <x v="3"/>
    <x v="0"/>
    <m/>
    <m/>
    <m/>
    <x v="2"/>
    <s v="JS"/>
    <s v="MedicationBirthControlMethods"/>
    <m/>
    <m/>
    <s v="       DMPA-IN"/>
    <s v="Changed"/>
    <m/>
    <x v="0"/>
    <e v="#NAME?"/>
    <s v="Ready for testing"/>
    <x v="0"/>
    <m/>
    <m/>
    <s v="Done"/>
    <m/>
    <m/>
    <m/>
    <s v="LA27907-7"/>
    <m/>
    <m/>
    <m/>
    <m/>
    <m/>
    <m/>
    <m/>
    <m/>
    <m/>
    <m/>
    <m/>
    <m/>
    <m/>
    <x v="2"/>
    <n v="0"/>
    <x v="2"/>
    <x v="15"/>
    <n v="1"/>
    <s v=""/>
    <n v="1"/>
    <n v="1"/>
    <n v="1"/>
    <n v="0"/>
    <n v="0"/>
  </r>
  <r>
    <n v="1292"/>
    <s v="       DMPA-SC _x000a_DMPA, administered subcutaneously"/>
    <n v="1292"/>
    <e v="#NAME?"/>
    <s v="DMPA-SC _x000a_DMPA, administered subcutaneously"/>
    <x v="1"/>
    <n v="49"/>
    <s v="Medication-based Birth control method reported at intake"/>
    <m/>
    <m/>
    <s v="FP.2. Counseling"/>
    <x v="8"/>
    <m/>
    <s v="2.3 Capture or update client history"/>
    <m/>
    <s v="FP.DE.386"/>
    <m/>
    <s v="DMPA"/>
    <s v="Uses depot medroxyprogesterone acetate self-injection"/>
    <m/>
    <m/>
    <s v="DMPA-SC _x000a_DMPA, administered subcutaneously"/>
    <m/>
    <s v="No"/>
    <m/>
    <s v="Yes"/>
    <s v="C"/>
    <s v="Skip if Gender = Male"/>
    <m/>
    <m/>
    <m/>
    <m/>
    <m/>
    <m/>
    <m/>
    <m/>
    <x v="3"/>
    <x v="0"/>
    <m/>
    <m/>
    <m/>
    <x v="2"/>
    <s v="JS"/>
    <s v="MedicationBirthControlMethods"/>
    <m/>
    <m/>
    <s v="       DMPA-SC"/>
    <s v="Changed"/>
    <m/>
    <x v="0"/>
    <e v="#NAME?"/>
    <s v="Ready for testing"/>
    <x v="0"/>
    <m/>
    <m/>
    <s v="Done"/>
    <m/>
    <m/>
    <s v="709457002"/>
    <m/>
    <m/>
    <m/>
    <m/>
    <m/>
    <m/>
    <m/>
    <m/>
    <m/>
    <m/>
    <m/>
    <m/>
    <m/>
    <m/>
    <x v="2"/>
    <n v="0"/>
    <x v="2"/>
    <x v="15"/>
    <n v="1"/>
    <s v=""/>
    <n v="1"/>
    <n v="1"/>
    <n v="1"/>
    <n v="0"/>
    <n v="0"/>
  </r>
  <r>
    <n v="1296"/>
    <s v="       Norethisterone enanthate (NET-EN) injectable"/>
    <n v="1296"/>
    <e v="#NAME?"/>
    <s v="Norethisterone enanthate (NET-EN) injectable"/>
    <x v="1"/>
    <n v="51"/>
    <s v="Medication-based Birth control method reported at intake"/>
    <m/>
    <m/>
    <s v="FP.2. Counseling"/>
    <x v="8"/>
    <m/>
    <s v="2.3 Capture or update client history"/>
    <m/>
    <s v="FP.DE.390"/>
    <m/>
    <s v="NET-EN"/>
    <s v="Receives a norethisterone enanthate injection"/>
    <m/>
    <m/>
    <s v="Norethisterone enanthate (NET-EN) injectable"/>
    <m/>
    <s v="No"/>
    <m/>
    <s v="Yes"/>
    <s v="C"/>
    <s v="Skip if Gender = Male"/>
    <m/>
    <m/>
    <m/>
    <m/>
    <m/>
    <m/>
    <m/>
    <m/>
    <x v="3"/>
    <x v="0"/>
    <m/>
    <m/>
    <m/>
    <x v="2"/>
    <s v="JS"/>
    <s v="MedicationBirthControlMethods"/>
    <m/>
    <m/>
    <s v="       Norethisterone enanthate (NET-EN)"/>
    <s v="Changed"/>
    <m/>
    <x v="0"/>
    <e v="#NAME?"/>
    <m/>
    <x v="0"/>
    <m/>
    <m/>
    <s v="Done"/>
    <m/>
    <m/>
    <s v="782025007"/>
    <m/>
    <s v="1359235"/>
    <m/>
    <m/>
    <m/>
    <m/>
    <m/>
    <m/>
    <m/>
    <m/>
    <m/>
    <m/>
    <m/>
    <m/>
    <x v="2"/>
    <n v="0"/>
    <x v="2"/>
    <x v="15"/>
    <n v="1"/>
    <s v=""/>
    <n v="1"/>
    <n v="1"/>
    <n v="1"/>
    <n v="0"/>
    <n v="0"/>
  </r>
  <r>
    <n v="1857"/>
    <s v="       Emergency contraceptive pills (ECPs)"/>
    <n v="1857"/>
    <e v="#NAME?"/>
    <s v="Emergency contraceptive pills (ECPs)"/>
    <x v="1"/>
    <n v="43"/>
    <s v="Medication-based Birth control method reported at intake"/>
    <m/>
    <m/>
    <s v="FP.2. Counseling"/>
    <x v="8"/>
    <m/>
    <s v="2.3 Capture or update client history"/>
    <m/>
    <s v="FP.DE.387"/>
    <m/>
    <s v="Emergency contraception"/>
    <s v="Uses emergency contraceptive pills"/>
    <m/>
    <m/>
    <s v="Emergency contraceptive pills (ECPs)"/>
    <m/>
    <s v="No"/>
    <m/>
    <s v="Yes"/>
    <s v="C"/>
    <s v="Skip if Gender = Male"/>
    <m/>
    <m/>
    <m/>
    <m/>
    <m/>
    <m/>
    <m/>
    <s v=""/>
    <x v="3"/>
    <x v="1"/>
    <m/>
    <s v=""/>
    <s v=""/>
    <x v="2"/>
    <s v="JS"/>
    <s v="MedicationBirthControlMethods"/>
    <m/>
    <m/>
    <m/>
    <s v=""/>
    <m/>
    <x v="0"/>
    <e v="#NAME?"/>
    <s v="Ready for testing"/>
    <x v="0"/>
    <m/>
    <s v=""/>
    <s v="x"/>
    <m/>
    <s v=""/>
    <s v="702587005; 275813002"/>
    <s v="LA16573-0"/>
    <s v="483325"/>
    <s v=""/>
    <s v=""/>
    <m/>
    <s v="C3842797, 483325"/>
    <s v=""/>
    <s v=""/>
    <s v=""/>
    <s v=""/>
    <s v=""/>
    <m/>
    <m/>
    <m/>
    <x v="2"/>
    <n v="0"/>
    <x v="2"/>
    <x v="15"/>
    <n v="1"/>
    <s v=""/>
    <n v="1"/>
    <n v="1"/>
    <n v="1"/>
    <n v="0"/>
    <n v="0"/>
  </r>
  <r>
    <n v="1294"/>
    <s v="       Progestogen-only pills (POP)"/>
    <n v="1294"/>
    <e v="#NAME?"/>
    <s v="Progestogen-only pills (POP)"/>
    <x v="1"/>
    <n v="35"/>
    <s v="Medication-based Birth control method reported at intake"/>
    <m/>
    <m/>
    <s v="FP.2. Counseling"/>
    <x v="8"/>
    <m/>
    <s v="2.3 Capture or update client history"/>
    <m/>
    <s v="FP.DE.388"/>
    <m/>
    <s v="POP"/>
    <s v="Uses progestogen only oral contraceptive"/>
    <m/>
    <m/>
    <s v="Progestogen-only pills (POP)"/>
    <m/>
    <s v="No"/>
    <m/>
    <s v="Yes"/>
    <s v="C"/>
    <s v="Skip if Gender = Male"/>
    <m/>
    <m/>
    <m/>
    <m/>
    <m/>
    <m/>
    <m/>
    <m/>
    <x v="3"/>
    <x v="0"/>
    <m/>
    <m/>
    <m/>
    <x v="2"/>
    <s v="JS"/>
    <s v="MedicationBirthControlMethods"/>
    <m/>
    <m/>
    <s v="       Progestogen-only pills"/>
    <s v="Changed"/>
    <m/>
    <x v="0"/>
    <e v="#NAME?"/>
    <s v="Ready for testing"/>
    <x v="0"/>
    <m/>
    <m/>
    <s v="Done"/>
    <m/>
    <m/>
    <s v="169467008"/>
    <s v="LA27909-3"/>
    <m/>
    <m/>
    <m/>
    <m/>
    <m/>
    <m/>
    <n v="159784"/>
    <m/>
    <m/>
    <s v="159784AAAAAAAAAAAAAAAAAAAAAAAAAAAAAA"/>
    <m/>
    <m/>
    <m/>
    <x v="2"/>
    <n v="0"/>
    <x v="2"/>
    <x v="15"/>
    <n v="1"/>
    <s v=""/>
    <n v="1"/>
    <n v="1"/>
    <n v="1"/>
    <n v="0"/>
    <n v="0"/>
  </r>
  <r>
    <n v="1288"/>
    <s v="       Combined oral contraceptives (COCs)"/>
    <n v="1288"/>
    <e v="#NAME?"/>
    <s v="Combined oral contraceptives (COCs)"/>
    <x v="1"/>
    <n v="42"/>
    <s v="Medication-based Birth control method reported at intake"/>
    <m/>
    <m/>
    <s v="FP.2. Counseling"/>
    <x v="8"/>
    <m/>
    <s v="2.3 Capture or update client history"/>
    <m/>
    <s v="FP.DE.382"/>
    <m/>
    <s v="Combined oral contraceptive pill"/>
    <s v="Uses a combined oral contraceptive"/>
    <m/>
    <m/>
    <s v="Combined oral contraceptives (COCs)"/>
    <m/>
    <s v="No"/>
    <m/>
    <s v="Yes"/>
    <s v="C"/>
    <s v="Skip if Gender = Male"/>
    <m/>
    <m/>
    <m/>
    <m/>
    <m/>
    <m/>
    <m/>
    <m/>
    <x v="3"/>
    <x v="0"/>
    <m/>
    <m/>
    <m/>
    <x v="2"/>
    <s v="JS"/>
    <s v="MedicationBirthControlMethods"/>
    <m/>
    <m/>
    <s v="       Combined pill"/>
    <s v="Changed"/>
    <m/>
    <x v="0"/>
    <e v="#NAME?"/>
    <s v="Ready for testing"/>
    <x v="0"/>
    <m/>
    <m/>
    <s v="Done"/>
    <m/>
    <m/>
    <s v="268458002"/>
    <s v="LA27908-5"/>
    <m/>
    <m/>
    <m/>
    <m/>
    <m/>
    <m/>
    <n v="159783"/>
    <m/>
    <m/>
    <s v="159783AAAAAAAAAAAAAAAAAAAAAAAAAAAAAA"/>
    <m/>
    <m/>
    <m/>
    <x v="2"/>
    <n v="0"/>
    <x v="2"/>
    <x v="15"/>
    <n v="1"/>
    <s v=""/>
    <n v="1"/>
    <n v="1"/>
    <n v="1"/>
    <n v="0"/>
    <n v="0"/>
  </r>
  <r>
    <n v="1859"/>
    <s v="       Combined injectable contraception"/>
    <n v="1859"/>
    <e v="#NAME?"/>
    <s v="Combined injectable contraception"/>
    <x v="1"/>
    <n v="40"/>
    <s v="Medication-based Birth control method reported at intake"/>
    <m/>
    <m/>
    <s v="FP.2. Counseling"/>
    <x v="8"/>
    <m/>
    <s v="2.3 Capture or update client history"/>
    <m/>
    <s v="FP.DE.397"/>
    <m/>
    <m/>
    <s v="Uses a combined injectable contraception"/>
    <m/>
    <m/>
    <s v="Combined injectable contraception"/>
    <m/>
    <s v="No"/>
    <m/>
    <s v="Yes"/>
    <s v="C"/>
    <s v="Skip if Gender = Male"/>
    <m/>
    <m/>
    <m/>
    <m/>
    <m/>
    <m/>
    <m/>
    <s v=""/>
    <x v="3"/>
    <x v="1"/>
    <m/>
    <s v=""/>
    <s v=""/>
    <x v="2"/>
    <s v="JS"/>
    <s v="MedicationBirthControlMethods"/>
    <m/>
    <m/>
    <m/>
    <s v=""/>
    <m/>
    <x v="0"/>
    <e v="#NAME?"/>
    <s v="Ready for testing"/>
    <x v="0"/>
    <m/>
    <s v=""/>
    <s v=""/>
    <m/>
    <s v=""/>
    <s v="89780004"/>
    <m/>
    <m/>
    <s v=""/>
    <s v=""/>
    <m/>
    <s v="not clear what medication this is"/>
    <s v=""/>
    <s v=""/>
    <s v=""/>
    <s v=""/>
    <s v=""/>
    <m/>
    <m/>
    <m/>
    <x v="2"/>
    <n v="0"/>
    <x v="2"/>
    <x v="15"/>
    <n v="1"/>
    <s v=""/>
    <n v="1"/>
    <n v="1"/>
    <n v="1"/>
    <n v="0"/>
    <n v="0"/>
  </r>
  <r>
    <n v="1315"/>
    <s v="Injection Date"/>
    <n v="1315"/>
    <s v="Injection Date"/>
    <s v="Injection Date"/>
    <x v="0"/>
    <n v="14"/>
    <s v=""/>
    <m/>
    <m/>
    <s v="FP.2. Counseling"/>
    <x v="8"/>
    <m/>
    <s v="2.3 Capture or update client history"/>
    <m/>
    <s v="FP.DE.367"/>
    <s v="Injection Date"/>
    <m/>
    <s v="Date of last injection if currently using the method."/>
    <s v="DateTime"/>
    <m/>
    <m/>
    <m/>
    <s v="Yes"/>
    <s v="Date &lt;= visit Date"/>
    <s v="Yes"/>
    <s v="C"/>
    <s v="Include if Method at intake - reported = Injection AND   no data on injection date]"/>
    <m/>
    <m/>
    <m/>
    <m/>
    <m/>
    <m/>
    <m/>
    <m/>
    <x v="21"/>
    <x v="8"/>
    <s v="FHIR"/>
    <s v="4.0.1"/>
    <m/>
    <x v="14"/>
    <s v="JA"/>
    <m/>
    <m/>
    <m/>
    <s v="Injection Date"/>
    <s v="Same"/>
    <m/>
    <x v="0"/>
    <s v=""/>
    <s v="Ready for testing"/>
    <x v="0"/>
    <m/>
    <m/>
    <s v="talked with JS"/>
    <m/>
    <m/>
    <m/>
    <m/>
    <m/>
    <s v="No terminology code required"/>
    <m/>
    <m/>
    <m/>
    <m/>
    <m/>
    <m/>
    <m/>
    <m/>
    <m/>
    <m/>
    <m/>
    <x v="7"/>
    <s v=""/>
    <x v="8"/>
    <x v="15"/>
    <n v="1"/>
    <n v="0"/>
    <n v="1"/>
    <n v="1"/>
    <n v="1"/>
    <n v="0"/>
    <n v="0"/>
  </r>
  <r>
    <n v="2348"/>
    <s v="Procedure-based Birth control method reported at intake"/>
    <n v="2348"/>
    <s v="Method at intake"/>
    <s v="Method at intake"/>
    <x v="0"/>
    <n v="55"/>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2"/>
    <x v="0"/>
    <s v="FHIR"/>
    <s v="4.0.1"/>
    <m/>
    <x v="15"/>
    <s v="JA"/>
    <s v="ProcedureBirthControlMethods"/>
    <m/>
    <m/>
    <s v="Birth control method reported at intake"/>
    <s v="Changed"/>
    <m/>
    <x v="0"/>
    <s v="&quot;Method at intake&quot;-&gt;&quot;Procedure-based Birth control method reported at intake&quot;"/>
    <s v="Ready for testing"/>
    <x v="0"/>
    <m/>
    <m/>
    <s v="Done (called contraception method in LOINC) "/>
    <m/>
    <m/>
    <m/>
    <s v="86649-1_x000a_"/>
    <m/>
    <m/>
    <m/>
    <m/>
    <m/>
    <m/>
    <m/>
    <m/>
    <m/>
    <m/>
    <m/>
    <m/>
    <m/>
    <x v="8"/>
    <s v=""/>
    <x v="9"/>
    <x v="16"/>
    <n v="1"/>
    <n v="1"/>
    <n v="1"/>
    <n v="1"/>
    <n v="1"/>
    <n v="0"/>
    <n v="0"/>
  </r>
  <r>
    <n v="2349"/>
    <s v="       No Procedure-based method"/>
    <n v="2349"/>
    <e v="#NAME?"/>
    <s v="No method"/>
    <x v="1"/>
    <n v="32"/>
    <s v="Procedure-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ProcedureBirthControlMethods"/>
    <m/>
    <m/>
    <s v="       No method"/>
    <s v="Changed"/>
    <m/>
    <x v="0"/>
    <e v="#NAME?"/>
    <s v="Ready for testing"/>
    <x v="0"/>
    <m/>
    <m/>
    <s v="Done"/>
    <m/>
    <m/>
    <s v="169450001"/>
    <m/>
    <m/>
    <m/>
    <m/>
    <m/>
    <m/>
    <m/>
    <m/>
    <m/>
    <m/>
    <m/>
    <m/>
    <m/>
    <m/>
    <x v="2"/>
    <n v="0"/>
    <x v="2"/>
    <x v="16"/>
    <n v="1"/>
    <s v=""/>
    <n v="1"/>
    <n v="1"/>
    <n v="1"/>
    <n v="0"/>
    <n v="0"/>
  </r>
  <r>
    <n v="1298"/>
    <s v="       Female sterilization"/>
    <n v="1298"/>
    <e v="#NAME?"/>
    <s v="Female sterilization"/>
    <x v="1"/>
    <n v="27"/>
    <s v="Procedure-based Birth control method reported at intake"/>
    <m/>
    <m/>
    <s v="FP.2. Counseling"/>
    <x v="8"/>
    <m/>
    <s v="2.3 Capture or update client history"/>
    <m/>
    <s v="FP.DE.392"/>
    <m/>
    <m/>
    <s v="History of female sterilization"/>
    <m/>
    <m/>
    <s v="Female sterilization"/>
    <m/>
    <s v="No"/>
    <m/>
    <s v="Yes"/>
    <s v="C"/>
    <s v="Skip if Gender = Male"/>
    <m/>
    <m/>
    <m/>
    <s v="60890002  Female sterilization (procedure)"/>
    <m/>
    <m/>
    <m/>
    <m/>
    <x v="3"/>
    <x v="0"/>
    <m/>
    <m/>
    <m/>
    <x v="2"/>
    <s v="JS"/>
    <s v="ProcedureBirthControlMethods"/>
    <m/>
    <m/>
    <s v="       Female sterilization"/>
    <s v="Same"/>
    <m/>
    <x v="0"/>
    <e v="#NAME?"/>
    <s v="Ready for testing"/>
    <x v="0"/>
    <m/>
    <m/>
    <s v="Done"/>
    <m/>
    <m/>
    <s v="275572005; 60890002"/>
    <s v="LA27905-1"/>
    <m/>
    <m/>
    <m/>
    <m/>
    <m/>
    <m/>
    <m/>
    <m/>
    <m/>
    <m/>
    <m/>
    <m/>
    <m/>
    <x v="2"/>
    <n v="0"/>
    <x v="2"/>
    <x v="16"/>
    <n v="1"/>
    <s v=""/>
    <n v="1"/>
    <n v="1"/>
    <n v="1"/>
    <n v="0"/>
    <n v="0"/>
  </r>
  <r>
    <n v="1858"/>
    <s v="       Male sterilization"/>
    <n v="1858"/>
    <e v="#NAME?"/>
    <s v="Male sterilization"/>
    <x v="1"/>
    <n v="25"/>
    <s v="Procedure-based Birth control method reported at intake"/>
    <m/>
    <m/>
    <s v="FP.2. Counseling"/>
    <x v="8"/>
    <m/>
    <s v="2.3 Capture or update client history"/>
    <m/>
    <s v="FP.DE.393"/>
    <m/>
    <m/>
    <s v="History of male vasectomy"/>
    <m/>
    <m/>
    <s v="Male sterilization"/>
    <m/>
    <s v="No"/>
    <m/>
    <s v="Yes"/>
    <s v="C"/>
    <s v="Skip if Gender = Female"/>
    <m/>
    <m/>
    <m/>
    <s v="22523008  procedure"/>
    <m/>
    <m/>
    <m/>
    <s v=""/>
    <x v="3"/>
    <x v="1"/>
    <m/>
    <s v=""/>
    <s v=""/>
    <x v="2"/>
    <s v="JS"/>
    <s v="ProcedureBirthControlMethods"/>
    <m/>
    <m/>
    <m/>
    <s v=""/>
    <m/>
    <x v="0"/>
    <e v="#NAME?"/>
    <s v="Ready for testing"/>
    <x v="0"/>
    <m/>
    <s v=""/>
    <s v="x"/>
    <m/>
    <s v=""/>
    <s v="22523008; 399141000"/>
    <s v="_x000a_LA14534-4"/>
    <m/>
    <s v=""/>
    <s v=""/>
    <m/>
    <s v="C0024559"/>
    <s v=""/>
    <s v=""/>
    <s v=""/>
    <s v=""/>
    <s v=""/>
    <m/>
    <m/>
    <m/>
    <x v="2"/>
    <n v="0"/>
    <x v="2"/>
    <x v="16"/>
    <n v="1"/>
    <s v=""/>
    <n v="1"/>
    <n v="1"/>
    <n v="1"/>
    <n v="0"/>
    <n v="0"/>
  </r>
  <r>
    <n v="1318"/>
    <s v="Sterilization date"/>
    <n v="1318"/>
    <s v="Sterilization date"/>
    <s v="Sterilization date"/>
    <x v="0"/>
    <n v="18"/>
    <s v=""/>
    <m/>
    <m/>
    <s v="FP.2. Counseling"/>
    <x v="8"/>
    <m/>
    <s v="2.3 Capture or update client history"/>
    <m/>
    <s v="FP.DE.370"/>
    <s v="Sterilization date"/>
    <m/>
    <s v="Date of sterilization, if not reversed. "/>
    <s v="DateTime"/>
    <m/>
    <m/>
    <m/>
    <s v="Yes"/>
    <s v="Date &lt;= visit Date"/>
    <s v="Yes"/>
    <s v="C"/>
    <s v="Include if Method at intake - reported = Sterilization AND   no data on sterilization date]"/>
    <m/>
    <m/>
    <m/>
    <m/>
    <m/>
    <m/>
    <m/>
    <m/>
    <x v="23"/>
    <x v="8"/>
    <s v="FHIR"/>
    <s v="4.0.1"/>
    <m/>
    <x v="15"/>
    <s v="JA"/>
    <m/>
    <m/>
    <m/>
    <s v="Sterilization date"/>
    <s v="Same"/>
    <m/>
    <x v="0"/>
    <s v=""/>
    <s v="Ready for testing"/>
    <x v="0"/>
    <m/>
    <m/>
    <s v="talked with JS"/>
    <m/>
    <m/>
    <m/>
    <m/>
    <m/>
    <s v="No terminology code required"/>
    <m/>
    <m/>
    <m/>
    <m/>
    <m/>
    <m/>
    <m/>
    <m/>
    <m/>
    <m/>
    <m/>
    <x v="8"/>
    <s v=""/>
    <x v="9"/>
    <x v="16"/>
    <n v="1"/>
    <n v="0"/>
    <n v="1"/>
    <n v="1"/>
    <n v="1"/>
    <n v="0"/>
    <n v="0"/>
  </r>
  <r>
    <n v="2350"/>
    <s v="CarePlan-based Birth control method reported at intake"/>
    <n v="2350"/>
    <s v="Method at intake"/>
    <s v="Method at intake"/>
    <x v="0"/>
    <n v="54"/>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4"/>
    <x v="0"/>
    <s v="FHIR"/>
    <s v="4.0.1"/>
    <m/>
    <x v="16"/>
    <s v="JA"/>
    <s v="CarePlanBirthControlMethods"/>
    <m/>
    <m/>
    <s v="Birth control method reported at intake"/>
    <s v="Changed"/>
    <m/>
    <x v="0"/>
    <s v="&quot;Method at intake&quot;-&gt;&quot;CarePlan-based Birth control method reported at intake&quot;"/>
    <s v="Ready for testing"/>
    <x v="0"/>
    <m/>
    <m/>
    <s v="Done (called contraception method in LOINC) "/>
    <m/>
    <m/>
    <m/>
    <s v="86649-1_x000a_"/>
    <m/>
    <m/>
    <m/>
    <m/>
    <m/>
    <m/>
    <m/>
    <m/>
    <m/>
    <m/>
    <m/>
    <m/>
    <m/>
    <x v="9"/>
    <s v=""/>
    <x v="10"/>
    <x v="17"/>
    <n v="1"/>
    <n v="1"/>
    <n v="1"/>
    <n v="1"/>
    <n v="1"/>
    <n v="0"/>
    <n v="0"/>
  </r>
  <r>
    <n v="2351"/>
    <s v="       No CarePlan-based method"/>
    <n v="2351"/>
    <e v="#NAME?"/>
    <s v="No method"/>
    <x v="1"/>
    <n v="31"/>
    <s v="CarePlan-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CarePlanBirthControlMethods"/>
    <m/>
    <m/>
    <s v="       No method"/>
    <s v="Changed"/>
    <m/>
    <x v="0"/>
    <e v="#NAME?"/>
    <s v="Ready for testing"/>
    <x v="0"/>
    <m/>
    <m/>
    <s v="Done"/>
    <m/>
    <m/>
    <s v="169450001"/>
    <m/>
    <m/>
    <m/>
    <m/>
    <m/>
    <m/>
    <m/>
    <m/>
    <m/>
    <m/>
    <m/>
    <m/>
    <m/>
    <m/>
    <x v="2"/>
    <n v="0"/>
    <x v="2"/>
    <x v="17"/>
    <n v="1"/>
    <s v=""/>
    <n v="1"/>
    <n v="1"/>
    <n v="1"/>
    <n v="0"/>
    <n v="0"/>
  </r>
  <r>
    <n v="1309"/>
    <s v="       Withdrawal"/>
    <n v="1309"/>
    <e v="#NAME?"/>
    <s v="Withdrawal"/>
    <x v="1"/>
    <n v="17"/>
    <s v="CarePlan-based Birth control method reported at intake"/>
    <m/>
    <m/>
    <s v="FP.2. Counseling"/>
    <x v="8"/>
    <m/>
    <s v="2.3 Capture or update client history"/>
    <m/>
    <s v="FP.DE.403"/>
    <m/>
    <m/>
    <s v="Uses the withdrawal method for contraception"/>
    <m/>
    <m/>
    <s v="Withdrawal"/>
    <m/>
    <s v="No"/>
    <m/>
    <s v="Yes"/>
    <s v="C"/>
    <m/>
    <m/>
    <m/>
    <m/>
    <m/>
    <m/>
    <m/>
    <m/>
    <m/>
    <x v="3"/>
    <x v="0"/>
    <m/>
    <m/>
    <m/>
    <x v="2"/>
    <s v="JS"/>
    <s v="CarePlanBirthControlMethods"/>
    <m/>
    <m/>
    <s v="       Withdrawal"/>
    <s v="Same"/>
    <m/>
    <x v="0"/>
    <e v="#NAME?"/>
    <s v="Ready for testing"/>
    <x v="0"/>
    <m/>
    <m/>
    <s v="Done"/>
    <m/>
    <m/>
    <s v="169513000"/>
    <s v="LA14549-2"/>
    <m/>
    <m/>
    <m/>
    <m/>
    <m/>
    <m/>
    <m/>
    <m/>
    <m/>
    <m/>
    <m/>
    <m/>
    <m/>
    <x v="2"/>
    <n v="0"/>
    <x v="2"/>
    <x v="17"/>
    <n v="1"/>
    <s v=""/>
    <n v="1"/>
    <n v="1"/>
    <n v="1"/>
    <n v="0"/>
    <n v="0"/>
  </r>
  <r>
    <n v="1312"/>
    <s v="       Fertility awareness-based methods (FAB)"/>
    <n v="1312"/>
    <e v="#NAME?"/>
    <s v="Fertility awareness-based methods (FAB)"/>
    <x v="1"/>
    <n v="46"/>
    <s v="CarePlan-based Birth control method reported at intake"/>
    <m/>
    <m/>
    <s v="FP.2. Counseling"/>
    <x v="8"/>
    <m/>
    <s v="2.3 Capture or update client history"/>
    <m/>
    <s v="FP.DE.406"/>
    <m/>
    <m/>
    <s v="Uses a fertility awareness methods for contraception"/>
    <m/>
    <m/>
    <s v="Fertility awareness-based methods (FAB)"/>
    <m/>
    <s v="No"/>
    <m/>
    <s v="Yes"/>
    <s v="C"/>
    <s v="Skip if Gender = Male"/>
    <m/>
    <m/>
    <m/>
    <m/>
    <m/>
    <m/>
    <m/>
    <m/>
    <x v="3"/>
    <x v="0"/>
    <m/>
    <m/>
    <m/>
    <x v="2"/>
    <s v="JS"/>
    <s v="CarePlanBirthControlMethods"/>
    <m/>
    <m/>
    <s v="       Fertility awareness-based methods"/>
    <s v="Changed"/>
    <m/>
    <x v="0"/>
    <e v="#NAME?"/>
    <s v="Ready for testing"/>
    <x v="0"/>
    <m/>
    <m/>
    <s v="Done"/>
    <m/>
    <m/>
    <s v="455501000124105"/>
    <s v="LA27918-4"/>
    <m/>
    <m/>
    <m/>
    <m/>
    <m/>
    <m/>
    <m/>
    <m/>
    <m/>
    <m/>
    <m/>
    <m/>
    <m/>
    <x v="2"/>
    <n v="0"/>
    <x v="2"/>
    <x v="17"/>
    <n v="1"/>
    <s v=""/>
    <n v="1"/>
    <n v="1"/>
    <n v="1"/>
    <n v="0"/>
    <n v="0"/>
  </r>
  <r>
    <n v="1313"/>
    <s v="       Lactational amenorrhea method (LAM)"/>
    <n v="1313"/>
    <e v="#NAME?"/>
    <s v="Lactational amenorrhea method (LAM)"/>
    <x v="1"/>
    <n v="42"/>
    <s v="CarePlan-based Birth control method reported at intake"/>
    <m/>
    <m/>
    <s v="FP.2. Counseling"/>
    <x v="8"/>
    <m/>
    <s v="2.3 Capture or update client history"/>
    <m/>
    <s v="FP.DE.407"/>
    <m/>
    <m/>
    <s v="Contraception using lactational amenorrhea method"/>
    <m/>
    <m/>
    <s v="Lactational amenorrhea method (LAM)"/>
    <m/>
    <s v="No"/>
    <m/>
    <s v="Yes"/>
    <s v="C"/>
    <s v="Skip if Gender = Male"/>
    <m/>
    <m/>
    <m/>
    <m/>
    <m/>
    <m/>
    <m/>
    <m/>
    <x v="3"/>
    <x v="0"/>
    <m/>
    <m/>
    <m/>
    <x v="2"/>
    <s v="JS"/>
    <s v="CarePlanBirthControlMethods"/>
    <m/>
    <m/>
    <s v="       Lactational amenorrhea method"/>
    <s v="Changed"/>
    <m/>
    <x v="0"/>
    <e v="#NAME?"/>
    <s v="Ready for testing"/>
    <x v="0"/>
    <m/>
    <m/>
    <s v="Done"/>
    <m/>
    <m/>
    <s v="454441000124107"/>
    <s v="LA27919-2"/>
    <m/>
    <m/>
    <m/>
    <m/>
    <m/>
    <m/>
    <m/>
    <m/>
    <m/>
    <m/>
    <m/>
    <m/>
    <m/>
    <x v="2"/>
    <n v="0"/>
    <x v="2"/>
    <x v="17"/>
    <n v="1"/>
    <s v=""/>
    <n v="1"/>
    <n v="1"/>
    <n v="1"/>
    <n v="0"/>
    <n v="0"/>
  </r>
  <r>
    <n v="1314"/>
    <s v="       Male relying on female method"/>
    <n v="1314"/>
    <e v="#NAME?"/>
    <s v="Male relying on female method"/>
    <x v="1"/>
    <n v="36"/>
    <s v="CarePlan-based Birth control method reported at intake"/>
    <m/>
    <m/>
    <s v="FP.2. Counseling"/>
    <x v="8"/>
    <m/>
    <s v="2.3 Capture or update client history"/>
    <m/>
    <s v="FP.DE.408"/>
    <m/>
    <m/>
    <s v="Male relying on female contraception"/>
    <m/>
    <m/>
    <s v="Male relying on female method"/>
    <m/>
    <s v="No"/>
    <m/>
    <s v="Yes"/>
    <s v="C"/>
    <s v="Include if gender = male "/>
    <m/>
    <m/>
    <m/>
    <m/>
    <m/>
    <m/>
    <m/>
    <m/>
    <x v="3"/>
    <x v="0"/>
    <m/>
    <m/>
    <m/>
    <x v="2"/>
    <s v="JS"/>
    <s v="CarePlanBirthControlMethods"/>
    <m/>
    <m/>
    <s v="       Male relying on female method"/>
    <s v="Same"/>
    <m/>
    <x v="0"/>
    <e v="#NAME?"/>
    <s v="Ready for testing"/>
    <x v="0"/>
    <m/>
    <m/>
    <s v="Done"/>
    <m/>
    <m/>
    <s v="455491000124102"/>
    <s v="LA27920-0"/>
    <m/>
    <m/>
    <m/>
    <m/>
    <m/>
    <m/>
    <m/>
    <m/>
    <m/>
    <m/>
    <m/>
    <m/>
    <m/>
    <x v="2"/>
    <n v="0"/>
    <x v="2"/>
    <x v="17"/>
    <n v="1"/>
    <s v=""/>
    <n v="1"/>
    <n v="1"/>
    <n v="1"/>
    <n v="0"/>
    <n v="0"/>
  </r>
  <r>
    <n v="1319"/>
    <s v="Reason for no contraceptive method - Reported at intake"/>
    <n v="1319"/>
    <s v="Reason for no contraceptive method - Reported at intake"/>
    <s v="Reason for no contraceptive method - Reported at intake"/>
    <x v="0"/>
    <n v="55"/>
    <s v=""/>
    <m/>
    <m/>
    <s v="FP.2. Counseling"/>
    <x v="8"/>
    <m/>
    <s v="2.3 Capture or update client history"/>
    <m/>
    <s v="FP.DE.027"/>
    <s v="Reason for no contraceptive method - Reported at intake"/>
    <m/>
    <s v="If not currently using a method, the reason why."/>
    <s v="Coding "/>
    <s v="Select all that apply"/>
    <m/>
    <m/>
    <s v="No"/>
    <m/>
    <s v="Yes"/>
    <s v="O"/>
    <s v="Skip if method at intake = TRUE and !=no method"/>
    <m/>
    <m/>
    <m/>
    <m/>
    <m/>
    <m/>
    <m/>
    <m/>
    <x v="17"/>
    <x v="2"/>
    <s v="FHIR"/>
    <s v="4.0.1"/>
    <m/>
    <x v="17"/>
    <s v="JS"/>
    <s v="NoBirthControlMethod"/>
    <m/>
    <m/>
    <s v="Reason for no contraceptive method - Reported at intake"/>
    <s v="Same"/>
    <m/>
    <x v="0"/>
    <s v=""/>
    <s v="Ready for testing"/>
    <x v="0"/>
    <m/>
    <m/>
    <s v="x OBS in SNOMED; USE LOINC PANEL ALSO; AT INTAKE; panel name for at exit is 86653-3"/>
    <m/>
    <m/>
    <s v="736796006"/>
    <s v="86650-9"/>
    <m/>
    <m/>
    <m/>
    <m/>
    <s v="86650-9; LOINC Panel ll4579-1"/>
    <s v="90"/>
    <m/>
    <m/>
    <m/>
    <m/>
    <m/>
    <m/>
    <m/>
    <x v="5"/>
    <s v=""/>
    <x v="6"/>
    <x v="18"/>
    <n v="1"/>
    <n v="1"/>
    <n v="1"/>
    <n v="1"/>
    <n v="1"/>
    <n v="0"/>
    <n v="0"/>
  </r>
  <r>
    <n v="1320"/>
    <s v="       Sexual abstinence    "/>
    <n v="1320"/>
    <e v="#NAME?"/>
    <s v="Sexual abstinence    "/>
    <x v="1"/>
    <n v="28"/>
    <s v="Reason for no contraceptive method - Reported at intake"/>
    <m/>
    <m/>
    <s v="FP.2. Counseling"/>
    <x v="8"/>
    <m/>
    <s v="2.3 Capture or update client history"/>
    <m/>
    <s v="FP.DE.409"/>
    <m/>
    <m/>
    <s v="Voluntarily refrains from sexual intercourse"/>
    <m/>
    <m/>
    <s v="Sexual abstinence    "/>
    <m/>
    <s v="No"/>
    <m/>
    <m/>
    <m/>
    <m/>
    <m/>
    <m/>
    <m/>
    <m/>
    <m/>
    <m/>
    <m/>
    <m/>
    <x v="3"/>
    <x v="0"/>
    <m/>
    <m/>
    <m/>
    <x v="2"/>
    <s v="JS"/>
    <s v="NoBirthControlMethod"/>
    <m/>
    <m/>
    <s v="       Sexual abstinence    "/>
    <s v="Same"/>
    <m/>
    <x v="0"/>
    <e v="#NAME?"/>
    <s v="Ready for testing"/>
    <x v="0"/>
    <m/>
    <m/>
    <s v="x"/>
    <m/>
    <m/>
    <s v="162171002"/>
    <s v="LA 14550-0"/>
    <m/>
    <m/>
    <m/>
    <m/>
    <m/>
    <m/>
    <n v="159524"/>
    <m/>
    <m/>
    <s v="159524AAAAAAAAAAAAAAAAAAAAAAAAAAAAAA"/>
    <m/>
    <m/>
    <m/>
    <x v="2"/>
    <n v="0"/>
    <x v="2"/>
    <x v="18"/>
    <n v="1"/>
    <s v=""/>
    <n v="1"/>
    <n v="1"/>
    <n v="1"/>
    <n v="0"/>
    <n v="0"/>
  </r>
  <r>
    <n v="1321"/>
    <s v="       Side effects from contraception"/>
    <n v="1321"/>
    <e v="#NAME?"/>
    <s v="Side effects from contraception"/>
    <x v="1"/>
    <n v="38"/>
    <s v="Reason for no contraceptive method - Reported at intake"/>
    <m/>
    <m/>
    <s v="FP.2. Counseling"/>
    <x v="8"/>
    <m/>
    <s v="2.3 Capture or update client history"/>
    <m/>
    <s v="FP.DE.410"/>
    <m/>
    <m/>
    <m/>
    <m/>
    <m/>
    <s v="Side effects from contraception"/>
    <m/>
    <s v="No"/>
    <m/>
    <m/>
    <m/>
    <m/>
    <m/>
    <m/>
    <m/>
    <m/>
    <m/>
    <m/>
    <m/>
    <m/>
    <x v="3"/>
    <x v="0"/>
    <m/>
    <m/>
    <m/>
    <x v="2"/>
    <s v="JS"/>
    <s v="NoBirthControlMethod"/>
    <m/>
    <m/>
    <s v="       Side effects from contraception"/>
    <s v="Same"/>
    <m/>
    <x v="0"/>
    <e v="#NAME?"/>
    <s v="Ready for testing"/>
    <x v="0"/>
    <m/>
    <m/>
    <s v="discuss methods"/>
    <s v="T38.4"/>
    <m/>
    <m/>
    <m/>
    <m/>
    <m/>
    <m/>
    <m/>
    <s v="c4711286"/>
    <m/>
    <m/>
    <m/>
    <m/>
    <m/>
    <m/>
    <m/>
    <m/>
    <x v="2"/>
    <n v="0"/>
    <x v="2"/>
    <x v="18"/>
    <n v="1"/>
    <s v=""/>
    <n v="1"/>
    <n v="1"/>
    <n v="1"/>
    <n v="0"/>
    <n v="0"/>
  </r>
  <r>
    <n v="1322"/>
    <s v="       Currently pregnant"/>
    <n v="1322"/>
    <e v="#NAME?"/>
    <s v="Currently pregnant"/>
    <x v="1"/>
    <n v="25"/>
    <s v="Reason for no contraceptive method - Reported at intake"/>
    <m/>
    <m/>
    <s v="FP.2. Counseling"/>
    <x v="8"/>
    <m/>
    <s v="2.3 Capture or update client history"/>
    <m/>
    <s v="FP.DE.411"/>
    <m/>
    <m/>
    <m/>
    <m/>
    <m/>
    <s v="Currently pregnant"/>
    <m/>
    <s v="No"/>
    <m/>
    <m/>
    <m/>
    <m/>
    <m/>
    <m/>
    <m/>
    <m/>
    <m/>
    <m/>
    <m/>
    <m/>
    <x v="3"/>
    <x v="0"/>
    <m/>
    <m/>
    <m/>
    <x v="2"/>
    <s v="JS"/>
    <s v="NoBirthControlMethod"/>
    <m/>
    <m/>
    <s v="       Currently pregnant"/>
    <s v="Same"/>
    <m/>
    <x v="0"/>
    <e v="#NAME?"/>
    <s v="Ready for testing"/>
    <x v="0"/>
    <m/>
    <m/>
    <s v="x"/>
    <m/>
    <m/>
    <s v="77386006"/>
    <m/>
    <m/>
    <m/>
    <m/>
    <m/>
    <m/>
    <m/>
    <m/>
    <m/>
    <m/>
    <m/>
    <m/>
    <m/>
    <m/>
    <x v="2"/>
    <n v="0"/>
    <x v="2"/>
    <x v="18"/>
    <n v="1"/>
    <s v=""/>
    <n v="1"/>
    <n v="1"/>
    <n v="1"/>
    <n v="0"/>
    <n v="0"/>
  </r>
  <r>
    <n v="1323"/>
    <s v="       Same sex partner    "/>
    <n v="1323"/>
    <e v="#NAME?"/>
    <s v="Same sex partner    "/>
    <x v="1"/>
    <n v="27"/>
    <s v="Reason for no contraceptive method - Reported at intake"/>
    <m/>
    <m/>
    <s v="FP.2. Counseling"/>
    <x v="8"/>
    <m/>
    <s v="2.3 Capture or update client history"/>
    <m/>
    <s v="FP.DE.412"/>
    <m/>
    <m/>
    <m/>
    <m/>
    <m/>
    <s v="Same sex partner    "/>
    <m/>
    <s v="No"/>
    <m/>
    <m/>
    <m/>
    <m/>
    <m/>
    <m/>
    <m/>
    <m/>
    <m/>
    <m/>
    <m/>
    <m/>
    <x v="3"/>
    <x v="0"/>
    <m/>
    <m/>
    <m/>
    <x v="2"/>
    <s v="JS"/>
    <s v="NoBirthControlMethod"/>
    <m/>
    <m/>
    <s v="       Same sex partner    "/>
    <s v="Same"/>
    <m/>
    <x v="0"/>
    <e v="#NAME?"/>
    <s v="Ready for testing"/>
    <x v="0"/>
    <m/>
    <m/>
    <s v="x"/>
    <m/>
    <m/>
    <s v="454361000124100"/>
    <s v="LA 27925-9"/>
    <m/>
    <m/>
    <m/>
    <m/>
    <m/>
    <m/>
    <m/>
    <m/>
    <m/>
    <m/>
    <m/>
    <m/>
    <m/>
    <x v="2"/>
    <n v="0"/>
    <x v="2"/>
    <x v="18"/>
    <n v="1"/>
    <s v=""/>
    <n v="1"/>
    <n v="1"/>
    <n v="1"/>
    <n v="0"/>
    <n v="0"/>
  </r>
  <r>
    <n v="1324"/>
    <s v="       Other    "/>
    <n v="1324"/>
    <e v="#NAME?"/>
    <s v="Other    "/>
    <x v="1"/>
    <n v="16"/>
    <s v="Reason for no contraceptive method - Reported at intake"/>
    <m/>
    <m/>
    <s v="FP.2. Counseling"/>
    <x v="8"/>
    <m/>
    <s v="2.3 Capture or update client history"/>
    <m/>
    <s v="FP.DE.413"/>
    <m/>
    <m/>
    <s v="No method for other reasons"/>
    <m/>
    <m/>
    <s v="Other    "/>
    <m/>
    <s v="No"/>
    <m/>
    <m/>
    <m/>
    <m/>
    <m/>
    <m/>
    <m/>
    <m/>
    <m/>
    <m/>
    <m/>
    <m/>
    <x v="3"/>
    <x v="0"/>
    <m/>
    <m/>
    <m/>
    <x v="2"/>
    <s v="JS"/>
    <s v="NoBirthControlMethod"/>
    <m/>
    <m/>
    <s v="       Other    "/>
    <s v="Same"/>
    <m/>
    <x v="0"/>
    <e v="#NAME?"/>
    <s v="Ready for testing"/>
    <x v="0"/>
    <s v="http://who.int/cg/CodeSystem/extended-content"/>
    <s v="other"/>
    <s v="x"/>
    <m/>
    <m/>
    <s v="74964007"/>
    <s v="LA 46-8"/>
    <m/>
    <m/>
    <m/>
    <m/>
    <m/>
    <s v="clarification"/>
    <m/>
    <m/>
    <m/>
    <m/>
    <m/>
    <m/>
    <m/>
    <x v="2"/>
    <n v="0"/>
    <x v="2"/>
    <x v="18"/>
    <n v="1"/>
    <s v=""/>
    <n v="1"/>
    <n v="1"/>
    <n v="1"/>
    <n v="0"/>
    <n v="0"/>
  </r>
  <r>
    <n v="1325"/>
    <s v="       Out of stock"/>
    <n v="1325"/>
    <e v="#NAME?"/>
    <s v="Out of stock"/>
    <x v="1"/>
    <n v="19"/>
    <s v="Reason for no contraceptive method - Reported at intake"/>
    <m/>
    <m/>
    <s v="FP.2. Counseling"/>
    <x v="8"/>
    <m/>
    <s v="2.3 Capture or update client history"/>
    <m/>
    <s v="FP.DE.414"/>
    <m/>
    <m/>
    <s v="Client reported method was not available"/>
    <m/>
    <m/>
    <s v="Out of stock"/>
    <m/>
    <s v="No"/>
    <m/>
    <m/>
    <m/>
    <m/>
    <m/>
    <m/>
    <m/>
    <m/>
    <m/>
    <m/>
    <m/>
    <m/>
    <x v="3"/>
    <x v="0"/>
    <m/>
    <m/>
    <m/>
    <x v="2"/>
    <s v="JS"/>
    <s v="NoBirthControlMethod"/>
    <m/>
    <m/>
    <s v="       Out of stock"/>
    <s v="Same"/>
    <m/>
    <x v="0"/>
    <e v="#NAME?"/>
    <s v="Ready for testing"/>
    <x v="0"/>
    <m/>
    <m/>
    <s v="x"/>
    <s v="Z76.89"/>
    <m/>
    <s v="182856006"/>
    <m/>
    <m/>
    <m/>
    <m/>
    <m/>
    <m/>
    <m/>
    <n v="1754"/>
    <m/>
    <m/>
    <s v="1754AAAAAAAAAAAAAAAAAAAAAAAAAAAAAAAA"/>
    <m/>
    <m/>
    <m/>
    <x v="2"/>
    <n v="0"/>
    <x v="2"/>
    <x v="18"/>
    <n v="1"/>
    <s v=""/>
    <n v="1"/>
    <n v="1"/>
    <n v="1"/>
    <n v="0"/>
    <n v="0"/>
  </r>
  <r>
    <n v="1326"/>
    <s v="       Sterile for non-contraceptive reasons    "/>
    <n v="1326"/>
    <e v="#NAME?"/>
    <s v="Sterile for non-contraceptive reasons    "/>
    <x v="1"/>
    <n v="48"/>
    <s v="Reason for no contraceptive method - Reported at intake"/>
    <m/>
    <m/>
    <s v="FP.2. Counseling"/>
    <x v="8"/>
    <m/>
    <s v="2.3 Capture or update client history"/>
    <m/>
    <s v="FP.DE.415"/>
    <m/>
    <m/>
    <m/>
    <m/>
    <m/>
    <s v="Sterile for non-contraceptive reasons    "/>
    <m/>
    <s v="No"/>
    <m/>
    <m/>
    <m/>
    <m/>
    <m/>
    <m/>
    <m/>
    <m/>
    <m/>
    <m/>
    <m/>
    <m/>
    <x v="3"/>
    <x v="0"/>
    <m/>
    <m/>
    <m/>
    <x v="2"/>
    <s v="JS"/>
    <s v="NoBirthControlMethod"/>
    <m/>
    <m/>
    <s v="       Sterile for non-contraceptive reasons    "/>
    <s v="Same"/>
    <m/>
    <x v="0"/>
    <e v="#NAME?"/>
    <s v="Ready for testing"/>
    <x v="0"/>
    <m/>
    <m/>
    <s v="x"/>
    <s v="Z31.9"/>
    <s v="QA3Z"/>
    <s v="15296000; 9789007"/>
    <s v="LA 27927-5"/>
    <m/>
    <m/>
    <m/>
    <m/>
    <s v="15296000; 9789007-natural sterility"/>
    <m/>
    <n v="125899"/>
    <m/>
    <m/>
    <s v="125899AAAAAAAAAAAAAAAAAAAAAAAAAAAAAA"/>
    <m/>
    <m/>
    <m/>
    <x v="2"/>
    <n v="0"/>
    <x v="2"/>
    <x v="18"/>
    <n v="1"/>
    <s v=""/>
    <n v="1"/>
    <n v="1"/>
    <n v="1"/>
    <n v="0"/>
    <n v="0"/>
  </r>
  <r>
    <n v="1327"/>
    <s v="       Seeking pregnancy   "/>
    <n v="1327"/>
    <e v="#NAME?"/>
    <s v="Seeking pregnancy   "/>
    <x v="1"/>
    <n v="27"/>
    <s v="Reason for no contraceptive method - Reported at intake"/>
    <m/>
    <m/>
    <s v="FP.2. Counseling"/>
    <x v="8"/>
    <m/>
    <s v="2.3 Capture or update client history"/>
    <m/>
    <s v="FP.DE.416"/>
    <m/>
    <m/>
    <m/>
    <m/>
    <m/>
    <s v="Seeking pregnancy   "/>
    <m/>
    <s v="No"/>
    <m/>
    <m/>
    <m/>
    <m/>
    <m/>
    <m/>
    <m/>
    <m/>
    <m/>
    <m/>
    <m/>
    <m/>
    <x v="3"/>
    <x v="0"/>
    <m/>
    <m/>
    <m/>
    <x v="2"/>
    <s v="JS"/>
    <s v="NoBirthControlMethod"/>
    <m/>
    <m/>
    <s v="       Seeking pregnancy   "/>
    <s v="Same"/>
    <m/>
    <x v="0"/>
    <e v="#NAME?"/>
    <s v="Ready for testing"/>
    <x v="0"/>
    <m/>
    <m/>
    <s v="x"/>
    <m/>
    <m/>
    <s v="454411000124108"/>
    <s v="LA 27928-3"/>
    <m/>
    <m/>
    <m/>
    <m/>
    <m/>
    <m/>
    <m/>
    <m/>
    <m/>
    <m/>
    <m/>
    <m/>
    <m/>
    <x v="2"/>
    <n v="0"/>
    <x v="2"/>
    <x v="18"/>
    <n v="1"/>
    <s v=""/>
    <n v="1"/>
    <n v="1"/>
    <n v="1"/>
    <n v="0"/>
    <n v="0"/>
  </r>
  <r>
    <n v="1328"/>
    <s v="Prior contraceptive methods used - Device-based"/>
    <n v="1328"/>
    <s v="Prior methods used"/>
    <s v="Prior methods used"/>
    <x v="0"/>
    <n v="47"/>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18"/>
    <x v="0"/>
    <s v="FHIR"/>
    <s v="4.0.1"/>
    <m/>
    <x v="18"/>
    <s v="JA"/>
    <s v="DeviceBirthControlMethods"/>
    <m/>
    <m/>
    <s v="Prior contraceptive methods used"/>
    <s v="Changed"/>
    <m/>
    <x v="0"/>
    <s v="&quot;Prior methods used&quot;-&gt;&quot;Prior contraceptive methods used - Device-based&quot;"/>
    <s v="Ready for testing"/>
    <x v="0"/>
    <m/>
    <m/>
    <m/>
    <m/>
    <m/>
    <m/>
    <m/>
    <m/>
    <s v="No terminology code required"/>
    <m/>
    <m/>
    <m/>
    <m/>
    <m/>
    <m/>
    <m/>
    <m/>
    <m/>
    <m/>
    <m/>
    <x v="6"/>
    <s v=""/>
    <x v="7"/>
    <x v="19"/>
    <n v="1"/>
    <n v="1"/>
    <n v="1"/>
    <n v="1"/>
    <n v="1"/>
    <n v="0"/>
    <n v="0"/>
  </r>
  <r>
    <n v="2354"/>
    <s v="Prior contraceptive methods used - Medication-based"/>
    <n v="2354"/>
    <s v="Prior methods used"/>
    <s v="Prior methods used"/>
    <x v="0"/>
    <n v="51"/>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0"/>
    <x v="2"/>
    <s v="FHIR"/>
    <s v="4.0.1"/>
    <m/>
    <x v="19"/>
    <s v="JA"/>
    <s v="MedicationBirthControlMethods"/>
    <m/>
    <m/>
    <s v="Prior contraceptive methods used"/>
    <s v="Changed"/>
    <m/>
    <x v="0"/>
    <s v="&quot;Prior methods used&quot;-&gt;&quot;Prior contraceptive methods used - Medication-based&quot;"/>
    <s v="Ready for testing"/>
    <x v="0"/>
    <m/>
    <m/>
    <m/>
    <m/>
    <m/>
    <m/>
    <m/>
    <m/>
    <s v="No terminology code required"/>
    <m/>
    <m/>
    <s v="prior medicaiton use;; need to talk baout using UMLS Unique concept or individual.. NCI code is C82522"/>
    <m/>
    <m/>
    <m/>
    <m/>
    <m/>
    <m/>
    <m/>
    <m/>
    <x v="7"/>
    <s v=""/>
    <x v="8"/>
    <x v="20"/>
    <n v="1"/>
    <n v="1"/>
    <n v="1"/>
    <n v="1"/>
    <n v="1"/>
    <n v="0"/>
    <n v="0"/>
  </r>
  <r>
    <n v="2355"/>
    <s v="Prior contraceptive methods used - Procedure-based"/>
    <n v="2355"/>
    <s v="Prior methods used"/>
    <s v="Prior methods used"/>
    <x v="0"/>
    <n v="50"/>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2"/>
    <x v="0"/>
    <s v="FHIR"/>
    <s v="4.0.1"/>
    <m/>
    <x v="20"/>
    <s v="JA"/>
    <s v="ProcedureBirthControlMethods"/>
    <m/>
    <m/>
    <s v="Prior contraceptive methods used"/>
    <s v="Changed"/>
    <m/>
    <x v="0"/>
    <s v="&quot;Prior methods used&quot;-&gt;&quot;Prior contraceptive methods used - Procedure-based&quot;"/>
    <s v="Ready for testing"/>
    <x v="0"/>
    <m/>
    <m/>
    <m/>
    <m/>
    <m/>
    <m/>
    <m/>
    <m/>
    <s v="No terminology code required"/>
    <m/>
    <m/>
    <m/>
    <m/>
    <m/>
    <m/>
    <m/>
    <m/>
    <m/>
    <m/>
    <m/>
    <x v="8"/>
    <s v=""/>
    <x v="9"/>
    <x v="21"/>
    <n v="1"/>
    <n v="1"/>
    <n v="1"/>
    <n v="1"/>
    <n v="1"/>
    <n v="0"/>
    <n v="0"/>
  </r>
  <r>
    <n v="2356"/>
    <s v="Prior contraceptive methods used - CarePlan-based"/>
    <n v="2356"/>
    <s v="Prior methods used"/>
    <s v="Prior methods used"/>
    <x v="0"/>
    <n v="49"/>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4"/>
    <x v="0"/>
    <s v="FHIR"/>
    <s v="4.0.1"/>
    <m/>
    <x v="21"/>
    <s v="JA"/>
    <s v="CarePlanBirthControlMethods"/>
    <m/>
    <m/>
    <s v="Prior contraceptive methods used"/>
    <s v="Changed"/>
    <m/>
    <x v="0"/>
    <s v="&quot;Prior methods used&quot;-&gt;&quot;Prior contraceptive methods used - CarePlan-based&quot;"/>
    <s v="Ready for testing"/>
    <x v="0"/>
    <m/>
    <m/>
    <m/>
    <m/>
    <m/>
    <m/>
    <m/>
    <m/>
    <s v="No terminology code required"/>
    <m/>
    <m/>
    <m/>
    <m/>
    <m/>
    <m/>
    <m/>
    <m/>
    <m/>
    <m/>
    <m/>
    <x v="9"/>
    <s v=""/>
    <x v="10"/>
    <x v="22"/>
    <n v="1"/>
    <n v="1"/>
    <n v="1"/>
    <n v="1"/>
    <n v="1"/>
    <n v="0"/>
    <n v="0"/>
  </r>
  <r>
    <n v="1330"/>
    <s v="Breastfeeding"/>
    <n v="1330"/>
    <s v="Breastfeeding"/>
    <s v="Breastfeeding"/>
    <x v="0"/>
    <n v="13"/>
    <s v=""/>
    <m/>
    <m/>
    <s v="FP.2. Counseling, ST.2 Consultation"/>
    <x v="6"/>
    <m/>
    <s v="2.3 Capture or update client history"/>
    <s v="ST.DE.032"/>
    <s v="FP.DE.030"/>
    <s v="Breastfeeding"/>
    <m/>
    <s v="Select if a woman is currently breastfeeding."/>
    <s v="Boolean"/>
    <m/>
    <s v="True/False"/>
    <m/>
    <s v="No"/>
    <m/>
    <s v="Yes"/>
    <s v="C"/>
    <s v="Skip if Gender = Male"/>
    <m/>
    <m/>
    <m/>
    <m/>
    <s v="MEC"/>
    <m/>
    <m/>
    <m/>
    <x v="17"/>
    <x v="4"/>
    <s v="FHIR"/>
    <s v="4.0.1"/>
    <m/>
    <x v="22"/>
    <s v="JA"/>
    <m/>
    <m/>
    <m/>
    <s v="Breastfeeding"/>
    <s v="Same"/>
    <m/>
    <x v="0"/>
    <s v=""/>
    <s v="Ready for testing"/>
    <x v="0"/>
    <m/>
    <m/>
    <s v="x"/>
    <m/>
    <m/>
    <s v="413712001"/>
    <m/>
    <m/>
    <m/>
    <m/>
    <m/>
    <m/>
    <m/>
    <n v="5632"/>
    <m/>
    <m/>
    <s v="5632AAAAAAAAAAAAAAAAAAAAAAAAAAAAAAAA"/>
    <m/>
    <m/>
    <m/>
    <x v="5"/>
    <s v=""/>
    <x v="6"/>
    <x v="23"/>
    <n v="1"/>
    <n v="0"/>
    <n v="1"/>
    <n v="1"/>
    <n v="1"/>
    <n v="0"/>
    <n v="0"/>
  </r>
  <r>
    <n v="1331"/>
    <s v="Breastfeeding status"/>
    <n v="1331"/>
    <s v="Breastfeeding status"/>
    <s v="Breastfeeding status"/>
    <x v="0"/>
    <n v="20"/>
    <s v=""/>
    <m/>
    <m/>
    <s v="FP.2. Counseling"/>
    <x v="6"/>
    <m/>
    <s v="2.3 Capture or update client history"/>
    <m/>
    <s v="FP.DE.418"/>
    <s v="Breastfeeding status"/>
    <m/>
    <m/>
    <s v="Coding "/>
    <s v="Select all that apply"/>
    <m/>
    <m/>
    <s v="No"/>
    <m/>
    <s v="Yes"/>
    <s v="C"/>
    <s v="Skip if breastfeeding = FALSE"/>
    <m/>
    <m/>
    <m/>
    <m/>
    <m/>
    <m/>
    <m/>
    <m/>
    <x v="17"/>
    <x v="2"/>
    <s v="FHIR"/>
    <s v="4.0.1"/>
    <m/>
    <x v="23"/>
    <s v="JA"/>
    <m/>
    <m/>
    <m/>
    <s v="Breastfeeding status"/>
    <s v="Same"/>
    <m/>
    <x v="1"/>
    <s v=""/>
    <m/>
    <x v="0"/>
    <m/>
    <m/>
    <s v="x"/>
    <m/>
    <m/>
    <m/>
    <s v="63895-7"/>
    <m/>
    <m/>
    <m/>
    <m/>
    <m/>
    <m/>
    <m/>
    <m/>
    <m/>
    <m/>
    <m/>
    <m/>
    <m/>
    <x v="5"/>
    <s v=""/>
    <x v="6"/>
    <x v="24"/>
    <n v="1"/>
    <n v="1"/>
    <n v="1"/>
    <n v="1"/>
    <n v="1"/>
    <n v="0"/>
    <n v="0"/>
  </r>
  <r>
    <n v="1333"/>
    <s v="       Fully"/>
    <n v="1333"/>
    <e v="#NAME?"/>
    <s v="Fully"/>
    <x v="1"/>
    <n v="12"/>
    <s v="Breastfeeding status"/>
    <m/>
    <m/>
    <s v="FP.2. Counseling"/>
    <x v="6"/>
    <m/>
    <s v="2.3 Capture or update client history"/>
    <m/>
    <s v="FP.DE.419"/>
    <m/>
    <m/>
    <s v="Fully breastfeeding"/>
    <m/>
    <m/>
    <s v="Fully"/>
    <m/>
    <s v="No"/>
    <m/>
    <s v="Yes"/>
    <m/>
    <m/>
    <m/>
    <m/>
    <m/>
    <m/>
    <m/>
    <m/>
    <m/>
    <m/>
    <x v="3"/>
    <x v="0"/>
    <m/>
    <m/>
    <m/>
    <x v="2"/>
    <s v="JA"/>
    <m/>
    <m/>
    <m/>
    <s v="       Fully"/>
    <s v="Same"/>
    <m/>
    <x v="1"/>
    <e v="#NAME?"/>
    <m/>
    <x v="0"/>
    <m/>
    <m/>
    <s v="x"/>
    <m/>
    <m/>
    <m/>
    <s v="la29254-2"/>
    <m/>
    <m/>
    <m/>
    <m/>
    <m/>
    <m/>
    <m/>
    <m/>
    <m/>
    <m/>
    <m/>
    <m/>
    <m/>
    <x v="2"/>
    <n v="0"/>
    <x v="2"/>
    <x v="24"/>
    <n v="1"/>
    <s v=""/>
    <n v="1"/>
    <n v="1"/>
    <n v="1"/>
    <n v="0"/>
    <n v="0"/>
  </r>
  <r>
    <n v="1334"/>
    <s v="       Partially"/>
    <n v="1334"/>
    <e v="#NAME?"/>
    <s v="Partially"/>
    <x v="1"/>
    <n v="16"/>
    <s v="Breastfeeding status"/>
    <m/>
    <m/>
    <s v="FP.2. Counseling"/>
    <x v="6"/>
    <m/>
    <s v="2.3 Capture or update client history"/>
    <m/>
    <s v="FP.DE.420"/>
    <m/>
    <m/>
    <s v="Partially breastfeeding "/>
    <m/>
    <m/>
    <s v="Partially"/>
    <m/>
    <s v="No"/>
    <m/>
    <s v="Yes"/>
    <m/>
    <m/>
    <m/>
    <m/>
    <m/>
    <m/>
    <m/>
    <m/>
    <m/>
    <m/>
    <x v="3"/>
    <x v="0"/>
    <m/>
    <m/>
    <m/>
    <x v="2"/>
    <s v="JA"/>
    <m/>
    <m/>
    <m/>
    <s v="       Partially"/>
    <s v="Same"/>
    <m/>
    <x v="1"/>
    <e v="#NAME?"/>
    <m/>
    <x v="0"/>
    <m/>
    <m/>
    <s v="x"/>
    <m/>
    <m/>
    <s v="733896006; 169743001"/>
    <s v="la29255-9"/>
    <m/>
    <m/>
    <m/>
    <m/>
    <s v="733896006  (Breast and bottle; 169743001 (breast and supplement). "/>
    <m/>
    <m/>
    <m/>
    <m/>
    <m/>
    <m/>
    <m/>
    <m/>
    <x v="2"/>
    <n v="0"/>
    <x v="2"/>
    <x v="24"/>
    <n v="1"/>
    <s v=""/>
    <n v="1"/>
    <n v="1"/>
    <n v="1"/>
    <n v="0"/>
    <n v="0"/>
  </r>
  <r>
    <n v="1336"/>
    <s v="Date of delivery"/>
    <n v="1336"/>
    <s v="Date of delivery"/>
    <s v="Date of delivery"/>
    <x v="0"/>
    <n v="16"/>
    <s v=""/>
    <m/>
    <m/>
    <s v="FP.2. Counseling, ST.2 Consultation"/>
    <x v="6"/>
    <m/>
    <s v="2.3 Capture or update client history"/>
    <s v="ST.DE.322"/>
    <s v="FP.DE.422"/>
    <s v="Date of delivery"/>
    <m/>
    <s v="For a postpartum woman, the date she recently delivered."/>
    <s v="DateTime"/>
    <m/>
    <m/>
    <m/>
    <s v="Yes "/>
    <s v="&lt;= Current Date"/>
    <s v="Yes"/>
    <s v="C"/>
    <s v="Include if postpartum = TRUE"/>
    <m/>
    <m/>
    <m/>
    <m/>
    <m/>
    <m/>
    <m/>
    <m/>
    <x v="17"/>
    <x v="8"/>
    <s v="FHIR"/>
    <s v="4.0.1"/>
    <m/>
    <x v="24"/>
    <s v="JA"/>
    <m/>
    <m/>
    <m/>
    <s v="Date of delivery"/>
    <s v="Same"/>
    <m/>
    <x v="0"/>
    <s v=""/>
    <m/>
    <x v="0"/>
    <m/>
    <m/>
    <s v="delivery date"/>
    <m/>
    <m/>
    <s v="366322004"/>
    <s v="LP70949-0"/>
    <m/>
    <m/>
    <s v="SNOMED estimated date of delivery"/>
    <m/>
    <m/>
    <m/>
    <m/>
    <m/>
    <m/>
    <m/>
    <m/>
    <m/>
    <m/>
    <x v="5"/>
    <s v=""/>
    <x v="6"/>
    <x v="25"/>
    <n v="1"/>
    <n v="0"/>
    <n v="1"/>
    <n v="1"/>
    <n v="1"/>
    <n v="0"/>
    <n v="0"/>
  </r>
  <r>
    <n v="1337"/>
    <s v="Time postpartum"/>
    <n v="1337"/>
    <s v="Time postpartum"/>
    <s v="Time postpartum"/>
    <x v="0"/>
    <n v="15"/>
    <s v=""/>
    <m/>
    <m/>
    <s v="FP.2. Counseling, ST.2 Consultation"/>
    <x v="6"/>
    <m/>
    <s v="2.3 Capture or update client history, Quick check"/>
    <s v="ST.DE.370"/>
    <s v="FP.DE.031"/>
    <s v="Time postpartum"/>
    <m/>
    <s v="For a postpartum woman, the amount of time since she delivered."/>
    <s v="DateTime"/>
    <m/>
    <m/>
    <m/>
    <s v="No"/>
    <m/>
    <s v="Yes"/>
    <s v="C"/>
    <s v="Include if postpartum = TRUE"/>
    <m/>
    <m/>
    <m/>
    <s v="Note: that some methods have different categories used for decision logic on eligibility based on time postpartum. "/>
    <s v="MEC."/>
    <m/>
    <m/>
    <m/>
    <x v="17"/>
    <x v="7"/>
    <s v="FHIR"/>
    <s v="4.0.1"/>
    <m/>
    <x v="25"/>
    <s v="JA"/>
    <m/>
    <m/>
    <s v="day"/>
    <s v="Time postpartum"/>
    <s v="Same"/>
    <m/>
    <x v="0"/>
    <s v=""/>
    <s v="Ready for testing"/>
    <x v="0"/>
    <m/>
    <m/>
    <s v="date.. plus delivery date"/>
    <m/>
    <m/>
    <s v="86569001"/>
    <m/>
    <m/>
    <m/>
    <m/>
    <m/>
    <m/>
    <m/>
    <m/>
    <m/>
    <m/>
    <m/>
    <m/>
    <m/>
    <m/>
    <x v="5"/>
    <s v=""/>
    <x v="6"/>
    <x v="26"/>
    <n v="1"/>
    <n v="0"/>
    <n v="1"/>
    <n v="1"/>
    <n v="1"/>
    <n v="0"/>
    <n v="0"/>
  </r>
  <r>
    <n v="1329"/>
    <s v="Postpartum"/>
    <n v="1329"/>
    <s v="Postpartum"/>
    <s v="Postpartum"/>
    <x v="0"/>
    <n v="10"/>
    <s v=""/>
    <m/>
    <m/>
    <s v="FP.2. Counseling"/>
    <x v="6"/>
    <m/>
    <s v="2.3 Capture or update client history, Quick check"/>
    <s v="ST.DE.320"/>
    <s v="FP.DE.029"/>
    <s v="Postpartum"/>
    <m/>
    <s v="Whether client delivered in the past 6 weeks."/>
    <s v="Boolean"/>
    <m/>
    <s v="True/False"/>
    <s v="Visit Date - Date of delivery &lt;= 6 weeks"/>
    <s v="No"/>
    <s v="If Date of delivery != null, Visit Date - Date of delivery &lt;=  6 weeks"/>
    <s v="Yes"/>
    <s v="C"/>
    <s v="Skip if Gender = Male"/>
    <m/>
    <m/>
    <m/>
    <m/>
    <m/>
    <m/>
    <m/>
    <m/>
    <x v="17"/>
    <x v="4"/>
    <s v="FHIR"/>
    <s v="4.0.1"/>
    <m/>
    <x v="26"/>
    <s v="JA"/>
    <m/>
    <m/>
    <m/>
    <s v="Postpartum"/>
    <s v="Same"/>
    <m/>
    <x v="0"/>
    <s v=""/>
    <s v="Ready for testing"/>
    <x v="0"/>
    <m/>
    <m/>
    <s v="x"/>
    <m/>
    <m/>
    <s v="255410009"/>
    <s v="LP20597-8"/>
    <m/>
    <m/>
    <m/>
    <m/>
    <s v="255410009; 409018009. (postpartum care) "/>
    <m/>
    <n v="1180"/>
    <m/>
    <m/>
    <s v="1180AAAAAAAAAAAAAAAAAAAAAAAAAAAAAAAA"/>
    <m/>
    <m/>
    <m/>
    <x v="5"/>
    <s v=""/>
    <x v="6"/>
    <x v="27"/>
    <n v="1"/>
    <n v="0"/>
    <n v="1"/>
    <n v="1"/>
    <n v="1"/>
    <n v="0"/>
    <n v="0"/>
  </r>
  <r>
    <n v="1338"/>
    <s v="Recent miscarriage or post-abortion"/>
    <n v="1338"/>
    <s v="Recent miscarriage or post-abortion"/>
    <s v="Recent miscarriage or post-abortion"/>
    <x v="2"/>
    <n v="35"/>
    <s v=""/>
    <m/>
    <m/>
    <s v="FP.2. Counseling"/>
    <x v="6"/>
    <m/>
    <s v="2.3 Capture or update client history"/>
    <m/>
    <s v="FP.DE.032"/>
    <s v="Recent miscarriage or post-abortion"/>
    <m/>
    <s v="Select if the woman recently had an abortion or a miscarriage."/>
    <s v="Boolean"/>
    <m/>
    <s v="True/False"/>
    <m/>
    <s v="No"/>
    <m/>
    <s v="Yes"/>
    <s v="C"/>
    <m/>
    <m/>
    <m/>
    <m/>
    <m/>
    <m/>
    <m/>
    <m/>
    <m/>
    <x v="3"/>
    <x v="0"/>
    <m/>
    <m/>
    <m/>
    <x v="2"/>
    <m/>
    <m/>
    <m/>
    <m/>
    <s v="Recent miscarriage or post-abortion"/>
    <s v="Same"/>
    <m/>
    <x v="1"/>
    <s v=""/>
    <m/>
    <x v="0"/>
    <m/>
    <m/>
    <s v="what does recent mean"/>
    <s v="O03.9"/>
    <m/>
    <s v="713651007; 363681007"/>
    <s v="LA14272-1; LA14668-0"/>
    <m/>
    <m/>
    <m/>
    <m/>
    <s v="713651007. ( history of PG with abortive outcome); 363681007 (pg with abortive outcome disorder) "/>
    <s v="21"/>
    <m/>
    <m/>
    <m/>
    <m/>
    <m/>
    <m/>
    <m/>
    <x v="2"/>
    <s v=""/>
    <x v="3"/>
    <x v="2"/>
    <n v="1"/>
    <s v=""/>
    <n v="1"/>
    <n v="1"/>
    <n v="1"/>
    <n v="0"/>
    <n v="0"/>
  </r>
  <r>
    <n v="2382"/>
    <s v="Miscarriage or Abortion"/>
    <m/>
    <m/>
    <m/>
    <x v="0"/>
    <m/>
    <s v=""/>
    <m/>
    <m/>
    <m/>
    <x v="9"/>
    <m/>
    <m/>
    <m/>
    <m/>
    <m/>
    <m/>
    <m/>
    <m/>
    <m/>
    <m/>
    <m/>
    <m/>
    <m/>
    <m/>
    <m/>
    <m/>
    <m/>
    <m/>
    <m/>
    <m/>
    <m/>
    <m/>
    <m/>
    <m/>
    <x v="25"/>
    <x v="0"/>
    <s v="FHIR"/>
    <s v="4.0.1"/>
    <m/>
    <x v="27"/>
    <s v="JA"/>
    <m/>
    <m/>
    <m/>
    <m/>
    <m/>
    <m/>
    <x v="0"/>
    <m/>
    <m/>
    <x v="0"/>
    <m/>
    <m/>
    <m/>
    <m/>
    <m/>
    <m/>
    <m/>
    <m/>
    <s v="No terminology code required"/>
    <m/>
    <m/>
    <m/>
    <m/>
    <m/>
    <m/>
    <m/>
    <m/>
    <m/>
    <m/>
    <m/>
    <x v="5"/>
    <s v=""/>
    <x v="6"/>
    <x v="28"/>
    <n v="1"/>
    <n v="1"/>
    <n v="1"/>
    <n v="1"/>
    <n v="1"/>
    <n v="0"/>
    <n v="0"/>
  </r>
  <r>
    <n v="2383"/>
    <s v="       Miscarriage "/>
    <m/>
    <m/>
    <m/>
    <x v="1"/>
    <m/>
    <s v="Miscarriage or Abortion"/>
    <m/>
    <m/>
    <m/>
    <x v="9"/>
    <m/>
    <m/>
    <m/>
    <m/>
    <m/>
    <m/>
    <m/>
    <m/>
    <m/>
    <m/>
    <m/>
    <m/>
    <m/>
    <m/>
    <m/>
    <m/>
    <m/>
    <m/>
    <m/>
    <m/>
    <m/>
    <m/>
    <m/>
    <m/>
    <x v="3"/>
    <x v="0"/>
    <m/>
    <m/>
    <m/>
    <x v="2"/>
    <s v="JA"/>
    <m/>
    <m/>
    <m/>
    <m/>
    <m/>
    <m/>
    <x v="0"/>
    <m/>
    <m/>
    <x v="0"/>
    <m/>
    <m/>
    <m/>
    <s v="O03.9"/>
    <m/>
    <s v="713651007"/>
    <s v="LA14272-1"/>
    <m/>
    <m/>
    <m/>
    <m/>
    <m/>
    <m/>
    <m/>
    <m/>
    <m/>
    <m/>
    <m/>
    <m/>
    <m/>
    <x v="2"/>
    <n v="0"/>
    <x v="2"/>
    <x v="28"/>
    <n v="1"/>
    <s v=""/>
    <n v="1"/>
    <n v="1"/>
    <n v="1"/>
    <n v="0"/>
    <n v="0"/>
  </r>
  <r>
    <n v="2384"/>
    <s v="       Abortion"/>
    <m/>
    <m/>
    <m/>
    <x v="1"/>
    <m/>
    <s v="Miscarriage or Abortion"/>
    <m/>
    <m/>
    <m/>
    <x v="9"/>
    <m/>
    <m/>
    <m/>
    <m/>
    <m/>
    <m/>
    <m/>
    <m/>
    <m/>
    <m/>
    <m/>
    <m/>
    <m/>
    <m/>
    <m/>
    <m/>
    <m/>
    <m/>
    <m/>
    <m/>
    <m/>
    <m/>
    <m/>
    <m/>
    <x v="3"/>
    <x v="0"/>
    <m/>
    <m/>
    <m/>
    <x v="2"/>
    <s v="JA"/>
    <m/>
    <m/>
    <m/>
    <m/>
    <m/>
    <m/>
    <x v="0"/>
    <m/>
    <m/>
    <x v="0"/>
    <m/>
    <m/>
    <m/>
    <s v="O03.9"/>
    <m/>
    <s v="363681007"/>
    <s v="LA14668-0"/>
    <m/>
    <m/>
    <m/>
    <m/>
    <m/>
    <m/>
    <m/>
    <m/>
    <m/>
    <m/>
    <m/>
    <m/>
    <m/>
    <x v="2"/>
    <n v="0"/>
    <x v="2"/>
    <x v="28"/>
    <n v="1"/>
    <s v=""/>
    <n v="1"/>
    <n v="1"/>
    <n v="1"/>
    <n v="0"/>
    <n v="0"/>
  </r>
  <r>
    <n v="1351"/>
    <s v="Date of miscarriage or abortion"/>
    <n v="1351"/>
    <s v="Date of miscarriage or abortion"/>
    <s v="Date of miscarriage or abortion"/>
    <x v="0"/>
    <n v="31"/>
    <s v=""/>
    <m/>
    <m/>
    <s v="FP.2. Counseling; ST.2 Consultation"/>
    <x v="6"/>
    <m/>
    <s v="2.3 Capture or update client history"/>
    <s v="ST.DE.313; ST.DE.329"/>
    <s v="FP.DE.034"/>
    <s v="Date of miscarriage or abortion"/>
    <m/>
    <s v="If the woman had an abortion, when the abortion took place."/>
    <s v="DateTime"/>
    <m/>
    <m/>
    <m/>
    <s v="No"/>
    <m/>
    <s v="Yes"/>
    <s v="C"/>
    <s v="Include if FP.DE.032 Recent miscarriage or abortion = TRUE and required for DSL MEC"/>
    <m/>
    <m/>
    <m/>
    <m/>
    <m/>
    <m/>
    <m/>
    <m/>
    <x v="17"/>
    <x v="8"/>
    <s v="FHIR"/>
    <s v="4.0.1"/>
    <m/>
    <x v="27"/>
    <s v="JA"/>
    <m/>
    <m/>
    <m/>
    <s v="Date of miscarriage or abortion"/>
    <s v="Same"/>
    <m/>
    <x v="0"/>
    <s v=""/>
    <m/>
    <x v="0"/>
    <m/>
    <m/>
    <s v="day plus SAB or TAB (from above) "/>
    <m/>
    <m/>
    <m/>
    <m/>
    <m/>
    <m/>
    <m/>
    <m/>
    <m/>
    <s v="85"/>
    <m/>
    <m/>
    <m/>
    <m/>
    <m/>
    <m/>
    <m/>
    <x v="5"/>
    <s v=""/>
    <x v="6"/>
    <x v="28"/>
    <n v="1"/>
    <n v="0"/>
    <n v="0"/>
    <n v="1"/>
    <n v="0"/>
    <n v="1"/>
    <n v="0"/>
  </r>
  <r>
    <n v="1339"/>
    <s v="Miscarriage or abortion stage of pregnancy"/>
    <n v="1339"/>
    <s v="Miscarriage or abortion stage of pregnancy"/>
    <s v="Miscarriage or abortion stage of pregnancy"/>
    <x v="0"/>
    <n v="42"/>
    <s v=""/>
    <m/>
    <m/>
    <s v="FP.2. Counseling"/>
    <x v="6"/>
    <m/>
    <s v="2.3 Capture or update client history"/>
    <m/>
    <s v="FP.DE.033"/>
    <s v="Miscarriage or abortion stage of pregnancy"/>
    <m/>
    <s v="If the woman recently had a miscarriage or abortion, when in the pregnancy the abortion took place."/>
    <s v="Coding "/>
    <s v="Select one"/>
    <m/>
    <m/>
    <s v="No"/>
    <m/>
    <s v="Yes"/>
    <s v="C"/>
    <s v="Include if FP.DE.032 Recent miscarriage or abortion = TRUE and required for DSL MEC"/>
    <m/>
    <m/>
    <m/>
    <m/>
    <m/>
    <m/>
    <m/>
    <m/>
    <x v="26"/>
    <x v="2"/>
    <s v="Extension Needed"/>
    <s v="4.0.1"/>
    <m/>
    <x v="27"/>
    <s v="JA"/>
    <m/>
    <m/>
    <m/>
    <s v="Miscarriage or abortion stage of pregnancy"/>
    <s v="Same"/>
    <m/>
    <x v="0"/>
    <s v=""/>
    <m/>
    <x v="0"/>
    <m/>
    <m/>
    <s v="x"/>
    <s v="O03.9"/>
    <m/>
    <m/>
    <m/>
    <m/>
    <m/>
    <m/>
    <m/>
    <m/>
    <s v="85"/>
    <m/>
    <m/>
    <m/>
    <m/>
    <m/>
    <m/>
    <m/>
    <x v="5"/>
    <s v=""/>
    <x v="6"/>
    <x v="28"/>
    <n v="1"/>
    <n v="1"/>
    <n v="0"/>
    <n v="0"/>
    <n v="0"/>
    <n v="0"/>
    <n v="1"/>
  </r>
  <r>
    <n v="1340"/>
    <s v="       First trimester"/>
    <n v="1340"/>
    <e v="#NAME?"/>
    <s v="First trimester"/>
    <x v="1"/>
    <n v="22"/>
    <s v="Miscarriage or abortion stage of pregnancy"/>
    <m/>
    <m/>
    <s v="FP.2. Counseling"/>
    <x v="6"/>
    <m/>
    <s v="2.3 Capture or update client history"/>
    <m/>
    <s v="FP.DE.423"/>
    <m/>
    <m/>
    <s v="Miscarried or aborted in the first trimester"/>
    <m/>
    <m/>
    <s v="First trimester"/>
    <m/>
    <s v="No"/>
    <m/>
    <s v="Yes"/>
    <m/>
    <m/>
    <m/>
    <m/>
    <m/>
    <m/>
    <m/>
    <m/>
    <m/>
    <m/>
    <x v="3"/>
    <x v="0"/>
    <m/>
    <m/>
    <m/>
    <x v="2"/>
    <s v="JS"/>
    <m/>
    <m/>
    <m/>
    <s v="       First trimester"/>
    <s v="Same"/>
    <m/>
    <x v="0"/>
    <e v="#NAME?"/>
    <m/>
    <x v="0"/>
    <m/>
    <m/>
    <s v="x"/>
    <m/>
    <m/>
    <s v="19169002; 255246003"/>
    <s v="LP208035-8"/>
    <m/>
    <m/>
    <m/>
    <m/>
    <s v="255246003 THAT IS WRONG; should be 19169002"/>
    <m/>
    <n v="1721"/>
    <m/>
    <m/>
    <s v="1721AAAAAAAAAAAAAAAAAAAAAAAAAAAAAAAA"/>
    <m/>
    <m/>
    <m/>
    <x v="2"/>
    <n v="0"/>
    <x v="2"/>
    <x v="28"/>
    <n v="1"/>
    <s v=""/>
    <n v="1"/>
    <n v="1"/>
    <n v="1"/>
    <n v="0"/>
    <n v="0"/>
  </r>
  <r>
    <n v="1341"/>
    <s v="       Second trimester"/>
    <n v="1341"/>
    <e v="#NAME?"/>
    <s v="Second trimester"/>
    <x v="1"/>
    <n v="23"/>
    <s v="Miscarriage or abortion stage of pregnancy"/>
    <m/>
    <m/>
    <s v="FP.2. Counseling"/>
    <x v="6"/>
    <m/>
    <s v="2.3 Capture or update client history"/>
    <m/>
    <s v="FP.DE.424"/>
    <m/>
    <m/>
    <s v="Miscarried or aborted in the second trimester"/>
    <m/>
    <m/>
    <s v="Second trimester"/>
    <m/>
    <s v="No"/>
    <m/>
    <s v="Yes"/>
    <m/>
    <m/>
    <m/>
    <m/>
    <m/>
    <m/>
    <m/>
    <m/>
    <m/>
    <m/>
    <x v="3"/>
    <x v="0"/>
    <m/>
    <m/>
    <m/>
    <x v="2"/>
    <s v="JS"/>
    <m/>
    <m/>
    <m/>
    <s v="       Second trimester"/>
    <s v="Same"/>
    <m/>
    <x v="0"/>
    <e v="#NAME?"/>
    <m/>
    <x v="0"/>
    <m/>
    <m/>
    <s v="x"/>
    <m/>
    <m/>
    <s v="85116003; 255247007"/>
    <s v="LA21197-1"/>
    <m/>
    <m/>
    <m/>
    <m/>
    <s v="59466002; SHOULD BE 85116003"/>
    <m/>
    <n v="1722"/>
    <m/>
    <m/>
    <s v="1722AAAAAAAAAAAAAAAAAAAAAAAAAAAAAAAA"/>
    <m/>
    <m/>
    <m/>
    <x v="2"/>
    <n v="0"/>
    <x v="2"/>
    <x v="28"/>
    <n v="1"/>
    <s v=""/>
    <n v="1"/>
    <n v="1"/>
    <n v="1"/>
    <n v="0"/>
    <n v="0"/>
  </r>
  <r>
    <n v="1342"/>
    <s v="       Immediate post-septic abortion"/>
    <n v="1342"/>
    <e v="#NAME?"/>
    <s v="Immediate post-septic abortion"/>
    <x v="1"/>
    <n v="37"/>
    <s v="Miscarriage or abortion stage of pregnancy"/>
    <m/>
    <m/>
    <s v="FP.2. Counseling"/>
    <x v="6"/>
    <m/>
    <s v="2.3 Capture or update client history"/>
    <m/>
    <s v="FP.DE.425"/>
    <m/>
    <m/>
    <s v="Septic abortion refers to an abortion (either spontaneous or induced) that is then complicated by infection."/>
    <m/>
    <m/>
    <s v="Immediate post-septic abortion"/>
    <m/>
    <s v="No"/>
    <m/>
    <s v="Yes"/>
    <m/>
    <m/>
    <m/>
    <m/>
    <m/>
    <m/>
    <m/>
    <m/>
    <m/>
    <m/>
    <x v="3"/>
    <x v="0"/>
    <m/>
    <m/>
    <m/>
    <x v="2"/>
    <s v="JS"/>
    <m/>
    <m/>
    <m/>
    <s v="       Immediate post-septic abortion"/>
    <s v="Same"/>
    <m/>
    <x v="0"/>
    <e v="#NAME?"/>
    <m/>
    <x v="0"/>
    <m/>
    <m/>
    <s v="need to confirm with SME "/>
    <s v="O03.37"/>
    <m/>
    <s v="67465009; 255248002"/>
    <s v="LA21198-9"/>
    <m/>
    <m/>
    <m/>
    <m/>
    <s v="41587001 is wrong ; i THINK that they want miscarraige with sepsis; we should  confirm-- 67465009"/>
    <s v="22"/>
    <n v="1723"/>
    <m/>
    <m/>
    <s v="1723AAAAAAAAAAAAAAAAAAAAAAAAAAAAAAAA"/>
    <m/>
    <m/>
    <m/>
    <x v="2"/>
    <n v="0"/>
    <x v="2"/>
    <x v="28"/>
    <n v="1"/>
    <s v=""/>
    <n v="1"/>
    <n v="1"/>
    <n v="1"/>
    <n v="0"/>
    <n v="0"/>
  </r>
  <r>
    <n v="1343"/>
    <s v="Start date of last normal menses"/>
    <n v="1343"/>
    <s v="Start date of last normal menses"/>
    <s v="Start date of last normal menses"/>
    <x v="0"/>
    <n v="32"/>
    <s v=""/>
    <m/>
    <m/>
    <s v="FP.2. Counseling, ST.2 Consultation"/>
    <x v="6"/>
    <m/>
    <s v="2.3 Capture or update client history"/>
    <s v="ST.DE.305"/>
    <s v="FP.DE.035"/>
    <s v="Start date of last normal menses"/>
    <m/>
    <s v="First day of last normal menses."/>
    <s v="Date"/>
    <m/>
    <m/>
    <m/>
    <s v="No"/>
    <m/>
    <s v="Yes"/>
    <s v="FP = C, ST = O"/>
    <s v="Include if pregnancy status = unknown, used by DSL Pregnancy Checklist_x000a_Require if Problems with use =TRUE and Missed pills = TRUE (in Missed pills or late injection Decision Logic)"/>
    <m/>
    <m/>
    <m/>
    <m/>
    <m/>
    <m/>
    <m/>
    <m/>
    <x v="17"/>
    <x v="8"/>
    <s v="FHIR"/>
    <s v="4.0.1"/>
    <m/>
    <x v="28"/>
    <s v="JA"/>
    <m/>
    <m/>
    <m/>
    <s v="Start date of last normal menses"/>
    <s v="Same"/>
    <m/>
    <x v="0"/>
    <s v=""/>
    <s v="Ready for testing"/>
    <x v="0"/>
    <m/>
    <m/>
    <s v="should be menses plus date"/>
    <m/>
    <m/>
    <s v="248957007"/>
    <m/>
    <m/>
    <m/>
    <m/>
    <m/>
    <m/>
    <m/>
    <m/>
    <m/>
    <m/>
    <m/>
    <m/>
    <m/>
    <m/>
    <x v="5"/>
    <s v=""/>
    <x v="6"/>
    <x v="29"/>
    <n v="1"/>
    <n v="0"/>
    <n v="1"/>
    <n v="1"/>
    <n v="1"/>
    <n v="0"/>
    <n v="0"/>
  </r>
  <r>
    <n v="1344"/>
    <s v="Missed or late menses"/>
    <n v="1344"/>
    <s v="Missed or late menses"/>
    <s v="Missed or late menses"/>
    <x v="0"/>
    <n v="21"/>
    <s v=""/>
    <m/>
    <m/>
    <s v="FP.2. Counseling"/>
    <x v="6"/>
    <m/>
    <s v="2.3 Capture or update client history"/>
    <m/>
    <s v="FP.DE.435"/>
    <s v="Missed or late menses"/>
    <m/>
    <s v="If the woman's monthly bleeding was missed or is late"/>
    <s v="Boolean"/>
    <m/>
    <s v="True/False"/>
    <m/>
    <s v="Yes"/>
    <s v="Current Date &gt; (Start date of last normal menses + X days)"/>
    <s v="Yes"/>
    <s v="C"/>
    <m/>
    <m/>
    <m/>
    <m/>
    <m/>
    <m/>
    <m/>
    <m/>
    <m/>
    <x v="17"/>
    <x v="4"/>
    <s v="FHIR"/>
    <s v="4.0.1"/>
    <m/>
    <x v="29"/>
    <s v="JA"/>
    <m/>
    <m/>
    <m/>
    <s v="Missed or late menses"/>
    <s v="Same"/>
    <m/>
    <x v="1"/>
    <s v=""/>
    <m/>
    <x v="0"/>
    <m/>
    <m/>
    <s v="i think that this can be ammenorhea ; need to confirm"/>
    <m/>
    <m/>
    <s v="161780009; 42131003; 84292000; 36521000"/>
    <s v="LA 22280-4"/>
    <m/>
    <m/>
    <m/>
    <m/>
    <s v="161780009; abnormal menstrual sycle; 42131003; 84292000 (menstrual period late) ; 36521000"/>
    <s v="23"/>
    <m/>
    <m/>
    <m/>
    <m/>
    <m/>
    <m/>
    <m/>
    <x v="5"/>
    <s v=""/>
    <x v="6"/>
    <x v="30"/>
    <n v="1"/>
    <n v="0"/>
    <n v="1"/>
    <n v="1"/>
    <n v="1"/>
    <n v="0"/>
    <n v="0"/>
  </r>
  <r>
    <n v="1345"/>
    <s v="Days since start of last normal menses"/>
    <n v="1345"/>
    <s v="Days since start of last normal menses"/>
    <s v="Days since start of last normal menses"/>
    <x v="0"/>
    <n v="38"/>
    <s v=""/>
    <m/>
    <m/>
    <s v="FP.2. Counseling"/>
    <x v="3"/>
    <m/>
    <s v="2.3 Capture or update client history"/>
    <m/>
    <s v="FP.DE.253"/>
    <s v="Days since start of last normal menses"/>
    <m/>
    <s v="Count of days since her last normal period started"/>
    <s v="Integer"/>
    <m/>
    <m/>
    <m/>
    <s v="Yes"/>
    <s v="&gt;=0"/>
    <s v="Yes"/>
    <s v="O"/>
    <s v="May be calculated from Start date of last normal menses"/>
    <m/>
    <m/>
    <m/>
    <m/>
    <m/>
    <m/>
    <m/>
    <m/>
    <x v="17"/>
    <x v="3"/>
    <s v="FHIR"/>
    <s v="4.0.1"/>
    <m/>
    <x v="30"/>
    <s v="JA"/>
    <m/>
    <m/>
    <m/>
    <s v="Days since last normal menses"/>
    <s v="Changed"/>
    <m/>
    <x v="1"/>
    <s v=""/>
    <m/>
    <x v="0"/>
    <m/>
    <m/>
    <s v="x"/>
    <m/>
    <m/>
    <s v="248957007"/>
    <m/>
    <m/>
    <m/>
    <m/>
    <m/>
    <m/>
    <m/>
    <m/>
    <m/>
    <m/>
    <m/>
    <m/>
    <m/>
    <m/>
    <x v="5"/>
    <s v=""/>
    <x v="6"/>
    <x v="31"/>
    <n v="1"/>
    <n v="0"/>
    <n v="1"/>
    <n v="1"/>
    <n v="1"/>
    <n v="0"/>
    <n v="0"/>
  </r>
  <r>
    <n v="1270"/>
    <s v="Pregnancy status"/>
    <n v="1270"/>
    <s v="Pregnancy status"/>
    <s v="Pregnancy status"/>
    <x v="0"/>
    <n v="16"/>
    <s v=""/>
    <m/>
    <m/>
    <s v="FP.2. Counseling, ST.2 Consultation"/>
    <x v="6"/>
    <m/>
    <s v="2.3 Capture or update client history"/>
    <s v="ST.DE.029"/>
    <s v="FP.DE.054"/>
    <s v="Pregnancy status"/>
    <m/>
    <s v="Pregnancy status at visit"/>
    <s v="Coding "/>
    <s v="Select one"/>
    <m/>
    <m/>
    <s v="No"/>
    <m/>
    <s v="Yes"/>
    <s v="C"/>
    <s v="Optional unless required by decision logic. Skip if Gender = Male, else required"/>
    <m/>
    <m/>
    <m/>
    <m/>
    <s v="MEC, Practice Recommendations"/>
    <m/>
    <m/>
    <m/>
    <x v="17"/>
    <x v="2"/>
    <s v="FHIR"/>
    <s v="4.0.1"/>
    <m/>
    <x v="31"/>
    <s v="JS"/>
    <s v="PregnancyStatus"/>
    <m/>
    <m/>
    <s v="Pregnancy status"/>
    <s v="Same"/>
    <m/>
    <x v="0"/>
    <s v=""/>
    <s v="Ready for testing"/>
    <x v="1"/>
    <m/>
    <m/>
    <s v="x"/>
    <m/>
    <m/>
    <m/>
    <s v="82810-3_x000a_"/>
    <m/>
    <m/>
    <m/>
    <m/>
    <m/>
    <m/>
    <n v="5272"/>
    <m/>
    <m/>
    <m/>
    <m/>
    <m/>
    <m/>
    <x v="5"/>
    <s v=""/>
    <x v="6"/>
    <x v="32"/>
    <n v="1"/>
    <n v="1"/>
    <n v="1"/>
    <n v="1"/>
    <n v="1"/>
    <n v="0"/>
    <n v="0"/>
  </r>
  <r>
    <n v="1271"/>
    <s v="       Pregnant"/>
    <n v="1271"/>
    <e v="#NAME?"/>
    <s v="Pregnant"/>
    <x v="1"/>
    <n v="15"/>
    <s v="Pregnancy status"/>
    <m/>
    <m/>
    <s v="FP.2. Counseling"/>
    <x v="6"/>
    <m/>
    <s v="2.3 Capture or update client history"/>
    <m/>
    <s v="FP.DE.371"/>
    <m/>
    <m/>
    <s v="Currently pregnant"/>
    <s v="Coding "/>
    <s v="Select one"/>
    <s v="Pregnant"/>
    <m/>
    <s v="No"/>
    <m/>
    <s v="Yes"/>
    <s v="C"/>
    <s v="Yes"/>
    <m/>
    <m/>
    <m/>
    <m/>
    <m/>
    <m/>
    <m/>
    <m/>
    <x v="3"/>
    <x v="0"/>
    <m/>
    <m/>
    <m/>
    <x v="2"/>
    <s v="JS"/>
    <s v="PregnancyStatus"/>
    <m/>
    <m/>
    <s v="       Pregnant"/>
    <s v="Same"/>
    <m/>
    <x v="0"/>
    <e v="#NAME?"/>
    <s v="Ready for testing"/>
    <x v="0"/>
    <m/>
    <m/>
    <s v="x"/>
    <m/>
    <m/>
    <s v="77386006"/>
    <s v="LA15173-0"/>
    <m/>
    <m/>
    <m/>
    <m/>
    <m/>
    <m/>
    <m/>
    <m/>
    <m/>
    <m/>
    <m/>
    <m/>
    <m/>
    <x v="2"/>
    <n v="0"/>
    <x v="2"/>
    <x v="32"/>
    <n v="1"/>
    <s v=""/>
    <n v="1"/>
    <n v="1"/>
    <n v="1"/>
    <n v="0"/>
    <n v="0"/>
  </r>
  <r>
    <n v="1272"/>
    <s v="       Not pregnant"/>
    <n v="1272"/>
    <e v="#NAME?"/>
    <s v="Not pregnant"/>
    <x v="1"/>
    <n v="19"/>
    <s v="Pregnancy status"/>
    <m/>
    <m/>
    <s v="FP.2. Counseling"/>
    <x v="6"/>
    <m/>
    <s v="2.3 Capture or update client history"/>
    <m/>
    <s v="FP.DE.372"/>
    <m/>
    <m/>
    <s v="Not pregnant"/>
    <m/>
    <m/>
    <s v="Not pregnant"/>
    <m/>
    <s v="No"/>
    <m/>
    <s v="Yes"/>
    <s v="C"/>
    <s v="Yes"/>
    <m/>
    <m/>
    <m/>
    <m/>
    <m/>
    <m/>
    <m/>
    <m/>
    <x v="3"/>
    <x v="0"/>
    <m/>
    <m/>
    <m/>
    <x v="2"/>
    <s v="JS"/>
    <s v="PregnancyStatus"/>
    <m/>
    <m/>
    <s v="       Not pregnant"/>
    <s v="Same"/>
    <m/>
    <x v="0"/>
    <e v="#NAME?"/>
    <s v="Ready for testing"/>
    <x v="0"/>
    <m/>
    <m/>
    <s v="x"/>
    <m/>
    <m/>
    <s v="60001007"/>
    <s v="LA26683-5"/>
    <m/>
    <m/>
    <m/>
    <m/>
    <m/>
    <m/>
    <m/>
    <m/>
    <m/>
    <m/>
    <m/>
    <m/>
    <m/>
    <x v="2"/>
    <n v="0"/>
    <x v="2"/>
    <x v="32"/>
    <n v="1"/>
    <s v=""/>
    <n v="1"/>
    <n v="1"/>
    <n v="1"/>
    <n v="0"/>
    <n v="0"/>
  </r>
  <r>
    <n v="1273"/>
    <s v="       Unknown"/>
    <n v="1273"/>
    <e v="#NAME?"/>
    <s v="Unknown"/>
    <x v="1"/>
    <n v="14"/>
    <s v="Pregnancy status"/>
    <m/>
    <m/>
    <s v="FP.2. Counseling"/>
    <x v="6"/>
    <m/>
    <s v="2.3 Capture or update client history"/>
    <m/>
    <s v="FP.DE.373"/>
    <m/>
    <m/>
    <s v="Unknown pregnancy status"/>
    <m/>
    <m/>
    <s v="Unknown"/>
    <m/>
    <s v="No"/>
    <m/>
    <s v="Yes"/>
    <s v="C"/>
    <s v="If Pregnant = &quot;Unknown&quot; AND Information source for pregnancy status = &quot;Patient reported&quot; or null, decision table for Not Pregnant Check is used. "/>
    <m/>
    <m/>
    <s v="If Pregnant = &quot;Unknown&quot; decision table for Reasonably certain not pregnant&quot; is used. "/>
    <m/>
    <m/>
    <m/>
    <m/>
    <m/>
    <x v="3"/>
    <x v="0"/>
    <m/>
    <m/>
    <m/>
    <x v="2"/>
    <s v="JS"/>
    <s v="PregnancyStatus"/>
    <m/>
    <m/>
    <s v="       Unknown"/>
    <s v="Same"/>
    <m/>
    <x v="0"/>
    <e v="#NAME?"/>
    <s v="Ready for testing"/>
    <x v="0"/>
    <m/>
    <m/>
    <s v="x"/>
    <m/>
    <m/>
    <s v="261665006"/>
    <s v="LA4489-6"/>
    <m/>
    <m/>
    <m/>
    <m/>
    <s v="SNOMED unknown"/>
    <m/>
    <m/>
    <m/>
    <m/>
    <m/>
    <m/>
    <m/>
    <m/>
    <x v="2"/>
    <n v="0"/>
    <x v="2"/>
    <x v="32"/>
    <n v="1"/>
    <s v=""/>
    <n v="1"/>
    <n v="1"/>
    <n v="1"/>
    <n v="0"/>
    <n v="0"/>
  </r>
  <r>
    <n v="1269"/>
    <s v="Pregnancy test recommended"/>
    <n v="1269"/>
    <s v="Pregnancy test recommended"/>
    <s v="Pregnancy test recommended"/>
    <x v="3"/>
    <n v="26"/>
    <s v=""/>
    <m/>
    <m/>
    <s v="FP.2. Counseling"/>
    <x v="6"/>
    <m/>
    <s v="2.3 Capture or update client history"/>
    <m/>
    <s v="FP.DE.538"/>
    <s v="Pregnancy test recommended"/>
    <m/>
    <s v="If it is recommended to give the woman a pregnancy test,  based on guidelines."/>
    <s v="Boolean"/>
    <m/>
    <s v="True/False"/>
    <m/>
    <s v="No"/>
    <m/>
    <s v="No"/>
    <s v="C"/>
    <s v="System generated answer from DSL-Perform Pregnancy Test"/>
    <m/>
    <m/>
    <m/>
    <m/>
    <m/>
    <m/>
    <m/>
    <m/>
    <x v="24"/>
    <x v="0"/>
    <s v="FHIR"/>
    <s v="4.0.1"/>
    <m/>
    <x v="2"/>
    <m/>
    <m/>
    <m/>
    <m/>
    <s v="Pregnancy test recommended"/>
    <s v="Same"/>
    <m/>
    <x v="1"/>
    <s v=""/>
    <m/>
    <x v="2"/>
    <m/>
    <m/>
    <m/>
    <s v="_x000a_Z32.0"/>
    <m/>
    <m/>
    <m/>
    <m/>
    <m/>
    <s v="encounter for pregnancy test"/>
    <m/>
    <m/>
    <m/>
    <m/>
    <m/>
    <m/>
    <m/>
    <m/>
    <m/>
    <m/>
    <x v="2"/>
    <s v=""/>
    <x v="3"/>
    <x v="12"/>
    <n v="1"/>
    <s v=""/>
    <n v="1"/>
    <n v="1"/>
    <n v="1"/>
    <n v="0"/>
    <n v="0"/>
  </r>
  <r>
    <n v="1280"/>
    <s v="Sensitivity of pregnancy test"/>
    <n v="1280"/>
    <s v="Sensitivity of pregnancy test"/>
    <s v="Sensitivity of pregnancy test"/>
    <x v="0"/>
    <n v="29"/>
    <s v=""/>
    <m/>
    <m/>
    <s v="FP.2. Counseling"/>
    <x v="6"/>
    <m/>
    <s v="2.3 Capture or update client history"/>
    <m/>
    <s v="FP.DE.560"/>
    <s v="Sensitivity of pregnancy test"/>
    <m/>
    <m/>
    <s v="Coding "/>
    <s v="Select one"/>
    <m/>
    <m/>
    <s v="No"/>
    <m/>
    <s v="Yes"/>
    <s v="O"/>
    <s v="Used by Pregnancy test check decision logic to check for highly sensitive test."/>
    <m/>
    <m/>
    <m/>
    <m/>
    <m/>
    <m/>
    <m/>
    <m/>
    <x v="3"/>
    <x v="0"/>
    <m/>
    <m/>
    <m/>
    <x v="2"/>
    <m/>
    <m/>
    <m/>
    <m/>
    <s v="Sensitivity of pregnancy test"/>
    <s v="Same"/>
    <m/>
    <x v="1"/>
    <s v=""/>
    <m/>
    <x v="2"/>
    <m/>
    <m/>
    <s v="not sure what this is trying to ascertain; would be different for maker and user of test"/>
    <m/>
    <m/>
    <s v="252161000"/>
    <m/>
    <m/>
    <m/>
    <m/>
    <m/>
    <s v="sencitive pregnancy test; not really what this wants"/>
    <s v="18, 99"/>
    <m/>
    <m/>
    <m/>
    <m/>
    <m/>
    <m/>
    <m/>
    <x v="2"/>
    <s v=""/>
    <x v="3"/>
    <x v="12"/>
    <n v="1"/>
    <n v="1"/>
    <n v="0"/>
    <n v="0"/>
    <n v="1"/>
    <n v="1"/>
    <n v="0"/>
  </r>
  <r>
    <n v="1281"/>
    <s v="       Highly sensitive"/>
    <n v="1281"/>
    <e v="#NAME?"/>
    <s v="Highly sensitive"/>
    <x v="1"/>
    <n v="23"/>
    <s v="Sensitivity of pregnancy test"/>
    <m/>
    <m/>
    <s v="FP.2. Counseling"/>
    <x v="6"/>
    <m/>
    <s v="2.3 Capture or update client history"/>
    <m/>
    <s v="FP.DE.561"/>
    <m/>
    <m/>
    <m/>
    <m/>
    <m/>
    <s v="Highly sensitive"/>
    <m/>
    <s v="Yes"/>
    <m/>
    <s v="Yes"/>
    <s v="O"/>
    <m/>
    <m/>
    <m/>
    <m/>
    <m/>
    <m/>
    <m/>
    <m/>
    <m/>
    <x v="3"/>
    <x v="0"/>
    <m/>
    <m/>
    <m/>
    <x v="2"/>
    <s v="NA"/>
    <m/>
    <m/>
    <m/>
    <s v="       Highly sensitive"/>
    <s v="Same"/>
    <m/>
    <x v="1"/>
    <e v="#NAME?"/>
    <m/>
    <x v="2"/>
    <m/>
    <m/>
    <s v="use qualifier"/>
    <m/>
    <m/>
    <s v="255383001"/>
    <m/>
    <m/>
    <m/>
    <m/>
    <m/>
    <s v="qualifier to something"/>
    <m/>
    <m/>
    <m/>
    <m/>
    <m/>
    <m/>
    <m/>
    <m/>
    <x v="2"/>
    <n v="0"/>
    <x v="2"/>
    <x v="12"/>
    <n v="1"/>
    <s v=""/>
    <n v="1"/>
    <n v="1"/>
    <n v="1"/>
    <n v="0"/>
    <n v="0"/>
  </r>
  <r>
    <n v="1346"/>
    <s v="Intercourse since last normal menses"/>
    <n v="1346"/>
    <s v="Intercourse since last normal menses"/>
    <s v="Intercourse since last normal menses"/>
    <x v="0"/>
    <n v="36"/>
    <s v=""/>
    <m/>
    <m/>
    <s v="FP.2. Counseling"/>
    <x v="6"/>
    <m/>
    <s v="2.3 Capture or update client history"/>
    <m/>
    <s v="FP.DE.252"/>
    <s v="Intercourse since last normal menses"/>
    <m/>
    <m/>
    <s v="Boolean"/>
    <m/>
    <s v="True/False"/>
    <m/>
    <s v="No"/>
    <m/>
    <s v="Yes"/>
    <s v="C"/>
    <s v="Include if pregnancy status = unknown, otherwise optional"/>
    <s v="Required if checking woman is not pregnant"/>
    <m/>
    <m/>
    <m/>
    <m/>
    <m/>
    <m/>
    <m/>
    <x v="17"/>
    <x v="4"/>
    <s v="FHIR"/>
    <s v="4.0.1"/>
    <m/>
    <x v="32"/>
    <s v="JA"/>
    <m/>
    <m/>
    <m/>
    <s v="Intercourse since last normal menses"/>
    <s v="Same"/>
    <m/>
    <x v="1"/>
    <s v=""/>
    <m/>
    <x v="0"/>
    <m/>
    <m/>
    <s v="day plus intercourse"/>
    <m/>
    <m/>
    <s v="449331006"/>
    <m/>
    <m/>
    <m/>
    <s v="date of last sexual intercourse "/>
    <m/>
    <m/>
    <s v="Clarify with Brinn"/>
    <m/>
    <m/>
    <m/>
    <m/>
    <m/>
    <m/>
    <m/>
    <x v="5"/>
    <s v=""/>
    <x v="6"/>
    <x v="33"/>
    <n v="1"/>
    <n v="0"/>
    <n v="1"/>
    <n v="1"/>
    <n v="1"/>
    <n v="0"/>
    <n v="0"/>
  </r>
  <r>
    <n v="1347"/>
    <s v="Recent unprotected sexual intercourse"/>
    <n v="1347"/>
    <s v="Recent unprotected sexual intercourse"/>
    <s v="Recent unprotected sexual intercourse"/>
    <x v="0"/>
    <n v="37"/>
    <s v=""/>
    <m/>
    <m/>
    <s v="FP.2. Counseling, ST.2 Consultation"/>
    <x v="7"/>
    <m/>
    <s v="2.3 Capture or update client history"/>
    <s v="ST.DE.310"/>
    <s v="FP.DE.426"/>
    <s v="Recent unprotected sexual intercourse"/>
    <m/>
    <s v="Unprotected sexual intercourse"/>
    <s v="Boolean"/>
    <m/>
    <s v="True/False"/>
    <m/>
    <s v="No"/>
    <m/>
    <s v="Yes"/>
    <s v="C"/>
    <s v="Include if pregnancy status = unknown, otherwise optional"/>
    <s v="Required if checking woman is not pregnant"/>
    <m/>
    <m/>
    <m/>
    <m/>
    <m/>
    <m/>
    <m/>
    <x v="17"/>
    <x v="4"/>
    <s v="FHIR"/>
    <s v="4.0.1"/>
    <s v="Observation.category=&quot;social-history&quot;"/>
    <x v="33"/>
    <s v="JA"/>
    <m/>
    <m/>
    <m/>
    <s v="Recent unprotected sexual intercourse"/>
    <s v="Same"/>
    <m/>
    <x v="0"/>
    <s v=""/>
    <s v="Ready for testing"/>
    <x v="1"/>
    <m/>
    <m/>
    <s v="x"/>
    <s v="Z72.5"/>
    <s v="QE2Z"/>
    <s v="2314005"/>
    <m/>
    <m/>
    <m/>
    <m/>
    <m/>
    <m/>
    <m/>
    <n v="159218"/>
    <m/>
    <m/>
    <s v="159218AAAAAAAAAAAAAAAAAAAAAAAAAAAAAA"/>
    <m/>
    <m/>
    <m/>
    <x v="5"/>
    <s v=""/>
    <x v="6"/>
    <x v="34"/>
    <n v="1"/>
    <n v="0"/>
    <n v="1"/>
    <n v="1"/>
    <n v="1"/>
    <n v="0"/>
    <n v="0"/>
  </r>
  <r>
    <n v="1861"/>
    <s v="Lactating"/>
    <n v="1861"/>
    <s v="Lactating"/>
    <s v="Lactating"/>
    <x v="0"/>
    <n v="9"/>
    <s v=""/>
    <m/>
    <m/>
    <s v="FP.2. Counseling"/>
    <x v="6"/>
    <m/>
    <s v="2.3 Capture or update client history"/>
    <m/>
    <s v="FP.DE.434"/>
    <s v="Lactating"/>
    <m/>
    <s v="The client is currently lactating"/>
    <s v="True/False"/>
    <m/>
    <s v="Lactating"/>
    <m/>
    <s v="No"/>
    <m/>
    <s v="Yes"/>
    <s v="C"/>
    <s v="Include if pregnancy status = unknown and postpartum = TRUE, otherwise optional"/>
    <s v="Required if checking woman is not pregnant"/>
    <m/>
    <m/>
    <m/>
    <m/>
    <m/>
    <m/>
    <s v=""/>
    <x v="25"/>
    <x v="0"/>
    <s v="FHIR"/>
    <s v="4.0.1"/>
    <s v=""/>
    <x v="2"/>
    <m/>
    <m/>
    <m/>
    <m/>
    <m/>
    <s v=""/>
    <m/>
    <x v="1"/>
    <s v=""/>
    <m/>
    <x v="2"/>
    <m/>
    <s v=""/>
    <s v="assume this is that you are: or is this for a panel with y/n"/>
    <m/>
    <s v=""/>
    <m/>
    <s v="LP190569-6"/>
    <m/>
    <s v=""/>
    <s v=""/>
    <m/>
    <s v="if lactating"/>
    <s v=""/>
    <s v=""/>
    <s v=""/>
    <s v=""/>
    <s v=""/>
    <m/>
    <m/>
    <m/>
    <x v="2"/>
    <s v=""/>
    <x v="3"/>
    <x v="12"/>
    <n v="1"/>
    <n v="0"/>
    <n v="1"/>
    <n v="1"/>
    <n v="1"/>
    <n v="0"/>
    <n v="0"/>
  </r>
  <r>
    <n v="1348"/>
    <s v="Days since unprotected sex"/>
    <n v="1348"/>
    <s v="Days since unprotected sex"/>
    <s v="Days since unprotected sex"/>
    <x v="0"/>
    <n v="26"/>
    <s v=""/>
    <m/>
    <m/>
    <s v="FP.2. Counseling"/>
    <x v="7"/>
    <m/>
    <s v="2.3 Capture or update client history"/>
    <m/>
    <s v="FP.DE.245"/>
    <s v="Days since unprotected sex"/>
    <m/>
    <s v="Days since unprotected sex"/>
    <s v="Integer"/>
    <m/>
    <m/>
    <m/>
    <s v="No"/>
    <m/>
    <s v="Yes"/>
    <s v="C"/>
    <m/>
    <m/>
    <m/>
    <m/>
    <s v="Used by missed pills and late injection AND when to start decision logic. FP.DE.263 removed as it was a duplicate. Renamed from Time since unprotected sex. "/>
    <m/>
    <m/>
    <m/>
    <m/>
    <x v="17"/>
    <x v="8"/>
    <s v="FHIR"/>
    <s v="4.0.1"/>
    <m/>
    <x v="34"/>
    <s v="JA"/>
    <m/>
    <m/>
    <m/>
    <s v="Days since unprotected sex"/>
    <s v="Same"/>
    <m/>
    <x v="0"/>
    <s v=""/>
    <s v="Ready for testing"/>
    <x v="0"/>
    <m/>
    <m/>
    <s v="day plus intercourse plus unprotection"/>
    <m/>
    <m/>
    <s v="2314005"/>
    <m/>
    <m/>
    <m/>
    <s v="unprotected sex but doenst include days since.. "/>
    <m/>
    <s v="female- A23011 (voacbulary ICPC2P)"/>
    <s v="Clarify with Brinn"/>
    <m/>
    <m/>
    <m/>
    <m/>
    <m/>
    <m/>
    <m/>
    <x v="5"/>
    <s v=""/>
    <x v="6"/>
    <x v="35"/>
    <n v="1"/>
    <n v="0"/>
    <n v="1"/>
    <n v="1"/>
    <n v="1"/>
    <n v="0"/>
    <n v="0"/>
  </r>
  <r>
    <n v="1862"/>
    <s v="Check need for pregnancy test"/>
    <n v="1862"/>
    <s v="Check need for pregnancy test"/>
    <s v="Check need for pregnancy test"/>
    <x v="3"/>
    <n v="29"/>
    <s v=""/>
    <m/>
    <m/>
    <s v="FP.2. Counseling"/>
    <x v="3"/>
    <m/>
    <s v="2.3 Capture or update client history"/>
    <m/>
    <s v="FP.DE.434"/>
    <s v="Check need for pregnancy test"/>
    <m/>
    <s v="System generated value that shows if, after using the pregnancy checklist, it is still not reasonably certain the woman is not pregnant"/>
    <s v="Boolean"/>
    <m/>
    <s v="True/False"/>
    <m/>
    <s v="No"/>
    <m/>
    <s v="No"/>
    <s v="C"/>
    <s v="Include if Pregnancy status = Unknown and Source of pregnancy status = Pregnancy checklist"/>
    <m/>
    <m/>
    <m/>
    <m/>
    <s v="Provider handbook"/>
    <m/>
    <m/>
    <s v=""/>
    <x v="17"/>
    <x v="2"/>
    <s v="FHIR"/>
    <s v="4.0.1"/>
    <s v=""/>
    <x v="2"/>
    <m/>
    <m/>
    <m/>
    <m/>
    <m/>
    <s v=""/>
    <m/>
    <x v="1"/>
    <s v=""/>
    <m/>
    <x v="2"/>
    <m/>
    <s v=""/>
    <s v="?"/>
    <m/>
    <s v=""/>
    <s v="103325001"/>
    <m/>
    <m/>
    <s v=""/>
    <s v=""/>
    <m/>
    <s v="qualifier of need for X"/>
    <s v="32"/>
    <s v=""/>
    <s v=""/>
    <s v=""/>
    <s v=""/>
    <m/>
    <m/>
    <m/>
    <x v="2"/>
    <s v=""/>
    <x v="3"/>
    <x v="12"/>
    <n v="1"/>
    <s v=""/>
    <n v="1"/>
    <n v="1"/>
    <n v="1"/>
    <n v="0"/>
    <n v="0"/>
  </r>
  <r>
    <n v="1350"/>
    <s v="Pregnancy test available"/>
    <n v="1350"/>
    <s v="Pregnancy test available"/>
    <s v="Pregnancy test available"/>
    <x v="0"/>
    <n v="24"/>
    <s v=""/>
    <m/>
    <m/>
    <s v="FP.2. Counseling, ST.2 Consultation"/>
    <x v="6"/>
    <m/>
    <s v="2.3 Capture or update client history"/>
    <s v="ST.DE.312"/>
    <s v="FP.DE.421"/>
    <s v="Pregnancy test available"/>
    <m/>
    <s v="Whether a pregnancy test is available if guidelines recommend it"/>
    <s v="Boolean"/>
    <m/>
    <s v="True/False"/>
    <m/>
    <s v="No"/>
    <m/>
    <s v="No"/>
    <s v="C"/>
    <s v="Include if Perform pregnancy test = TRUE based on decision logic"/>
    <m/>
    <m/>
    <m/>
    <m/>
    <s v="Provider handbook"/>
    <m/>
    <m/>
    <m/>
    <x v="27"/>
    <x v="0"/>
    <s v="FHIR"/>
    <s v="4.0.1"/>
    <m/>
    <x v="35"/>
    <s v="JA"/>
    <m/>
    <m/>
    <m/>
    <s v="Pregnancy test available"/>
    <s v="Same"/>
    <m/>
    <x v="1"/>
    <s v=""/>
    <m/>
    <x v="1"/>
    <m/>
    <m/>
    <s v="PT test?? "/>
    <m/>
    <m/>
    <s v="74036000"/>
    <m/>
    <m/>
    <m/>
    <s v="this is about a supply"/>
    <m/>
    <m/>
    <s v="94"/>
    <m/>
    <m/>
    <m/>
    <m/>
    <m/>
    <m/>
    <m/>
    <x v="10"/>
    <s v=""/>
    <x v="11"/>
    <x v="36"/>
    <n v="1"/>
    <n v="0"/>
    <n v="1"/>
    <n v="1"/>
    <n v="1"/>
    <n v="0"/>
    <n v="0"/>
  </r>
  <r>
    <n v="1356"/>
    <s v="Gender-based violence victim"/>
    <n v="1356"/>
    <s v="Gender-based violence victim"/>
    <s v="Gender-based violence victim"/>
    <x v="0"/>
    <n v="28"/>
    <s v=""/>
    <m/>
    <m/>
    <s v="FP.2. Counseling, ST.2 Consultation"/>
    <x v="10"/>
    <m/>
    <s v="2.3 Capture or update client history"/>
    <m/>
    <s v="FP.DE.045"/>
    <s v="Gender-based violence victim"/>
    <m/>
    <s v="History of exposure to gender-based violence"/>
    <s v="Boolean"/>
    <m/>
    <s v="True/False"/>
    <m/>
    <s v="No"/>
    <m/>
    <s v="Yes"/>
    <s v="O"/>
    <m/>
    <m/>
    <m/>
    <m/>
    <m/>
    <m/>
    <m/>
    <m/>
    <m/>
    <x v="17"/>
    <x v="4"/>
    <s v="FHIR"/>
    <s v="4.0.1"/>
    <m/>
    <x v="36"/>
    <s v="JA"/>
    <m/>
    <m/>
    <m/>
    <s v="Gender-based violence victim"/>
    <s v="Same"/>
    <m/>
    <x v="0"/>
    <s v=""/>
    <s v="Ready for testing"/>
    <x v="1"/>
    <m/>
    <m/>
    <s v="this means personal risk.. not a clear diagnosis"/>
    <s v="Z91.8"/>
    <s v="QC4Z"/>
    <s v="404189009"/>
    <m/>
    <m/>
    <m/>
    <m/>
    <m/>
    <s v="domestic violence_x000a__x000a_D000074386. MSH code set"/>
    <s v="27"/>
    <n v="165088"/>
    <m/>
    <m/>
    <m/>
    <m/>
    <m/>
    <m/>
    <x v="5"/>
    <s v=""/>
    <x v="6"/>
    <x v="37"/>
    <n v="1"/>
    <n v="0"/>
    <n v="1"/>
    <n v="1"/>
    <n v="1"/>
    <n v="0"/>
    <n v="0"/>
  </r>
  <r>
    <n v="1357"/>
    <s v="Gender-based violence risk factors"/>
    <n v="1357"/>
    <s v="Gender-based violence risk factors"/>
    <s v="Gender-based violence risk factors"/>
    <x v="0"/>
    <n v="34"/>
    <s v=""/>
    <m/>
    <m/>
    <s v="FP.2. Counseling, ST.2 Consultation"/>
    <x v="10"/>
    <m/>
    <s v="2.3 Capture or update client history"/>
    <s v="ST.DE.026"/>
    <s v="FP.DE.046"/>
    <s v="Gender-based violence risk factors"/>
    <m/>
    <s v="Gender-based violence risk factors relevant to the population."/>
    <s v="Coding "/>
    <s v="Select all that apply"/>
    <s v="[Country-specific]"/>
    <m/>
    <s v="No"/>
    <m/>
    <s v="Yes"/>
    <s v="O"/>
    <m/>
    <m/>
    <m/>
    <m/>
    <m/>
    <m/>
    <m/>
    <m/>
    <m/>
    <x v="17"/>
    <x v="2"/>
    <s v="FHIR"/>
    <s v="4.0.1"/>
    <m/>
    <x v="37"/>
    <s v="JA"/>
    <m/>
    <m/>
    <m/>
    <s v="Gender-based violence risk factors"/>
    <s v="Same"/>
    <m/>
    <x v="0"/>
    <s v=""/>
    <s v="Ready for testing"/>
    <x v="0"/>
    <m/>
    <m/>
    <s v="can this be a positive screen on a DV screening tool?"/>
    <m/>
    <m/>
    <m/>
    <m/>
    <m/>
    <s v="No terminology code required"/>
    <m/>
    <m/>
    <m/>
    <s v="24"/>
    <m/>
    <m/>
    <m/>
    <m/>
    <m/>
    <m/>
    <m/>
    <x v="5"/>
    <s v=""/>
    <x v="6"/>
    <x v="38"/>
    <n v="1"/>
    <n v="0"/>
    <n v="1"/>
    <n v="1"/>
    <n v="1"/>
    <n v="0"/>
    <n v="0"/>
  </r>
  <r>
    <n v="1358"/>
    <s v="Sexually active"/>
    <n v="1358"/>
    <s v="Sexually active"/>
    <s v="Sexually active"/>
    <x v="0"/>
    <n v="15"/>
    <s v=""/>
    <m/>
    <m/>
    <s v="FP.2. Counseling, ST.2 Consultation"/>
    <x v="7"/>
    <m/>
    <s v="2.3 Capture or update client history"/>
    <s v="ST.DE.027"/>
    <s v="FP.DE.047"/>
    <s v="Sexually active"/>
    <m/>
    <s v="Whether or not the client is sexually active. "/>
    <s v="Boolean"/>
    <m/>
    <s v="True/False"/>
    <m/>
    <s v="No"/>
    <m/>
    <s v="Yes"/>
    <s v="O"/>
    <m/>
    <m/>
    <m/>
    <m/>
    <m/>
    <m/>
    <m/>
    <m/>
    <m/>
    <x v="17"/>
    <x v="4"/>
    <s v="FHIR"/>
    <s v="4.0.1"/>
    <m/>
    <x v="38"/>
    <s v="JA"/>
    <m/>
    <m/>
    <m/>
    <s v="Sexually active"/>
    <s v="Same"/>
    <m/>
    <x v="0"/>
    <s v=""/>
    <s v="Ready for testing"/>
    <x v="0"/>
    <m/>
    <m/>
    <s v="in what time frame"/>
    <m/>
    <m/>
    <s v="373066001; 68732003"/>
    <s v="86647-5; 86648-3"/>
    <m/>
    <m/>
    <m/>
    <m/>
    <s v="373066001 ( 3 months); 373066001 (12 months); 68732003 (non-virginal)_x000a__x000a_86647-5 ( oast three months); last 12 months (86648-3)"/>
    <s v="25"/>
    <m/>
    <m/>
    <m/>
    <m/>
    <m/>
    <m/>
    <m/>
    <x v="5"/>
    <s v=""/>
    <x v="6"/>
    <x v="39"/>
    <n v="1"/>
    <n v="0"/>
    <n v="1"/>
    <n v="1"/>
    <n v="1"/>
    <n v="0"/>
    <n v="0"/>
  </r>
  <r>
    <n v="1361"/>
    <s v="Clinical observations"/>
    <n v="1361"/>
    <s v="Clinical observations"/>
    <s v="Clinical observations"/>
    <x v="0"/>
    <n v="21"/>
    <s v=""/>
    <m/>
    <m/>
    <s v="FP.2. Counseling, ST.2 Consultation"/>
    <x v="10"/>
    <m/>
    <s v="2.4 Conduct risk assessment"/>
    <s v="ST.DE.044"/>
    <s v="FP.DE.048"/>
    <s v="Clinical observations"/>
    <m/>
    <s v="Observations made during an exam or visit."/>
    <m/>
    <m/>
    <m/>
    <m/>
    <s v="No"/>
    <m/>
    <s v="Yes"/>
    <s v="FP = C, ST = O"/>
    <m/>
    <m/>
    <m/>
    <m/>
    <m/>
    <m/>
    <m/>
    <m/>
    <m/>
    <x v="25"/>
    <x v="0"/>
    <s v="FHIR"/>
    <s v="4.0.1"/>
    <m/>
    <x v="39"/>
    <s v="JA"/>
    <m/>
    <m/>
    <m/>
    <s v="Clinical observations"/>
    <s v="Same"/>
    <m/>
    <x v="0"/>
    <s v=""/>
    <s v="Ready for testing"/>
    <x v="1"/>
    <m/>
    <m/>
    <m/>
    <m/>
    <m/>
    <m/>
    <m/>
    <m/>
    <s v="No terminology code required"/>
    <m/>
    <m/>
    <m/>
    <n v="34"/>
    <m/>
    <m/>
    <m/>
    <m/>
    <m/>
    <m/>
    <m/>
    <x v="5"/>
    <s v=""/>
    <x v="6"/>
    <x v="40"/>
    <n v="1"/>
    <n v="0"/>
    <n v="1"/>
    <n v="1"/>
    <n v="1"/>
    <n v="0"/>
    <n v="0"/>
  </r>
  <r>
    <n v="1380"/>
    <s v="Contraception Issues and concerns"/>
    <n v="1380"/>
    <s v="Issues and concerns"/>
    <s v="Issues and concerns"/>
    <x v="0"/>
    <n v="33"/>
    <s v=""/>
    <m/>
    <m/>
    <s v="FP.2. Counseling"/>
    <x v="3"/>
    <m/>
    <s v="2.6 Discuss Issues and concerns"/>
    <m/>
    <s v="FP.DE.441"/>
    <s v="Issues and concerns"/>
    <m/>
    <s v="Side effects or symptoms with current method, administration, missed pills and late injections_x000a_ _x000a_"/>
    <s v="Coding - Multiple Choice"/>
    <m/>
    <m/>
    <m/>
    <s v="No"/>
    <m/>
    <s v="Yes"/>
    <s v="C"/>
    <s v="Include if Problems with use = TRUE"/>
    <m/>
    <m/>
    <m/>
    <m/>
    <m/>
    <m/>
    <m/>
    <m/>
    <x v="16"/>
    <x v="0"/>
    <s v="FHIR"/>
    <s v="4.0.1"/>
    <s v=" "/>
    <x v="40"/>
    <s v="JA"/>
    <m/>
    <s v="Extensible"/>
    <m/>
    <s v="Contraception Issues and concerns"/>
    <s v="Same"/>
    <m/>
    <x v="1"/>
    <s v="&quot;Issues and concerns&quot;-&gt;&quot;Contraception Issues and concerns&quot;"/>
    <m/>
    <x v="0"/>
    <m/>
    <m/>
    <m/>
    <m/>
    <m/>
    <m/>
    <s v="10154-3"/>
    <m/>
    <m/>
    <m/>
    <m/>
    <m/>
    <m/>
    <m/>
    <m/>
    <m/>
    <m/>
    <m/>
    <m/>
    <m/>
    <x v="4"/>
    <s v=""/>
    <x v="5"/>
    <x v="41"/>
    <n v="1"/>
    <n v="1"/>
    <n v="1"/>
    <n v="1"/>
    <n v="1"/>
    <n v="0"/>
    <n v="0"/>
  </r>
  <r>
    <n v="1381"/>
    <s v="       Missed pills or late injection"/>
    <n v="1381"/>
    <e v="#NAME?"/>
    <s v="Missed pills or late injection"/>
    <x v="1"/>
    <n v="37"/>
    <s v="Contraception Issues and concerns"/>
    <m/>
    <m/>
    <s v="FP.2. Counseling"/>
    <x v="3"/>
    <m/>
    <s v="2.6 Discuss Issues and concerns"/>
    <m/>
    <s v="FP.DE.442"/>
    <m/>
    <m/>
    <m/>
    <m/>
    <m/>
    <s v="Missed pills or late injection"/>
    <m/>
    <s v="No"/>
    <m/>
    <s v="Yes"/>
    <s v="C"/>
    <s v="Include if Problems with use = TRUE and (Method at intake = oral hormonal contraceptive OR injectable)"/>
    <s v="If Missed pills = TRUE, trigger Missed pills or late injection Decision Logic"/>
    <m/>
    <m/>
    <s v="Missed contraceptive pill SNOMED: 315604002"/>
    <m/>
    <m/>
    <m/>
    <m/>
    <x v="3"/>
    <x v="9"/>
    <m/>
    <s v=" "/>
    <m/>
    <x v="2"/>
    <s v="JS"/>
    <m/>
    <m/>
    <m/>
    <s v="       Missed pills or late injection"/>
    <s v="Same"/>
    <m/>
    <x v="1"/>
    <e v="#NAME?"/>
    <m/>
    <x v="0"/>
    <m/>
    <m/>
    <s v="partial map"/>
    <m/>
    <m/>
    <s v="315604002"/>
    <m/>
    <m/>
    <m/>
    <m/>
    <m/>
    <s v="missed pill; not late injection"/>
    <m/>
    <m/>
    <m/>
    <m/>
    <m/>
    <m/>
    <m/>
    <m/>
    <x v="2"/>
    <n v="0"/>
    <x v="2"/>
    <x v="41"/>
    <n v="1"/>
    <s v=""/>
    <n v="1"/>
    <n v="1"/>
    <n v="1"/>
    <n v="0"/>
    <n v="0"/>
  </r>
  <r>
    <n v="1382"/>
    <s v="       IUD concerns"/>
    <n v="1382"/>
    <e v="#NAME?"/>
    <s v="IUD concerns"/>
    <x v="1"/>
    <n v="19"/>
    <s v="Contraception Issues and concerns"/>
    <m/>
    <m/>
    <s v="FP.2. Counseling"/>
    <x v="3"/>
    <m/>
    <s v="2.6 Discuss Issues and concerns"/>
    <m/>
    <s v="FP.DE.443"/>
    <m/>
    <m/>
    <m/>
    <m/>
    <m/>
    <s v="IUD concerns"/>
    <m/>
    <s v="Yes"/>
    <s v="Method at intake or prior contraceptive methods = IUD"/>
    <s v="Yes"/>
    <s v="C"/>
    <s v="&quot;Include if Issues and Concerns = TRUE _x000a_AND_x000a_Method at intake - reported = IUD"/>
    <m/>
    <m/>
    <m/>
    <m/>
    <m/>
    <m/>
    <m/>
    <m/>
    <x v="3"/>
    <x v="9"/>
    <m/>
    <s v=" "/>
    <m/>
    <x v="2"/>
    <s v="JS"/>
    <m/>
    <m/>
    <m/>
    <s v="       IUD concerns"/>
    <s v="Same"/>
    <m/>
    <x v="1"/>
    <e v="#NAME?"/>
    <m/>
    <x v="0"/>
    <m/>
    <m/>
    <m/>
    <m/>
    <m/>
    <s v="243818000"/>
    <m/>
    <m/>
    <m/>
    <m/>
    <m/>
    <m/>
    <m/>
    <m/>
    <s v="*to update - clinical finding for IUD check"/>
    <m/>
    <m/>
    <m/>
    <m/>
    <m/>
    <x v="2"/>
    <n v="0"/>
    <x v="2"/>
    <x v="41"/>
    <n v="1"/>
    <s v=""/>
    <n v="1"/>
    <n v="1"/>
    <n v="1"/>
    <n v="0"/>
    <n v="0"/>
  </r>
  <r>
    <n v="1383"/>
    <s v="       IUD partial expulsion"/>
    <n v="1383"/>
    <e v="#NAME?"/>
    <s v="IUD partial expulsion"/>
    <x v="1"/>
    <n v="28"/>
    <s v="Contraception Issues and concerns"/>
    <m/>
    <m/>
    <s v="FP.2. Counseling"/>
    <x v="3"/>
    <m/>
    <s v="2.6 Discuss Issues and concerns"/>
    <m/>
    <s v="FP.DE.444"/>
    <m/>
    <m/>
    <m/>
    <m/>
    <m/>
    <s v="IUD partial expulsion"/>
    <m/>
    <s v="Yes"/>
    <m/>
    <s v="Yes"/>
    <s v="C"/>
    <s v="Include if Issues and Concerns = TRUE _x000a_AND_x000a_Method at intake - reported = LNG-IUD or COCs or POPs or DMPA-IM or NET-EN or Implants"/>
    <m/>
    <m/>
    <m/>
    <m/>
    <m/>
    <m/>
    <m/>
    <m/>
    <x v="3"/>
    <x v="9"/>
    <m/>
    <s v=" "/>
    <m/>
    <x v="2"/>
    <s v="JS"/>
    <m/>
    <m/>
    <m/>
    <s v="       IUD partial expulsion"/>
    <s v="Same"/>
    <m/>
    <x v="1"/>
    <e v="#NAME?"/>
    <m/>
    <x v="0"/>
    <m/>
    <m/>
    <s v="x"/>
    <m/>
    <m/>
    <s v="169489007"/>
    <m/>
    <m/>
    <m/>
    <m/>
    <m/>
    <m/>
    <m/>
    <m/>
    <m/>
    <m/>
    <m/>
    <m/>
    <m/>
    <m/>
    <x v="2"/>
    <n v="0"/>
    <x v="2"/>
    <x v="41"/>
    <n v="1"/>
    <s v=""/>
    <n v="1"/>
    <n v="1"/>
    <n v="1"/>
    <n v="0"/>
    <n v="0"/>
  </r>
  <r>
    <n v="1384"/>
    <s v="       IUD complete expulsion"/>
    <n v="1384"/>
    <e v="#NAME?"/>
    <s v="IUD complete expulsion"/>
    <x v="1"/>
    <n v="29"/>
    <s v="Contraception Issues and concerns"/>
    <m/>
    <m/>
    <s v="FP.2. Counseling"/>
    <x v="3"/>
    <m/>
    <s v="2.6 Discuss Issues and concerns"/>
    <m/>
    <s v="FP.DE.445"/>
    <m/>
    <m/>
    <m/>
    <m/>
    <m/>
    <s v="IUD complete expulsion"/>
    <m/>
    <s v="No"/>
    <m/>
    <s v="Yes"/>
    <s v="C"/>
    <s v="Include if Issues and Concerns = TRUE _x000a_AND_x000a_Method at intake - reported = LNG-IUD or COCs or POPs or DMPA-IM or NET-EN or Implants"/>
    <m/>
    <m/>
    <m/>
    <m/>
    <m/>
    <m/>
    <m/>
    <m/>
    <x v="3"/>
    <x v="9"/>
    <m/>
    <s v=" "/>
    <m/>
    <x v="2"/>
    <s v="JS"/>
    <m/>
    <m/>
    <m/>
    <s v="       IUD complete expulsion"/>
    <s v="Same"/>
    <m/>
    <x v="1"/>
    <e v="#NAME?"/>
    <m/>
    <x v="0"/>
    <m/>
    <m/>
    <s v="x"/>
    <m/>
    <m/>
    <s v="169487009"/>
    <m/>
    <m/>
    <m/>
    <m/>
    <m/>
    <m/>
    <m/>
    <m/>
    <m/>
    <m/>
    <m/>
    <m/>
    <m/>
    <m/>
    <x v="2"/>
    <n v="0"/>
    <x v="2"/>
    <x v="41"/>
    <n v="1"/>
    <s v=""/>
    <n v="1"/>
    <n v="1"/>
    <n v="1"/>
    <n v="0"/>
    <n v="0"/>
  </r>
  <r>
    <n v="1385"/>
    <s v="       Amenorrhoea"/>
    <n v="1385"/>
    <e v="#NAME?"/>
    <s v="Amenorrhoea"/>
    <x v="1"/>
    <n v="18"/>
    <s v="Contraception Issues and concerns"/>
    <m/>
    <m/>
    <s v="FP.2. Counseling"/>
    <x v="3"/>
    <m/>
    <s v="2.6 Discuss Issues and concerns"/>
    <m/>
    <s v="FP.DE.236"/>
    <m/>
    <m/>
    <m/>
    <m/>
    <m/>
    <s v="Amenorrhoea"/>
    <m/>
    <s v="No"/>
    <m/>
    <s v="Yes"/>
    <s v="C"/>
    <s v="Include if Issues and Concerns = TRUE _x000a_AND_x000a_Method at intake - reported = LNG-IUD or COCs or POPs or DMPA-IM or NET-EN or Implants"/>
    <m/>
    <m/>
    <m/>
    <m/>
    <m/>
    <m/>
    <m/>
    <m/>
    <x v="3"/>
    <x v="9"/>
    <m/>
    <s v=" "/>
    <m/>
    <x v="2"/>
    <s v="JS"/>
    <m/>
    <m/>
    <m/>
    <s v="       Amenorrhoea"/>
    <s v="Same"/>
    <m/>
    <x v="1"/>
    <e v="#NAME?"/>
    <m/>
    <x v="0"/>
    <m/>
    <m/>
    <s v="x done"/>
    <s v="N91.2"/>
    <s v="GA20.0"/>
    <s v="14302001"/>
    <m/>
    <m/>
    <m/>
    <m/>
    <m/>
    <m/>
    <m/>
    <n v="148989"/>
    <m/>
    <m/>
    <m/>
    <m/>
    <m/>
    <m/>
    <x v="2"/>
    <n v="0"/>
    <x v="2"/>
    <x v="41"/>
    <n v="1"/>
    <s v=""/>
    <n v="1"/>
    <n v="1"/>
    <n v="1"/>
    <n v="0"/>
    <n v="0"/>
  </r>
  <r>
    <n v="1386"/>
    <s v="       Irregular bleeding "/>
    <n v="1386"/>
    <e v="#NAME?"/>
    <s v="Irregular bleeding "/>
    <x v="1"/>
    <n v="26"/>
    <s v="Contraception Issues and concerns"/>
    <m/>
    <m/>
    <s v="FP.2. Counseling"/>
    <x v="3"/>
    <m/>
    <s v="2.6 Discuss Issues and concerns"/>
    <m/>
    <s v="FP.DE.232"/>
    <m/>
    <m/>
    <m/>
    <m/>
    <m/>
    <s v="Irregular bleeding "/>
    <m/>
    <s v="No"/>
    <m/>
    <s v="Yes"/>
    <s v="C"/>
    <s v="Include if issues and concerns = TRUE _x000a_AND Method at intake - reported = COCs or POPs or female condom or diaphragm"/>
    <m/>
    <m/>
    <m/>
    <m/>
    <m/>
    <m/>
    <m/>
    <m/>
    <x v="3"/>
    <x v="9"/>
    <m/>
    <s v=" "/>
    <m/>
    <x v="2"/>
    <s v="JS"/>
    <m/>
    <m/>
    <m/>
    <s v="       Irregular bleeding "/>
    <s v="Same"/>
    <m/>
    <x v="1"/>
    <e v="#NAME?"/>
    <m/>
    <x v="0"/>
    <m/>
    <m/>
    <s v="x"/>
    <s v="N93.9"/>
    <s v="GA2Z"/>
    <s v="301822002"/>
    <m/>
    <m/>
    <m/>
    <m/>
    <m/>
    <m/>
    <m/>
    <n v="150802"/>
    <m/>
    <m/>
    <m/>
    <m/>
    <m/>
    <m/>
    <x v="2"/>
    <n v="0"/>
    <x v="2"/>
    <x v="41"/>
    <n v="1"/>
    <s v=""/>
    <n v="1"/>
    <n v="1"/>
    <n v="1"/>
    <n v="0"/>
    <n v="0"/>
  </r>
  <r>
    <n v="1387"/>
    <s v="       Client suspects pregnancy"/>
    <n v="1387"/>
    <e v="#NAME?"/>
    <s v="Client suspects pregnancy"/>
    <x v="1"/>
    <n v="32"/>
    <s v="Contraception Issues and concerns"/>
    <m/>
    <m/>
    <s v="FP.2. Counseling"/>
    <x v="3"/>
    <m/>
    <s v="2.6 Discuss Issues and concerns"/>
    <m/>
    <s v="FP.DE.215"/>
    <m/>
    <m/>
    <m/>
    <m/>
    <m/>
    <s v="Client suspects pregnancy"/>
    <m/>
    <s v="No"/>
    <m/>
    <s v="Yes"/>
    <s v="C"/>
    <s v="Include if issues and concerns = TRUE _x000a_AND Method at intake - reported = COCs or POPs or female condom or diaphragm"/>
    <m/>
    <m/>
    <m/>
    <m/>
    <m/>
    <m/>
    <m/>
    <m/>
    <x v="3"/>
    <x v="9"/>
    <m/>
    <s v=" "/>
    <m/>
    <x v="2"/>
    <s v="JS"/>
    <m/>
    <m/>
    <m/>
    <s v="       Client suspects pregnancy"/>
    <s v="Same"/>
    <m/>
    <x v="1"/>
    <e v="#NAME?"/>
    <m/>
    <x v="0"/>
    <m/>
    <m/>
    <s v="?"/>
    <s v="Z32.0 "/>
    <m/>
    <m/>
    <m/>
    <m/>
    <m/>
    <m/>
    <m/>
    <s v="evaluation for PG"/>
    <m/>
    <m/>
    <m/>
    <m/>
    <m/>
    <m/>
    <m/>
    <m/>
    <x v="2"/>
    <n v="0"/>
    <x v="2"/>
    <x v="41"/>
    <n v="1"/>
    <s v=""/>
    <n v="1"/>
    <n v="1"/>
    <n v="1"/>
    <n v="0"/>
    <n v="0"/>
  </r>
  <r>
    <n v="1388"/>
    <s v="       Spotting or light bleeding"/>
    <n v="1388"/>
    <e v="#NAME?"/>
    <s v="Spotting or light bleeding"/>
    <x v="1"/>
    <n v="33"/>
    <s v="Contraception Issues and concerns"/>
    <m/>
    <m/>
    <s v="FP.2. Counseling"/>
    <x v="3"/>
    <m/>
    <s v="2.6 Discuss Issues and concerns"/>
    <m/>
    <s v="FP.DE.234"/>
    <m/>
    <m/>
    <m/>
    <m/>
    <m/>
    <s v="Spotting or light bleeding"/>
    <m/>
    <s v="No"/>
    <m/>
    <s v="Yes"/>
    <s v="C"/>
    <s v="Include if issues and concerns = TRUE _x000a_AND Method at intake - reported = COCs or POPs or ECP"/>
    <m/>
    <m/>
    <m/>
    <m/>
    <m/>
    <m/>
    <m/>
    <m/>
    <x v="3"/>
    <x v="9"/>
    <m/>
    <s v=" "/>
    <m/>
    <x v="2"/>
    <s v="JS"/>
    <m/>
    <m/>
    <m/>
    <s v="       Spotting or light bleeding"/>
    <s v="Same"/>
    <m/>
    <x v="1"/>
    <e v="#NAME?"/>
    <m/>
    <x v="0"/>
    <m/>
    <m/>
    <s v="x"/>
    <s v="N89.8"/>
    <s v="GA1Z"/>
    <s v="9126005"/>
    <m/>
    <m/>
    <m/>
    <m/>
    <m/>
    <m/>
    <m/>
    <n v="115814"/>
    <m/>
    <m/>
    <m/>
    <m/>
    <m/>
    <m/>
    <x v="2"/>
    <n v="0"/>
    <x v="2"/>
    <x v="41"/>
    <n v="1"/>
    <s v=""/>
    <n v="1"/>
    <n v="1"/>
    <n v="1"/>
    <n v="0"/>
    <n v="0"/>
  </r>
  <r>
    <n v="1389"/>
    <s v="       Change in timing of monthly bleeding"/>
    <n v="1389"/>
    <e v="#NAME?"/>
    <s v="Change in timing of monthly bleeding"/>
    <x v="1"/>
    <n v="43"/>
    <s v="Contraception Issues and concerns"/>
    <m/>
    <m/>
    <s v="FP.2. Counseling"/>
    <x v="3"/>
    <m/>
    <s v="2.6 Discuss Issues and concerns"/>
    <m/>
    <s v="FP.DE.214"/>
    <m/>
    <m/>
    <m/>
    <m/>
    <m/>
    <s v="Change in timing of monthly bleeding"/>
    <m/>
    <s v="No"/>
    <m/>
    <s v="Yes"/>
    <s v="C"/>
    <s v="Include if issues and concerns = TRUE _x000a_AND Method at intake - reported = Emergency Contraception"/>
    <m/>
    <m/>
    <m/>
    <m/>
    <m/>
    <m/>
    <m/>
    <m/>
    <x v="3"/>
    <x v="9"/>
    <m/>
    <s v=" "/>
    <m/>
    <x v="2"/>
    <s v="JS"/>
    <m/>
    <m/>
    <m/>
    <s v="       Change in timing of monthly bleeding"/>
    <s v="Same"/>
    <m/>
    <x v="1"/>
    <e v="#NAME?"/>
    <m/>
    <x v="0"/>
    <m/>
    <m/>
    <s v="?"/>
    <m/>
    <m/>
    <s v="44991000119100"/>
    <m/>
    <m/>
    <m/>
    <m/>
    <m/>
    <s v="mapped to abnormal vaginal bleeding"/>
    <m/>
    <m/>
    <m/>
    <m/>
    <m/>
    <m/>
    <m/>
    <m/>
    <x v="2"/>
    <n v="0"/>
    <x v="2"/>
    <x v="41"/>
    <n v="1"/>
    <s v=""/>
    <n v="1"/>
    <n v="1"/>
    <n v="1"/>
    <n v="0"/>
    <n v="0"/>
  </r>
  <r>
    <n v="1390"/>
    <s v="       Heavy or prolonged bleeding"/>
    <n v="1390"/>
    <e v="#NAME?"/>
    <s v="Heavy or prolonged bleeding"/>
    <x v="1"/>
    <n v="34"/>
    <s v="Contraception Issues and concerns"/>
    <m/>
    <m/>
    <s v="FP.2. Counseling"/>
    <x v="3"/>
    <m/>
    <s v="2.6 Discuss Issues and concerns"/>
    <m/>
    <s v="FP.DE.223"/>
    <m/>
    <m/>
    <m/>
    <m/>
    <m/>
    <s v="Heavy or prolonged bleeding"/>
    <m/>
    <s v="No"/>
    <m/>
    <s v="Yes"/>
    <s v="C"/>
    <s v="Include if issues and concerns = TRUE _x000a_AND Method at intake - reported = Cu-IUD or LNG-IUD or COCs or POPs or DMPA-IM or NET-EN or Implants"/>
    <m/>
    <m/>
    <m/>
    <m/>
    <m/>
    <m/>
    <m/>
    <m/>
    <x v="3"/>
    <x v="9"/>
    <m/>
    <s v=" "/>
    <m/>
    <x v="2"/>
    <s v="JS"/>
    <m/>
    <m/>
    <m/>
    <s v="       Heavy or prolonged bleeding"/>
    <s v="Same"/>
    <m/>
    <x v="1"/>
    <e v="#NAME?"/>
    <m/>
    <x v="0"/>
    <m/>
    <m/>
    <s v="x"/>
    <s v="N93  "/>
    <m/>
    <s v="289539007"/>
    <m/>
    <m/>
    <m/>
    <m/>
    <m/>
    <s v="abnormal bleeding"/>
    <m/>
    <m/>
    <m/>
    <m/>
    <m/>
    <m/>
    <m/>
    <m/>
    <x v="2"/>
    <n v="0"/>
    <x v="2"/>
    <x v="41"/>
    <n v="1"/>
    <s v=""/>
    <n v="1"/>
    <n v="1"/>
    <n v="1"/>
    <n v="0"/>
    <n v="0"/>
  </r>
  <r>
    <n v="1391"/>
    <s v="       Unexplained vaginal bleeding"/>
    <n v="1391"/>
    <e v="#NAME?"/>
    <s v="Unexplained vaginal bleeding (suspicious for serious condition), before evaluation"/>
    <x v="1"/>
    <n v="35"/>
    <s v="Contraception Issues and concerns"/>
    <m/>
    <m/>
    <s v="FP.2. Counseling"/>
    <x v="3"/>
    <m/>
    <s v="2.6 Discuss Issues and concerns"/>
    <m/>
    <s v="FP.DE.235"/>
    <m/>
    <m/>
    <s v="Unexplained vaginal bleeding (suspicious for serious condition)"/>
    <m/>
    <m/>
    <s v="Unexplained vaginal bleeding (suspicious for serious condition), before evaluation"/>
    <m/>
    <s v="No"/>
    <m/>
    <s v="Yes"/>
    <s v="C"/>
    <s v="Include if issues and concerns = TRUE _x000a_AND current method = COCs or POPs"/>
    <m/>
    <m/>
    <m/>
    <m/>
    <m/>
    <m/>
    <m/>
    <m/>
    <x v="3"/>
    <x v="9"/>
    <m/>
    <s v=" "/>
    <m/>
    <x v="2"/>
    <s v="JS"/>
    <m/>
    <m/>
    <m/>
    <s v="       Unexplained vaginal bleeding (suspicious for serious condition), before evaluation"/>
    <s v="Changed"/>
    <m/>
    <x v="1"/>
    <e v="#NAME?"/>
    <m/>
    <x v="0"/>
    <m/>
    <m/>
    <s v="x"/>
    <s v="N89.8"/>
    <s v="GA1Z"/>
    <s v="289530006"/>
    <m/>
    <m/>
    <m/>
    <m/>
    <m/>
    <m/>
    <m/>
    <n v="147232"/>
    <m/>
    <m/>
    <m/>
    <m/>
    <m/>
    <m/>
    <x v="2"/>
    <n v="0"/>
    <x v="2"/>
    <x v="41"/>
    <n v="1"/>
    <s v=""/>
    <n v="1"/>
    <n v="1"/>
    <n v="1"/>
    <n v="0"/>
    <n v="0"/>
  </r>
  <r>
    <n v="1392"/>
    <s v="       Mood changes after start of method"/>
    <n v="1392"/>
    <e v="#NAME?"/>
    <s v="Mood changes after start of method"/>
    <x v="1"/>
    <n v="41"/>
    <s v="Contraception Issues and concerns"/>
    <m/>
    <m/>
    <s v="FP.2. Counseling"/>
    <x v="3"/>
    <m/>
    <s v="2.6 Discuss Issues and concerns"/>
    <m/>
    <s v="FP.DE.225"/>
    <m/>
    <m/>
    <m/>
    <m/>
    <m/>
    <s v="Mood changes after start of method"/>
    <m/>
    <s v="No"/>
    <m/>
    <s v="Yes"/>
    <s v="C"/>
    <s v="Include if issues and concerns = TRUE _x000a_AND Method at intake - reported = COCs or POPs"/>
    <m/>
    <m/>
    <m/>
    <m/>
    <m/>
    <m/>
    <m/>
    <m/>
    <x v="3"/>
    <x v="9"/>
    <m/>
    <s v=" "/>
    <m/>
    <x v="2"/>
    <s v="JS"/>
    <m/>
    <m/>
    <m/>
    <s v="       Mood changes after start of method"/>
    <s v="Same"/>
    <m/>
    <x v="1"/>
    <e v="#NAME?"/>
    <m/>
    <x v="0"/>
    <m/>
    <m/>
    <m/>
    <s v="F39"/>
    <s v="6A8Z"/>
    <s v="48079002"/>
    <m/>
    <m/>
    <m/>
    <m/>
    <m/>
    <m/>
    <m/>
    <n v="118879"/>
    <m/>
    <m/>
    <m/>
    <m/>
    <m/>
    <m/>
    <x v="2"/>
    <n v="0"/>
    <x v="2"/>
    <x v="41"/>
    <n v="1"/>
    <s v=""/>
    <n v="1"/>
    <n v="1"/>
    <n v="1"/>
    <n v="0"/>
    <n v="0"/>
  </r>
  <r>
    <n v="1393"/>
    <s v="       Changes in sex drive"/>
    <n v="1393"/>
    <e v="#NAME?"/>
    <s v="Changes in sex drive"/>
    <x v="1"/>
    <n v="27"/>
    <s v="Contraception Issues and concerns"/>
    <m/>
    <m/>
    <s v="FP.2. Counseling"/>
    <x v="3"/>
    <m/>
    <s v="2.6 Discuss Issues and concerns"/>
    <m/>
    <s v="FP.DE.226"/>
    <m/>
    <m/>
    <m/>
    <m/>
    <m/>
    <s v="Changes in sex drive"/>
    <m/>
    <s v="No"/>
    <m/>
    <s v="Yes"/>
    <s v="C"/>
    <s v="Include if issues and concerns = TRUE _x000a_AND Method at intake - reported = COCs or POPs"/>
    <m/>
    <m/>
    <m/>
    <m/>
    <m/>
    <m/>
    <m/>
    <m/>
    <x v="3"/>
    <x v="9"/>
    <m/>
    <s v=" "/>
    <m/>
    <x v="2"/>
    <s v="JS"/>
    <m/>
    <m/>
    <m/>
    <s v="       Changes in sex drive"/>
    <s v="Same"/>
    <m/>
    <x v="1"/>
    <e v="#NAME?"/>
    <m/>
    <x v="0"/>
    <m/>
    <m/>
    <m/>
    <m/>
    <m/>
    <s v="365965002"/>
    <m/>
    <m/>
    <m/>
    <m/>
    <m/>
    <m/>
    <m/>
    <m/>
    <m/>
    <m/>
    <m/>
    <m/>
    <m/>
    <m/>
    <x v="2"/>
    <n v="0"/>
    <x v="2"/>
    <x v="41"/>
    <n v="1"/>
    <s v=""/>
    <n v="1"/>
    <n v="1"/>
    <n v="1"/>
    <n v="0"/>
    <n v="0"/>
  </r>
  <r>
    <n v="1394"/>
    <s v="       Discomfort or pain with use"/>
    <n v="1394"/>
    <e v="#NAME?"/>
    <s v="Discomfort or pain with use"/>
    <x v="1"/>
    <n v="34"/>
    <s v="Contraception Issues and concerns"/>
    <m/>
    <m/>
    <s v="FP.2. Counseling"/>
    <x v="3"/>
    <m/>
    <s v="2.6 Discuss Issues and concerns"/>
    <m/>
    <s v="FP.DE.204"/>
    <m/>
    <m/>
    <m/>
    <m/>
    <m/>
    <s v="Discomfort or pain with use"/>
    <m/>
    <s v="No"/>
    <m/>
    <s v="Yes"/>
    <s v="C"/>
    <s v="Include if issues and concerns = TRUE _x000a_AND Method at intake - reported = Barrier method"/>
    <m/>
    <m/>
    <m/>
    <m/>
    <m/>
    <m/>
    <m/>
    <m/>
    <x v="3"/>
    <x v="9"/>
    <m/>
    <s v=" "/>
    <m/>
    <x v="2"/>
    <s v="JS"/>
    <m/>
    <m/>
    <m/>
    <s v="       Discomfort or pain with use"/>
    <s v="Same"/>
    <m/>
    <x v="1"/>
    <e v="#NAME?"/>
    <m/>
    <x v="0"/>
    <m/>
    <m/>
    <s v="i cant find; maybe pain plus method?"/>
    <m/>
    <m/>
    <s v="247347003"/>
    <m/>
    <m/>
    <m/>
    <m/>
    <s v="x"/>
    <m/>
    <m/>
    <m/>
    <m/>
    <m/>
    <m/>
    <m/>
    <m/>
    <m/>
    <x v="2"/>
    <n v="0"/>
    <x v="2"/>
    <x v="41"/>
    <n v="1"/>
    <s v=""/>
    <n v="1"/>
    <n v="1"/>
    <n v="1"/>
    <n v="0"/>
    <n v="0"/>
  </r>
  <r>
    <n v="1395"/>
    <s v="       Pain lasting for months"/>
    <n v="1395"/>
    <e v="#NAME?"/>
    <s v="Pain lasting for months"/>
    <x v="1"/>
    <n v="30"/>
    <s v="Contraception Issues and concerns"/>
    <m/>
    <m/>
    <s v="FP.2. Counseling"/>
    <x v="3"/>
    <m/>
    <s v="2.6 Discuss Issues and concerns"/>
    <m/>
    <s v="FP.DE.212"/>
    <m/>
    <m/>
    <m/>
    <m/>
    <m/>
    <s v="Pain lasting for months"/>
    <m/>
    <s v="No"/>
    <m/>
    <s v="Yes"/>
    <s v="C"/>
    <s v="Include if issues and concerns = TRUE _x000a_AND Method at intake - reported = Vasectomy"/>
    <m/>
    <m/>
    <m/>
    <m/>
    <m/>
    <m/>
    <m/>
    <m/>
    <x v="3"/>
    <x v="9"/>
    <m/>
    <s v=" "/>
    <m/>
    <x v="2"/>
    <s v="JS"/>
    <m/>
    <m/>
    <m/>
    <s v="       Pain lasting for months"/>
    <s v="Same"/>
    <m/>
    <x v="1"/>
    <e v="#NAME?"/>
    <m/>
    <x v="0"/>
    <m/>
    <m/>
    <s v="post procedure vasectomy pain"/>
    <s v="N99.89"/>
    <m/>
    <m/>
    <m/>
    <m/>
    <m/>
    <m/>
    <m/>
    <m/>
    <m/>
    <m/>
    <m/>
    <m/>
    <m/>
    <m/>
    <m/>
    <m/>
    <x v="2"/>
    <n v="0"/>
    <x v="2"/>
    <x v="41"/>
    <n v="1"/>
    <s v=""/>
    <n v="1"/>
    <n v="1"/>
    <n v="1"/>
    <n v="0"/>
    <n v="0"/>
  </r>
  <r>
    <n v="1396"/>
    <s v="       Severe pain in lower abdomen"/>
    <n v="1396"/>
    <e v="#NAME?"/>
    <s v="Severe pain in lower abdomen"/>
    <x v="1"/>
    <n v="35"/>
    <s v="Contraception Issues and concerns"/>
    <m/>
    <m/>
    <s v="FP.2. Counseling"/>
    <x v="3"/>
    <m/>
    <s v="2.6 Discuss Issues and concerns"/>
    <m/>
    <s v="FP.DE.220"/>
    <m/>
    <m/>
    <m/>
    <m/>
    <m/>
    <s v="Severe pain in lower abdomen"/>
    <m/>
    <s v="No"/>
    <m/>
    <s v="Yes"/>
    <m/>
    <m/>
    <m/>
    <m/>
    <m/>
    <m/>
    <m/>
    <m/>
    <m/>
    <m/>
    <x v="3"/>
    <x v="9"/>
    <m/>
    <s v=" "/>
    <m/>
    <x v="2"/>
    <s v="JS"/>
    <m/>
    <m/>
    <m/>
    <s v="       Severe pain in lower abdomen"/>
    <s v="Same"/>
    <m/>
    <x v="1"/>
    <e v="#NAME?"/>
    <m/>
    <x v="0"/>
    <m/>
    <m/>
    <s v="x no way to indicate severe"/>
    <s v="R10.30"/>
    <m/>
    <m/>
    <m/>
    <m/>
    <m/>
    <m/>
    <m/>
    <m/>
    <m/>
    <m/>
    <m/>
    <m/>
    <m/>
    <m/>
    <m/>
    <m/>
    <x v="2"/>
    <n v="0"/>
    <x v="2"/>
    <x v="41"/>
    <n v="1"/>
    <s v=""/>
    <n v="1"/>
    <n v="1"/>
    <n v="1"/>
    <n v="0"/>
    <n v="0"/>
  </r>
  <r>
    <n v="1397"/>
    <s v="       Abscess"/>
    <n v="1397"/>
    <e v="#NAME?"/>
    <s v="Abscess"/>
    <x v="1"/>
    <n v="14"/>
    <s v="Contraception Issues and concerns"/>
    <m/>
    <m/>
    <s v="FP.2. Counseling"/>
    <x v="3"/>
    <m/>
    <s v="2.6 Discuss Issues and concerns"/>
    <m/>
    <s v="FP.DE.216"/>
    <m/>
    <m/>
    <m/>
    <m/>
    <m/>
    <s v="Abscess"/>
    <m/>
    <s v="No"/>
    <m/>
    <s v="Yes"/>
    <s v="C"/>
    <s v="Include if issues and concerns = TRUE _x000a_AND Method at intake - reported = Sterilization"/>
    <m/>
    <m/>
    <m/>
    <m/>
    <m/>
    <m/>
    <m/>
    <m/>
    <x v="3"/>
    <x v="9"/>
    <m/>
    <s v=" "/>
    <m/>
    <x v="2"/>
    <s v="JS"/>
    <m/>
    <m/>
    <m/>
    <s v="       Abscess"/>
    <s v="Same"/>
    <m/>
    <x v="1"/>
    <e v="#NAME?"/>
    <m/>
    <x v="0"/>
    <m/>
    <m/>
    <s v="sent to WHO"/>
    <s v="T81.4"/>
    <m/>
    <s v="12243431000119101"/>
    <m/>
    <m/>
    <m/>
    <m/>
    <m/>
    <s v="needs more informaiton to code this; abscess where"/>
    <n v="86"/>
    <m/>
    <m/>
    <m/>
    <m/>
    <m/>
    <m/>
    <m/>
    <x v="2"/>
    <n v="0"/>
    <x v="2"/>
    <x v="41"/>
    <n v="1"/>
    <s v=""/>
    <n v="1"/>
    <n v="1"/>
    <n v="1"/>
    <n v="0"/>
    <n v="0"/>
  </r>
  <r>
    <n v="1398"/>
    <s v="       Candidiasis"/>
    <n v="1398"/>
    <e v="#NAME?"/>
    <s v="Candidiasis"/>
    <x v="1"/>
    <n v="18"/>
    <s v="Contraception Issues and concerns"/>
    <m/>
    <m/>
    <s v="FP.2. Counseling"/>
    <x v="3"/>
    <m/>
    <s v="2.6 Discuss Issues and concerns"/>
    <m/>
    <s v="FP.DE.200"/>
    <m/>
    <m/>
    <m/>
    <m/>
    <m/>
    <s v="Candidiasis"/>
    <m/>
    <s v="No"/>
    <m/>
    <s v="Yes"/>
    <s v="C"/>
    <s v="Include if issues and concerns = TRUE _x000a_ AND Method at intake - reported = Diaphragm"/>
    <m/>
    <m/>
    <m/>
    <m/>
    <m/>
    <m/>
    <m/>
    <m/>
    <x v="3"/>
    <x v="9"/>
    <m/>
    <s v=" "/>
    <m/>
    <x v="2"/>
    <s v="JS"/>
    <m/>
    <m/>
    <m/>
    <s v="       Candidiasis"/>
    <s v="Same"/>
    <m/>
    <x v="1"/>
    <e v="#NAME?"/>
    <m/>
    <x v="0"/>
    <m/>
    <m/>
    <s v="used wet prep for dx for lOINC; done"/>
    <s v="B37.3"/>
    <m/>
    <s v="72934000"/>
    <s v="12275-4 "/>
    <m/>
    <m/>
    <m/>
    <m/>
    <s v="yeast by wet prep"/>
    <m/>
    <m/>
    <m/>
    <m/>
    <m/>
    <m/>
    <m/>
    <m/>
    <x v="2"/>
    <n v="0"/>
    <x v="2"/>
    <x v="41"/>
    <n v="1"/>
    <s v=""/>
    <n v="1"/>
    <n v="1"/>
    <n v="1"/>
    <n v="0"/>
    <n v="0"/>
  </r>
  <r>
    <n v="1399"/>
    <s v="       Bacterial vaginosis"/>
    <n v="1399"/>
    <e v="#NAME?"/>
    <s v="Bacterial vaginosis"/>
    <x v="1"/>
    <n v="26"/>
    <s v="Contraception Issues and concerns"/>
    <m/>
    <m/>
    <s v="FP.2. Counseling"/>
    <x v="3"/>
    <m/>
    <s v="2.6 Discuss Issues and concerns"/>
    <m/>
    <s v="FP.DE.201"/>
    <m/>
    <m/>
    <m/>
    <m/>
    <m/>
    <s v="Bacterial vaginosis"/>
    <m/>
    <s v="No"/>
    <m/>
    <s v="Yes"/>
    <s v="C"/>
    <s v="Include if issues and concerns = TRUE _x000a_ AND Method at intake - reported = Diaphragm"/>
    <m/>
    <m/>
    <m/>
    <m/>
    <m/>
    <m/>
    <m/>
    <m/>
    <x v="3"/>
    <x v="9"/>
    <m/>
    <s v=" "/>
    <m/>
    <x v="2"/>
    <s v="JS"/>
    <m/>
    <m/>
    <m/>
    <s v="       Bacterial vaginosis"/>
    <s v="Same"/>
    <m/>
    <x v="1"/>
    <e v="#NAME?"/>
    <m/>
    <x v="0"/>
    <m/>
    <m/>
    <s v="x"/>
    <s v="N76.0; N77.1"/>
    <m/>
    <s v="419760006"/>
    <s v="69568-4"/>
    <m/>
    <m/>
    <m/>
    <m/>
    <m/>
    <m/>
    <m/>
    <m/>
    <m/>
    <m/>
    <m/>
    <m/>
    <m/>
    <x v="2"/>
    <n v="0"/>
    <x v="2"/>
    <x v="41"/>
    <n v="1"/>
    <s v=""/>
    <n v="1"/>
    <n v="1"/>
    <n v="1"/>
    <n v="0"/>
    <n v="0"/>
  </r>
  <r>
    <n v="1400"/>
    <s v="       Toxic shock syndrome"/>
    <n v="1400"/>
    <e v="#NAME?"/>
    <s v="Toxic shock syndrome"/>
    <x v="1"/>
    <n v="27"/>
    <s v="Contraception Issues and concerns"/>
    <m/>
    <m/>
    <s v="FP.2. Counseling"/>
    <x v="3"/>
    <m/>
    <s v="2.6 Discuss Issues and concerns"/>
    <m/>
    <s v="FP.DE.202"/>
    <m/>
    <m/>
    <m/>
    <m/>
    <m/>
    <s v="Toxic shock syndrome"/>
    <m/>
    <s v="No"/>
    <m/>
    <s v="Yes"/>
    <s v="C"/>
    <s v="Include if issues and concerns = TRUE _x000a_ AND Method at intake - reported = Diaphragm"/>
    <m/>
    <m/>
    <m/>
    <m/>
    <m/>
    <m/>
    <m/>
    <m/>
    <x v="3"/>
    <x v="9"/>
    <m/>
    <s v=" "/>
    <m/>
    <x v="2"/>
    <s v="JS"/>
    <m/>
    <m/>
    <m/>
    <s v="       Toxic shock syndrome"/>
    <s v="Same"/>
    <m/>
    <x v="1"/>
    <e v="#NAME?"/>
    <m/>
    <x v="0"/>
    <m/>
    <m/>
    <s v="x"/>
    <s v="A48.3"/>
    <m/>
    <s v="18504008"/>
    <m/>
    <m/>
    <m/>
    <m/>
    <m/>
    <s v="snomed OK"/>
    <m/>
    <m/>
    <m/>
    <m/>
    <m/>
    <m/>
    <m/>
    <m/>
    <x v="2"/>
    <n v="0"/>
    <x v="2"/>
    <x v="41"/>
    <n v="1"/>
    <s v=""/>
    <n v="1"/>
    <n v="1"/>
    <n v="1"/>
    <n v="0"/>
    <n v="0"/>
  </r>
  <r>
    <n v="1401"/>
    <s v="       Urinary tract infection"/>
    <n v="1401"/>
    <e v="#NAME?"/>
    <s v="Urinary tract infection"/>
    <x v="1"/>
    <n v="30"/>
    <s v="Contraception Issues and concerns"/>
    <m/>
    <m/>
    <s v="FP.2. Counseling"/>
    <x v="3"/>
    <m/>
    <s v="2.6 Discuss Issues and concerns"/>
    <m/>
    <s v="FP.DE.203"/>
    <m/>
    <m/>
    <m/>
    <m/>
    <m/>
    <s v="Urinary tract infection"/>
    <m/>
    <s v="No"/>
    <m/>
    <s v="Yes"/>
    <s v="C"/>
    <s v="Include if issues and concerns = TRUE _x000a_ AND Method at intake - reported = Diaphragm"/>
    <m/>
    <m/>
    <m/>
    <m/>
    <m/>
    <m/>
    <m/>
    <m/>
    <x v="3"/>
    <x v="9"/>
    <m/>
    <s v=" "/>
    <m/>
    <x v="2"/>
    <s v="JS"/>
    <m/>
    <m/>
    <m/>
    <s v="       Urinary tract infection"/>
    <s v="Same"/>
    <m/>
    <x v="1"/>
    <e v="#NAME?"/>
    <m/>
    <x v="0"/>
    <m/>
    <m/>
    <m/>
    <s v="N39; Z87.440"/>
    <m/>
    <s v="68566005"/>
    <m/>
    <m/>
    <m/>
    <m/>
    <m/>
    <s v="https://phinvads.cdc.gov/vads/ViewCodeSystemConcept.action?oid=2.16.840.1.113883.6.96&amp;code=68566005"/>
    <m/>
    <m/>
    <m/>
    <m/>
    <m/>
    <m/>
    <m/>
    <m/>
    <x v="2"/>
    <n v="0"/>
    <x v="2"/>
    <x v="41"/>
    <n v="1"/>
    <s v=""/>
    <n v="1"/>
    <n v="1"/>
    <n v="1"/>
    <n v="0"/>
    <n v="0"/>
  </r>
  <r>
    <n v="1402"/>
    <s v="       Difficulty inserting/removing/using method"/>
    <n v="1402"/>
    <e v="#NAME?"/>
    <s v="Difficulty inserting/removing/using method"/>
    <x v="1"/>
    <n v="49"/>
    <s v="Contraception Issues and concerns"/>
    <m/>
    <m/>
    <s v="FP.2. Counseling"/>
    <x v="3"/>
    <m/>
    <s v="2.6 Discuss Issues and concerns"/>
    <m/>
    <s v="FP.DE.205"/>
    <m/>
    <m/>
    <m/>
    <m/>
    <m/>
    <s v="Difficulty inserting/removing/using method"/>
    <m/>
    <s v="No"/>
    <m/>
    <s v="Yes"/>
    <s v="C"/>
    <s v="Include if issues and concerns = TRUE _x000a_AND current method = Barrier method"/>
    <m/>
    <m/>
    <m/>
    <m/>
    <m/>
    <m/>
    <m/>
    <m/>
    <x v="3"/>
    <x v="0"/>
    <m/>
    <m/>
    <m/>
    <x v="2"/>
    <s v="JS"/>
    <m/>
    <m/>
    <m/>
    <s v="       Difficulty inserting/removing/using method"/>
    <s v="Same"/>
    <m/>
    <x v="1"/>
    <e v="#NAME?"/>
    <m/>
    <x v="0"/>
    <m/>
    <m/>
    <s v="i cant find"/>
    <m/>
    <m/>
    <s v="55607006"/>
    <m/>
    <m/>
    <m/>
    <m/>
    <m/>
    <s v="snomed-- problem with"/>
    <m/>
    <m/>
    <m/>
    <m/>
    <m/>
    <m/>
    <m/>
    <m/>
    <x v="2"/>
    <n v="0"/>
    <x v="2"/>
    <x v="41"/>
    <n v="1"/>
    <s v=""/>
    <n v="1"/>
    <n v="1"/>
    <n v="1"/>
    <n v="0"/>
    <n v="0"/>
  </r>
  <r>
    <n v="1403"/>
    <s v="       Used incorrectly"/>
    <n v="1403"/>
    <e v="#NAME?"/>
    <s v="Used incorrectly"/>
    <x v="1"/>
    <n v="23"/>
    <s v="Contraception Issues and concerns"/>
    <m/>
    <m/>
    <s v="FP.2. Counseling"/>
    <x v="3"/>
    <m/>
    <s v="2.6 Discuss Issues and concerns"/>
    <m/>
    <s v="FP.DE.206"/>
    <m/>
    <m/>
    <s v="Method used incorrectly"/>
    <m/>
    <m/>
    <s v="Used incorrectly"/>
    <m/>
    <s v="No"/>
    <m/>
    <s v="Yes"/>
    <s v="C"/>
    <s v="Include if issues and concerns = TRUE _x000a_AND current method = Barrier method"/>
    <m/>
    <m/>
    <m/>
    <m/>
    <m/>
    <m/>
    <m/>
    <m/>
    <x v="3"/>
    <x v="0"/>
    <m/>
    <m/>
    <m/>
    <x v="2"/>
    <s v="JS"/>
    <m/>
    <m/>
    <m/>
    <s v="       Used incorrectly"/>
    <s v="Same"/>
    <m/>
    <x v="1"/>
    <e v="#NAME?"/>
    <m/>
    <x v="0"/>
    <m/>
    <m/>
    <m/>
    <m/>
    <m/>
    <m/>
    <s v="_x000a_LA7335-8"/>
    <m/>
    <m/>
    <m/>
    <m/>
    <s v="used inapproproately ;no tincorrectly; not good mapping"/>
    <m/>
    <m/>
    <m/>
    <m/>
    <m/>
    <m/>
    <m/>
    <m/>
    <x v="2"/>
    <n v="0"/>
    <x v="2"/>
    <x v="41"/>
    <n v="1"/>
    <s v=""/>
    <n v="1"/>
    <n v="1"/>
    <n v="1"/>
    <n v="0"/>
    <n v="0"/>
  </r>
  <r>
    <n v="1404"/>
    <s v="       Makes noise during sex"/>
    <n v="1404"/>
    <e v="#NAME?"/>
    <s v="Makes noise during sex"/>
    <x v="1"/>
    <n v="29"/>
    <s v="Contraception Issues and concerns"/>
    <m/>
    <m/>
    <s v="FP.2. Counseling"/>
    <x v="3"/>
    <m/>
    <s v="2.6 Discuss Issues and concerns"/>
    <m/>
    <s v="FP.DE.207"/>
    <m/>
    <m/>
    <s v="Method makes noise during sex"/>
    <m/>
    <m/>
    <s v="Makes noise during sex"/>
    <m/>
    <s v="No"/>
    <m/>
    <s v="Yes"/>
    <s v="C"/>
    <s v="Include if issues and concerns = TRUE _x000a_AND current method = Barrier method"/>
    <m/>
    <m/>
    <m/>
    <m/>
    <m/>
    <m/>
    <m/>
    <m/>
    <x v="3"/>
    <x v="0"/>
    <m/>
    <m/>
    <m/>
    <x v="2"/>
    <s v="JS"/>
    <m/>
    <m/>
    <m/>
    <s v="       Makes noise during sex"/>
    <s v="Same"/>
    <m/>
    <x v="1"/>
    <e v="#NAME?"/>
    <m/>
    <x v="0"/>
    <s v="http://who.int/cg/CodeSystem/extended-content"/>
    <s v="Makes noise during sex"/>
    <s v="i cant find"/>
    <m/>
    <m/>
    <m/>
    <m/>
    <m/>
    <s v="No SNOMED code available"/>
    <m/>
    <s v="x"/>
    <m/>
    <m/>
    <m/>
    <m/>
    <m/>
    <m/>
    <m/>
    <m/>
    <m/>
    <x v="2"/>
    <n v="0"/>
    <x v="2"/>
    <x v="41"/>
    <n v="1"/>
    <s v=""/>
    <n v="1"/>
    <n v="1"/>
    <n v="1"/>
    <n v="0"/>
    <n v="0"/>
  </r>
  <r>
    <n v="1405"/>
    <s v="       Other"/>
    <n v="1405"/>
    <e v="#NAME?"/>
    <s v="Other"/>
    <x v="1"/>
    <n v="12"/>
    <s v="Contraception Issues and concerns"/>
    <m/>
    <m/>
    <s v="FP.2. Counseling"/>
    <x v="3"/>
    <m/>
    <s v="2.6 Discuss Issues and concerns"/>
    <m/>
    <s v="FP.DE.433"/>
    <m/>
    <m/>
    <m/>
    <m/>
    <m/>
    <s v="Other"/>
    <m/>
    <s v="Yes"/>
    <s v="Method at intake or prior contraceptive methods not null"/>
    <s v="Yes"/>
    <s v="C"/>
    <s v="Include if issues and concerns = TRUE _x000a_AND current method = Barrier method"/>
    <m/>
    <m/>
    <m/>
    <m/>
    <m/>
    <m/>
    <m/>
    <m/>
    <x v="3"/>
    <x v="0"/>
    <m/>
    <m/>
    <m/>
    <x v="2"/>
    <s v="JS"/>
    <m/>
    <m/>
    <m/>
    <s v="       Others"/>
    <s v="Changed"/>
    <m/>
    <x v="1"/>
    <e v="#NAME?"/>
    <m/>
    <x v="0"/>
    <s v="http://who.int/cg/CodeSystem/extended-content"/>
    <s v="other"/>
    <m/>
    <m/>
    <m/>
    <s v="74964007"/>
    <m/>
    <m/>
    <m/>
    <m/>
    <m/>
    <m/>
    <m/>
    <m/>
    <m/>
    <m/>
    <m/>
    <m/>
    <m/>
    <m/>
    <x v="2"/>
    <n v="0"/>
    <x v="2"/>
    <x v="41"/>
    <n v="1"/>
    <s v=""/>
    <n v="1"/>
    <n v="1"/>
    <n v="1"/>
    <n v="0"/>
    <n v="0"/>
  </r>
  <r>
    <n v="1406"/>
    <s v="       Difficulty persuading partner to use method"/>
    <n v="1406"/>
    <e v="#NAME?"/>
    <s v="Difficulty persuading partner to use method"/>
    <x v="1"/>
    <n v="50"/>
    <s v="Contraception Issues and concerns"/>
    <m/>
    <m/>
    <s v="FP.2. Counseling"/>
    <x v="3"/>
    <m/>
    <s v="2.6 Discuss Issues and concerns"/>
    <m/>
    <s v="FP.DE.211"/>
    <m/>
    <m/>
    <s v="Difficulty persuading partner to use method or not able to use every time"/>
    <m/>
    <m/>
    <s v="Difficulty persuading partner to use method"/>
    <m/>
    <s v="No"/>
    <m/>
    <s v="Yes"/>
    <s v="C"/>
    <s v="Include if issues and concerns = TRUE _x000a_AND current method = Barrier method"/>
    <m/>
    <m/>
    <m/>
    <m/>
    <m/>
    <m/>
    <m/>
    <m/>
    <x v="3"/>
    <x v="0"/>
    <m/>
    <m/>
    <m/>
    <x v="2"/>
    <s v="JS"/>
    <m/>
    <m/>
    <m/>
    <s v="       Difficulty persuading partner to use method"/>
    <s v="Same"/>
    <m/>
    <x v="1"/>
    <e v="#NAME?"/>
    <m/>
    <x v="0"/>
    <s v="http://who.int/cg/CodeSystem/extended-content"/>
    <s v="Difficulty persuading partner to use method"/>
    <s v="i cant find"/>
    <m/>
    <m/>
    <m/>
    <m/>
    <m/>
    <s v="No SNOMED code available"/>
    <m/>
    <s v="x"/>
    <m/>
    <m/>
    <m/>
    <m/>
    <m/>
    <m/>
    <m/>
    <m/>
    <m/>
    <x v="2"/>
    <n v="0"/>
    <x v="2"/>
    <x v="41"/>
    <n v="1"/>
    <s v=""/>
    <n v="1"/>
    <n v="1"/>
    <n v="1"/>
    <n v="0"/>
    <n v="0"/>
  </r>
  <r>
    <n v="1407"/>
    <s v="       Irritation"/>
    <n v="1407"/>
    <e v="#NAME?"/>
    <s v="Irritation"/>
    <x v="1"/>
    <n v="17"/>
    <s v="Contraception Issues and concerns"/>
    <m/>
    <m/>
    <s v="FP.2. Counseling"/>
    <x v="3"/>
    <m/>
    <s v="2.6 Discuss Issues and concerns"/>
    <m/>
    <s v="FP.DE.210"/>
    <m/>
    <m/>
    <s v="Method causes irritation"/>
    <m/>
    <m/>
    <s v="Irritation"/>
    <m/>
    <s v="No"/>
    <m/>
    <s v="Yes"/>
    <s v="C"/>
    <s v="Include if issues and concerns = TRUE _x000a_AND current method = Barrier method"/>
    <m/>
    <m/>
    <m/>
    <m/>
    <m/>
    <m/>
    <m/>
    <m/>
    <x v="3"/>
    <x v="0"/>
    <m/>
    <m/>
    <m/>
    <x v="2"/>
    <s v="JS"/>
    <m/>
    <m/>
    <m/>
    <s v="       Irritation"/>
    <s v="Same"/>
    <m/>
    <x v="1"/>
    <e v="#NAME?"/>
    <m/>
    <x v="0"/>
    <m/>
    <m/>
    <s v="x"/>
    <s v="N98.9"/>
    <m/>
    <m/>
    <m/>
    <m/>
    <m/>
    <m/>
    <m/>
    <m/>
    <m/>
    <m/>
    <m/>
    <m/>
    <m/>
    <m/>
    <m/>
    <m/>
    <x v="2"/>
    <n v="0"/>
    <x v="2"/>
    <x v="41"/>
    <n v="1"/>
    <s v=""/>
    <n v="1"/>
    <n v="1"/>
    <n v="1"/>
    <n v="0"/>
    <n v="0"/>
  </r>
  <r>
    <n v="1408"/>
    <s v="       Allergic reaction"/>
    <n v="1408"/>
    <e v="#NAME?"/>
    <s v="Allergic reaction"/>
    <x v="1"/>
    <n v="24"/>
    <s v="Contraception Issues and concerns"/>
    <m/>
    <m/>
    <s v="FP.2. Counseling"/>
    <x v="3"/>
    <m/>
    <s v="2.6 Discuss Issues and concerns"/>
    <m/>
    <s v="FP.DE.209"/>
    <m/>
    <m/>
    <m/>
    <m/>
    <m/>
    <s v="Allergic reaction"/>
    <m/>
    <s v="No"/>
    <m/>
    <s v="Yes"/>
    <s v="C"/>
    <s v="Include if issues and concerns = TRUE _x000a_AND current method = Barrier method"/>
    <m/>
    <m/>
    <m/>
    <m/>
    <m/>
    <m/>
    <m/>
    <m/>
    <x v="3"/>
    <x v="0"/>
    <m/>
    <m/>
    <m/>
    <x v="2"/>
    <s v="JS"/>
    <m/>
    <m/>
    <m/>
    <s v="       Allergic reaction"/>
    <s v="Same"/>
    <m/>
    <x v="1"/>
    <e v="#NAME?"/>
    <m/>
    <x v="0"/>
    <m/>
    <m/>
    <s v="x"/>
    <s v="Z88.8"/>
    <m/>
    <m/>
    <m/>
    <m/>
    <m/>
    <m/>
    <m/>
    <m/>
    <m/>
    <m/>
    <m/>
    <m/>
    <m/>
    <m/>
    <m/>
    <m/>
    <x v="2"/>
    <n v="0"/>
    <x v="2"/>
    <x v="41"/>
    <n v="1"/>
    <s v=""/>
    <n v="1"/>
    <n v="1"/>
    <n v="1"/>
    <n v="0"/>
    <n v="0"/>
  </r>
  <r>
    <n v="1411"/>
    <s v="       Acne"/>
    <n v="1411"/>
    <e v="#NAME?"/>
    <s v="Acne"/>
    <x v="1"/>
    <n v="11"/>
    <s v="Contraception Issues and concerns"/>
    <m/>
    <m/>
    <s v="FP.2. Counseling"/>
    <x v="3"/>
    <m/>
    <s v="2.6 Discuss Issues and concerns"/>
    <m/>
    <s v="FP.DE.224"/>
    <m/>
    <m/>
    <m/>
    <m/>
    <m/>
    <s v="Acne"/>
    <m/>
    <s v="No"/>
    <m/>
    <s v="Yes"/>
    <s v="C"/>
    <s v="Include if issues and concerns = TRUE _x000a_AND current method = COCs or POPs"/>
    <m/>
    <m/>
    <m/>
    <m/>
    <m/>
    <m/>
    <m/>
    <m/>
    <x v="3"/>
    <x v="0"/>
    <m/>
    <m/>
    <m/>
    <x v="2"/>
    <s v="JS"/>
    <m/>
    <m/>
    <m/>
    <s v="       Acne"/>
    <s v="Same"/>
    <m/>
    <x v="1"/>
    <e v="#NAME?"/>
    <m/>
    <x v="0"/>
    <m/>
    <m/>
    <s v="x"/>
    <s v="L70.9"/>
    <m/>
    <s v="11381005"/>
    <m/>
    <m/>
    <m/>
    <m/>
    <m/>
    <m/>
    <m/>
    <n v="150144"/>
    <m/>
    <m/>
    <m/>
    <m/>
    <m/>
    <m/>
    <x v="2"/>
    <n v="0"/>
    <x v="2"/>
    <x v="41"/>
    <n v="1"/>
    <s v=""/>
    <n v="1"/>
    <n v="1"/>
    <n v="1"/>
    <n v="0"/>
    <n v="0"/>
  </r>
  <r>
    <n v="1412"/>
    <s v="       Weight change"/>
    <n v="1412"/>
    <e v="#NAME?"/>
    <s v="Weight change"/>
    <x v="1"/>
    <n v="20"/>
    <s v="Contraception Issues and concerns"/>
    <m/>
    <m/>
    <s v="FP.2. Counseling"/>
    <x v="3"/>
    <m/>
    <s v="2.6 Discuss Issues and concerns"/>
    <m/>
    <s v="FP.DE.227"/>
    <m/>
    <m/>
    <m/>
    <m/>
    <m/>
    <s v="Weight change"/>
    <m/>
    <s v="No"/>
    <m/>
    <s v="Yes"/>
    <s v="C"/>
    <s v="Include if issues and concerns = TRUE _x000a_ AND current method = COCs or POPs"/>
    <m/>
    <m/>
    <m/>
    <m/>
    <m/>
    <m/>
    <m/>
    <m/>
    <x v="3"/>
    <x v="0"/>
    <m/>
    <m/>
    <m/>
    <x v="2"/>
    <s v="JS"/>
    <m/>
    <m/>
    <m/>
    <s v="       Weight change"/>
    <s v="Same"/>
    <m/>
    <x v="1"/>
    <e v="#NAME?"/>
    <m/>
    <x v="0"/>
    <m/>
    <m/>
    <s v="x"/>
    <m/>
    <m/>
    <s v="365921005"/>
    <m/>
    <m/>
    <m/>
    <m/>
    <m/>
    <m/>
    <m/>
    <n v="983"/>
    <m/>
    <m/>
    <m/>
    <m/>
    <m/>
    <m/>
    <x v="2"/>
    <n v="0"/>
    <x v="2"/>
    <x v="41"/>
    <n v="1"/>
    <s v=""/>
    <n v="1"/>
    <n v="1"/>
    <n v="1"/>
    <n v="0"/>
    <n v="0"/>
  </r>
  <r>
    <n v="1413"/>
    <s v="       Headaches"/>
    <n v="1413"/>
    <e v="#NAME?"/>
    <s v="Headaches"/>
    <x v="1"/>
    <n v="16"/>
    <s v="Contraception Issues and concerns"/>
    <m/>
    <m/>
    <s v="FP.2. Counseling"/>
    <x v="3"/>
    <m/>
    <s v="2.6 Discuss Issues and concerns"/>
    <m/>
    <s v="FP.DE.231"/>
    <m/>
    <m/>
    <m/>
    <m/>
    <m/>
    <s v="Headaches"/>
    <m/>
    <s v="No"/>
    <m/>
    <s v="Yes"/>
    <s v="C"/>
    <s v="Include if issues and concerns = TRUE _x000a_AND current method = COCs or POPs"/>
    <m/>
    <m/>
    <m/>
    <m/>
    <m/>
    <m/>
    <m/>
    <m/>
    <x v="3"/>
    <x v="0"/>
    <m/>
    <m/>
    <m/>
    <x v="2"/>
    <s v="JS"/>
    <m/>
    <m/>
    <m/>
    <s v="       Headaches"/>
    <s v="Same"/>
    <m/>
    <x v="1"/>
    <e v="#NAME?"/>
    <m/>
    <x v="0"/>
    <m/>
    <m/>
    <s v="x"/>
    <s v="G44.40"/>
    <m/>
    <m/>
    <m/>
    <m/>
    <m/>
    <m/>
    <m/>
    <s v="due to medication?? "/>
    <m/>
    <m/>
    <m/>
    <m/>
    <m/>
    <m/>
    <m/>
    <m/>
    <x v="2"/>
    <n v="0"/>
    <x v="2"/>
    <x v="41"/>
    <n v="1"/>
    <s v=""/>
    <n v="1"/>
    <n v="1"/>
    <n v="1"/>
    <n v="0"/>
    <n v="0"/>
  </r>
  <r>
    <n v="1414"/>
    <s v="       Breast tenderness"/>
    <n v="1414"/>
    <e v="#NAME?"/>
    <s v="Breast tenderness"/>
    <x v="1"/>
    <n v="24"/>
    <s v="Contraception Issues and concerns"/>
    <m/>
    <m/>
    <s v="FP.2. Counseling"/>
    <x v="3"/>
    <m/>
    <s v="2.6 Discuss Issues and concerns"/>
    <m/>
    <s v="FP.DE.228"/>
    <m/>
    <m/>
    <m/>
    <m/>
    <m/>
    <s v="Breast tenderness"/>
    <m/>
    <s v="No"/>
    <m/>
    <s v="Yes"/>
    <s v="C"/>
    <s v="Include if issues and concerns = TRUE _x000a_ AND current method = COCs or POPs"/>
    <m/>
    <m/>
    <m/>
    <m/>
    <m/>
    <m/>
    <m/>
    <m/>
    <x v="3"/>
    <x v="0"/>
    <m/>
    <m/>
    <m/>
    <x v="2"/>
    <s v="JS"/>
    <m/>
    <m/>
    <m/>
    <s v="       Breast tenderness"/>
    <s v="Same"/>
    <m/>
    <x v="1"/>
    <e v="#NAME?"/>
    <m/>
    <x v="0"/>
    <m/>
    <m/>
    <s v="last seven days X; SNOMED_ pain in breast"/>
    <m/>
    <m/>
    <s v="53430007"/>
    <s v="LP146997-4"/>
    <m/>
    <m/>
    <m/>
    <m/>
    <m/>
    <m/>
    <m/>
    <m/>
    <m/>
    <m/>
    <m/>
    <m/>
    <m/>
    <x v="2"/>
    <n v="0"/>
    <x v="2"/>
    <x v="41"/>
    <n v="1"/>
    <s v=""/>
    <n v="1"/>
    <n v="1"/>
    <n v="1"/>
    <n v="0"/>
    <n v="0"/>
  </r>
  <r>
    <n v="1415"/>
    <s v="       Nausea"/>
    <n v="1415"/>
    <e v="#NAME?"/>
    <s v="Nausea"/>
    <x v="1"/>
    <n v="13"/>
    <s v="Contraception Issues and concerns"/>
    <m/>
    <m/>
    <s v="FP.2. Counseling"/>
    <x v="3"/>
    <m/>
    <s v="2.6 Discuss Issues and concerns"/>
    <m/>
    <s v="FP.DE.229"/>
    <m/>
    <m/>
    <m/>
    <m/>
    <m/>
    <s v="Nausea"/>
    <m/>
    <s v="No"/>
    <m/>
    <s v="Yes"/>
    <s v="C"/>
    <s v="Include if issues and concerns = TRUE _x000a_ AND current method = COCs or POPs"/>
    <m/>
    <m/>
    <m/>
    <m/>
    <m/>
    <m/>
    <m/>
    <m/>
    <x v="3"/>
    <x v="0"/>
    <m/>
    <m/>
    <m/>
    <x v="2"/>
    <s v="JS"/>
    <m/>
    <m/>
    <m/>
    <s v="       Nausea"/>
    <s v="Same"/>
    <m/>
    <x v="1"/>
    <e v="#NAME?"/>
    <m/>
    <x v="0"/>
    <m/>
    <m/>
    <s v="x"/>
    <s v="R11.0"/>
    <m/>
    <s v="422587007"/>
    <m/>
    <m/>
    <m/>
    <m/>
    <m/>
    <m/>
    <m/>
    <n v="5978"/>
    <m/>
    <m/>
    <m/>
    <m/>
    <m/>
    <m/>
    <x v="2"/>
    <n v="0"/>
    <x v="2"/>
    <x v="41"/>
    <n v="1"/>
    <s v=""/>
    <n v="1"/>
    <n v="1"/>
    <n v="1"/>
    <n v="0"/>
    <n v="0"/>
  </r>
  <r>
    <n v="1416"/>
    <s v="       Dizziness"/>
    <n v="1416"/>
    <e v="#NAME?"/>
    <s v="Dizziness"/>
    <x v="1"/>
    <n v="16"/>
    <s v="Contraception Issues and concerns"/>
    <m/>
    <m/>
    <s v="FP.2. Counseling"/>
    <x v="3"/>
    <m/>
    <s v="2.6 Discuss Issues and concerns"/>
    <m/>
    <s v="FP.DE.230"/>
    <m/>
    <m/>
    <m/>
    <m/>
    <m/>
    <s v="Dizziness"/>
    <m/>
    <s v="No"/>
    <m/>
    <s v="Yes"/>
    <s v="C"/>
    <s v="Include if issues and concerns = TRUE _x000a_ AND current method = COCs or POPs"/>
    <m/>
    <m/>
    <m/>
    <m/>
    <m/>
    <m/>
    <m/>
    <m/>
    <x v="3"/>
    <x v="0"/>
    <m/>
    <m/>
    <m/>
    <x v="2"/>
    <s v="JS"/>
    <m/>
    <m/>
    <m/>
    <s v="       Dizziness"/>
    <s v="Same"/>
    <m/>
    <x v="1"/>
    <e v="#NAME?"/>
    <m/>
    <x v="0"/>
    <m/>
    <m/>
    <s v="x"/>
    <s v="R42"/>
    <s v="MB48"/>
    <s v="404640003"/>
    <m/>
    <m/>
    <m/>
    <m/>
    <m/>
    <m/>
    <m/>
    <n v="141831"/>
    <m/>
    <s v="Concept - dizzy spells"/>
    <s v="156046AAAAAAAAAAAAAAAAAAAAAAAAAAAAAA"/>
    <m/>
    <m/>
    <m/>
    <x v="2"/>
    <n v="0"/>
    <x v="2"/>
    <x v="41"/>
    <n v="1"/>
    <s v=""/>
    <n v="1"/>
    <n v="1"/>
    <n v="1"/>
    <n v="0"/>
    <n v="0"/>
  </r>
  <r>
    <n v="1417"/>
    <s v="Other (Specify) - Contraception Issues"/>
    <n v="1417"/>
    <s v="Other(Specify)"/>
    <s v="Other(Specify)"/>
    <x v="0"/>
    <n v="38"/>
    <s v=""/>
    <m/>
    <m/>
    <s v="FP.2. Counseling"/>
    <x v="3"/>
    <m/>
    <s v="2.6 Discuss Issues and concerns"/>
    <m/>
    <s v="FP.DE.107"/>
    <m/>
    <m/>
    <m/>
    <m/>
    <m/>
    <s v="Other(Specify)"/>
    <m/>
    <s v="No"/>
    <m/>
    <s v="Yes"/>
    <s v="C"/>
    <m/>
    <m/>
    <m/>
    <m/>
    <m/>
    <m/>
    <m/>
    <m/>
    <m/>
    <x v="28"/>
    <x v="0"/>
    <s v="FHIR"/>
    <s v="4.0.1"/>
    <s v="Condition.category = &quot;problem-list-item&quot;"/>
    <x v="4"/>
    <s v="JA"/>
    <m/>
    <m/>
    <m/>
    <s v="       Other(Specify)"/>
    <s v="Changed"/>
    <m/>
    <x v="1"/>
    <s v="&quot;Other(Specify)&quot;-&gt;&quot;Other (Specify) - Contraception Issues&quot;"/>
    <m/>
    <x v="0"/>
    <m/>
    <m/>
    <m/>
    <m/>
    <m/>
    <s v="74964007"/>
    <m/>
    <m/>
    <m/>
    <m/>
    <m/>
    <s v="not good mapping"/>
    <m/>
    <m/>
    <m/>
    <m/>
    <m/>
    <m/>
    <m/>
    <m/>
    <x v="4"/>
    <s v=""/>
    <x v="5"/>
    <x v="4"/>
    <n v="1"/>
    <n v="0"/>
    <n v="1"/>
    <n v="1"/>
    <n v="1"/>
    <n v="0"/>
    <n v="0"/>
  </r>
  <r>
    <n v="1419"/>
    <s v="Number of missed hormonal pills"/>
    <n v="1419"/>
    <s v="Number of missed hormonal pills"/>
    <s v="Number of missed hormonal pills"/>
    <x v="0"/>
    <n v="31"/>
    <s v=""/>
    <m/>
    <m/>
    <s v="FP.2. Counseling"/>
    <x v="8"/>
    <m/>
    <s v="2.6 Discuss Issues and concerns"/>
    <m/>
    <s v="FP.DE.243"/>
    <s v="Number of missed hormonal pills"/>
    <m/>
    <m/>
    <s v="Integer"/>
    <m/>
    <m/>
    <m/>
    <s v="No"/>
    <m/>
    <s v="Yes"/>
    <s v="C"/>
    <s v="Include if Problems with use =TRUE and Missed pills = TRUE in Missed pills or late injection Decision Logic and Method at intake =   Oral contraception]"/>
    <m/>
    <m/>
    <m/>
    <m/>
    <m/>
    <m/>
    <m/>
    <m/>
    <x v="25"/>
    <x v="0"/>
    <s v="FHIR"/>
    <s v="4.0.1"/>
    <m/>
    <x v="2"/>
    <s v="NA"/>
    <m/>
    <m/>
    <m/>
    <s v="Number of missed hormonal pills"/>
    <s v="Same"/>
    <m/>
    <x v="1"/>
    <s v=""/>
    <m/>
    <x v="2"/>
    <m/>
    <m/>
    <s v="reported numeric value"/>
    <m/>
    <m/>
    <s v="315604002"/>
    <m/>
    <m/>
    <m/>
    <m/>
    <m/>
    <s v="combine with days; missed dose NCI _x000a_2561"/>
    <m/>
    <m/>
    <m/>
    <m/>
    <m/>
    <m/>
    <m/>
    <m/>
    <x v="2"/>
    <s v=""/>
    <x v="3"/>
    <x v="12"/>
    <n v="1"/>
    <n v="0"/>
    <n v="1"/>
    <n v="1"/>
    <n v="1"/>
    <n v="0"/>
    <n v="0"/>
  </r>
  <r>
    <n v="1420"/>
    <s v="Hours late in taking pill"/>
    <n v="1420"/>
    <s v="Hours late in taking pill"/>
    <s v="Hours late in taking pill"/>
    <x v="0"/>
    <n v="25"/>
    <s v=""/>
    <m/>
    <m/>
    <s v="FP.2. Counseling"/>
    <x v="8"/>
    <m/>
    <s v="2.6 Discuss Issues and concerns"/>
    <m/>
    <s v="FP.DE.537"/>
    <s v="Hours late in taking pill"/>
    <m/>
    <m/>
    <s v="Integer"/>
    <m/>
    <m/>
    <m/>
    <s v="No"/>
    <m/>
    <s v="Yes"/>
    <s v="C"/>
    <s v="Include if Problems with use =TRUE and Missed pills = TRUE in Missed pills or late injection Decision Logic and Method at intake = progesterone only contraception"/>
    <m/>
    <m/>
    <m/>
    <m/>
    <m/>
    <m/>
    <m/>
    <m/>
    <x v="25"/>
    <x v="0"/>
    <s v="FHIR"/>
    <s v="4.0.1"/>
    <m/>
    <x v="2"/>
    <s v="NA"/>
    <m/>
    <m/>
    <m/>
    <s v="Hours late in taking pill"/>
    <s v="Same"/>
    <m/>
    <x v="1"/>
    <s v=""/>
    <m/>
    <x v="2"/>
    <m/>
    <m/>
    <s v="reported numeric value"/>
    <m/>
    <m/>
    <m/>
    <m/>
    <m/>
    <m/>
    <m/>
    <m/>
    <s v="? pill code and missed? "/>
    <m/>
    <m/>
    <m/>
    <m/>
    <m/>
    <m/>
    <m/>
    <m/>
    <x v="2"/>
    <s v=""/>
    <x v="3"/>
    <x v="12"/>
    <n v="1"/>
    <n v="0"/>
    <n v="0"/>
    <n v="1"/>
    <n v="0"/>
    <n v="1"/>
    <n v="0"/>
  </r>
  <r>
    <n v="1421"/>
    <s v="Week of cycle"/>
    <n v="1421"/>
    <s v="Week of cycle"/>
    <s v="Week of cycle"/>
    <x v="3"/>
    <n v="13"/>
    <s v=""/>
    <m/>
    <m/>
    <s v="FP.2. Counseling"/>
    <x v="3"/>
    <m/>
    <s v="2.6 Discuss Issues and concerns"/>
    <m/>
    <s v="FP.DE.244"/>
    <s v="Week of cycle"/>
    <m/>
    <s v="System calculated field based on start of menses"/>
    <s v="Integer"/>
    <m/>
    <m/>
    <m/>
    <m/>
    <m/>
    <s v="Yes"/>
    <s v="C"/>
    <s v="Include if Problems with use =TRUE and Missed pills = TRUE in Missed pills or late injection Decision Logic"/>
    <m/>
    <m/>
    <m/>
    <s v="Calculation: Current Date - FP.DE.035 Start date of last normal menses / 7 rounded to the nearest integer"/>
    <m/>
    <m/>
    <m/>
    <m/>
    <x v="17"/>
    <x v="3"/>
    <s v="FHIR"/>
    <s v="4.0.1"/>
    <m/>
    <x v="2"/>
    <s v="NA"/>
    <m/>
    <m/>
    <m/>
    <s v="Week of cycle"/>
    <s v="Same"/>
    <m/>
    <x v="1"/>
    <s v=""/>
    <m/>
    <x v="2"/>
    <m/>
    <m/>
    <s v="calculated base on LMP"/>
    <m/>
    <m/>
    <m/>
    <m/>
    <m/>
    <m/>
    <m/>
    <m/>
    <m/>
    <m/>
    <m/>
    <m/>
    <m/>
    <m/>
    <m/>
    <m/>
    <m/>
    <x v="2"/>
    <s v=""/>
    <x v="3"/>
    <x v="12"/>
    <n v="1"/>
    <s v=""/>
    <n v="0"/>
    <n v="1"/>
    <n v="0"/>
    <n v="1"/>
    <n v="0"/>
  </r>
  <r>
    <n v="1422"/>
    <s v="Late change in patch"/>
    <n v="1422"/>
    <s v="Late change in patch"/>
    <s v="Late change in patch"/>
    <x v="0"/>
    <n v="20"/>
    <s v=""/>
    <m/>
    <m/>
    <s v="FP.2. Counseling"/>
    <x v="8"/>
    <m/>
    <s v="2.6 Discuss Issues and concerns"/>
    <m/>
    <s v="FP.DE.249"/>
    <s v="Late change in patch"/>
    <m/>
    <m/>
    <s v="Boolean"/>
    <m/>
    <s v="True/False"/>
    <m/>
    <m/>
    <m/>
    <s v="Yes"/>
    <s v="C"/>
    <s v="Include if Problems with use =TRUE and Method at intake = hormonal contraceptive patch, used in Missed pills or late injection Decision Logic"/>
    <m/>
    <m/>
    <m/>
    <m/>
    <m/>
    <m/>
    <m/>
    <m/>
    <x v="25"/>
    <x v="0"/>
    <s v="FHIR"/>
    <s v="4.0.1"/>
    <m/>
    <x v="2"/>
    <s v="NA"/>
    <m/>
    <m/>
    <m/>
    <s v="Late change in patch"/>
    <s v="Same"/>
    <m/>
    <x v="1"/>
    <s v=""/>
    <m/>
    <x v="2"/>
    <m/>
    <m/>
    <s v="dont know how to do this; need to know when it needed to change"/>
    <m/>
    <m/>
    <m/>
    <m/>
    <m/>
    <m/>
    <m/>
    <m/>
    <s v="late intent...i dont think that this is correct _x000a_LA21210-2"/>
    <m/>
    <m/>
    <m/>
    <m/>
    <m/>
    <m/>
    <m/>
    <m/>
    <x v="2"/>
    <s v=""/>
    <x v="3"/>
    <x v="12"/>
    <n v="1"/>
    <n v="0"/>
    <n v="0"/>
    <n v="1"/>
    <n v="0"/>
    <n v="1"/>
    <n v="0"/>
  </r>
  <r>
    <n v="1423"/>
    <s v="Unscheduled detachment of patch"/>
    <n v="1423"/>
    <s v="Unscheduled detachment of patch"/>
    <s v="Unscheduled detachment of patch"/>
    <x v="0"/>
    <n v="31"/>
    <s v=""/>
    <m/>
    <m/>
    <s v="FP.2. Counseling"/>
    <x v="8"/>
    <m/>
    <s v="2.6 Discuss Issues and concerns"/>
    <m/>
    <s v="FP.DE.248"/>
    <s v="Unscheduled detachment of patch"/>
    <m/>
    <m/>
    <s v="Boolean"/>
    <m/>
    <s v="True/False"/>
    <m/>
    <m/>
    <m/>
    <s v="Yes"/>
    <s v="C"/>
    <s v="Include if Problems with use =TRUE and Method at intake = hormonal contraceptive patch, used in Missed pills or late injection Decision Logic"/>
    <m/>
    <m/>
    <m/>
    <m/>
    <m/>
    <m/>
    <m/>
    <m/>
    <x v="25"/>
    <x v="0"/>
    <s v="FHIR"/>
    <s v="4.0.1"/>
    <m/>
    <x v="2"/>
    <s v="NA"/>
    <m/>
    <m/>
    <m/>
    <s v="Unscheduled detachment of patch"/>
    <s v="Same"/>
    <m/>
    <x v="1"/>
    <s v=""/>
    <m/>
    <x v="2"/>
    <m/>
    <m/>
    <s v="?"/>
    <m/>
    <m/>
    <m/>
    <m/>
    <m/>
    <m/>
    <m/>
    <m/>
    <m/>
    <m/>
    <m/>
    <m/>
    <m/>
    <m/>
    <m/>
    <m/>
    <m/>
    <x v="2"/>
    <s v=""/>
    <x v="3"/>
    <x v="12"/>
    <n v="1"/>
    <n v="0"/>
    <n v="0"/>
    <n v="1"/>
    <n v="0"/>
    <n v="1"/>
    <n v="0"/>
  </r>
  <r>
    <n v="1424"/>
    <s v="Days late in applying patch"/>
    <n v="1424"/>
    <s v="Days late in applying patch"/>
    <s v="Days late in applying patch"/>
    <x v="0"/>
    <n v="27"/>
    <s v=""/>
    <m/>
    <m/>
    <s v="FP.2. Counseling"/>
    <x v="8"/>
    <m/>
    <s v="2.6 Discuss Issues and concerns"/>
    <m/>
    <s v="FP.DE.247"/>
    <s v="Days late in applying patch"/>
    <m/>
    <m/>
    <s v="Integer"/>
    <m/>
    <m/>
    <m/>
    <m/>
    <m/>
    <s v="Yes"/>
    <s v="C"/>
    <s v="Include if Problems with use !=TRUE and Late change in applying patch = TRUE, used in Missed pills or late injection Decision Logic"/>
    <m/>
    <m/>
    <m/>
    <m/>
    <m/>
    <m/>
    <m/>
    <m/>
    <x v="25"/>
    <x v="0"/>
    <s v="FHIR"/>
    <s v="4.0.1"/>
    <m/>
    <x v="2"/>
    <s v="NA"/>
    <m/>
    <m/>
    <m/>
    <s v="Days late in applying patch"/>
    <s v="Same"/>
    <m/>
    <x v="1"/>
    <s v=""/>
    <m/>
    <x v="2"/>
    <m/>
    <m/>
    <s v="calculated or reported"/>
    <m/>
    <m/>
    <m/>
    <m/>
    <m/>
    <m/>
    <m/>
    <m/>
    <s v="? days late plus patch? "/>
    <m/>
    <m/>
    <m/>
    <m/>
    <m/>
    <m/>
    <m/>
    <m/>
    <x v="2"/>
    <s v=""/>
    <x v="3"/>
    <x v="12"/>
    <n v="1"/>
    <n v="0"/>
    <n v="0"/>
    <n v="1"/>
    <n v="0"/>
    <n v="1"/>
    <n v="0"/>
  </r>
  <r>
    <n v="1425"/>
    <s v="Time since last injection"/>
    <n v="1425"/>
    <s v="Time since last injection"/>
    <s v="Time since last injection"/>
    <x v="0"/>
    <n v="25"/>
    <s v=""/>
    <m/>
    <m/>
    <s v="FP.2. Counseling"/>
    <x v="8"/>
    <m/>
    <s v="2.6 Discuss Issues and concerns"/>
    <m/>
    <s v="FP.DE.246"/>
    <s v="Time since last injection"/>
    <m/>
    <s v="Date when the last injection was given"/>
    <s v="Date"/>
    <m/>
    <m/>
    <m/>
    <m/>
    <m/>
    <m/>
    <s v="C"/>
    <s v="Include if Problems with use = TRUE and Method at intake = Injectable. "/>
    <m/>
    <m/>
    <m/>
    <s v="Calculation: Weeks since last injection = Current Date - Date of injection / 7 "/>
    <m/>
    <m/>
    <m/>
    <m/>
    <x v="29"/>
    <x v="0"/>
    <s v="FHIR"/>
    <s v="4.0.1"/>
    <m/>
    <x v="2"/>
    <s v="NA"/>
    <m/>
    <m/>
    <m/>
    <s v="Time since last injection"/>
    <s v="Same"/>
    <m/>
    <x v="1"/>
    <s v=""/>
    <m/>
    <x v="2"/>
    <m/>
    <m/>
    <s v="calculated"/>
    <m/>
    <m/>
    <m/>
    <m/>
    <m/>
    <s v="No terminology code required"/>
    <m/>
    <m/>
    <m/>
    <m/>
    <m/>
    <m/>
    <m/>
    <m/>
    <m/>
    <m/>
    <m/>
    <x v="2"/>
    <s v=""/>
    <x v="3"/>
    <x v="12"/>
    <n v="1"/>
    <n v="0"/>
    <n v="1"/>
    <n v="1"/>
    <n v="1"/>
    <n v="0"/>
    <n v="0"/>
  </r>
  <r>
    <n v="1426"/>
    <s v="Injection cycle issue"/>
    <n v="1426"/>
    <s v="Injection cycle"/>
    <s v="Injection cycle"/>
    <x v="0"/>
    <n v="21"/>
    <s v=""/>
    <m/>
    <m/>
    <s v="FP.2. Counseling"/>
    <x v="8"/>
    <m/>
    <s v="2.6 Discuss Issues and concerns"/>
    <m/>
    <s v="FP.DE.233"/>
    <s v="Injection cycle"/>
    <m/>
    <s v="Indicate if the client has had more than one injection before, as side effects may go down."/>
    <s v="Boolean"/>
    <m/>
    <s v="True/False"/>
    <m/>
    <m/>
    <m/>
    <s v="Yes"/>
    <s v="C"/>
    <s v="Include if Problems with use = TRUE and Method at intake = Injectable"/>
    <m/>
    <m/>
    <m/>
    <m/>
    <m/>
    <m/>
    <m/>
    <m/>
    <x v="25"/>
    <x v="0"/>
    <s v="FHIR"/>
    <s v="4.0.1"/>
    <m/>
    <x v="2"/>
    <s v="NA"/>
    <m/>
    <m/>
    <m/>
    <s v="Injection cycle"/>
    <s v="Changed"/>
    <m/>
    <x v="1"/>
    <s v="&quot;Injection cycle&quot;-&gt;&quot;Injection cycle issue&quot;"/>
    <m/>
    <x v="2"/>
    <m/>
    <m/>
    <s v="calculated based on method"/>
    <m/>
    <m/>
    <m/>
    <m/>
    <m/>
    <m/>
    <m/>
    <m/>
    <m/>
    <s v="95"/>
    <m/>
    <m/>
    <m/>
    <m/>
    <m/>
    <m/>
    <m/>
    <x v="2"/>
    <s v=""/>
    <x v="3"/>
    <x v="12"/>
    <n v="1"/>
    <n v="0"/>
    <n v="0"/>
    <n v="1"/>
    <n v="0"/>
    <n v="1"/>
    <n v="0"/>
  </r>
  <r>
    <n v="1427"/>
    <s v="Consider emergency contraception"/>
    <n v="1427"/>
    <s v="Consider emergency contraception"/>
    <s v="Consider emergency contraception"/>
    <x v="3"/>
    <n v="32"/>
    <s v=""/>
    <m/>
    <m/>
    <s v="FP.2. Counseling"/>
    <x v="8"/>
    <m/>
    <s v="2.6 Discuss Issues and concerns"/>
    <m/>
    <s v="FP.DE.250"/>
    <s v="Consider emergency contraception"/>
    <m/>
    <s v="System generated value if missed pills or a late injection indicate emergency contraception should be considered. "/>
    <m/>
    <m/>
    <m/>
    <m/>
    <s v="No"/>
    <m/>
    <s v="No"/>
    <s v="C"/>
    <s v="System generated value from Missed Pills or Late Injection decision logic"/>
    <m/>
    <m/>
    <m/>
    <m/>
    <m/>
    <m/>
    <m/>
    <m/>
    <x v="25"/>
    <x v="0"/>
    <s v="FHIR"/>
    <s v="4.0.1"/>
    <m/>
    <x v="2"/>
    <s v="NA"/>
    <m/>
    <m/>
    <m/>
    <s v="Consider emergency contraception"/>
    <s v="Same"/>
    <m/>
    <x v="1"/>
    <s v=""/>
    <m/>
    <x v="2"/>
    <m/>
    <m/>
    <s v="?"/>
    <m/>
    <m/>
    <m/>
    <m/>
    <m/>
    <m/>
    <m/>
    <m/>
    <s v="discuss EC. MTHU015375. (NIC) "/>
    <m/>
    <n v="160570"/>
    <m/>
    <m/>
    <m/>
    <m/>
    <m/>
    <m/>
    <x v="2"/>
    <s v=""/>
    <x v="3"/>
    <x v="12"/>
    <n v="1"/>
    <s v=""/>
    <n v="0"/>
    <n v="1"/>
    <n v="0"/>
    <n v="1"/>
    <n v="0"/>
  </r>
  <r>
    <n v="1443"/>
    <s v="Keeping method"/>
    <n v="1443"/>
    <s v="Keeping method"/>
    <s v="Keeping method"/>
    <x v="2"/>
    <n v="14"/>
    <s v=""/>
    <m/>
    <m/>
    <s v="FP.2. Counseling"/>
    <x v="8"/>
    <m/>
    <s v="2.7 Keeping method"/>
    <m/>
    <s v="FP.DE.050"/>
    <s v="Keeping method"/>
    <m/>
    <s v="Whether client is keeping a current method or stopping the method they are currently using."/>
    <s v="Boolean"/>
    <m/>
    <s v="True/False"/>
    <m/>
    <s v="No"/>
    <m/>
    <s v="Yes"/>
    <s v="C"/>
    <s v="Include if Method at intake - reported is not null"/>
    <m/>
    <m/>
    <m/>
    <m/>
    <m/>
    <m/>
    <m/>
    <m/>
    <x v="3"/>
    <x v="0"/>
    <m/>
    <m/>
    <m/>
    <x v="2"/>
    <s v="NA"/>
    <m/>
    <m/>
    <m/>
    <s v="Keeping method"/>
    <s v="Same"/>
    <m/>
    <x v="1"/>
    <s v=""/>
    <m/>
    <x v="2"/>
    <m/>
    <m/>
    <m/>
    <m/>
    <m/>
    <m/>
    <m/>
    <m/>
    <s v="No terminology code required"/>
    <m/>
    <m/>
    <m/>
    <m/>
    <m/>
    <m/>
    <m/>
    <m/>
    <m/>
    <m/>
    <m/>
    <x v="2"/>
    <s v=""/>
    <x v="3"/>
    <x v="2"/>
    <n v="1"/>
    <s v=""/>
    <n v="1"/>
    <n v="1"/>
    <n v="1"/>
    <n v="0"/>
    <n v="0"/>
  </r>
  <r>
    <n v="1444"/>
    <s v="Contraception Method in mind"/>
    <n v="1444"/>
    <s v="Method in mind"/>
    <s v="Method in mind"/>
    <x v="2"/>
    <n v="28"/>
    <s v=""/>
    <m/>
    <m/>
    <s v="FP.2. Counseling"/>
    <x v="8"/>
    <m/>
    <s v="2.9.1 Method in mind? / 2.9.4 Select methods of interest"/>
    <m/>
    <s v="FP.DE.052"/>
    <s v="Method in mind"/>
    <m/>
    <s v="If the client had a method in mind coming in to the visit."/>
    <s v="Boolean"/>
    <m/>
    <s v="True/False"/>
    <m/>
    <s v="No"/>
    <m/>
    <s v="Yes"/>
    <s v="C"/>
    <s v="Skip if keeping method = TRUE"/>
    <m/>
    <m/>
    <m/>
    <m/>
    <m/>
    <m/>
    <m/>
    <m/>
    <x v="3"/>
    <x v="0"/>
    <m/>
    <m/>
    <m/>
    <x v="2"/>
    <s v="NA"/>
    <m/>
    <m/>
    <m/>
    <s v="Contraception Method in mind"/>
    <s v="Same"/>
    <m/>
    <x v="1"/>
    <s v="&quot;Method in mind&quot;-&gt;&quot;Contraception Method in mind&quot;"/>
    <m/>
    <x v="0"/>
    <m/>
    <m/>
    <s v="i dont know what this means"/>
    <m/>
    <m/>
    <m/>
    <m/>
    <m/>
    <m/>
    <m/>
    <m/>
    <m/>
    <m/>
    <m/>
    <m/>
    <m/>
    <m/>
    <m/>
    <m/>
    <m/>
    <x v="2"/>
    <s v=""/>
    <x v="3"/>
    <x v="2"/>
    <n v="1"/>
    <s v=""/>
    <n v="1"/>
    <n v="1"/>
    <n v="1"/>
    <n v="0"/>
    <n v="0"/>
  </r>
  <r>
    <n v="1445"/>
    <s v="Device-based Contraception Method requested"/>
    <n v="1445"/>
    <s v="Method requested"/>
    <s v="Method requested"/>
    <x v="0"/>
    <n v="43"/>
    <s v=""/>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18"/>
    <x v="0"/>
    <s v="FHIR"/>
    <s v="4.0.1"/>
    <m/>
    <x v="41"/>
    <s v="JA"/>
    <s v="http://hl7.org/fhir/who-int/core/ImplementationGuide/core/ValueSet/devicebirthcontrolmethods-values"/>
    <m/>
    <m/>
    <s v="Contraception Method requested"/>
    <s v="Changed"/>
    <m/>
    <x v="1"/>
    <s v="&quot;Method requested&quot;-&gt;&quot;Device-based Contraception Method requested&quot;"/>
    <m/>
    <x v="0"/>
    <m/>
    <m/>
    <s v="x"/>
    <s v="Z30.9"/>
    <m/>
    <m/>
    <m/>
    <m/>
    <s v="No terminology code required"/>
    <m/>
    <m/>
    <m/>
    <s v="80"/>
    <m/>
    <m/>
    <m/>
    <m/>
    <m/>
    <m/>
    <m/>
    <x v="6"/>
    <s v=""/>
    <x v="7"/>
    <x v="42"/>
    <n v="1"/>
    <n v="1"/>
    <n v="1"/>
    <n v="1"/>
    <n v="1"/>
    <n v="0"/>
    <n v="0"/>
  </r>
  <r>
    <n v="2363"/>
    <s v="Medication-based Contraception Method requested"/>
    <m/>
    <m/>
    <m/>
    <x v="0"/>
    <n v="47"/>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0"/>
    <x v="2"/>
    <s v="FHIR"/>
    <s v="4.0.1"/>
    <m/>
    <x v="42"/>
    <s v="JA"/>
    <s v="http://hl7.org/fhir/who-int/core/ImplementationGuide/core/ValueSet/medicationbirthcontrolmethods-values"/>
    <m/>
    <m/>
    <s v="Contraception Method requested"/>
    <s v="Changed"/>
    <m/>
    <x v="1"/>
    <s v="&quot;&quot;-&gt;&quot;Medication-based Contraception Method requested&quot;"/>
    <m/>
    <x v="0"/>
    <m/>
    <m/>
    <s v="x"/>
    <s v="Z30.9"/>
    <m/>
    <m/>
    <m/>
    <m/>
    <s v="No terminology code required"/>
    <m/>
    <m/>
    <m/>
    <s v="80"/>
    <m/>
    <m/>
    <m/>
    <m/>
    <m/>
    <m/>
    <m/>
    <x v="7"/>
    <s v=""/>
    <x v="8"/>
    <x v="43"/>
    <n v="1"/>
    <n v="1"/>
    <n v="1"/>
    <n v="1"/>
    <n v="1"/>
    <n v="0"/>
    <n v="0"/>
  </r>
  <r>
    <n v="2364"/>
    <s v="Procedure-based Contraception Method requested"/>
    <m/>
    <m/>
    <m/>
    <x v="0"/>
    <n v="46"/>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2"/>
    <x v="0"/>
    <s v="FHIR"/>
    <s v="4.0.1"/>
    <m/>
    <x v="43"/>
    <s v="JA"/>
    <s v="http://hl7.org/fhir/who-int/core/ImplementationGuide/core/ValueSet/procedurebirthcontrolmethods-values"/>
    <m/>
    <m/>
    <s v="Contraception Method requested"/>
    <s v="Changed"/>
    <m/>
    <x v="1"/>
    <s v="&quot;&quot;-&gt;&quot;Procedure-based Contraception Method requested&quot;"/>
    <m/>
    <x v="0"/>
    <m/>
    <m/>
    <s v="x"/>
    <s v="Z30.9"/>
    <m/>
    <m/>
    <m/>
    <m/>
    <s v="No terminology code required"/>
    <m/>
    <m/>
    <m/>
    <s v="80"/>
    <m/>
    <m/>
    <m/>
    <m/>
    <m/>
    <m/>
    <m/>
    <x v="8"/>
    <s v=""/>
    <x v="9"/>
    <x v="44"/>
    <n v="1"/>
    <n v="1"/>
    <n v="1"/>
    <n v="1"/>
    <n v="1"/>
    <n v="0"/>
    <n v="0"/>
  </r>
  <r>
    <n v="2365"/>
    <s v="CarePlan-based Contraception Method requested"/>
    <m/>
    <m/>
    <m/>
    <x v="0"/>
    <n v="45"/>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4"/>
    <x v="0"/>
    <s v="FHIR"/>
    <s v="4.0.1"/>
    <m/>
    <x v="44"/>
    <s v="JA"/>
    <s v="http://hl7.org/fhir/who-int/core/ImplementationGuide/core/ValueSet/careplanbirthcontrolmethods-values"/>
    <m/>
    <m/>
    <s v="Contraception Method requested"/>
    <s v="Changed"/>
    <m/>
    <x v="1"/>
    <s v="&quot;&quot;-&gt;&quot;CarePlan-based Contraception Method requested&quot;"/>
    <m/>
    <x v="0"/>
    <m/>
    <m/>
    <s v="x"/>
    <s v="Z30.9"/>
    <m/>
    <m/>
    <m/>
    <m/>
    <s v="No terminology code required"/>
    <m/>
    <m/>
    <m/>
    <s v="80"/>
    <m/>
    <m/>
    <m/>
    <m/>
    <m/>
    <m/>
    <m/>
    <x v="9"/>
    <s v=""/>
    <x v="10"/>
    <x v="45"/>
    <n v="1"/>
    <n v="1"/>
    <n v="1"/>
    <n v="1"/>
    <n v="1"/>
    <n v="0"/>
    <n v="0"/>
  </r>
  <r>
    <n v="1446"/>
    <s v="Inconsistent contraceptive use"/>
    <n v="1446"/>
    <s v="Correct and consistent contraceptive use"/>
    <s v="Correct and consistent contraceptive use"/>
    <x v="0"/>
    <n v="30"/>
    <s v=""/>
    <m/>
    <m/>
    <s v="FP.2. Counseling"/>
    <x v="8"/>
    <m/>
    <s v="2.10.5 Screen for medical eligibility"/>
    <m/>
    <s v="FP.DE.057"/>
    <s v="Correct and consistent contraceptive use"/>
    <m/>
    <s v="Correct and consistent use of current contraceptive method."/>
    <s v="Boolean"/>
    <m/>
    <s v="True/False"/>
    <m/>
    <s v="No"/>
    <m/>
    <s v="Yes"/>
    <s v="C"/>
    <s v="Include if Method at intake - reported is not null in Pregnancy check decision logic"/>
    <m/>
    <m/>
    <m/>
    <s v="Used for pregnancy exclusion criteria"/>
    <m/>
    <m/>
    <m/>
    <m/>
    <x v="25"/>
    <x v="0"/>
    <s v="FHIR"/>
    <s v="4.0.1"/>
    <m/>
    <x v="2"/>
    <s v="NA"/>
    <m/>
    <m/>
    <m/>
    <s v="Correct and consistent contraceptive use"/>
    <s v="Changed"/>
    <m/>
    <x v="1"/>
    <s v="&quot;Correct and consistent contraceptive use&quot;-&gt;&quot;Inconsistent contraceptive use&quot;"/>
    <m/>
    <x v="2"/>
    <m/>
    <m/>
    <s v="mapped to inconsistent use"/>
    <m/>
    <m/>
    <s v="423728007"/>
    <m/>
    <m/>
    <m/>
    <m/>
    <m/>
    <s v="_x000a_423728007. ONCONCISTENT USE"/>
    <m/>
    <m/>
    <m/>
    <m/>
    <m/>
    <m/>
    <m/>
    <m/>
    <x v="2"/>
    <s v=""/>
    <x v="3"/>
    <x v="12"/>
    <n v="1"/>
    <n v="0"/>
    <n v="1"/>
    <n v="1"/>
    <n v="1"/>
    <n v="0"/>
    <n v="0"/>
  </r>
  <r>
    <n v="1447"/>
    <s v="Medical eligibility - number classification"/>
    <n v="1447"/>
    <s v="Medical eligibility - number classification"/>
    <s v="Medical eligibility - number classification"/>
    <x v="0"/>
    <n v="43"/>
    <s v=""/>
    <m/>
    <m/>
    <s v="FP.2. Counseling"/>
    <x v="10"/>
    <m/>
    <s v="2.10.5 Screen for medical eligibility"/>
    <m/>
    <s v="FP.DE.265"/>
    <s v="Medical eligibility - number classification"/>
    <m/>
    <s v="System generated medical eligibility value for numerical ratings"/>
    <s v="Coding "/>
    <s v="Select one"/>
    <m/>
    <m/>
    <s v="No"/>
    <m/>
    <s v="No"/>
    <s v="C"/>
    <s v="System generated by MEC decision logic for method requested"/>
    <m/>
    <m/>
    <m/>
    <s v="[Data stored with record (FP.RQ.002.011) and used to populate an alert.]"/>
    <m/>
    <m/>
    <m/>
    <m/>
    <x v="17"/>
    <x v="3"/>
    <s v="FHIR"/>
    <s v="4.0.1"/>
    <m/>
    <x v="45"/>
    <s v="JS"/>
    <s v="MedicalEligibilityNumber"/>
    <m/>
    <m/>
    <s v="Medical eligibility - number classification"/>
    <s v="Same"/>
    <m/>
    <x v="1"/>
    <s v=""/>
    <m/>
    <x v="0"/>
    <m/>
    <m/>
    <m/>
    <m/>
    <m/>
    <m/>
    <m/>
    <m/>
    <s v="No terminology code required"/>
    <m/>
    <m/>
    <s v="need to confirm what this is; i dont think we cna map this"/>
    <m/>
    <m/>
    <m/>
    <m/>
    <m/>
    <m/>
    <m/>
    <m/>
    <x v="5"/>
    <s v=""/>
    <x v="6"/>
    <x v="46"/>
    <n v="1"/>
    <n v="1"/>
    <n v="1"/>
    <n v="1"/>
    <n v="1"/>
    <n v="0"/>
    <n v="0"/>
  </r>
  <r>
    <n v="1448"/>
    <s v="       1"/>
    <n v="1448"/>
    <e v="#NAME?"/>
    <n v="1"/>
    <x v="1"/>
    <n v="8"/>
    <s v="Medical eligibility - number classification"/>
    <m/>
    <m/>
    <s v="FP.2. Counseling"/>
    <x v="10"/>
    <m/>
    <s v="2.10.5 Screen for medical eligibility"/>
    <m/>
    <s v="FP.DE.562"/>
    <m/>
    <m/>
    <s v="A condition for which there is no restriction for the use of the contraceptive method"/>
    <m/>
    <m/>
    <n v="1"/>
    <m/>
    <s v="No"/>
    <m/>
    <s v="No"/>
    <m/>
    <m/>
    <m/>
    <m/>
    <m/>
    <m/>
    <m/>
    <m/>
    <m/>
    <m/>
    <x v="3"/>
    <x v="0"/>
    <m/>
    <m/>
    <m/>
    <x v="2"/>
    <s v="JS"/>
    <m/>
    <m/>
    <m/>
    <s v="       1"/>
    <s v="Same"/>
    <m/>
    <x v="1"/>
    <e v="#NAME?"/>
    <m/>
    <x v="0"/>
    <s v="http://who.int/cg/CodeSystem/extended-content"/>
    <n v="1"/>
    <m/>
    <m/>
    <m/>
    <m/>
    <m/>
    <m/>
    <s v="No terminology code required"/>
    <m/>
    <m/>
    <s v="not lcear what this is; it must be for a specific eligibility"/>
    <m/>
    <m/>
    <m/>
    <m/>
    <m/>
    <m/>
    <m/>
    <m/>
    <x v="2"/>
    <n v="0"/>
    <x v="2"/>
    <x v="46"/>
    <n v="1"/>
    <s v=""/>
    <n v="1"/>
    <n v="1"/>
    <n v="1"/>
    <n v="0"/>
    <n v="0"/>
  </r>
  <r>
    <n v="1449"/>
    <s v="       2"/>
    <n v="1449"/>
    <e v="#NAME?"/>
    <n v="2"/>
    <x v="1"/>
    <n v="8"/>
    <s v="Medical eligibility - number classification"/>
    <m/>
    <m/>
    <s v="FP.2. Counseling"/>
    <x v="10"/>
    <m/>
    <s v="2.10.5 Screen for medical eligibility"/>
    <m/>
    <s v="FP.DE.563"/>
    <m/>
    <m/>
    <s v="A condition where the advantages of using the method generally outweigh the theoretical or proven risks"/>
    <m/>
    <m/>
    <n v="2"/>
    <m/>
    <s v="No"/>
    <m/>
    <s v="No"/>
    <m/>
    <m/>
    <m/>
    <m/>
    <m/>
    <m/>
    <m/>
    <m/>
    <m/>
    <m/>
    <x v="3"/>
    <x v="0"/>
    <m/>
    <m/>
    <m/>
    <x v="2"/>
    <s v="JS"/>
    <m/>
    <m/>
    <m/>
    <s v="       2"/>
    <s v="Same"/>
    <m/>
    <x v="1"/>
    <e v="#NAME?"/>
    <m/>
    <x v="0"/>
    <s v="http://who.int/cg/CodeSystem/extended-content"/>
    <n v="2"/>
    <m/>
    <m/>
    <m/>
    <m/>
    <m/>
    <m/>
    <s v="No terminology code required"/>
    <m/>
    <m/>
    <m/>
    <m/>
    <m/>
    <m/>
    <m/>
    <m/>
    <m/>
    <m/>
    <m/>
    <x v="2"/>
    <n v="0"/>
    <x v="2"/>
    <x v="46"/>
    <n v="1"/>
    <s v=""/>
    <n v="1"/>
    <n v="1"/>
    <n v="1"/>
    <n v="0"/>
    <n v="0"/>
  </r>
  <r>
    <n v="1450"/>
    <s v="       3"/>
    <n v="1450"/>
    <e v="#NAME?"/>
    <n v="3"/>
    <x v="1"/>
    <n v="8"/>
    <s v="Medical eligibility - number classification"/>
    <m/>
    <m/>
    <s v="FP.2. Counseling"/>
    <x v="10"/>
    <m/>
    <s v="2.10.5 Screen for medical eligibility"/>
    <m/>
    <s v="FP.DE.564"/>
    <m/>
    <m/>
    <s v="A condition where the theoretical or proven risks usually outweigh the advantages of using the method"/>
    <m/>
    <m/>
    <n v="3"/>
    <m/>
    <s v="No"/>
    <m/>
    <s v="No"/>
    <m/>
    <m/>
    <m/>
    <m/>
    <m/>
    <m/>
    <m/>
    <m/>
    <m/>
    <m/>
    <x v="3"/>
    <x v="0"/>
    <m/>
    <m/>
    <m/>
    <x v="2"/>
    <s v="JS"/>
    <m/>
    <m/>
    <m/>
    <s v="       3"/>
    <s v="Same"/>
    <m/>
    <x v="1"/>
    <e v="#NAME?"/>
    <m/>
    <x v="0"/>
    <s v="http://who.int/cg/CodeSystem/extended-content"/>
    <n v="3"/>
    <m/>
    <m/>
    <m/>
    <m/>
    <m/>
    <m/>
    <s v="No terminology code required"/>
    <m/>
    <m/>
    <m/>
    <m/>
    <m/>
    <m/>
    <m/>
    <m/>
    <m/>
    <m/>
    <m/>
    <x v="2"/>
    <n v="0"/>
    <x v="2"/>
    <x v="46"/>
    <n v="1"/>
    <s v=""/>
    <n v="1"/>
    <n v="1"/>
    <n v="1"/>
    <n v="0"/>
    <n v="0"/>
  </r>
  <r>
    <n v="1451"/>
    <s v="       4"/>
    <n v="1451"/>
    <e v="#NAME?"/>
    <n v="4"/>
    <x v="1"/>
    <n v="8"/>
    <s v="Medical eligibility - number classification"/>
    <m/>
    <m/>
    <s v="FP.2. Counseling"/>
    <x v="10"/>
    <m/>
    <s v="2.10.5 Screen for medical eligibility"/>
    <m/>
    <s v="FP.DE.565"/>
    <m/>
    <m/>
    <s v="A condition which represents an unacceptable health risk if the contraceptive method is used"/>
    <m/>
    <m/>
    <n v="4"/>
    <m/>
    <s v="No"/>
    <m/>
    <s v="No"/>
    <m/>
    <m/>
    <m/>
    <m/>
    <m/>
    <m/>
    <m/>
    <m/>
    <m/>
    <m/>
    <x v="3"/>
    <x v="0"/>
    <m/>
    <m/>
    <m/>
    <x v="2"/>
    <s v="JS"/>
    <m/>
    <m/>
    <m/>
    <s v="       4"/>
    <s v="Same"/>
    <m/>
    <x v="1"/>
    <e v="#NAME?"/>
    <m/>
    <x v="0"/>
    <s v="http://who.int/cg/CodeSystem/extended-content"/>
    <n v="4"/>
    <m/>
    <m/>
    <m/>
    <m/>
    <m/>
    <m/>
    <s v="No terminology code required"/>
    <m/>
    <m/>
    <m/>
    <m/>
    <m/>
    <m/>
    <m/>
    <m/>
    <m/>
    <m/>
    <m/>
    <x v="2"/>
    <n v="0"/>
    <x v="2"/>
    <x v="46"/>
    <n v="1"/>
    <s v=""/>
    <n v="1"/>
    <n v="1"/>
    <n v="1"/>
    <n v="0"/>
    <n v="0"/>
  </r>
  <r>
    <n v="1452"/>
    <s v="Medical eligibility - text classification"/>
    <n v="1452"/>
    <s v="Medical eligibility - text classification"/>
    <s v="Medical eligibility - text classification"/>
    <x v="0"/>
    <n v="41"/>
    <s v=""/>
    <m/>
    <m/>
    <s v="FP.2. Counseling"/>
    <x v="10"/>
    <m/>
    <s v="2.10.5 Screen for medical eligibility"/>
    <m/>
    <s v="FP.DE.566"/>
    <s v="Medical eligibility - text classification"/>
    <m/>
    <s v="System generated medical eligibility value for methods using text values"/>
    <s v="Coding "/>
    <s v="Select one"/>
    <m/>
    <m/>
    <s v="No"/>
    <m/>
    <s v="No"/>
    <s v="C"/>
    <s v="System generated by MEC decision logic for method requested when method uses a text rating scale"/>
    <m/>
    <m/>
    <m/>
    <m/>
    <m/>
    <m/>
    <m/>
    <m/>
    <x v="17"/>
    <x v="3"/>
    <s v="FHIR"/>
    <s v="4.0.1"/>
    <m/>
    <x v="46"/>
    <s v="JS"/>
    <m/>
    <m/>
    <m/>
    <s v="Medical eligibility - text classification"/>
    <s v="Same"/>
    <m/>
    <x v="1"/>
    <s v=""/>
    <m/>
    <x v="0"/>
    <m/>
    <m/>
    <m/>
    <m/>
    <m/>
    <m/>
    <m/>
    <m/>
    <s v="No terminology code required"/>
    <m/>
    <m/>
    <m/>
    <m/>
    <m/>
    <m/>
    <m/>
    <m/>
    <m/>
    <m/>
    <m/>
    <x v="5"/>
    <s v=""/>
    <x v="6"/>
    <x v="47"/>
    <n v="1"/>
    <n v="1"/>
    <n v="1"/>
    <n v="1"/>
    <n v="1"/>
    <n v="0"/>
    <n v="0"/>
  </r>
  <r>
    <n v="1453"/>
    <s v="       Accept"/>
    <n v="1453"/>
    <e v="#NAME?"/>
    <s v="Accept"/>
    <x v="1"/>
    <n v="13"/>
    <s v="Medical eligibility - text classification"/>
    <m/>
    <m/>
    <s v="FP.2. Counseling"/>
    <x v="10"/>
    <m/>
    <s v="2.10.5 Screen for medical eligibility"/>
    <m/>
    <s v="FP.DE.567"/>
    <m/>
    <m/>
    <s v="There is no medical reason to deny the particular method to a woman in this circumstance."/>
    <m/>
    <m/>
    <s v="Accept"/>
    <m/>
    <s v="No"/>
    <m/>
    <s v="No"/>
    <m/>
    <m/>
    <m/>
    <m/>
    <m/>
    <m/>
    <m/>
    <m/>
    <m/>
    <m/>
    <x v="3"/>
    <x v="0"/>
    <m/>
    <s v="4.0.1"/>
    <m/>
    <x v="2"/>
    <s v="JS"/>
    <m/>
    <m/>
    <m/>
    <s v="       Accept"/>
    <s v="Same"/>
    <m/>
    <x v="1"/>
    <e v="#NAME?"/>
    <m/>
    <x v="0"/>
    <s v="http://who.int/cg/CodeSystem/extended-content"/>
    <s v="Accept"/>
    <m/>
    <m/>
    <m/>
    <m/>
    <m/>
    <m/>
    <s v="No terminology code required"/>
    <m/>
    <m/>
    <m/>
    <m/>
    <m/>
    <m/>
    <m/>
    <m/>
    <m/>
    <m/>
    <m/>
    <x v="2"/>
    <n v="0"/>
    <x v="2"/>
    <x v="47"/>
    <n v="1"/>
    <s v=""/>
    <n v="1"/>
    <n v="1"/>
    <n v="1"/>
    <n v="0"/>
    <n v="0"/>
  </r>
  <r>
    <n v="1454"/>
    <s v="       Caution "/>
    <n v="1454"/>
    <e v="#NAME?"/>
    <s v="Caution "/>
    <x v="1"/>
    <n v="15"/>
    <s v="Medical eligibility - text classification"/>
    <m/>
    <m/>
    <s v="FP.2. Counseling"/>
    <x v="10"/>
    <m/>
    <s v="2.10.5 Screen for medical eligibility"/>
    <m/>
    <s v="FP.DE.568"/>
    <m/>
    <m/>
    <s v="The method is normally provided in a routine setting, but with extra preparation and precautions. For FAB methods, this usually_x000a_means that special counselling may be needed to ensure correct use of the method by a woman in this circumstance."/>
    <m/>
    <m/>
    <s v="Caution "/>
    <m/>
    <s v="No"/>
    <m/>
    <s v="No"/>
    <m/>
    <m/>
    <m/>
    <m/>
    <m/>
    <m/>
    <m/>
    <m/>
    <m/>
    <m/>
    <x v="3"/>
    <x v="0"/>
    <m/>
    <m/>
    <m/>
    <x v="2"/>
    <s v="JS"/>
    <m/>
    <m/>
    <m/>
    <s v="       Caution "/>
    <s v="Same"/>
    <m/>
    <x v="1"/>
    <e v="#NAME?"/>
    <m/>
    <x v="0"/>
    <s v="http://who.int/cg/CodeSystem/extended-content"/>
    <s v="Caution "/>
    <m/>
    <m/>
    <m/>
    <m/>
    <m/>
    <m/>
    <s v="No terminology code required"/>
    <m/>
    <m/>
    <m/>
    <m/>
    <m/>
    <m/>
    <m/>
    <m/>
    <m/>
    <m/>
    <m/>
    <x v="2"/>
    <n v="0"/>
    <x v="2"/>
    <x v="47"/>
    <n v="1"/>
    <s v=""/>
    <n v="1"/>
    <n v="1"/>
    <n v="1"/>
    <n v="0"/>
    <n v="0"/>
  </r>
  <r>
    <n v="1455"/>
    <s v="       Delay"/>
    <n v="1455"/>
    <e v="#NAME?"/>
    <s v="Delay"/>
    <x v="1"/>
    <n v="12"/>
    <s v="Medical eligibility - text classification"/>
    <m/>
    <m/>
    <s v="FP.2. Counseling"/>
    <x v="10"/>
    <m/>
    <s v="2.10.5 Screen for medical eligibility"/>
    <m/>
    <s v="FP.DE.569"/>
    <m/>
    <m/>
    <s v="Use of this method should be delayed until the condition is evaluated or corrected. Alternative temporary methods of contraception should be offered."/>
    <m/>
    <m/>
    <s v="Delay"/>
    <m/>
    <s v="No"/>
    <m/>
    <s v="No"/>
    <m/>
    <m/>
    <m/>
    <m/>
    <m/>
    <m/>
    <m/>
    <m/>
    <m/>
    <m/>
    <x v="3"/>
    <x v="0"/>
    <m/>
    <m/>
    <m/>
    <x v="2"/>
    <s v="JS"/>
    <m/>
    <m/>
    <m/>
    <s v="       Delay"/>
    <s v="Same"/>
    <m/>
    <x v="1"/>
    <e v="#NAME?"/>
    <m/>
    <x v="0"/>
    <s v="http://who.int/cg/CodeSystem/extended-content"/>
    <s v="Delay"/>
    <m/>
    <m/>
    <m/>
    <m/>
    <m/>
    <m/>
    <s v="No terminology code required"/>
    <m/>
    <m/>
    <m/>
    <m/>
    <m/>
    <m/>
    <m/>
    <m/>
    <m/>
    <m/>
    <m/>
    <x v="2"/>
    <n v="0"/>
    <x v="2"/>
    <x v="47"/>
    <n v="1"/>
    <s v=""/>
    <n v="1"/>
    <n v="1"/>
    <n v="1"/>
    <n v="0"/>
    <n v="0"/>
  </r>
  <r>
    <n v="1456"/>
    <s v="       Special"/>
    <n v="1456"/>
    <e v="#NAME?"/>
    <s v="Special"/>
    <x v="1"/>
    <n v="14"/>
    <s v="Medical eligibility - text classification"/>
    <m/>
    <m/>
    <s v="FP.2. Counseling"/>
    <x v="10"/>
    <m/>
    <s v="2.10.5 Screen for medical eligibility"/>
    <m/>
    <s v="FP.DE.570"/>
    <m/>
    <m/>
    <s v="The procedure should be undertaken in a setting with an experienced surgeon and staff, equipment needed to provide general anaesthesia, and other back-up medical support. For these conditions, the capacity to decide on the most appropriate procedure and a"/>
    <m/>
    <m/>
    <s v="Special"/>
    <m/>
    <s v="No"/>
    <m/>
    <s v="No"/>
    <m/>
    <m/>
    <m/>
    <m/>
    <m/>
    <m/>
    <m/>
    <m/>
    <m/>
    <m/>
    <x v="3"/>
    <x v="0"/>
    <m/>
    <m/>
    <m/>
    <x v="2"/>
    <s v="JS"/>
    <m/>
    <m/>
    <m/>
    <s v="       Special"/>
    <s v="Same"/>
    <m/>
    <x v="1"/>
    <e v="#NAME?"/>
    <m/>
    <x v="0"/>
    <s v="http://who.int/cg/CodeSystem/extended-content"/>
    <s v="Special"/>
    <m/>
    <m/>
    <m/>
    <m/>
    <m/>
    <m/>
    <s v="No terminology code required"/>
    <m/>
    <m/>
    <m/>
    <m/>
    <m/>
    <m/>
    <m/>
    <m/>
    <m/>
    <m/>
    <m/>
    <x v="2"/>
    <n v="0"/>
    <x v="2"/>
    <x v="47"/>
    <n v="1"/>
    <s v=""/>
    <n v="1"/>
    <n v="1"/>
    <n v="1"/>
    <n v="0"/>
    <n v="0"/>
  </r>
  <r>
    <n v="1863"/>
    <s v="Date of medical eligibility check"/>
    <n v="1863"/>
    <s v="Date of medical eligibility check"/>
    <s v="Date of medical eligibility check"/>
    <x v="0"/>
    <n v="33"/>
    <s v=""/>
    <m/>
    <m/>
    <s v="FP.2. Counseling"/>
    <x v="10"/>
    <m/>
    <s v="2.10.5 Screen for medical eligibility"/>
    <m/>
    <s v="FP.DE.265"/>
    <s v="Date of medical eligibility check"/>
    <m/>
    <s v="History of medical eligibility checks "/>
    <s v="DateTime"/>
    <m/>
    <m/>
    <m/>
    <s v="Yes"/>
    <s v="Date &lt;=Current Date"/>
    <s v="Yes"/>
    <s v="C"/>
    <s v="If there is a record of Medical Eligibility &gt;[MEC recommend rating, currently 2]  for the method selected  (FP.RQ.002.011) "/>
    <m/>
    <m/>
    <m/>
    <s v="[Data stored with record (FP.RQ.002.011) and used to populate an alert.]"/>
    <s v="MEC"/>
    <m/>
    <m/>
    <s v=""/>
    <x v="30"/>
    <x v="8"/>
    <s v="FHIR"/>
    <s v="4.0.1"/>
    <s v=""/>
    <x v="2"/>
    <s v="NA"/>
    <m/>
    <m/>
    <m/>
    <m/>
    <s v=""/>
    <m/>
    <x v="1"/>
    <s v=""/>
    <m/>
    <x v="2"/>
    <m/>
    <s v=""/>
    <s v=""/>
    <m/>
    <s v=""/>
    <m/>
    <m/>
    <m/>
    <s v="No terminology code required"/>
    <s v=""/>
    <m/>
    <s v=""/>
    <s v=""/>
    <s v=""/>
    <s v=""/>
    <s v=""/>
    <s v=""/>
    <m/>
    <m/>
    <m/>
    <x v="2"/>
    <s v=""/>
    <x v="3"/>
    <x v="12"/>
    <n v="1"/>
    <n v="0"/>
    <n v="1"/>
    <n v="1"/>
    <n v="1"/>
    <n v="0"/>
    <n v="0"/>
  </r>
  <r>
    <n v="2372"/>
    <s v="Observations affecting Medical Eligibility"/>
    <m/>
    <m/>
    <m/>
    <x v="0"/>
    <m/>
    <m/>
    <m/>
    <m/>
    <m/>
    <x v="9"/>
    <m/>
    <m/>
    <m/>
    <m/>
    <m/>
    <m/>
    <m/>
    <m/>
    <m/>
    <m/>
    <m/>
    <m/>
    <m/>
    <m/>
    <m/>
    <m/>
    <m/>
    <m/>
    <m/>
    <m/>
    <m/>
    <m/>
    <m/>
    <m/>
    <x v="25"/>
    <x v="0"/>
    <s v="FHIR"/>
    <s v="4.0.1"/>
    <m/>
    <x v="47"/>
    <s v="JA"/>
    <s v="MedicalEligibilityObservations"/>
    <m/>
    <m/>
    <m/>
    <m/>
    <m/>
    <x v="1"/>
    <m/>
    <m/>
    <x v="0"/>
    <m/>
    <m/>
    <m/>
    <m/>
    <m/>
    <m/>
    <m/>
    <m/>
    <m/>
    <m/>
    <m/>
    <m/>
    <m/>
    <m/>
    <m/>
    <m/>
    <m/>
    <m/>
    <m/>
    <m/>
    <x v="5"/>
    <s v=""/>
    <x v="6"/>
    <x v="48"/>
    <n v="1"/>
    <n v="1"/>
    <n v="0"/>
    <n v="1"/>
    <n v="0"/>
    <n v="1"/>
    <n v="0"/>
  </r>
  <r>
    <n v="2371"/>
    <s v="Current conditions affecting Medical Eligibility"/>
    <m/>
    <m/>
    <m/>
    <x v="0"/>
    <m/>
    <s v=""/>
    <m/>
    <m/>
    <m/>
    <x v="9"/>
    <m/>
    <m/>
    <m/>
    <m/>
    <m/>
    <m/>
    <m/>
    <m/>
    <m/>
    <m/>
    <m/>
    <m/>
    <m/>
    <m/>
    <m/>
    <m/>
    <m/>
    <m/>
    <m/>
    <m/>
    <m/>
    <m/>
    <m/>
    <m/>
    <x v="31"/>
    <x v="0"/>
    <s v="FHIR"/>
    <s v="4.0.1"/>
    <m/>
    <x v="48"/>
    <s v="JA"/>
    <s v="MedicalEligibilityConditions"/>
    <m/>
    <m/>
    <m/>
    <m/>
    <m/>
    <x v="1"/>
    <m/>
    <m/>
    <x v="0"/>
    <m/>
    <m/>
    <m/>
    <m/>
    <m/>
    <m/>
    <m/>
    <m/>
    <s v="No terminology code required"/>
    <m/>
    <m/>
    <m/>
    <m/>
    <m/>
    <m/>
    <m/>
    <m/>
    <m/>
    <m/>
    <m/>
    <x v="11"/>
    <s v=""/>
    <x v="12"/>
    <x v="49"/>
    <n v="1"/>
    <n v="1"/>
    <n v="1"/>
    <n v="1"/>
    <n v="1"/>
    <n v="0"/>
    <n v="0"/>
  </r>
  <r>
    <n v="1428"/>
    <s v="Puerperal sepsis"/>
    <n v="1428"/>
    <e v="#NAME?"/>
    <s v="Puerperal sepsis"/>
    <x v="1"/>
    <n v="16"/>
    <s v="Current conditions affecting Medical Eligibility"/>
    <m/>
    <m/>
    <s v="FP.2. Counseling"/>
    <x v="10"/>
    <m/>
    <s v="2.10.5 Screen for medical eligibility"/>
    <m/>
    <s v="FP.DE.436"/>
    <s v="Puerperal sepsis"/>
    <m/>
    <m/>
    <s v="Boolean"/>
    <m/>
    <s v="True/False"/>
    <m/>
    <m/>
    <m/>
    <s v="Yes"/>
    <s v="C"/>
    <s v="&quot;Required if postpartum = TRUE and MEC classification  &gt;   MEC okay to use rating, currently 2] for method selected.&quot;"/>
    <m/>
    <m/>
    <m/>
    <m/>
    <m/>
    <m/>
    <m/>
    <m/>
    <x v="3"/>
    <x v="0"/>
    <m/>
    <m/>
    <m/>
    <x v="2"/>
    <s v="JS"/>
    <s v="MedicalEligibilityConditions"/>
    <m/>
    <m/>
    <s v="Puerperal sepsis"/>
    <s v="Same"/>
    <m/>
    <x v="1"/>
    <e v="#NAME?"/>
    <m/>
    <x v="0"/>
    <m/>
    <m/>
    <s v="x"/>
    <m/>
    <m/>
    <s v="2858002"/>
    <m/>
    <m/>
    <m/>
    <m/>
    <m/>
    <s v="ICD 9 670.2"/>
    <m/>
    <m/>
    <m/>
    <m/>
    <m/>
    <m/>
    <m/>
    <m/>
    <x v="2"/>
    <n v="0"/>
    <x v="2"/>
    <x v="49"/>
    <n v="1"/>
    <s v=""/>
    <n v="1"/>
    <n v="1"/>
    <n v="1"/>
    <n v="0"/>
    <n v="0"/>
  </r>
  <r>
    <n v="1429"/>
    <s v="History of hypertension"/>
    <n v="1429"/>
    <e v="#NAME?"/>
    <s v="History of hypertension"/>
    <x v="1"/>
    <n v="23"/>
    <s v="Current conditions affecting Medical Eligibility"/>
    <m/>
    <m/>
    <s v="FP.2. Counseling"/>
    <x v="11"/>
    <m/>
    <s v="2.10.5 Screen for medical eligibility"/>
    <m/>
    <s v="FP.DE.311"/>
    <s v="History of hypertension"/>
    <m/>
    <s v="If client has a known history of hypertension. "/>
    <s v="Boolean"/>
    <m/>
    <s v="True/False"/>
    <m/>
    <m/>
    <m/>
    <s v="Yes"/>
    <s v="C"/>
    <s v="Required if Unable to measure blood pressure = TRUE_x000a_and MEC classification  &gt;   MEC okay to use rating, currently 2] for method selected."/>
    <m/>
    <m/>
    <m/>
    <s v="MEC. Included in MEC app conditions.csv"/>
    <s v="MEC"/>
    <m/>
    <m/>
    <m/>
    <x v="3"/>
    <x v="0"/>
    <m/>
    <m/>
    <m/>
    <x v="2"/>
    <s v="JS"/>
    <s v="MedicalEligibilityConditions"/>
    <m/>
    <m/>
    <s v="History of hypertension"/>
    <s v="Same"/>
    <m/>
    <x v="1"/>
    <e v="#NAME?"/>
    <m/>
    <x v="0"/>
    <m/>
    <m/>
    <s v="x"/>
    <s v="Z86.7"/>
    <s v="QC4Z"/>
    <s v="161501007"/>
    <m/>
    <m/>
    <m/>
    <m/>
    <m/>
    <m/>
    <m/>
    <n v="156639"/>
    <m/>
    <m/>
    <s v="156639AAAAAAAAAAAAAAAAAAAAAAAAAAAAAA"/>
    <m/>
    <m/>
    <m/>
    <x v="2"/>
    <n v="0"/>
    <x v="2"/>
    <x v="49"/>
    <n v="1"/>
    <s v=""/>
    <n v="1"/>
    <n v="1"/>
    <n v="1"/>
    <n v="0"/>
    <n v="0"/>
  </r>
  <r>
    <n v="1458"/>
    <s v="No sexual contact since last delivery"/>
    <n v="1458"/>
    <s v="No sexual contact since last delivery"/>
    <s v="No sexual contact since last delivery"/>
    <x v="0"/>
    <n v="37"/>
    <s v=""/>
    <m/>
    <m/>
    <s v="FP.2. Counseling"/>
    <x v="7"/>
    <m/>
    <s v="2.10.5 Screen for medical eligibility"/>
    <m/>
    <s v="FP.DE.504"/>
    <s v="No sexual contact since last delivery"/>
    <m/>
    <m/>
    <s v="Boolean "/>
    <m/>
    <s v="True/False"/>
    <m/>
    <s v="No"/>
    <m/>
    <s v="Yes"/>
    <s v="C"/>
    <m/>
    <m/>
    <m/>
    <m/>
    <m/>
    <m/>
    <m/>
    <m/>
    <m/>
    <x v="25"/>
    <x v="0"/>
    <s v="FHIR"/>
    <s v="4.0.1"/>
    <m/>
    <x v="2"/>
    <s v="NA"/>
    <m/>
    <m/>
    <m/>
    <s v="No sexual contact since last delivery"/>
    <s v="Same"/>
    <m/>
    <x v="1"/>
    <s v=""/>
    <m/>
    <x v="2"/>
    <m/>
    <m/>
    <m/>
    <m/>
    <m/>
    <m/>
    <s v="LA14621-9"/>
    <m/>
    <m/>
    <s v="doesnt include since delivery"/>
    <m/>
    <m/>
    <m/>
    <m/>
    <m/>
    <m/>
    <m/>
    <m/>
    <m/>
    <m/>
    <x v="2"/>
    <s v=""/>
    <x v="3"/>
    <x v="12"/>
    <n v="1"/>
    <n v="0"/>
    <n v="1"/>
    <n v="1"/>
    <n v="1"/>
    <n v="0"/>
    <n v="0"/>
  </r>
  <r>
    <n v="1459"/>
    <s v="No sexual contact since last miscarriage or abortion"/>
    <n v="1459"/>
    <s v="No sexual contact since last miscarriage or abortion"/>
    <s v="No sexual contact since last miscarriage or abortion"/>
    <x v="0"/>
    <n v="52"/>
    <s v=""/>
    <m/>
    <m/>
    <s v="FP.2. Counseling"/>
    <x v="7"/>
    <m/>
    <s v="2.10.5 Screen for medical eligibility"/>
    <m/>
    <s v="FP.DE.505"/>
    <s v="No sexual contact since last miscarriage or abortion"/>
    <m/>
    <m/>
    <s v="Boolean "/>
    <m/>
    <s v="True/False"/>
    <m/>
    <s v="No"/>
    <m/>
    <s v="Yes"/>
    <s v="C"/>
    <m/>
    <m/>
    <m/>
    <m/>
    <m/>
    <m/>
    <m/>
    <m/>
    <m/>
    <x v="25"/>
    <x v="0"/>
    <s v="FHIR"/>
    <s v="4.0.1"/>
    <m/>
    <x v="2"/>
    <s v="NA"/>
    <m/>
    <m/>
    <m/>
    <s v="No sexual contact since last miscarriage or abortion"/>
    <s v="Same"/>
    <m/>
    <x v="1"/>
    <s v=""/>
    <m/>
    <x v="2"/>
    <m/>
    <m/>
    <m/>
    <m/>
    <m/>
    <m/>
    <s v="_x000a_LA14621-9"/>
    <m/>
    <m/>
    <s v="no sexual activity then need data of SAB or TAB"/>
    <m/>
    <m/>
    <m/>
    <m/>
    <m/>
    <m/>
    <m/>
    <m/>
    <m/>
    <m/>
    <x v="2"/>
    <s v=""/>
    <x v="3"/>
    <x v="12"/>
    <n v="1"/>
    <n v="1"/>
    <n v="1"/>
    <n v="1"/>
    <n v="1"/>
    <n v="0"/>
    <n v="0"/>
  </r>
  <r>
    <n v="1354"/>
    <s v="Past ectopic pregnancy"/>
    <n v="1354"/>
    <e v="#NAME?"/>
    <s v="Past ectopic pregnancy"/>
    <x v="1"/>
    <n v="23"/>
    <s v="Current conditions affecting Medical Eligibility"/>
    <m/>
    <m/>
    <s v="FP.2. Counseling"/>
    <x v="6"/>
    <m/>
    <s v="2.10.5 Screen for medical eligibility"/>
    <m/>
    <s v="FP.DE.286"/>
    <s v="Past ectopic pregnancy"/>
    <m/>
    <m/>
    <s v="Boolean"/>
    <m/>
    <s v="True/False"/>
    <m/>
    <s v="No"/>
    <m/>
    <s v="Yes"/>
    <s v="C"/>
    <m/>
    <m/>
    <m/>
    <m/>
    <s v="ICD codes are broader than element. "/>
    <m/>
    <m/>
    <m/>
    <m/>
    <x v="3"/>
    <x v="0"/>
    <m/>
    <m/>
    <m/>
    <x v="2"/>
    <s v="JS"/>
    <s v="MedicalEligibilityConditions"/>
    <m/>
    <m/>
    <s v="Past ectopic pregnancy"/>
    <s v="Same"/>
    <m/>
    <x v="1"/>
    <e v="#NAME?"/>
    <m/>
    <x v="0"/>
    <m/>
    <m/>
    <s v="history of plus extopic"/>
    <s v="Z87.5"/>
    <s v="QC4Z"/>
    <s v="161763005"/>
    <m/>
    <m/>
    <m/>
    <m/>
    <m/>
    <m/>
    <m/>
    <n v="158905"/>
    <m/>
    <m/>
    <s v="158905AAAAAAAAAAAAAAAAAAAAAAAAAAAAAA"/>
    <m/>
    <m/>
    <m/>
    <x v="2"/>
    <n v="0"/>
    <x v="2"/>
    <x v="49"/>
    <n v="1"/>
    <s v=""/>
    <n v="1"/>
    <n v="1"/>
    <n v="1"/>
    <n v="0"/>
    <n v="0"/>
  </r>
  <r>
    <n v="1355"/>
    <s v="History of pelvic surgery"/>
    <n v="1355"/>
    <e v="#NAME?"/>
    <s v="History of pelvic surgery"/>
    <x v="1"/>
    <n v="23"/>
    <s v="Current conditions affecting Medical Eligibility"/>
    <m/>
    <m/>
    <s v="FP.2. Counseling"/>
    <x v="6"/>
    <m/>
    <s v="2.10.5 Screen for medical eligibility"/>
    <m/>
    <s v="FP.DE.285"/>
    <s v="History of pelvic surgery"/>
    <m/>
    <m/>
    <s v="Boolean"/>
    <m/>
    <s v="True/False"/>
    <m/>
    <s v="No"/>
    <m/>
    <s v="Yes"/>
    <s v="C"/>
    <m/>
    <m/>
    <m/>
    <m/>
    <s v="SNOMED-History of surgery"/>
    <m/>
    <m/>
    <m/>
    <m/>
    <x v="3"/>
    <x v="0"/>
    <m/>
    <m/>
    <m/>
    <x v="2"/>
    <s v="JS"/>
    <s v="MedicalEligibilityConditions"/>
    <m/>
    <m/>
    <s v="History of pelvic surgery"/>
    <s v="Same"/>
    <m/>
    <x v="1"/>
    <e v="#NAME?"/>
    <m/>
    <x v="0"/>
    <m/>
    <m/>
    <s v="history plus pelvic surgery"/>
    <m/>
    <m/>
    <s v="161615003"/>
    <m/>
    <m/>
    <m/>
    <m/>
    <m/>
    <m/>
    <m/>
    <m/>
    <m/>
    <m/>
    <m/>
    <m/>
    <m/>
    <m/>
    <x v="2"/>
    <n v="0"/>
    <x v="2"/>
    <x v="49"/>
    <n v="1"/>
    <s v=""/>
    <n v="1"/>
    <n v="1"/>
    <n v="1"/>
    <n v="0"/>
    <n v="0"/>
  </r>
  <r>
    <n v="1460"/>
    <s v="Deep venous thrombosis (DVT)"/>
    <n v="1460"/>
    <e v="#NAME?"/>
    <s v="Deep venous thrombosis (DVT)/Pulmonary embolism (PE)"/>
    <x v="1"/>
    <n v="23"/>
    <s v="Current conditions affecting Medical Eligibility"/>
    <m/>
    <m/>
    <s v="FP.2. Counseling"/>
    <x v="11"/>
    <m/>
    <s v="2.10.5 Screen for medical eligibility"/>
    <m/>
    <s v="FP.DE.507"/>
    <s v="Deep venous thrombosis (DVT)/Pulmonary embolism (PE)"/>
    <m/>
    <m/>
    <s v="Boolean "/>
    <m/>
    <s v="True/False"/>
    <m/>
    <s v="No"/>
    <m/>
    <s v="Yes"/>
    <s v="C"/>
    <s v="Skip if Medical Eligibility &lt;[MEC do not use rating, currently 3] for the method selected"/>
    <m/>
    <m/>
    <m/>
    <s v="MEC. Included in MEC app conditions.csv"/>
    <s v="MEC"/>
    <m/>
    <m/>
    <m/>
    <x v="3"/>
    <x v="0"/>
    <m/>
    <m/>
    <m/>
    <x v="2"/>
    <s v="JS"/>
    <s v="MedicalEligibilityConditions"/>
    <m/>
    <m/>
    <s v="Deep venous thrombosis (DVT)/Pulmonary embolism (PE)"/>
    <s v="Changed"/>
    <m/>
    <x v="1"/>
    <e v="#NAME?"/>
    <m/>
    <x v="0"/>
    <m/>
    <m/>
    <m/>
    <s v="I82.9"/>
    <s v="BD72"/>
    <s v="429098002; 128053003"/>
    <m/>
    <m/>
    <m/>
    <m/>
    <m/>
    <m/>
    <s v="64"/>
    <n v="159276"/>
    <m/>
    <m/>
    <m/>
    <m/>
    <m/>
    <m/>
    <x v="2"/>
    <n v="0"/>
    <x v="2"/>
    <x v="49"/>
    <n v="1"/>
    <s v=""/>
    <n v="1"/>
    <n v="1"/>
    <n v="1"/>
    <n v="0"/>
    <n v="0"/>
  </r>
  <r>
    <n v="2368"/>
    <s v="Pulmonary embolism (PE)"/>
    <n v="2368"/>
    <e v="#NAME?"/>
    <s v="Deep venous thrombosis (DVT)/Pulmonary embolism (PE)"/>
    <x v="1"/>
    <n v="23"/>
    <s v="Current conditions affecting Medical Eligibility"/>
    <m/>
    <m/>
    <s v="FP.2. Counseling"/>
    <x v="11"/>
    <m/>
    <s v="2.10.5 Screen for medical eligibility"/>
    <m/>
    <s v="FP.DE.507"/>
    <s v="Deep venous thrombosis (DVT)/Pulmonary embolism (PE)"/>
    <m/>
    <m/>
    <s v="Boolean "/>
    <m/>
    <s v="True/False"/>
    <m/>
    <s v="No"/>
    <m/>
    <s v="Yes"/>
    <s v="C"/>
    <s v="Skip if Medical Eligibility &lt;[MEC do not use rating, currently 3] for the method selected"/>
    <m/>
    <m/>
    <m/>
    <s v="MEC. Included in MEC app conditions.csv"/>
    <s v="MEC"/>
    <m/>
    <m/>
    <m/>
    <x v="3"/>
    <x v="0"/>
    <m/>
    <m/>
    <m/>
    <x v="2"/>
    <s v="JS"/>
    <s v="MedicalEligibilityConditions"/>
    <m/>
    <m/>
    <s v="Deep venous thrombosis (DVT)/Pulmonary embolism (PE)"/>
    <s v="Changed"/>
    <m/>
    <x v="1"/>
    <e v="#NAME?"/>
    <m/>
    <x v="0"/>
    <m/>
    <m/>
    <m/>
    <m/>
    <m/>
    <s v="59282003"/>
    <m/>
    <m/>
    <m/>
    <m/>
    <m/>
    <m/>
    <s v="64"/>
    <n v="159276"/>
    <m/>
    <m/>
    <m/>
    <m/>
    <m/>
    <m/>
    <x v="2"/>
    <n v="0"/>
    <x v="2"/>
    <x v="49"/>
    <n v="1"/>
    <s v=""/>
    <n v="1"/>
    <n v="1"/>
    <n v="1"/>
    <n v="0"/>
    <n v="0"/>
  </r>
  <r>
    <n v="1461"/>
    <s v="History of high blood pressure during pregnancy"/>
    <n v="1461"/>
    <e v="#NAME?"/>
    <s v="History of high blood pressure during pregnancy"/>
    <x v="1"/>
    <n v="23"/>
    <s v="Current conditions affecting Medical Eligibility"/>
    <m/>
    <m/>
    <s v="FP.2. Counseling"/>
    <x v="11"/>
    <m/>
    <s v="2.10.5 Screen for medical eligibility"/>
    <m/>
    <s v="FP.DE.572"/>
    <s v="History of high blood pressure during pregnancy"/>
    <m/>
    <m/>
    <s v="Boolean "/>
    <m/>
    <s v="True/False"/>
    <m/>
    <s v="No"/>
    <m/>
    <s v="Yes"/>
    <s v="C"/>
    <s v="Skip if gender = male, skip if Number of pregnancies = 0, Skip if Medical Eligibility &lt;[MEC do not use rating, currently 3] for the method selected"/>
    <m/>
    <m/>
    <m/>
    <m/>
    <s v="MEC"/>
    <m/>
    <m/>
    <m/>
    <x v="3"/>
    <x v="0"/>
    <m/>
    <m/>
    <m/>
    <x v="2"/>
    <s v="JS"/>
    <s v="MedicalEligibilityConditions"/>
    <m/>
    <m/>
    <s v="History of high blood pressure during pregnancy"/>
    <s v="Same"/>
    <m/>
    <x v="1"/>
    <e v="#NAME?"/>
    <m/>
    <x v="0"/>
    <m/>
    <m/>
    <m/>
    <s v="O13"/>
    <m/>
    <s v="48194001"/>
    <m/>
    <m/>
    <m/>
    <m/>
    <m/>
    <m/>
    <m/>
    <m/>
    <m/>
    <m/>
    <m/>
    <m/>
    <m/>
    <m/>
    <x v="2"/>
    <n v="0"/>
    <x v="2"/>
    <x v="49"/>
    <n v="1"/>
    <s v=""/>
    <n v="1"/>
    <n v="1"/>
    <n v="1"/>
    <n v="0"/>
    <n v="0"/>
  </r>
  <r>
    <n v="1462"/>
    <s v="Venous thrombo-embolism category"/>
    <n v="1462"/>
    <s v="Venous thrombo-embolism category"/>
    <s v="Venous thrombo-embolism category"/>
    <x v="2"/>
    <n v="32"/>
    <s v=""/>
    <m/>
    <m/>
    <s v="FP.2. Counseling"/>
    <x v="11"/>
    <m/>
    <s v="2.10.5 Screen for medical eligibility"/>
    <m/>
    <s v="FP.DE.508"/>
    <s v="Venous thrombo-embolism category"/>
    <m/>
    <s v="Venous thrombo-embolism categories, including risks, for checking medical eligibility"/>
    <s v="Coding "/>
    <s v="Select all that apply"/>
    <m/>
    <m/>
    <s v="No"/>
    <m/>
    <s v="Yes"/>
    <s v="C"/>
    <s v="Include if FP.DE.507 Venous thrombo-embolism = TRUE"/>
    <m/>
    <m/>
    <m/>
    <s v="MEC. Included in MEC app conditions.csv"/>
    <s v="MEC"/>
    <m/>
    <m/>
    <m/>
    <x v="3"/>
    <x v="0"/>
    <m/>
    <m/>
    <m/>
    <x v="2"/>
    <s v="NA"/>
    <m/>
    <m/>
    <m/>
    <s v="Venous thrombo-embolism category"/>
    <s v="Same"/>
    <m/>
    <x v="1"/>
    <s v=""/>
    <m/>
    <x v="2"/>
    <m/>
    <m/>
    <m/>
    <m/>
    <m/>
    <m/>
    <m/>
    <m/>
    <s v="No terminology code required"/>
    <m/>
    <m/>
    <m/>
    <m/>
    <m/>
    <m/>
    <m/>
    <m/>
    <m/>
    <m/>
    <m/>
    <x v="2"/>
    <s v=""/>
    <x v="3"/>
    <x v="2"/>
    <n v="1"/>
    <s v=""/>
    <n v="1"/>
    <n v="1"/>
    <n v="1"/>
    <n v="0"/>
    <n v="0"/>
  </r>
  <r>
    <n v="1463"/>
    <s v="History of DVT"/>
    <n v="1463"/>
    <e v="#NAME?"/>
    <s v="History of DVT/PE"/>
    <x v="1"/>
    <n v="23"/>
    <s v="Current conditions affecting Medical Eligibility"/>
    <m/>
    <m/>
    <s v="FP.2. Counseling"/>
    <x v="11"/>
    <m/>
    <s v="2.10.5 Screen for medical eligibility"/>
    <m/>
    <s v="FP.DE.573"/>
    <m/>
    <m/>
    <s v="History of Venous thrombo-embolism "/>
    <m/>
    <m/>
    <s v="History of DVT/PE"/>
    <m/>
    <s v="No"/>
    <m/>
    <s v="Yes"/>
    <s v="C"/>
    <m/>
    <m/>
    <m/>
    <m/>
    <m/>
    <m/>
    <m/>
    <m/>
    <m/>
    <x v="3"/>
    <x v="0"/>
    <m/>
    <m/>
    <m/>
    <x v="2"/>
    <s v="JS"/>
    <s v="MedicalEligibilityConditions"/>
    <m/>
    <m/>
    <s v="       History of DVT/PE"/>
    <s v="Changed"/>
    <m/>
    <x v="1"/>
    <e v="#NAME?"/>
    <m/>
    <x v="0"/>
    <m/>
    <m/>
    <m/>
    <s v="I82.9"/>
    <s v="BD72"/>
    <s v="429098002; 128053003"/>
    <m/>
    <m/>
    <m/>
    <m/>
    <m/>
    <m/>
    <s v="64"/>
    <m/>
    <m/>
    <m/>
    <m/>
    <m/>
    <m/>
    <m/>
    <x v="2"/>
    <n v="0"/>
    <x v="2"/>
    <x v="49"/>
    <n v="1"/>
    <s v=""/>
    <n v="1"/>
    <n v="1"/>
    <n v="1"/>
    <n v="0"/>
    <n v="0"/>
  </r>
  <r>
    <n v="2369"/>
    <s v="History of PE"/>
    <n v="2369"/>
    <e v="#NAME?"/>
    <s v="History of DVT/PE"/>
    <x v="1"/>
    <n v="23"/>
    <s v="Current conditions affecting Medical Eligibility"/>
    <m/>
    <m/>
    <s v="FP.2. Counseling"/>
    <x v="11"/>
    <m/>
    <s v="2.10.5 Screen for medical eligibility"/>
    <m/>
    <s v="FP.DE.573"/>
    <m/>
    <m/>
    <s v="History of Venous thrombo-embolism "/>
    <m/>
    <m/>
    <s v="History of DVT/PE"/>
    <m/>
    <s v="No"/>
    <m/>
    <s v="Yes"/>
    <s v="C"/>
    <m/>
    <m/>
    <m/>
    <m/>
    <m/>
    <m/>
    <m/>
    <m/>
    <m/>
    <x v="3"/>
    <x v="0"/>
    <m/>
    <m/>
    <m/>
    <x v="2"/>
    <s v="JS"/>
    <s v="MedicalEligibilityConditions"/>
    <m/>
    <m/>
    <s v="       History of DVT/PE"/>
    <s v="Changed"/>
    <m/>
    <x v="1"/>
    <e v="#NAME?"/>
    <m/>
    <x v="0"/>
    <m/>
    <m/>
    <m/>
    <m/>
    <s v="BD72"/>
    <s v="59282003"/>
    <m/>
    <m/>
    <m/>
    <m/>
    <m/>
    <m/>
    <s v="64"/>
    <m/>
    <m/>
    <m/>
    <m/>
    <m/>
    <m/>
    <m/>
    <x v="2"/>
    <n v="0"/>
    <x v="2"/>
    <x v="49"/>
    <n v="1"/>
    <s v=""/>
    <n v="1"/>
    <n v="1"/>
    <n v="1"/>
    <n v="0"/>
    <n v="0"/>
  </r>
  <r>
    <n v="1464"/>
    <s v="Acute DVT"/>
    <n v="1464"/>
    <e v="#NAME?"/>
    <s v="Acute DVT/PE"/>
    <x v="1"/>
    <n v="23"/>
    <s v="Current conditions affecting Medical Eligibility"/>
    <m/>
    <m/>
    <s v="FP.2. Counseling"/>
    <x v="11"/>
    <m/>
    <s v="2.10.5 Screen for medical eligibility"/>
    <m/>
    <s v="FP.DE.510"/>
    <m/>
    <m/>
    <s v="Acute Venous thrombo-embolism "/>
    <m/>
    <m/>
    <s v="Acute DVT/PE"/>
    <m/>
    <s v="No"/>
    <m/>
    <s v="Yes"/>
    <s v="C"/>
    <m/>
    <m/>
    <m/>
    <m/>
    <s v="MEC. Included in MEC app conditions.csv"/>
    <s v="MEC"/>
    <m/>
    <m/>
    <m/>
    <x v="3"/>
    <x v="0"/>
    <m/>
    <m/>
    <m/>
    <x v="2"/>
    <s v="JS"/>
    <s v="MedicalEligibilityConditions"/>
    <m/>
    <m/>
    <s v="       Acute DVT/PE"/>
    <s v="Changed"/>
    <m/>
    <x v="1"/>
    <e v="#NAME?"/>
    <m/>
    <x v="0"/>
    <m/>
    <m/>
    <m/>
    <m/>
    <m/>
    <s v="132281000119108"/>
    <m/>
    <m/>
    <m/>
    <m/>
    <m/>
    <s v="ICD10 doesn't have term for acute DVT/PE"/>
    <s v="64"/>
    <m/>
    <m/>
    <m/>
    <m/>
    <m/>
    <m/>
    <m/>
    <x v="2"/>
    <n v="0"/>
    <x v="2"/>
    <x v="49"/>
    <n v="1"/>
    <s v=""/>
    <n v="1"/>
    <n v="1"/>
    <n v="1"/>
    <n v="0"/>
    <n v="0"/>
  </r>
  <r>
    <n v="2370"/>
    <s v="Acute PE"/>
    <n v="2370"/>
    <e v="#NAME?"/>
    <s v="Acute DVT/PE"/>
    <x v="1"/>
    <n v="23"/>
    <s v="Current conditions affecting Medical Eligibility"/>
    <m/>
    <m/>
    <s v="FP.2. Counseling"/>
    <x v="11"/>
    <m/>
    <s v="2.10.5 Screen for medical eligibility"/>
    <m/>
    <s v="FP.DE.510"/>
    <m/>
    <m/>
    <s v="Acute Venous thrombo-embolism "/>
    <m/>
    <m/>
    <s v="Acute DVT/PE"/>
    <m/>
    <s v="No"/>
    <m/>
    <s v="Yes"/>
    <s v="C"/>
    <m/>
    <m/>
    <m/>
    <m/>
    <s v="MEC. Included in MEC app conditions.csv"/>
    <s v="MEC"/>
    <m/>
    <m/>
    <m/>
    <x v="3"/>
    <x v="0"/>
    <m/>
    <m/>
    <m/>
    <x v="2"/>
    <s v="JS"/>
    <s v="MedicalEligibilityConditions"/>
    <m/>
    <m/>
    <s v="       Acute DVT/PE"/>
    <s v="Changed"/>
    <m/>
    <x v="1"/>
    <e v="#NAME?"/>
    <m/>
    <x v="0"/>
    <m/>
    <m/>
    <m/>
    <m/>
    <m/>
    <s v="706870000"/>
    <m/>
    <m/>
    <m/>
    <m/>
    <m/>
    <s v="ICD10 doesn't have term for acute DVT/PE"/>
    <s v="64"/>
    <m/>
    <m/>
    <m/>
    <m/>
    <m/>
    <m/>
    <m/>
    <x v="2"/>
    <n v="0"/>
    <x v="2"/>
    <x v="49"/>
    <n v="1"/>
    <s v=""/>
    <n v="1"/>
    <n v="1"/>
    <n v="1"/>
    <n v="0"/>
    <n v="0"/>
  </r>
  <r>
    <n v="1465"/>
    <s v="Major surgery with prolonged immobilization DVT/PE"/>
    <n v="1465"/>
    <e v="#NAME?"/>
    <s v="Major surgery with prolonged immobilization DVT/PE"/>
    <x v="1"/>
    <n v="23"/>
    <s v="Current conditions affecting Medical Eligibility"/>
    <m/>
    <m/>
    <s v="FP.2. Counseling"/>
    <x v="11"/>
    <m/>
    <s v="2.10.5 Screen for medical eligibility"/>
    <m/>
    <s v="FP.DE.511"/>
    <m/>
    <m/>
    <s v="Major surgery with prolonged immobilization DVT/PE"/>
    <m/>
    <m/>
    <s v="Major surgery with prolonged immobilization DVT/PE"/>
    <m/>
    <s v="No"/>
    <m/>
    <s v="Yes"/>
    <s v="C"/>
    <m/>
    <m/>
    <m/>
    <m/>
    <s v="MEC. Included in MEC app conditions.csv"/>
    <s v="MEC"/>
    <m/>
    <m/>
    <m/>
    <x v="3"/>
    <x v="0"/>
    <m/>
    <m/>
    <m/>
    <x v="2"/>
    <s v="NA"/>
    <s v="MedicalEligibilityConditions"/>
    <m/>
    <m/>
    <s v="       Major surgery with prolonged immobilization DVT/PE"/>
    <s v="Changed"/>
    <m/>
    <x v="1"/>
    <e v="#NAME?"/>
    <m/>
    <x v="2"/>
    <m/>
    <m/>
    <m/>
    <s v="T81.7"/>
    <m/>
    <m/>
    <m/>
    <m/>
    <m/>
    <m/>
    <m/>
    <m/>
    <m/>
    <m/>
    <m/>
    <m/>
    <m/>
    <m/>
    <m/>
    <m/>
    <x v="2"/>
    <n v="0"/>
    <x v="2"/>
    <x v="49"/>
    <n v="1"/>
    <s v=""/>
    <n v="1"/>
    <n v="1"/>
    <n v="1"/>
    <n v="0"/>
    <n v="0"/>
  </r>
  <r>
    <n v="1466"/>
    <s v="Major surgery without prolonged immobilization"/>
    <n v="1466"/>
    <e v="#NAME?"/>
    <s v="Major surgery without prolonged immobilization"/>
    <x v="1"/>
    <n v="23"/>
    <s v="Current conditions affecting Medical Eligibility"/>
    <m/>
    <m/>
    <s v="FP.2. Counseling"/>
    <x v="11"/>
    <m/>
    <s v="2.10.5 Screen for medical eligibility"/>
    <m/>
    <s v="FP.DE.574"/>
    <m/>
    <m/>
    <s v="Major surgery without prolonged immobilization"/>
    <m/>
    <m/>
    <s v="Major surgery without prolonged immobilization"/>
    <m/>
    <s v="No"/>
    <m/>
    <s v="Yes"/>
    <s v="C"/>
    <m/>
    <m/>
    <m/>
    <m/>
    <m/>
    <m/>
    <m/>
    <m/>
    <m/>
    <x v="3"/>
    <x v="0"/>
    <m/>
    <m/>
    <m/>
    <x v="2"/>
    <s v="JS"/>
    <s v="MedicalEligibilityConditions"/>
    <m/>
    <m/>
    <s v="       Major surgery without prolonged immobilization"/>
    <s v="Changed"/>
    <m/>
    <x v="1"/>
    <e v="#NAME?"/>
    <m/>
    <x v="0"/>
    <m/>
    <m/>
    <m/>
    <s v="Z92.4"/>
    <m/>
    <m/>
    <m/>
    <m/>
    <m/>
    <m/>
    <m/>
    <s v="Code for history of major surgery. There's no term for surgery without prolong immobilzation."/>
    <m/>
    <m/>
    <m/>
    <m/>
    <m/>
    <m/>
    <m/>
    <m/>
    <x v="2"/>
    <n v="0"/>
    <x v="2"/>
    <x v="49"/>
    <n v="1"/>
    <s v=""/>
    <n v="1"/>
    <n v="1"/>
    <n v="1"/>
    <n v="0"/>
    <n v="0"/>
  </r>
  <r>
    <n v="1467"/>
    <s v="Minor surgery without immobilization"/>
    <n v="1467"/>
    <e v="#NAME?"/>
    <s v="Minor surgery without immobilization"/>
    <x v="1"/>
    <n v="23"/>
    <s v="Current conditions affecting Medical Eligibility"/>
    <m/>
    <m/>
    <s v="FP.2. Counseling"/>
    <x v="11"/>
    <m/>
    <s v="2.10.5 Screen for medical eligibility"/>
    <m/>
    <s v="FP.DE.575"/>
    <m/>
    <m/>
    <s v="Minor surgery without immobilization"/>
    <m/>
    <m/>
    <s v="Minor surgery without immobilization"/>
    <m/>
    <s v="No"/>
    <m/>
    <s v="Yes"/>
    <s v="C"/>
    <m/>
    <m/>
    <m/>
    <m/>
    <m/>
    <m/>
    <m/>
    <m/>
    <m/>
    <x v="3"/>
    <x v="0"/>
    <m/>
    <m/>
    <m/>
    <x v="2"/>
    <s v="JS"/>
    <s v="MedicalEligibilityConditions"/>
    <m/>
    <m/>
    <s v="       Minor surgery without immobilization"/>
    <s v="Changed"/>
    <m/>
    <x v="1"/>
    <e v="#NAME?"/>
    <m/>
    <x v="0"/>
    <s v="http://who.int/cg/CodeSystem/extended-content"/>
    <s v="Minor surgery without immobilization"/>
    <m/>
    <m/>
    <m/>
    <m/>
    <m/>
    <m/>
    <s v="No ICD-10 code available"/>
    <m/>
    <m/>
    <s v="There isn't a &quot;minor sugery&quot; code, much less one for minor surgery without immobilization."/>
    <m/>
    <m/>
    <m/>
    <m/>
    <m/>
    <m/>
    <m/>
    <m/>
    <x v="2"/>
    <n v="0"/>
    <x v="2"/>
    <x v="49"/>
    <n v="1"/>
    <s v=""/>
    <n v="1"/>
    <n v="1"/>
    <n v="1"/>
    <n v="0"/>
    <n v="0"/>
  </r>
  <r>
    <n v="1468"/>
    <s v="Known thrombogenetic mutations "/>
    <n v="1468"/>
    <e v="#NAME?"/>
    <s v="Known thrombogenetic mutations "/>
    <x v="1"/>
    <n v="23"/>
    <s v="Current conditions affecting Medical Eligibility"/>
    <m/>
    <m/>
    <s v="FP.2. Counseling"/>
    <x v="11"/>
    <m/>
    <s v="2.10.5 Screen for medical eligibility"/>
    <m/>
    <s v="FP.DE.576"/>
    <m/>
    <m/>
    <s v="Known thrombogenetic mutations "/>
    <m/>
    <m/>
    <s v="Known thrombogenetic mutations "/>
    <m/>
    <s v="No"/>
    <m/>
    <s v="Yes"/>
    <s v="C"/>
    <m/>
    <m/>
    <m/>
    <m/>
    <m/>
    <m/>
    <m/>
    <m/>
    <m/>
    <x v="3"/>
    <x v="0"/>
    <m/>
    <m/>
    <m/>
    <x v="2"/>
    <s v="JS"/>
    <s v="MedicalEligibilityConditions"/>
    <m/>
    <m/>
    <s v="       Known thrombogenetic mutations "/>
    <s v="Changed"/>
    <m/>
    <x v="1"/>
    <e v="#NAME?"/>
    <m/>
    <x v="0"/>
    <m/>
    <m/>
    <m/>
    <s v="D68.5"/>
    <m/>
    <s v="234467004"/>
    <m/>
    <m/>
    <m/>
    <m/>
    <m/>
    <m/>
    <m/>
    <m/>
    <m/>
    <m/>
    <m/>
    <m/>
    <m/>
    <m/>
    <x v="2"/>
    <n v="0"/>
    <x v="2"/>
    <x v="49"/>
    <n v="1"/>
    <s v=""/>
    <n v="1"/>
    <n v="1"/>
    <n v="1"/>
    <n v="0"/>
    <n v="0"/>
  </r>
  <r>
    <n v="1469"/>
    <s v="Varicose veins"/>
    <n v="1469"/>
    <e v="#NAME?"/>
    <s v="Varicose veins"/>
    <x v="1"/>
    <n v="23"/>
    <s v="Current conditions affecting Medical Eligibility"/>
    <m/>
    <m/>
    <s v="FP.2. Counseling"/>
    <x v="11"/>
    <m/>
    <s v="2.10.5 Screen for medical eligibility"/>
    <m/>
    <s v="FP.DE.577"/>
    <m/>
    <m/>
    <s v="Varicose veins"/>
    <m/>
    <m/>
    <s v="Varicose veins"/>
    <m/>
    <s v="No"/>
    <m/>
    <s v="Yes"/>
    <s v="C"/>
    <m/>
    <m/>
    <m/>
    <m/>
    <m/>
    <m/>
    <m/>
    <m/>
    <m/>
    <x v="3"/>
    <x v="0"/>
    <m/>
    <m/>
    <m/>
    <x v="2"/>
    <s v="JS"/>
    <s v="MedicalEligibilityConditions"/>
    <m/>
    <m/>
    <s v="       Varicose veins"/>
    <s v="Changed"/>
    <m/>
    <x v="1"/>
    <e v="#NAME?"/>
    <m/>
    <x v="0"/>
    <m/>
    <m/>
    <m/>
    <s v="I83"/>
    <m/>
    <s v="72866009"/>
    <m/>
    <m/>
    <m/>
    <m/>
    <m/>
    <m/>
    <m/>
    <m/>
    <m/>
    <m/>
    <m/>
    <m/>
    <m/>
    <m/>
    <x v="2"/>
    <n v="0"/>
    <x v="2"/>
    <x v="49"/>
    <n v="1"/>
    <s v=""/>
    <n v="1"/>
    <n v="1"/>
    <n v="1"/>
    <n v="0"/>
    <n v="0"/>
  </r>
  <r>
    <n v="1470"/>
    <s v="Superficial venous thrombosis"/>
    <n v="1470"/>
    <e v="#NAME?"/>
    <s v="Superficial venous thrombosis"/>
    <x v="1"/>
    <n v="23"/>
    <s v="Current conditions affecting Medical Eligibility"/>
    <m/>
    <m/>
    <s v="FP.2. Counseling"/>
    <x v="11"/>
    <m/>
    <s v="2.10.5 Screen for medical eligibility"/>
    <m/>
    <s v="FP.DE.578"/>
    <m/>
    <m/>
    <s v="Superficial venous thrombosis"/>
    <m/>
    <m/>
    <s v="Superficial venous thrombosis"/>
    <m/>
    <s v="No"/>
    <m/>
    <s v="Yes"/>
    <s v="C"/>
    <m/>
    <m/>
    <m/>
    <m/>
    <m/>
    <m/>
    <m/>
    <m/>
    <m/>
    <x v="3"/>
    <x v="0"/>
    <m/>
    <m/>
    <m/>
    <x v="2"/>
    <s v="JS"/>
    <s v="MedicalEligibilityConditions"/>
    <m/>
    <m/>
    <s v="       Superficial venous thrombosis"/>
    <s v="Changed"/>
    <m/>
    <x v="1"/>
    <e v="#NAME?"/>
    <m/>
    <x v="0"/>
    <m/>
    <m/>
    <m/>
    <m/>
    <m/>
    <s v="275517008"/>
    <m/>
    <m/>
    <m/>
    <m/>
    <m/>
    <m/>
    <m/>
    <m/>
    <m/>
    <m/>
    <m/>
    <m/>
    <m/>
    <m/>
    <x v="2"/>
    <n v="0"/>
    <x v="2"/>
    <x v="49"/>
    <n v="1"/>
    <s v=""/>
    <n v="1"/>
    <n v="1"/>
    <n v="1"/>
    <n v="0"/>
    <n v="0"/>
  </r>
  <r>
    <n v="1471"/>
    <s v="Cardiovascular disease"/>
    <n v="1471"/>
    <e v="#NAME?"/>
    <s v="Cardiovascular disease"/>
    <x v="1"/>
    <n v="23"/>
    <s v="Current conditions affecting Medical Eligibility"/>
    <m/>
    <m/>
    <s v="FP.2. Counseling"/>
    <x v="11"/>
    <m/>
    <s v="2.10.5 Screen for medical eligibility"/>
    <m/>
    <s v="FP.DE.512"/>
    <s v="Cardiovascular disease"/>
    <m/>
    <m/>
    <m/>
    <m/>
    <m/>
    <m/>
    <s v="No"/>
    <m/>
    <s v="Yes"/>
    <s v="C"/>
    <s v="Skip if Medical Eligibility &lt;[MEC do not use rating, currently 3] for method selected."/>
    <m/>
    <m/>
    <m/>
    <s v="MEC. Included in MEC app conditions.csv"/>
    <s v="MEC"/>
    <m/>
    <m/>
    <m/>
    <x v="3"/>
    <x v="0"/>
    <m/>
    <m/>
    <m/>
    <x v="2"/>
    <s v="NA"/>
    <s v="MedicalEligibilityConditions"/>
    <m/>
    <m/>
    <s v="       Cardiovascular disease"/>
    <s v="Changed"/>
    <m/>
    <x v="1"/>
    <e v="#NAME?"/>
    <m/>
    <x v="2"/>
    <m/>
    <m/>
    <s v="x"/>
    <s v="I51.6"/>
    <s v="BC4Z"/>
    <s v="49601007"/>
    <m/>
    <m/>
    <m/>
    <m/>
    <m/>
    <m/>
    <m/>
    <n v="119270"/>
    <m/>
    <m/>
    <m/>
    <m/>
    <m/>
    <m/>
    <x v="2"/>
    <n v="0"/>
    <x v="2"/>
    <x v="49"/>
    <n v="1"/>
    <s v=""/>
    <n v="1"/>
    <n v="1"/>
    <n v="1"/>
    <n v="0"/>
    <n v="0"/>
  </r>
  <r>
    <n v="1472"/>
    <s v="Cardiovascular disease category"/>
    <n v="1472"/>
    <s v="Cardiovascular disease category"/>
    <s v="Cardiovascular disease category"/>
    <x v="2"/>
    <n v="31"/>
    <s v=""/>
    <m/>
    <m/>
    <s v="FP.2. Counseling"/>
    <x v="11"/>
    <m/>
    <s v="2.10.5 Screen for medical eligibility"/>
    <m/>
    <s v="FP.DE.513"/>
    <s v="Cardiovascular disease category"/>
    <m/>
    <s v="Cardiovascular category for use in checking medical eligibility for methods"/>
    <m/>
    <m/>
    <m/>
    <m/>
    <s v="No"/>
    <m/>
    <s v="Yes"/>
    <s v="C"/>
    <s v="Include if FP.DE.512 Cardiovascular disease = TRUE"/>
    <m/>
    <m/>
    <m/>
    <s v="MEC. Included in MEC app conditions.csv"/>
    <s v="MEC"/>
    <m/>
    <m/>
    <m/>
    <x v="3"/>
    <x v="0"/>
    <m/>
    <m/>
    <m/>
    <x v="2"/>
    <s v="NA"/>
    <m/>
    <m/>
    <m/>
    <s v="       Cardiovascular disease category"/>
    <s v="Changed"/>
    <m/>
    <x v="1"/>
    <s v=""/>
    <m/>
    <x v="2"/>
    <m/>
    <m/>
    <m/>
    <m/>
    <m/>
    <m/>
    <m/>
    <m/>
    <s v="No terminology code required"/>
    <m/>
    <m/>
    <m/>
    <m/>
    <m/>
    <m/>
    <m/>
    <m/>
    <m/>
    <m/>
    <m/>
    <x v="2"/>
    <s v=""/>
    <x v="3"/>
    <x v="2"/>
    <n v="1"/>
    <s v=""/>
    <n v="1"/>
    <n v="1"/>
    <n v="1"/>
    <n v="0"/>
    <n v="0"/>
  </r>
  <r>
    <n v="1473"/>
    <s v="Stroke"/>
    <n v="1473"/>
    <e v="#NAME?"/>
    <s v="Stroke"/>
    <x v="1"/>
    <n v="23"/>
    <s v="Current conditions affecting Medical Eligibility"/>
    <m/>
    <m/>
    <s v="FP.2. Counseling"/>
    <x v="11"/>
    <m/>
    <s v="2.10.5 Screen for medical eligibility"/>
    <m/>
    <s v="FP.DE.219"/>
    <m/>
    <m/>
    <m/>
    <m/>
    <m/>
    <s v="Stroke"/>
    <m/>
    <s v="No"/>
    <m/>
    <s v="Yes"/>
    <s v="C"/>
    <m/>
    <m/>
    <m/>
    <m/>
    <s v="MEC. Included in MEC app conditions.csv"/>
    <s v="MEC"/>
    <m/>
    <m/>
    <m/>
    <x v="3"/>
    <x v="0"/>
    <m/>
    <m/>
    <m/>
    <x v="2"/>
    <s v="JS"/>
    <s v="MedicalEligibilityConditions"/>
    <m/>
    <m/>
    <s v="       Stroke"/>
    <s v="Changed"/>
    <m/>
    <x v="1"/>
    <e v="#NAME?"/>
    <m/>
    <x v="0"/>
    <m/>
    <m/>
    <s v="x"/>
    <s v="I64"/>
    <s v="8B20"/>
    <s v="230690007"/>
    <m/>
    <m/>
    <m/>
    <m/>
    <m/>
    <m/>
    <m/>
    <n v="144475"/>
    <m/>
    <m/>
    <m/>
    <m/>
    <m/>
    <m/>
    <x v="2"/>
    <n v="0"/>
    <x v="2"/>
    <x v="49"/>
    <n v="1"/>
    <s v=""/>
    <n v="1"/>
    <n v="1"/>
    <n v="1"/>
    <n v="0"/>
    <n v="0"/>
  </r>
  <r>
    <n v="1474"/>
    <s v="Ischaemic heart disease"/>
    <n v="1474"/>
    <e v="#NAME?"/>
    <s v="Ischaemic heart disease"/>
    <x v="1"/>
    <n v="23"/>
    <s v="Current conditions affecting Medical Eligibility"/>
    <m/>
    <m/>
    <s v="FP.2. Counseling"/>
    <x v="11"/>
    <m/>
    <s v="2.10.5 Screen for medical eligibility"/>
    <m/>
    <s v="FP.DE.515"/>
    <m/>
    <m/>
    <m/>
    <m/>
    <m/>
    <s v="Ischaemic heart disease"/>
    <m/>
    <s v="No"/>
    <m/>
    <s v="Yes"/>
    <s v="C"/>
    <m/>
    <m/>
    <m/>
    <m/>
    <s v="MEC. Included in MEC app conditions.csv"/>
    <s v="MEC"/>
    <m/>
    <m/>
    <m/>
    <x v="3"/>
    <x v="0"/>
    <m/>
    <m/>
    <m/>
    <x v="2"/>
    <s v="JS"/>
    <s v="MedicalEligibilityConditions"/>
    <m/>
    <m/>
    <s v="       Ischaemic heart disease"/>
    <s v="Changed"/>
    <m/>
    <x v="1"/>
    <e v="#NAME?"/>
    <m/>
    <x v="0"/>
    <m/>
    <m/>
    <s v="x"/>
    <s v="I24.9"/>
    <s v="BA4Z"/>
    <s v="414545008"/>
    <m/>
    <m/>
    <m/>
    <m/>
    <m/>
    <m/>
    <m/>
    <n v="122009"/>
    <m/>
    <m/>
    <m/>
    <m/>
    <m/>
    <m/>
    <x v="2"/>
    <n v="0"/>
    <x v="2"/>
    <x v="49"/>
    <n v="1"/>
    <s v=""/>
    <n v="1"/>
    <n v="1"/>
    <n v="1"/>
    <n v="0"/>
    <n v="0"/>
  </r>
  <r>
    <n v="1864"/>
    <s v="Body mass index (BMI)"/>
    <n v="1864"/>
    <s v="Body mass index (BMI)"/>
    <s v="Body mass index (BMI)"/>
    <x v="0"/>
    <n v="21"/>
    <s v=""/>
    <m/>
    <m/>
    <s v="FP.2. Counseling"/>
    <x v="4"/>
    <m/>
    <s v="2.10.5 Screen for medical eligibility"/>
    <m/>
    <m/>
    <s v="Body mass index (BMI)"/>
    <m/>
    <s v="Body mass index (BMI) is calculated by taking weight in kg divided by the squared height in meters, i.e., kg/m^2."/>
    <s v="Decimal"/>
    <m/>
    <m/>
    <m/>
    <m/>
    <m/>
    <s v="No"/>
    <s v="O"/>
    <m/>
    <m/>
    <m/>
    <m/>
    <s v="MEC. If height and weight are recorded, system can calculate BMI to determine if the client is obese, a cardiovascular risk factor for medical eligibility. [Body weight in kg]  / [Body height (in metres) * Body height (in metres)]"/>
    <m/>
    <m/>
    <m/>
    <s v=""/>
    <x v="17"/>
    <x v="7"/>
    <s v="FHIR"/>
    <s v="4.0.1"/>
    <s v="_x000a__x000a_"/>
    <x v="49"/>
    <s v="JA"/>
    <m/>
    <m/>
    <s v="kg/m2"/>
    <m/>
    <s v=""/>
    <m/>
    <x v="0"/>
    <s v=""/>
    <s v="Ready for testing"/>
    <x v="0"/>
    <m/>
    <s v=""/>
    <s v="x"/>
    <m/>
    <s v=""/>
    <s v="60621009"/>
    <s v="39156-5"/>
    <m/>
    <s v=""/>
    <s v=""/>
    <m/>
    <s v=""/>
    <s v=""/>
    <s v=""/>
    <s v=""/>
    <s v=""/>
    <s v=""/>
    <m/>
    <m/>
    <m/>
    <x v="5"/>
    <s v=""/>
    <x v="6"/>
    <x v="50"/>
    <n v="1"/>
    <n v="0"/>
    <n v="1"/>
    <n v="1"/>
    <n v="1"/>
    <n v="0"/>
    <n v="0"/>
  </r>
  <r>
    <n v="1475"/>
    <s v="Cardiovascular risk factor"/>
    <n v="1475"/>
    <s v="Cardiovascular risk factor"/>
    <s v="Cardiovascular risk factor"/>
    <x v="0"/>
    <n v="26"/>
    <s v=""/>
    <m/>
    <m/>
    <s v="FP.2. Counseling"/>
    <x v="11"/>
    <m/>
    <s v="2.10.5 Screen for medical eligibility"/>
    <m/>
    <s v="FP.DE.516"/>
    <s v="Cardiovascular risk factor"/>
    <m/>
    <s v="Cardiovascular risk factors that affect "/>
    <s v="Coding "/>
    <s v="Select all that apply"/>
    <m/>
    <m/>
    <s v="No"/>
    <m/>
    <s v="Yes"/>
    <s v="C"/>
    <s v="Skip if Medical Eligibility &lt;[MEC do not use rating, currently 3] for method selected."/>
    <m/>
    <m/>
    <m/>
    <s v="MEC. Included in MEC app conditions.csv"/>
    <s v="MEC"/>
    <m/>
    <m/>
    <m/>
    <x v="17"/>
    <x v="2"/>
    <s v="FHIR"/>
    <s v="4.0.1"/>
    <m/>
    <x v="2"/>
    <s v="NA"/>
    <m/>
    <m/>
    <m/>
    <s v="Cardiovascular risk factor"/>
    <s v="Same"/>
    <m/>
    <x v="1"/>
    <s v=""/>
    <m/>
    <x v="2"/>
    <m/>
    <m/>
    <m/>
    <m/>
    <m/>
    <s v="441829007"/>
    <m/>
    <m/>
    <m/>
    <m/>
    <m/>
    <s v="_x000a_SNOMED-- assessment for CVD risj"/>
    <s v="73 (closed)"/>
    <m/>
    <m/>
    <m/>
    <m/>
    <m/>
    <m/>
    <m/>
    <x v="2"/>
    <s v=""/>
    <x v="3"/>
    <x v="12"/>
    <n v="1"/>
    <n v="1"/>
    <n v="1"/>
    <n v="1"/>
    <n v="1"/>
    <n v="0"/>
    <n v="0"/>
  </r>
  <r>
    <n v="1476"/>
    <s v="       Cardiovascular risk due to age"/>
    <n v="1476"/>
    <e v="#NAME?"/>
    <s v="Cardiovascular risk due to age"/>
    <x v="1"/>
    <n v="37"/>
    <s v="Cardiovascular risk factor"/>
    <m/>
    <m/>
    <s v="FP.2. Counseling"/>
    <x v="11"/>
    <m/>
    <s v="2.10.5 Screen for medical eligibility"/>
    <m/>
    <s v="FP.DE.517"/>
    <m/>
    <m/>
    <m/>
    <m/>
    <m/>
    <s v="Cardiovascular risk due to age"/>
    <m/>
    <s v="No"/>
    <m/>
    <s v="Yes"/>
    <s v="C"/>
    <s v="Calculated based on Age &gt;  40 years"/>
    <m/>
    <m/>
    <m/>
    <s v="MEC. Included in MEC app conditions.csv"/>
    <s v="MEC"/>
    <m/>
    <m/>
    <m/>
    <x v="3"/>
    <x v="0"/>
    <m/>
    <m/>
    <m/>
    <x v="2"/>
    <s v="NA"/>
    <m/>
    <m/>
    <m/>
    <s v="       Older age [highlight this cell in yellow - need to defined older age]"/>
    <s v="Changed"/>
    <m/>
    <x v="1"/>
    <e v="#NAME?"/>
    <m/>
    <x v="2"/>
    <m/>
    <m/>
    <m/>
    <m/>
    <m/>
    <s v="441829007"/>
    <s v="LP121323-2"/>
    <m/>
    <m/>
    <s v="10 year CVD risk; SNOMED Assessment for CVD RISK independent of age"/>
    <m/>
    <s v="calculate"/>
    <s v="73 (closed)"/>
    <m/>
    <m/>
    <m/>
    <m/>
    <m/>
    <m/>
    <m/>
    <x v="2"/>
    <n v="0"/>
    <x v="2"/>
    <x v="12"/>
    <n v="1"/>
    <s v=""/>
    <n v="1"/>
    <n v="1"/>
    <n v="1"/>
    <n v="0"/>
    <n v="0"/>
  </r>
  <r>
    <n v="1477"/>
    <s v="       Smoker"/>
    <n v="1477"/>
    <e v="#NAME?"/>
    <s v="Smoker"/>
    <x v="1"/>
    <n v="13"/>
    <s v="Cardiovascular risk factor"/>
    <m/>
    <m/>
    <s v="FP.2. Counseling"/>
    <x v="11"/>
    <m/>
    <s v="2.10.5 Screen for medical eligibility"/>
    <m/>
    <s v="FP.DE.038"/>
    <m/>
    <m/>
    <m/>
    <m/>
    <m/>
    <s v="Smoker"/>
    <m/>
    <s v="No"/>
    <m/>
    <s v="Yes"/>
    <s v="C"/>
    <m/>
    <m/>
    <m/>
    <m/>
    <s v="MEC. Included in MEC app conditions.csv"/>
    <s v="MEC"/>
    <m/>
    <m/>
    <m/>
    <x v="3"/>
    <x v="0"/>
    <m/>
    <m/>
    <m/>
    <x v="2"/>
    <s v="NA"/>
    <m/>
    <m/>
    <m/>
    <s v="       Smoker"/>
    <s v="Same"/>
    <m/>
    <x v="1"/>
    <e v="#NAME?"/>
    <m/>
    <x v="2"/>
    <m/>
    <m/>
    <m/>
    <s v="F17.1"/>
    <s v="6C4A.1"/>
    <s v="365981007"/>
    <m/>
    <m/>
    <m/>
    <m/>
    <m/>
    <m/>
    <s v="73 (closed)"/>
    <m/>
    <m/>
    <m/>
    <m/>
    <m/>
    <m/>
    <m/>
    <x v="2"/>
    <n v="0"/>
    <x v="2"/>
    <x v="12"/>
    <n v="1"/>
    <s v=""/>
    <n v="1"/>
    <n v="1"/>
    <n v="1"/>
    <n v="0"/>
    <n v="0"/>
  </r>
  <r>
    <n v="1478"/>
    <s v="       Diabetes"/>
    <n v="1478"/>
    <e v="#NAME?"/>
    <s v="Diabetes"/>
    <x v="1"/>
    <n v="15"/>
    <s v="Cardiovascular risk factor"/>
    <m/>
    <m/>
    <s v="FP.2. Counseling"/>
    <x v="11"/>
    <m/>
    <s v="2.10.5 Screen for medical eligibility"/>
    <m/>
    <s v="FP.DE.292"/>
    <m/>
    <m/>
    <m/>
    <m/>
    <m/>
    <s v="Diabetes"/>
    <m/>
    <s v="No"/>
    <m/>
    <s v="Yes"/>
    <s v="C"/>
    <m/>
    <m/>
    <m/>
    <m/>
    <s v="MEC. Included in MEC app conditions.csv"/>
    <s v="MEC"/>
    <m/>
    <m/>
    <m/>
    <x v="3"/>
    <x v="0"/>
    <m/>
    <m/>
    <m/>
    <x v="2"/>
    <s v="NA"/>
    <m/>
    <m/>
    <m/>
    <s v="       Diabetes"/>
    <s v="Same"/>
    <m/>
    <x v="1"/>
    <e v="#NAME?"/>
    <m/>
    <x v="2"/>
    <m/>
    <m/>
    <s v="? TYPE"/>
    <s v="E14.8"/>
    <m/>
    <s v="73211009"/>
    <m/>
    <m/>
    <m/>
    <m/>
    <m/>
    <m/>
    <s v="65"/>
    <m/>
    <m/>
    <m/>
    <m/>
    <m/>
    <m/>
    <m/>
    <x v="2"/>
    <n v="0"/>
    <x v="2"/>
    <x v="12"/>
    <n v="1"/>
    <s v=""/>
    <n v="1"/>
    <n v="1"/>
    <n v="1"/>
    <n v="0"/>
    <n v="0"/>
  </r>
  <r>
    <n v="1479"/>
    <s v="       Hypertension"/>
    <n v="1479"/>
    <e v="#NAME?"/>
    <s v="Hypertension"/>
    <x v="1"/>
    <n v="19"/>
    <s v="Cardiovascular risk factor"/>
    <m/>
    <m/>
    <s v="FP.2. Counseling"/>
    <x v="11"/>
    <m/>
    <s v="2.10.5 Screen for medical eligibility"/>
    <m/>
    <s v="FP.DE.291"/>
    <m/>
    <m/>
    <m/>
    <m/>
    <m/>
    <s v="Hypertension"/>
    <m/>
    <s v="No"/>
    <m/>
    <s v="Yes"/>
    <s v="C"/>
    <m/>
    <m/>
    <m/>
    <m/>
    <s v="MEC. Included in MEC app conditions.csv"/>
    <s v="MEC"/>
    <m/>
    <m/>
    <m/>
    <x v="3"/>
    <x v="0"/>
    <m/>
    <m/>
    <m/>
    <x v="2"/>
    <s v="NA"/>
    <m/>
    <m/>
    <m/>
    <s v="       Hypertension"/>
    <s v="Same"/>
    <m/>
    <x v="1"/>
    <e v="#NAME?"/>
    <m/>
    <x v="2"/>
    <m/>
    <m/>
    <s v="x"/>
    <s v="I10"/>
    <s v="BA00"/>
    <s v="38341003"/>
    <m/>
    <m/>
    <m/>
    <m/>
    <m/>
    <m/>
    <m/>
    <n v="117399"/>
    <m/>
    <m/>
    <m/>
    <m/>
    <m/>
    <m/>
    <x v="2"/>
    <n v="0"/>
    <x v="2"/>
    <x v="12"/>
    <n v="1"/>
    <s v=""/>
    <n v="1"/>
    <n v="1"/>
    <n v="1"/>
    <n v="0"/>
    <n v="0"/>
  </r>
  <r>
    <n v="1480"/>
    <s v="       Obese"/>
    <n v="1480"/>
    <e v="#NAME?"/>
    <s v="Obese"/>
    <x v="1"/>
    <n v="12"/>
    <s v="Cardiovascular risk factor"/>
    <m/>
    <m/>
    <s v="FP.2. Counseling"/>
    <x v="11"/>
    <m/>
    <s v="2.10.5 Screen for medical eligibility"/>
    <m/>
    <s v="FP.DE.289"/>
    <m/>
    <m/>
    <m/>
    <m/>
    <m/>
    <s v="Obese"/>
    <m/>
    <s v="No"/>
    <s v="[Current classification BMI &gt; 30kg/m^2]"/>
    <s v="Yes"/>
    <s v="C"/>
    <s v="If Weight from visit != NULL, calculate using BMI definition for obesity, current classification is weight &gt; 30kg/m^2"/>
    <m/>
    <m/>
    <m/>
    <s v="MEC. Included in MEC app conditions.csv"/>
    <s v="MEC"/>
    <m/>
    <m/>
    <m/>
    <x v="3"/>
    <x v="0"/>
    <m/>
    <m/>
    <m/>
    <x v="2"/>
    <s v="NA"/>
    <m/>
    <m/>
    <m/>
    <s v="       Obesity"/>
    <s v="Changed"/>
    <m/>
    <x v="1"/>
    <e v="#NAME?"/>
    <m/>
    <x v="2"/>
    <m/>
    <m/>
    <s v="x"/>
    <s v="E66.9"/>
    <m/>
    <s v="414916001"/>
    <m/>
    <m/>
    <m/>
    <m/>
    <m/>
    <m/>
    <m/>
    <m/>
    <m/>
    <m/>
    <m/>
    <m/>
    <m/>
    <m/>
    <x v="2"/>
    <n v="0"/>
    <x v="2"/>
    <x v="12"/>
    <n v="1"/>
    <s v=""/>
    <n v="1"/>
    <n v="1"/>
    <n v="1"/>
    <n v="0"/>
    <n v="0"/>
  </r>
  <r>
    <n v="1481"/>
    <s v="       Known dyslipidaemias"/>
    <n v="1481"/>
    <e v="#NAME?"/>
    <s v="Known dyslipidaemias"/>
    <x v="1"/>
    <n v="27"/>
    <s v="Cardiovascular risk factor"/>
    <m/>
    <m/>
    <s v="FP.2. Counseling"/>
    <x v="11"/>
    <m/>
    <s v="2.10.5 Screen for medical eligibility"/>
    <m/>
    <s v="FP.DE.290"/>
    <m/>
    <m/>
    <m/>
    <m/>
    <m/>
    <s v="Known dyslipidaemias"/>
    <m/>
    <s v="No"/>
    <m/>
    <s v="Yes"/>
    <s v="C"/>
    <m/>
    <m/>
    <m/>
    <m/>
    <s v="MEC. Included in MEC app conditions.csv"/>
    <s v="MEC"/>
    <m/>
    <m/>
    <m/>
    <x v="3"/>
    <x v="0"/>
    <m/>
    <m/>
    <m/>
    <x v="2"/>
    <s v="NA"/>
    <m/>
    <m/>
    <m/>
    <s v="       Known dyslipidaemias"/>
    <s v="Same"/>
    <m/>
    <x v="1"/>
    <e v="#NAME?"/>
    <m/>
    <x v="2"/>
    <m/>
    <m/>
    <m/>
    <s v="E78.5"/>
    <m/>
    <s v="55822004"/>
    <m/>
    <m/>
    <m/>
    <m/>
    <m/>
    <m/>
    <m/>
    <m/>
    <m/>
    <m/>
    <m/>
    <m/>
    <m/>
    <m/>
    <x v="2"/>
    <n v="0"/>
    <x v="2"/>
    <x v="12"/>
    <n v="1"/>
    <s v=""/>
    <n v="1"/>
    <n v="1"/>
    <n v="1"/>
    <n v="0"/>
    <n v="0"/>
  </r>
  <r>
    <n v="1865"/>
    <s v="Number of cardiovascular risk factors"/>
    <n v="1865"/>
    <s v="Number of cardiovascular risk factors"/>
    <s v="Number of cardiovascular risk factors"/>
    <x v="3"/>
    <n v="37"/>
    <s v=""/>
    <m/>
    <m/>
    <s v="FP.2. Counseling"/>
    <x v="10"/>
    <m/>
    <s v="2.10.5 Screen for medical eligibility"/>
    <m/>
    <s v="FP.DE.113"/>
    <s v="Number of cardiovascular risk factors"/>
    <m/>
    <s v="Count of cardiovascular risk factors for arterial cardiovascular disease for the client"/>
    <s v="Integer"/>
    <m/>
    <m/>
    <m/>
    <s v="No"/>
    <m/>
    <s v="Yes"/>
    <s v="C"/>
    <s v="Calculated by counting the number of cardiovascular risk factors that are true for the client"/>
    <m/>
    <m/>
    <m/>
    <s v="MEC."/>
    <m/>
    <m/>
    <m/>
    <s v=""/>
    <x v="17"/>
    <x v="3"/>
    <s v="FHIR"/>
    <s v="4.0.1"/>
    <s v=""/>
    <x v="2"/>
    <s v="NA"/>
    <m/>
    <m/>
    <m/>
    <m/>
    <s v=""/>
    <m/>
    <x v="1"/>
    <s v=""/>
    <m/>
    <x v="2"/>
    <m/>
    <s v=""/>
    <s v=""/>
    <m/>
    <s v=""/>
    <s v="395112001"/>
    <m/>
    <m/>
    <s v=""/>
    <s v="SNOEMD CVD event risk"/>
    <m/>
    <s v="calculate"/>
    <s v=""/>
    <s v=""/>
    <s v=""/>
    <s v=""/>
    <s v=""/>
    <m/>
    <m/>
    <m/>
    <x v="2"/>
    <s v=""/>
    <x v="3"/>
    <x v="12"/>
    <n v="1"/>
    <s v=""/>
    <n v="1"/>
    <n v="1"/>
    <n v="1"/>
    <n v="0"/>
    <n v="0"/>
  </r>
  <r>
    <n v="1482"/>
    <s v="Hypertension"/>
    <n v="1482"/>
    <e v="#NAME?"/>
    <s v="Hypertension"/>
    <x v="1"/>
    <n v="23"/>
    <s v="Current conditions affecting Medical Eligibility"/>
    <m/>
    <m/>
    <s v="FP.2. Counseling"/>
    <x v="11"/>
    <m/>
    <s v="2.10.5 Screen for medical eligibility"/>
    <m/>
    <s v="FP.DE.291"/>
    <s v="Hypertension"/>
    <m/>
    <s v="Persistently high arterial blood pressure. "/>
    <m/>
    <m/>
    <m/>
    <m/>
    <s v="Yes"/>
    <s v="Blood pressure = Hypertensive"/>
    <s v="Yes"/>
    <s v="C"/>
    <s v="Skip if Medical Eligibility &lt;3 for method selected _x000a_OR _x000a_(Blood pressure cannot be measured and no known history of hypertension = TRUE)"/>
    <m/>
    <m/>
    <m/>
    <s v="MEC. Included in MEC app conditions.csv_x000a_Currently accepted threshold levels are 140 mm Hg systolic and 90 mm Hg diastolic pressure."/>
    <s v="MEC"/>
    <m/>
    <m/>
    <m/>
    <x v="3"/>
    <x v="0"/>
    <m/>
    <m/>
    <m/>
    <x v="2"/>
    <s v="JS"/>
    <s v="MedicalEligibilityConditions"/>
    <m/>
    <m/>
    <s v="Hypertension"/>
    <s v="Same"/>
    <m/>
    <x v="1"/>
    <e v="#NAME?"/>
    <m/>
    <x v="0"/>
    <m/>
    <m/>
    <m/>
    <s v="I10"/>
    <s v="BA00"/>
    <s v="38341003"/>
    <m/>
    <m/>
    <m/>
    <m/>
    <m/>
    <m/>
    <m/>
    <n v="117399"/>
    <m/>
    <m/>
    <m/>
    <m/>
    <m/>
    <m/>
    <x v="2"/>
    <n v="0"/>
    <x v="2"/>
    <x v="49"/>
    <n v="1"/>
    <s v=""/>
    <n v="1"/>
    <n v="1"/>
    <n v="1"/>
    <n v="0"/>
    <n v="0"/>
  </r>
  <r>
    <n v="1483"/>
    <s v="Hypertension status"/>
    <n v="1483"/>
    <s v="Hypertension status"/>
    <s v="Hypertension status"/>
    <x v="0"/>
    <n v="19"/>
    <s v=""/>
    <m/>
    <m/>
    <s v="FP.2. Counseling"/>
    <x v="11"/>
    <m/>
    <s v="2.10.5 Screen for medical eligibility"/>
    <m/>
    <s v="FP.DE.519"/>
    <s v="Hypertension status"/>
    <m/>
    <m/>
    <m/>
    <m/>
    <m/>
    <m/>
    <s v="No"/>
    <m/>
    <s v="Yes"/>
    <s v="C"/>
    <s v="Required if contraindicated for method in MEC and if element selected"/>
    <m/>
    <m/>
    <m/>
    <s v="MEC. Included in MEC app conditions.csv"/>
    <s v="MEC"/>
    <m/>
    <m/>
    <m/>
    <x v="3"/>
    <x v="0"/>
    <m/>
    <m/>
    <m/>
    <x v="2"/>
    <s v="NA"/>
    <m/>
    <m/>
    <m/>
    <s v="Hypertension status"/>
    <s v="Same"/>
    <m/>
    <x v="1"/>
    <s v=""/>
    <m/>
    <x v="2"/>
    <m/>
    <m/>
    <m/>
    <m/>
    <m/>
    <s v="308502002"/>
    <m/>
    <m/>
    <m/>
    <m/>
    <m/>
    <m/>
    <m/>
    <m/>
    <m/>
    <m/>
    <m/>
    <m/>
    <m/>
    <m/>
    <x v="2"/>
    <s v=""/>
    <x v="3"/>
    <x v="12"/>
    <n v="1"/>
    <n v="1"/>
    <n v="0"/>
    <n v="0"/>
    <n v="1"/>
    <n v="1"/>
    <n v="0"/>
  </r>
  <r>
    <n v="1484"/>
    <s v="       adequately controlled hypertension"/>
    <n v="1484"/>
    <e v="#NAME?"/>
    <s v="adequately controlled hypertension"/>
    <x v="1"/>
    <n v="41"/>
    <s v="Hypertension status"/>
    <m/>
    <m/>
    <s v="FP.2. Counseling"/>
    <x v="11"/>
    <m/>
    <s v="2.10.5 Screen for medical eligibility"/>
    <m/>
    <s v="FP.DE.520"/>
    <m/>
    <m/>
    <m/>
    <m/>
    <m/>
    <s v="adequately controlled hypertension"/>
    <m/>
    <s v="No"/>
    <m/>
    <s v="Yes"/>
    <m/>
    <m/>
    <m/>
    <m/>
    <m/>
    <s v="MEC. Included in MEC app conditions.csv"/>
    <s v="MEC"/>
    <m/>
    <m/>
    <m/>
    <x v="3"/>
    <x v="0"/>
    <m/>
    <m/>
    <m/>
    <x v="2"/>
    <s v="NA"/>
    <m/>
    <m/>
    <m/>
    <s v="adequately controlled hypertension"/>
    <s v="Changed"/>
    <m/>
    <x v="1"/>
    <e v="#NAME?"/>
    <m/>
    <x v="2"/>
    <m/>
    <m/>
    <m/>
    <m/>
    <m/>
    <s v="170577003"/>
    <m/>
    <m/>
    <m/>
    <m/>
    <m/>
    <m/>
    <m/>
    <m/>
    <m/>
    <m/>
    <m/>
    <m/>
    <m/>
    <m/>
    <x v="2"/>
    <n v="0"/>
    <x v="2"/>
    <x v="12"/>
    <n v="1"/>
    <s v=""/>
    <n v="1"/>
    <n v="1"/>
    <n v="1"/>
    <n v="0"/>
    <n v="0"/>
  </r>
  <r>
    <n v="1485"/>
    <s v="Obese"/>
    <n v="1485"/>
    <e v="#NAME?"/>
    <s v="Obese"/>
    <x v="1"/>
    <n v="23"/>
    <s v="Current conditions affecting Medical Eligibility"/>
    <m/>
    <m/>
    <s v="FP.2. Counseling"/>
    <x v="11"/>
    <m/>
    <s v="2.10.5 Screen for medical eligibility"/>
    <m/>
    <s v="FP.DE.289"/>
    <s v="Obese"/>
    <m/>
    <s v="Client is obese"/>
    <s v="Boolean"/>
    <m/>
    <s v="True/False"/>
    <m/>
    <s v="No"/>
    <m/>
    <s v="Yes"/>
    <s v="C"/>
    <s v="Skip if Medical Eligibility &lt;3 for method selected "/>
    <m/>
    <m/>
    <m/>
    <s v="MEC. Included in MEC app conditions.csv"/>
    <s v="MEC"/>
    <m/>
    <m/>
    <m/>
    <x v="3"/>
    <x v="0"/>
    <m/>
    <m/>
    <m/>
    <x v="2"/>
    <s v="JS"/>
    <s v="MedicalEligibilityConditions"/>
    <m/>
    <m/>
    <s v="Obesity"/>
    <s v="Changed"/>
    <m/>
    <x v="1"/>
    <e v="#NAME?"/>
    <m/>
    <x v="0"/>
    <m/>
    <m/>
    <s v="x"/>
    <s v="E66.9"/>
    <s v="5B81"/>
    <s v="414916001"/>
    <m/>
    <m/>
    <m/>
    <m/>
    <m/>
    <m/>
    <m/>
    <n v="115115"/>
    <m/>
    <m/>
    <m/>
    <m/>
    <m/>
    <m/>
    <x v="2"/>
    <n v="0"/>
    <x v="2"/>
    <x v="49"/>
    <n v="1"/>
    <s v=""/>
    <n v="1"/>
    <n v="1"/>
    <n v="1"/>
    <n v="0"/>
    <n v="0"/>
  </r>
  <r>
    <n v="1486"/>
    <s v="Diabetes"/>
    <n v="1486"/>
    <e v="#NAME?"/>
    <s v="Diabetes"/>
    <x v="1"/>
    <n v="23"/>
    <s v="Current conditions affecting Medical Eligibility"/>
    <m/>
    <m/>
    <s v="FP.2. Counseling"/>
    <x v="11"/>
    <m/>
    <s v="2.10.5 Screen for medical eligibility"/>
    <m/>
    <s v="FP.DE.292"/>
    <s v="Diabetes"/>
    <m/>
    <s v="Client has diabetes"/>
    <s v="Boolean"/>
    <m/>
    <s v="True/False"/>
    <m/>
    <s v="No"/>
    <m/>
    <s v="Yes"/>
    <s v="C"/>
    <s v="Skip if Medical Eligibility &lt;3 for method selected "/>
    <m/>
    <m/>
    <m/>
    <s v="MEC. Included in MEC app conditions.csv"/>
    <s v="MEC"/>
    <m/>
    <m/>
    <m/>
    <x v="3"/>
    <x v="0"/>
    <m/>
    <m/>
    <m/>
    <x v="2"/>
    <s v="JS"/>
    <s v="MedicalEligibilityConditions"/>
    <m/>
    <m/>
    <s v="Diabetes"/>
    <s v="Same"/>
    <m/>
    <x v="1"/>
    <e v="#NAME?"/>
    <m/>
    <x v="0"/>
    <m/>
    <m/>
    <s v="??"/>
    <s v="E14.9"/>
    <s v="5A14"/>
    <s v="73211009"/>
    <m/>
    <m/>
    <m/>
    <m/>
    <m/>
    <m/>
    <s v="65"/>
    <m/>
    <m/>
    <m/>
    <m/>
    <m/>
    <m/>
    <m/>
    <x v="2"/>
    <n v="0"/>
    <x v="2"/>
    <x v="49"/>
    <n v="1"/>
    <s v=""/>
    <n v="1"/>
    <n v="1"/>
    <n v="1"/>
    <n v="0"/>
    <n v="0"/>
  </r>
  <r>
    <n v="1487"/>
    <s v="Diabetes category"/>
    <n v="1487"/>
    <s v="Diabetes"/>
    <s v="Diabetes"/>
    <x v="2"/>
    <n v="17"/>
    <s v=""/>
    <m/>
    <m/>
    <s v="FP.2. Counseling"/>
    <x v="11"/>
    <m/>
    <s v="2.10.5 Screen for medical eligibility"/>
    <m/>
    <s v="FP.DE.293"/>
    <s v="Diabetes"/>
    <m/>
    <s v="Diabetes category for use in checking medical eligibility for methods"/>
    <m/>
    <m/>
    <m/>
    <m/>
    <s v="No"/>
    <m/>
    <s v="Yes"/>
    <s v="C"/>
    <s v="Include if Diabetes = TRUE"/>
    <m/>
    <m/>
    <m/>
    <s v="Applicable to checking MEC and what is included in the MEC app. However, the specific term is not in app conditions. "/>
    <s v="MEC"/>
    <m/>
    <m/>
    <m/>
    <x v="3"/>
    <x v="0"/>
    <m/>
    <m/>
    <m/>
    <x v="2"/>
    <s v="NA"/>
    <m/>
    <m/>
    <m/>
    <s v="Diabetes category"/>
    <s v="Same"/>
    <m/>
    <x v="1"/>
    <s v="&quot;Diabetes&quot;-&gt;&quot;Diabetes category&quot;"/>
    <m/>
    <x v="0"/>
    <m/>
    <m/>
    <m/>
    <m/>
    <m/>
    <m/>
    <m/>
    <m/>
    <s v="No terminology code required"/>
    <m/>
    <m/>
    <m/>
    <m/>
    <m/>
    <m/>
    <m/>
    <m/>
    <m/>
    <m/>
    <m/>
    <x v="2"/>
    <s v=""/>
    <x v="3"/>
    <x v="2"/>
    <n v="1"/>
    <s v=""/>
    <n v="1"/>
    <n v="1"/>
    <n v="1"/>
    <n v="0"/>
    <n v="0"/>
  </r>
  <r>
    <n v="1488"/>
    <s v="Non-vascular Insulin-dependent diabetes"/>
    <n v="1488"/>
    <e v="#NAME?"/>
    <s v="Non-vascular Insulin-dependent "/>
    <x v="1"/>
    <n v="23"/>
    <s v="Current conditions affecting Medical Eligibility"/>
    <m/>
    <m/>
    <s v="FP.2. Counseling"/>
    <x v="11"/>
    <m/>
    <s v="2.10.5 Screen for medical eligibility"/>
    <m/>
    <s v="FP.DE.294"/>
    <m/>
    <m/>
    <m/>
    <m/>
    <m/>
    <s v="Non-vascular Insulin-dependent "/>
    <m/>
    <s v="No"/>
    <m/>
    <s v="Yes"/>
    <s v="C"/>
    <s v="Skip if Medical Eligibility &lt;3 for method selected "/>
    <m/>
    <m/>
    <m/>
    <s v="MEC. Included in MEC app conditions.csv"/>
    <s v="MEC"/>
    <m/>
    <m/>
    <m/>
    <x v="3"/>
    <x v="0"/>
    <m/>
    <m/>
    <m/>
    <x v="2"/>
    <s v="JS"/>
    <s v="MedicalEligibilityConditions"/>
    <m/>
    <m/>
    <s v="       Non-vascular Insulin-dependent "/>
    <s v="Changed"/>
    <m/>
    <x v="1"/>
    <e v="#NAME?"/>
    <m/>
    <x v="0"/>
    <m/>
    <m/>
    <m/>
    <s v="O24.0"/>
    <s v="JA63.0"/>
    <s v="199229001"/>
    <m/>
    <m/>
    <m/>
    <m/>
    <m/>
    <m/>
    <m/>
    <n v="158473"/>
    <m/>
    <m/>
    <m/>
    <m/>
    <m/>
    <m/>
    <x v="2"/>
    <n v="0"/>
    <x v="2"/>
    <x v="49"/>
    <n v="1"/>
    <s v=""/>
    <n v="1"/>
    <n v="1"/>
    <n v="1"/>
    <n v="0"/>
    <n v="0"/>
  </r>
  <r>
    <n v="1489"/>
    <s v="Non-vascular non-insulin dependent diabetes"/>
    <n v="1489"/>
    <e v="#NAME?"/>
    <s v="Non-vascular non-insulin dependent"/>
    <x v="1"/>
    <n v="23"/>
    <s v="Current conditions affecting Medical Eligibility"/>
    <m/>
    <m/>
    <s v="FP.2. Counseling"/>
    <x v="11"/>
    <m/>
    <s v="2.10.5 Screen for medical eligibility"/>
    <m/>
    <s v="FP.DE.295"/>
    <m/>
    <m/>
    <m/>
    <m/>
    <m/>
    <s v="Non-vascular non-insulin dependent"/>
    <m/>
    <s v="No"/>
    <m/>
    <s v="Yes"/>
    <s v="C"/>
    <s v="Skip if Medical Eligibility &lt;[MEC do not use rating, currently 3] for the method selected "/>
    <m/>
    <m/>
    <m/>
    <s v="MEC. Included in MEC app conditions.csv"/>
    <s v="MEC"/>
    <m/>
    <m/>
    <m/>
    <x v="3"/>
    <x v="0"/>
    <m/>
    <m/>
    <m/>
    <x v="2"/>
    <s v="JS"/>
    <s v="MedicalEligibilityConditions"/>
    <m/>
    <m/>
    <s v="       Non-vascular non-insulin dependent"/>
    <s v="Changed"/>
    <m/>
    <x v="1"/>
    <e v="#NAME?"/>
    <m/>
    <x v="0"/>
    <m/>
    <m/>
    <m/>
    <s v="O24.1"/>
    <s v="JA63.1"/>
    <s v="199230006"/>
    <m/>
    <m/>
    <m/>
    <m/>
    <m/>
    <m/>
    <m/>
    <n v="158474"/>
    <m/>
    <m/>
    <m/>
    <m/>
    <m/>
    <m/>
    <x v="2"/>
    <n v="0"/>
    <x v="2"/>
    <x v="49"/>
    <n v="1"/>
    <s v=""/>
    <n v="1"/>
    <n v="1"/>
    <n v="1"/>
    <n v="0"/>
    <n v="0"/>
  </r>
  <r>
    <n v="1490"/>
    <s v="History of diabetes in pregnancy only (Gestational diabetes)"/>
    <n v="1490"/>
    <e v="#NAME?"/>
    <s v="History of diabetes in pregnancy only (Gestational diabetes)"/>
    <x v="1"/>
    <n v="23"/>
    <s v="Current conditions affecting Medical Eligibility"/>
    <m/>
    <m/>
    <s v="FP.2. Counseling"/>
    <x v="11"/>
    <m/>
    <s v="2.10.5 Screen for medical eligibility"/>
    <m/>
    <s v="FP.DE.296"/>
    <m/>
    <m/>
    <m/>
    <m/>
    <m/>
    <s v="History of diabetes in pregnancy only (Gestational diabetes)"/>
    <m/>
    <s v="No"/>
    <m/>
    <s v="Yes"/>
    <s v="C"/>
    <s v="Skip if Medical Eligibility &lt;[MEC do not use rating, currently 3] for the method selected "/>
    <m/>
    <m/>
    <m/>
    <s v="MEC. Included in MEC app conditions.csv"/>
    <s v="MEC"/>
    <m/>
    <m/>
    <m/>
    <x v="3"/>
    <x v="0"/>
    <m/>
    <m/>
    <m/>
    <x v="2"/>
    <s v="JS"/>
    <s v="MedicalEligibilityConditions"/>
    <m/>
    <m/>
    <s v="       History of diabetes in pregnancy only (Gestational diabetes)"/>
    <s v="Changed"/>
    <m/>
    <x v="1"/>
    <e v="#NAME?"/>
    <m/>
    <x v="0"/>
    <m/>
    <m/>
    <m/>
    <s v="O24.4"/>
    <m/>
    <s v="11687002"/>
    <m/>
    <m/>
    <m/>
    <m/>
    <m/>
    <m/>
    <m/>
    <m/>
    <m/>
    <m/>
    <m/>
    <m/>
    <m/>
    <m/>
    <x v="2"/>
    <n v="0"/>
    <x v="2"/>
    <x v="49"/>
    <n v="1"/>
    <s v=""/>
    <n v="1"/>
    <n v="1"/>
    <n v="1"/>
    <n v="0"/>
    <n v="0"/>
  </r>
  <r>
    <n v="1491"/>
    <s v="Diabetes &gt;20 years duration"/>
    <n v="1491"/>
    <e v="#NAME?"/>
    <s v="Diabetes &gt;20 years duration"/>
    <x v="1"/>
    <n v="23"/>
    <s v="Current conditions affecting Medical Eligibility"/>
    <m/>
    <m/>
    <s v="FP.2. Counseling"/>
    <x v="11"/>
    <m/>
    <s v="2.10.5 Screen for medical eligibility"/>
    <m/>
    <s v="FP.DE.297"/>
    <m/>
    <m/>
    <m/>
    <m/>
    <m/>
    <s v="Diabetes &gt;20 years duration"/>
    <m/>
    <s v="No"/>
    <m/>
    <s v="Yes"/>
    <s v="C"/>
    <s v="Skip if Medical Eligibility &lt;[MEC do not use rating, currently 3] for the method selected "/>
    <m/>
    <m/>
    <m/>
    <s v="MEC. Included in MEC app conditions.csv"/>
    <s v="MEC"/>
    <m/>
    <m/>
    <m/>
    <x v="3"/>
    <x v="0"/>
    <m/>
    <m/>
    <m/>
    <x v="2"/>
    <s v="JS"/>
    <s v="MedicalEligibilityConditions"/>
    <m/>
    <m/>
    <s v="       Diabetes &gt;20 years duration"/>
    <s v="Changed"/>
    <m/>
    <x v="1"/>
    <e v="#NAME?"/>
    <m/>
    <x v="0"/>
    <s v="http://who.int/cg/CodeSystem/extended-content"/>
    <s v="Diabetes &gt;20 years duration"/>
    <s v="x"/>
    <m/>
    <m/>
    <m/>
    <m/>
    <m/>
    <s v="No SNOMED code available"/>
    <m/>
    <m/>
    <s v="There's a &quot;long duration&quot; SNOMED-CT term 260384008 that could be combined with dx like diabetes or vascular disease; greater than 2 years- C148661 NCI code) "/>
    <m/>
    <m/>
    <m/>
    <m/>
    <m/>
    <m/>
    <m/>
    <m/>
    <x v="2"/>
    <n v="0"/>
    <x v="2"/>
    <x v="49"/>
    <n v="1"/>
    <s v=""/>
    <n v="1"/>
    <n v="1"/>
    <n v="1"/>
    <n v="0"/>
    <n v="0"/>
  </r>
  <r>
    <n v="1492"/>
    <s v="Other vascular disease &gt;20 years duration"/>
    <n v="1492"/>
    <e v="#NAME?"/>
    <s v="Other vascular disease &gt;20 years duration"/>
    <x v="1"/>
    <n v="23"/>
    <s v="Current conditions affecting Medical Eligibility"/>
    <m/>
    <m/>
    <s v="FP.2. Counseling"/>
    <x v="11"/>
    <m/>
    <s v="2.10.5 Screen for medical eligibility"/>
    <m/>
    <s v="FP.DE.298"/>
    <m/>
    <m/>
    <m/>
    <m/>
    <m/>
    <s v="Other vascular disease &gt;20 years duration"/>
    <m/>
    <s v="No"/>
    <m/>
    <s v="Yes"/>
    <s v="C"/>
    <s v="Skip if Medical Eligibility &lt;[MEC do not use rating, currently 3] for the method selected "/>
    <m/>
    <m/>
    <m/>
    <s v="MEC. Included in MEC app conditions.csv"/>
    <s v="MEC"/>
    <m/>
    <m/>
    <m/>
    <x v="3"/>
    <x v="0"/>
    <m/>
    <m/>
    <m/>
    <x v="2"/>
    <s v="JS"/>
    <s v="MedicalEligibilityConditions"/>
    <m/>
    <m/>
    <s v="       Other vascular disease &gt;20 years duration"/>
    <s v="Changed"/>
    <m/>
    <x v="1"/>
    <e v="#NAME?"/>
    <m/>
    <x v="0"/>
    <s v="http://who.int/cg/CodeSystem/extended-content"/>
    <s v="Other vascular disease &gt;20 years duration"/>
    <m/>
    <m/>
    <m/>
    <m/>
    <m/>
    <m/>
    <s v="No SNOMED code available"/>
    <m/>
    <m/>
    <m/>
    <m/>
    <m/>
    <m/>
    <m/>
    <m/>
    <m/>
    <m/>
    <m/>
    <x v="2"/>
    <n v="0"/>
    <x v="2"/>
    <x v="49"/>
    <n v="1"/>
    <s v=""/>
    <n v="1"/>
    <n v="1"/>
    <n v="1"/>
    <n v="0"/>
    <n v="0"/>
  </r>
  <r>
    <n v="1493"/>
    <s v="Nephropathy"/>
    <n v="1493"/>
    <e v="#NAME?"/>
    <s v="Nephropathy"/>
    <x v="1"/>
    <n v="23"/>
    <s v="Current conditions affecting Medical Eligibility"/>
    <m/>
    <m/>
    <s v="FP.2. Counseling"/>
    <x v="11"/>
    <m/>
    <s v="2.10.5 Screen for medical eligibility"/>
    <m/>
    <s v="FP.DE.299"/>
    <m/>
    <m/>
    <m/>
    <m/>
    <m/>
    <s v="Nephropathy"/>
    <m/>
    <s v="No"/>
    <m/>
    <s v="Yes"/>
    <s v="C"/>
    <s v="Skip if Medical Eligibility &lt;[MEC do not use rating, currently 3] for the method selected "/>
    <m/>
    <m/>
    <m/>
    <s v="MEC. Included in MEC app conditions.csv"/>
    <s v="MEC"/>
    <m/>
    <m/>
    <m/>
    <x v="3"/>
    <x v="0"/>
    <m/>
    <m/>
    <m/>
    <x v="2"/>
    <s v="JS"/>
    <s v="MedicalEligibilityConditions"/>
    <m/>
    <m/>
    <s v="       Nephropathy"/>
    <s v="Changed"/>
    <m/>
    <x v="1"/>
    <e v="#NAME?"/>
    <m/>
    <x v="0"/>
    <m/>
    <m/>
    <m/>
    <s v="E14.2"/>
    <s v="5A14"/>
    <s v="127013003"/>
    <m/>
    <m/>
    <m/>
    <m/>
    <m/>
    <m/>
    <m/>
    <n v="142431"/>
    <m/>
    <m/>
    <m/>
    <m/>
    <m/>
    <m/>
    <x v="2"/>
    <n v="0"/>
    <x v="2"/>
    <x v="49"/>
    <n v="1"/>
    <s v=""/>
    <n v="1"/>
    <n v="1"/>
    <n v="1"/>
    <n v="0"/>
    <n v="0"/>
  </r>
  <r>
    <n v="1494"/>
    <s v="Retinopathy"/>
    <n v="1494"/>
    <e v="#NAME?"/>
    <s v="Retinopathy"/>
    <x v="1"/>
    <n v="23"/>
    <s v="Current conditions affecting Medical Eligibility"/>
    <m/>
    <m/>
    <s v="FP.2. Counseling"/>
    <x v="11"/>
    <m/>
    <s v="2.10.5 Screen for medical eligibility"/>
    <m/>
    <s v="FP.DE.300"/>
    <m/>
    <m/>
    <m/>
    <m/>
    <m/>
    <s v="Retinopathy"/>
    <m/>
    <s v="No"/>
    <m/>
    <s v="Yes"/>
    <s v="C"/>
    <s v="Skip if Medical Eligibility &lt;[MEC do not use rating, currently 3] for the method selected "/>
    <m/>
    <m/>
    <m/>
    <s v="MEC. Included in MEC app conditions.csv"/>
    <s v="MEC"/>
    <m/>
    <m/>
    <m/>
    <x v="3"/>
    <x v="0"/>
    <m/>
    <m/>
    <m/>
    <x v="2"/>
    <s v="JS"/>
    <s v="MedicalEligibilityConditions"/>
    <m/>
    <m/>
    <s v="       Retinopathy"/>
    <s v="Changed"/>
    <m/>
    <x v="1"/>
    <e v="#NAME?"/>
    <m/>
    <x v="0"/>
    <m/>
    <m/>
    <m/>
    <s v="E14.3"/>
    <s v="5A14"/>
    <s v="4855003"/>
    <m/>
    <m/>
    <m/>
    <m/>
    <m/>
    <m/>
    <m/>
    <n v="142429"/>
    <m/>
    <m/>
    <m/>
    <m/>
    <m/>
    <m/>
    <x v="2"/>
    <n v="0"/>
    <x v="2"/>
    <x v="49"/>
    <n v="1"/>
    <s v=""/>
    <n v="1"/>
    <n v="1"/>
    <n v="1"/>
    <n v="0"/>
    <n v="0"/>
  </r>
  <r>
    <n v="1495"/>
    <s v="Neuropathy"/>
    <n v="1495"/>
    <e v="#NAME?"/>
    <s v="Neuropathy"/>
    <x v="1"/>
    <n v="23"/>
    <s v="Current conditions affecting Medical Eligibility"/>
    <m/>
    <m/>
    <s v="FP.2. Counseling"/>
    <x v="11"/>
    <m/>
    <s v="2.10.5 Screen for medical eligibility"/>
    <m/>
    <s v="FP.DE.301"/>
    <m/>
    <m/>
    <m/>
    <m/>
    <m/>
    <s v="Neuropathy"/>
    <m/>
    <s v="No"/>
    <m/>
    <s v="Yes"/>
    <s v="C"/>
    <s v="Skip if Medical Eligibility &lt;[MEC do not use rating, currently 3] for the method selected "/>
    <m/>
    <m/>
    <m/>
    <s v="MEC. Included in MEC app conditions.csv"/>
    <s v="MEC"/>
    <m/>
    <m/>
    <m/>
    <x v="3"/>
    <x v="0"/>
    <m/>
    <m/>
    <m/>
    <x v="2"/>
    <s v="JS"/>
    <s v="MedicalEligibilityConditions"/>
    <m/>
    <m/>
    <s v="       Neuropathy"/>
    <s v="Changed"/>
    <m/>
    <x v="1"/>
    <e v="#NAME?"/>
    <m/>
    <x v="0"/>
    <m/>
    <m/>
    <m/>
    <s v="E14.4"/>
    <m/>
    <m/>
    <m/>
    <m/>
    <m/>
    <m/>
    <m/>
    <m/>
    <m/>
    <m/>
    <m/>
    <m/>
    <m/>
    <m/>
    <m/>
    <m/>
    <x v="2"/>
    <n v="0"/>
    <x v="2"/>
    <x v="49"/>
    <n v="1"/>
    <s v=""/>
    <n v="1"/>
    <n v="1"/>
    <n v="1"/>
    <n v="0"/>
    <n v="0"/>
  </r>
  <r>
    <n v="1496"/>
    <s v="Smoker"/>
    <n v="1496"/>
    <e v="#NAME?"/>
    <s v="Smoker"/>
    <x v="1"/>
    <n v="6"/>
    <s v="Observations affecting Medical Eligibility"/>
    <m/>
    <m/>
    <s v="FP.2. Counseling"/>
    <x v="11"/>
    <m/>
    <s v="2.10.5 Screen for medical eligibility"/>
    <m/>
    <s v="FP.DE.038"/>
    <s v="Smoker"/>
    <m/>
    <s v="Select if the client is currently a smoker. "/>
    <s v="Boolean"/>
    <m/>
    <s v="True/False"/>
    <m/>
    <s v="No"/>
    <m/>
    <s v="Yes"/>
    <s v="C"/>
    <s v="Skip if Medical Eligibility &lt;[MEC do not use rating, currently 3] for method selected._x000a_Skip if already selected during visit"/>
    <m/>
    <m/>
    <m/>
    <s v="Applicable to checking MEC and what is included in the MEC app. However, the specific term is not in app conditions. "/>
    <s v="MEC"/>
    <m/>
    <m/>
    <m/>
    <x v="3"/>
    <x v="0"/>
    <m/>
    <m/>
    <m/>
    <x v="2"/>
    <s v="JS"/>
    <s v="MedicalEligibilityObservations"/>
    <m/>
    <m/>
    <s v="Smoker"/>
    <s v="Same"/>
    <m/>
    <x v="1"/>
    <e v="#NAME?"/>
    <m/>
    <x v="0"/>
    <m/>
    <m/>
    <s v="tob dependence x"/>
    <s v="Z72.0"/>
    <m/>
    <s v="110483000"/>
    <m/>
    <m/>
    <m/>
    <m/>
    <m/>
    <m/>
    <m/>
    <m/>
    <m/>
    <m/>
    <m/>
    <m/>
    <m/>
    <m/>
    <x v="2"/>
    <n v="0"/>
    <x v="2"/>
    <x v="48"/>
    <n v="1"/>
    <s v=""/>
    <n v="1"/>
    <n v="1"/>
    <n v="1"/>
    <n v="0"/>
    <n v="0"/>
  </r>
  <r>
    <n v="1497"/>
    <s v="Cigarettes smoked per day"/>
    <n v="1497"/>
    <s v="Smoking category"/>
    <s v="Smoking category"/>
    <x v="0"/>
    <n v="25"/>
    <s v=""/>
    <m/>
    <m/>
    <s v="FP.2. Counseling"/>
    <x v="11"/>
    <m/>
    <s v="2.10.5 Screen for medical eligibility"/>
    <m/>
    <s v="FP.DE.521"/>
    <s v="Smoking category"/>
    <m/>
    <s v="If the client smokes, indicate how heavily"/>
    <s v="Coding "/>
    <s v="Select one"/>
    <m/>
    <m/>
    <s v="No"/>
    <m/>
    <s v="Yes"/>
    <s v="C"/>
    <s v="Include if &quot;Smoker&quot; = &quot;True&quot; and Medical Eligibility &gt;=[MEC do not use rating, currently 3] for method selected._x000a_Skip if already selected during visit"/>
    <m/>
    <m/>
    <m/>
    <s v="Applicable to checking MEC and what is included in the MEC app. However, the specific term is not in app conditions. "/>
    <s v="MEC"/>
    <m/>
    <m/>
    <m/>
    <x v="17"/>
    <x v="2"/>
    <s v="FHIR"/>
    <s v="4.0.1"/>
    <m/>
    <x v="50"/>
    <s v="JA"/>
    <m/>
    <m/>
    <m/>
    <s v="Smoking category"/>
    <s v="Changed"/>
    <m/>
    <x v="1"/>
    <s v="&quot;Smoking category&quot;-&gt;&quot;Cigarettes smoked per day&quot;"/>
    <m/>
    <x v="0"/>
    <s v="http://who.int/cg/CodeSystem/extended-content"/>
    <s v="Cigarettes smoked per day"/>
    <m/>
    <m/>
    <m/>
    <m/>
    <m/>
    <m/>
    <s v="No LOINC code available"/>
    <m/>
    <m/>
    <m/>
    <m/>
    <m/>
    <m/>
    <m/>
    <m/>
    <m/>
    <m/>
    <m/>
    <x v="5"/>
    <s v=""/>
    <x v="6"/>
    <x v="51"/>
    <n v="1"/>
    <n v="1"/>
    <n v="1"/>
    <n v="1"/>
    <n v="1"/>
    <n v="0"/>
    <n v="0"/>
  </r>
  <r>
    <n v="1498"/>
    <s v="       &lt;15 cigarettes per day"/>
    <n v="1498"/>
    <e v="#NAME?"/>
    <s v="&lt;15 cigarettes per day"/>
    <x v="1"/>
    <n v="29"/>
    <s v="Cigarettes smoked per day"/>
    <m/>
    <m/>
    <s v="FP.2. Counseling"/>
    <x v="11"/>
    <m/>
    <s v="2.10.5 Screen for medical eligibility"/>
    <m/>
    <s v="FP.DE.287"/>
    <m/>
    <m/>
    <m/>
    <m/>
    <m/>
    <s v="&lt;15 cigarettes per day"/>
    <m/>
    <s v="No"/>
    <m/>
    <s v="Yes"/>
    <s v="C"/>
    <s v="Skip if Medical Eligibility &lt;[MEC do not use rating, currently 3] for the method selected "/>
    <m/>
    <m/>
    <m/>
    <s v="MEC. Included in MEC app conditions.csv"/>
    <s v="MEC"/>
    <m/>
    <m/>
    <m/>
    <x v="3"/>
    <x v="0"/>
    <m/>
    <m/>
    <m/>
    <x v="2"/>
    <s v="JS"/>
    <m/>
    <m/>
    <m/>
    <s v="       &lt;15 cigarettes per day"/>
    <s v="Same"/>
    <m/>
    <x v="1"/>
    <e v="#NAME?"/>
    <m/>
    <x v="0"/>
    <s v="http://who.int/cg/CodeSystem/extended-content"/>
    <s v="&lt;15 cigarettes per day"/>
    <m/>
    <m/>
    <m/>
    <m/>
    <m/>
    <m/>
    <s v="No SNOMED code available"/>
    <m/>
    <m/>
    <s v="There's a SNOMED-CT term 365982000 for Tobacco smoking consumption with options like &quot;light smoker&quot; (&lt;10/day) or &quot;heavy smoker&quot; (&gt;20/day), but no terms using 15 cigs/day as a threshhold."/>
    <m/>
    <m/>
    <m/>
    <m/>
    <m/>
    <m/>
    <m/>
    <m/>
    <x v="2"/>
    <n v="0"/>
    <x v="2"/>
    <x v="51"/>
    <n v="1"/>
    <s v=""/>
    <n v="1"/>
    <n v="1"/>
    <n v="1"/>
    <n v="0"/>
    <n v="0"/>
  </r>
  <r>
    <n v="1499"/>
    <s v="       &gt;= 15 cigarettes per day"/>
    <n v="1499"/>
    <e v="#NAME?"/>
    <s v="&gt;= 15 cigarettes per day"/>
    <x v="1"/>
    <n v="31"/>
    <s v="Cigarettes smoked per day"/>
    <m/>
    <m/>
    <s v="FP.2. Counseling"/>
    <x v="11"/>
    <m/>
    <s v="2.10.5 Screen for medical eligibility"/>
    <m/>
    <s v="FP.DE.288"/>
    <m/>
    <m/>
    <m/>
    <m/>
    <m/>
    <s v="&gt;= 15 cigarettes per day"/>
    <m/>
    <s v="No"/>
    <m/>
    <s v="Yes"/>
    <s v="C"/>
    <s v="Skip if Medical Eligibility &lt;[MEC do not use rating, currently 3] for the method selected "/>
    <m/>
    <m/>
    <m/>
    <s v="MEC. Included in MEC app conditions.csv"/>
    <s v="MEC"/>
    <m/>
    <m/>
    <m/>
    <x v="3"/>
    <x v="0"/>
    <m/>
    <m/>
    <m/>
    <x v="2"/>
    <s v="JS"/>
    <m/>
    <m/>
    <m/>
    <s v="       &gt;= 15 cigarettes per day"/>
    <s v="Same"/>
    <m/>
    <x v="1"/>
    <e v="#NAME?"/>
    <m/>
    <x v="0"/>
    <s v="http://who.int/cg/CodeSystem/extended-content"/>
    <s v="&gt;= 15 cigarettes per day"/>
    <m/>
    <m/>
    <m/>
    <m/>
    <m/>
    <m/>
    <s v="No SNOMED code available"/>
    <m/>
    <m/>
    <m/>
    <m/>
    <m/>
    <m/>
    <m/>
    <m/>
    <m/>
    <m/>
    <m/>
    <x v="2"/>
    <n v="0"/>
    <x v="2"/>
    <x v="51"/>
    <n v="1"/>
    <s v=""/>
    <n v="1"/>
    <n v="1"/>
    <n v="1"/>
    <n v="0"/>
    <n v="0"/>
  </r>
  <r>
    <n v="1500"/>
    <s v="Headaches"/>
    <n v="1500"/>
    <s v="Data Element"/>
    <s v="Headaches"/>
    <x v="1"/>
    <n v="23"/>
    <s v="Current conditions affecting Medical Eligibility"/>
    <m/>
    <m/>
    <s v="FP.2. Counseling"/>
    <x v="11"/>
    <m/>
    <s v="2.10.5 Screen for medical eligibility"/>
    <m/>
    <s v="FP.DE.231"/>
    <s v="Headaches"/>
    <m/>
    <s v="Whether client is experiencing headaches."/>
    <s v="Boolean"/>
    <m/>
    <s v="True/False"/>
    <m/>
    <s v="No"/>
    <m/>
    <s v="Yes"/>
    <s v="C"/>
    <s v="Skip if Medical Eligibility &lt;[MEC do not use rating, currently 3] for the method selected "/>
    <m/>
    <m/>
    <m/>
    <s v="MEC. Included in MEC app conditions.csv"/>
    <s v="MEC"/>
    <m/>
    <m/>
    <m/>
    <x v="3"/>
    <x v="0"/>
    <m/>
    <m/>
    <m/>
    <x v="2"/>
    <s v="JS"/>
    <s v="MedicalEligibilityConditions"/>
    <m/>
    <m/>
    <s v="Headaches"/>
    <s v="Same"/>
    <m/>
    <x v="1"/>
    <e v="#REF!"/>
    <m/>
    <x v="0"/>
    <m/>
    <m/>
    <m/>
    <m/>
    <m/>
    <s v="230461009"/>
    <m/>
    <m/>
    <m/>
    <m/>
    <m/>
    <m/>
    <m/>
    <m/>
    <m/>
    <m/>
    <m/>
    <m/>
    <m/>
    <m/>
    <x v="2"/>
    <n v="0"/>
    <x v="2"/>
    <x v="49"/>
    <n v="1"/>
    <s v=""/>
    <n v="1"/>
    <n v="1"/>
    <n v="1"/>
    <n v="0"/>
    <n v="0"/>
  </r>
  <r>
    <n v="1501"/>
    <s v="Headache category"/>
    <n v="1501"/>
    <s v="Headache category"/>
    <s v="Headache category"/>
    <x v="2"/>
    <n v="17"/>
    <s v=""/>
    <m/>
    <m/>
    <s v="FP.2. Counseling"/>
    <x v="11"/>
    <m/>
    <s v="2.10.5 Screen for medical eligibility"/>
    <m/>
    <s v="FP.DE.522"/>
    <s v="Headache category"/>
    <m/>
    <s v="Type of headaches client is experiencing"/>
    <m/>
    <m/>
    <m/>
    <m/>
    <s v="No"/>
    <m/>
    <s v="Yes"/>
    <s v="C"/>
    <s v="Include if headaches = TRUE"/>
    <m/>
    <m/>
    <m/>
    <s v="Applicable to checking MEC and what is included in the MEC app. However, the specific term is not in app conditions. "/>
    <s v="MEC"/>
    <m/>
    <m/>
    <m/>
    <x v="3"/>
    <x v="0"/>
    <m/>
    <m/>
    <m/>
    <x v="2"/>
    <s v="NA"/>
    <m/>
    <m/>
    <m/>
    <s v="Headache category"/>
    <s v="Same"/>
    <m/>
    <x v="1"/>
    <s v=""/>
    <m/>
    <x v="2"/>
    <m/>
    <m/>
    <m/>
    <m/>
    <m/>
    <m/>
    <m/>
    <m/>
    <s v="No terminology code required"/>
    <m/>
    <m/>
    <m/>
    <m/>
    <m/>
    <m/>
    <m/>
    <m/>
    <m/>
    <m/>
    <m/>
    <x v="2"/>
    <s v=""/>
    <x v="3"/>
    <x v="2"/>
    <n v="1"/>
    <s v=""/>
    <n v="1"/>
    <n v="1"/>
    <n v="1"/>
    <n v="0"/>
    <n v="0"/>
  </r>
  <r>
    <n v="1502"/>
    <s v="Client experiences Non-migrainous headache"/>
    <n v="1502"/>
    <e v="#NAME?"/>
    <s v="Non-migrainous"/>
    <x v="1"/>
    <n v="23"/>
    <s v="Current conditions affecting Medical Eligibility"/>
    <m/>
    <m/>
    <s v="FP.2. Counseling"/>
    <x v="11"/>
    <m/>
    <s v="2.10.5 Screen for medical eligibility"/>
    <m/>
    <s v="FP.DE.282"/>
    <m/>
    <m/>
    <m/>
    <m/>
    <m/>
    <s v="Non-migrainous"/>
    <m/>
    <s v="No"/>
    <m/>
    <s v="Yes"/>
    <s v="C"/>
    <s v="Skip if Medical Eligibility &lt;[MEC do not use rating, currently 3] for the method selected "/>
    <m/>
    <m/>
    <m/>
    <s v="MEC. Included in MEC app conditions.csv"/>
    <s v="MEC"/>
    <m/>
    <m/>
    <m/>
    <x v="3"/>
    <x v="0"/>
    <m/>
    <m/>
    <m/>
    <x v="2"/>
    <s v="JS"/>
    <s v="MedicalEligibilityConditions"/>
    <m/>
    <m/>
    <s v="       Non-migrainous"/>
    <s v="Changed"/>
    <m/>
    <x v="1"/>
    <e v="#NAME?"/>
    <m/>
    <x v="0"/>
    <m/>
    <m/>
    <m/>
    <s v="G44.8"/>
    <m/>
    <m/>
    <m/>
    <m/>
    <m/>
    <m/>
    <m/>
    <m/>
    <m/>
    <m/>
    <m/>
    <m/>
    <m/>
    <m/>
    <m/>
    <m/>
    <x v="2"/>
    <n v="0"/>
    <x v="2"/>
    <x v="49"/>
    <n v="1"/>
    <s v=""/>
    <n v="1"/>
    <n v="1"/>
    <n v="1"/>
    <n v="0"/>
    <n v="0"/>
  </r>
  <r>
    <n v="1503"/>
    <s v="Client experiences Migraine without aura"/>
    <n v="1503"/>
    <e v="#NAME?"/>
    <s v="Migraine without aura"/>
    <x v="1"/>
    <n v="23"/>
    <s v="Current conditions affecting Medical Eligibility"/>
    <m/>
    <m/>
    <s v="FP.2. Counseling"/>
    <x v="11"/>
    <m/>
    <s v="2.10.5 Screen for medical eligibility"/>
    <m/>
    <s v="FP.DE.283"/>
    <m/>
    <m/>
    <m/>
    <m/>
    <m/>
    <s v="Migraine without aura"/>
    <m/>
    <s v="No"/>
    <m/>
    <s v="Yes"/>
    <s v="C"/>
    <s v="Skip if Medical Eligibility &lt;[MEC do not use rating, currently 3] for the method selected "/>
    <m/>
    <m/>
    <m/>
    <s v="MEC. Included in MEC app conditions.csv"/>
    <s v="MEC"/>
    <m/>
    <m/>
    <m/>
    <x v="3"/>
    <x v="0"/>
    <m/>
    <m/>
    <m/>
    <x v="2"/>
    <s v="JS"/>
    <s v="MedicalEligibilityConditions"/>
    <m/>
    <m/>
    <s v="       Migraine without aura"/>
    <s v="Changed"/>
    <m/>
    <x v="1"/>
    <e v="#NAME?"/>
    <m/>
    <x v="0"/>
    <m/>
    <m/>
    <s v="? want overall category?"/>
    <s v="G43.0"/>
    <m/>
    <s v="56097005"/>
    <m/>
    <m/>
    <m/>
    <m/>
    <m/>
    <m/>
    <s v="66"/>
    <m/>
    <m/>
    <m/>
    <m/>
    <m/>
    <m/>
    <m/>
    <x v="2"/>
    <n v="0"/>
    <x v="2"/>
    <x v="49"/>
    <n v="1"/>
    <s v=""/>
    <n v="1"/>
    <n v="1"/>
    <n v="1"/>
    <n v="0"/>
    <n v="0"/>
  </r>
  <r>
    <n v="1504"/>
    <s v="Client experiences Migraine with aura"/>
    <n v="1504"/>
    <e v="#NAME?"/>
    <s v="Migraine with aura"/>
    <x v="1"/>
    <n v="23"/>
    <s v="Current conditions affecting Medical Eligibility"/>
    <m/>
    <m/>
    <s v="FP.2. Counseling"/>
    <x v="11"/>
    <m/>
    <s v="2.10.5 Screen for medical eligibility"/>
    <m/>
    <s v="FP.DE.284"/>
    <m/>
    <m/>
    <m/>
    <m/>
    <m/>
    <s v="Migraine with aura"/>
    <m/>
    <s v="No"/>
    <m/>
    <s v="Yes"/>
    <s v="C"/>
    <s v="Skip if Medical Eligibility &lt;[MEC do not use rating, currently 3] for the method selected "/>
    <m/>
    <m/>
    <m/>
    <s v="MEC. Included in MEC app conditions.csv"/>
    <s v="MEC"/>
    <m/>
    <m/>
    <m/>
    <x v="3"/>
    <x v="0"/>
    <m/>
    <m/>
    <m/>
    <x v="2"/>
    <s v="JS"/>
    <s v="MedicalEligibilityConditions"/>
    <m/>
    <m/>
    <s v="       Migraine with aura"/>
    <s v="Changed"/>
    <m/>
    <x v="1"/>
    <e v="#NAME?"/>
    <m/>
    <x v="0"/>
    <m/>
    <m/>
    <m/>
    <s v="G43.1"/>
    <m/>
    <s v="4473006"/>
    <m/>
    <m/>
    <m/>
    <m/>
    <m/>
    <m/>
    <m/>
    <m/>
    <m/>
    <m/>
    <m/>
    <m/>
    <m/>
    <m/>
    <x v="2"/>
    <n v="0"/>
    <x v="2"/>
    <x v="49"/>
    <n v="1"/>
    <s v=""/>
    <n v="1"/>
    <n v="1"/>
    <n v="1"/>
    <n v="0"/>
    <n v="0"/>
  </r>
  <r>
    <n v="1505"/>
    <s v="HIV Status"/>
    <n v="1505"/>
    <s v="HIV Status"/>
    <s v="HIV Status"/>
    <x v="0"/>
    <n v="10"/>
    <s v=""/>
    <m/>
    <m/>
    <s v="FP.2. Counseling, ST.2 Consultation"/>
    <x v="12"/>
    <m/>
    <s v="2.10.5 Screen for medical eligibility, 2.2 Capture or update client history"/>
    <s v="ST.DE.037"/>
    <s v="FP.DE.039"/>
    <s v="HIV Status"/>
    <m/>
    <s v="Finding of human immunodeficiency virus status"/>
    <m/>
    <m/>
    <m/>
    <m/>
    <s v="No"/>
    <m/>
    <s v="Yes"/>
    <s v="FP = C, ST = R"/>
    <s v="Skip if Medical Eligibility &lt;[MEC do not use rating, currently 3] for the method selected "/>
    <m/>
    <m/>
    <m/>
    <s v="MEC. Included in MEC app conditions.csv"/>
    <s v="MEC"/>
    <m/>
    <m/>
    <m/>
    <x v="17"/>
    <x v="2"/>
    <s v="FHIR"/>
    <s v="4.0.1"/>
    <m/>
    <x v="51"/>
    <s v="JA"/>
    <m/>
    <m/>
    <m/>
    <s v="HIV Status"/>
    <s v="Same"/>
    <m/>
    <x v="0"/>
    <s v=""/>
    <s v="Ready for testing"/>
    <x v="0"/>
    <m/>
    <m/>
    <m/>
    <m/>
    <m/>
    <s v="278977008"/>
    <m/>
    <m/>
    <m/>
    <m/>
    <m/>
    <m/>
    <m/>
    <m/>
    <m/>
    <m/>
    <m/>
    <m/>
    <m/>
    <m/>
    <x v="5"/>
    <s v=""/>
    <x v="6"/>
    <x v="52"/>
    <n v="1"/>
    <n v="0"/>
    <n v="1"/>
    <n v="1"/>
    <n v="1"/>
    <n v="0"/>
    <n v="0"/>
  </r>
  <r>
    <n v="1506"/>
    <s v="HIV Stage"/>
    <n v="1506"/>
    <s v="HIV Stage"/>
    <s v="HIV Stage"/>
    <x v="0"/>
    <n v="9"/>
    <s v=""/>
    <m/>
    <m/>
    <s v="FP.2. Counseling, ST.2 Consultation"/>
    <x v="12"/>
    <m/>
    <s v="2.10.5 Screen for medical eligibility, 2.2 Capture or update client history"/>
    <s v="ST.DE.344"/>
    <s v="FP.DE.523"/>
    <s v="HIV Stage"/>
    <m/>
    <s v="WHO HIV clinical stage"/>
    <m/>
    <m/>
    <m/>
    <m/>
    <s v="No"/>
    <m/>
    <s v="Yes"/>
    <s v="C"/>
    <s v="Include if HIV Status = TRUE, Required during MEC check if MEC classification  &gt;   MEC okay to use rating, currently 2] for method selected"/>
    <m/>
    <m/>
    <m/>
    <s v="MEC. Included in MEC app conditions.csv"/>
    <s v="MEC"/>
    <m/>
    <m/>
    <m/>
    <x v="17"/>
    <x v="2"/>
    <s v="FHIR"/>
    <s v="4.0.1"/>
    <m/>
    <x v="52"/>
    <s v="JA"/>
    <m/>
    <m/>
    <m/>
    <s v="HIV Stage"/>
    <s v="Same"/>
    <m/>
    <x v="0"/>
    <s v=""/>
    <s v="Ready for testing"/>
    <x v="0"/>
    <m/>
    <m/>
    <m/>
    <m/>
    <m/>
    <s v="385354005"/>
    <s v="45233-4"/>
    <m/>
    <m/>
    <m/>
    <m/>
    <m/>
    <m/>
    <n v="5356"/>
    <m/>
    <m/>
    <m/>
    <m/>
    <m/>
    <m/>
    <x v="5"/>
    <s v=""/>
    <x v="6"/>
    <x v="53"/>
    <n v="1"/>
    <n v="1"/>
    <n v="1"/>
    <n v="1"/>
    <n v="1"/>
    <n v="0"/>
    <n v="0"/>
  </r>
  <r>
    <n v="1507"/>
    <s v="       1"/>
    <n v="1507"/>
    <e v="#NAME?"/>
    <n v="1"/>
    <x v="1"/>
    <n v="8"/>
    <s v="HIV Stage"/>
    <m/>
    <m/>
    <s v="FP.2. Counseling, ST.2 Consultation"/>
    <x v="12"/>
    <m/>
    <s v="2.10.5 Screen for medical eligibility, 2.2 Capture or update client history"/>
    <s v="ST.DE.345"/>
    <s v="FP.DE.579"/>
    <m/>
    <m/>
    <s v="Asymptomatic HIV"/>
    <m/>
    <m/>
    <n v="1"/>
    <m/>
    <s v="No"/>
    <m/>
    <s v="Yes"/>
    <s v="C"/>
    <s v="Required during MEC check if MEC classification  &gt;   MEC okay to use rating, currently 2] for method selected"/>
    <m/>
    <m/>
    <m/>
    <m/>
    <m/>
    <m/>
    <m/>
    <m/>
    <x v="3"/>
    <x v="0"/>
    <m/>
    <m/>
    <m/>
    <x v="2"/>
    <s v="JA"/>
    <m/>
    <m/>
    <m/>
    <s v="       1"/>
    <s v="Same"/>
    <m/>
    <x v="0"/>
    <e v="#NAME?"/>
    <s v="Ready for testing"/>
    <x v="0"/>
    <m/>
    <m/>
    <m/>
    <m/>
    <m/>
    <s v="103415007"/>
    <m/>
    <m/>
    <m/>
    <m/>
    <m/>
    <s v="_x000a_34926. MEDCIN"/>
    <m/>
    <m/>
    <m/>
    <m/>
    <m/>
    <m/>
    <m/>
    <m/>
    <x v="2"/>
    <n v="0"/>
    <x v="2"/>
    <x v="53"/>
    <n v="1"/>
    <s v=""/>
    <n v="1"/>
    <n v="1"/>
    <n v="1"/>
    <n v="0"/>
    <n v="0"/>
  </r>
  <r>
    <n v="1508"/>
    <s v="       2"/>
    <n v="1508"/>
    <e v="#NAME?"/>
    <n v="2"/>
    <x v="1"/>
    <n v="8"/>
    <s v="HIV Stage"/>
    <m/>
    <m/>
    <s v="FP.2. Counseling, ST.2 Consultation"/>
    <x v="12"/>
    <m/>
    <s v="2.2 Capture or update client history"/>
    <s v="ST.DE.349"/>
    <s v="FP.DE.580"/>
    <m/>
    <m/>
    <s v="Mildly symptomatic HIV"/>
    <m/>
    <m/>
    <n v="2"/>
    <m/>
    <s v="No"/>
    <m/>
    <s v="Yes"/>
    <s v="C"/>
    <s v="Required during MEC check if MEC classification  &gt;   MEC okay to use rating, currently 2] for method selected"/>
    <m/>
    <m/>
    <m/>
    <m/>
    <m/>
    <m/>
    <m/>
    <m/>
    <x v="3"/>
    <x v="0"/>
    <m/>
    <m/>
    <m/>
    <x v="2"/>
    <s v="JA"/>
    <m/>
    <m/>
    <m/>
    <s v="       2"/>
    <s v="Same"/>
    <m/>
    <x v="0"/>
    <e v="#NAME?"/>
    <s v="Ready for testing"/>
    <x v="0"/>
    <m/>
    <m/>
    <m/>
    <m/>
    <m/>
    <s v="103416008"/>
    <m/>
    <m/>
    <m/>
    <m/>
    <m/>
    <s v="34927 MEDCIN_x000a__x000a_10064447 MDR"/>
    <m/>
    <m/>
    <m/>
    <m/>
    <m/>
    <m/>
    <m/>
    <m/>
    <x v="2"/>
    <n v="0"/>
    <x v="2"/>
    <x v="53"/>
    <n v="1"/>
    <s v=""/>
    <n v="1"/>
    <n v="1"/>
    <n v="1"/>
    <n v="0"/>
    <n v="0"/>
  </r>
  <r>
    <n v="1509"/>
    <s v="       3"/>
    <n v="1509"/>
    <e v="#NAME?"/>
    <n v="3"/>
    <x v="1"/>
    <n v="8"/>
    <s v="HIV Stage"/>
    <m/>
    <m/>
    <s v="FP.2. Counseling, ST.2 Consultation"/>
    <x v="12"/>
    <m/>
    <s v="2.2 Capture or update client history"/>
    <s v="ST.DE.350"/>
    <s v="FP.DE.524"/>
    <m/>
    <m/>
    <s v="Advanced HIV"/>
    <m/>
    <m/>
    <n v="3"/>
    <m/>
    <s v="No"/>
    <m/>
    <s v="Yes"/>
    <s v="C"/>
    <s v="Required during MEC check if MEC classification  &gt;   MEC okay to use rating, currently 2] for method selected"/>
    <m/>
    <m/>
    <m/>
    <s v="MEC. Included in MEC app conditions.csv"/>
    <s v="MEC"/>
    <m/>
    <m/>
    <m/>
    <x v="3"/>
    <x v="0"/>
    <m/>
    <m/>
    <m/>
    <x v="2"/>
    <s v="JS"/>
    <m/>
    <m/>
    <m/>
    <s v="       3"/>
    <s v="Same"/>
    <m/>
    <x v="0"/>
    <e v="#NAME?"/>
    <s v="Ready for testing"/>
    <x v="0"/>
    <m/>
    <m/>
    <m/>
    <m/>
    <m/>
    <s v="103417004"/>
    <m/>
    <m/>
    <m/>
    <m/>
    <m/>
    <s v="34928 MEDCIN_x000a__x000a_10064448 MDR"/>
    <m/>
    <m/>
    <m/>
    <m/>
    <m/>
    <m/>
    <m/>
    <m/>
    <x v="2"/>
    <n v="0"/>
    <x v="2"/>
    <x v="53"/>
    <n v="1"/>
    <s v=""/>
    <n v="1"/>
    <n v="1"/>
    <n v="1"/>
    <n v="0"/>
    <n v="0"/>
  </r>
  <r>
    <n v="1510"/>
    <s v="       4"/>
    <n v="1510"/>
    <e v="#NAME?"/>
    <n v="4"/>
    <x v="1"/>
    <n v="8"/>
    <s v="HIV Stage"/>
    <m/>
    <m/>
    <s v="FP.2. Counseling, ST.2 Consultation"/>
    <x v="12"/>
    <m/>
    <s v="2.2 Capture or update client history"/>
    <s v="ST.DE.351"/>
    <s v="FP.DE.525"/>
    <m/>
    <m/>
    <s v="Advanced and severely symptomatic HIV"/>
    <m/>
    <m/>
    <n v="4"/>
    <m/>
    <s v="No"/>
    <m/>
    <s v="Yes"/>
    <s v="C"/>
    <s v="Required during MEC check if MEC classification  &gt;   MEC okay to use rating, currently 2] for method selected"/>
    <m/>
    <m/>
    <m/>
    <s v="MEC. Included in MEC app conditions.csv"/>
    <s v="MEC"/>
    <m/>
    <m/>
    <m/>
    <x v="3"/>
    <x v="0"/>
    <m/>
    <m/>
    <m/>
    <x v="2"/>
    <s v="JS"/>
    <m/>
    <m/>
    <m/>
    <s v="       4"/>
    <s v="Same"/>
    <m/>
    <x v="0"/>
    <e v="#NAME?"/>
    <s v="Ready for testing"/>
    <x v="0"/>
    <m/>
    <m/>
    <m/>
    <m/>
    <m/>
    <s v="103418009"/>
    <m/>
    <m/>
    <m/>
    <m/>
    <m/>
    <m/>
    <m/>
    <m/>
    <m/>
    <m/>
    <m/>
    <m/>
    <m/>
    <m/>
    <x v="2"/>
    <n v="0"/>
    <x v="2"/>
    <x v="53"/>
    <n v="1"/>
    <s v=""/>
    <n v="1"/>
    <n v="1"/>
    <n v="1"/>
    <n v="0"/>
    <n v="0"/>
  </r>
  <r>
    <n v="1511"/>
    <s v="Current ischemic heart disease"/>
    <n v="1511"/>
    <e v="#NAME?"/>
    <s v="Current ischemic heart disease"/>
    <x v="1"/>
    <n v="23"/>
    <s v="Current conditions affecting Medical Eligibility"/>
    <m/>
    <m/>
    <s v="FP.2. Counseling"/>
    <x v="11"/>
    <m/>
    <s v="2.10.5 Screen for medical eligibility"/>
    <m/>
    <s v="FP.DE.447"/>
    <s v="Current ischemic heart disease"/>
    <m/>
    <m/>
    <s v="Boolean"/>
    <m/>
    <s v="True/False"/>
    <m/>
    <s v="No"/>
    <m/>
    <s v="Yes"/>
    <s v="C"/>
    <s v="Required during MEC check if MEC classification  &gt;   MEC okay to use rating, currently 2] for method selected"/>
    <m/>
    <m/>
    <m/>
    <m/>
    <s v="MEC"/>
    <m/>
    <m/>
    <m/>
    <x v="3"/>
    <x v="0"/>
    <m/>
    <m/>
    <m/>
    <x v="2"/>
    <s v="JS"/>
    <s v="MedicalEligibilityConditions"/>
    <m/>
    <m/>
    <s v="Current ischemic heart disease"/>
    <s v="Same"/>
    <m/>
    <x v="1"/>
    <e v="#NAME?"/>
    <m/>
    <x v="0"/>
    <m/>
    <m/>
    <m/>
    <s v="I25.9"/>
    <s v="BA5Z"/>
    <s v="414545008"/>
    <m/>
    <m/>
    <m/>
    <m/>
    <m/>
    <m/>
    <m/>
    <n v="116608"/>
    <m/>
    <m/>
    <m/>
    <m/>
    <m/>
    <m/>
    <x v="2"/>
    <n v="0"/>
    <x v="2"/>
    <x v="49"/>
    <n v="1"/>
    <s v=""/>
    <n v="1"/>
    <n v="1"/>
    <n v="1"/>
    <n v="0"/>
    <n v="0"/>
  </r>
  <r>
    <n v="1512"/>
    <s v="History of ischemic heart disease"/>
    <n v="1512"/>
    <e v="#NAME?"/>
    <s v="History of ischemic heart disease"/>
    <x v="1"/>
    <n v="23"/>
    <s v="Current conditions affecting Medical Eligibility"/>
    <m/>
    <m/>
    <s v="FP.2. Counseling"/>
    <x v="11"/>
    <m/>
    <s v="2.10.5 Screen for medical eligibility"/>
    <m/>
    <s v="FP.DE.448"/>
    <s v="History of ischemic heart disease"/>
    <m/>
    <m/>
    <s v="Boolean"/>
    <m/>
    <s v="True/False"/>
    <m/>
    <s v="No"/>
    <m/>
    <s v="Yes"/>
    <s v="C"/>
    <s v="Required during MEC check if MEC classification  &gt;   MEC okay to use rating, currently 2] for method selected"/>
    <m/>
    <m/>
    <m/>
    <m/>
    <s v="MEC"/>
    <m/>
    <m/>
    <m/>
    <x v="3"/>
    <x v="0"/>
    <m/>
    <m/>
    <m/>
    <x v="2"/>
    <s v="NA"/>
    <s v="MedicalEligibilityConditions"/>
    <m/>
    <m/>
    <s v="History of ischemic heart disease"/>
    <s v="Same"/>
    <m/>
    <x v="1"/>
    <e v="#NAME?"/>
    <m/>
    <x v="2"/>
    <m/>
    <m/>
    <m/>
    <m/>
    <m/>
    <s v="399211009"/>
    <m/>
    <m/>
    <m/>
    <m/>
    <m/>
    <m/>
    <m/>
    <m/>
    <m/>
    <m/>
    <m/>
    <m/>
    <m/>
    <m/>
    <x v="2"/>
    <n v="0"/>
    <x v="2"/>
    <x v="49"/>
    <n v="1"/>
    <s v=""/>
    <n v="1"/>
    <n v="1"/>
    <n v="1"/>
    <n v="0"/>
    <n v="0"/>
  </r>
  <r>
    <n v="1513"/>
    <s v="Stroke (history of cerebrovascular accident)"/>
    <n v="1513"/>
    <e v="#NAME?"/>
    <s v="Stroke (history of cerebrovascular accident)"/>
    <x v="1"/>
    <n v="23"/>
    <s v="Current conditions affecting Medical Eligibility"/>
    <m/>
    <m/>
    <s v="FP.2. Counseling"/>
    <x v="11"/>
    <m/>
    <s v="2.10.5 Screen for medical eligibility"/>
    <m/>
    <s v="FP.DE.219"/>
    <s v="Stroke (history of cerebrovascular accident)"/>
    <m/>
    <m/>
    <s v="Boolean"/>
    <m/>
    <s v="True/False"/>
    <m/>
    <s v="No"/>
    <m/>
    <s v="Yes"/>
    <s v="C"/>
    <s v="Required during MEC check if MEC classification  &gt;   MEC okay to use rating, currently 2] for method selected"/>
    <m/>
    <m/>
    <m/>
    <m/>
    <s v="MEC"/>
    <m/>
    <m/>
    <m/>
    <x v="3"/>
    <x v="0"/>
    <m/>
    <m/>
    <m/>
    <x v="2"/>
    <s v="JS"/>
    <s v="MedicalEligibilityConditions"/>
    <m/>
    <m/>
    <s v="Stroke (history of cerebrovascular accident)"/>
    <s v="Same"/>
    <m/>
    <x v="1"/>
    <e v="#NAME?"/>
    <m/>
    <x v="0"/>
    <m/>
    <m/>
    <m/>
    <s v="I64"/>
    <s v="8B20"/>
    <s v="25133001"/>
    <m/>
    <m/>
    <m/>
    <m/>
    <m/>
    <m/>
    <m/>
    <n v="144475"/>
    <m/>
    <m/>
    <m/>
    <m/>
    <m/>
    <m/>
    <x v="2"/>
    <n v="0"/>
    <x v="2"/>
    <x v="49"/>
    <n v="1"/>
    <s v=""/>
    <n v="1"/>
    <n v="1"/>
    <n v="1"/>
    <n v="0"/>
    <n v="0"/>
  </r>
  <r>
    <n v="1514"/>
    <s v="Dyslipidemias"/>
    <n v="1514"/>
    <e v="#NAME?"/>
    <s v="Dyslipidemias"/>
    <x v="1"/>
    <n v="23"/>
    <s v="Current conditions affecting Medical Eligibility"/>
    <m/>
    <m/>
    <s v="FP.2. Counseling"/>
    <x v="11"/>
    <m/>
    <s v="2.10.5 Screen for medical eligibility"/>
    <m/>
    <s v="FP.DE.274"/>
    <s v="Dyslipidemias"/>
    <m/>
    <s v="Known dyslipidemias "/>
    <s v="Boolean"/>
    <m/>
    <s v="True/False"/>
    <m/>
    <s v="No"/>
    <m/>
    <s v="Yes"/>
    <s v="C"/>
    <s v="Required during MEC check if MEC classification  &gt;   MEC okay to use rating, currently 2] for method selected"/>
    <m/>
    <m/>
    <m/>
    <m/>
    <s v="MEC"/>
    <m/>
    <m/>
    <m/>
    <x v="3"/>
    <x v="0"/>
    <m/>
    <m/>
    <m/>
    <x v="2"/>
    <s v="JS"/>
    <s v="MedicalEligibilityConditions"/>
    <m/>
    <m/>
    <s v="Dyslipidemias"/>
    <s v="Same"/>
    <m/>
    <x v="1"/>
    <e v="#NAME?"/>
    <m/>
    <x v="0"/>
    <m/>
    <m/>
    <m/>
    <s v="E78.4"/>
    <s v="5C80"/>
    <s v="370992007"/>
    <m/>
    <m/>
    <m/>
    <m/>
    <m/>
    <m/>
    <m/>
    <n v="141623"/>
    <m/>
    <m/>
    <m/>
    <m/>
    <m/>
    <m/>
    <x v="2"/>
    <n v="0"/>
    <x v="2"/>
    <x v="49"/>
    <n v="1"/>
    <s v=""/>
    <n v="1"/>
    <n v="1"/>
    <n v="1"/>
    <n v="0"/>
    <n v="0"/>
  </r>
  <r>
    <n v="1515"/>
    <s v="Valvular heart disease"/>
    <n v="1515"/>
    <e v="#NAME?"/>
    <s v="Valvular heart disease"/>
    <x v="1"/>
    <n v="23"/>
    <s v="Current conditions affecting Medical Eligibility"/>
    <m/>
    <m/>
    <s v="FP.2. Counseling"/>
    <x v="11"/>
    <m/>
    <s v="2.10.5 Screen for medical eligibility"/>
    <m/>
    <s v="FP.DE.275"/>
    <s v="Valvular heart disease"/>
    <m/>
    <m/>
    <s v="Boolean"/>
    <m/>
    <s v="True/False"/>
    <m/>
    <s v="No"/>
    <m/>
    <s v="Yes"/>
    <s v="C"/>
    <s v="Required during MEC check if MEC classification  &gt;   MEC okay to use rating, currently 2] for method selected"/>
    <m/>
    <m/>
    <m/>
    <m/>
    <s v="MEC"/>
    <m/>
    <m/>
    <m/>
    <x v="3"/>
    <x v="0"/>
    <m/>
    <m/>
    <m/>
    <x v="2"/>
    <s v="JS"/>
    <s v="MedicalEligibilityConditions"/>
    <m/>
    <m/>
    <s v="Valvular heart disease"/>
    <s v="Same"/>
    <m/>
    <x v="1"/>
    <e v="#NAME?"/>
    <m/>
    <x v="0"/>
    <m/>
    <m/>
    <s v="x"/>
    <m/>
    <m/>
    <s v="368009"/>
    <m/>
    <m/>
    <m/>
    <m/>
    <m/>
    <m/>
    <m/>
    <m/>
    <m/>
    <m/>
    <m/>
    <m/>
    <m/>
    <m/>
    <x v="2"/>
    <n v="0"/>
    <x v="2"/>
    <x v="49"/>
    <n v="1"/>
    <s v=""/>
    <n v="1"/>
    <n v="1"/>
    <n v="1"/>
    <n v="0"/>
    <n v="0"/>
  </r>
  <r>
    <n v="1516"/>
    <s v="Valvular heart disease category"/>
    <n v="1516"/>
    <s v="Valvular heart disease category"/>
    <s v="Valvular heart disease category"/>
    <x v="2"/>
    <n v="31"/>
    <s v=""/>
    <m/>
    <m/>
    <s v="FP.2. Counseling"/>
    <x v="11"/>
    <m/>
    <s v="2.10.5 Screen for medical eligibility"/>
    <m/>
    <s v="FP.DE.276"/>
    <s v="Valvular heart disease category"/>
    <m/>
    <m/>
    <s v="Coding "/>
    <s v="Select one"/>
    <m/>
    <m/>
    <s v="No"/>
    <m/>
    <s v="Yes"/>
    <s v="C"/>
    <s v="Required during MEC check if MEC classification  &gt;   MEC okay to use rating, currently 2] for method selected"/>
    <m/>
    <m/>
    <m/>
    <m/>
    <s v="MEC"/>
    <m/>
    <m/>
    <m/>
    <x v="3"/>
    <x v="0"/>
    <m/>
    <m/>
    <m/>
    <x v="2"/>
    <s v="NA"/>
    <m/>
    <m/>
    <m/>
    <s v="Valvular heart disease category"/>
    <s v="Same"/>
    <m/>
    <x v="1"/>
    <s v=""/>
    <m/>
    <x v="0"/>
    <m/>
    <m/>
    <m/>
    <m/>
    <m/>
    <m/>
    <m/>
    <m/>
    <s v="No terminology code required"/>
    <m/>
    <m/>
    <m/>
    <m/>
    <m/>
    <m/>
    <m/>
    <m/>
    <m/>
    <m/>
    <m/>
    <x v="2"/>
    <s v=""/>
    <x v="3"/>
    <x v="2"/>
    <n v="1"/>
    <s v=""/>
    <n v="1"/>
    <n v="1"/>
    <n v="1"/>
    <n v="0"/>
    <n v="0"/>
  </r>
  <r>
    <n v="1517"/>
    <s v="Complicated Valvular heart disease "/>
    <n v="1517"/>
    <e v="#NAME?"/>
    <s v="Complicated"/>
    <x v="1"/>
    <n v="23"/>
    <s v="Current conditions affecting Medical Eligibility"/>
    <m/>
    <m/>
    <s v="FP.2. Counseling"/>
    <x v="11"/>
    <m/>
    <s v="2.10.5 Screen for medical eligibility"/>
    <m/>
    <s v="FP.DE.277"/>
    <m/>
    <m/>
    <s v="Pulmonary hypertension, risk of atrial fibrillation, history of subacute bacterial endocarditis"/>
    <m/>
    <m/>
    <s v="Complicated"/>
    <m/>
    <s v="No"/>
    <m/>
    <s v="Yes"/>
    <s v="C"/>
    <s v="Required during MEC check if MEC classification  &gt;   MEC okay to use rating, currently 2] for method selected"/>
    <m/>
    <m/>
    <m/>
    <m/>
    <s v="MEC"/>
    <m/>
    <m/>
    <m/>
    <x v="3"/>
    <x v="0"/>
    <m/>
    <m/>
    <m/>
    <x v="2"/>
    <s v="JS"/>
    <s v="MedicalEligibilityConditions"/>
    <m/>
    <m/>
    <s v="       Complicated"/>
    <s v="Changed"/>
    <m/>
    <x v="1"/>
    <e v="#NAME?"/>
    <m/>
    <x v="0"/>
    <s v="http://who.int/cg/CodeSystem/extended-content"/>
    <s v="Complicated Valvular heart disease"/>
    <m/>
    <m/>
    <m/>
    <m/>
    <m/>
    <m/>
    <s v="No SNOMED code available"/>
    <m/>
    <m/>
    <s v="There's a SNOMED-CT term 368009 for &quot;Heart valve disease&quot;, but I don't see a breakdown between complicated vs uncomplicated"/>
    <m/>
    <m/>
    <m/>
    <m/>
    <m/>
    <m/>
    <m/>
    <m/>
    <x v="2"/>
    <n v="0"/>
    <x v="2"/>
    <x v="49"/>
    <n v="1"/>
    <s v=""/>
    <n v="1"/>
    <n v="1"/>
    <n v="1"/>
    <n v="0"/>
    <n v="0"/>
  </r>
  <r>
    <n v="1518"/>
    <s v="Uncomplicated Valvular heart disease "/>
    <n v="1518"/>
    <e v="#NAME?"/>
    <s v="Uncomplicated"/>
    <x v="1"/>
    <n v="23"/>
    <s v="Current conditions affecting Medical Eligibility"/>
    <m/>
    <m/>
    <s v="FP.2. Counseling"/>
    <x v="11"/>
    <m/>
    <s v="2.10.5 Screen for medical eligibility"/>
    <m/>
    <s v="FP.DE.278"/>
    <m/>
    <m/>
    <m/>
    <m/>
    <m/>
    <s v="Uncomplicated"/>
    <m/>
    <s v="No"/>
    <m/>
    <s v="Yes"/>
    <m/>
    <s v="Required during MEC check if MEC classification  &gt;   MEC okay to use rating, currently 2] for method selected"/>
    <m/>
    <m/>
    <m/>
    <m/>
    <m/>
    <m/>
    <m/>
    <m/>
    <x v="3"/>
    <x v="0"/>
    <m/>
    <m/>
    <m/>
    <x v="2"/>
    <s v="JS"/>
    <s v="MedicalEligibilityConditions"/>
    <m/>
    <m/>
    <s v="       Uncomplicated"/>
    <s v="Changed"/>
    <m/>
    <x v="1"/>
    <e v="#NAME?"/>
    <m/>
    <x v="0"/>
    <s v="http://who.int/cg/CodeSystem/extended-content"/>
    <s v="Uncomplicated Valvular heart disease"/>
    <m/>
    <m/>
    <m/>
    <m/>
    <m/>
    <m/>
    <s v="No SNOMED code available"/>
    <m/>
    <m/>
    <s v="There's a SNOMED-CT term 368009 for &quot;Heart valve disease&quot;, but I don't see a breakdown between complicated vs uncomplicated"/>
    <m/>
    <m/>
    <m/>
    <m/>
    <m/>
    <m/>
    <m/>
    <m/>
    <x v="2"/>
    <n v="0"/>
    <x v="2"/>
    <x v="49"/>
    <n v="1"/>
    <s v=""/>
    <n v="1"/>
    <n v="1"/>
    <n v="1"/>
    <n v="0"/>
    <n v="0"/>
  </r>
  <r>
    <n v="1519"/>
    <s v="Heart disease due to blocked or narrowed arteries"/>
    <n v="1519"/>
    <e v="#NAME?"/>
    <s v="Heart disease due to blocked or narrowed arteries"/>
    <x v="1"/>
    <n v="23"/>
    <s v="Current conditions affecting Medical Eligibility"/>
    <m/>
    <m/>
    <s v="FP.2. Counseling"/>
    <x v="11"/>
    <m/>
    <s v="2.10.5 Screen for medical eligibility"/>
    <m/>
    <s v="FP.DE.218"/>
    <m/>
    <m/>
    <m/>
    <m/>
    <m/>
    <s v="Heart disease due to blocked or narrowed arteries"/>
    <m/>
    <s v="No"/>
    <m/>
    <s v="Yes"/>
    <m/>
    <s v="Required during MEC check if MEC classification  &gt;   MEC okay to use rating, currently 2] for method selected"/>
    <m/>
    <m/>
    <m/>
    <m/>
    <m/>
    <m/>
    <m/>
    <m/>
    <x v="3"/>
    <x v="0"/>
    <m/>
    <m/>
    <m/>
    <x v="2"/>
    <s v="JS"/>
    <s v="MedicalEligibilityConditions"/>
    <m/>
    <m/>
    <s v="       Heart disease due to blocked or narrowed arteries"/>
    <s v="Changed"/>
    <m/>
    <x v="1"/>
    <e v="#NAME?"/>
    <m/>
    <x v="0"/>
    <m/>
    <m/>
    <m/>
    <s v="I25.9"/>
    <m/>
    <s v="414795007"/>
    <m/>
    <m/>
    <m/>
    <m/>
    <m/>
    <s v="This is just another way of saying ischemic heart disease. Ischemia = lack of blood flow and lack of blood flow is caused by blocked or narrowed arteries."/>
    <m/>
    <m/>
    <m/>
    <m/>
    <m/>
    <m/>
    <m/>
    <m/>
    <x v="2"/>
    <n v="0"/>
    <x v="2"/>
    <x v="49"/>
    <n v="1"/>
    <s v=""/>
    <n v="1"/>
    <n v="1"/>
    <n v="1"/>
    <n v="0"/>
    <n v="0"/>
  </r>
  <r>
    <n v="1520"/>
    <s v="Neurological category"/>
    <n v="1520"/>
    <s v="Neurological category"/>
    <s v="Neurological category"/>
    <x v="2"/>
    <n v="21"/>
    <s v=""/>
    <m/>
    <m/>
    <s v="FP.2. Counseling"/>
    <x v="11"/>
    <m/>
    <s v="2.10.5 Screen for medical eligibility"/>
    <m/>
    <s v="FP.DE.279"/>
    <s v="Neurological category"/>
    <m/>
    <s v="Types of conditions that affect medical elibility, including migraines and depression."/>
    <m/>
    <m/>
    <m/>
    <m/>
    <s v="No"/>
    <m/>
    <s v="Yes"/>
    <s v="C"/>
    <s v="Required during MEC check if MEC classification  &gt;   MEC okay to use rating, currently 2] for method selected "/>
    <m/>
    <m/>
    <m/>
    <m/>
    <m/>
    <m/>
    <m/>
    <m/>
    <x v="3"/>
    <x v="0"/>
    <m/>
    <m/>
    <m/>
    <x v="2"/>
    <s v="NA"/>
    <m/>
    <m/>
    <m/>
    <s v="Neurological category"/>
    <s v="Same"/>
    <m/>
    <x v="1"/>
    <s v=""/>
    <m/>
    <x v="2"/>
    <m/>
    <m/>
    <m/>
    <m/>
    <m/>
    <m/>
    <m/>
    <m/>
    <s v="No terminology code required"/>
    <m/>
    <m/>
    <m/>
    <m/>
    <m/>
    <m/>
    <m/>
    <m/>
    <m/>
    <m/>
    <m/>
    <x v="2"/>
    <s v=""/>
    <x v="3"/>
    <x v="2"/>
    <n v="1"/>
    <s v=""/>
    <n v="1"/>
    <n v="1"/>
    <n v="1"/>
    <n v="0"/>
    <n v="0"/>
  </r>
  <r>
    <n v="1521"/>
    <s v="Migraines"/>
    <n v="1521"/>
    <e v="#NAME?"/>
    <n v="0"/>
    <x v="1"/>
    <n v="23"/>
    <s v="Current conditions affecting Medical Eligibility"/>
    <m/>
    <m/>
    <s v="FP.2. Counseling"/>
    <x v="11"/>
    <m/>
    <s v="2.10.5 Screen for medical eligibility"/>
    <m/>
    <s v="FP.DE.437"/>
    <m/>
    <m/>
    <m/>
    <s v="Migraines"/>
    <m/>
    <m/>
    <m/>
    <s v="No"/>
    <m/>
    <s v="Yes"/>
    <s v="C"/>
    <s v="Required during MEC check if MEC classification  &gt;   MEC okay to use rating, currently 2] for method selected "/>
    <m/>
    <m/>
    <m/>
    <m/>
    <m/>
    <m/>
    <m/>
    <m/>
    <x v="3"/>
    <x v="0"/>
    <m/>
    <m/>
    <m/>
    <x v="2"/>
    <s v="JS"/>
    <s v="MedicalEligibilityConditions"/>
    <m/>
    <m/>
    <s v="       Migraines"/>
    <s v="Changed"/>
    <m/>
    <x v="1"/>
    <e v="#NAME?"/>
    <m/>
    <x v="0"/>
    <m/>
    <m/>
    <m/>
    <s v="G43.9"/>
    <m/>
    <s v="37796009"/>
    <m/>
    <m/>
    <m/>
    <m/>
    <m/>
    <m/>
    <m/>
    <m/>
    <m/>
    <m/>
    <m/>
    <m/>
    <m/>
    <m/>
    <x v="2"/>
    <n v="0"/>
    <x v="2"/>
    <x v="49"/>
    <n v="1"/>
    <s v=""/>
    <n v="1"/>
    <n v="1"/>
    <n v="1"/>
    <n v="0"/>
    <n v="0"/>
  </r>
  <r>
    <n v="1522"/>
    <s v="Epilepsy"/>
    <n v="1522"/>
    <e v="#NAME?"/>
    <n v="0"/>
    <x v="1"/>
    <n v="23"/>
    <s v="Current conditions affecting Medical Eligibility"/>
    <m/>
    <m/>
    <s v="FP.2. Counseling"/>
    <x v="11"/>
    <m/>
    <s v="2.10.5 Screen for medical eligibility"/>
    <m/>
    <s v="FP.DE.280"/>
    <m/>
    <m/>
    <m/>
    <s v="Epilepsy"/>
    <m/>
    <m/>
    <m/>
    <s v="No"/>
    <m/>
    <s v="Yes"/>
    <s v="C"/>
    <s v="Required during MEC check if MEC classification  &gt;   MEC okay to use rating, currently 2] for method selected "/>
    <m/>
    <m/>
    <m/>
    <m/>
    <m/>
    <m/>
    <m/>
    <m/>
    <x v="3"/>
    <x v="0"/>
    <m/>
    <m/>
    <m/>
    <x v="2"/>
    <s v="JS"/>
    <s v="MedicalEligibilityConditions"/>
    <m/>
    <m/>
    <s v="       Epilepsy"/>
    <s v="Changed"/>
    <m/>
    <x v="1"/>
    <e v="#NAME?"/>
    <m/>
    <x v="0"/>
    <m/>
    <m/>
    <s v="x"/>
    <m/>
    <m/>
    <s v="84757009"/>
    <m/>
    <m/>
    <m/>
    <m/>
    <m/>
    <m/>
    <m/>
    <m/>
    <m/>
    <m/>
    <m/>
    <m/>
    <m/>
    <m/>
    <x v="2"/>
    <n v="0"/>
    <x v="2"/>
    <x v="49"/>
    <n v="1"/>
    <s v=""/>
    <n v="1"/>
    <n v="1"/>
    <n v="1"/>
    <n v="0"/>
    <n v="0"/>
  </r>
  <r>
    <n v="1523"/>
    <s v="Depressive disorders"/>
    <n v="1523"/>
    <e v="#NAME?"/>
    <n v="0"/>
    <x v="1"/>
    <n v="23"/>
    <s v="Current conditions affecting Medical Eligibility"/>
    <m/>
    <m/>
    <s v="FP.2. Counseling"/>
    <x v="11"/>
    <m/>
    <s v="2.10.5 Screen for medical eligibility"/>
    <m/>
    <s v="FP.DE.281"/>
    <m/>
    <m/>
    <m/>
    <s v="Depressive disorders"/>
    <m/>
    <m/>
    <m/>
    <s v="No"/>
    <m/>
    <s v="Yes"/>
    <s v="C"/>
    <s v="Required during MEC check if MEC classification  &gt;   MEC okay to use rating, currently 2] for method selected "/>
    <m/>
    <m/>
    <m/>
    <m/>
    <m/>
    <m/>
    <m/>
    <m/>
    <x v="3"/>
    <x v="0"/>
    <m/>
    <m/>
    <m/>
    <x v="2"/>
    <s v="JS"/>
    <s v="MedicalEligibilityConditions"/>
    <m/>
    <m/>
    <s v="Depressive disorders"/>
    <s v="Same"/>
    <m/>
    <x v="1"/>
    <e v="#NAME?"/>
    <m/>
    <x v="0"/>
    <m/>
    <m/>
    <m/>
    <s v="F32.9"/>
    <m/>
    <s v="35489007"/>
    <m/>
    <m/>
    <m/>
    <m/>
    <m/>
    <m/>
    <m/>
    <m/>
    <m/>
    <m/>
    <m/>
    <m/>
    <m/>
    <m/>
    <x v="2"/>
    <n v="0"/>
    <x v="2"/>
    <x v="49"/>
    <n v="1"/>
    <s v=""/>
    <n v="1"/>
    <n v="1"/>
    <n v="1"/>
    <n v="0"/>
    <n v="0"/>
  </r>
  <r>
    <n v="1528"/>
    <s v="Reproductive and tract infections or disorders"/>
    <n v="1528"/>
    <e v="#NAME?"/>
    <s v="Reproductive and tract infections or disorders"/>
    <x v="1"/>
    <n v="23"/>
    <s v="Current conditions affecting Medical Eligibility"/>
    <m/>
    <m/>
    <s v="FP.2. Counseling"/>
    <x v="5"/>
    <m/>
    <s v="2.10.5 Screen for medical eligibility"/>
    <m/>
    <s v="FP.DE.449"/>
    <s v="Reproductive and tract infections or disorders"/>
    <m/>
    <m/>
    <s v="Boolean"/>
    <m/>
    <s v="True/False"/>
    <m/>
    <s v="No"/>
    <m/>
    <s v="Yes"/>
    <s v="C"/>
    <s v="Required during MEC check if MEC classification &gt;   MEC okay to use rating, currently 2] for method selected"/>
    <m/>
    <m/>
    <m/>
    <m/>
    <m/>
    <m/>
    <m/>
    <m/>
    <x v="3"/>
    <x v="0"/>
    <m/>
    <m/>
    <m/>
    <x v="2"/>
    <s v="JS"/>
    <s v="MedicalEligibilityConditions"/>
    <m/>
    <m/>
    <s v="Reproductive and tract infections or disorders"/>
    <s v="Same"/>
    <m/>
    <x v="1"/>
    <e v="#NAME?"/>
    <m/>
    <x v="0"/>
    <m/>
    <m/>
    <m/>
    <m/>
    <m/>
    <s v="362968007"/>
    <m/>
    <m/>
    <m/>
    <m/>
    <m/>
    <m/>
    <m/>
    <m/>
    <m/>
    <m/>
    <m/>
    <m/>
    <m/>
    <m/>
    <x v="2"/>
    <n v="0"/>
    <x v="2"/>
    <x v="49"/>
    <n v="1"/>
    <s v=""/>
    <n v="1"/>
    <n v="1"/>
    <n v="1"/>
    <n v="0"/>
    <n v="0"/>
  </r>
  <r>
    <n v="1529"/>
    <s v="Gynaecologic problem identified"/>
    <n v="1529"/>
    <s v="Gynaecologic problem identified"/>
    <s v="Gynaecologic problem identified"/>
    <x v="2"/>
    <n v="31"/>
    <s v=""/>
    <m/>
    <m/>
    <s v="FP.2. Counseling"/>
    <x v="5"/>
    <m/>
    <s v="2.10.5 Screen for medical eligibility"/>
    <m/>
    <s v="FP.DE.241"/>
    <s v="Gynaecologic problem identified"/>
    <m/>
    <s v="Whether a gynaecologic problem was identified during the visit, which may require a referral or follow up care. "/>
    <s v="Boolean"/>
    <m/>
    <s v="True/False"/>
    <m/>
    <s v="No"/>
    <m/>
    <s v="Yes"/>
    <s v="C"/>
    <s v="Required during MEC check if MEC classification &gt;   MEC okay to use rating, currently 2] for method selected"/>
    <m/>
    <m/>
    <m/>
    <m/>
    <s v="Selected practice recommendations"/>
    <m/>
    <m/>
    <m/>
    <x v="3"/>
    <x v="0"/>
    <m/>
    <m/>
    <m/>
    <x v="2"/>
    <s v="NA"/>
    <m/>
    <m/>
    <m/>
    <s v="Gynaecologic problem identified"/>
    <s v="Same"/>
    <m/>
    <x v="1"/>
    <s v=""/>
    <m/>
    <x v="2"/>
    <m/>
    <m/>
    <m/>
    <m/>
    <m/>
    <m/>
    <m/>
    <m/>
    <m/>
    <m/>
    <m/>
    <s v="_x000a_55607006 (SNOMED problem) "/>
    <m/>
    <m/>
    <m/>
    <m/>
    <m/>
    <m/>
    <m/>
    <m/>
    <x v="2"/>
    <s v=""/>
    <x v="3"/>
    <x v="2"/>
    <n v="1"/>
    <s v=""/>
    <n v="1"/>
    <n v="1"/>
    <n v="1"/>
    <n v="0"/>
    <n v="0"/>
  </r>
  <r>
    <n v="1530"/>
    <s v="Bleeding or blood clots after the procedure"/>
    <n v="1530"/>
    <e v="#NAME?"/>
    <s v="Bleeding or blood clots after the procedure"/>
    <x v="1"/>
    <n v="43"/>
    <s v="Observations affecting Medical Eligibility"/>
    <m/>
    <m/>
    <s v="FP.2. Counseling"/>
    <x v="5"/>
    <m/>
    <s v="2.10.5 Screen for medical eligibility"/>
    <m/>
    <s v="FP.DE.213"/>
    <m/>
    <m/>
    <m/>
    <m/>
    <m/>
    <s v="Bleeding or blood clots after the procedure"/>
    <m/>
    <s v="No"/>
    <m/>
    <s v="Yes"/>
    <s v="C"/>
    <s v="Required during MEC check if MEC classification &gt;   MEC okay to use rating, currently 2] for method selected"/>
    <m/>
    <m/>
    <m/>
    <m/>
    <m/>
    <m/>
    <m/>
    <m/>
    <x v="3"/>
    <x v="0"/>
    <m/>
    <m/>
    <m/>
    <x v="2"/>
    <s v="JS"/>
    <s v="MedicalEligibilityObservations"/>
    <m/>
    <m/>
    <s v="Bleeding or blood clots after the procedure"/>
    <s v="Same"/>
    <m/>
    <x v="1"/>
    <e v="#NAME?"/>
    <m/>
    <x v="0"/>
    <m/>
    <m/>
    <m/>
    <m/>
    <m/>
    <s v="724460004"/>
    <m/>
    <m/>
    <m/>
    <m/>
    <s v="x"/>
    <s v="after WHAT procedure"/>
    <m/>
    <m/>
    <m/>
    <m/>
    <m/>
    <m/>
    <m/>
    <m/>
    <x v="2"/>
    <n v="0"/>
    <x v="2"/>
    <x v="48"/>
    <n v="1"/>
    <s v=""/>
    <n v="1"/>
    <n v="1"/>
    <n v="1"/>
    <n v="0"/>
    <n v="0"/>
  </r>
  <r>
    <n v="1531"/>
    <s v="Vaginal bleeding patterns "/>
    <n v="1531"/>
    <s v="Vaginal bleeding patterns "/>
    <s v="Vaginal bleeding patterns "/>
    <x v="2"/>
    <n v="26"/>
    <s v=""/>
    <m/>
    <m/>
    <s v="FP.2. Counseling"/>
    <x v="5"/>
    <m/>
    <s v="2.10.5 Screen for medical eligibility"/>
    <m/>
    <s v="FP.DE.450"/>
    <s v="Vaginal bleeding patterns "/>
    <m/>
    <m/>
    <s v="Coding "/>
    <s v="Select all that apply"/>
    <m/>
    <m/>
    <s v="No"/>
    <m/>
    <s v="Yes"/>
    <s v="C"/>
    <s v="Required during MEC check if MEC classification &gt;   MEC okay to use rating, currently 2] for method selected"/>
    <m/>
    <m/>
    <m/>
    <m/>
    <m/>
    <m/>
    <m/>
    <m/>
    <x v="3"/>
    <x v="0"/>
    <m/>
    <m/>
    <m/>
    <x v="2"/>
    <s v="NA"/>
    <m/>
    <m/>
    <m/>
    <s v="Vaginal bleeding patterns "/>
    <s v="Same"/>
    <m/>
    <x v="1"/>
    <s v=""/>
    <m/>
    <x v="2"/>
    <m/>
    <m/>
    <m/>
    <m/>
    <m/>
    <m/>
    <m/>
    <m/>
    <s v="No terminology code required"/>
    <m/>
    <m/>
    <m/>
    <m/>
    <m/>
    <m/>
    <m/>
    <m/>
    <m/>
    <m/>
    <m/>
    <x v="2"/>
    <s v=""/>
    <x v="3"/>
    <x v="2"/>
    <n v="1"/>
    <s v=""/>
    <n v="1"/>
    <n v="1"/>
    <n v="1"/>
    <n v="0"/>
    <n v="0"/>
  </r>
  <r>
    <n v="1532"/>
    <s v="Vaginal bleeding pattern Irregular"/>
    <n v="1532"/>
    <e v="#NAME?"/>
    <s v="Irregular"/>
    <x v="1"/>
    <n v="34"/>
    <s v="Observations affecting Medical Eligibility"/>
    <m/>
    <m/>
    <s v="FP.2. Counseling"/>
    <x v="5"/>
    <m/>
    <s v="2.10.5 Screen for medical eligibility"/>
    <m/>
    <s v="FP.DE.232"/>
    <m/>
    <m/>
    <m/>
    <m/>
    <m/>
    <s v="Irregular"/>
    <m/>
    <s v="No"/>
    <m/>
    <s v="Yes"/>
    <s v="C"/>
    <s v="Required during MEC check if MEC classification &gt;   MEC okay to use rating, currently 2] for method selected"/>
    <m/>
    <m/>
    <m/>
    <m/>
    <m/>
    <m/>
    <m/>
    <m/>
    <x v="3"/>
    <x v="0"/>
    <m/>
    <m/>
    <m/>
    <x v="2"/>
    <s v="JS"/>
    <s v="MedicalEligibilityObservations"/>
    <m/>
    <m/>
    <s v="       Irregular"/>
    <s v="Changed"/>
    <m/>
    <x v="1"/>
    <e v="#NAME?"/>
    <m/>
    <x v="0"/>
    <m/>
    <m/>
    <m/>
    <s v="N93.9; N92.6"/>
    <m/>
    <s v="80182007"/>
    <m/>
    <m/>
    <m/>
    <s v="irregular menstrual bleeing (not vaginal bleeding per se)"/>
    <m/>
    <m/>
    <m/>
    <m/>
    <m/>
    <m/>
    <m/>
    <m/>
    <m/>
    <m/>
    <x v="2"/>
    <n v="0"/>
    <x v="2"/>
    <x v="48"/>
    <n v="1"/>
    <s v=""/>
    <n v="1"/>
    <n v="1"/>
    <n v="1"/>
    <n v="0"/>
    <n v="0"/>
  </r>
  <r>
    <n v="1533"/>
    <s v="Heavy or prolonged vaginal bleeding - regular and irregular"/>
    <n v="1533"/>
    <e v="#NAME?"/>
    <s v="Heavy or prolonged bleeding (including regular and irregular)"/>
    <x v="1"/>
    <n v="59"/>
    <s v="Observations affecting Medical Eligibility"/>
    <m/>
    <m/>
    <s v="FP.2. Counseling"/>
    <x v="5"/>
    <m/>
    <s v="2.10.5 Screen for medical eligibility"/>
    <m/>
    <s v="FP.DE.235"/>
    <m/>
    <m/>
    <m/>
    <m/>
    <m/>
    <s v="Heavy or prolonged bleeding (including regular and irregular)"/>
    <m/>
    <s v="No"/>
    <m/>
    <s v="Yes"/>
    <s v="C"/>
    <s v="Required during MEC check if MEC classification &gt;   MEC okay to use rating, currently 2] for method selected"/>
    <m/>
    <m/>
    <m/>
    <m/>
    <m/>
    <m/>
    <m/>
    <m/>
    <x v="3"/>
    <x v="0"/>
    <m/>
    <m/>
    <m/>
    <x v="2"/>
    <s v="JS"/>
    <s v="MedicalEligibilityObservations"/>
    <m/>
    <m/>
    <s v="       Heavy or prolonged bleeding (including regular and irregular)"/>
    <s v="Changed"/>
    <m/>
    <x v="1"/>
    <e v="#NAME?"/>
    <m/>
    <x v="0"/>
    <m/>
    <m/>
    <m/>
    <m/>
    <m/>
    <s v="351814001"/>
    <m/>
    <m/>
    <m/>
    <s v="metromenorrhagia-- ask SME if this mapping is ok"/>
    <m/>
    <m/>
    <m/>
    <m/>
    <m/>
    <m/>
    <m/>
    <m/>
    <m/>
    <m/>
    <x v="2"/>
    <n v="0"/>
    <x v="2"/>
    <x v="48"/>
    <n v="1"/>
    <s v=""/>
    <n v="1"/>
    <n v="1"/>
    <n v="1"/>
    <n v="0"/>
    <n v="0"/>
  </r>
  <r>
    <n v="1534"/>
    <s v="Endometriosis"/>
    <n v="1534"/>
    <e v="#NAME?"/>
    <s v="Endometriosis"/>
    <x v="1"/>
    <n v="23"/>
    <s v="Current conditions affecting Medical Eligibility"/>
    <m/>
    <m/>
    <s v="FP.2. Counseling"/>
    <x v="5"/>
    <m/>
    <s v="2.10.5 Screen for medical eligibility"/>
    <m/>
    <s v="FP.DE.452"/>
    <s v="Endometriosis"/>
    <m/>
    <m/>
    <s v="Boolean"/>
    <m/>
    <s v="True/False"/>
    <m/>
    <s v="No"/>
    <m/>
    <s v="Yes"/>
    <s v="C"/>
    <s v="Required during MEC check if MEC classification &gt;   MEC okay to use rating, currently 2] for method selected, skip if gender = male"/>
    <m/>
    <m/>
    <m/>
    <m/>
    <m/>
    <m/>
    <m/>
    <m/>
    <x v="3"/>
    <x v="0"/>
    <m/>
    <m/>
    <m/>
    <x v="2"/>
    <s v="JS"/>
    <s v="MedicalEligibilityConditions"/>
    <m/>
    <m/>
    <s v="Endometriosis"/>
    <s v="Same"/>
    <m/>
    <x v="1"/>
    <e v="#NAME?"/>
    <m/>
    <x v="0"/>
    <m/>
    <m/>
    <s v="x"/>
    <s v="N80.9; N80.0; N80.3;"/>
    <s v="GA10"/>
    <s v="129103003"/>
    <m/>
    <m/>
    <m/>
    <m/>
    <m/>
    <m/>
    <m/>
    <n v="118631"/>
    <m/>
    <m/>
    <m/>
    <m/>
    <m/>
    <m/>
    <x v="2"/>
    <n v="0"/>
    <x v="2"/>
    <x v="49"/>
    <n v="1"/>
    <s v=""/>
    <n v="1"/>
    <n v="1"/>
    <n v="1"/>
    <n v="0"/>
    <n v="0"/>
  </r>
  <r>
    <n v="1535"/>
    <s v="Benign ovarian tumors (including cysts)"/>
    <n v="1535"/>
    <e v="#NAME?"/>
    <s v="Benign ovarian tumors (including cysts)"/>
    <x v="1"/>
    <n v="23"/>
    <s v="Current conditions affecting Medical Eligibility"/>
    <m/>
    <m/>
    <s v="FP.2. Counseling"/>
    <x v="5"/>
    <m/>
    <s v="2.10.5 Screen for medical eligibility"/>
    <m/>
    <s v="FP.DE.453"/>
    <s v="Benign ovarian tumors (including cysts)"/>
    <m/>
    <m/>
    <s v="Boolean"/>
    <m/>
    <s v="True/False"/>
    <m/>
    <s v="No"/>
    <m/>
    <s v="Yes"/>
    <s v="C"/>
    <s v="Skip if gender = male_x000a_Required during MEC check if MEC classification &gt;   MEC okay to use rating, currently 2] for method selected, "/>
    <m/>
    <m/>
    <m/>
    <m/>
    <m/>
    <m/>
    <m/>
    <m/>
    <x v="3"/>
    <x v="0"/>
    <m/>
    <m/>
    <m/>
    <x v="2"/>
    <s v="JS"/>
    <s v="MedicalEligibilityConditions"/>
    <m/>
    <m/>
    <s v="Benign ovarian tumors (including cysts)"/>
    <s v="Same"/>
    <m/>
    <x v="1"/>
    <e v="#NAME?"/>
    <m/>
    <x v="0"/>
    <m/>
    <m/>
    <s v="x"/>
    <s v="N83.20; N83.29"/>
    <m/>
    <m/>
    <m/>
    <m/>
    <m/>
    <m/>
    <m/>
    <m/>
    <m/>
    <m/>
    <m/>
    <m/>
    <m/>
    <m/>
    <m/>
    <m/>
    <x v="2"/>
    <n v="0"/>
    <x v="2"/>
    <x v="49"/>
    <n v="1"/>
    <s v=""/>
    <n v="1"/>
    <n v="1"/>
    <n v="1"/>
    <n v="0"/>
    <n v="0"/>
  </r>
  <r>
    <n v="1536"/>
    <s v="Severe dysmenorrhea"/>
    <n v="1536"/>
    <e v="#NAME?"/>
    <s v="Severe dysmenorrhea"/>
    <x v="1"/>
    <n v="23"/>
    <s v="Current conditions affecting Medical Eligibility"/>
    <m/>
    <m/>
    <s v="FP.2. Counseling"/>
    <x v="5"/>
    <m/>
    <s v="2.10.5 Screen for medical eligibility"/>
    <m/>
    <s v="FP.DE.454"/>
    <s v="Severe dysmenorrhea"/>
    <m/>
    <m/>
    <s v="Boolean"/>
    <m/>
    <s v="True/False"/>
    <m/>
    <s v="No"/>
    <m/>
    <s v="Yes"/>
    <s v="C"/>
    <s v="Skip if gender = male_x000a_Required during MEC check if MEC classification &gt;   MEC okay to use rating, currently 2] for method selected, "/>
    <m/>
    <m/>
    <m/>
    <m/>
    <m/>
    <m/>
    <m/>
    <m/>
    <x v="3"/>
    <x v="0"/>
    <m/>
    <m/>
    <m/>
    <x v="2"/>
    <s v="JS"/>
    <s v="MedicalEligibilityConditions"/>
    <m/>
    <m/>
    <s v="Severe dysmenorrhea"/>
    <s v="Same"/>
    <m/>
    <x v="1"/>
    <e v="#NAME?"/>
    <m/>
    <x v="0"/>
    <m/>
    <m/>
    <m/>
    <s v="N94.6"/>
    <s v="GA34.3"/>
    <s v="266599000"/>
    <m/>
    <m/>
    <m/>
    <m/>
    <m/>
    <m/>
    <m/>
    <n v="118794"/>
    <m/>
    <m/>
    <m/>
    <m/>
    <m/>
    <m/>
    <x v="2"/>
    <n v="0"/>
    <x v="2"/>
    <x v="49"/>
    <n v="1"/>
    <s v=""/>
    <n v="1"/>
    <n v="1"/>
    <n v="1"/>
    <n v="0"/>
    <n v="0"/>
  </r>
  <r>
    <n v="1537"/>
    <s v="Gestational trophoblastic disease"/>
    <n v="1537"/>
    <e v="#NAME?"/>
    <s v="Gestational trophoblastic disease"/>
    <x v="1"/>
    <n v="23"/>
    <s v="Current conditions affecting Medical Eligibility"/>
    <m/>
    <m/>
    <s v="FP.2. Counseling"/>
    <x v="5"/>
    <m/>
    <s v="2.10.5 Screen for medical eligibility"/>
    <m/>
    <s v="FP.DE.377"/>
    <s v="Gestational trophoblastic disease"/>
    <m/>
    <m/>
    <s v="Boolean"/>
    <m/>
    <s v="True/False"/>
    <m/>
    <s v="No"/>
    <m/>
    <s v="Yes"/>
    <s v="C"/>
    <s v="Skip if gender = male_x000a_Skip if Number of pregnancies = 0_x000a_Required during MEC check if MEC classification &gt;   MEC okay to use rating, currently 2] for method selected, "/>
    <m/>
    <m/>
    <m/>
    <m/>
    <m/>
    <m/>
    <m/>
    <m/>
    <x v="3"/>
    <x v="0"/>
    <m/>
    <m/>
    <m/>
    <x v="2"/>
    <s v="JS"/>
    <s v="MedicalEligibilityConditions"/>
    <m/>
    <m/>
    <s v="Gestational trophoblastic disease"/>
    <s v="Same"/>
    <m/>
    <x v="1"/>
    <e v="#NAME?"/>
    <m/>
    <x v="0"/>
    <m/>
    <m/>
    <m/>
    <s v="O01.0"/>
    <s v="JA02.0"/>
    <s v="416402001"/>
    <m/>
    <m/>
    <m/>
    <m/>
    <m/>
    <m/>
    <m/>
    <n v="139478"/>
    <m/>
    <m/>
    <m/>
    <m/>
    <m/>
    <m/>
    <x v="2"/>
    <n v="0"/>
    <x v="2"/>
    <x v="49"/>
    <n v="1"/>
    <s v=""/>
    <n v="1"/>
    <n v="1"/>
    <n v="1"/>
    <n v="0"/>
    <n v="0"/>
  </r>
  <r>
    <n v="1538"/>
    <s v="Gestational trophoblastic disease category"/>
    <n v="1538"/>
    <s v="Gestational trophoblastic disease category"/>
    <s v="Gestational trophoblastic disease category"/>
    <x v="2"/>
    <n v="42"/>
    <s v=""/>
    <m/>
    <m/>
    <s v="FP.2. Counseling"/>
    <x v="5"/>
    <m/>
    <s v="2.10.5 Screen for medical eligibility"/>
    <m/>
    <s v="FP.DE.455"/>
    <s v="Gestational trophoblastic disease category"/>
    <m/>
    <m/>
    <s v="Coding "/>
    <s v="Select one"/>
    <m/>
    <m/>
    <s v="No"/>
    <m/>
    <s v="Yes"/>
    <s v="C"/>
    <s v="Include if FP.DE.377 Gestational trophoblastic disease = TRUE_x000a_Required during MEC check if MEC classification &gt;   MEC okay to use rating, currently 2] for method selected, "/>
    <m/>
    <m/>
    <m/>
    <m/>
    <m/>
    <m/>
    <m/>
    <m/>
    <x v="3"/>
    <x v="0"/>
    <m/>
    <m/>
    <m/>
    <x v="2"/>
    <s v="NA"/>
    <m/>
    <m/>
    <m/>
    <s v="Gestational trophoblastic disease category"/>
    <s v="Same"/>
    <m/>
    <x v="1"/>
    <s v=""/>
    <m/>
    <x v="0"/>
    <m/>
    <m/>
    <m/>
    <s v="O01.0"/>
    <s v="JA02.0"/>
    <s v="416402001"/>
    <m/>
    <m/>
    <m/>
    <m/>
    <m/>
    <m/>
    <m/>
    <n v="139478"/>
    <m/>
    <m/>
    <m/>
    <m/>
    <m/>
    <m/>
    <x v="2"/>
    <s v=""/>
    <x v="3"/>
    <x v="2"/>
    <n v="1"/>
    <s v=""/>
    <n v="1"/>
    <n v="1"/>
    <n v="1"/>
    <n v="0"/>
    <n v="0"/>
  </r>
  <r>
    <n v="1539"/>
    <s v="Gestational trophoblastic disease - Decreasing or undetectable ß-hCG level"/>
    <n v="1539"/>
    <e v="#NAME?"/>
    <s v="Decreasing or undetectable ß-hCG level"/>
    <x v="1"/>
    <n v="23"/>
    <s v="Current conditions affecting Medical Eligibility"/>
    <m/>
    <m/>
    <s v="FP.2. Counseling"/>
    <x v="5"/>
    <m/>
    <s v="2.10.5 Screen for medical eligibility"/>
    <m/>
    <s v="FP.DE.456"/>
    <m/>
    <m/>
    <m/>
    <m/>
    <m/>
    <s v="Decreasing or undetectable ß-hCG level"/>
    <m/>
    <s v="No"/>
    <m/>
    <s v="Yes"/>
    <s v="C"/>
    <s v="Skip if gender != female, Required during MEC check if MEC classification &gt;   MEC okay to use rating, currently 2] for method selected"/>
    <m/>
    <m/>
    <m/>
    <m/>
    <m/>
    <m/>
    <m/>
    <m/>
    <x v="3"/>
    <x v="0"/>
    <m/>
    <m/>
    <m/>
    <x v="2"/>
    <s v="JS"/>
    <s v="MedicalEligibilityConditions"/>
    <m/>
    <m/>
    <s v="       Decreasing or undetectable ß-hCG level"/>
    <s v="Changed"/>
    <m/>
    <x v="1"/>
    <e v="#NAME?"/>
    <m/>
    <x v="0"/>
    <m/>
    <m/>
    <m/>
    <s v="o02.81; 631.0 (ICD9)"/>
    <m/>
    <s v="260371004"/>
    <m/>
    <m/>
    <m/>
    <s v="changein BHCG (May be going up not down); SNOMED_ Decreasing NOT BHCG"/>
    <m/>
    <m/>
    <m/>
    <m/>
    <m/>
    <m/>
    <m/>
    <m/>
    <m/>
    <m/>
    <x v="2"/>
    <n v="0"/>
    <x v="2"/>
    <x v="49"/>
    <n v="1"/>
    <s v=""/>
    <n v="1"/>
    <n v="1"/>
    <n v="1"/>
    <n v="0"/>
    <n v="0"/>
  </r>
  <r>
    <n v="1540"/>
    <s v="Gestational trophoblastic disease - Persistently elevated ß-hCG levels or malignant disease"/>
    <n v="1540"/>
    <e v="#NAME?"/>
    <s v="Persistently elevated ß-hCG levels or malignant disease"/>
    <x v="1"/>
    <n v="23"/>
    <s v="Current conditions affecting Medical Eligibility"/>
    <m/>
    <m/>
    <s v="FP.2. Counseling"/>
    <x v="5"/>
    <m/>
    <s v="2.10.5 Screen for medical eligibility"/>
    <m/>
    <s v="FP.DE.457"/>
    <m/>
    <m/>
    <m/>
    <m/>
    <m/>
    <s v="Persistently elevated ß-hCG levels or malignant disease"/>
    <m/>
    <s v="No"/>
    <m/>
    <s v="Yes"/>
    <s v="C"/>
    <s v="Skip if gender != female, Required during MEC check if MEC classification &gt;   MEC okay to use rating, currently 2] for method selected"/>
    <m/>
    <m/>
    <m/>
    <m/>
    <m/>
    <m/>
    <m/>
    <m/>
    <x v="3"/>
    <x v="0"/>
    <m/>
    <m/>
    <m/>
    <x v="2"/>
    <s v="JS"/>
    <s v="MedicalEligibilityConditions"/>
    <m/>
    <m/>
    <s v="       Persistently elevated ß-hCG levels or malignant disease"/>
    <s v="Changed"/>
    <m/>
    <x v="1"/>
    <e v="#NAME?"/>
    <m/>
    <x v="0"/>
    <m/>
    <m/>
    <m/>
    <m/>
    <m/>
    <s v="40940006"/>
    <m/>
    <m/>
    <m/>
    <s v="SNOMED_- BHCG -no comment on level"/>
    <m/>
    <m/>
    <m/>
    <m/>
    <m/>
    <m/>
    <m/>
    <m/>
    <m/>
    <m/>
    <x v="2"/>
    <n v="0"/>
    <x v="2"/>
    <x v="49"/>
    <n v="1"/>
    <s v=""/>
    <n v="1"/>
    <n v="1"/>
    <n v="1"/>
    <n v="0"/>
    <n v="0"/>
  </r>
  <r>
    <n v="1541"/>
    <s v="Cervical ectropion"/>
    <n v="1541"/>
    <e v="#NAME?"/>
    <s v="Cervical ectropion"/>
    <x v="1"/>
    <n v="23"/>
    <s v="Current conditions affecting Medical Eligibility"/>
    <m/>
    <m/>
    <s v="FP.2. Counseling"/>
    <x v="5"/>
    <m/>
    <s v="2.10.5 Screen for medical eligibility"/>
    <m/>
    <s v="FP.DE.458"/>
    <s v="Cervical ectropion"/>
    <m/>
    <m/>
    <s v="Boolean"/>
    <m/>
    <s v="True/False"/>
    <m/>
    <s v="No"/>
    <m/>
    <s v="Yes"/>
    <s v="C"/>
    <s v="Skip if gender != female, Required during MEC check if MEC classification &gt;   MEC okay to use rating, currently 2] for method selected"/>
    <m/>
    <m/>
    <m/>
    <m/>
    <m/>
    <m/>
    <m/>
    <m/>
    <x v="3"/>
    <x v="0"/>
    <m/>
    <m/>
    <m/>
    <x v="2"/>
    <s v="JS"/>
    <s v="MedicalEligibilityConditions"/>
    <m/>
    <m/>
    <s v="Cervical ectropion"/>
    <s v="Same"/>
    <m/>
    <x v="1"/>
    <e v="#NAME?"/>
    <m/>
    <x v="0"/>
    <m/>
    <m/>
    <s v="x"/>
    <s v="N86"/>
    <m/>
    <m/>
    <m/>
    <m/>
    <m/>
    <m/>
    <m/>
    <m/>
    <m/>
    <m/>
    <m/>
    <m/>
    <m/>
    <m/>
    <m/>
    <m/>
    <x v="2"/>
    <n v="0"/>
    <x v="2"/>
    <x v="49"/>
    <n v="1"/>
    <s v=""/>
    <n v="1"/>
    <n v="1"/>
    <n v="1"/>
    <n v="0"/>
    <n v="0"/>
  </r>
  <r>
    <n v="1542"/>
    <s v="Cervical neoplasia"/>
    <n v="1542"/>
    <e v="#NAME?"/>
    <s v="Cervical neoplasia"/>
    <x v="1"/>
    <n v="23"/>
    <s v="Current conditions affecting Medical Eligibility"/>
    <m/>
    <m/>
    <s v="FP.2. Counseling"/>
    <x v="5"/>
    <m/>
    <s v="2.10.5 Screen for medical eligibility"/>
    <m/>
    <s v="FP.DE.459"/>
    <s v="Cervical neoplasia"/>
    <s v="CIN"/>
    <m/>
    <s v="Boolean"/>
    <m/>
    <s v="True/False"/>
    <m/>
    <s v="No"/>
    <m/>
    <s v="Yes"/>
    <s v="C"/>
    <s v="Skip if gender != female, Required during MEC check if MEC classification &gt;   MEC okay to use rating, currently 2] for method selected"/>
    <m/>
    <m/>
    <m/>
    <m/>
    <m/>
    <m/>
    <m/>
    <m/>
    <x v="3"/>
    <x v="0"/>
    <m/>
    <m/>
    <m/>
    <x v="2"/>
    <s v="JS"/>
    <s v="MedicalEligibilityConditions"/>
    <m/>
    <m/>
    <s v="Cervical neoplasia"/>
    <s v="Same"/>
    <m/>
    <x v="1"/>
    <e v="#NAME?"/>
    <m/>
    <x v="0"/>
    <m/>
    <m/>
    <s v="x"/>
    <s v="C53.0; C53.1; C53.9"/>
    <s v="GA15.7"/>
    <s v="285636001"/>
    <m/>
    <m/>
    <m/>
    <m/>
    <m/>
    <m/>
    <m/>
    <n v="120780"/>
    <m/>
    <m/>
    <m/>
    <m/>
    <m/>
    <m/>
    <x v="2"/>
    <n v="0"/>
    <x v="2"/>
    <x v="49"/>
    <n v="1"/>
    <s v=""/>
    <n v="1"/>
    <n v="1"/>
    <n v="1"/>
    <n v="0"/>
    <n v="0"/>
  </r>
  <r>
    <n v="1543"/>
    <s v="Cervical cancer awaiting treatment"/>
    <n v="1543"/>
    <e v="#NAME?"/>
    <s v="Cervical cancer awaiting treatment"/>
    <x v="1"/>
    <n v="23"/>
    <s v="Current conditions affecting Medical Eligibility"/>
    <m/>
    <m/>
    <s v="FP.2. Counseling"/>
    <x v="5"/>
    <m/>
    <s v="2.10.5 Screen for medical eligibility"/>
    <m/>
    <s v="FP.DE.460"/>
    <s v="Cervical cancer awaiting treatment"/>
    <m/>
    <m/>
    <s v="Boolean"/>
    <m/>
    <s v="True/False"/>
    <m/>
    <s v="No"/>
    <m/>
    <s v="Yes"/>
    <s v="C"/>
    <s v="Skip if gender != female, Required during MEC check if MEC classification &gt;   MEC okay to use rating, currently 2] for method selected"/>
    <m/>
    <m/>
    <m/>
    <m/>
    <s v="MEC. Included in MEC app conditions.csv"/>
    <m/>
    <m/>
    <m/>
    <x v="3"/>
    <x v="0"/>
    <m/>
    <m/>
    <m/>
    <x v="2"/>
    <s v="JS"/>
    <s v="MedicalEligibilityConditions"/>
    <m/>
    <m/>
    <s v="Cervical cancer awaiting treatment"/>
    <s v="Same"/>
    <m/>
    <x v="1"/>
    <e v="#NAME?"/>
    <m/>
    <x v="0"/>
    <m/>
    <m/>
    <m/>
    <s v="Z03.1"/>
    <s v="QA02.2"/>
    <s v="315266007"/>
    <m/>
    <m/>
    <m/>
    <m/>
    <m/>
    <m/>
    <m/>
    <n v="159008"/>
    <m/>
    <m/>
    <m/>
    <m/>
    <m/>
    <m/>
    <x v="2"/>
    <n v="0"/>
    <x v="2"/>
    <x v="49"/>
    <n v="1"/>
    <s v=""/>
    <n v="1"/>
    <n v="1"/>
    <n v="1"/>
    <n v="0"/>
    <n v="0"/>
  </r>
  <r>
    <n v="1544"/>
    <s v="Breast disease"/>
    <n v="1544"/>
    <s v="Breast disease"/>
    <s v="Breast disease"/>
    <x v="2"/>
    <n v="14"/>
    <s v=""/>
    <m/>
    <m/>
    <s v="FP.2. Counseling"/>
    <x v="5"/>
    <m/>
    <s v="2.10.5 Screen for medical eligibility"/>
    <m/>
    <s v="FP.DE.462"/>
    <s v="Breast disease"/>
    <m/>
    <m/>
    <s v="Coding "/>
    <s v="Select all that apply"/>
    <m/>
    <m/>
    <s v="No"/>
    <m/>
    <s v="Yes"/>
    <s v="C"/>
    <s v="Required during MEC check if MEC classification &gt;   MEC okay to use rating, currently 2] for method selected"/>
    <m/>
    <m/>
    <m/>
    <m/>
    <m/>
    <m/>
    <m/>
    <m/>
    <x v="3"/>
    <x v="0"/>
    <m/>
    <m/>
    <m/>
    <x v="2"/>
    <s v="NA"/>
    <m/>
    <m/>
    <m/>
    <s v="Breast disease"/>
    <s v="Same"/>
    <m/>
    <x v="1"/>
    <s v=""/>
    <m/>
    <x v="0"/>
    <m/>
    <m/>
    <m/>
    <m/>
    <m/>
    <s v="79604008"/>
    <m/>
    <m/>
    <m/>
    <s v="nonspecific"/>
    <m/>
    <m/>
    <m/>
    <m/>
    <m/>
    <m/>
    <m/>
    <m/>
    <m/>
    <m/>
    <x v="2"/>
    <s v=""/>
    <x v="3"/>
    <x v="2"/>
    <n v="1"/>
    <s v=""/>
    <n v="1"/>
    <n v="1"/>
    <n v="1"/>
    <n v="0"/>
    <n v="0"/>
  </r>
  <r>
    <n v="1545"/>
    <s v="Breast Disease - Undiagnosed mass"/>
    <n v="1545"/>
    <e v="#NAME?"/>
    <s v="Undiagnosed mass"/>
    <x v="1"/>
    <n v="23"/>
    <s v="Current conditions affecting Medical Eligibility"/>
    <m/>
    <m/>
    <s v="FP.2. Counseling"/>
    <x v="5"/>
    <m/>
    <s v="2.10.5 Screen for medical eligibility"/>
    <m/>
    <s v="FP.DE.463"/>
    <m/>
    <m/>
    <m/>
    <m/>
    <m/>
    <s v="Undiagnosed mass"/>
    <m/>
    <s v="No"/>
    <m/>
    <s v="Yes"/>
    <s v="C"/>
    <s v="Required during MEC check if MEC classification &gt;   MEC okay to use rating, currently 2] for method selected"/>
    <m/>
    <m/>
    <m/>
    <m/>
    <m/>
    <m/>
    <m/>
    <m/>
    <x v="3"/>
    <x v="0"/>
    <m/>
    <m/>
    <m/>
    <x v="2"/>
    <s v="JS"/>
    <s v="MedicalEligibilityConditions"/>
    <m/>
    <m/>
    <s v="       Undiagnosed mass"/>
    <s v="Changed"/>
    <m/>
    <x v="1"/>
    <e v="#NAME?"/>
    <m/>
    <x v="0"/>
    <m/>
    <m/>
    <s v="x"/>
    <s v="N63"/>
    <m/>
    <s v="89164003"/>
    <m/>
    <m/>
    <m/>
    <m/>
    <m/>
    <s v="breast mass"/>
    <m/>
    <m/>
    <m/>
    <m/>
    <m/>
    <m/>
    <m/>
    <m/>
    <x v="2"/>
    <n v="0"/>
    <x v="2"/>
    <x v="49"/>
    <n v="1"/>
    <s v=""/>
    <n v="1"/>
    <n v="1"/>
    <n v="1"/>
    <n v="0"/>
    <n v="0"/>
  </r>
  <r>
    <n v="1546"/>
    <s v="Breast Disease - Benign breast disease"/>
    <n v="1546"/>
    <e v="#NAME?"/>
    <s v="Benign breast disease"/>
    <x v="1"/>
    <n v="23"/>
    <s v="Current conditions affecting Medical Eligibility"/>
    <m/>
    <m/>
    <s v="FP.2. Counseling"/>
    <x v="5"/>
    <m/>
    <s v="2.10.5 Screen for medical eligibility"/>
    <m/>
    <s v="FP.DE.464"/>
    <m/>
    <m/>
    <m/>
    <m/>
    <m/>
    <s v="Benign breast disease"/>
    <m/>
    <s v="No"/>
    <m/>
    <s v="Yes"/>
    <s v="C"/>
    <s v="Required during MEC check if MEC classification &gt;   MEC okay to use rating, currently 2] for method selected"/>
    <m/>
    <m/>
    <m/>
    <m/>
    <m/>
    <m/>
    <m/>
    <m/>
    <x v="3"/>
    <x v="0"/>
    <m/>
    <m/>
    <m/>
    <x v="2"/>
    <s v="JS"/>
    <s v="MedicalEligibilityConditions"/>
    <m/>
    <m/>
    <s v="       Benign breast disease"/>
    <s v="Changed"/>
    <m/>
    <x v="1"/>
    <e v="#NAME?"/>
    <m/>
    <x v="0"/>
    <m/>
    <m/>
    <s v="x"/>
    <m/>
    <m/>
    <s v="419307005"/>
    <m/>
    <m/>
    <m/>
    <m/>
    <m/>
    <m/>
    <m/>
    <m/>
    <m/>
    <m/>
    <m/>
    <m/>
    <m/>
    <m/>
    <x v="2"/>
    <n v="0"/>
    <x v="2"/>
    <x v="49"/>
    <n v="1"/>
    <s v=""/>
    <n v="1"/>
    <n v="1"/>
    <n v="1"/>
    <n v="0"/>
    <n v="0"/>
  </r>
  <r>
    <n v="1548"/>
    <s v="Family history of cancer"/>
    <n v="1548"/>
    <e v="#NAME?"/>
    <s v="Family history of cancer"/>
    <x v="1"/>
    <n v="23"/>
    <s v="Current conditions affecting Medical Eligibility"/>
    <m/>
    <m/>
    <s v="FP.2. Counseling"/>
    <x v="5"/>
    <m/>
    <s v="2.10.5 Screen for medical eligibility"/>
    <m/>
    <s v="FP.DE.466"/>
    <m/>
    <m/>
    <m/>
    <m/>
    <m/>
    <s v="Family history of cancer"/>
    <m/>
    <s v="No"/>
    <m/>
    <s v="Yes"/>
    <s v="C"/>
    <s v="Required during MEC check if MEC classification &gt;   MEC okay to use rating, currently 2] for method selected"/>
    <m/>
    <m/>
    <m/>
    <m/>
    <m/>
    <m/>
    <m/>
    <m/>
    <x v="3"/>
    <x v="0"/>
    <m/>
    <m/>
    <m/>
    <x v="2"/>
    <s v="JS"/>
    <s v="MedicalEligibilityConditions"/>
    <m/>
    <m/>
    <s v="       Family history of cancer"/>
    <s v="Changed"/>
    <m/>
    <x v="1"/>
    <e v="#NAME?"/>
    <m/>
    <x v="0"/>
    <m/>
    <m/>
    <s v="x"/>
    <m/>
    <m/>
    <s v="429740004"/>
    <m/>
    <m/>
    <m/>
    <m/>
    <m/>
    <s v="breast cancer"/>
    <m/>
    <m/>
    <m/>
    <m/>
    <m/>
    <m/>
    <m/>
    <m/>
    <x v="2"/>
    <n v="0"/>
    <x v="2"/>
    <x v="49"/>
    <n v="1"/>
    <s v=""/>
    <n v="1"/>
    <n v="1"/>
    <n v="1"/>
    <n v="0"/>
    <n v="0"/>
  </r>
  <r>
    <n v="1549"/>
    <s v="Breast cancer"/>
    <n v="1549"/>
    <s v="Breast cancer"/>
    <s v="Breast cancer"/>
    <x v="2"/>
    <n v="13"/>
    <s v=""/>
    <m/>
    <m/>
    <s v="FP.2. Counseling"/>
    <x v="5"/>
    <m/>
    <s v="2.10.5 Screen for medical eligibility"/>
    <m/>
    <s v="FP.DE.467"/>
    <s v="Breast cancer"/>
    <m/>
    <m/>
    <s v="Coding "/>
    <s v="Select all that apply"/>
    <m/>
    <m/>
    <s v="No"/>
    <m/>
    <s v="Yes"/>
    <s v="C"/>
    <s v="Include if FP.DE.467 Breast Cancer = TRUE, Required during MEC check if MEC classification &gt;   MEC okay to use rating, currently 2] for method selected"/>
    <m/>
    <m/>
    <m/>
    <m/>
    <m/>
    <m/>
    <m/>
    <m/>
    <x v="3"/>
    <x v="0"/>
    <m/>
    <m/>
    <m/>
    <x v="2"/>
    <s v="NA"/>
    <m/>
    <m/>
    <m/>
    <s v="Breast cancer"/>
    <s v="Same"/>
    <m/>
    <x v="1"/>
    <s v=""/>
    <m/>
    <x v="0"/>
    <m/>
    <m/>
    <m/>
    <s v="D05.9"/>
    <s v="2E+65"/>
    <s v="254837009"/>
    <m/>
    <m/>
    <m/>
    <m/>
    <m/>
    <m/>
    <m/>
    <n v="116025"/>
    <m/>
    <m/>
    <m/>
    <m/>
    <m/>
    <m/>
    <x v="2"/>
    <s v=""/>
    <x v="3"/>
    <x v="2"/>
    <n v="1"/>
    <s v=""/>
    <n v="1"/>
    <n v="1"/>
    <n v="1"/>
    <n v="0"/>
    <n v="0"/>
  </r>
  <r>
    <n v="1550"/>
    <s v="Breast cancer - Current"/>
    <n v="1550"/>
    <e v="#NAME?"/>
    <s v="Current"/>
    <x v="1"/>
    <n v="23"/>
    <s v="Current conditions affecting Medical Eligibility"/>
    <m/>
    <m/>
    <s v="FP.2. Counseling"/>
    <x v="5"/>
    <m/>
    <s v="2.10.5 Screen for medical eligibility"/>
    <m/>
    <s v="FP.DE.468"/>
    <m/>
    <m/>
    <m/>
    <m/>
    <m/>
    <s v="Current"/>
    <m/>
    <s v="No"/>
    <m/>
    <s v="Yes"/>
    <s v="C"/>
    <s v="Required during MEC check if MEC classification &gt;   MEC okay to use rating, currently 2] for method selected"/>
    <m/>
    <m/>
    <m/>
    <m/>
    <m/>
    <m/>
    <m/>
    <m/>
    <x v="3"/>
    <x v="0"/>
    <m/>
    <m/>
    <m/>
    <x v="2"/>
    <s v="JS"/>
    <s v="MedicalEligibilityConditions"/>
    <m/>
    <m/>
    <s v="       Current"/>
    <s v="Changed"/>
    <m/>
    <x v="1"/>
    <e v="#NAME?"/>
    <m/>
    <x v="0"/>
    <m/>
    <m/>
    <s v="x"/>
    <s v="N64.9"/>
    <m/>
    <m/>
    <m/>
    <m/>
    <m/>
    <m/>
    <m/>
    <s v="disorder instead od disease"/>
    <m/>
    <m/>
    <m/>
    <m/>
    <m/>
    <m/>
    <m/>
    <m/>
    <x v="2"/>
    <n v="0"/>
    <x v="2"/>
    <x v="49"/>
    <n v="1"/>
    <s v=""/>
    <n v="1"/>
    <n v="1"/>
    <n v="1"/>
    <n v="0"/>
    <n v="0"/>
  </r>
  <r>
    <n v="1551"/>
    <s v="Breast cancer - Past, no evidence of disease for at least 5 years"/>
    <n v="1551"/>
    <e v="#NAME?"/>
    <s v="Past, no evidence of disease for at least 5 years"/>
    <x v="1"/>
    <n v="23"/>
    <s v="Current conditions affecting Medical Eligibility"/>
    <m/>
    <m/>
    <s v="FP.2. Counseling"/>
    <x v="5"/>
    <m/>
    <s v="2.10.5 Screen for medical eligibility"/>
    <m/>
    <s v="FP.DE.469"/>
    <m/>
    <m/>
    <m/>
    <m/>
    <m/>
    <s v="Past, no evidence of disease for at least 5 years"/>
    <m/>
    <s v="No"/>
    <m/>
    <s v="Yes"/>
    <s v="C"/>
    <s v="Required during MEC check if MEC classification &gt;   MEC okay to use rating, currently 2] for method selected"/>
    <m/>
    <m/>
    <m/>
    <m/>
    <m/>
    <m/>
    <m/>
    <m/>
    <x v="3"/>
    <x v="0"/>
    <m/>
    <m/>
    <m/>
    <x v="2"/>
    <s v="JS"/>
    <s v="MedicalEligibilityConditions"/>
    <m/>
    <m/>
    <s v="       Past, no evidence of disease for at least 5 years"/>
    <s v="Changed"/>
    <m/>
    <x v="1"/>
    <e v="#NAME?"/>
    <m/>
    <x v="0"/>
    <m/>
    <m/>
    <m/>
    <s v="z85.3 plus 5 years"/>
    <m/>
    <m/>
    <m/>
    <m/>
    <m/>
    <m/>
    <m/>
    <m/>
    <m/>
    <m/>
    <m/>
    <m/>
    <m/>
    <m/>
    <m/>
    <m/>
    <x v="2"/>
    <n v="0"/>
    <x v="2"/>
    <x v="49"/>
    <n v="1"/>
    <s v=""/>
    <n v="1"/>
    <n v="1"/>
    <n v="1"/>
    <n v="0"/>
    <n v="0"/>
  </r>
  <r>
    <n v="1552"/>
    <s v="Endometrial cancer"/>
    <n v="1552"/>
    <e v="#NAME?"/>
    <s v="Endometrial cancer"/>
    <x v="1"/>
    <n v="23"/>
    <s v="Current conditions affecting Medical Eligibility"/>
    <m/>
    <m/>
    <s v="FP.2. Counseling"/>
    <x v="5"/>
    <m/>
    <s v="2.10.5 Screen for medical eligibility"/>
    <m/>
    <s v="FP.DE.470"/>
    <s v="Endometrial cancer"/>
    <m/>
    <m/>
    <s v="Boolean"/>
    <m/>
    <s v="True/False"/>
    <m/>
    <s v="No"/>
    <m/>
    <s v="Yes"/>
    <s v="C"/>
    <s v="Skip if gender != female, Required during MEC check if MEC classification &gt;   MEC okay to use rating, currently 2] for method selected"/>
    <m/>
    <m/>
    <m/>
    <m/>
    <m/>
    <m/>
    <m/>
    <m/>
    <x v="3"/>
    <x v="0"/>
    <m/>
    <m/>
    <m/>
    <x v="2"/>
    <s v="JS"/>
    <s v="MedicalEligibilityConditions"/>
    <m/>
    <m/>
    <s v="Endometrial cancer"/>
    <s v="Same"/>
    <m/>
    <x v="1"/>
    <e v="#NAME?"/>
    <m/>
    <x v="0"/>
    <m/>
    <m/>
    <s v="x; may need to include cancer of myometrium/all uterus; need to ask"/>
    <s v="C54.1"/>
    <m/>
    <m/>
    <m/>
    <m/>
    <m/>
    <m/>
    <m/>
    <m/>
    <s v="38"/>
    <m/>
    <m/>
    <m/>
    <m/>
    <m/>
    <m/>
    <m/>
    <x v="2"/>
    <n v="0"/>
    <x v="2"/>
    <x v="49"/>
    <n v="1"/>
    <s v=""/>
    <n v="1"/>
    <n v="1"/>
    <n v="1"/>
    <n v="0"/>
    <n v="0"/>
  </r>
  <r>
    <n v="1553"/>
    <s v="Ovarian cancer"/>
    <n v="1553"/>
    <e v="#NAME?"/>
    <s v="Ovarian cancer"/>
    <x v="1"/>
    <n v="23"/>
    <s v="Current conditions affecting Medical Eligibility"/>
    <m/>
    <m/>
    <s v="FP.2. Counseling"/>
    <x v="5"/>
    <m/>
    <s v="2.10.5 Screen for medical eligibility"/>
    <m/>
    <s v="FP.DE.471"/>
    <s v="Ovarian cancer"/>
    <m/>
    <m/>
    <s v="Boolean"/>
    <m/>
    <s v="True/False"/>
    <m/>
    <s v="No"/>
    <m/>
    <s v="Yes"/>
    <s v="C"/>
    <s v="Skip if gender != female, Required during MEC check if MEC classification &gt;   MEC okay to use rating, currently 2] for method selected"/>
    <m/>
    <m/>
    <m/>
    <m/>
    <m/>
    <m/>
    <m/>
    <m/>
    <x v="3"/>
    <x v="0"/>
    <m/>
    <m/>
    <m/>
    <x v="2"/>
    <s v="JS"/>
    <s v="MedicalEligibilityConditions"/>
    <m/>
    <m/>
    <s v="Ovarian cancer"/>
    <s v="Same"/>
    <m/>
    <x v="1"/>
    <e v="#NAME?"/>
    <m/>
    <x v="0"/>
    <m/>
    <m/>
    <s v="x; may need to include cancer of myometrium/all uterus; need to ask"/>
    <m/>
    <m/>
    <s v="363443007"/>
    <m/>
    <m/>
    <m/>
    <m/>
    <m/>
    <m/>
    <m/>
    <m/>
    <m/>
    <m/>
    <m/>
    <m/>
    <m/>
    <m/>
    <x v="2"/>
    <n v="0"/>
    <x v="2"/>
    <x v="49"/>
    <n v="1"/>
    <s v=""/>
    <n v="1"/>
    <n v="1"/>
    <n v="1"/>
    <n v="0"/>
    <n v="0"/>
  </r>
  <r>
    <n v="1554"/>
    <s v="Uterine fibroids"/>
    <n v="1554"/>
    <s v="Uterine fibroids"/>
    <s v="Uterine fibroids"/>
    <x v="2"/>
    <n v="16"/>
    <s v=""/>
    <m/>
    <m/>
    <s v="FP.2. Counseling"/>
    <x v="5"/>
    <m/>
    <s v="2.10.5 Screen for medical eligibility"/>
    <m/>
    <s v="FP.DE.472"/>
    <s v="Uterine fibroids"/>
    <m/>
    <m/>
    <m/>
    <m/>
    <m/>
    <m/>
    <s v="No"/>
    <m/>
    <s v="Yes"/>
    <s v="C"/>
    <s v="Skip if gender != female, Required during MEC check if MEC classification &gt;   MEC okay to use rating, currently 2] for method selected"/>
    <m/>
    <m/>
    <m/>
    <m/>
    <m/>
    <m/>
    <m/>
    <m/>
    <x v="3"/>
    <x v="0"/>
    <m/>
    <m/>
    <m/>
    <x v="2"/>
    <s v="NA"/>
    <m/>
    <m/>
    <m/>
    <s v="       Uterine fibroids"/>
    <s v="Changed"/>
    <m/>
    <x v="1"/>
    <s v=""/>
    <m/>
    <x v="0"/>
    <m/>
    <m/>
    <s v="check this;l i think that it is d25.9 icd"/>
    <m/>
    <s v="JA84.1"/>
    <s v="35746009"/>
    <m/>
    <m/>
    <m/>
    <m/>
    <m/>
    <m/>
    <m/>
    <n v="123456"/>
    <m/>
    <m/>
    <m/>
    <m/>
    <m/>
    <m/>
    <x v="2"/>
    <s v=""/>
    <x v="3"/>
    <x v="2"/>
    <n v="1"/>
    <s v=""/>
    <n v="1"/>
    <n v="1"/>
    <n v="1"/>
    <n v="0"/>
    <n v="0"/>
  </r>
  <r>
    <n v="1555"/>
    <s v="Uterine fibroids - Without distortion of the uterine cavity"/>
    <n v="1555"/>
    <e v="#NAME?"/>
    <s v="Without distortion of the uterine cavity"/>
    <x v="1"/>
    <n v="23"/>
    <s v="Current conditions affecting Medical Eligibility"/>
    <m/>
    <m/>
    <s v="FP.2. Counseling"/>
    <x v="5"/>
    <m/>
    <s v="2.10.5 Screen for medical eligibility"/>
    <m/>
    <s v="FP.DE.473"/>
    <m/>
    <m/>
    <m/>
    <m/>
    <m/>
    <s v="Without distortion of the uterine cavity"/>
    <m/>
    <s v="No"/>
    <m/>
    <s v="Yes"/>
    <s v="C"/>
    <s v="Skip if gender != female, Required during MEC check if MEC classification &gt;   MEC okay to use rating, currently 2] for method selected"/>
    <m/>
    <m/>
    <m/>
    <m/>
    <m/>
    <m/>
    <m/>
    <m/>
    <x v="3"/>
    <x v="0"/>
    <m/>
    <m/>
    <m/>
    <x v="2"/>
    <s v="JS"/>
    <s v="MedicalEligibilityConditions"/>
    <m/>
    <m/>
    <s v="       Without distortion of the uterine cavity"/>
    <s v="Changed"/>
    <m/>
    <x v="1"/>
    <e v="#NAME?"/>
    <m/>
    <x v="0"/>
    <m/>
    <m/>
    <s v="x; may need to include cancer of myometrium/all uterus; need to ask"/>
    <s v="D25"/>
    <m/>
    <m/>
    <m/>
    <m/>
    <m/>
    <m/>
    <m/>
    <m/>
    <m/>
    <m/>
    <m/>
    <m/>
    <m/>
    <m/>
    <m/>
    <m/>
    <x v="2"/>
    <n v="0"/>
    <x v="2"/>
    <x v="49"/>
    <n v="1"/>
    <s v=""/>
    <n v="1"/>
    <n v="1"/>
    <n v="1"/>
    <n v="0"/>
    <n v="0"/>
  </r>
  <r>
    <n v="1556"/>
    <s v="Uterine fibroids - With distortion of the uterine cavity"/>
    <n v="1556"/>
    <e v="#NAME?"/>
    <s v="With distortion of the uterine cavity"/>
    <x v="1"/>
    <n v="23"/>
    <s v="Current conditions affecting Medical Eligibility"/>
    <m/>
    <m/>
    <s v="FP.2. Counseling"/>
    <x v="5"/>
    <m/>
    <s v="2.10.5 Screen for medical eligibility"/>
    <m/>
    <s v="FP.DE.474"/>
    <m/>
    <m/>
    <m/>
    <m/>
    <m/>
    <s v="With distortion of the uterine cavity"/>
    <m/>
    <s v="No"/>
    <m/>
    <s v="Yes"/>
    <s v="C"/>
    <s v="Skip if gender != female, Required during MEC check if MEC classification &gt;   MEC okay to use rating, currently 2] for method selected"/>
    <m/>
    <m/>
    <m/>
    <m/>
    <m/>
    <m/>
    <m/>
    <m/>
    <x v="3"/>
    <x v="0"/>
    <m/>
    <m/>
    <m/>
    <x v="2"/>
    <s v="JS"/>
    <s v="MedicalEligibilityConditions"/>
    <m/>
    <m/>
    <s v="       With distortion of the uterine cavity"/>
    <s v="Changed"/>
    <m/>
    <x v="1"/>
    <e v="#NAME?"/>
    <m/>
    <x v="0"/>
    <m/>
    <m/>
    <m/>
    <s v="D25"/>
    <m/>
    <s v="_x000a_95315005;44598004"/>
    <m/>
    <m/>
    <m/>
    <s v="snomed- no comment on distortion"/>
    <m/>
    <m/>
    <m/>
    <m/>
    <m/>
    <m/>
    <m/>
    <m/>
    <m/>
    <m/>
    <x v="2"/>
    <n v="0"/>
    <x v="2"/>
    <x v="49"/>
    <n v="1"/>
    <s v=""/>
    <n v="1"/>
    <n v="1"/>
    <n v="1"/>
    <n v="0"/>
    <n v="0"/>
  </r>
  <r>
    <n v="1557"/>
    <s v="Anatomical abnormalities"/>
    <n v="1557"/>
    <s v="Anatomical abnormalities"/>
    <s v="Anatomical abnormalities"/>
    <x v="2"/>
    <n v="24"/>
    <s v=""/>
    <m/>
    <m/>
    <s v="FP.2. Counseling"/>
    <x v="5"/>
    <m/>
    <s v="2.10.5 Screen for medical eligibility"/>
    <m/>
    <s v="FP.DE.475"/>
    <s v="Anatomical abnormalities"/>
    <m/>
    <m/>
    <m/>
    <m/>
    <m/>
    <m/>
    <s v="No"/>
    <m/>
    <s v="Yes"/>
    <s v="C"/>
    <s v="Skip if gender != female, Required during MEC check if MEC classification &gt;   MEC okay to use rating, currently 2] for method selected"/>
    <m/>
    <m/>
    <m/>
    <s v="True/False for distorted uterine cavity"/>
    <m/>
    <m/>
    <m/>
    <m/>
    <x v="3"/>
    <x v="0"/>
    <m/>
    <m/>
    <m/>
    <x v="2"/>
    <s v="NA"/>
    <m/>
    <m/>
    <m/>
    <s v="Anatomical abnormalities"/>
    <s v="Same"/>
    <m/>
    <x v="1"/>
    <s v=""/>
    <m/>
    <x v="0"/>
    <m/>
    <m/>
    <m/>
    <m/>
    <m/>
    <m/>
    <m/>
    <m/>
    <m/>
    <m/>
    <m/>
    <s v=": N85.8"/>
    <m/>
    <m/>
    <m/>
    <m/>
    <m/>
    <m/>
    <m/>
    <m/>
    <x v="2"/>
    <s v=""/>
    <x v="3"/>
    <x v="2"/>
    <n v="1"/>
    <s v=""/>
    <n v="1"/>
    <n v="1"/>
    <n v="1"/>
    <n v="0"/>
    <n v="0"/>
  </r>
  <r>
    <n v="1558"/>
    <s v="       Distorted uterine cavity"/>
    <n v="1558"/>
    <e v="#NAME?"/>
    <s v="Distorted uterine cavity"/>
    <x v="1"/>
    <n v="23"/>
    <s v="Current conditions affecting Medical Eligibility"/>
    <m/>
    <m/>
    <s v="FP.2. Counseling"/>
    <x v="5"/>
    <m/>
    <s v="2.10.5 Screen for medical eligibility"/>
    <m/>
    <s v="FP.DE.476"/>
    <m/>
    <m/>
    <m/>
    <m/>
    <m/>
    <s v="Distorted uterine cavity"/>
    <m/>
    <s v="No"/>
    <m/>
    <s v="Yes"/>
    <s v="C"/>
    <s v="Skip if gender != female, Required during MEC check if MEC classification &gt;   MEC okay to use rating, currently 2] for method selected"/>
    <m/>
    <m/>
    <m/>
    <m/>
    <m/>
    <m/>
    <m/>
    <m/>
    <x v="3"/>
    <x v="0"/>
    <m/>
    <m/>
    <m/>
    <x v="2"/>
    <s v="JS"/>
    <s v="MedicalEligibilityConditions"/>
    <m/>
    <m/>
    <s v="       Distorted uterine cavity"/>
    <s v="Same"/>
    <m/>
    <x v="1"/>
    <e v="#NAME?"/>
    <m/>
    <x v="0"/>
    <m/>
    <m/>
    <m/>
    <m/>
    <m/>
    <s v="20967005"/>
    <m/>
    <m/>
    <m/>
    <m/>
    <s v="x"/>
    <s v="Decided to use distortion vs. a more specific term given context of question"/>
    <m/>
    <m/>
    <m/>
    <m/>
    <m/>
    <m/>
    <m/>
    <m/>
    <x v="2"/>
    <n v="0"/>
    <x v="2"/>
    <x v="49"/>
    <n v="1"/>
    <s v=""/>
    <n v="1"/>
    <n v="1"/>
    <n v="1"/>
    <n v="0"/>
    <n v="0"/>
  </r>
  <r>
    <n v="1559"/>
    <s v="       Other abnormalities"/>
    <n v="1559"/>
    <e v="#NAME?"/>
    <s v="Other abnormalities not distorting the uterine cavity or interfering with IUD insertion (including cervical stenosis or lacerations)"/>
    <x v="1"/>
    <n v="23"/>
    <s v="Current conditions affecting Medical Eligibility"/>
    <m/>
    <m/>
    <s v="FP.2. Counseling"/>
    <x v="5"/>
    <m/>
    <s v="2.10.5 Screen for medical eligibility"/>
    <m/>
    <s v="FP.DE.477"/>
    <m/>
    <m/>
    <s v="Other abnormalities not distorting the uterine cavity or interfering with IUD insertion (including cervical stenosis or lacerations)"/>
    <m/>
    <m/>
    <s v="Other abnormalities not distorting the uterine cavity or interfering with IUD insertion (including cervical stenosis or lacerations)"/>
    <m/>
    <s v="No"/>
    <m/>
    <s v="Yes"/>
    <s v="C"/>
    <s v="Skip if gender != female, Required during MEC check if MEC classification &gt;   MEC okay to use rating, currently 2] for method selected"/>
    <m/>
    <m/>
    <m/>
    <m/>
    <m/>
    <m/>
    <m/>
    <m/>
    <x v="3"/>
    <x v="0"/>
    <m/>
    <m/>
    <m/>
    <x v="2"/>
    <s v="JS"/>
    <s v="MedicalEligibilityConditions"/>
    <m/>
    <m/>
    <s v="       Other abnormalities not distorting the uterine cavity or interfering with IUD insertion (including cervical stenosis or lacerations)"/>
    <s v="Changed"/>
    <m/>
    <x v="1"/>
    <e v="#NAME?"/>
    <m/>
    <x v="0"/>
    <m/>
    <m/>
    <m/>
    <m/>
    <m/>
    <s v="118956008"/>
    <m/>
    <m/>
    <m/>
    <m/>
    <s v="x"/>
    <m/>
    <m/>
    <m/>
    <m/>
    <m/>
    <m/>
    <m/>
    <m/>
    <m/>
    <x v="2"/>
    <n v="0"/>
    <x v="2"/>
    <x v="49"/>
    <n v="1"/>
    <s v=""/>
    <n v="1"/>
    <n v="1"/>
    <n v="1"/>
    <n v="0"/>
    <n v="0"/>
  </r>
  <r>
    <n v="1560"/>
    <s v="Pelvic inflammatory disease (PID)"/>
    <n v="1560"/>
    <s v="Pelvic inflammatory disease (PID)"/>
    <s v="Pelvic inflammatory disease (PID)"/>
    <x v="2"/>
    <n v="33"/>
    <s v=""/>
    <m/>
    <m/>
    <s v="FP.2. Counseling"/>
    <x v="5"/>
    <m/>
    <s v="2.10.5 Screen for medical eligibility"/>
    <m/>
    <s v="FP.DE.237"/>
    <s v="Pelvic inflammatory disease (PID)"/>
    <m/>
    <m/>
    <s v="Coding "/>
    <s v="Select all that apply"/>
    <m/>
    <m/>
    <s v="No"/>
    <m/>
    <s v="Yes"/>
    <s v="C"/>
    <s v="Skip if gender != female, Required during MEC check if MEC classification &gt;   MEC okay to use rating, currently 2] for method selected"/>
    <m/>
    <m/>
    <m/>
    <s v="What about if there are risk factors for STIs?"/>
    <m/>
    <m/>
    <m/>
    <m/>
    <x v="3"/>
    <x v="0"/>
    <m/>
    <m/>
    <m/>
    <x v="2"/>
    <s v="NA"/>
    <m/>
    <m/>
    <m/>
    <s v="Pelvic inflammatory disease (PID)"/>
    <s v="Same"/>
    <m/>
    <x v="1"/>
    <s v=""/>
    <m/>
    <x v="0"/>
    <m/>
    <m/>
    <s v="x"/>
    <s v="N73.9"/>
    <s v="GA05"/>
    <s v="198130006"/>
    <m/>
    <m/>
    <m/>
    <m/>
    <m/>
    <m/>
    <m/>
    <n v="902"/>
    <m/>
    <m/>
    <m/>
    <m/>
    <m/>
    <m/>
    <x v="2"/>
    <s v=""/>
    <x v="3"/>
    <x v="2"/>
    <n v="1"/>
    <s v=""/>
    <n v="1"/>
    <n v="1"/>
    <n v="1"/>
    <n v="0"/>
    <n v="0"/>
  </r>
  <r>
    <n v="1561"/>
    <s v="History of pelvic inflammation"/>
    <n v="1561"/>
    <e v="#NAME?"/>
    <s v="History of"/>
    <x v="1"/>
    <n v="23"/>
    <s v="Current conditions affecting Medical Eligibility"/>
    <m/>
    <m/>
    <s v="FP.2. Counseling"/>
    <x v="5"/>
    <m/>
    <s v="2.10.5 Screen for medical eligibility"/>
    <m/>
    <s v="FP.DE.478"/>
    <m/>
    <m/>
    <m/>
    <m/>
    <m/>
    <s v="History of"/>
    <m/>
    <s v="No"/>
    <m/>
    <s v="Yes"/>
    <s v="C"/>
    <s v="Include if Pelvic Inflammatory Disease  = TRUE and Required during MEC check if MEC classification &gt;   MEC okay to use rating, currently 2] for method selected"/>
    <m/>
    <m/>
    <m/>
    <m/>
    <m/>
    <m/>
    <m/>
    <m/>
    <x v="3"/>
    <x v="0"/>
    <m/>
    <m/>
    <m/>
    <x v="2"/>
    <s v="JS"/>
    <s v="MedicalEligibilityConditions"/>
    <m/>
    <m/>
    <s v="       History of"/>
    <s v="Changed"/>
    <m/>
    <x v="1"/>
    <e v="#NAME?"/>
    <m/>
    <x v="0"/>
    <m/>
    <m/>
    <s v="x"/>
    <s v="N73.9"/>
    <m/>
    <m/>
    <m/>
    <m/>
    <m/>
    <m/>
    <m/>
    <m/>
    <m/>
    <m/>
    <m/>
    <m/>
    <m/>
    <m/>
    <m/>
    <m/>
    <x v="2"/>
    <n v="0"/>
    <x v="2"/>
    <x v="49"/>
    <n v="1"/>
    <s v=""/>
    <n v="1"/>
    <n v="1"/>
    <n v="1"/>
    <n v="0"/>
    <n v="0"/>
  </r>
  <r>
    <n v="1562"/>
    <s v="Current pelvic inflammation"/>
    <n v="1562"/>
    <e v="#NAME?"/>
    <s v="Current "/>
    <x v="1"/>
    <n v="23"/>
    <s v="Current conditions affecting Medical Eligibility"/>
    <m/>
    <m/>
    <s v="FP.2. Counseling"/>
    <x v="5"/>
    <m/>
    <s v="2.10.5 Screen for medical eligibility"/>
    <m/>
    <s v="FP.DE.479"/>
    <m/>
    <m/>
    <m/>
    <m/>
    <m/>
    <s v="Current "/>
    <m/>
    <s v="No"/>
    <m/>
    <s v="Yes"/>
    <s v="C"/>
    <s v="Include if Pelvic Inflammatory Disease  = TRUE and Required during MEC check if MEC classification &gt;   MEC okay to use rating, currently 2] for method selected"/>
    <m/>
    <m/>
    <m/>
    <m/>
    <m/>
    <m/>
    <m/>
    <m/>
    <x v="3"/>
    <x v="0"/>
    <m/>
    <m/>
    <m/>
    <x v="2"/>
    <s v="JS"/>
    <s v="MedicalEligibilityConditions"/>
    <m/>
    <m/>
    <s v="       Current "/>
    <s v="Changed"/>
    <m/>
    <x v="1"/>
    <e v="#NAME?"/>
    <m/>
    <x v="0"/>
    <m/>
    <m/>
    <s v="x"/>
    <s v="N73.9"/>
    <m/>
    <m/>
    <m/>
    <m/>
    <m/>
    <m/>
    <m/>
    <m/>
    <m/>
    <m/>
    <m/>
    <m/>
    <m/>
    <m/>
    <m/>
    <m/>
    <x v="2"/>
    <n v="0"/>
    <x v="2"/>
    <x v="49"/>
    <n v="1"/>
    <s v=""/>
    <n v="1"/>
    <n v="1"/>
    <n v="1"/>
    <n v="0"/>
    <n v="0"/>
  </r>
  <r>
    <n v="1563"/>
    <s v="Sexually transmitted infections (STIs)"/>
    <n v="1563"/>
    <s v="Sexually transmitted infections (STIs)"/>
    <s v="Sexually transmitted infections (STIs)"/>
    <x v="2"/>
    <n v="38"/>
    <s v=""/>
    <m/>
    <m/>
    <s v="FP.2. Counseling"/>
    <x v="7"/>
    <m/>
    <s v="2.10.5 Screen for medical eligibility"/>
    <m/>
    <s v="FP.DE.238"/>
    <s v="Sexually transmitted infections (STIs)"/>
    <s v="STI"/>
    <m/>
    <s v="Coding "/>
    <s v="Select all that apply"/>
    <m/>
    <m/>
    <s v="No"/>
    <m/>
    <s v="Yes"/>
    <s v="C"/>
    <s v="Required during MEC check if MEC classification &gt;   MEC okay to use rating, currently 2] for method selected"/>
    <m/>
    <m/>
    <m/>
    <m/>
    <m/>
    <m/>
    <m/>
    <m/>
    <x v="3"/>
    <x v="0"/>
    <m/>
    <m/>
    <m/>
    <x v="2"/>
    <s v="NA"/>
    <m/>
    <m/>
    <m/>
    <s v="Sexually transmitted infections (STIs)"/>
    <s v="Same"/>
    <m/>
    <x v="1"/>
    <s v=""/>
    <m/>
    <x v="2"/>
    <m/>
    <m/>
    <m/>
    <m/>
    <m/>
    <m/>
    <m/>
    <m/>
    <s v="No terminology code required"/>
    <m/>
    <m/>
    <m/>
    <m/>
    <m/>
    <m/>
    <m/>
    <m/>
    <m/>
    <m/>
    <m/>
    <x v="2"/>
    <s v=""/>
    <x v="3"/>
    <x v="2"/>
    <n v="1"/>
    <s v=""/>
    <n v="1"/>
    <n v="1"/>
    <n v="1"/>
    <n v="0"/>
    <n v="0"/>
  </r>
  <r>
    <n v="1564"/>
    <s v="Current gonorrhea"/>
    <n v="1564"/>
    <e v="#NAME?"/>
    <s v="Current gonorrhea"/>
    <x v="1"/>
    <n v="23"/>
    <s v="Current conditions affecting Medical Eligibility"/>
    <m/>
    <m/>
    <s v="FP.2. Counseling"/>
    <x v="7"/>
    <m/>
    <s v="2.10.5 Screen for medical eligibility"/>
    <m/>
    <s v="FP.DE.480"/>
    <m/>
    <m/>
    <m/>
    <m/>
    <m/>
    <s v="Current gonorrhea"/>
    <m/>
    <s v="No"/>
    <m/>
    <s v="Yes"/>
    <s v="C"/>
    <s v="Required during MEC check if MEC classification &gt;   MEC okay to use rating, currently 2] for method selected"/>
    <m/>
    <m/>
    <m/>
    <s v="MEC. Included in MEC app conditions.csv"/>
    <s v="MEC"/>
    <m/>
    <m/>
    <m/>
    <x v="3"/>
    <x v="0"/>
    <m/>
    <m/>
    <m/>
    <x v="2"/>
    <s v="JS"/>
    <s v="MedicalEligibilityConditions"/>
    <m/>
    <m/>
    <s v="       Current gonorrhea"/>
    <s v="Changed"/>
    <m/>
    <x v="1"/>
    <e v="#NAME?"/>
    <m/>
    <x v="0"/>
    <m/>
    <m/>
    <m/>
    <s v="A54.9"/>
    <s v="1A7Z"/>
    <s v="15628003"/>
    <m/>
    <m/>
    <m/>
    <m/>
    <m/>
    <m/>
    <m/>
    <n v="117767"/>
    <m/>
    <m/>
    <m/>
    <m/>
    <m/>
    <m/>
    <x v="2"/>
    <n v="0"/>
    <x v="2"/>
    <x v="49"/>
    <n v="1"/>
    <s v=""/>
    <n v="1"/>
    <n v="1"/>
    <n v="1"/>
    <n v="0"/>
    <n v="0"/>
  </r>
  <r>
    <n v="1565"/>
    <s v="Current chlamydia"/>
    <n v="1565"/>
    <e v="#NAME?"/>
    <s v="Current chlamydia"/>
    <x v="1"/>
    <n v="23"/>
    <s v="Current conditions affecting Medical Eligibility"/>
    <m/>
    <m/>
    <s v="FP.2. Counseling"/>
    <x v="7"/>
    <m/>
    <s v="2.10.5 Screen for medical eligibility"/>
    <m/>
    <s v="FP.DE.481"/>
    <m/>
    <m/>
    <m/>
    <m/>
    <m/>
    <s v="Current chlamydia"/>
    <m/>
    <s v="No"/>
    <m/>
    <s v="Yes"/>
    <s v="C"/>
    <s v="Required during MEC check if MEC classification &gt;   MEC okay to use rating, currently 2] for method selected"/>
    <m/>
    <m/>
    <m/>
    <s v="MEC. Included in MEC app conditions.csv"/>
    <s v="MEC"/>
    <m/>
    <m/>
    <m/>
    <x v="3"/>
    <x v="0"/>
    <m/>
    <m/>
    <m/>
    <x v="2"/>
    <s v="JS"/>
    <s v="MedicalEligibilityConditions"/>
    <m/>
    <m/>
    <s v="       Current chlamydia"/>
    <s v="Changed"/>
    <m/>
    <x v="1"/>
    <e v="#NAME?"/>
    <m/>
    <x v="0"/>
    <m/>
    <m/>
    <m/>
    <s v="A74.9"/>
    <s v="1C2Z"/>
    <s v="16241000"/>
    <m/>
    <m/>
    <m/>
    <m/>
    <m/>
    <m/>
    <m/>
    <n v="120733"/>
    <m/>
    <m/>
    <m/>
    <m/>
    <m/>
    <m/>
    <x v="2"/>
    <n v="0"/>
    <x v="2"/>
    <x v="49"/>
    <n v="1"/>
    <s v=""/>
    <n v="1"/>
    <n v="1"/>
    <n v="1"/>
    <n v="0"/>
    <n v="0"/>
  </r>
  <r>
    <n v="1566"/>
    <s v="Current purulent cervicitis"/>
    <n v="1566"/>
    <e v="#NAME?"/>
    <s v="Current purulent cervicitis"/>
    <x v="1"/>
    <n v="23"/>
    <s v="Current conditions affecting Medical Eligibility"/>
    <m/>
    <m/>
    <s v="FP.2. Counseling"/>
    <x v="7"/>
    <m/>
    <s v="2.10.5 Screen for medical eligibility"/>
    <m/>
    <s v="FP.DE.482"/>
    <m/>
    <m/>
    <m/>
    <m/>
    <m/>
    <s v="Current purulent cervicitis"/>
    <m/>
    <s v="No"/>
    <m/>
    <s v="Yes"/>
    <s v="C"/>
    <s v="Required during MEC check if MEC classification &gt;   MEC okay to use rating, currently 2] for method selected"/>
    <m/>
    <m/>
    <m/>
    <m/>
    <m/>
    <m/>
    <m/>
    <m/>
    <x v="3"/>
    <x v="0"/>
    <m/>
    <m/>
    <m/>
    <x v="2"/>
    <s v="JS"/>
    <s v="MedicalEligibilityConditions"/>
    <m/>
    <m/>
    <s v="       Current purulent cervicitis"/>
    <s v="Changed"/>
    <m/>
    <x v="1"/>
    <e v="#NAME?"/>
    <m/>
    <x v="0"/>
    <m/>
    <m/>
    <m/>
    <s v="n72(non venereal); a56.09; a54.03; a59.09"/>
    <m/>
    <m/>
    <m/>
    <m/>
    <m/>
    <s v="needs a value set"/>
    <m/>
    <m/>
    <m/>
    <m/>
    <m/>
    <m/>
    <m/>
    <m/>
    <m/>
    <m/>
    <x v="2"/>
    <n v="0"/>
    <x v="2"/>
    <x v="49"/>
    <n v="1"/>
    <s v=""/>
    <n v="1"/>
    <n v="1"/>
    <n v="1"/>
    <n v="0"/>
    <n v="0"/>
  </r>
  <r>
    <n v="1567"/>
    <s v="Other STIs (excluding HIV and hepatitis)"/>
    <n v="1567"/>
    <e v="#NAME?"/>
    <s v="Other STIs (excluding HIV and hepatitis)"/>
    <x v="1"/>
    <n v="23"/>
    <s v="Current conditions affecting Medical Eligibility"/>
    <m/>
    <m/>
    <s v="FP.2. Counseling"/>
    <x v="7"/>
    <m/>
    <s v="2.10.5 Screen for medical eligibility"/>
    <m/>
    <s v="FP.DE.483"/>
    <m/>
    <m/>
    <m/>
    <m/>
    <m/>
    <s v="Other STIs (excluding HIV and hepatitis)"/>
    <m/>
    <s v="No"/>
    <m/>
    <s v="Yes"/>
    <s v="C"/>
    <s v="Required during MEC check if MEC classification &gt;   MEC okay to use rating, currently 2] for method selected"/>
    <m/>
    <m/>
    <m/>
    <m/>
    <m/>
    <m/>
    <m/>
    <m/>
    <x v="3"/>
    <x v="0"/>
    <m/>
    <m/>
    <m/>
    <x v="2"/>
    <s v="JS"/>
    <s v="MedicalEligibilityConditions"/>
    <m/>
    <m/>
    <s v="       Other STIs (excluding HIV and hepatitis)"/>
    <s v="Changed"/>
    <m/>
    <x v="1"/>
    <e v="#NAME?"/>
    <m/>
    <x v="0"/>
    <m/>
    <m/>
    <m/>
    <s v="A64"/>
    <m/>
    <m/>
    <m/>
    <m/>
    <m/>
    <m/>
    <s v="x"/>
    <m/>
    <m/>
    <m/>
    <m/>
    <m/>
    <m/>
    <m/>
    <m/>
    <m/>
    <x v="2"/>
    <n v="0"/>
    <x v="2"/>
    <x v="49"/>
    <n v="1"/>
    <s v=""/>
    <n v="1"/>
    <n v="1"/>
    <n v="1"/>
    <n v="0"/>
    <n v="0"/>
  </r>
  <r>
    <n v="1568"/>
    <s v="Vaginitis (including trichomonas and bacterial vaginosis)"/>
    <n v="1568"/>
    <e v="#NAME?"/>
    <s v="Vaginitis (including trichomonas vaginalis and bacterial vaginosis)"/>
    <x v="1"/>
    <n v="23"/>
    <s v="Current conditions affecting Medical Eligibility"/>
    <m/>
    <m/>
    <s v="FP.2. Counseling"/>
    <x v="7"/>
    <m/>
    <s v="2.10.5 Screen for medical eligibility"/>
    <m/>
    <s v="FP.DE.201"/>
    <m/>
    <m/>
    <s v="Vaginitis (including trichomonas vaginalis and bacterial vaginosis)"/>
    <m/>
    <m/>
    <s v="Vaginitis (including trichomonas vaginalis and bacterial vaginosis)"/>
    <m/>
    <s v="Yes"/>
    <s v="Gender = Female"/>
    <s v="Yes"/>
    <s v="C"/>
    <s v="Skip if gender = male, Required during MEC check if MEC classification &gt;   MEC okay to use rating, currently 2] for method selected"/>
    <m/>
    <m/>
    <m/>
    <s v="MEC. Included in MEC app conditions.csv"/>
    <s v="MEC"/>
    <m/>
    <m/>
    <m/>
    <x v="3"/>
    <x v="0"/>
    <m/>
    <m/>
    <m/>
    <x v="2"/>
    <s v="JS"/>
    <s v="MedicalEligibilityConditions"/>
    <m/>
    <m/>
    <s v="       Vaginitis (including trichomonas vaginalis and bacterial vaginosis)"/>
    <s v="Changed"/>
    <m/>
    <x v="1"/>
    <e v="#NAME?"/>
    <m/>
    <x v="0"/>
    <m/>
    <m/>
    <s v="x; acute"/>
    <s v="N76.0"/>
    <m/>
    <s v="30800001"/>
    <m/>
    <m/>
    <m/>
    <m/>
    <m/>
    <m/>
    <m/>
    <m/>
    <m/>
    <m/>
    <m/>
    <m/>
    <m/>
    <m/>
    <x v="2"/>
    <n v="0"/>
    <x v="2"/>
    <x v="49"/>
    <n v="1"/>
    <s v=""/>
    <n v="1"/>
    <n v="1"/>
    <n v="1"/>
    <n v="0"/>
    <n v="0"/>
  </r>
  <r>
    <n v="1569"/>
    <s v="Header - Increased risk of STIs"/>
    <n v="1569"/>
    <s v="Increased risk of STIs"/>
    <s v="Increased risk of STIs"/>
    <x v="2"/>
    <n v="31"/>
    <s v=""/>
    <m/>
    <m/>
    <s v="FP.2. Counseling"/>
    <x v="7"/>
    <m/>
    <s v="2.10.5 Screen for medical eligibility"/>
    <m/>
    <s v="FP.DE.044"/>
    <s v="Increased risk of STIs"/>
    <s v="Increased risk of STIs"/>
    <s v="Identified at a high risk for STIs based on a risk assessment."/>
    <s v="Coding "/>
    <s v="Select all that apply"/>
    <s v="Increased risk of STIs"/>
    <m/>
    <s v="No"/>
    <m/>
    <s v="Yes"/>
    <s v="C"/>
    <s v="Include if Pelvic Inflammatory Disease  = TRUE and Required during MEC check if MEC classification &gt;   MEC okay to use rating, currently 2] for method selected"/>
    <m/>
    <m/>
    <m/>
    <s v="MEC. Included in MEC app conditions.csv"/>
    <s v="MEC"/>
    <m/>
    <m/>
    <m/>
    <x v="3"/>
    <x v="0"/>
    <m/>
    <m/>
    <m/>
    <x v="2"/>
    <s v="NA"/>
    <m/>
    <m/>
    <m/>
    <s v="Increased risk of STIs"/>
    <s v="Changed"/>
    <m/>
    <x v="1"/>
    <s v="&quot;Increased risk of STIs&quot;-&gt;&quot;Header - Increased risk of STIs&quot;"/>
    <m/>
    <x v="0"/>
    <m/>
    <m/>
    <s v="use high risk sexual behavior"/>
    <s v="Z72.5; Z72.51; Z72.52; Z72.53"/>
    <m/>
    <m/>
    <m/>
    <m/>
    <m/>
    <m/>
    <m/>
    <m/>
    <m/>
    <m/>
    <m/>
    <m/>
    <m/>
    <m/>
    <m/>
    <m/>
    <x v="2"/>
    <s v=""/>
    <x v="3"/>
    <x v="2"/>
    <n v="1"/>
    <s v=""/>
    <n v="1"/>
    <n v="1"/>
    <n v="1"/>
    <n v="0"/>
    <n v="0"/>
  </r>
  <r>
    <n v="1570"/>
    <s v="High likelihood of gonorrhoea "/>
    <n v="1570"/>
    <s v="High likelihood of gonorrhoea "/>
    <s v="High likelihood of gonorrhoea "/>
    <x v="0"/>
    <n v="30"/>
    <s v=""/>
    <m/>
    <m/>
    <s v="FP.2. Counseling"/>
    <x v="7"/>
    <m/>
    <s v="2.10.5 Screen for medical eligibility"/>
    <m/>
    <s v="FP.DE.484"/>
    <m/>
    <m/>
    <m/>
    <m/>
    <m/>
    <s v="High likelihood of gonorrhoea "/>
    <m/>
    <s v="No"/>
    <m/>
    <s v="Yes"/>
    <s v="C"/>
    <s v="Required during MEC check if MEC classification &gt;   MEC okay to use rating, currently 2] for method selected"/>
    <m/>
    <m/>
    <m/>
    <s v="MEC. Included in MEC app conditions.csv"/>
    <s v="MEC"/>
    <m/>
    <m/>
    <m/>
    <x v="25"/>
    <x v="0"/>
    <s v="FHIR"/>
    <s v="4.0.1"/>
    <m/>
    <x v="2"/>
    <s v="NA"/>
    <m/>
    <m/>
    <m/>
    <s v="       High likelihood of gonorrhoea "/>
    <s v="Changed"/>
    <m/>
    <x v="1"/>
    <s v=""/>
    <m/>
    <x v="2"/>
    <m/>
    <m/>
    <s v="use high risk sexual behavior"/>
    <s v="Z72.5; Z72.51; Z72.52; Z72.53"/>
    <m/>
    <m/>
    <m/>
    <m/>
    <m/>
    <m/>
    <m/>
    <m/>
    <m/>
    <m/>
    <m/>
    <m/>
    <m/>
    <m/>
    <m/>
    <m/>
    <x v="2"/>
    <s v=""/>
    <x v="3"/>
    <x v="12"/>
    <n v="1"/>
    <n v="0"/>
    <n v="1"/>
    <n v="1"/>
    <n v="1"/>
    <n v="0"/>
    <n v="0"/>
  </r>
  <r>
    <n v="1571"/>
    <s v="High likelihood of chlamydia"/>
    <n v="1571"/>
    <s v="High likelihood of chlamydia"/>
    <s v="High likelihood of chlamydia"/>
    <x v="0"/>
    <n v="28"/>
    <s v=""/>
    <m/>
    <m/>
    <s v="FP.2. Counseling"/>
    <x v="7"/>
    <m/>
    <s v="2.10.5 Screen for medical eligibility"/>
    <m/>
    <s v="FP.DE.485"/>
    <m/>
    <m/>
    <m/>
    <m/>
    <m/>
    <s v="High likelihood of chlamydia"/>
    <m/>
    <s v="No"/>
    <m/>
    <s v="Yes"/>
    <s v="C"/>
    <s v="Required during MEC check if MEC classification &gt;   MEC okay to use rating, currently 2] for method selected"/>
    <m/>
    <m/>
    <m/>
    <m/>
    <s v="MEC"/>
    <m/>
    <m/>
    <m/>
    <x v="25"/>
    <x v="0"/>
    <s v="FHIR"/>
    <s v="4.0.1"/>
    <m/>
    <x v="2"/>
    <s v="NA"/>
    <m/>
    <m/>
    <m/>
    <s v="       High likelihood of chlamydia"/>
    <s v="Changed"/>
    <m/>
    <x v="1"/>
    <s v=""/>
    <m/>
    <x v="2"/>
    <m/>
    <m/>
    <s v="use high risk sexual behavior"/>
    <s v="Z72.5; Z72.51; Z72.52; Z72.53"/>
    <m/>
    <m/>
    <m/>
    <m/>
    <m/>
    <m/>
    <m/>
    <m/>
    <m/>
    <m/>
    <m/>
    <m/>
    <m/>
    <m/>
    <m/>
    <m/>
    <x v="2"/>
    <s v=""/>
    <x v="3"/>
    <x v="12"/>
    <n v="1"/>
    <n v="0"/>
    <n v="1"/>
    <n v="1"/>
    <n v="1"/>
    <n v="0"/>
    <n v="0"/>
  </r>
  <r>
    <n v="1866"/>
    <s v="HIV"/>
    <n v="1866"/>
    <s v="HIV"/>
    <s v="HIV"/>
    <x v="0"/>
    <n v="3"/>
    <s v=""/>
    <m/>
    <m/>
    <s v="FP.2. Counseling"/>
    <x v="10"/>
    <m/>
    <s v="2.10.5 Screen for medical eligibility"/>
    <m/>
    <s v="FP.DE.486"/>
    <s v="HIV"/>
    <m/>
    <m/>
    <m/>
    <m/>
    <m/>
    <m/>
    <s v="No"/>
    <m/>
    <s v="Yes"/>
    <s v="C"/>
    <s v="Required during MEC check if MEC classification &gt;   MEC okay to use rating, currently 2] for method selected"/>
    <m/>
    <m/>
    <m/>
    <m/>
    <s v="MEC"/>
    <m/>
    <m/>
    <s v=""/>
    <x v="3"/>
    <x v="0"/>
    <m/>
    <m/>
    <m/>
    <x v="2"/>
    <s v="NA"/>
    <m/>
    <m/>
    <m/>
    <m/>
    <s v=""/>
    <m/>
    <x v="1"/>
    <s v=""/>
    <m/>
    <x v="2"/>
    <m/>
    <s v=""/>
    <s v="maybe use high risk sexual behavior"/>
    <s v="Z71.7"/>
    <s v=""/>
    <s v="19030005"/>
    <m/>
    <m/>
    <s v=""/>
    <s v="needs value set"/>
    <m/>
    <s v=""/>
    <s v=""/>
    <s v=""/>
    <s v=""/>
    <s v=""/>
    <s v=""/>
    <m/>
    <m/>
    <m/>
    <x v="2"/>
    <s v=""/>
    <x v="3"/>
    <x v="12"/>
    <n v="1"/>
    <n v="1"/>
    <n v="0"/>
    <n v="0"/>
    <n v="1"/>
    <n v="1"/>
    <n v="0"/>
  </r>
  <r>
    <n v="1573"/>
    <s v="High risk of HIV"/>
    <n v="1573"/>
    <e v="#NAME?"/>
    <s v="High risk of HIV"/>
    <x v="1"/>
    <n v="16"/>
    <s v="Observations affecting Medical Eligibility"/>
    <m/>
    <m/>
    <s v="FP.2. Counseling"/>
    <x v="7"/>
    <m/>
    <s v="2.10.5 Screen for medical eligibility"/>
    <m/>
    <s v="FP.DE.487"/>
    <m/>
    <m/>
    <m/>
    <m/>
    <m/>
    <s v="High risk of HIV"/>
    <m/>
    <s v="No"/>
    <m/>
    <s v="Yes"/>
    <s v="C"/>
    <s v="Required during MEC check if MEC classification &gt;   MEC okay to use rating, currently 2] for method selected"/>
    <m/>
    <m/>
    <m/>
    <m/>
    <s v="MEC"/>
    <m/>
    <m/>
    <m/>
    <x v="3"/>
    <x v="0"/>
    <m/>
    <m/>
    <m/>
    <x v="2"/>
    <s v="JS"/>
    <s v="MedicalEligibilityObservations"/>
    <m/>
    <m/>
    <s v="       High risk of HIV"/>
    <s v="Changed"/>
    <m/>
    <x v="1"/>
    <e v="#NAME?"/>
    <m/>
    <x v="0"/>
    <m/>
    <m/>
    <m/>
    <s v="z72.51"/>
    <m/>
    <s v="723509005"/>
    <m/>
    <m/>
    <m/>
    <s v="sNOMED high risk (not HIV) ; ICD10 high risk hetero-- needs value set for all high risk behavior"/>
    <m/>
    <m/>
    <m/>
    <m/>
    <m/>
    <m/>
    <m/>
    <m/>
    <m/>
    <m/>
    <x v="2"/>
    <n v="0"/>
    <x v="2"/>
    <x v="48"/>
    <n v="1"/>
    <s v=""/>
    <n v="1"/>
    <n v="1"/>
    <n v="1"/>
    <n v="0"/>
    <n v="0"/>
  </r>
  <r>
    <n v="1574"/>
    <s v="Other Reproductive Tract Infection"/>
    <n v="1574"/>
    <s v="Other Reproductive Tract Infection"/>
    <s v="Other Reproductive Tract Infection"/>
    <x v="2"/>
    <n v="34"/>
    <s v=""/>
    <m/>
    <m/>
    <s v="FP.2. Counseling"/>
    <x v="5"/>
    <m/>
    <s v="2.10.5 Screen for medical eligibility"/>
    <m/>
    <s v="FP.DE.488"/>
    <s v="Other Reproductive Tract Infection"/>
    <m/>
    <m/>
    <s v="Boolean"/>
    <m/>
    <s v="True/False"/>
    <m/>
    <s v="No"/>
    <m/>
    <s v="Yes"/>
    <s v="C"/>
    <s v="Required during MEC check if MEC classification &gt;   MEC okay to use rating, currently 2] for method selected"/>
    <m/>
    <m/>
    <m/>
    <m/>
    <s v="MEC"/>
    <m/>
    <m/>
    <m/>
    <x v="3"/>
    <x v="9"/>
    <m/>
    <s v=" "/>
    <s v=" "/>
    <x v="2"/>
    <s v="NA"/>
    <m/>
    <m/>
    <m/>
    <s v="Other Reproductive Tract Infection"/>
    <s v="Same"/>
    <m/>
    <x v="1"/>
    <s v=""/>
    <m/>
    <x v="2"/>
    <m/>
    <m/>
    <m/>
    <m/>
    <m/>
    <m/>
    <m/>
    <m/>
    <s v="No terminology code required"/>
    <m/>
    <m/>
    <m/>
    <m/>
    <m/>
    <m/>
    <m/>
    <m/>
    <m/>
    <m/>
    <m/>
    <x v="2"/>
    <s v=""/>
    <x v="3"/>
    <x v="2"/>
    <n v="1"/>
    <s v=""/>
    <n v="1"/>
    <n v="1"/>
    <n v="1"/>
    <n v="0"/>
    <n v="0"/>
  </r>
  <r>
    <n v="1575"/>
    <s v="Toxic shock syndrome"/>
    <n v="1575"/>
    <e v="#NAME?"/>
    <s v="Toxic shock syndrome"/>
    <x v="1"/>
    <n v="23"/>
    <s v="Current conditions affecting Medical Eligibility"/>
    <m/>
    <m/>
    <s v="FP.2. Counseling"/>
    <x v="5"/>
    <m/>
    <s v="2.10.5 Screen for medical eligibility"/>
    <m/>
    <s v="FP.DE.202"/>
    <m/>
    <m/>
    <m/>
    <m/>
    <m/>
    <s v="Toxic shock syndrome"/>
    <m/>
    <s v="Yes"/>
    <m/>
    <s v="Yes"/>
    <s v="C"/>
    <s v="Required during MEC check if MEC classification &gt;   MEC okay to use rating, currently 2] for method selected"/>
    <m/>
    <m/>
    <m/>
    <m/>
    <s v="MEC"/>
    <m/>
    <m/>
    <m/>
    <x v="3"/>
    <x v="0"/>
    <m/>
    <m/>
    <m/>
    <x v="2"/>
    <s v="JS"/>
    <s v="MedicalEligibilityConditions"/>
    <m/>
    <m/>
    <s v="       Toxic shock syndrome"/>
    <s v="Changed"/>
    <m/>
    <x v="1"/>
    <e v="#NAME?"/>
    <m/>
    <x v="0"/>
    <m/>
    <m/>
    <s v="x"/>
    <s v="A48.3"/>
    <m/>
    <m/>
    <m/>
    <m/>
    <m/>
    <m/>
    <m/>
    <m/>
    <m/>
    <m/>
    <m/>
    <m/>
    <m/>
    <m/>
    <m/>
    <m/>
    <x v="2"/>
    <n v="0"/>
    <x v="2"/>
    <x v="49"/>
    <n v="1"/>
    <s v=""/>
    <n v="1"/>
    <n v="1"/>
    <n v="1"/>
    <n v="0"/>
    <n v="0"/>
  </r>
  <r>
    <n v="1576"/>
    <s v="Candidiasis"/>
    <n v="1576"/>
    <e v="#NAME?"/>
    <s v="Candidiasis"/>
    <x v="1"/>
    <n v="23"/>
    <s v="Current conditions affecting Medical Eligibility"/>
    <m/>
    <m/>
    <s v="FP.2. Counseling"/>
    <x v="5"/>
    <m/>
    <s v="2.10.5 Screen for medical eligibility"/>
    <m/>
    <s v="FP.DE.200"/>
    <m/>
    <m/>
    <m/>
    <m/>
    <m/>
    <s v="Candidiasis"/>
    <m/>
    <s v="No"/>
    <m/>
    <s v="Yes"/>
    <s v="C"/>
    <s v="Required during MEC check if MEC classification &gt;   MEC okay to use rating, currently 2] for method selected"/>
    <m/>
    <m/>
    <m/>
    <m/>
    <s v="MEC"/>
    <m/>
    <m/>
    <m/>
    <x v="3"/>
    <x v="0"/>
    <m/>
    <m/>
    <m/>
    <x v="2"/>
    <s v="NA"/>
    <s v="MedicalEligibilityConditions"/>
    <m/>
    <m/>
    <s v="       Candidiasis"/>
    <s v="Changed"/>
    <m/>
    <x v="1"/>
    <e v="#NAME?"/>
    <m/>
    <x v="2"/>
    <m/>
    <m/>
    <s v="x"/>
    <s v="B37.3"/>
    <m/>
    <s v="72934000"/>
    <s v="12275-4 "/>
    <m/>
    <m/>
    <m/>
    <m/>
    <m/>
    <m/>
    <m/>
    <m/>
    <m/>
    <m/>
    <m/>
    <m/>
    <m/>
    <x v="2"/>
    <n v="0"/>
    <x v="2"/>
    <x v="49"/>
    <n v="1"/>
    <s v=""/>
    <n v="1"/>
    <n v="1"/>
    <n v="1"/>
    <n v="0"/>
    <n v="0"/>
  </r>
  <r>
    <n v="1577"/>
    <s v="Urinary tract infection"/>
    <n v="1577"/>
    <e v="#NAME?"/>
    <s v="Urinary tract infection"/>
    <x v="1"/>
    <n v="23"/>
    <s v="Current conditions affecting Medical Eligibility"/>
    <m/>
    <m/>
    <s v="FP.2. Counseling"/>
    <x v="5"/>
    <m/>
    <s v="2.10.5 Screen for medical eligibility"/>
    <s v="ST.DE.360"/>
    <s v="FP.DE.203"/>
    <m/>
    <s v="UTI"/>
    <m/>
    <m/>
    <m/>
    <s v="Urinary tract infection"/>
    <m/>
    <s v="No"/>
    <m/>
    <s v="Yes"/>
    <s v="C"/>
    <s v="Required during MEC check if MEC classification &gt;   MEC okay to use rating, currently 2] for method selected"/>
    <m/>
    <m/>
    <m/>
    <m/>
    <s v="MEC"/>
    <m/>
    <m/>
    <m/>
    <x v="3"/>
    <x v="0"/>
    <m/>
    <m/>
    <m/>
    <x v="2"/>
    <s v="JS"/>
    <s v="MedicalEligibilityConditions"/>
    <m/>
    <m/>
    <s v="       Urinary tract infection"/>
    <s v="Changed"/>
    <m/>
    <x v="1"/>
    <e v="#NAME?"/>
    <s v="Ready for testing"/>
    <x v="1"/>
    <m/>
    <m/>
    <s v="x"/>
    <s v="N39.0"/>
    <m/>
    <s v="68566005"/>
    <m/>
    <m/>
    <m/>
    <m/>
    <m/>
    <m/>
    <m/>
    <m/>
    <m/>
    <m/>
    <m/>
    <m/>
    <m/>
    <m/>
    <x v="2"/>
    <n v="0"/>
    <x v="2"/>
    <x v="49"/>
    <n v="1"/>
    <s v=""/>
    <n v="1"/>
    <n v="1"/>
    <n v="1"/>
    <n v="0"/>
    <n v="0"/>
  </r>
  <r>
    <n v="1919"/>
    <s v="Urinary tract infection"/>
    <n v="1919"/>
    <e v="#NAME?"/>
    <s v="Urinary tract infection"/>
    <x v="1"/>
    <n v="23"/>
    <s v="Current conditions affecting Medical Eligibility"/>
    <m/>
    <m/>
    <s v="ST.2 Consultation"/>
    <x v="5"/>
    <m/>
    <m/>
    <s v="ST.DE.360"/>
    <s v="FP.DE.203"/>
    <m/>
    <s v="UTI"/>
    <m/>
    <m/>
    <m/>
    <s v="Urinary tract infection"/>
    <m/>
    <s v="No"/>
    <m/>
    <s v="Yes"/>
    <s v="C"/>
    <s v="Required during MEC check if MEC classification &gt;   MEC okay to use rating, currently 2] for method selected"/>
    <m/>
    <m/>
    <m/>
    <m/>
    <s v="MEC"/>
    <m/>
    <m/>
    <m/>
    <x v="3"/>
    <x v="0"/>
    <m/>
    <m/>
    <m/>
    <x v="2"/>
    <s v="JS"/>
    <s v="MedicalEligibilityConditions"/>
    <m/>
    <m/>
    <s v="       Urinary tract infection"/>
    <s v="Changed"/>
    <m/>
    <x v="2"/>
    <e v="#NAME?"/>
    <s v="Ready for testing"/>
    <x v="1"/>
    <m/>
    <m/>
    <s v="x"/>
    <s v="N39.0"/>
    <m/>
    <s v="68566005"/>
    <m/>
    <m/>
    <m/>
    <m/>
    <m/>
    <m/>
    <m/>
    <m/>
    <m/>
    <m/>
    <m/>
    <m/>
    <m/>
    <m/>
    <x v="2"/>
    <n v="0"/>
    <x v="2"/>
    <x v="49"/>
    <n v="1"/>
    <s v=""/>
    <n v="1"/>
    <n v="1"/>
    <n v="1"/>
    <n v="0"/>
    <n v="0"/>
  </r>
  <r>
    <n v="1578"/>
    <s v="Schistosomiasis"/>
    <n v="1578"/>
    <s v="Schistosomiasis"/>
    <s v="Schistosomiasis"/>
    <x v="2"/>
    <n v="15"/>
    <s v=""/>
    <m/>
    <m/>
    <s v="FP.2. Counseling"/>
    <x v="11"/>
    <m/>
    <s v="2.10.5 Screen for medical eligibility"/>
    <m/>
    <s v="FP.DE.489"/>
    <s v="Schistosomiasis"/>
    <m/>
    <m/>
    <s v="Boolean"/>
    <m/>
    <s v="True/False"/>
    <m/>
    <s v="No"/>
    <m/>
    <s v="Yes"/>
    <s v="C"/>
    <s v="Required during MEC check if MEC classification &gt;   MEC okay to use rating, currently 2] for method selected"/>
    <m/>
    <m/>
    <m/>
    <m/>
    <s v="MEC"/>
    <m/>
    <m/>
    <m/>
    <x v="3"/>
    <x v="0"/>
    <m/>
    <m/>
    <m/>
    <x v="2"/>
    <s v="NA"/>
    <m/>
    <m/>
    <m/>
    <s v="Schistosomiasis"/>
    <s v="Same"/>
    <m/>
    <x v="1"/>
    <s v=""/>
    <m/>
    <x v="2"/>
    <m/>
    <m/>
    <m/>
    <s v="B65.9"/>
    <s v="1F86"/>
    <s v="10087007"/>
    <m/>
    <m/>
    <s v="No terminology code required"/>
    <m/>
    <m/>
    <m/>
    <m/>
    <n v="117152"/>
    <m/>
    <m/>
    <m/>
    <m/>
    <m/>
    <m/>
    <x v="2"/>
    <s v=""/>
    <x v="3"/>
    <x v="2"/>
    <n v="1"/>
    <s v=""/>
    <n v="1"/>
    <n v="1"/>
    <n v="1"/>
    <n v="0"/>
    <n v="0"/>
  </r>
  <r>
    <n v="1579"/>
    <s v="Schistosomiasis - Uncomplicated"/>
    <n v="1579"/>
    <e v="#NAME?"/>
    <s v="Uncomplicated"/>
    <x v="1"/>
    <n v="23"/>
    <s v="Current conditions affecting Medical Eligibility"/>
    <m/>
    <m/>
    <s v="FP.2. Counseling"/>
    <x v="11"/>
    <m/>
    <s v="2.10.5 Screen for medical eligibility"/>
    <m/>
    <s v="FP.DE.490"/>
    <m/>
    <m/>
    <m/>
    <m/>
    <m/>
    <s v="Uncomplicated"/>
    <m/>
    <s v="No"/>
    <m/>
    <s v="Yes"/>
    <s v="C"/>
    <s v="Required during MEC check if MEC classification &gt;   MEC okay to use rating, currently 2] for method selected"/>
    <m/>
    <m/>
    <m/>
    <m/>
    <s v="MEC"/>
    <m/>
    <m/>
    <m/>
    <x v="3"/>
    <x v="0"/>
    <m/>
    <m/>
    <m/>
    <x v="2"/>
    <s v="JS"/>
    <s v="MedicalEligibilityConditions"/>
    <m/>
    <m/>
    <s v="       Uncomplicated"/>
    <s v="Changed"/>
    <m/>
    <x v="1"/>
    <e v="#NAME?"/>
    <m/>
    <x v="0"/>
    <m/>
    <m/>
    <m/>
    <s v="B65.9"/>
    <m/>
    <m/>
    <m/>
    <m/>
    <m/>
    <m/>
    <m/>
    <s v="No term for &quot;uncomplicated&quot; schistosomiasis. If that's important, they'll need a new term."/>
    <m/>
    <m/>
    <m/>
    <m/>
    <m/>
    <m/>
    <m/>
    <m/>
    <x v="2"/>
    <n v="0"/>
    <x v="2"/>
    <x v="49"/>
    <n v="1"/>
    <s v=""/>
    <n v="1"/>
    <n v="1"/>
    <n v="1"/>
    <n v="0"/>
    <n v="0"/>
  </r>
  <r>
    <n v="1580"/>
    <s v="Schistosomiasis - Fibrosis of liver"/>
    <n v="1580"/>
    <e v="#NAME?"/>
    <s v="Fibrosis of liver"/>
    <x v="1"/>
    <n v="23"/>
    <s v="Current conditions affecting Medical Eligibility"/>
    <m/>
    <m/>
    <s v="FP.2. Counseling"/>
    <x v="11"/>
    <m/>
    <s v="2.10.5 Screen for medical eligibility"/>
    <m/>
    <s v="FP.DE.491"/>
    <m/>
    <m/>
    <m/>
    <m/>
    <m/>
    <s v="Fibrosis of liver"/>
    <m/>
    <s v="No"/>
    <m/>
    <s v="Yes"/>
    <s v="C"/>
    <s v="Required during MEC check if MEC classification &gt;   MEC okay to use rating, currently 2] for method selected"/>
    <m/>
    <m/>
    <m/>
    <m/>
    <s v="MEC"/>
    <m/>
    <m/>
    <m/>
    <x v="3"/>
    <x v="0"/>
    <m/>
    <m/>
    <m/>
    <x v="2"/>
    <s v="JS"/>
    <s v="MedicalEligibilityConditions"/>
    <m/>
    <m/>
    <s v="       Fibrosis of liver"/>
    <s v="Changed"/>
    <m/>
    <x v="1"/>
    <e v="#NAME?"/>
    <m/>
    <x v="0"/>
    <m/>
    <m/>
    <m/>
    <m/>
    <m/>
    <s v="240792005"/>
    <m/>
    <m/>
    <m/>
    <m/>
    <m/>
    <s v="Fibrosis of the liver from schistosomiasis is called &quot;Symmer's pipestem fibrosis&quot; and that is what I mapped to here. There is a SNOMED 240789006 or 90753004 that refer to schistosomiasis involving the liver (not necessarily fibrosis)"/>
    <m/>
    <m/>
    <m/>
    <m/>
    <m/>
    <m/>
    <m/>
    <m/>
    <x v="2"/>
    <n v="0"/>
    <x v="2"/>
    <x v="49"/>
    <n v="1"/>
    <s v=""/>
    <n v="1"/>
    <n v="1"/>
    <n v="1"/>
    <n v="0"/>
    <n v="0"/>
  </r>
  <r>
    <n v="1581"/>
    <s v="Tuberculosis"/>
    <n v="1581"/>
    <s v="Tuberculosis"/>
    <s v="Tuberculosis"/>
    <x v="2"/>
    <n v="12"/>
    <s v=""/>
    <m/>
    <m/>
    <s v="FP.2. Counseling"/>
    <x v="11"/>
    <m/>
    <s v="2.10.5 Screen for medical eligibility"/>
    <m/>
    <s v="FP.DE.492"/>
    <s v="Tuberculosis"/>
    <m/>
    <m/>
    <s v="Boolean"/>
    <m/>
    <s v="True/False"/>
    <m/>
    <s v="No"/>
    <m/>
    <s v="Yes"/>
    <s v="C"/>
    <s v="Required during MEC check if MEC classification &gt;   MEC okay to use rating, currently 2] for method selected"/>
    <m/>
    <m/>
    <m/>
    <m/>
    <s v="MEC"/>
    <m/>
    <m/>
    <m/>
    <x v="3"/>
    <x v="0"/>
    <m/>
    <m/>
    <m/>
    <x v="2"/>
    <s v="NA"/>
    <m/>
    <m/>
    <m/>
    <s v="Tuberculosis"/>
    <s v="Same"/>
    <m/>
    <x v="1"/>
    <s v=""/>
    <m/>
    <x v="2"/>
    <m/>
    <m/>
    <s v="active or history of? "/>
    <m/>
    <m/>
    <s v="56717001"/>
    <m/>
    <m/>
    <s v="No terminology code required"/>
    <m/>
    <m/>
    <s v="UMLS maps &quot;Personal history of TB&quot; to Z86.11; however, I don't see this in WHO's ICD10 browser."/>
    <s v="67"/>
    <m/>
    <m/>
    <m/>
    <m/>
    <m/>
    <m/>
    <m/>
    <x v="2"/>
    <s v=""/>
    <x v="3"/>
    <x v="2"/>
    <n v="1"/>
    <s v=""/>
    <n v="1"/>
    <n v="1"/>
    <n v="1"/>
    <n v="0"/>
    <n v="0"/>
  </r>
  <r>
    <n v="1582"/>
    <s v="Tuberculosis - Non-pelvic"/>
    <n v="1582"/>
    <e v="#NAME?"/>
    <s v="Non-pelvic"/>
    <x v="1"/>
    <n v="23"/>
    <s v="Current conditions affecting Medical Eligibility"/>
    <m/>
    <m/>
    <s v="FP.2. Counseling"/>
    <x v="11"/>
    <m/>
    <s v="2.10.5 Screen for medical eligibility"/>
    <m/>
    <s v="FP.DE.493"/>
    <m/>
    <m/>
    <m/>
    <m/>
    <m/>
    <s v="Non-pelvic"/>
    <m/>
    <s v="No"/>
    <m/>
    <s v="Yes"/>
    <s v="C"/>
    <s v="Required during MEC check if MEC classification &gt;   MEC okay to use rating, currently 2] for method selected"/>
    <m/>
    <m/>
    <m/>
    <m/>
    <s v="MEC"/>
    <m/>
    <m/>
    <m/>
    <x v="3"/>
    <x v="0"/>
    <m/>
    <m/>
    <m/>
    <x v="2"/>
    <s v="JS"/>
    <s v="MedicalEligibilityConditions"/>
    <m/>
    <m/>
    <s v="       Non-pelvic"/>
    <s v="Changed"/>
    <m/>
    <x v="1"/>
    <e v="#NAME?"/>
    <m/>
    <x v="0"/>
    <s v="http://who.int/cg/CodeSystem/extended-content"/>
    <s v="Tuberculosis - Non-pelvic"/>
    <m/>
    <m/>
    <m/>
    <m/>
    <m/>
    <m/>
    <s v="No SNOMED code available"/>
    <m/>
    <m/>
    <s v="There are codes for TB and pelvic TB, but no code for &quot;anything but pelvic TB&quot;."/>
    <m/>
    <m/>
    <m/>
    <m/>
    <m/>
    <m/>
    <m/>
    <m/>
    <x v="2"/>
    <n v="0"/>
    <x v="2"/>
    <x v="49"/>
    <n v="1"/>
    <s v=""/>
    <n v="1"/>
    <n v="1"/>
    <n v="1"/>
    <n v="0"/>
    <n v="0"/>
  </r>
  <r>
    <n v="1583"/>
    <s v="Tuberculosis - Known pelvic"/>
    <n v="1583"/>
    <e v="#NAME?"/>
    <s v="Known pelvic"/>
    <x v="1"/>
    <n v="23"/>
    <s v="Current conditions affecting Medical Eligibility"/>
    <m/>
    <m/>
    <s v="FP.2. Counseling"/>
    <x v="11"/>
    <m/>
    <s v="2.10.5 Screen for medical eligibility"/>
    <m/>
    <s v="FP.DE.494"/>
    <m/>
    <m/>
    <s v="Female tuberculous pelvic inflammatory disease (disorder)"/>
    <m/>
    <m/>
    <s v="Known pelvic"/>
    <m/>
    <s v="Yes"/>
    <m/>
    <s v="Yes"/>
    <s v="C"/>
    <s v="Required during MEC check if MEC classification &gt;   MEC okay to use rating, currently 2] for method selected"/>
    <m/>
    <m/>
    <m/>
    <m/>
    <s v="MEC"/>
    <m/>
    <m/>
    <m/>
    <x v="3"/>
    <x v="0"/>
    <m/>
    <m/>
    <m/>
    <x v="2"/>
    <s v="JS"/>
    <s v="MedicalEligibilityConditions"/>
    <m/>
    <m/>
    <s v="       Known pelvic"/>
    <s v="Changed"/>
    <m/>
    <x v="1"/>
    <e v="#NAME?"/>
    <m/>
    <x v="0"/>
    <m/>
    <m/>
    <m/>
    <m/>
    <m/>
    <s v="203271005"/>
    <m/>
    <m/>
    <m/>
    <m/>
    <m/>
    <m/>
    <m/>
    <m/>
    <m/>
    <m/>
    <m/>
    <m/>
    <m/>
    <m/>
    <x v="2"/>
    <n v="0"/>
    <x v="2"/>
    <x v="49"/>
    <n v="1"/>
    <s v=""/>
    <n v="1"/>
    <n v="1"/>
    <n v="1"/>
    <n v="0"/>
    <n v="0"/>
  </r>
  <r>
    <n v="1584"/>
    <s v="Malaria"/>
    <n v="1584"/>
    <e v="#NAME?"/>
    <s v="Malaria"/>
    <x v="1"/>
    <n v="23"/>
    <s v="Current conditions affecting Medical Eligibility"/>
    <m/>
    <m/>
    <s v="FP.2. Counseling"/>
    <x v="11"/>
    <m/>
    <s v="2.10.5 Screen for medical eligibility"/>
    <m/>
    <s v="FP.DE.495"/>
    <s v="Malaria"/>
    <m/>
    <m/>
    <s v="Boolean"/>
    <m/>
    <s v="True/False"/>
    <m/>
    <s v="No"/>
    <m/>
    <s v="Yes"/>
    <s v="C"/>
    <s v="Required during MEC check if MEC classification &gt;   MEC okay to use rating, currently 2] for method selected"/>
    <m/>
    <m/>
    <m/>
    <m/>
    <s v="MEC"/>
    <m/>
    <m/>
    <m/>
    <x v="3"/>
    <x v="0"/>
    <m/>
    <m/>
    <m/>
    <x v="2"/>
    <s v="JS"/>
    <s v="MedicalEligibilityConditions"/>
    <m/>
    <m/>
    <s v="Malaria"/>
    <s v="Same"/>
    <m/>
    <x v="1"/>
    <e v="#NAME?"/>
    <m/>
    <x v="0"/>
    <m/>
    <m/>
    <m/>
    <s v="B54"/>
    <s v="1F4Z"/>
    <s v="61462000"/>
    <m/>
    <m/>
    <m/>
    <m/>
    <m/>
    <m/>
    <m/>
    <n v="116128"/>
    <m/>
    <m/>
    <m/>
    <m/>
    <m/>
    <m/>
    <x v="2"/>
    <n v="0"/>
    <x v="2"/>
    <x v="49"/>
    <n v="1"/>
    <s v=""/>
    <n v="1"/>
    <n v="1"/>
    <n v="1"/>
    <n v="0"/>
    <n v="0"/>
  </r>
  <r>
    <n v="1585"/>
    <s v="Infection at the puncture or incision site"/>
    <n v="1585"/>
    <e v="#NAME?"/>
    <s v="Infection at the puncture or incision site"/>
    <x v="1"/>
    <n v="42"/>
    <s v="Observations affecting Medical Eligibility"/>
    <m/>
    <m/>
    <s v="FP.2. Counseling"/>
    <x v="11"/>
    <m/>
    <s v="2.10.5 Screen for medical eligibility"/>
    <m/>
    <s v="FP.DE.217"/>
    <m/>
    <m/>
    <m/>
    <m/>
    <m/>
    <s v="Infection at the puncture or incision site"/>
    <m/>
    <s v="No"/>
    <m/>
    <s v="Yes"/>
    <s v="C"/>
    <s v="Required during MEC check if MEC classification &gt;   MEC okay to use rating, currently 2] for method selected"/>
    <m/>
    <m/>
    <m/>
    <m/>
    <s v="MEC"/>
    <m/>
    <m/>
    <m/>
    <x v="3"/>
    <x v="0"/>
    <m/>
    <m/>
    <m/>
    <x v="2"/>
    <s v="JS"/>
    <s v="MedicalEligibilityObservations"/>
    <m/>
    <m/>
    <s v="       Infection at the puncture or incision site"/>
    <s v="Changed"/>
    <m/>
    <x v="1"/>
    <e v="#NAME?"/>
    <m/>
    <x v="0"/>
    <m/>
    <m/>
    <m/>
    <m/>
    <m/>
    <s v="58126003"/>
    <m/>
    <m/>
    <m/>
    <m/>
    <m/>
    <m/>
    <m/>
    <m/>
    <m/>
    <m/>
    <m/>
    <m/>
    <m/>
    <m/>
    <x v="2"/>
    <n v="0"/>
    <x v="2"/>
    <x v="48"/>
    <n v="1"/>
    <s v=""/>
    <n v="1"/>
    <n v="1"/>
    <n v="1"/>
    <n v="0"/>
    <n v="0"/>
  </r>
  <r>
    <n v="1586"/>
    <s v="Certain serious health conditions"/>
    <n v="1586"/>
    <e v="#NAME?"/>
    <s v="Certain serious health conditions"/>
    <x v="1"/>
    <n v="23"/>
    <s v="Current conditions affecting Medical Eligibility"/>
    <m/>
    <m/>
    <s v="FP.2. Counseling"/>
    <x v="11"/>
    <m/>
    <s v="2.10.5 Screen for medical eligibility"/>
    <m/>
    <s v="FP.DE.221"/>
    <m/>
    <m/>
    <m/>
    <m/>
    <m/>
    <s v="Certain serious health conditions"/>
    <m/>
    <s v="No"/>
    <m/>
    <s v="Yes"/>
    <s v="C"/>
    <s v="Required during MEC check if MEC classification &gt;   MEC okay to use rating, currently 2] for method selected"/>
    <m/>
    <m/>
    <m/>
    <m/>
    <s v="MEC"/>
    <m/>
    <m/>
    <m/>
    <x v="3"/>
    <x v="0"/>
    <m/>
    <m/>
    <m/>
    <x v="2"/>
    <s v="NA"/>
    <s v="MedicalEligibilityConditions"/>
    <m/>
    <m/>
    <s v="       Certain serious health conditions"/>
    <s v="Changed"/>
    <m/>
    <x v="1"/>
    <e v="#NAME?"/>
    <m/>
    <x v="2"/>
    <m/>
    <m/>
    <m/>
    <m/>
    <m/>
    <s v="715949008"/>
    <m/>
    <m/>
    <m/>
    <m/>
    <m/>
    <m/>
    <m/>
    <m/>
    <m/>
    <m/>
    <m/>
    <m/>
    <m/>
    <m/>
    <x v="2"/>
    <n v="0"/>
    <x v="2"/>
    <x v="49"/>
    <n v="1"/>
    <s v=""/>
    <n v="1"/>
    <n v="1"/>
    <n v="1"/>
    <n v="0"/>
    <n v="0"/>
  </r>
  <r>
    <n v="1587"/>
    <s v="Circumstances that will keep from walking for one week or more"/>
    <n v="1587"/>
    <e v="#NAME?"/>
    <s v="Circumstances that will keep her from walking for one week or more"/>
    <x v="1"/>
    <n v="23"/>
    <s v="Current conditions affecting Medical Eligibility"/>
    <m/>
    <m/>
    <s v="FP.2. Counseling"/>
    <x v="11"/>
    <m/>
    <s v="2.10.5 Screen for medical eligibility"/>
    <m/>
    <s v="FP.DE.222"/>
    <m/>
    <m/>
    <s v="Circumstances that will keep her from walking for one week or more"/>
    <m/>
    <m/>
    <s v="Circumstances that will keep her from walking for one week or more"/>
    <m/>
    <s v="No"/>
    <m/>
    <s v="Yes"/>
    <s v="C"/>
    <s v="Required during MEC check if MEC classification &gt;   MEC okay to use rating, currently 2] for method selected"/>
    <m/>
    <m/>
    <m/>
    <m/>
    <s v="MEC"/>
    <m/>
    <m/>
    <m/>
    <x v="3"/>
    <x v="0"/>
    <m/>
    <m/>
    <m/>
    <x v="2"/>
    <s v="NA"/>
    <s v="MedicalEligibilityConditions"/>
    <m/>
    <m/>
    <s v="       Circumstances that will keep her from walking for one week or more"/>
    <s v="Changed"/>
    <m/>
    <x v="1"/>
    <e v="#NAME?"/>
    <m/>
    <x v="2"/>
    <m/>
    <m/>
    <m/>
    <s v="R26.2"/>
    <m/>
    <s v="719232003"/>
    <m/>
    <m/>
    <m/>
    <m/>
    <m/>
    <s v="Mapped to &quot;Difficulty walking&quot;. Not an exact match, but a new term would be needed for such a specific term."/>
    <m/>
    <m/>
    <m/>
    <m/>
    <m/>
    <m/>
    <m/>
    <m/>
    <x v="2"/>
    <n v="0"/>
    <x v="2"/>
    <x v="49"/>
    <n v="1"/>
    <s v=""/>
    <n v="1"/>
    <n v="1"/>
    <n v="1"/>
    <n v="0"/>
    <n v="0"/>
  </r>
  <r>
    <n v="1589"/>
    <s v="Thyroid disorders"/>
    <n v="1589"/>
    <e v="#NAME?"/>
    <s v="Thyroid disorders"/>
    <x v="1"/>
    <n v="23"/>
    <s v="Current conditions affecting Medical Eligibility"/>
    <m/>
    <m/>
    <s v="FP.2. Counseling"/>
    <x v="11"/>
    <m/>
    <s v="2.10.5 Screen for medical eligibility"/>
    <m/>
    <s v="FP.DE.497"/>
    <m/>
    <m/>
    <s v="Disorder of thyroid gland"/>
    <m/>
    <m/>
    <s v="Thyroid disorders"/>
    <m/>
    <s v="No"/>
    <m/>
    <s v="Yes"/>
    <s v="C"/>
    <s v="Required during MEC check if MEC classification &gt;   MEC okay to use rating, currently 2] for method selected"/>
    <m/>
    <m/>
    <m/>
    <m/>
    <s v="MEC"/>
    <m/>
    <m/>
    <m/>
    <x v="3"/>
    <x v="0"/>
    <m/>
    <m/>
    <m/>
    <x v="2"/>
    <s v="JS"/>
    <s v="MedicalEligibilityConditions"/>
    <m/>
    <m/>
    <s v="       Thyroid disorders"/>
    <s v="Changed"/>
    <m/>
    <x v="1"/>
    <e v="#NAME?"/>
    <m/>
    <x v="0"/>
    <m/>
    <m/>
    <m/>
    <m/>
    <m/>
    <s v="14304000"/>
    <s v="275536003"/>
    <m/>
    <m/>
    <m/>
    <m/>
    <m/>
    <m/>
    <m/>
    <m/>
    <m/>
    <m/>
    <m/>
    <m/>
    <m/>
    <x v="2"/>
    <n v="0"/>
    <x v="2"/>
    <x v="49"/>
    <n v="1"/>
    <s v=""/>
    <n v="1"/>
    <n v="1"/>
    <n v="1"/>
    <n v="0"/>
    <n v="0"/>
  </r>
  <r>
    <n v="1590"/>
    <s v="Thyroid disorder category"/>
    <n v="1590"/>
    <s v="Thyroid disorder category"/>
    <s v="Thyroid disorder category"/>
    <x v="2"/>
    <n v="25"/>
    <s v=""/>
    <m/>
    <m/>
    <s v="FP.2. Counseling"/>
    <x v="11"/>
    <m/>
    <s v="2.10.5 Screen for medical eligibility"/>
    <m/>
    <s v="FP.DE.302"/>
    <s v="Thyroid disorder category"/>
    <m/>
    <s v="Thyroid disored category"/>
    <s v="Coding "/>
    <s v="Select one"/>
    <m/>
    <m/>
    <s v="No"/>
    <m/>
    <s v="Yes"/>
    <s v="C"/>
    <s v="Include if thyroid disorders = TRUE for method selected and Medical Eligibility &gt;[MEC okay to use rating, currently 2] for the method selected"/>
    <m/>
    <m/>
    <m/>
    <m/>
    <s v="MEC"/>
    <m/>
    <m/>
    <m/>
    <x v="3"/>
    <x v="0"/>
    <m/>
    <m/>
    <m/>
    <x v="2"/>
    <s v="NA"/>
    <m/>
    <m/>
    <m/>
    <s v="Thyroid disorder category"/>
    <s v="Same"/>
    <m/>
    <x v="1"/>
    <s v=""/>
    <m/>
    <x v="0"/>
    <m/>
    <m/>
    <m/>
    <m/>
    <m/>
    <m/>
    <m/>
    <m/>
    <s v="No terminology code required"/>
    <m/>
    <m/>
    <m/>
    <m/>
    <m/>
    <m/>
    <m/>
    <m/>
    <m/>
    <m/>
    <m/>
    <x v="2"/>
    <s v=""/>
    <x v="3"/>
    <x v="2"/>
    <n v="1"/>
    <s v=""/>
    <n v="1"/>
    <n v="1"/>
    <n v="1"/>
    <n v="0"/>
    <n v="0"/>
  </r>
  <r>
    <n v="1591"/>
    <s v="Simple goiter"/>
    <n v="1591"/>
    <e v="#NAME?"/>
    <s v="Simple goiter"/>
    <x v="1"/>
    <n v="23"/>
    <s v="Current conditions affecting Medical Eligibility"/>
    <m/>
    <m/>
    <s v="FP.2. Counseling"/>
    <x v="11"/>
    <m/>
    <s v="2.10.5 Screen for medical eligibility"/>
    <m/>
    <s v="FP.DE.303"/>
    <m/>
    <m/>
    <s v="Client has been diagnosed with a simple goiter"/>
    <m/>
    <m/>
    <s v="Simple goiter"/>
    <m/>
    <s v="No"/>
    <m/>
    <s v="Yes"/>
    <s v="C"/>
    <s v="Required during MEC check if MEC classification &gt;   MEC okay to use rating, currently 2] for method selected"/>
    <m/>
    <m/>
    <m/>
    <m/>
    <s v="MEC"/>
    <m/>
    <m/>
    <m/>
    <x v="3"/>
    <x v="0"/>
    <m/>
    <m/>
    <m/>
    <x v="2"/>
    <s v="JS"/>
    <s v="MedicalEligibilityConditions"/>
    <m/>
    <m/>
    <s v="       Simple goiter"/>
    <s v="Changed"/>
    <m/>
    <x v="1"/>
    <e v="#NAME?"/>
    <m/>
    <x v="0"/>
    <m/>
    <m/>
    <s v="x"/>
    <m/>
    <m/>
    <s v="267369002"/>
    <m/>
    <m/>
    <m/>
    <m/>
    <m/>
    <m/>
    <m/>
    <m/>
    <m/>
    <m/>
    <m/>
    <m/>
    <m/>
    <m/>
    <x v="2"/>
    <n v="0"/>
    <x v="2"/>
    <x v="49"/>
    <n v="1"/>
    <s v=""/>
    <n v="1"/>
    <n v="1"/>
    <n v="1"/>
    <n v="0"/>
    <n v="0"/>
  </r>
  <r>
    <n v="1592"/>
    <s v="Hyperthyroid"/>
    <n v="1592"/>
    <e v="#NAME?"/>
    <s v="Hyperthyroid"/>
    <x v="1"/>
    <n v="23"/>
    <s v="Current conditions affecting Medical Eligibility"/>
    <m/>
    <m/>
    <s v="FP.2. Counseling"/>
    <x v="11"/>
    <m/>
    <s v="2.10.5 Screen for medical eligibility"/>
    <m/>
    <s v="FP.DE.304"/>
    <m/>
    <m/>
    <s v="Client has been diagnosed as hyperthyroid"/>
    <m/>
    <m/>
    <s v="Hyperthyroid"/>
    <m/>
    <s v="No"/>
    <m/>
    <s v="Yes"/>
    <s v="C"/>
    <s v="Required during MEC check if MEC classification &gt;   MEC okay to use rating, currently 2] for method selected"/>
    <m/>
    <m/>
    <m/>
    <m/>
    <s v="MEC"/>
    <m/>
    <m/>
    <m/>
    <x v="3"/>
    <x v="0"/>
    <m/>
    <m/>
    <m/>
    <x v="2"/>
    <s v="JS"/>
    <s v="MedicalEligibilityConditions"/>
    <m/>
    <m/>
    <s v="       Hyperthyroid"/>
    <s v="Changed"/>
    <m/>
    <x v="1"/>
    <e v="#NAME?"/>
    <m/>
    <x v="0"/>
    <m/>
    <m/>
    <s v="x"/>
    <s v="E05.5"/>
    <s v="5A02.5"/>
    <s v="34486009"/>
    <m/>
    <m/>
    <m/>
    <m/>
    <m/>
    <m/>
    <m/>
    <n v="138176"/>
    <m/>
    <m/>
    <m/>
    <m/>
    <m/>
    <m/>
    <x v="2"/>
    <n v="0"/>
    <x v="2"/>
    <x v="49"/>
    <n v="1"/>
    <s v=""/>
    <n v="1"/>
    <n v="1"/>
    <n v="1"/>
    <n v="0"/>
    <n v="0"/>
  </r>
  <r>
    <n v="1593"/>
    <s v="Hypothyroid"/>
    <n v="1593"/>
    <e v="#NAME?"/>
    <s v="Hypothyroid"/>
    <x v="1"/>
    <n v="23"/>
    <s v="Current conditions affecting Medical Eligibility"/>
    <m/>
    <m/>
    <s v="FP.2. Counseling"/>
    <x v="11"/>
    <m/>
    <s v="2.10.5 Screen for medical eligibility"/>
    <m/>
    <s v="FP.DE.305"/>
    <m/>
    <m/>
    <s v="Client has been diagnosed as hypothyroid"/>
    <m/>
    <m/>
    <s v="Hypothyroid"/>
    <m/>
    <s v="No"/>
    <m/>
    <s v="Yes"/>
    <s v="C"/>
    <s v="Required during MEC check if MEC classification &gt;   MEC okay to use rating, currently 2] for method selected"/>
    <m/>
    <m/>
    <m/>
    <m/>
    <s v="MEC"/>
    <m/>
    <m/>
    <m/>
    <x v="3"/>
    <x v="0"/>
    <m/>
    <m/>
    <m/>
    <x v="2"/>
    <s v="JS"/>
    <s v="MedicalEligibilityConditions"/>
    <m/>
    <m/>
    <s v="       Hypothyroid"/>
    <s v="Changed"/>
    <m/>
    <x v="1"/>
    <e v="#NAME?"/>
    <m/>
    <x v="0"/>
    <m/>
    <m/>
    <m/>
    <s v="E03.9"/>
    <s v="5A00"/>
    <s v="40930008"/>
    <m/>
    <m/>
    <m/>
    <m/>
    <m/>
    <m/>
    <m/>
    <n v="117321"/>
    <m/>
    <m/>
    <m/>
    <m/>
    <m/>
    <m/>
    <x v="2"/>
    <n v="0"/>
    <x v="2"/>
    <x v="49"/>
    <n v="1"/>
    <s v=""/>
    <n v="1"/>
    <n v="1"/>
    <n v="1"/>
    <n v="0"/>
    <n v="0"/>
  </r>
  <r>
    <n v="1594"/>
    <s v="Gastrointestinal conditions"/>
    <n v="1594"/>
    <s v="Gastrointestinal conditions"/>
    <s v="Gastrointestinal conditions"/>
    <x v="2"/>
    <n v="27"/>
    <s v=""/>
    <m/>
    <m/>
    <s v="FP.2. Counseling"/>
    <x v="11"/>
    <m/>
    <s v="2.10.5 Screen for medical eligibility"/>
    <m/>
    <s v="FP.DE.306"/>
    <s v="Gastrointestinal conditions"/>
    <m/>
    <s v="Client has been diagnosed with a gastrointestinal condition"/>
    <s v="Coding "/>
    <s v="Select all that apply"/>
    <m/>
    <m/>
    <s v="No"/>
    <m/>
    <s v="Yes"/>
    <s v="C"/>
    <s v="Required during MEC check if MEC classification &gt;   MEC okay to use rating, currently 2] for method selected"/>
    <m/>
    <m/>
    <m/>
    <m/>
    <s v="MEC"/>
    <m/>
    <m/>
    <m/>
    <x v="3"/>
    <x v="0"/>
    <m/>
    <m/>
    <m/>
    <x v="2"/>
    <s v="NA"/>
    <m/>
    <m/>
    <m/>
    <s v="Gastrointestinal conditions"/>
    <s v="Same"/>
    <m/>
    <x v="1"/>
    <s v=""/>
    <m/>
    <x v="2"/>
    <m/>
    <m/>
    <m/>
    <m/>
    <m/>
    <m/>
    <m/>
    <m/>
    <s v="No terminology code required"/>
    <m/>
    <m/>
    <m/>
    <m/>
    <m/>
    <m/>
    <m/>
    <m/>
    <m/>
    <m/>
    <m/>
    <x v="2"/>
    <s v=""/>
    <x v="3"/>
    <x v="2"/>
    <n v="1"/>
    <s v=""/>
    <n v="1"/>
    <n v="1"/>
    <n v="1"/>
    <n v="0"/>
    <n v="0"/>
  </r>
  <r>
    <n v="1595"/>
    <s v="Gallbladder disease"/>
    <n v="1595"/>
    <e v="#NAME?"/>
    <s v="Gallbladder disease"/>
    <x v="1"/>
    <n v="23"/>
    <s v="Current conditions affecting Medical Eligibility"/>
    <m/>
    <m/>
    <s v="FP.2. Counseling"/>
    <x v="11"/>
    <m/>
    <s v="2.10.5 Screen for medical eligibility"/>
    <m/>
    <s v="FP.DE.307"/>
    <s v="Gallbladder disease"/>
    <m/>
    <s v="Client has a history of gallbladder disease"/>
    <m/>
    <m/>
    <s v="Gallbladder disease"/>
    <m/>
    <s v="No"/>
    <m/>
    <s v="Yes"/>
    <s v="C"/>
    <s v="Required during MEC check if MEC classification &gt;=   MEC okay to use rating, currently 2] for method selected and categories"/>
    <m/>
    <m/>
    <m/>
    <m/>
    <s v="MEC"/>
    <m/>
    <m/>
    <m/>
    <x v="3"/>
    <x v="0"/>
    <m/>
    <m/>
    <m/>
    <x v="2"/>
    <s v="JS"/>
    <s v="MedicalEligibilityConditions"/>
    <m/>
    <m/>
    <s v="       Gallbladder disease"/>
    <s v="Changed"/>
    <m/>
    <x v="1"/>
    <e v="#NAME?"/>
    <s v="Ready for testing"/>
    <x v="0"/>
    <m/>
    <m/>
    <m/>
    <m/>
    <m/>
    <s v="275550008; 39621005 "/>
    <m/>
    <m/>
    <m/>
    <m/>
    <m/>
    <m/>
    <m/>
    <m/>
    <m/>
    <m/>
    <m/>
    <m/>
    <m/>
    <m/>
    <x v="2"/>
    <n v="0"/>
    <x v="2"/>
    <x v="49"/>
    <n v="1"/>
    <s v=""/>
    <n v="1"/>
    <n v="1"/>
    <n v="1"/>
    <n v="0"/>
    <n v="0"/>
  </r>
  <r>
    <n v="1596"/>
    <s v="History of cholestasis"/>
    <n v="1596"/>
    <e v="#NAME?"/>
    <s v="History of cholestasis"/>
    <x v="1"/>
    <n v="23"/>
    <s v="Current conditions affecting Medical Eligibility"/>
    <m/>
    <m/>
    <s v="FP.2. Counseling"/>
    <x v="11"/>
    <m/>
    <s v="2.10.5 Screen for medical eligibility"/>
    <m/>
    <s v="FP.DE.308"/>
    <m/>
    <m/>
    <s v="Client has a history of History of cholestasis"/>
    <m/>
    <m/>
    <s v="History of cholestasis"/>
    <m/>
    <s v="No"/>
    <m/>
    <s v="Yes"/>
    <s v="C"/>
    <s v="Required during MEC check if MEC classification &gt;   MEC okay to use rating, currently 2] for method selected"/>
    <m/>
    <m/>
    <m/>
    <m/>
    <s v="MEC"/>
    <m/>
    <m/>
    <m/>
    <x v="3"/>
    <x v="0"/>
    <m/>
    <m/>
    <m/>
    <x v="2"/>
    <s v="JS"/>
    <s v="MedicalEligibilityConditions"/>
    <m/>
    <m/>
    <s v="       History of cholestasis"/>
    <s v="Changed"/>
    <m/>
    <x v="1"/>
    <e v="#NAME?"/>
    <m/>
    <x v="0"/>
    <m/>
    <m/>
    <m/>
    <s v="K83.1"/>
    <s v="DC10.02"/>
    <s v="33688009"/>
    <m/>
    <m/>
    <m/>
    <m/>
    <m/>
    <m/>
    <m/>
    <n v="145618"/>
    <m/>
    <m/>
    <m/>
    <m/>
    <m/>
    <m/>
    <x v="2"/>
    <n v="0"/>
    <x v="2"/>
    <x v="49"/>
    <n v="1"/>
    <s v=""/>
    <n v="1"/>
    <n v="1"/>
    <n v="1"/>
    <n v="0"/>
    <n v="0"/>
  </r>
  <r>
    <n v="1597"/>
    <s v="Viral hepatitis"/>
    <n v="1597"/>
    <e v="#NAME?"/>
    <s v="Viral hepatitis"/>
    <x v="1"/>
    <n v="23"/>
    <s v="Current conditions affecting Medical Eligibility"/>
    <m/>
    <m/>
    <s v="FP.2. Counseling"/>
    <x v="11"/>
    <m/>
    <s v="2.10.5 Screen for medical eligibility"/>
    <m/>
    <s v="FP.DE.309"/>
    <m/>
    <m/>
    <s v="Client has a history of Viral hepatitis"/>
    <m/>
    <m/>
    <s v="Viral hepatitis"/>
    <m/>
    <s v="No"/>
    <m/>
    <s v="Yes"/>
    <s v="C"/>
    <s v="Required during MEC check if MEC classification &gt;   MEC okay to use rating, currently 2] for method selected"/>
    <m/>
    <m/>
    <m/>
    <m/>
    <s v="MEC"/>
    <m/>
    <m/>
    <m/>
    <x v="3"/>
    <x v="0"/>
    <m/>
    <m/>
    <m/>
    <x v="2"/>
    <s v="JS"/>
    <s v="MedicalEligibilityConditions"/>
    <m/>
    <m/>
    <s v="       Viral hepatitis"/>
    <s v="Changed"/>
    <m/>
    <x v="1"/>
    <e v="#NAME?"/>
    <m/>
    <x v="0"/>
    <m/>
    <m/>
    <m/>
    <s v="B19.9"/>
    <s v="1E5Z"/>
    <s v="111896003"/>
    <m/>
    <m/>
    <m/>
    <m/>
    <m/>
    <m/>
    <m/>
    <n v="111479"/>
    <m/>
    <m/>
    <m/>
    <m/>
    <m/>
    <m/>
    <x v="2"/>
    <n v="0"/>
    <x v="2"/>
    <x v="49"/>
    <n v="1"/>
    <s v=""/>
    <n v="1"/>
    <n v="1"/>
    <n v="1"/>
    <n v="0"/>
    <n v="0"/>
  </r>
  <r>
    <n v="1598"/>
    <s v="Cirrhosis"/>
    <n v="1598"/>
    <e v="#NAME?"/>
    <s v="Cirrhosis"/>
    <x v="1"/>
    <n v="23"/>
    <s v="Current conditions affecting Medical Eligibility"/>
    <m/>
    <m/>
    <s v="FP.2. Counseling"/>
    <x v="11"/>
    <m/>
    <s v="2.10.5 Screen for medical eligibility"/>
    <m/>
    <s v="FP.DE.310"/>
    <m/>
    <m/>
    <s v="Cirrhosis of liver (disorder)"/>
    <m/>
    <m/>
    <s v="Cirrhosis"/>
    <m/>
    <s v="No"/>
    <m/>
    <s v="Yes"/>
    <s v="C"/>
    <s v="Required during MEC check if MEC classification &gt;   MEC okay to use rating, currently 2] for method selected"/>
    <m/>
    <m/>
    <m/>
    <m/>
    <s v="MEC"/>
    <m/>
    <m/>
    <m/>
    <x v="3"/>
    <x v="0"/>
    <m/>
    <m/>
    <m/>
    <x v="2"/>
    <s v="JS"/>
    <s v="MedicalEligibilityConditions"/>
    <m/>
    <m/>
    <s v="       Cirrhosis"/>
    <s v="Changed"/>
    <m/>
    <x v="1"/>
    <e v="#NAME?"/>
    <m/>
    <x v="0"/>
    <m/>
    <m/>
    <m/>
    <m/>
    <m/>
    <s v="19943007"/>
    <m/>
    <m/>
    <m/>
    <m/>
    <m/>
    <m/>
    <m/>
    <m/>
    <m/>
    <m/>
    <m/>
    <m/>
    <m/>
    <m/>
    <x v="2"/>
    <n v="0"/>
    <x v="2"/>
    <x v="49"/>
    <n v="1"/>
    <s v=""/>
    <n v="1"/>
    <n v="1"/>
    <n v="1"/>
    <n v="0"/>
    <n v="0"/>
  </r>
  <r>
    <n v="1599"/>
    <s v="Liver tumors"/>
    <n v="1599"/>
    <e v="#NAME?"/>
    <s v="Liver tumors"/>
    <x v="1"/>
    <n v="23"/>
    <s v="Current conditions affecting Medical Eligibility"/>
    <m/>
    <m/>
    <s v="FP.2. Counseling"/>
    <x v="11"/>
    <m/>
    <s v="2.10.5 Screen for medical eligibility"/>
    <m/>
    <s v="FP.DE.312"/>
    <m/>
    <m/>
    <s v="Client has a history of liver tumors"/>
    <m/>
    <m/>
    <s v="Liver tumors"/>
    <m/>
    <s v="No"/>
    <m/>
    <s v="Yes"/>
    <s v="C"/>
    <s v="Required during MEC check if MEC classification &gt;   MEC okay to use rating, currently 2] for method selected"/>
    <m/>
    <m/>
    <m/>
    <m/>
    <s v="MEC"/>
    <m/>
    <m/>
    <m/>
    <x v="3"/>
    <x v="0"/>
    <m/>
    <m/>
    <m/>
    <x v="2"/>
    <s v="JS"/>
    <s v="MedicalEligibilityConditions"/>
    <m/>
    <m/>
    <s v="       Liver tumors"/>
    <s v="Changed"/>
    <m/>
    <x v="1"/>
    <e v="#NAME?"/>
    <m/>
    <x v="0"/>
    <m/>
    <m/>
    <m/>
    <m/>
    <m/>
    <s v="300332007"/>
    <m/>
    <m/>
    <m/>
    <m/>
    <m/>
    <m/>
    <m/>
    <m/>
    <m/>
    <m/>
    <m/>
    <m/>
    <m/>
    <m/>
    <x v="2"/>
    <n v="0"/>
    <x v="2"/>
    <x v="49"/>
    <n v="1"/>
    <s v=""/>
    <n v="1"/>
    <n v="1"/>
    <n v="1"/>
    <n v="0"/>
    <n v="0"/>
  </r>
  <r>
    <n v="1600"/>
    <s v="Header - Gallbladder disease"/>
    <n v="1600"/>
    <s v="Gallbladder disease"/>
    <s v="Gallbladder disease"/>
    <x v="2"/>
    <n v="28"/>
    <s v=""/>
    <m/>
    <m/>
    <s v="FP.2. Counseling"/>
    <x v="11"/>
    <m/>
    <s v="2.10.5 Screen for medical eligibility"/>
    <m/>
    <s v="FP.DE.313"/>
    <s v="Gallbladder disease"/>
    <m/>
    <m/>
    <s v="Coding "/>
    <s v="Select all that apply"/>
    <m/>
    <m/>
    <s v="No"/>
    <m/>
    <s v="Yes"/>
    <s v="C"/>
    <s v="If gallbladder disease = TRUE and contraindicated for method in MEC and Condition = TRUE"/>
    <m/>
    <m/>
    <m/>
    <m/>
    <s v="MEC"/>
    <m/>
    <m/>
    <m/>
    <x v="3"/>
    <x v="0"/>
    <m/>
    <m/>
    <m/>
    <x v="2"/>
    <s v="NA"/>
    <m/>
    <m/>
    <m/>
    <s v="Gallbladder disease"/>
    <s v="Changed"/>
    <m/>
    <x v="1"/>
    <s v="&quot;Gallbladder disease&quot;-&gt;&quot;Header - Gallbladder disease&quot;"/>
    <m/>
    <x v="2"/>
    <m/>
    <m/>
    <m/>
    <m/>
    <m/>
    <m/>
    <m/>
    <m/>
    <m/>
    <m/>
    <m/>
    <m/>
    <m/>
    <m/>
    <m/>
    <m/>
    <m/>
    <m/>
    <m/>
    <m/>
    <x v="2"/>
    <s v=""/>
    <x v="3"/>
    <x v="2"/>
    <n v="1"/>
    <s v=""/>
    <n v="1"/>
    <n v="1"/>
    <n v="1"/>
    <n v="0"/>
    <n v="0"/>
  </r>
  <r>
    <n v="1601"/>
    <s v="Symptomatic Gallbladder disease (Treated by cholecystectomy)"/>
    <n v="1601"/>
    <e v="#NAME?"/>
    <s v="Symptomatic (Treated by cholecystectomy)"/>
    <x v="1"/>
    <n v="23"/>
    <s v="Current conditions affecting Medical Eligibility"/>
    <m/>
    <m/>
    <s v="FP.2. Counseling"/>
    <x v="11"/>
    <m/>
    <s v="2.10.5 Screen for medical eligibility"/>
    <m/>
    <s v="FP.DE.314"/>
    <m/>
    <m/>
    <s v="Client has symptomatic gallbladder disease treated by cholecystectomy"/>
    <m/>
    <m/>
    <s v="Symptomatic (Treated by cholecystectomy)"/>
    <m/>
    <s v="No"/>
    <m/>
    <s v="Yes"/>
    <s v="C"/>
    <s v="Required during MEC check if MEC classification &gt;   MEC okay to use rating, currently 2] for method selected"/>
    <m/>
    <m/>
    <m/>
    <m/>
    <s v="MEC"/>
    <m/>
    <m/>
    <m/>
    <x v="3"/>
    <x v="0"/>
    <m/>
    <m/>
    <m/>
    <x v="2"/>
    <s v="JS"/>
    <s v="MedicalEligibilityConditions"/>
    <m/>
    <m/>
    <s v="       Symptomatic (Treated by cholecystectomy)"/>
    <s v="Changed"/>
    <m/>
    <x v="1"/>
    <e v="#NAME?"/>
    <m/>
    <x v="0"/>
    <m/>
    <m/>
    <m/>
    <s v="Z90.4"/>
    <m/>
    <s v="38102005"/>
    <m/>
    <m/>
    <m/>
    <m/>
    <m/>
    <s v="ICD10 Z90.4 is less exact. SNOMED 38102005 is s/p cholecystectomy (which is more precise)."/>
    <m/>
    <m/>
    <m/>
    <m/>
    <m/>
    <m/>
    <m/>
    <m/>
    <x v="2"/>
    <n v="0"/>
    <x v="2"/>
    <x v="49"/>
    <n v="1"/>
    <s v=""/>
    <n v="1"/>
    <n v="1"/>
    <n v="1"/>
    <n v="0"/>
    <n v="0"/>
  </r>
  <r>
    <n v="1602"/>
    <s v="Symptomatic Gallbladder disease (Medically treated)"/>
    <n v="1602"/>
    <e v="#NAME?"/>
    <s v="Symptomatic (Medically treated)"/>
    <x v="1"/>
    <n v="23"/>
    <s v="Current conditions affecting Medical Eligibility"/>
    <m/>
    <m/>
    <s v="FP.2. Counseling"/>
    <x v="11"/>
    <m/>
    <s v="2.10.5 Screen for medical eligibility"/>
    <m/>
    <s v="FP.DE.315"/>
    <m/>
    <m/>
    <s v="Client has symptomatic gallbladder disease that is being treated medically"/>
    <m/>
    <m/>
    <s v="Symptomatic (Medically treated)"/>
    <m/>
    <s v="No"/>
    <m/>
    <s v="Yes"/>
    <s v="C"/>
    <s v="Required during MEC check if MEC classification &gt;   MEC okay to use rating, currently 2] for method selected"/>
    <m/>
    <m/>
    <m/>
    <m/>
    <s v="MEC"/>
    <m/>
    <m/>
    <m/>
    <x v="3"/>
    <x v="0"/>
    <m/>
    <m/>
    <m/>
    <x v="2"/>
    <s v="JS"/>
    <s v="MedicalEligibilityConditions"/>
    <m/>
    <m/>
    <s v="       Symptomatic (Medically treated)"/>
    <s v="Changed"/>
    <m/>
    <x v="1"/>
    <e v="#NAME?"/>
    <m/>
    <x v="0"/>
    <m/>
    <m/>
    <m/>
    <s v="K82.9"/>
    <m/>
    <s v="39621005"/>
    <m/>
    <m/>
    <m/>
    <m/>
    <m/>
    <m/>
    <m/>
    <m/>
    <m/>
    <m/>
    <m/>
    <m/>
    <m/>
    <m/>
    <x v="2"/>
    <n v="0"/>
    <x v="2"/>
    <x v="49"/>
    <n v="1"/>
    <s v=""/>
    <n v="1"/>
    <n v="1"/>
    <n v="1"/>
    <n v="0"/>
    <n v="0"/>
  </r>
  <r>
    <n v="1603"/>
    <s v="Gallbladder disease - Current symptoms"/>
    <n v="1603"/>
    <e v="#NAME?"/>
    <s v="Current symptoms"/>
    <x v="1"/>
    <n v="23"/>
    <s v="Current conditions affecting Medical Eligibility"/>
    <m/>
    <m/>
    <s v="FP.2. Counseling"/>
    <x v="11"/>
    <m/>
    <s v="2.10.5 Screen for medical eligibility"/>
    <m/>
    <s v="FP.DE.316"/>
    <m/>
    <m/>
    <s v="Client has gallbladder disease and is currently experiencing symptoms"/>
    <m/>
    <m/>
    <s v="Current symptoms"/>
    <m/>
    <s v="No"/>
    <m/>
    <s v="Yes"/>
    <s v="C"/>
    <s v="Required during MEC check if MEC classification &gt;   MEC okay to use rating, currently 2] for method selected"/>
    <m/>
    <m/>
    <m/>
    <m/>
    <s v="MEC"/>
    <m/>
    <m/>
    <m/>
    <x v="3"/>
    <x v="0"/>
    <m/>
    <m/>
    <m/>
    <x v="2"/>
    <s v="JS"/>
    <s v="MedicalEligibilityConditions"/>
    <m/>
    <m/>
    <s v="       Current symptoms"/>
    <s v="Changed"/>
    <m/>
    <x v="1"/>
    <e v="#NAME?"/>
    <m/>
    <x v="0"/>
    <m/>
    <m/>
    <m/>
    <m/>
    <m/>
    <s v="102628000"/>
    <m/>
    <m/>
    <m/>
    <m/>
    <m/>
    <m/>
    <m/>
    <m/>
    <m/>
    <m/>
    <m/>
    <m/>
    <m/>
    <m/>
    <x v="2"/>
    <n v="0"/>
    <x v="2"/>
    <x v="49"/>
    <n v="1"/>
    <s v=""/>
    <n v="1"/>
    <n v="1"/>
    <n v="1"/>
    <n v="0"/>
    <n v="0"/>
  </r>
  <r>
    <n v="1604"/>
    <s v="Gallbladder disease - No symptoms"/>
    <n v="1604"/>
    <e v="#NAME?"/>
    <s v="No symptoms"/>
    <x v="1"/>
    <n v="23"/>
    <s v="Current conditions affecting Medical Eligibility"/>
    <m/>
    <m/>
    <s v="FP.2. Counseling"/>
    <x v="11"/>
    <m/>
    <s v="2.10.5 Screen for medical eligibility"/>
    <m/>
    <s v="FP.DE.317"/>
    <m/>
    <m/>
    <s v="Client has asymptomatic gallbladder disease"/>
    <m/>
    <m/>
    <s v="No symptoms"/>
    <m/>
    <s v="No"/>
    <m/>
    <s v="Yes"/>
    <s v="C"/>
    <s v="Required during MEC check if MEC classification &gt;   MEC okay to use rating, currently 2] for method selected"/>
    <m/>
    <m/>
    <m/>
    <m/>
    <s v="MEC"/>
    <m/>
    <m/>
    <m/>
    <x v="3"/>
    <x v="0"/>
    <m/>
    <m/>
    <m/>
    <x v="2"/>
    <s v="JS"/>
    <s v="MedicalEligibilityConditions"/>
    <m/>
    <m/>
    <s v="       No symptoms"/>
    <s v="Changed"/>
    <m/>
    <x v="1"/>
    <e v="#NAME?"/>
    <m/>
    <x v="0"/>
    <m/>
    <m/>
    <m/>
    <s v="K80.2"/>
    <m/>
    <m/>
    <m/>
    <m/>
    <m/>
    <m/>
    <m/>
    <m/>
    <m/>
    <m/>
    <m/>
    <m/>
    <m/>
    <m/>
    <m/>
    <m/>
    <x v="2"/>
    <n v="0"/>
    <x v="2"/>
    <x v="49"/>
    <n v="1"/>
    <s v=""/>
    <n v="1"/>
    <n v="1"/>
    <n v="1"/>
    <n v="0"/>
    <n v="0"/>
  </r>
  <r>
    <n v="1605"/>
    <s v="Gallbladder disease - Symptomatic"/>
    <n v="1605"/>
    <e v="#NAME?"/>
    <s v="Symptomatic"/>
    <x v="1"/>
    <n v="23"/>
    <s v="Current conditions affecting Medical Eligibility"/>
    <m/>
    <m/>
    <s v="FP.2. Counseling"/>
    <x v="11"/>
    <m/>
    <s v="2.10.5 Screen for medical eligibility"/>
    <m/>
    <s v="FP.DE.498"/>
    <m/>
    <m/>
    <s v="Client has symptomatic gallbladder disease"/>
    <m/>
    <m/>
    <s v="Symptomatic"/>
    <m/>
    <s v="No"/>
    <m/>
    <s v="Yes"/>
    <s v="C"/>
    <s v="Required during MEC check if MEC classification &gt;   MEC okay to use rating, currently 2] for method selected"/>
    <m/>
    <m/>
    <m/>
    <m/>
    <s v="MEC"/>
    <m/>
    <m/>
    <m/>
    <x v="3"/>
    <x v="0"/>
    <m/>
    <m/>
    <m/>
    <x v="2"/>
    <s v="JS"/>
    <s v="MedicalEligibilityConditions"/>
    <m/>
    <m/>
    <s v="       Symptomatic"/>
    <s v="Changed"/>
    <m/>
    <x v="1"/>
    <e v="#NAME?"/>
    <m/>
    <x v="0"/>
    <m/>
    <m/>
    <m/>
    <m/>
    <m/>
    <s v="37389005"/>
    <m/>
    <m/>
    <m/>
    <m/>
    <m/>
    <m/>
    <m/>
    <n v="1068"/>
    <m/>
    <m/>
    <s v="1068AAAAAAAAAAAAAAAAAAAAAAAAAAAAAAAA"/>
    <m/>
    <m/>
    <m/>
    <x v="2"/>
    <n v="0"/>
    <x v="2"/>
    <x v="49"/>
    <n v="1"/>
    <s v=""/>
    <n v="1"/>
    <n v="1"/>
    <n v="1"/>
    <n v="0"/>
    <n v="0"/>
  </r>
  <r>
    <n v="1606"/>
    <s v="History of cholestasis "/>
    <n v="1606"/>
    <s v="History of cholestasis "/>
    <s v="History of cholestasis "/>
    <x v="2"/>
    <n v="23"/>
    <s v=""/>
    <m/>
    <m/>
    <s v="FP.2. Counseling"/>
    <x v="10"/>
    <m/>
    <s v="2.10.5 Screen for medical eligibility"/>
    <m/>
    <s v="FP.DE.318"/>
    <s v="History of cholestasis "/>
    <m/>
    <s v="Client has a history of cholestasis"/>
    <s v="Coding "/>
    <s v="Select all that apply"/>
    <m/>
    <m/>
    <s v="No"/>
    <m/>
    <s v="Yes"/>
    <s v="C"/>
    <s v="Include if history of cholestasis = TRUE and Required during MEC check if MEC classification &gt;   MEC okay to use rating, currently 2] for method selected"/>
    <m/>
    <m/>
    <m/>
    <m/>
    <s v="MEC"/>
    <m/>
    <m/>
    <m/>
    <x v="3"/>
    <x v="0"/>
    <m/>
    <m/>
    <m/>
    <x v="2"/>
    <s v="NA"/>
    <m/>
    <m/>
    <m/>
    <s v="History of cholestasis "/>
    <s v="Same"/>
    <m/>
    <x v="1"/>
    <s v=""/>
    <m/>
    <x v="2"/>
    <m/>
    <m/>
    <m/>
    <s v="K83.1"/>
    <s v="DC10.02"/>
    <s v="33688009"/>
    <m/>
    <m/>
    <m/>
    <m/>
    <m/>
    <m/>
    <m/>
    <n v="145618"/>
    <m/>
    <m/>
    <s v="145618AAAAAAAAAAAAAAAAAAAAAAAAAAAAAA"/>
    <m/>
    <m/>
    <m/>
    <x v="2"/>
    <s v=""/>
    <x v="3"/>
    <x v="2"/>
    <n v="1"/>
    <s v=""/>
    <n v="1"/>
    <n v="1"/>
    <n v="1"/>
    <n v="0"/>
    <n v="0"/>
  </r>
  <r>
    <n v="1607"/>
    <s v="History of cholestasis - Pregnancy-related"/>
    <n v="1607"/>
    <e v="#NAME?"/>
    <s v="Pregnancy-related"/>
    <x v="1"/>
    <n v="23"/>
    <s v="Current conditions affecting Medical Eligibility"/>
    <m/>
    <m/>
    <s v="FP.2. Counseling"/>
    <x v="10"/>
    <m/>
    <s v="2.10.5 Screen for medical eligibility"/>
    <m/>
    <s v="FP.DE.319"/>
    <m/>
    <m/>
    <s v="Client has a history of pregnancy-related cholestasis"/>
    <m/>
    <m/>
    <s v="Pregnancy-related"/>
    <m/>
    <s v="No"/>
    <m/>
    <s v="Yes"/>
    <s v="C"/>
    <s v="Skip if gender = male_x000a_Skip if Number of pregnancies = 0_x000a_Required during MEC check if MEC classification &gt;   MEC okay to use rating, currently 2] for method selected, "/>
    <m/>
    <m/>
    <m/>
    <m/>
    <s v="MEC"/>
    <m/>
    <m/>
    <m/>
    <x v="3"/>
    <x v="0"/>
    <m/>
    <m/>
    <m/>
    <x v="2"/>
    <s v="JS"/>
    <s v="MedicalEligibilityConditions"/>
    <m/>
    <m/>
    <s v="       Pregnancy-related"/>
    <s v="Changed"/>
    <m/>
    <x v="1"/>
    <e v="#NAME?"/>
    <m/>
    <x v="0"/>
    <m/>
    <m/>
    <m/>
    <m/>
    <m/>
    <s v="235888006"/>
    <m/>
    <m/>
    <m/>
    <m/>
    <m/>
    <m/>
    <m/>
    <m/>
    <m/>
    <m/>
    <m/>
    <m/>
    <m/>
    <m/>
    <x v="2"/>
    <n v="0"/>
    <x v="2"/>
    <x v="49"/>
    <n v="1"/>
    <s v=""/>
    <n v="1"/>
    <n v="1"/>
    <n v="1"/>
    <n v="0"/>
    <n v="0"/>
  </r>
  <r>
    <n v="1608"/>
    <s v="History of cholestasis - Combined oral contraceptive-related"/>
    <n v="1608"/>
    <e v="#NAME?"/>
    <s v="Past combined oral contraceptives-related"/>
    <x v="1"/>
    <n v="23"/>
    <s v="Current conditions affecting Medical Eligibility"/>
    <m/>
    <m/>
    <s v="FP.2. Counseling"/>
    <x v="10"/>
    <m/>
    <s v="2.10.5 Screen for medical eligibility"/>
    <m/>
    <s v="FP.DE.320"/>
    <m/>
    <m/>
    <s v="Client has a history of cholestasis related to combined oral contraceptives"/>
    <m/>
    <m/>
    <s v="Past combined oral contraceptives-related"/>
    <m/>
    <s v="No"/>
    <m/>
    <s v="Yes"/>
    <s v="C"/>
    <s v="Required during MEC check if MEC classification &gt;   MEC okay to use rating, currently 2] for method selected"/>
    <m/>
    <m/>
    <m/>
    <m/>
    <s v="MEC"/>
    <m/>
    <m/>
    <m/>
    <x v="3"/>
    <x v="0"/>
    <m/>
    <m/>
    <m/>
    <x v="2"/>
    <s v="JS"/>
    <s v="MedicalEligibilityConditions"/>
    <m/>
    <m/>
    <s v="       Past combined oral contraceptives-related"/>
    <s v="Changed"/>
    <m/>
    <x v="1"/>
    <e v="#NAME?"/>
    <m/>
    <x v="0"/>
    <m/>
    <m/>
    <m/>
    <s v="O26.619 "/>
    <m/>
    <s v="83864008"/>
    <m/>
    <m/>
    <m/>
    <m/>
    <m/>
    <m/>
    <m/>
    <m/>
    <m/>
    <m/>
    <m/>
    <m/>
    <m/>
    <m/>
    <x v="2"/>
    <n v="0"/>
    <x v="2"/>
    <x v="49"/>
    <n v="1"/>
    <s v=""/>
    <n v="1"/>
    <n v="1"/>
    <n v="1"/>
    <n v="0"/>
    <n v="0"/>
  </r>
  <r>
    <n v="1609"/>
    <s v="Header - Viral hepatitis"/>
    <n v="1609"/>
    <s v="Viral hepatitis"/>
    <s v="Viral hepatitis"/>
    <x v="2"/>
    <n v="24"/>
    <s v=""/>
    <m/>
    <m/>
    <s v="FP.2. Counseling"/>
    <x v="11"/>
    <m/>
    <s v="2.10.5 Screen for medical eligibility"/>
    <m/>
    <s v="FP.DE.321"/>
    <s v="Viral hepatitis"/>
    <m/>
    <s v="Client has viral hepatitis"/>
    <s v="Coding "/>
    <s v="Select all that apply"/>
    <m/>
    <m/>
    <s v="No"/>
    <m/>
    <s v="Yes"/>
    <s v="C"/>
    <s v="Required if contraindicated for method in MEC and Condition = TRUE"/>
    <m/>
    <m/>
    <m/>
    <m/>
    <s v="MEC"/>
    <m/>
    <m/>
    <m/>
    <x v="3"/>
    <x v="0"/>
    <m/>
    <m/>
    <m/>
    <x v="2"/>
    <s v="NA"/>
    <m/>
    <m/>
    <m/>
    <s v="Viral hepatitis"/>
    <s v="Changed"/>
    <m/>
    <x v="1"/>
    <s v="&quot;Viral hepatitis&quot;-&gt;&quot;Header - Viral hepatitis&quot;"/>
    <m/>
    <x v="2"/>
    <m/>
    <m/>
    <m/>
    <s v="B19"/>
    <m/>
    <m/>
    <m/>
    <m/>
    <s v="No terminology code required"/>
    <m/>
    <m/>
    <m/>
    <m/>
    <m/>
    <m/>
    <m/>
    <m/>
    <m/>
    <m/>
    <m/>
    <x v="2"/>
    <s v=""/>
    <x v="3"/>
    <x v="2"/>
    <n v="1"/>
    <s v=""/>
    <n v="1"/>
    <n v="1"/>
    <n v="1"/>
    <n v="0"/>
    <n v="0"/>
  </r>
  <r>
    <n v="1610"/>
    <s v="Viral hepatitis - Acute or flare"/>
    <n v="1610"/>
    <e v="#NAME?"/>
    <s v="Acute or flare"/>
    <x v="1"/>
    <n v="23"/>
    <s v="Current conditions affecting Medical Eligibility"/>
    <m/>
    <m/>
    <s v="FP.2. Counseling"/>
    <x v="11"/>
    <m/>
    <s v="2.10.5 Screen for medical eligibility"/>
    <m/>
    <s v="FP.DE.322"/>
    <m/>
    <m/>
    <s v="Client has acute or flare viral hepatitis"/>
    <m/>
    <m/>
    <s v="Acute or flare"/>
    <m/>
    <s v="No"/>
    <m/>
    <s v="Yes"/>
    <s v="C"/>
    <s v="Required during MEC check if MEC classification &gt;   MEC okay to use rating, currently 2] for method selected"/>
    <m/>
    <m/>
    <m/>
    <m/>
    <s v="MEC"/>
    <m/>
    <m/>
    <m/>
    <x v="3"/>
    <x v="0"/>
    <m/>
    <m/>
    <m/>
    <x v="2"/>
    <s v="JS"/>
    <s v="MedicalEligibilityConditions"/>
    <m/>
    <m/>
    <s v="       Acute or flare"/>
    <s v="Changed"/>
    <m/>
    <x v="1"/>
    <e v="#NAME?"/>
    <m/>
    <x v="0"/>
    <m/>
    <m/>
    <m/>
    <s v="B17.9"/>
    <s v="1E+50"/>
    <s v="57412004"/>
    <m/>
    <m/>
    <m/>
    <m/>
    <m/>
    <m/>
    <m/>
    <n v="149471"/>
    <m/>
    <m/>
    <m/>
    <m/>
    <m/>
    <m/>
    <x v="2"/>
    <n v="0"/>
    <x v="2"/>
    <x v="49"/>
    <n v="1"/>
    <s v=""/>
    <n v="1"/>
    <n v="1"/>
    <n v="1"/>
    <n v="0"/>
    <n v="0"/>
  </r>
  <r>
    <n v="1611"/>
    <s v="Viral hepatitis - Carrier"/>
    <n v="1611"/>
    <e v="#NAME?"/>
    <s v="Carrier"/>
    <x v="1"/>
    <n v="23"/>
    <s v="Current conditions affecting Medical Eligibility"/>
    <m/>
    <m/>
    <s v="FP.2. Counseling"/>
    <x v="11"/>
    <m/>
    <s v="2.10.5 Screen for medical eligibility"/>
    <m/>
    <s v="FP.DE.323"/>
    <m/>
    <m/>
    <s v="Client is a carrier of viral hepatitis"/>
    <m/>
    <m/>
    <s v="Carrier"/>
    <m/>
    <s v="No"/>
    <m/>
    <s v="Yes"/>
    <s v="C"/>
    <s v="Required during MEC check if MEC classification &gt;   MEC okay to use rating, currently 2] for method selected"/>
    <m/>
    <m/>
    <m/>
    <m/>
    <s v="MEC"/>
    <m/>
    <m/>
    <m/>
    <x v="3"/>
    <x v="0"/>
    <m/>
    <m/>
    <m/>
    <x v="2"/>
    <s v="JS"/>
    <s v="MedicalEligibilityConditions"/>
    <m/>
    <m/>
    <s v="       Carrier"/>
    <s v="Changed"/>
    <m/>
    <x v="1"/>
    <e v="#NAME?"/>
    <m/>
    <x v="0"/>
    <m/>
    <m/>
    <m/>
    <m/>
    <m/>
    <s v="170489004"/>
    <m/>
    <m/>
    <m/>
    <m/>
    <m/>
    <m/>
    <m/>
    <m/>
    <m/>
    <m/>
    <m/>
    <m/>
    <m/>
    <m/>
    <x v="2"/>
    <n v="0"/>
    <x v="2"/>
    <x v="49"/>
    <n v="1"/>
    <s v=""/>
    <n v="1"/>
    <n v="1"/>
    <n v="1"/>
    <n v="0"/>
    <n v="0"/>
  </r>
  <r>
    <n v="1612"/>
    <s v="Viral hepatitis - Chronic"/>
    <n v="1612"/>
    <e v="#NAME?"/>
    <s v="Chronic"/>
    <x v="1"/>
    <n v="23"/>
    <s v="Current conditions affecting Medical Eligibility"/>
    <m/>
    <m/>
    <s v="FP.2. Counseling"/>
    <x v="11"/>
    <m/>
    <s v="2.10.5 Screen for medical eligibility"/>
    <m/>
    <s v="FP.DE.324"/>
    <m/>
    <m/>
    <s v="Client has chronic viral hepatitis"/>
    <m/>
    <m/>
    <s v="Chronic"/>
    <m/>
    <s v="No"/>
    <m/>
    <s v="Yes"/>
    <s v="C"/>
    <s v="Required during MEC check if MEC classification &gt;   MEC okay to use rating, currently 2] for method selected"/>
    <m/>
    <m/>
    <m/>
    <m/>
    <s v="MEC"/>
    <m/>
    <m/>
    <m/>
    <x v="3"/>
    <x v="0"/>
    <m/>
    <m/>
    <m/>
    <x v="2"/>
    <s v="JS"/>
    <s v="MedicalEligibilityConditions"/>
    <m/>
    <m/>
    <s v="       Chronic"/>
    <s v="Changed"/>
    <m/>
    <x v="1"/>
    <e v="#NAME?"/>
    <m/>
    <x v="0"/>
    <m/>
    <m/>
    <m/>
    <s v="B18.9"/>
    <s v="1E+51"/>
    <s v="10295004"/>
    <m/>
    <m/>
    <m/>
    <m/>
    <m/>
    <m/>
    <m/>
    <n v="145131"/>
    <m/>
    <m/>
    <m/>
    <m/>
    <m/>
    <m/>
    <x v="2"/>
    <n v="0"/>
    <x v="2"/>
    <x v="49"/>
    <n v="1"/>
    <s v=""/>
    <n v="1"/>
    <n v="1"/>
    <n v="1"/>
    <n v="0"/>
    <n v="0"/>
  </r>
  <r>
    <n v="1613"/>
    <s v="Header - Cirrhosis"/>
    <n v="1613"/>
    <s v="Cirrhosis"/>
    <s v="Cirrhosis"/>
    <x v="2"/>
    <n v="18"/>
    <s v=""/>
    <m/>
    <m/>
    <s v="FP.2. Counseling"/>
    <x v="11"/>
    <m/>
    <s v="2.10.5 Screen for medical eligibility"/>
    <m/>
    <s v="FP.DE.325"/>
    <s v="Cirrhosis"/>
    <m/>
    <s v="Cirrhosis of liver (disorder)"/>
    <s v="Coding "/>
    <s v="Select all that apply"/>
    <m/>
    <m/>
    <s v="No"/>
    <m/>
    <s v="Yes"/>
    <s v="C"/>
    <s v="Required during MEC check if cirrhosis = TRUE and MEC classification &gt;   MEC okay to use rating, currently 2] for method selected"/>
    <m/>
    <m/>
    <m/>
    <m/>
    <s v="MEC"/>
    <m/>
    <m/>
    <m/>
    <x v="3"/>
    <x v="0"/>
    <m/>
    <m/>
    <m/>
    <x v="2"/>
    <s v="NA"/>
    <m/>
    <m/>
    <m/>
    <s v="Cirrhosis"/>
    <s v="Changed"/>
    <m/>
    <x v="1"/>
    <s v="&quot;Cirrhosis&quot;-&gt;&quot;Header - Cirrhosis&quot;"/>
    <m/>
    <x v="2"/>
    <m/>
    <m/>
    <s v="x"/>
    <m/>
    <m/>
    <s v="19943007"/>
    <m/>
    <m/>
    <s v="No terminology code required"/>
    <m/>
    <m/>
    <m/>
    <m/>
    <m/>
    <m/>
    <m/>
    <m/>
    <m/>
    <m/>
    <m/>
    <x v="2"/>
    <s v=""/>
    <x v="3"/>
    <x v="2"/>
    <n v="1"/>
    <s v=""/>
    <n v="1"/>
    <n v="1"/>
    <n v="1"/>
    <n v="0"/>
    <n v="0"/>
  </r>
  <r>
    <n v="1614"/>
    <s v="Cirrhosis - Mild (compensated)"/>
    <n v="1614"/>
    <e v="#NAME?"/>
    <s v="Mild (compensated)"/>
    <x v="1"/>
    <n v="23"/>
    <s v="Current conditions affecting Medical Eligibility"/>
    <m/>
    <m/>
    <s v="FP.2. Counseling"/>
    <x v="11"/>
    <m/>
    <s v="2.10.5 Screen for medical eligibility"/>
    <m/>
    <s v="FP.DE.326"/>
    <m/>
    <m/>
    <s v="Mild cirrhosis of the liver"/>
    <m/>
    <m/>
    <s v="Mild (compensated)"/>
    <m/>
    <s v="No"/>
    <m/>
    <s v="Yes"/>
    <s v="C"/>
    <s v="Required during MEC check if MEC classification &gt;   MEC okay to use rating, currently 2] for method selected"/>
    <m/>
    <m/>
    <m/>
    <m/>
    <s v="MEC"/>
    <m/>
    <m/>
    <m/>
    <x v="3"/>
    <x v="0"/>
    <m/>
    <m/>
    <m/>
    <x v="2"/>
    <s v="JS"/>
    <s v="MedicalEligibilityConditions"/>
    <m/>
    <m/>
    <s v="       Mild (compensated)"/>
    <s v="Changed"/>
    <m/>
    <x v="1"/>
    <e v="#NAME?"/>
    <m/>
    <x v="0"/>
    <m/>
    <m/>
    <s v="early"/>
    <m/>
    <m/>
    <s v="371139006"/>
    <m/>
    <m/>
    <m/>
    <m/>
    <m/>
    <m/>
    <m/>
    <m/>
    <m/>
    <m/>
    <m/>
    <m/>
    <m/>
    <m/>
    <x v="2"/>
    <n v="0"/>
    <x v="2"/>
    <x v="49"/>
    <n v="1"/>
    <s v=""/>
    <n v="1"/>
    <n v="1"/>
    <n v="1"/>
    <n v="0"/>
    <n v="0"/>
  </r>
  <r>
    <n v="1615"/>
    <s v="Cirrhosis - Severe (decompensated)"/>
    <n v="1615"/>
    <e v="#NAME?"/>
    <s v="Severe (decompensated)"/>
    <x v="1"/>
    <n v="23"/>
    <s v="Current conditions affecting Medical Eligibility"/>
    <m/>
    <m/>
    <s v="FP.2. Counseling"/>
    <x v="11"/>
    <m/>
    <s v="2.10.5 Screen for medical eligibility"/>
    <m/>
    <s v="FP.DE.327"/>
    <m/>
    <m/>
    <s v="Severe cirrhosis of the liver"/>
    <m/>
    <m/>
    <s v="Severe (decompensated)"/>
    <m/>
    <s v="No"/>
    <m/>
    <s v="Yes"/>
    <s v="C"/>
    <s v="Required during MEC check if MEC classification &gt;   MEC okay to use rating, currently 2] for method selected"/>
    <m/>
    <m/>
    <m/>
    <m/>
    <s v="MEC"/>
    <m/>
    <m/>
    <m/>
    <x v="3"/>
    <x v="0"/>
    <m/>
    <m/>
    <m/>
    <x v="2"/>
    <s v="JS"/>
    <s v="MedicalEligibilityConditions"/>
    <m/>
    <m/>
    <s v="       Severe (decompensated)"/>
    <s v="Changed"/>
    <m/>
    <x v="1"/>
    <e v="#NAME?"/>
    <m/>
    <x v="0"/>
    <m/>
    <m/>
    <s v="advanced X"/>
    <m/>
    <m/>
    <s v="123717006"/>
    <m/>
    <m/>
    <m/>
    <m/>
    <m/>
    <m/>
    <m/>
    <m/>
    <m/>
    <m/>
    <m/>
    <m/>
    <m/>
    <m/>
    <x v="2"/>
    <n v="0"/>
    <x v="2"/>
    <x v="49"/>
    <n v="1"/>
    <s v=""/>
    <n v="1"/>
    <n v="1"/>
    <n v="1"/>
    <n v="0"/>
    <n v="0"/>
  </r>
  <r>
    <n v="1616"/>
    <s v="Liver diseases"/>
    <n v="1616"/>
    <s v="Liver diseases"/>
    <s v="Liver diseases"/>
    <x v="2"/>
    <n v="14"/>
    <s v=""/>
    <m/>
    <m/>
    <s v="FP.2. Counseling"/>
    <x v="11"/>
    <m/>
    <s v="2.10.5 Screen for medical eligibility"/>
    <m/>
    <s v="FP.DE.328"/>
    <s v="Liver diseases"/>
    <m/>
    <s v="Client has liver disease, including hepatitis"/>
    <s v="Coding "/>
    <s v="Select all that apply"/>
    <m/>
    <m/>
    <s v="No"/>
    <m/>
    <s v="Yes"/>
    <s v="C"/>
    <s v="Required if contraindicated for method in MEC and Condition = TRUE"/>
    <m/>
    <m/>
    <m/>
    <m/>
    <s v="MEC"/>
    <m/>
    <m/>
    <m/>
    <x v="3"/>
    <x v="0"/>
    <m/>
    <m/>
    <m/>
    <x v="2"/>
    <s v="NA"/>
    <m/>
    <m/>
    <m/>
    <s v="Liver diseases"/>
    <s v="Same"/>
    <m/>
    <x v="1"/>
    <s v=""/>
    <m/>
    <x v="2"/>
    <m/>
    <m/>
    <m/>
    <s v="K71.9"/>
    <s v="DB95"/>
    <s v="197354009"/>
    <m/>
    <m/>
    <s v="No terminology code required"/>
    <m/>
    <m/>
    <m/>
    <m/>
    <n v="159098"/>
    <m/>
    <m/>
    <m/>
    <m/>
    <m/>
    <m/>
    <x v="2"/>
    <s v=""/>
    <x v="3"/>
    <x v="2"/>
    <n v="1"/>
    <s v=""/>
    <n v="1"/>
    <n v="1"/>
    <n v="1"/>
    <n v="0"/>
    <n v="0"/>
  </r>
  <r>
    <n v="1617"/>
    <s v="Liver tumour (carcinoma/hepatoma (malignant))"/>
    <n v="1617"/>
    <e v="#NAME?"/>
    <s v="Liver tumour (carcinoma/hepatoma (malignant))"/>
    <x v="1"/>
    <n v="23"/>
    <s v="Current conditions affecting Medical Eligibility"/>
    <m/>
    <m/>
    <s v="FP.2. Counseling"/>
    <x v="11"/>
    <m/>
    <s v="2.10.5 Screen for medical eligibility"/>
    <m/>
    <s v="FP.DE.329"/>
    <m/>
    <m/>
    <m/>
    <m/>
    <m/>
    <s v="Liver tumour (carcinoma/hepatoma (malignant))"/>
    <m/>
    <s v="No"/>
    <m/>
    <s v="Yes"/>
    <s v="C"/>
    <s v="Required during MEC check if MEC classification &gt;   MEC okay to use rating, currently 2] for method selected"/>
    <m/>
    <m/>
    <m/>
    <m/>
    <s v="MEC"/>
    <m/>
    <m/>
    <m/>
    <x v="3"/>
    <x v="0"/>
    <m/>
    <m/>
    <m/>
    <x v="2"/>
    <s v="JS"/>
    <s v="MedicalEligibilityConditions"/>
    <m/>
    <m/>
    <s v="       Liver tumour (carcinoma/hepatoma (malignant))"/>
    <s v="Changed"/>
    <m/>
    <x v="1"/>
    <e v="#NAME?"/>
    <m/>
    <x v="0"/>
    <m/>
    <m/>
    <s v="x"/>
    <m/>
    <m/>
    <s v="93870000"/>
    <m/>
    <m/>
    <m/>
    <m/>
    <m/>
    <m/>
    <m/>
    <m/>
    <m/>
    <m/>
    <m/>
    <m/>
    <m/>
    <m/>
    <x v="2"/>
    <n v="0"/>
    <x v="2"/>
    <x v="49"/>
    <n v="1"/>
    <s v=""/>
    <n v="1"/>
    <n v="1"/>
    <n v="1"/>
    <n v="0"/>
    <n v="0"/>
  </r>
  <r>
    <n v="1618"/>
    <s v="Liver tumour (hepatocellular adenoma (benign) "/>
    <n v="1618"/>
    <e v="#NAME?"/>
    <s v="Liver tumour (hepatocellular adenoma (benign) "/>
    <x v="1"/>
    <n v="23"/>
    <s v="Current conditions affecting Medical Eligibility"/>
    <m/>
    <m/>
    <s v="FP.2. Counseling"/>
    <x v="11"/>
    <m/>
    <s v="2.10.5 Screen for medical eligibility"/>
    <m/>
    <s v="FP.DE.330"/>
    <m/>
    <m/>
    <m/>
    <m/>
    <m/>
    <s v="Liver tumour (hepatocellular adenoma (benign) "/>
    <m/>
    <s v="No"/>
    <m/>
    <s v="Yes"/>
    <s v="C"/>
    <s v="Required during MEC check if MEC classification &gt;   MEC okay to use rating, currently 2] for method selected"/>
    <m/>
    <m/>
    <m/>
    <m/>
    <s v="MEC"/>
    <m/>
    <m/>
    <m/>
    <x v="3"/>
    <x v="0"/>
    <m/>
    <m/>
    <m/>
    <x v="2"/>
    <s v="JS"/>
    <s v="MedicalEligibilityConditions"/>
    <m/>
    <m/>
    <s v="       Liver tumour (hepatocellular adenoma (benign) "/>
    <s v="Changed"/>
    <m/>
    <x v="1"/>
    <e v="#NAME?"/>
    <m/>
    <x v="0"/>
    <m/>
    <m/>
    <s v="x"/>
    <m/>
    <m/>
    <s v="78058005"/>
    <m/>
    <m/>
    <m/>
    <m/>
    <m/>
    <m/>
    <m/>
    <m/>
    <m/>
    <m/>
    <m/>
    <m/>
    <m/>
    <m/>
    <x v="2"/>
    <n v="0"/>
    <x v="2"/>
    <x v="49"/>
    <n v="1"/>
    <s v=""/>
    <n v="1"/>
    <n v="1"/>
    <n v="1"/>
    <n v="0"/>
    <n v="0"/>
  </r>
  <r>
    <n v="1619"/>
    <s v="Hepatitis acute - Liver disease"/>
    <n v="1619"/>
    <e v="#NAME?"/>
    <s v="Hepatitis acute"/>
    <x v="1"/>
    <n v="23"/>
    <s v="Current conditions affecting Medical Eligibility"/>
    <m/>
    <m/>
    <s v="FP.2. Counseling"/>
    <x v="11"/>
    <m/>
    <s v="2.10.5 Screen for medical eligibility"/>
    <m/>
    <s v="FP.DE.331"/>
    <m/>
    <m/>
    <s v="Client has acute hepatitis"/>
    <m/>
    <m/>
    <s v="Hepatitis acute"/>
    <m/>
    <s v="No"/>
    <m/>
    <s v="Yes"/>
    <s v="C"/>
    <s v="Required during MEC check if MEC classification &gt;   MEC okay to use rating, currently 2] for method selected"/>
    <m/>
    <m/>
    <m/>
    <m/>
    <s v="MEC"/>
    <m/>
    <m/>
    <m/>
    <x v="3"/>
    <x v="0"/>
    <m/>
    <m/>
    <m/>
    <x v="2"/>
    <s v="JS"/>
    <s v="MedicalEligibilityConditions"/>
    <m/>
    <m/>
    <s v="       Hepatitis acute"/>
    <s v="Changed"/>
    <m/>
    <x v="1"/>
    <e v="#NAME?"/>
    <m/>
    <x v="0"/>
    <m/>
    <m/>
    <s v="x"/>
    <m/>
    <m/>
    <s v="37871000"/>
    <m/>
    <m/>
    <m/>
    <m/>
    <m/>
    <m/>
    <m/>
    <m/>
    <m/>
    <m/>
    <m/>
    <m/>
    <m/>
    <m/>
    <x v="2"/>
    <n v="0"/>
    <x v="2"/>
    <x v="49"/>
    <n v="1"/>
    <s v=""/>
    <n v="1"/>
    <n v="1"/>
    <n v="1"/>
    <n v="0"/>
    <n v="0"/>
  </r>
  <r>
    <n v="1620"/>
    <s v="Hepatitis flare - Liver disease"/>
    <n v="1620"/>
    <e v="#NAME?"/>
    <s v="Hepatitis flare"/>
    <x v="1"/>
    <n v="23"/>
    <s v="Current conditions affecting Medical Eligibility"/>
    <m/>
    <m/>
    <s v="FP.2. Counseling"/>
    <x v="11"/>
    <m/>
    <s v="2.10.5 Screen for medical eligibility"/>
    <m/>
    <s v="FP.DE.332"/>
    <m/>
    <m/>
    <s v="Client is having a hepatitis flare"/>
    <m/>
    <m/>
    <s v="Hepatitis flare"/>
    <m/>
    <s v="No"/>
    <m/>
    <s v="Yes"/>
    <s v="C"/>
    <s v="Required during MEC check if MEC classification &gt;   MEC okay to use rating, currently 2] for method selected"/>
    <m/>
    <m/>
    <m/>
    <m/>
    <s v="MEC"/>
    <m/>
    <m/>
    <m/>
    <x v="3"/>
    <x v="0"/>
    <m/>
    <m/>
    <m/>
    <x v="2"/>
    <s v="JS"/>
    <s v="MedicalEligibilityConditions"/>
    <m/>
    <m/>
    <s v="       Hepatitis flare"/>
    <s v="Changed"/>
    <m/>
    <x v="1"/>
    <e v="#NAME?"/>
    <m/>
    <x v="0"/>
    <m/>
    <m/>
    <m/>
    <m/>
    <m/>
    <s v="197286002"/>
    <m/>
    <m/>
    <m/>
    <m/>
    <m/>
    <m/>
    <m/>
    <m/>
    <m/>
    <m/>
    <m/>
    <m/>
    <m/>
    <m/>
    <x v="2"/>
    <n v="0"/>
    <x v="2"/>
    <x v="49"/>
    <n v="1"/>
    <s v=""/>
    <n v="1"/>
    <n v="1"/>
    <n v="1"/>
    <n v="0"/>
    <n v="0"/>
  </r>
  <r>
    <n v="1621"/>
    <s v="Anemias"/>
    <n v="1621"/>
    <s v="Anemias"/>
    <s v="Anemias"/>
    <x v="2"/>
    <n v="7"/>
    <s v=""/>
    <m/>
    <m/>
    <s v="FP.2. Counseling"/>
    <x v="11"/>
    <m/>
    <s v="2.10.5 Screen for medical eligibility"/>
    <m/>
    <s v="FP.DE.333"/>
    <s v="Anemias"/>
    <m/>
    <m/>
    <s v="Coding "/>
    <s v="Select all that apply"/>
    <m/>
    <m/>
    <s v="No"/>
    <m/>
    <s v="Yes"/>
    <s v="C"/>
    <s v="Required during MEC check if MEC classification &gt;   MEC okay to use rating, currently 2] for method selected"/>
    <m/>
    <m/>
    <m/>
    <m/>
    <s v="MEC"/>
    <m/>
    <m/>
    <m/>
    <x v="3"/>
    <x v="0"/>
    <m/>
    <m/>
    <m/>
    <x v="2"/>
    <s v="NA"/>
    <m/>
    <m/>
    <m/>
    <s v="Anemias"/>
    <s v="Same"/>
    <m/>
    <x v="1"/>
    <s v=""/>
    <m/>
    <x v="2"/>
    <m/>
    <m/>
    <m/>
    <m/>
    <m/>
    <m/>
    <m/>
    <m/>
    <s v="No terminology code required"/>
    <m/>
    <m/>
    <m/>
    <m/>
    <m/>
    <m/>
    <m/>
    <m/>
    <m/>
    <m/>
    <m/>
    <x v="2"/>
    <s v=""/>
    <x v="3"/>
    <x v="2"/>
    <n v="1"/>
    <s v=""/>
    <n v="1"/>
    <n v="1"/>
    <n v="1"/>
    <n v="0"/>
    <n v="0"/>
  </r>
  <r>
    <n v="1622"/>
    <s v="Anemia - Thalassemia"/>
    <n v="1622"/>
    <e v="#NAME?"/>
    <s v="Thalassemia"/>
    <x v="1"/>
    <n v="23"/>
    <s v="Current conditions affecting Medical Eligibility"/>
    <m/>
    <m/>
    <s v="FP.2. Counseling"/>
    <x v="11"/>
    <m/>
    <s v="2.10.5 Screen for medical eligibility"/>
    <m/>
    <s v="FP.DE.334"/>
    <m/>
    <m/>
    <m/>
    <m/>
    <m/>
    <s v="Thalassemia"/>
    <m/>
    <s v="No"/>
    <m/>
    <s v="Yes"/>
    <s v="C"/>
    <s v="Required during MEC check if MEC classification &gt;   MEC okay to use rating, currently 2] for method selected"/>
    <m/>
    <m/>
    <m/>
    <m/>
    <s v="MEC"/>
    <m/>
    <m/>
    <m/>
    <x v="3"/>
    <x v="0"/>
    <m/>
    <m/>
    <m/>
    <x v="2"/>
    <s v="JS"/>
    <s v="MedicalEligibilityConditions"/>
    <m/>
    <m/>
    <s v="       Thalassemia"/>
    <s v="Changed"/>
    <m/>
    <x v="1"/>
    <e v="#NAME?"/>
    <m/>
    <x v="0"/>
    <m/>
    <m/>
    <s v="x"/>
    <s v="D56.9"/>
    <s v="3A50"/>
    <s v="40108008"/>
    <m/>
    <m/>
    <m/>
    <m/>
    <m/>
    <m/>
    <m/>
    <n v="124940"/>
    <m/>
    <m/>
    <m/>
    <m/>
    <m/>
    <m/>
    <x v="2"/>
    <n v="0"/>
    <x v="2"/>
    <x v="49"/>
    <n v="1"/>
    <s v=""/>
    <n v="1"/>
    <n v="1"/>
    <n v="1"/>
    <n v="0"/>
    <n v="0"/>
  </r>
  <r>
    <n v="1623"/>
    <s v="Anemia - Sickle cell disease"/>
    <n v="1623"/>
    <e v="#NAME?"/>
    <s v="Sickle cell disease"/>
    <x v="1"/>
    <n v="23"/>
    <s v="Current conditions affecting Medical Eligibility"/>
    <m/>
    <m/>
    <s v="FP.2. Counseling"/>
    <x v="11"/>
    <m/>
    <s v="2.10.5 Screen for medical eligibility"/>
    <m/>
    <s v="FP.DE.335"/>
    <m/>
    <m/>
    <m/>
    <m/>
    <m/>
    <s v="Sickle cell disease"/>
    <m/>
    <s v="No"/>
    <m/>
    <s v="Yes"/>
    <s v="C"/>
    <s v="Required during MEC check if MEC classification &gt;   MEC okay to use rating, currently 2] for method selected"/>
    <m/>
    <m/>
    <m/>
    <m/>
    <s v="MEC"/>
    <m/>
    <m/>
    <m/>
    <x v="3"/>
    <x v="0"/>
    <m/>
    <m/>
    <m/>
    <x v="2"/>
    <s v="JS"/>
    <s v="MedicalEligibilityConditions"/>
    <m/>
    <m/>
    <s v="       Sickle cell disease"/>
    <s v="Changed"/>
    <m/>
    <x v="1"/>
    <e v="#NAME?"/>
    <m/>
    <x v="0"/>
    <m/>
    <m/>
    <m/>
    <m/>
    <m/>
    <s v="16402000"/>
    <m/>
    <m/>
    <m/>
    <m/>
    <m/>
    <m/>
    <m/>
    <m/>
    <m/>
    <m/>
    <m/>
    <m/>
    <m/>
    <m/>
    <x v="2"/>
    <n v="0"/>
    <x v="2"/>
    <x v="49"/>
    <n v="1"/>
    <s v=""/>
    <n v="1"/>
    <n v="1"/>
    <n v="1"/>
    <n v="0"/>
    <n v="0"/>
  </r>
  <r>
    <n v="1624"/>
    <s v="Anemia - Iron-deficiency anemia"/>
    <n v="1624"/>
    <e v="#NAME?"/>
    <s v="Iron-deficiency anemia"/>
    <x v="1"/>
    <n v="23"/>
    <s v="Current conditions affecting Medical Eligibility"/>
    <m/>
    <m/>
    <s v="FP.2. Counseling"/>
    <x v="11"/>
    <m/>
    <s v="2.10.5 Screen for medical eligibility"/>
    <m/>
    <s v="FP.DE.336"/>
    <m/>
    <m/>
    <m/>
    <m/>
    <m/>
    <s v="Iron-deficiency anemia"/>
    <m/>
    <s v="No"/>
    <m/>
    <s v="Yes"/>
    <s v="C"/>
    <s v="Required during MEC check if MEC classification &gt;   MEC okay to use rating, currently 2] for method selected"/>
    <m/>
    <m/>
    <m/>
    <m/>
    <s v="MEC"/>
    <m/>
    <m/>
    <m/>
    <x v="3"/>
    <x v="0"/>
    <m/>
    <m/>
    <m/>
    <x v="2"/>
    <s v="JS"/>
    <s v="MedicalEligibilityConditions"/>
    <m/>
    <m/>
    <s v="       Iron-deficiency anemia"/>
    <s v="Changed"/>
    <m/>
    <x v="1"/>
    <e v="#NAME?"/>
    <m/>
    <x v="0"/>
    <m/>
    <m/>
    <s v="x"/>
    <m/>
    <m/>
    <s v="87522002"/>
    <m/>
    <m/>
    <m/>
    <m/>
    <m/>
    <m/>
    <m/>
    <m/>
    <m/>
    <m/>
    <m/>
    <m/>
    <m/>
    <m/>
    <x v="2"/>
    <n v="0"/>
    <x v="2"/>
    <x v="49"/>
    <n v="1"/>
    <s v=""/>
    <n v="1"/>
    <n v="1"/>
    <n v="1"/>
    <n v="0"/>
    <n v="0"/>
  </r>
  <r>
    <n v="1625"/>
    <s v="Are they Taking any Current medications?"/>
    <n v="1625"/>
    <s v="Current medications"/>
    <s v="Current medications"/>
    <x v="2"/>
    <n v="40"/>
    <s v=""/>
    <m/>
    <m/>
    <s v="FP.2. Counseling"/>
    <x v="13"/>
    <m/>
    <s v="2.10.5 Screen for medical eligibility"/>
    <m/>
    <s v="FP.DE.060"/>
    <s v="Current medications"/>
    <m/>
    <s v="Determine if client is taking certain anticonvulsants, antimicrobials, and antiretrovirals, which may affect their medical eligibility, as well as if client is on antiretroviral therapy, pre-exposure prophylaxis, etc. "/>
    <s v="Boolean"/>
    <m/>
    <s v="True/False"/>
    <m/>
    <m/>
    <m/>
    <s v="Yes"/>
    <s v="C"/>
    <s v="Skip if Medical Eligibility &lt;[MEC do not use rating, currently 3] for method selected."/>
    <m/>
    <m/>
    <m/>
    <m/>
    <s v="MEC"/>
    <m/>
    <m/>
    <m/>
    <x v="3"/>
    <x v="0"/>
    <m/>
    <m/>
    <m/>
    <x v="2"/>
    <s v="NA"/>
    <m/>
    <m/>
    <m/>
    <s v="Are they Taking any Current medications?"/>
    <s v="Same"/>
    <m/>
    <x v="1"/>
    <s v="&quot;Current medications&quot;-&gt;&quot;Are they Taking any Current medications?&quot;"/>
    <m/>
    <x v="2"/>
    <m/>
    <m/>
    <m/>
    <m/>
    <m/>
    <m/>
    <m/>
    <m/>
    <s v="No terminology code required"/>
    <m/>
    <m/>
    <m/>
    <m/>
    <m/>
    <m/>
    <m/>
    <m/>
    <m/>
    <m/>
    <m/>
    <x v="2"/>
    <s v=""/>
    <x v="3"/>
    <x v="2"/>
    <n v="1"/>
    <s v=""/>
    <n v="1"/>
    <n v="1"/>
    <n v="1"/>
    <n v="0"/>
    <n v="0"/>
  </r>
  <r>
    <n v="1626"/>
    <s v="Current Medications"/>
    <n v="1626"/>
    <s v="Medications"/>
    <s v="Medications"/>
    <x v="0"/>
    <n v="19"/>
    <s v=""/>
    <m/>
    <m/>
    <s v="FP.2. Counseling"/>
    <x v="13"/>
    <m/>
    <s v="2.10.5 Screen for medical eligibility"/>
    <m/>
    <s v="FP.DE.337"/>
    <s v="Medications"/>
    <m/>
    <s v="Determine if client is taking certain anticonvulsants, antimicrobials, and antiretrovirals, which may affect their medical eligibility, as well as if client is on antiretroviral therapy, pre-exposure prophylaxis, etc. "/>
    <s v="Coding "/>
    <s v="Select all that apply"/>
    <m/>
    <m/>
    <s v="No"/>
    <m/>
    <s v="Yes"/>
    <s v="C"/>
    <s v="Skip if Current medications = FALSE, only include if MEC &gt;=[MEC do not use rating, currently 3] for the method selected"/>
    <m/>
    <m/>
    <m/>
    <m/>
    <s v="MEC"/>
    <m/>
    <m/>
    <m/>
    <x v="20"/>
    <x v="2"/>
    <s v="FHIR"/>
    <s v="4.0.1"/>
    <m/>
    <x v="53"/>
    <s v="JA"/>
    <m/>
    <m/>
    <m/>
    <s v="Medications"/>
    <s v="Changed"/>
    <m/>
    <x v="1"/>
    <s v="&quot;Medications&quot;-&gt;&quot;Current Medications&quot;"/>
    <m/>
    <x v="0"/>
    <m/>
    <m/>
    <m/>
    <m/>
    <m/>
    <m/>
    <m/>
    <m/>
    <s v="No terminology code required"/>
    <m/>
    <m/>
    <m/>
    <m/>
    <m/>
    <m/>
    <m/>
    <m/>
    <m/>
    <m/>
    <m/>
    <x v="7"/>
    <s v=""/>
    <x v="8"/>
    <x v="54"/>
    <n v="1"/>
    <n v="0"/>
    <n v="1"/>
    <n v="1"/>
    <n v="1"/>
    <n v="0"/>
    <n v="0"/>
  </r>
  <r>
    <n v="1627"/>
    <s v="       Anticonvulsants "/>
    <n v="1627"/>
    <s v="Anticonvulsants "/>
    <s v="Anticonvulsants "/>
    <x v="2"/>
    <n v="23"/>
    <s v=""/>
    <m/>
    <m/>
    <s v="FP.2. Counseling"/>
    <x v="13"/>
    <m/>
    <s v="2.10.5 Screen for medical eligibility"/>
    <m/>
    <s v="FP.DE.338"/>
    <m/>
    <m/>
    <s v="Client is currently taking anti-convulsant medication"/>
    <m/>
    <m/>
    <s v="Anticonvulsants "/>
    <m/>
    <s v="No"/>
    <m/>
    <s v="Yes"/>
    <s v="C"/>
    <s v="Skip if Medical Eligibility &lt;[MEC do not use rating, currently 3] for the method selected"/>
    <m/>
    <m/>
    <m/>
    <m/>
    <s v="MEC. Included in MEC app conditions.csv"/>
    <m/>
    <m/>
    <m/>
    <x v="3"/>
    <x v="0"/>
    <m/>
    <m/>
    <m/>
    <x v="2"/>
    <s v="NA"/>
    <m/>
    <m/>
    <m/>
    <s v="       Anticonvulsants "/>
    <s v="Same"/>
    <m/>
    <x v="1"/>
    <s v="&quot;Anticonvulsants &quot;-&gt;&quot;       Anticonvulsants &quot;"/>
    <m/>
    <x v="2"/>
    <m/>
    <m/>
    <m/>
    <m/>
    <m/>
    <m/>
    <m/>
    <m/>
    <m/>
    <m/>
    <m/>
    <m/>
    <m/>
    <m/>
    <m/>
    <m/>
    <m/>
    <m/>
    <m/>
    <m/>
    <x v="2"/>
    <s v=""/>
    <x v="3"/>
    <x v="2"/>
    <n v="1"/>
    <s v=""/>
    <n v="1"/>
    <n v="1"/>
    <n v="1"/>
    <n v="0"/>
    <n v="0"/>
  </r>
  <r>
    <n v="1628"/>
    <s v="       Antimicrobial therapy"/>
    <n v="1628"/>
    <s v="Antimicrobial therapy"/>
    <s v="Antimicrobial therapy"/>
    <x v="2"/>
    <n v="28"/>
    <s v=""/>
    <m/>
    <m/>
    <s v="FP.2. Counseling"/>
    <x v="13"/>
    <m/>
    <s v="2.10.5 Screen for medical eligibility"/>
    <m/>
    <s v="FP.DE.339"/>
    <m/>
    <m/>
    <s v="Client is currently taking antimicrobial medication"/>
    <m/>
    <m/>
    <s v="Antimicrobial therapy"/>
    <m/>
    <s v="No"/>
    <m/>
    <s v="Yes"/>
    <s v="C"/>
    <s v="Skip if Medical Eligibility &lt;[MEC do not use rating, currently 3] for the method selected"/>
    <m/>
    <m/>
    <m/>
    <m/>
    <s v="MEC. Included in MEC app conditions.csv"/>
    <m/>
    <m/>
    <m/>
    <x v="3"/>
    <x v="0"/>
    <m/>
    <m/>
    <m/>
    <x v="2"/>
    <s v="NA"/>
    <m/>
    <m/>
    <m/>
    <s v="       Antimicrobial therapy"/>
    <s v="Same"/>
    <m/>
    <x v="1"/>
    <s v="&quot;Antimicrobial therapy&quot;-&gt;&quot;       Antimicrobial therapy&quot;"/>
    <m/>
    <x v="0"/>
    <m/>
    <m/>
    <m/>
    <m/>
    <m/>
    <m/>
    <m/>
    <m/>
    <m/>
    <m/>
    <m/>
    <m/>
    <m/>
    <m/>
    <m/>
    <m/>
    <m/>
    <m/>
    <m/>
    <m/>
    <x v="2"/>
    <s v=""/>
    <x v="3"/>
    <x v="2"/>
    <n v="1"/>
    <s v=""/>
    <n v="1"/>
    <n v="1"/>
    <n v="1"/>
    <n v="0"/>
    <n v="0"/>
  </r>
  <r>
    <n v="1629"/>
    <s v="       Antiretroviral therapy"/>
    <n v="1629"/>
    <s v="Antiretroviral therapy"/>
    <s v="Antiretroviral therapy"/>
    <x v="2"/>
    <n v="29"/>
    <s v=""/>
    <m/>
    <m/>
    <s v="FP.2. Counseling"/>
    <x v="13"/>
    <m/>
    <s v="2.10.5 Screen for medical eligibility"/>
    <m/>
    <s v="FP.DE.340"/>
    <m/>
    <m/>
    <s v="Client is currently taking antiretroviral medication"/>
    <m/>
    <m/>
    <s v="Antiretroviral therapy"/>
    <m/>
    <s v="No"/>
    <m/>
    <s v="Yes"/>
    <s v="C"/>
    <s v="Skip if Medical Eligibility &lt;[MEC do not use rating, currently 3] for the method selected"/>
    <m/>
    <m/>
    <m/>
    <m/>
    <s v="MEC. Included in MEC app conditions.csv"/>
    <m/>
    <m/>
    <m/>
    <x v="3"/>
    <x v="0"/>
    <m/>
    <m/>
    <m/>
    <x v="2"/>
    <s v="NA"/>
    <m/>
    <m/>
    <m/>
    <s v="       Antiretroviral therapy"/>
    <s v="Same"/>
    <m/>
    <x v="1"/>
    <s v="&quot;Antiretroviral therapy&quot;-&gt;&quot;       Antiretroviral therapy&quot;"/>
    <m/>
    <x v="2"/>
    <m/>
    <m/>
    <m/>
    <m/>
    <m/>
    <m/>
    <m/>
    <m/>
    <m/>
    <m/>
    <m/>
    <m/>
    <m/>
    <m/>
    <m/>
    <m/>
    <m/>
    <m/>
    <m/>
    <m/>
    <x v="2"/>
    <s v=""/>
    <x v="3"/>
    <x v="2"/>
    <n v="1"/>
    <s v=""/>
    <n v="1"/>
    <n v="1"/>
    <n v="1"/>
    <n v="0"/>
    <n v="0"/>
  </r>
  <r>
    <n v="1630"/>
    <s v="Anticonvulsant therapy"/>
    <n v="1630"/>
    <s v="Anticonvulsant therapy"/>
    <s v="Anticonvulsant therapy"/>
    <x v="2"/>
    <n v="22"/>
    <s v=""/>
    <m/>
    <m/>
    <s v="FP.2. Counseling"/>
    <x v="10"/>
    <m/>
    <s v="2.10.5 Screen for medical eligibility"/>
    <m/>
    <s v="FP.DE.341"/>
    <s v="Anticonvulsant therapy"/>
    <m/>
    <s v="Client is currently taking anti-convulsant medication"/>
    <m/>
    <m/>
    <m/>
    <m/>
    <s v="No"/>
    <m/>
    <s v="Yes"/>
    <s v="C"/>
    <s v="Include if Medications = Anticonvulsant therapy, and required in MEC classification &gt;=   MEC okay to use rating, currently 2] for method selected"/>
    <m/>
    <m/>
    <m/>
    <m/>
    <s v="MEC. Included in MEC app conditions.csv"/>
    <m/>
    <m/>
    <m/>
    <x v="3"/>
    <x v="0"/>
    <m/>
    <m/>
    <m/>
    <x v="2"/>
    <s v="NA"/>
    <m/>
    <m/>
    <m/>
    <s v="       Anticonvulsant therapy"/>
    <s v="Changed"/>
    <m/>
    <x v="1"/>
    <s v=""/>
    <m/>
    <x v="0"/>
    <m/>
    <m/>
    <m/>
    <m/>
    <m/>
    <m/>
    <m/>
    <m/>
    <m/>
    <m/>
    <m/>
    <m/>
    <m/>
    <m/>
    <m/>
    <m/>
    <m/>
    <m/>
    <m/>
    <m/>
    <x v="2"/>
    <s v=""/>
    <x v="3"/>
    <x v="2"/>
    <n v="1"/>
    <s v=""/>
    <n v="1"/>
    <n v="1"/>
    <n v="1"/>
    <n v="0"/>
    <n v="0"/>
  </r>
  <r>
    <n v="1631"/>
    <s v="barbiturates"/>
    <n v="1631"/>
    <e v="#NAME?"/>
    <s v="barbiturates"/>
    <x v="1"/>
    <n v="12"/>
    <s v="Current Medications"/>
    <m/>
    <m/>
    <s v="FP.2. Counseling"/>
    <x v="13"/>
    <m/>
    <s v="2.10.5 Screen for medical eligibility"/>
    <m/>
    <s v="FP.DE.342"/>
    <m/>
    <m/>
    <s v="Client is currently taking barbiturates"/>
    <m/>
    <m/>
    <s v="barbiturates"/>
    <m/>
    <s v="No"/>
    <m/>
    <s v="Yes"/>
    <s v="C"/>
    <s v="Skip if Medical Eligibility &lt;[MEC do not use rating, currently 3] for the method selected"/>
    <m/>
    <m/>
    <m/>
    <m/>
    <s v="MEC. Included in MEC app conditions.csv"/>
    <m/>
    <m/>
    <m/>
    <x v="3"/>
    <x v="0"/>
    <m/>
    <m/>
    <m/>
    <x v="2"/>
    <s v="JS"/>
    <m/>
    <m/>
    <m/>
    <s v="       barbiturates"/>
    <s v="Changed"/>
    <m/>
    <x v="1"/>
    <e v="#NAME?"/>
    <m/>
    <x v="0"/>
    <m/>
    <m/>
    <s v="class"/>
    <m/>
    <m/>
    <m/>
    <m/>
    <s v="D001463"/>
    <m/>
    <m/>
    <s v="ATC 1-4"/>
    <m/>
    <m/>
    <m/>
    <m/>
    <m/>
    <m/>
    <m/>
    <m/>
    <m/>
    <x v="2"/>
    <n v="0"/>
    <x v="2"/>
    <x v="54"/>
    <n v="1"/>
    <s v=""/>
    <n v="1"/>
    <n v="1"/>
    <n v="1"/>
    <n v="0"/>
    <n v="0"/>
  </r>
  <r>
    <n v="1632"/>
    <s v="carbamazepine"/>
    <n v="1632"/>
    <e v="#NAME?"/>
    <s v="carbamazepine"/>
    <x v="1"/>
    <n v="13"/>
    <s v="Current Medications"/>
    <m/>
    <m/>
    <s v="FP.2. Counseling"/>
    <x v="13"/>
    <m/>
    <s v="2.10.5 Screen for medical eligibility"/>
    <m/>
    <s v="FP.DE.343"/>
    <m/>
    <m/>
    <s v="Client is currently taking carbamazepine"/>
    <m/>
    <m/>
    <s v="carbamazepine"/>
    <m/>
    <s v="No"/>
    <m/>
    <s v="Yes"/>
    <s v="C"/>
    <s v="Skip if Medical Eligibility &lt;[MEC do not use rating, currently 3] for the method selected"/>
    <m/>
    <m/>
    <m/>
    <m/>
    <s v="MEC. Included in MEC app conditions.csv"/>
    <m/>
    <m/>
    <m/>
    <x v="3"/>
    <x v="0"/>
    <m/>
    <m/>
    <m/>
    <x v="2"/>
    <s v="JS"/>
    <m/>
    <m/>
    <m/>
    <s v="       carbamazepine"/>
    <s v="Changed"/>
    <m/>
    <x v="1"/>
    <e v="#NAME?"/>
    <m/>
    <x v="0"/>
    <m/>
    <m/>
    <s v="x"/>
    <m/>
    <m/>
    <s v="40820003"/>
    <m/>
    <s v="2002"/>
    <m/>
    <m/>
    <s v="c0006949"/>
    <m/>
    <m/>
    <n v="72822"/>
    <m/>
    <m/>
    <s v="72822AAAAAAAAAAAAAAAAAAAAAAAAAAAAAAA"/>
    <m/>
    <m/>
    <m/>
    <x v="2"/>
    <n v="0"/>
    <x v="2"/>
    <x v="54"/>
    <n v="1"/>
    <s v=""/>
    <n v="1"/>
    <n v="1"/>
    <n v="1"/>
    <n v="0"/>
    <n v="0"/>
  </r>
  <r>
    <n v="1633"/>
    <s v="oxcarbazepine"/>
    <n v="1633"/>
    <e v="#NAME?"/>
    <s v="oxcarbazepine"/>
    <x v="1"/>
    <n v="13"/>
    <s v="Current Medications"/>
    <m/>
    <m/>
    <s v="FP.2. Counseling"/>
    <x v="13"/>
    <m/>
    <s v="2.10.5 Screen for medical eligibility"/>
    <m/>
    <s v="FP.DE.344"/>
    <m/>
    <m/>
    <s v="Client is currently taking oxcarbazepine"/>
    <m/>
    <m/>
    <s v="oxcarbazepine"/>
    <m/>
    <s v="No"/>
    <m/>
    <s v="Yes"/>
    <s v="C"/>
    <s v="Skip if Medical Eligibility &lt;[MEC do not use rating, currently 3] for the method selected"/>
    <m/>
    <m/>
    <m/>
    <m/>
    <s v="MEC. Included in MEC app conditions.csv"/>
    <m/>
    <m/>
    <m/>
    <x v="3"/>
    <x v="0"/>
    <m/>
    <m/>
    <m/>
    <x v="2"/>
    <s v="JS"/>
    <m/>
    <m/>
    <m/>
    <s v="       oxcarbazepine"/>
    <s v="Changed"/>
    <m/>
    <x v="1"/>
    <e v="#NAME?"/>
    <m/>
    <x v="0"/>
    <m/>
    <m/>
    <s v="x; 600 mg"/>
    <m/>
    <m/>
    <s v="116511002"/>
    <m/>
    <s v="32624"/>
    <m/>
    <m/>
    <s v="c0979183"/>
    <m/>
    <m/>
    <n v="81294"/>
    <m/>
    <m/>
    <s v="81294AAAAAAAAAAAAAAAAAAAAAAAAAAAAAAA"/>
    <m/>
    <m/>
    <m/>
    <x v="2"/>
    <n v="0"/>
    <x v="2"/>
    <x v="54"/>
    <n v="1"/>
    <s v=""/>
    <n v="1"/>
    <n v="1"/>
    <n v="1"/>
    <n v="0"/>
    <n v="0"/>
  </r>
  <r>
    <n v="1634"/>
    <s v="phenytoin"/>
    <n v="1634"/>
    <e v="#NAME?"/>
    <s v="phenytoin"/>
    <x v="1"/>
    <n v="9"/>
    <s v="Current Medications"/>
    <m/>
    <m/>
    <s v="FP.2. Counseling"/>
    <x v="13"/>
    <m/>
    <s v="2.10.5 Screen for medical eligibility"/>
    <m/>
    <s v="FP.DE.345"/>
    <m/>
    <m/>
    <s v="Client is currently taking phenytoin"/>
    <m/>
    <m/>
    <s v="phenytoin"/>
    <m/>
    <s v="No"/>
    <m/>
    <s v="Yes"/>
    <s v="C"/>
    <s v="Skip if Medical Eligibility &lt;[MEC do not use rating, currently 3] for the method selected"/>
    <m/>
    <m/>
    <m/>
    <m/>
    <s v="MEC. Included in MEC app conditions.csv"/>
    <m/>
    <m/>
    <m/>
    <x v="3"/>
    <x v="0"/>
    <m/>
    <m/>
    <m/>
    <x v="2"/>
    <s v="JS"/>
    <m/>
    <m/>
    <m/>
    <s v="       phenytoin"/>
    <s v="Changed"/>
    <m/>
    <x v="1"/>
    <e v="#NAME?"/>
    <m/>
    <x v="0"/>
    <m/>
    <m/>
    <s v="x"/>
    <m/>
    <m/>
    <s v="40556005"/>
    <m/>
    <s v="8183"/>
    <m/>
    <m/>
    <s v="c0031507"/>
    <m/>
    <m/>
    <n v="82023"/>
    <m/>
    <m/>
    <s v="82023AAAAAAAAAAAAAAAAAAAAAAAAAAAAAAA"/>
    <m/>
    <m/>
    <m/>
    <x v="2"/>
    <n v="0"/>
    <x v="2"/>
    <x v="54"/>
    <n v="1"/>
    <s v=""/>
    <n v="1"/>
    <n v="1"/>
    <n v="1"/>
    <n v="0"/>
    <n v="0"/>
  </r>
  <r>
    <n v="1635"/>
    <s v="primidone"/>
    <n v="1635"/>
    <e v="#NAME?"/>
    <s v="primidone"/>
    <x v="1"/>
    <n v="9"/>
    <s v="Current Medications"/>
    <m/>
    <m/>
    <s v="FP.2. Counseling"/>
    <x v="13"/>
    <m/>
    <s v="2.10.5 Screen for medical eligibility"/>
    <m/>
    <s v="FP.DE.346"/>
    <m/>
    <m/>
    <s v="Client is currently taking primidone"/>
    <m/>
    <m/>
    <s v="primidone"/>
    <m/>
    <s v="No"/>
    <m/>
    <s v="Yes"/>
    <s v="C"/>
    <s v="Skip if Medical Eligibility &lt;[MEC do not use rating, currently 3] for the method selected"/>
    <m/>
    <m/>
    <m/>
    <m/>
    <s v="MEC. Included in MEC app conditions.csv"/>
    <m/>
    <m/>
    <m/>
    <x v="3"/>
    <x v="0"/>
    <m/>
    <m/>
    <m/>
    <x v="2"/>
    <s v="JS"/>
    <m/>
    <m/>
    <m/>
    <s v="       primidone"/>
    <s v="Changed"/>
    <m/>
    <x v="1"/>
    <e v="#NAME?"/>
    <m/>
    <x v="0"/>
    <m/>
    <m/>
    <s v="x"/>
    <m/>
    <m/>
    <s v="47120002"/>
    <m/>
    <s v="8691"/>
    <m/>
    <m/>
    <s v="c0033148"/>
    <m/>
    <m/>
    <n v="82534"/>
    <m/>
    <m/>
    <s v="82534AAAAAAAAAAAAAAAAAAAAAAAAAAAAAAA"/>
    <m/>
    <m/>
    <m/>
    <x v="2"/>
    <n v="0"/>
    <x v="2"/>
    <x v="54"/>
    <n v="1"/>
    <s v=""/>
    <n v="1"/>
    <n v="1"/>
    <n v="1"/>
    <n v="0"/>
    <n v="0"/>
  </r>
  <r>
    <n v="1636"/>
    <s v="topiramate"/>
    <n v="1636"/>
    <e v="#NAME?"/>
    <s v="topiramate"/>
    <x v="1"/>
    <n v="10"/>
    <s v="Current Medications"/>
    <m/>
    <m/>
    <s v="FP.2. Counseling"/>
    <x v="13"/>
    <m/>
    <s v="2.10.5 Screen for medical eligibility"/>
    <m/>
    <s v="FP.DE.347"/>
    <m/>
    <m/>
    <s v="Client is currently taking topiramate"/>
    <m/>
    <m/>
    <s v="topiramate"/>
    <m/>
    <s v="No"/>
    <m/>
    <s v="Yes"/>
    <s v="C"/>
    <s v="Skip if Medical Eligibility &lt;[MEC do not use rating, currently 3] for the method selected"/>
    <m/>
    <m/>
    <m/>
    <m/>
    <s v="MEC. Included in MEC app conditions.csv"/>
    <m/>
    <m/>
    <m/>
    <x v="3"/>
    <x v="0"/>
    <m/>
    <m/>
    <m/>
    <x v="2"/>
    <s v="JS"/>
    <m/>
    <m/>
    <m/>
    <s v="       topiramate"/>
    <s v="Changed"/>
    <m/>
    <x v="1"/>
    <e v="#NAME?"/>
    <m/>
    <x v="0"/>
    <m/>
    <m/>
    <s v="x"/>
    <m/>
    <m/>
    <s v="108400009"/>
    <m/>
    <s v="38404"/>
    <m/>
    <m/>
    <s v="c0076829"/>
    <m/>
    <m/>
    <n v="85235"/>
    <m/>
    <m/>
    <s v="85235AAAAAAAAAAAAAAAAAAAAAAAAAAAAAAA"/>
    <m/>
    <m/>
    <m/>
    <x v="2"/>
    <n v="0"/>
    <x v="2"/>
    <x v="54"/>
    <n v="1"/>
    <s v=""/>
    <n v="1"/>
    <n v="1"/>
    <n v="1"/>
    <n v="0"/>
    <n v="0"/>
  </r>
  <r>
    <n v="1637"/>
    <s v="lamotrigine"/>
    <n v="1637"/>
    <e v="#NAME?"/>
    <s v="lamotrigine"/>
    <x v="1"/>
    <n v="11"/>
    <s v="Current Medications"/>
    <m/>
    <m/>
    <s v="FP.2. Counseling"/>
    <x v="13"/>
    <m/>
    <s v="2.10.5 Screen for medical eligibility"/>
    <m/>
    <s v="FP.DE.348"/>
    <m/>
    <m/>
    <s v="Client is currently taking lamotrigine"/>
    <m/>
    <m/>
    <s v="lamotrigine"/>
    <m/>
    <s v="No"/>
    <m/>
    <s v="Yes"/>
    <s v="C"/>
    <s v="Skip if Medical Eligibility &lt;[MEC do not use rating, currently 3] for the method selected"/>
    <m/>
    <m/>
    <m/>
    <m/>
    <s v="MEC. Included in MEC app conditions.csv"/>
    <m/>
    <m/>
    <m/>
    <x v="3"/>
    <x v="0"/>
    <m/>
    <m/>
    <m/>
    <x v="2"/>
    <s v="JS"/>
    <m/>
    <m/>
    <m/>
    <s v="       lamotrigine"/>
    <s v="Changed"/>
    <m/>
    <x v="1"/>
    <e v="#NAME?"/>
    <m/>
    <x v="0"/>
    <m/>
    <m/>
    <s v="x"/>
    <m/>
    <m/>
    <s v="96195007"/>
    <m/>
    <s v="28439"/>
    <m/>
    <m/>
    <s v="c0064636"/>
    <m/>
    <m/>
    <n v="78644"/>
    <m/>
    <m/>
    <s v="78644AAAAAAAAAAAAAAAAAAAAAAAAAAAAAAA"/>
    <m/>
    <m/>
    <m/>
    <x v="2"/>
    <n v="0"/>
    <x v="2"/>
    <x v="54"/>
    <n v="1"/>
    <s v=""/>
    <n v="1"/>
    <n v="1"/>
    <n v="1"/>
    <n v="0"/>
    <n v="0"/>
  </r>
  <r>
    <n v="1638"/>
    <s v="Antimicrobial therapy"/>
    <n v="1638"/>
    <s v="Antimicrobial therapy"/>
    <s v="Antimicrobial therapy"/>
    <x v="2"/>
    <n v="21"/>
    <s v=""/>
    <m/>
    <m/>
    <s v="FP.2. Counseling"/>
    <x v="13"/>
    <m/>
    <s v="2.10.5 Screen for medical eligibility"/>
    <m/>
    <s v="FP.DE.349"/>
    <s v="Antimicrobial therapy"/>
    <m/>
    <s v="Client is currently taking antimicrobial medication"/>
    <m/>
    <m/>
    <m/>
    <m/>
    <s v="No"/>
    <m/>
    <s v="Yes"/>
    <s v="C"/>
    <s v="Include if Medications = Antimicrobial therapy"/>
    <m/>
    <m/>
    <m/>
    <m/>
    <s v="MEC. Included in MEC app conditions.csv"/>
    <m/>
    <m/>
    <m/>
    <x v="3"/>
    <x v="0"/>
    <m/>
    <m/>
    <m/>
    <x v="2"/>
    <s v="NA"/>
    <m/>
    <m/>
    <m/>
    <s v="       Antimicrobial therapy"/>
    <s v="Changed"/>
    <m/>
    <x v="1"/>
    <s v=""/>
    <m/>
    <x v="0"/>
    <m/>
    <m/>
    <m/>
    <m/>
    <m/>
    <m/>
    <m/>
    <m/>
    <s v="No terminology code required"/>
    <m/>
    <m/>
    <m/>
    <m/>
    <m/>
    <m/>
    <m/>
    <m/>
    <m/>
    <m/>
    <m/>
    <x v="2"/>
    <s v=""/>
    <x v="3"/>
    <x v="2"/>
    <n v="1"/>
    <s v=""/>
    <n v="1"/>
    <n v="1"/>
    <n v="1"/>
    <n v="0"/>
    <n v="0"/>
  </r>
  <r>
    <n v="1639"/>
    <s v="Broad-spectrum antibiotics"/>
    <n v="1639"/>
    <e v="#NAME?"/>
    <s v="Broad-spectrum antibiotics"/>
    <x v="1"/>
    <n v="26"/>
    <s v="Current Medications"/>
    <m/>
    <m/>
    <s v="FP.2. Counseling"/>
    <x v="13"/>
    <m/>
    <s v="2.10.5 Screen for medical eligibility"/>
    <m/>
    <s v="FP.DE.350"/>
    <m/>
    <m/>
    <s v="Client is currently taking Broad-spectrum antibiotics"/>
    <m/>
    <m/>
    <s v="Broad-spectrum antibiotics"/>
    <m/>
    <s v="No"/>
    <m/>
    <s v="Yes"/>
    <s v="C"/>
    <s v="Skip if Medical Eligibility &lt;[MEC do not use rating, currently 3] for the method selected"/>
    <m/>
    <m/>
    <m/>
    <m/>
    <s v="MEC. Included in MEC app conditions.csv"/>
    <m/>
    <m/>
    <m/>
    <x v="3"/>
    <x v="0"/>
    <m/>
    <m/>
    <m/>
    <x v="2"/>
    <s v="JS"/>
    <m/>
    <m/>
    <m/>
    <s v="       Broad-spectrum antibiotics"/>
    <s v="Changed"/>
    <m/>
    <x v="1"/>
    <e v="#NAME?"/>
    <m/>
    <x v="0"/>
    <s v="http://who.int/cg/CodeSystem/extended-content"/>
    <s v="Broad-spectrum antibiotics"/>
    <m/>
    <m/>
    <m/>
    <m/>
    <m/>
    <m/>
    <s v="No RXNorm code available"/>
    <m/>
    <m/>
    <m/>
    <m/>
    <m/>
    <m/>
    <m/>
    <m/>
    <m/>
    <m/>
    <m/>
    <x v="2"/>
    <n v="0"/>
    <x v="2"/>
    <x v="54"/>
    <n v="1"/>
    <s v=""/>
    <n v="1"/>
    <n v="1"/>
    <n v="1"/>
    <n v="0"/>
    <n v="0"/>
  </r>
  <r>
    <n v="1640"/>
    <s v="Antifungals"/>
    <n v="1640"/>
    <e v="#NAME?"/>
    <s v="Antifungals"/>
    <x v="1"/>
    <n v="11"/>
    <s v="Current Medications"/>
    <m/>
    <m/>
    <s v="FP.2. Counseling"/>
    <x v="13"/>
    <m/>
    <s v="2.10.5 Screen for medical eligibility"/>
    <m/>
    <s v="FP.DE.351"/>
    <m/>
    <m/>
    <s v="Client is currently taking Antifungals"/>
    <m/>
    <m/>
    <s v="Antifungals"/>
    <m/>
    <s v="No"/>
    <m/>
    <s v="Yes"/>
    <s v="C"/>
    <s v="Skip if Medical Eligibility &lt;[MEC do not use rating, currently 3] for the method selected"/>
    <m/>
    <m/>
    <m/>
    <m/>
    <s v="MEC. Included in MEC app conditions.csv"/>
    <m/>
    <m/>
    <m/>
    <x v="3"/>
    <x v="0"/>
    <m/>
    <m/>
    <m/>
    <x v="2"/>
    <s v="JS"/>
    <m/>
    <m/>
    <m/>
    <s v="       Antifungals"/>
    <s v="Changed"/>
    <m/>
    <x v="1"/>
    <e v="#NAME?"/>
    <m/>
    <x v="0"/>
    <m/>
    <m/>
    <s v="? no sure"/>
    <m/>
    <m/>
    <m/>
    <m/>
    <s v="J02"/>
    <m/>
    <m/>
    <s v="id: N0000178297"/>
    <m/>
    <m/>
    <m/>
    <m/>
    <m/>
    <m/>
    <m/>
    <m/>
    <m/>
    <x v="2"/>
    <n v="0"/>
    <x v="2"/>
    <x v="54"/>
    <n v="1"/>
    <s v=""/>
    <n v="1"/>
    <n v="1"/>
    <n v="1"/>
    <n v="0"/>
    <n v="0"/>
  </r>
  <r>
    <n v="1641"/>
    <s v="Antiparasitics"/>
    <n v="1641"/>
    <e v="#NAME?"/>
    <s v="Antiparasitics"/>
    <x v="1"/>
    <n v="14"/>
    <s v="Current Medications"/>
    <m/>
    <m/>
    <s v="FP.2. Counseling"/>
    <x v="13"/>
    <m/>
    <s v="2.10.5 Screen for medical eligibility"/>
    <m/>
    <s v="FP.DE.352"/>
    <m/>
    <m/>
    <s v="Client is currently taking Antiparasitics"/>
    <m/>
    <m/>
    <s v="Antiparasitics"/>
    <m/>
    <s v="No"/>
    <m/>
    <s v="Yes"/>
    <s v="C"/>
    <s v="Skip if Medical Eligibility &lt;[MEC do not use rating, currently 3] for the method selected"/>
    <m/>
    <m/>
    <m/>
    <m/>
    <s v="MEC. Included in MEC app conditions.csv"/>
    <m/>
    <m/>
    <m/>
    <x v="3"/>
    <x v="0"/>
    <m/>
    <m/>
    <m/>
    <x v="2"/>
    <s v="JS"/>
    <m/>
    <m/>
    <m/>
    <s v="       Antiparasitics"/>
    <s v="Changed"/>
    <m/>
    <x v="1"/>
    <e v="#NAME?"/>
    <m/>
    <x v="0"/>
    <m/>
    <m/>
    <m/>
    <m/>
    <m/>
    <m/>
    <m/>
    <s v="P"/>
    <m/>
    <m/>
    <m/>
    <m/>
    <m/>
    <m/>
    <m/>
    <m/>
    <m/>
    <m/>
    <m/>
    <m/>
    <x v="2"/>
    <n v="0"/>
    <x v="2"/>
    <x v="54"/>
    <n v="1"/>
    <s v=""/>
    <n v="1"/>
    <n v="1"/>
    <n v="1"/>
    <n v="0"/>
    <n v="0"/>
  </r>
  <r>
    <n v="1642"/>
    <s v="Rifampicin "/>
    <n v="1642"/>
    <e v="#NAME?"/>
    <s v="Rifampicin "/>
    <x v="1"/>
    <n v="11"/>
    <s v="Current Medications"/>
    <m/>
    <m/>
    <s v="FP.2. Counseling"/>
    <x v="13"/>
    <m/>
    <s v="2.10.5 Screen for medical eligibility"/>
    <m/>
    <s v="FP.DE.353"/>
    <m/>
    <m/>
    <s v="Client is currently taking Rifampicin "/>
    <m/>
    <m/>
    <s v="Rifampicin "/>
    <m/>
    <s v="No"/>
    <m/>
    <s v="Yes"/>
    <s v="C"/>
    <s v="Skip if Medical Eligibility &lt;[MEC do not use rating, currently 3] for the method selected"/>
    <m/>
    <m/>
    <m/>
    <m/>
    <s v="MEC. Included in MEC app conditions.csv"/>
    <m/>
    <m/>
    <m/>
    <x v="3"/>
    <x v="0"/>
    <m/>
    <m/>
    <m/>
    <x v="2"/>
    <s v="JS"/>
    <m/>
    <m/>
    <m/>
    <s v="       Rifampicin "/>
    <s v="Changed"/>
    <m/>
    <x v="1"/>
    <e v="#NAME?"/>
    <m/>
    <x v="0"/>
    <m/>
    <m/>
    <s v="x"/>
    <m/>
    <m/>
    <s v="29175007"/>
    <m/>
    <s v="9384"/>
    <m/>
    <m/>
    <s v="c0035608"/>
    <s v="c0035608"/>
    <m/>
    <n v="767"/>
    <m/>
    <m/>
    <s v="767AAAAAAAAAAAAAAAAAAAAAAAAAAAAAAAAA"/>
    <m/>
    <m/>
    <m/>
    <x v="2"/>
    <n v="0"/>
    <x v="2"/>
    <x v="54"/>
    <n v="1"/>
    <s v=""/>
    <n v="1"/>
    <n v="1"/>
    <n v="1"/>
    <n v="0"/>
    <n v="0"/>
  </r>
  <r>
    <n v="1643"/>
    <s v="Rifabutin"/>
    <n v="1643"/>
    <e v="#NAME?"/>
    <s v="Rifabutin"/>
    <x v="1"/>
    <n v="9"/>
    <s v="Current Medications"/>
    <m/>
    <m/>
    <s v="FP.2. Counseling"/>
    <x v="13"/>
    <m/>
    <s v="2.10.5 Screen for medical eligibility"/>
    <m/>
    <s v="FP.DE.354"/>
    <m/>
    <m/>
    <s v="Client is currently taking Rifabutin"/>
    <m/>
    <m/>
    <s v="Rifabutin"/>
    <m/>
    <s v="No"/>
    <m/>
    <s v="Yes"/>
    <s v="C"/>
    <s v="Skip if Medical Eligibility &lt;[MEC do not use rating, currently 3] for the method selected"/>
    <m/>
    <m/>
    <m/>
    <m/>
    <s v="MEC. Included in MEC app conditions.csv"/>
    <m/>
    <m/>
    <m/>
    <x v="3"/>
    <x v="0"/>
    <m/>
    <m/>
    <m/>
    <x v="2"/>
    <s v="JS"/>
    <m/>
    <m/>
    <m/>
    <s v="       Rifabutin"/>
    <s v="Changed"/>
    <m/>
    <x v="1"/>
    <e v="#NAME?"/>
    <m/>
    <x v="0"/>
    <m/>
    <m/>
    <s v="x"/>
    <m/>
    <m/>
    <s v="108684009"/>
    <m/>
    <s v="55672"/>
    <m/>
    <m/>
    <s v="c0140575"/>
    <s v="c0140575"/>
    <m/>
    <n v="83352"/>
    <m/>
    <m/>
    <s v="83352AAAAAAAAAAAAAAAAAAAAAAAAAAAAAAA"/>
    <m/>
    <m/>
    <m/>
    <x v="2"/>
    <n v="0"/>
    <x v="2"/>
    <x v="54"/>
    <n v="1"/>
    <s v=""/>
    <n v="1"/>
    <n v="1"/>
    <n v="1"/>
    <n v="0"/>
    <n v="0"/>
  </r>
  <r>
    <n v="1644"/>
    <s v="Antiretroviral therapy"/>
    <n v="1644"/>
    <s v="Antiretroviral therapy"/>
    <s v="Antiretroviral therapy"/>
    <x v="2"/>
    <n v="22"/>
    <s v=""/>
    <m/>
    <m/>
    <s v="FP.2. Counseling"/>
    <x v="13"/>
    <m/>
    <s v="2.10.5 Screen for medical eligibility"/>
    <m/>
    <s v="FP.DE.355"/>
    <s v="Antiretroviral therapy"/>
    <s v="ART"/>
    <s v="Client is currently taking antiretroviral medication"/>
    <m/>
    <m/>
    <m/>
    <m/>
    <s v="No"/>
    <m/>
    <s v="Yes"/>
    <s v="C"/>
    <s v="Include if Medications = Antiretroviral therapy and Required during MEC check if MEC classification &gt;   MEC okay to use rating, currently 2] for method selected"/>
    <m/>
    <m/>
    <m/>
    <m/>
    <s v="MEC. Included in MEC app conditions.csv"/>
    <m/>
    <m/>
    <m/>
    <x v="3"/>
    <x v="0"/>
    <m/>
    <m/>
    <m/>
    <x v="2"/>
    <s v="NA"/>
    <m/>
    <m/>
    <m/>
    <s v="       Antiretroviral therapy"/>
    <s v="Changed"/>
    <m/>
    <x v="1"/>
    <s v=""/>
    <m/>
    <x v="2"/>
    <m/>
    <m/>
    <s v="do you want the class of meds mapped to this and/or specific medications"/>
    <m/>
    <m/>
    <m/>
    <m/>
    <m/>
    <s v="No terminology code required"/>
    <m/>
    <m/>
    <m/>
    <m/>
    <m/>
    <m/>
    <m/>
    <m/>
    <m/>
    <m/>
    <m/>
    <x v="2"/>
    <s v=""/>
    <x v="3"/>
    <x v="2"/>
    <n v="1"/>
    <s v=""/>
    <n v="1"/>
    <n v="1"/>
    <n v="1"/>
    <n v="0"/>
    <n v="0"/>
  </r>
  <r>
    <n v="1645"/>
    <s v="NRTIs"/>
    <n v="1645"/>
    <e v="#NAME?"/>
    <s v="NRTIs"/>
    <x v="1"/>
    <n v="5"/>
    <s v="Current Medications"/>
    <m/>
    <m/>
    <s v="FP.2. Counseling"/>
    <x v="13"/>
    <m/>
    <s v="2.10.5 Screen for medical eligibility"/>
    <m/>
    <s v="FP.DE.356"/>
    <m/>
    <s v="NRTIs"/>
    <s v="Treated with nucleoside reverse transcriptase inhibitors (NRTIs"/>
    <m/>
    <m/>
    <s v="NRTIs"/>
    <m/>
    <s v="No"/>
    <m/>
    <s v="Yes"/>
    <s v="C"/>
    <s v="Skip if Medical Eligibility &lt;[MEC do not use rating, currently 3] for the method selected"/>
    <m/>
    <m/>
    <m/>
    <m/>
    <s v="MEC. Included in MEC app conditions.csv"/>
    <m/>
    <m/>
    <m/>
    <x v="3"/>
    <x v="0"/>
    <m/>
    <m/>
    <m/>
    <x v="2"/>
    <s v="JS"/>
    <m/>
    <m/>
    <m/>
    <s v="       NRTIs"/>
    <s v="Changed"/>
    <m/>
    <x v="1"/>
    <e v="#NAME?"/>
    <m/>
    <x v="0"/>
    <m/>
    <m/>
    <s v="can we get the list that they want us to use"/>
    <m/>
    <m/>
    <m/>
    <m/>
    <s v="J05AF"/>
    <m/>
    <m/>
    <s v="This is the corresponding class code in RxNorm... not sure this is a valid code"/>
    <m/>
    <s v="68"/>
    <m/>
    <m/>
    <m/>
    <m/>
    <m/>
    <m/>
    <m/>
    <x v="2"/>
    <n v="0"/>
    <x v="2"/>
    <x v="54"/>
    <n v="1"/>
    <s v=""/>
    <n v="1"/>
    <n v="1"/>
    <n v="1"/>
    <n v="0"/>
    <n v="0"/>
  </r>
  <r>
    <n v="1646"/>
    <s v="EFV"/>
    <n v="1646"/>
    <e v="#NAME?"/>
    <s v="EFV"/>
    <x v="1"/>
    <n v="3"/>
    <s v="Current Medications"/>
    <m/>
    <m/>
    <s v="FP.2. Counseling"/>
    <x v="13"/>
    <m/>
    <s v="2.10.5 Screen for medical eligibility"/>
    <m/>
    <s v="FP.DE.357"/>
    <m/>
    <s v="EFV"/>
    <s v="Treated with efavirenz (EFV)"/>
    <m/>
    <m/>
    <s v="EFV"/>
    <m/>
    <s v="No"/>
    <m/>
    <s v="Yes"/>
    <s v="C"/>
    <s v="Skip if Medical Eligibility &lt;[MEC do not use rating, currently 3] for the method selected"/>
    <m/>
    <m/>
    <m/>
    <m/>
    <s v="MEC. Included in MEC app conditions.csv"/>
    <m/>
    <m/>
    <m/>
    <x v="3"/>
    <x v="0"/>
    <m/>
    <m/>
    <m/>
    <x v="2"/>
    <s v="JS"/>
    <m/>
    <m/>
    <m/>
    <s v="       EFV"/>
    <s v="Changed"/>
    <m/>
    <x v="1"/>
    <e v="#NAME?"/>
    <m/>
    <x v="0"/>
    <m/>
    <m/>
    <m/>
    <m/>
    <m/>
    <m/>
    <m/>
    <s v="195085"/>
    <m/>
    <m/>
    <s v="x"/>
    <m/>
    <m/>
    <m/>
    <m/>
    <m/>
    <m/>
    <m/>
    <m/>
    <m/>
    <x v="2"/>
    <n v="0"/>
    <x v="2"/>
    <x v="54"/>
    <n v="1"/>
    <s v=""/>
    <n v="1"/>
    <n v="1"/>
    <n v="1"/>
    <n v="0"/>
    <n v="0"/>
  </r>
  <r>
    <n v="1647"/>
    <s v="ETR"/>
    <n v="1647"/>
    <e v="#NAME?"/>
    <s v="ETR"/>
    <x v="1"/>
    <n v="3"/>
    <s v="Current Medications"/>
    <m/>
    <m/>
    <s v="FP.2. Counseling"/>
    <x v="13"/>
    <m/>
    <s v="2.10.5 Screen for medical eligibility"/>
    <m/>
    <s v="FP.DE.358"/>
    <m/>
    <s v="ETR"/>
    <s v="Treated with etravirine"/>
    <m/>
    <m/>
    <s v="ETR"/>
    <m/>
    <s v="No"/>
    <m/>
    <s v="Yes"/>
    <s v="C"/>
    <s v="Skip if Medical Eligibility &lt;[MEC do not use rating, currently 3] for the method selected"/>
    <m/>
    <m/>
    <m/>
    <m/>
    <s v="MEC. Included in MEC app conditions.csv"/>
    <m/>
    <m/>
    <m/>
    <x v="3"/>
    <x v="0"/>
    <m/>
    <m/>
    <m/>
    <x v="2"/>
    <s v="JS"/>
    <m/>
    <m/>
    <m/>
    <s v="       ETR"/>
    <s v="Changed"/>
    <m/>
    <x v="1"/>
    <e v="#NAME?"/>
    <m/>
    <x v="0"/>
    <m/>
    <m/>
    <m/>
    <m/>
    <m/>
    <m/>
    <m/>
    <s v="475969"/>
    <m/>
    <m/>
    <s v="x"/>
    <m/>
    <m/>
    <m/>
    <m/>
    <m/>
    <m/>
    <m/>
    <m/>
    <m/>
    <x v="2"/>
    <n v="0"/>
    <x v="2"/>
    <x v="54"/>
    <n v="1"/>
    <s v=""/>
    <n v="1"/>
    <n v="1"/>
    <n v="1"/>
    <n v="0"/>
    <n v="0"/>
  </r>
  <r>
    <n v="1648"/>
    <s v="NVP"/>
    <n v="1648"/>
    <e v="#NAME?"/>
    <s v="NVP"/>
    <x v="1"/>
    <n v="3"/>
    <s v="Current Medications"/>
    <m/>
    <m/>
    <s v="FP.2. Counseling"/>
    <x v="13"/>
    <m/>
    <s v="2.10.5 Screen for medical eligibility"/>
    <m/>
    <s v="FP.DE.359"/>
    <m/>
    <s v="NVP"/>
    <s v="Treated with nevirapine (NVP)"/>
    <m/>
    <m/>
    <s v="NVP"/>
    <m/>
    <s v="No"/>
    <m/>
    <s v="Yes"/>
    <s v="C"/>
    <s v="Skip if Medical Eligibility &lt;[MEC do not use rating, currently 3] for the method selected"/>
    <m/>
    <m/>
    <m/>
    <m/>
    <s v="MEC. Included in MEC app conditions.csv"/>
    <m/>
    <m/>
    <m/>
    <x v="3"/>
    <x v="0"/>
    <m/>
    <m/>
    <m/>
    <x v="2"/>
    <s v="JS"/>
    <m/>
    <m/>
    <m/>
    <s v="       NVP"/>
    <s v="Changed"/>
    <m/>
    <x v="1"/>
    <e v="#NAME?"/>
    <m/>
    <x v="0"/>
    <m/>
    <m/>
    <m/>
    <m/>
    <m/>
    <m/>
    <m/>
    <s v="53654"/>
    <m/>
    <m/>
    <s v="x"/>
    <m/>
    <m/>
    <m/>
    <m/>
    <m/>
    <m/>
    <m/>
    <m/>
    <m/>
    <x v="2"/>
    <n v="0"/>
    <x v="2"/>
    <x v="54"/>
    <n v="1"/>
    <s v=""/>
    <n v="1"/>
    <n v="1"/>
    <n v="1"/>
    <n v="0"/>
    <n v="0"/>
  </r>
  <r>
    <n v="1649"/>
    <s v="RPV"/>
    <n v="1649"/>
    <e v="#NAME?"/>
    <s v="RPV"/>
    <x v="1"/>
    <n v="3"/>
    <s v="Current Medications"/>
    <m/>
    <m/>
    <s v="FP.2. Counseling"/>
    <x v="13"/>
    <m/>
    <s v="2.10.5 Screen for medical eligibility"/>
    <m/>
    <s v="FP.DE.360"/>
    <m/>
    <s v="RPV"/>
    <s v="Treated with rilpivirine (RPV)"/>
    <m/>
    <m/>
    <s v="RPV"/>
    <m/>
    <s v="No"/>
    <m/>
    <s v="Yes"/>
    <s v="C"/>
    <s v="Skip if Medical Eligibility &lt;[MEC do not use rating, currently 3] for the method selected"/>
    <m/>
    <m/>
    <m/>
    <m/>
    <s v="MEC. Included in MEC app conditions.csv"/>
    <m/>
    <m/>
    <m/>
    <x v="3"/>
    <x v="0"/>
    <m/>
    <m/>
    <m/>
    <x v="2"/>
    <s v="JS"/>
    <m/>
    <m/>
    <m/>
    <s v="       RPV"/>
    <s v="Changed"/>
    <m/>
    <x v="1"/>
    <e v="#NAME?"/>
    <m/>
    <x v="0"/>
    <m/>
    <m/>
    <m/>
    <m/>
    <m/>
    <m/>
    <m/>
    <s v="1102270"/>
    <m/>
    <m/>
    <s v="x"/>
    <m/>
    <m/>
    <m/>
    <m/>
    <m/>
    <m/>
    <m/>
    <m/>
    <m/>
    <x v="2"/>
    <n v="0"/>
    <x v="2"/>
    <x v="54"/>
    <n v="1"/>
    <s v=""/>
    <n v="1"/>
    <n v="1"/>
    <n v="1"/>
    <n v="0"/>
    <n v="0"/>
  </r>
  <r>
    <n v="1650"/>
    <s v="PIs"/>
    <n v="1650"/>
    <e v="#NAME?"/>
    <s v="PIs"/>
    <x v="1"/>
    <n v="3"/>
    <s v="Current Medications"/>
    <m/>
    <m/>
    <s v="FP.2. Counseling"/>
    <x v="13"/>
    <m/>
    <s v="2.10.5 Screen for medical eligibility"/>
    <m/>
    <s v="FP.DE.361"/>
    <m/>
    <m/>
    <s v="Treated with protease inhibitors (PIs)"/>
    <m/>
    <m/>
    <s v="PIs"/>
    <m/>
    <s v="No"/>
    <m/>
    <s v="Yes"/>
    <s v="C"/>
    <s v="Skip if Medical Eligibility &lt;[MEC do not use rating, currently 3] for the method selected"/>
    <m/>
    <m/>
    <m/>
    <m/>
    <m/>
    <m/>
    <m/>
    <m/>
    <x v="3"/>
    <x v="0"/>
    <m/>
    <m/>
    <m/>
    <x v="2"/>
    <s v="JS"/>
    <m/>
    <m/>
    <m/>
    <s v="       PIs"/>
    <s v="Changed"/>
    <m/>
    <x v="1"/>
    <e v="#NAME?"/>
    <m/>
    <x v="0"/>
    <m/>
    <m/>
    <m/>
    <m/>
    <m/>
    <m/>
    <m/>
    <s v=" J05AE"/>
    <m/>
    <m/>
    <s v="This is the corresponding class code in RxNorm... not sure this is a valid code"/>
    <m/>
    <m/>
    <m/>
    <m/>
    <m/>
    <m/>
    <m/>
    <m/>
    <m/>
    <x v="2"/>
    <n v="0"/>
    <x v="2"/>
    <x v="54"/>
    <n v="1"/>
    <s v=""/>
    <n v="1"/>
    <n v="1"/>
    <n v="1"/>
    <n v="0"/>
    <n v="0"/>
  </r>
  <r>
    <n v="1651"/>
    <s v="RAL"/>
    <n v="1651"/>
    <e v="#NAME?"/>
    <s v="RAL"/>
    <x v="1"/>
    <n v="3"/>
    <s v="Current Medications"/>
    <m/>
    <m/>
    <s v="FP.2. Counseling"/>
    <x v="13"/>
    <m/>
    <s v="2.10.5 Screen for medical eligibility"/>
    <m/>
    <s v="FP.DE.362"/>
    <m/>
    <s v="RAL"/>
    <s v="Treated with integrase inhibitors (raltegravir   RAL])"/>
    <m/>
    <m/>
    <s v="RAL"/>
    <m/>
    <s v="No"/>
    <m/>
    <s v="Yes"/>
    <s v="C"/>
    <s v="Skip if Medical Eligibility &lt;[MEC do not use rating, currently 3] for the method selected"/>
    <m/>
    <m/>
    <m/>
    <m/>
    <s v="MEC. Included in MEC app conditions.csv"/>
    <m/>
    <m/>
    <m/>
    <x v="3"/>
    <x v="0"/>
    <m/>
    <m/>
    <m/>
    <x v="2"/>
    <s v="JS"/>
    <m/>
    <m/>
    <m/>
    <s v="       RAL"/>
    <s v="Changed"/>
    <m/>
    <x v="1"/>
    <e v="#NAME?"/>
    <m/>
    <x v="0"/>
    <m/>
    <m/>
    <m/>
    <m/>
    <m/>
    <m/>
    <m/>
    <s v="719872"/>
    <m/>
    <m/>
    <s v="x"/>
    <m/>
    <m/>
    <m/>
    <m/>
    <m/>
    <m/>
    <m/>
    <m/>
    <m/>
    <x v="2"/>
    <n v="0"/>
    <x v="2"/>
    <x v="54"/>
    <n v="1"/>
    <s v=""/>
    <n v="1"/>
    <n v="1"/>
    <n v="1"/>
    <n v="0"/>
    <n v="0"/>
  </r>
  <r>
    <n v="1652"/>
    <s v="ATV/r"/>
    <n v="1652"/>
    <e v="#NAME?"/>
    <s v="ATV/r"/>
    <x v="1"/>
    <n v="5"/>
    <s v="Current Medications"/>
    <m/>
    <m/>
    <s v="FP.2. Counseling"/>
    <x v="13"/>
    <m/>
    <s v="2.10.5 Screen for medical eligibility"/>
    <m/>
    <s v="FP.DE.363"/>
    <m/>
    <s v="ATVr"/>
    <s v="Treated with atazanavir/ritonavir"/>
    <m/>
    <m/>
    <s v="ATV/r"/>
    <m/>
    <s v="No"/>
    <m/>
    <s v="Yes"/>
    <s v="C"/>
    <s v="Skip if Medical Eligibility &lt;[MEC do not use rating, currently 3] for the method selected"/>
    <m/>
    <m/>
    <m/>
    <m/>
    <s v="MEC. Included in MEC app conditions.csv"/>
    <m/>
    <m/>
    <m/>
    <x v="3"/>
    <x v="0"/>
    <m/>
    <m/>
    <m/>
    <x v="2"/>
    <s v="NA"/>
    <m/>
    <m/>
    <m/>
    <s v="       ATV/r"/>
    <s v="Changed"/>
    <m/>
    <x v="1"/>
    <e v="#NAME?"/>
    <m/>
    <x v="2"/>
    <s v="http://who.int/cg/CodeSystem/extended-content"/>
    <s v="ATV/r"/>
    <m/>
    <m/>
    <m/>
    <m/>
    <m/>
    <m/>
    <s v="No RXNorm code available"/>
    <m/>
    <s v="x"/>
    <m/>
    <m/>
    <m/>
    <m/>
    <m/>
    <m/>
    <m/>
    <m/>
    <m/>
    <x v="2"/>
    <n v="0"/>
    <x v="2"/>
    <x v="54"/>
    <n v="1"/>
    <s v=""/>
    <n v="1"/>
    <n v="1"/>
    <n v="1"/>
    <n v="0"/>
    <n v="0"/>
  </r>
  <r>
    <n v="1653"/>
    <s v="LPV/r"/>
    <n v="1653"/>
    <e v="#NAME?"/>
    <s v="LPV/r"/>
    <x v="1"/>
    <n v="5"/>
    <s v="Current Medications"/>
    <m/>
    <m/>
    <s v="FP.2. Counseling"/>
    <x v="13"/>
    <m/>
    <s v="2.10.5 Screen for medical eligibility"/>
    <m/>
    <s v="FP.DE.364"/>
    <m/>
    <s v="LPVr"/>
    <s v="Treated with lopinavir/ritonavir"/>
    <m/>
    <m/>
    <s v="LPV/r"/>
    <m/>
    <s v="No"/>
    <m/>
    <s v="Yes"/>
    <s v="C"/>
    <s v="Skip if Medical Eligibility &lt;[MEC do not use rating, currently 3] for the method selected"/>
    <m/>
    <m/>
    <m/>
    <m/>
    <s v="MEC. Included in MEC app conditions.csv"/>
    <m/>
    <m/>
    <m/>
    <x v="3"/>
    <x v="0"/>
    <m/>
    <m/>
    <m/>
    <x v="2"/>
    <s v="NA"/>
    <m/>
    <m/>
    <m/>
    <s v="       LPV/r"/>
    <s v="Changed"/>
    <m/>
    <x v="1"/>
    <e v="#NAME?"/>
    <m/>
    <x v="2"/>
    <m/>
    <m/>
    <m/>
    <m/>
    <m/>
    <m/>
    <m/>
    <s v="284640"/>
    <m/>
    <m/>
    <s v="x"/>
    <m/>
    <m/>
    <m/>
    <m/>
    <m/>
    <m/>
    <m/>
    <m/>
    <m/>
    <x v="2"/>
    <n v="0"/>
    <x v="2"/>
    <x v="54"/>
    <n v="1"/>
    <s v=""/>
    <n v="1"/>
    <n v="1"/>
    <n v="1"/>
    <n v="0"/>
    <n v="0"/>
  </r>
  <r>
    <n v="1654"/>
    <s v="DRV/r"/>
    <n v="1654"/>
    <e v="#NAME?"/>
    <s v="DRV/r"/>
    <x v="1"/>
    <n v="5"/>
    <s v="Current Medications"/>
    <m/>
    <m/>
    <s v="FP.2. Counseling"/>
    <x v="13"/>
    <m/>
    <s v="2.10.5 Screen for medical eligibility"/>
    <m/>
    <s v="FP.DE.365"/>
    <m/>
    <s v="DRVr"/>
    <s v="Treated with darunavir/ritonavir"/>
    <m/>
    <m/>
    <s v="DRV/r"/>
    <m/>
    <s v="No"/>
    <m/>
    <s v="Yes"/>
    <s v="C"/>
    <s v="Skip if Medical Eligibility &lt;[MEC do not use rating, currently 3] for the method selected"/>
    <m/>
    <m/>
    <m/>
    <m/>
    <s v="MEC. Included in MEC app conditions.csv"/>
    <m/>
    <m/>
    <m/>
    <x v="3"/>
    <x v="0"/>
    <m/>
    <m/>
    <m/>
    <x v="2"/>
    <s v="NA"/>
    <m/>
    <m/>
    <m/>
    <s v="       DRV/r"/>
    <s v="Changed"/>
    <m/>
    <x v="1"/>
    <e v="#NAME?"/>
    <m/>
    <x v="2"/>
    <s v="http://who.int/cg/CodeSystem/extended-content"/>
    <s v="DRV/r"/>
    <m/>
    <m/>
    <m/>
    <m/>
    <m/>
    <m/>
    <s v="No RXNorm code available"/>
    <m/>
    <s v="x"/>
    <m/>
    <m/>
    <m/>
    <m/>
    <m/>
    <m/>
    <m/>
    <m/>
    <m/>
    <x v="2"/>
    <n v="0"/>
    <x v="2"/>
    <x v="54"/>
    <n v="1"/>
    <s v=""/>
    <n v="1"/>
    <n v="1"/>
    <n v="1"/>
    <n v="0"/>
    <n v="0"/>
  </r>
  <r>
    <n v="1655"/>
    <s v="RTV"/>
    <n v="1655"/>
    <e v="#NAME?"/>
    <s v="RTV"/>
    <x v="1"/>
    <n v="3"/>
    <s v="Current Medications"/>
    <m/>
    <m/>
    <s v="FP.2. Counseling"/>
    <x v="13"/>
    <m/>
    <s v="2.10.5 Screen for medical eligibility"/>
    <m/>
    <s v="FP.DE.366"/>
    <m/>
    <s v="RTV"/>
    <s v="Treated with ritonavir"/>
    <m/>
    <m/>
    <s v="RTV"/>
    <m/>
    <s v="No"/>
    <m/>
    <s v="Yes"/>
    <s v="C"/>
    <s v="Skip if Medical Eligibility &lt;[MEC do not use rating, currently 3] for the method selected"/>
    <m/>
    <m/>
    <m/>
    <m/>
    <s v="MEC. Included in MEC app conditions.csv"/>
    <m/>
    <m/>
    <m/>
    <x v="3"/>
    <x v="0"/>
    <m/>
    <m/>
    <m/>
    <x v="2"/>
    <s v="NA"/>
    <m/>
    <m/>
    <m/>
    <s v="       RTV"/>
    <s v="Changed"/>
    <m/>
    <x v="1"/>
    <e v="#NAME?"/>
    <m/>
    <x v="2"/>
    <m/>
    <m/>
    <m/>
    <m/>
    <m/>
    <m/>
    <m/>
    <s v="85762"/>
    <m/>
    <m/>
    <s v="x"/>
    <m/>
    <m/>
    <m/>
    <m/>
    <m/>
    <m/>
    <m/>
    <m/>
    <m/>
    <x v="2"/>
    <n v="0"/>
    <x v="2"/>
    <x v="54"/>
    <n v="1"/>
    <s v=""/>
    <n v="1"/>
    <n v="1"/>
    <n v="1"/>
    <n v="0"/>
    <n v="0"/>
  </r>
  <r>
    <n v="1656"/>
    <s v="Systemic lupus erythematosus category"/>
    <n v="1656"/>
    <s v="Systemic lupus erythematosus category"/>
    <s v="Systemic lupus erythematosus category"/>
    <x v="2"/>
    <n v="37"/>
    <s v=""/>
    <m/>
    <m/>
    <s v="FP.2. Counseling"/>
    <x v="11"/>
    <m/>
    <s v="2.10.5 Screen for medical eligibility"/>
    <m/>
    <s v="FP.DE.539"/>
    <s v="Systemic lupus erythematosus category"/>
    <m/>
    <s v="Categorization of lupus, which may affect medical eligibility for contraception"/>
    <s v="Coding "/>
    <s v="Select all that apply"/>
    <m/>
    <m/>
    <s v="No"/>
    <m/>
    <s v="Yes"/>
    <s v="C"/>
    <s v="Required during MEC check if MEC classification  &gt;   MEC okay to use rating, currently 2] for method selected "/>
    <m/>
    <m/>
    <m/>
    <m/>
    <s v="MEC"/>
    <m/>
    <m/>
    <m/>
    <x v="3"/>
    <x v="0"/>
    <m/>
    <m/>
    <m/>
    <x v="2"/>
    <s v="NA"/>
    <m/>
    <m/>
    <m/>
    <s v="Systemic lupus erythematosus category"/>
    <s v="Same"/>
    <m/>
    <x v="1"/>
    <s v=""/>
    <m/>
    <x v="2"/>
    <m/>
    <m/>
    <m/>
    <m/>
    <m/>
    <m/>
    <m/>
    <m/>
    <s v="No terminology code required"/>
    <m/>
    <m/>
    <m/>
    <m/>
    <m/>
    <m/>
    <m/>
    <m/>
    <m/>
    <m/>
    <m/>
    <x v="2"/>
    <s v=""/>
    <x v="3"/>
    <x v="2"/>
    <n v="1"/>
    <s v=""/>
    <n v="1"/>
    <n v="1"/>
    <n v="1"/>
    <n v="0"/>
    <n v="0"/>
  </r>
  <r>
    <n v="1657"/>
    <s v="Systemic lupus erythematosus - Antiphospholipid antibodies"/>
    <n v="1657"/>
    <e v="#NAME?"/>
    <s v="Positive (or unknown) antiphospholipid antibodies"/>
    <x v="1"/>
    <n v="23"/>
    <s v="Current conditions affecting Medical Eligibility"/>
    <m/>
    <m/>
    <s v="FP.2. Counseling"/>
    <x v="11"/>
    <m/>
    <s v="2.10.5 Screen for medical eligibility"/>
    <m/>
    <s v="FP.DE.540"/>
    <m/>
    <m/>
    <s v="Systemic lupus erythematosus - Positive (or unknown) antiphospholipid antibodies"/>
    <m/>
    <m/>
    <s v="Positive (or unknown) antiphospholipid antibodies"/>
    <m/>
    <s v="Yes"/>
    <s v="Cannot be selected with None of the above option"/>
    <s v="Yes"/>
    <s v="C"/>
    <s v="Required during MEC check if MEC classification  &gt;   MEC okay to use rating, currently 2] for method selected "/>
    <m/>
    <m/>
    <m/>
    <m/>
    <s v="MEC"/>
    <m/>
    <m/>
    <m/>
    <x v="3"/>
    <x v="0"/>
    <m/>
    <m/>
    <m/>
    <x v="2"/>
    <s v="JS"/>
    <s v="MedicalEligibilityConditions"/>
    <m/>
    <m/>
    <s v="       Positive (or unknown) antiphospholipid antibodies"/>
    <s v="Changed"/>
    <m/>
    <x v="1"/>
    <e v="#NAME?"/>
    <m/>
    <x v="0"/>
    <m/>
    <m/>
    <m/>
    <m/>
    <m/>
    <s v="402865003"/>
    <m/>
    <m/>
    <m/>
    <m/>
    <m/>
    <m/>
    <m/>
    <m/>
    <m/>
    <m/>
    <m/>
    <m/>
    <m/>
    <m/>
    <x v="2"/>
    <n v="0"/>
    <x v="2"/>
    <x v="49"/>
    <n v="1"/>
    <s v=""/>
    <n v="1"/>
    <n v="1"/>
    <n v="1"/>
    <n v="0"/>
    <n v="0"/>
  </r>
  <r>
    <n v="1658"/>
    <s v="Systemic lupus erythematosus - Severe thrombocytopenia"/>
    <n v="1658"/>
    <e v="#NAME?"/>
    <s v="Severe thrombocytopenia"/>
    <x v="1"/>
    <n v="23"/>
    <s v="Current conditions affecting Medical Eligibility"/>
    <m/>
    <m/>
    <s v="FP.2. Counseling"/>
    <x v="11"/>
    <m/>
    <s v="2.10.5 Screen for medical eligibility"/>
    <m/>
    <s v="FP.DE.541"/>
    <m/>
    <m/>
    <m/>
    <m/>
    <m/>
    <s v="Severe thrombocytopenia"/>
    <m/>
    <s v="Yes"/>
    <s v="Cannot be selected with None of the above option"/>
    <s v="Yes"/>
    <s v="C"/>
    <s v="Required during MEC check if MEC classification  &gt;   MEC okay to use rating, currently 2] for method selected "/>
    <m/>
    <m/>
    <m/>
    <m/>
    <s v="MEC"/>
    <m/>
    <m/>
    <m/>
    <x v="3"/>
    <x v="0"/>
    <m/>
    <m/>
    <m/>
    <x v="2"/>
    <s v="JS"/>
    <s v="MedicalEligibilityConditions"/>
    <m/>
    <m/>
    <s v="       Severe thrombocytopenia"/>
    <s v="Changed"/>
    <m/>
    <x v="1"/>
    <e v="#NAME?"/>
    <m/>
    <x v="0"/>
    <m/>
    <m/>
    <m/>
    <m/>
    <m/>
    <s v="128091003"/>
    <m/>
    <m/>
    <m/>
    <m/>
    <m/>
    <m/>
    <m/>
    <m/>
    <m/>
    <m/>
    <m/>
    <m/>
    <m/>
    <m/>
    <x v="2"/>
    <n v="0"/>
    <x v="2"/>
    <x v="49"/>
    <n v="1"/>
    <s v=""/>
    <n v="1"/>
    <n v="1"/>
    <n v="1"/>
    <n v="0"/>
    <n v="0"/>
  </r>
  <r>
    <n v="1659"/>
    <s v="Systemic lupus erythematosus - Immunosuppressive treatment"/>
    <n v="1659"/>
    <e v="#NAME?"/>
    <s v="Immunosuppressive treatment"/>
    <x v="1"/>
    <n v="23"/>
    <s v="Current conditions affecting Medical Eligibility"/>
    <m/>
    <m/>
    <s v="FP.2. Counseling"/>
    <x v="11"/>
    <m/>
    <s v="2.10.5 Screen for medical eligibility"/>
    <m/>
    <s v="FP.DE.542"/>
    <m/>
    <m/>
    <m/>
    <m/>
    <m/>
    <s v="Immunosuppressive treatment"/>
    <m/>
    <s v="Yes"/>
    <s v="Cannot be selected with None of the above option"/>
    <s v="Yes"/>
    <s v="C"/>
    <s v="Required during MEC check if MEC classification  &gt;   MEC okay to use rating, currently 2] for method selected "/>
    <m/>
    <m/>
    <m/>
    <m/>
    <s v="MEC"/>
    <m/>
    <m/>
    <m/>
    <x v="3"/>
    <x v="0"/>
    <m/>
    <m/>
    <m/>
    <x v="2"/>
    <s v="JS"/>
    <s v="MedicalEligibilityConditions"/>
    <m/>
    <m/>
    <s v="       Immunosuppressive treatment"/>
    <s v="Changed"/>
    <m/>
    <x v="1"/>
    <e v="#NAME?"/>
    <m/>
    <x v="0"/>
    <m/>
    <m/>
    <m/>
    <m/>
    <m/>
    <s v="86553008"/>
    <m/>
    <m/>
    <m/>
    <m/>
    <m/>
    <m/>
    <m/>
    <m/>
    <m/>
    <m/>
    <m/>
    <m/>
    <m/>
    <m/>
    <x v="2"/>
    <n v="0"/>
    <x v="2"/>
    <x v="49"/>
    <n v="1"/>
    <s v=""/>
    <n v="1"/>
    <n v="1"/>
    <n v="1"/>
    <n v="0"/>
    <n v="0"/>
  </r>
  <r>
    <n v="1660"/>
    <s v="Systemic lupus erythematosus - None of the above"/>
    <n v="1660"/>
    <e v="#NAME?"/>
    <s v="None of the above"/>
    <x v="1"/>
    <n v="23"/>
    <s v="Current conditions affecting Medical Eligibility"/>
    <m/>
    <m/>
    <s v="FP.2. Counseling"/>
    <x v="11"/>
    <m/>
    <s v="2.10.5 Screen for medical eligibility"/>
    <m/>
    <s v="FP.DE.543"/>
    <m/>
    <m/>
    <m/>
    <m/>
    <m/>
    <s v="None of the above"/>
    <m/>
    <s v="Yes"/>
    <s v="Cannot be selected with other input options in list"/>
    <s v="Yes"/>
    <s v="C"/>
    <s v="Required during MEC check if MEC classification  &gt;   MEC okay to use rating, currently 2] for method selected "/>
    <m/>
    <m/>
    <m/>
    <m/>
    <s v="MEC"/>
    <m/>
    <m/>
    <m/>
    <x v="3"/>
    <x v="0"/>
    <m/>
    <m/>
    <m/>
    <x v="2"/>
    <s v="JS"/>
    <s v="MedicalEligibilityConditions"/>
    <m/>
    <m/>
    <s v="       None of the above"/>
    <s v="Changed"/>
    <m/>
    <x v="1"/>
    <e v="#NAME?"/>
    <m/>
    <x v="0"/>
    <m/>
    <m/>
    <m/>
    <s v="M32.8"/>
    <m/>
    <m/>
    <m/>
    <m/>
    <m/>
    <m/>
    <m/>
    <m/>
    <m/>
    <m/>
    <m/>
    <m/>
    <m/>
    <m/>
    <m/>
    <m/>
    <x v="2"/>
    <n v="0"/>
    <x v="2"/>
    <x v="49"/>
    <n v="1"/>
    <s v=""/>
    <n v="1"/>
    <n v="1"/>
    <n v="1"/>
    <n v="0"/>
    <n v="0"/>
  </r>
  <r>
    <n v="1867"/>
    <s v="Vasectomy"/>
    <n v="1867"/>
    <s v="Vasectomy"/>
    <s v="Vasectomy"/>
    <x v="2"/>
    <n v="9"/>
    <s v=""/>
    <m/>
    <m/>
    <s v="FP.2. Counseling"/>
    <x v="3"/>
    <m/>
    <s v="2.10.5 Screen for medical eligibility"/>
    <m/>
    <s v="FP.DE.544"/>
    <s v="Vasectomy"/>
    <m/>
    <s v="Categories affecting male sterilization medical eligibility"/>
    <s v="Coding "/>
    <s v="Select all that apply"/>
    <m/>
    <m/>
    <s v="No"/>
    <m/>
    <s v="Yes"/>
    <s v="C"/>
    <s v="Required during MEC check if gender = male _x000a_and method = vasectomy_x000a_and MEC classification  &gt;   MEC okay to use rating, currently 2] for method selected "/>
    <m/>
    <m/>
    <m/>
    <m/>
    <s v="MEC"/>
    <m/>
    <m/>
    <s v=""/>
    <x v="3"/>
    <x v="0"/>
    <m/>
    <m/>
    <m/>
    <x v="2"/>
    <s v="NA"/>
    <m/>
    <m/>
    <m/>
    <m/>
    <s v=""/>
    <m/>
    <x v="1"/>
    <s v=""/>
    <m/>
    <x v="2"/>
    <m/>
    <s v=""/>
    <s v="history of x"/>
    <m/>
    <s v=""/>
    <s v="161558008"/>
    <m/>
    <m/>
    <s v=""/>
    <s v=""/>
    <m/>
    <s v="reproductive system"/>
    <s v="54"/>
    <s v=""/>
    <s v=""/>
    <s v=""/>
    <s v=""/>
    <m/>
    <m/>
    <m/>
    <x v="2"/>
    <s v=""/>
    <x v="3"/>
    <x v="2"/>
    <n v="1"/>
    <s v=""/>
    <n v="1"/>
    <n v="1"/>
    <n v="1"/>
    <n v="0"/>
    <n v="0"/>
  </r>
  <r>
    <n v="1662"/>
    <s v="Coagulation disorders"/>
    <n v="1662"/>
    <e v="#NAME?"/>
    <s v="Coagulation disorders"/>
    <x v="1"/>
    <n v="23"/>
    <s v="Current conditions affecting Medical Eligibility"/>
    <m/>
    <m/>
    <s v="FP.2. Counseling"/>
    <x v="3"/>
    <m/>
    <s v="2.10.5 Screen for medical eligibility"/>
    <m/>
    <s v="FP.DE.545"/>
    <m/>
    <m/>
    <m/>
    <m/>
    <m/>
    <s v="Coagulation disorders"/>
    <m/>
    <s v="No"/>
    <m/>
    <s v="Yes"/>
    <s v="C"/>
    <s v="Required during MEC check if MEC classification &gt;   MEC okay to use rating, currently 2] for method selected"/>
    <m/>
    <m/>
    <m/>
    <m/>
    <s v="MEC"/>
    <m/>
    <m/>
    <m/>
    <x v="3"/>
    <x v="0"/>
    <m/>
    <m/>
    <m/>
    <x v="2"/>
    <s v="JS"/>
    <s v="MedicalEligibilityConditions"/>
    <m/>
    <m/>
    <s v="       Coagulation disorders"/>
    <s v="Changed"/>
    <m/>
    <x v="1"/>
    <e v="#NAME?"/>
    <m/>
    <x v="0"/>
    <m/>
    <m/>
    <s v="blood x"/>
    <m/>
    <m/>
    <s v="64779008"/>
    <m/>
    <m/>
    <m/>
    <m/>
    <m/>
    <m/>
    <m/>
    <m/>
    <m/>
    <m/>
    <m/>
    <m/>
    <m/>
    <m/>
    <x v="2"/>
    <n v="0"/>
    <x v="2"/>
    <x v="49"/>
    <n v="1"/>
    <s v=""/>
    <n v="1"/>
    <n v="1"/>
    <n v="1"/>
    <n v="0"/>
    <n v="0"/>
  </r>
  <r>
    <n v="1663"/>
    <s v="Previous scrotal injury"/>
    <n v="1663"/>
    <e v="#NAME?"/>
    <s v="Previous scrotal injury"/>
    <x v="1"/>
    <n v="23"/>
    <s v="Current conditions affecting Medical Eligibility"/>
    <m/>
    <m/>
    <s v="FP.2. Counseling"/>
    <x v="3"/>
    <m/>
    <s v="2.10.5 Screen for medical eligibility"/>
    <m/>
    <s v="FP.DE.546"/>
    <m/>
    <m/>
    <m/>
    <m/>
    <m/>
    <s v="Previous scrotal injury"/>
    <m/>
    <s v="No"/>
    <m/>
    <s v="Yes"/>
    <s v="C"/>
    <s v="Required during MEC check if MEC classification &gt;   MEC okay to use rating, currently 2] for method selected"/>
    <m/>
    <m/>
    <m/>
    <m/>
    <s v="MEC"/>
    <m/>
    <m/>
    <m/>
    <x v="3"/>
    <x v="0"/>
    <m/>
    <m/>
    <m/>
    <x v="2"/>
    <s v="JS"/>
    <s v="MedicalEligibilityConditions"/>
    <m/>
    <m/>
    <s v="       Previous scrotal injury"/>
    <s v="Changed"/>
    <m/>
    <x v="1"/>
    <e v="#NAME?"/>
    <m/>
    <x v="0"/>
    <m/>
    <m/>
    <s v="plus history of x"/>
    <m/>
    <m/>
    <s v="282782006"/>
    <m/>
    <m/>
    <m/>
    <m/>
    <m/>
    <m/>
    <m/>
    <m/>
    <m/>
    <m/>
    <m/>
    <m/>
    <m/>
    <m/>
    <x v="2"/>
    <n v="0"/>
    <x v="2"/>
    <x v="49"/>
    <n v="1"/>
    <s v=""/>
    <n v="1"/>
    <n v="1"/>
    <n v="1"/>
    <n v="0"/>
    <n v="0"/>
  </r>
  <r>
    <n v="1664"/>
    <s v="Systemic infection or gastroenteritis"/>
    <n v="1664"/>
    <e v="#NAME?"/>
    <s v="Systemic infection or gastroenteritis"/>
    <x v="1"/>
    <n v="23"/>
    <s v="Current conditions affecting Medical Eligibility"/>
    <m/>
    <m/>
    <s v="FP.2. Counseling"/>
    <x v="3"/>
    <m/>
    <s v="2.10.5 Screen for medical eligibility"/>
    <m/>
    <s v="FP.DE.547"/>
    <m/>
    <m/>
    <m/>
    <m/>
    <m/>
    <s v="Systemic infection or gastroenteritis"/>
    <m/>
    <s v="No"/>
    <m/>
    <s v="Yes"/>
    <s v="C"/>
    <s v="Required during MEC check if MEC classification &gt;   MEC okay to use rating, currently 2] for method selected"/>
    <m/>
    <m/>
    <m/>
    <m/>
    <s v="MEC"/>
    <m/>
    <m/>
    <m/>
    <x v="3"/>
    <x v="0"/>
    <m/>
    <m/>
    <m/>
    <x v="2"/>
    <s v="JS"/>
    <s v="MedicalEligibilityConditions"/>
    <m/>
    <m/>
    <s v="       Systemic infection or gastroenteritis"/>
    <s v="Changed"/>
    <m/>
    <x v="1"/>
    <e v="#NAME?"/>
    <m/>
    <x v="0"/>
    <m/>
    <m/>
    <s v="GE only x"/>
    <m/>
    <m/>
    <s v="25374005"/>
    <m/>
    <m/>
    <m/>
    <m/>
    <m/>
    <m/>
    <m/>
    <m/>
    <m/>
    <m/>
    <m/>
    <m/>
    <m/>
    <m/>
    <x v="2"/>
    <n v="0"/>
    <x v="2"/>
    <x v="49"/>
    <n v="1"/>
    <s v=""/>
    <n v="1"/>
    <n v="1"/>
    <n v="1"/>
    <n v="0"/>
    <n v="0"/>
  </r>
  <r>
    <n v="1665"/>
    <s v="Large varicocele"/>
    <n v="1665"/>
    <e v="#NAME?"/>
    <s v="Large varicocele"/>
    <x v="1"/>
    <n v="23"/>
    <s v="Current conditions affecting Medical Eligibility"/>
    <m/>
    <m/>
    <s v="FP.2. Counseling"/>
    <x v="3"/>
    <m/>
    <s v="2.10.5 Screen for medical eligibility"/>
    <m/>
    <s v="FP.DE.548"/>
    <m/>
    <m/>
    <m/>
    <m/>
    <m/>
    <s v="Large varicocele"/>
    <m/>
    <s v="No"/>
    <m/>
    <s v="Yes"/>
    <s v="C"/>
    <s v="Required during MEC check if MEC classification &gt;   MEC okay to use rating, currently 2] for method selected"/>
    <m/>
    <m/>
    <m/>
    <m/>
    <s v="MEC"/>
    <m/>
    <m/>
    <m/>
    <x v="3"/>
    <x v="0"/>
    <m/>
    <m/>
    <m/>
    <x v="2"/>
    <s v="JS"/>
    <s v="MedicalEligibilityConditions"/>
    <m/>
    <m/>
    <s v="       Large varicocele"/>
    <s v="Changed"/>
    <m/>
    <x v="1"/>
    <e v="#NAME?"/>
    <m/>
    <x v="0"/>
    <m/>
    <m/>
    <s v="not large x"/>
    <s v="I86.1"/>
    <m/>
    <s v="51070004"/>
    <m/>
    <m/>
    <m/>
    <s v="Wider"/>
    <m/>
    <m/>
    <m/>
    <m/>
    <m/>
    <m/>
    <m/>
    <m/>
    <m/>
    <m/>
    <x v="2"/>
    <n v="0"/>
    <x v="2"/>
    <x v="49"/>
    <n v="1"/>
    <s v=""/>
    <n v="1"/>
    <n v="1"/>
    <n v="1"/>
    <n v="0"/>
    <n v="0"/>
  </r>
  <r>
    <n v="1666"/>
    <s v="Large hydrocele"/>
    <n v="1666"/>
    <e v="#NAME?"/>
    <s v="Large hydrocele"/>
    <x v="1"/>
    <n v="23"/>
    <s v="Current conditions affecting Medical Eligibility"/>
    <m/>
    <m/>
    <s v="FP.2. Counseling"/>
    <x v="3"/>
    <m/>
    <s v="2.10.5 Screen for medical eligibility"/>
    <m/>
    <s v="FP.DE.549"/>
    <m/>
    <m/>
    <m/>
    <m/>
    <m/>
    <s v="Large hydrocele"/>
    <m/>
    <s v="No"/>
    <m/>
    <s v="Yes"/>
    <s v="C"/>
    <s v="Required during MEC check if MEC classification &gt;   MEC okay to use rating, currently 2] for method selected"/>
    <m/>
    <m/>
    <m/>
    <m/>
    <s v="MEC"/>
    <m/>
    <m/>
    <m/>
    <x v="3"/>
    <x v="0"/>
    <m/>
    <m/>
    <m/>
    <x v="2"/>
    <s v="JS"/>
    <s v="MedicalEligibilityConditions"/>
    <m/>
    <m/>
    <s v="       Large hydrocele"/>
    <s v="Changed"/>
    <m/>
    <x v="1"/>
    <e v="#NAME?"/>
    <m/>
    <x v="0"/>
    <m/>
    <m/>
    <s v="not large x"/>
    <s v="N43.3"/>
    <m/>
    <s v="26614003"/>
    <m/>
    <m/>
    <m/>
    <s v="Wider"/>
    <m/>
    <m/>
    <m/>
    <m/>
    <m/>
    <m/>
    <m/>
    <m/>
    <m/>
    <m/>
    <x v="2"/>
    <n v="0"/>
    <x v="2"/>
    <x v="49"/>
    <n v="1"/>
    <s v=""/>
    <n v="1"/>
    <n v="1"/>
    <n v="1"/>
    <n v="0"/>
    <n v="0"/>
  </r>
  <r>
    <n v="1667"/>
    <s v="Filariasis"/>
    <n v="1667"/>
    <e v="#NAME?"/>
    <s v="Filariasis"/>
    <x v="1"/>
    <n v="23"/>
    <s v="Current conditions affecting Medical Eligibility"/>
    <m/>
    <m/>
    <s v="FP.2. Counseling"/>
    <x v="3"/>
    <m/>
    <s v="2.10.5 Screen for medical eligibility"/>
    <m/>
    <s v="FP.DE.550"/>
    <m/>
    <m/>
    <m/>
    <m/>
    <m/>
    <s v="Filariasis"/>
    <m/>
    <s v="No"/>
    <m/>
    <s v="Yes"/>
    <s v="C"/>
    <s v="Required during MEC check if MEC classification &gt;   MEC okay to use rating, currently 2] for method selected"/>
    <m/>
    <m/>
    <m/>
    <m/>
    <s v="MEC"/>
    <m/>
    <m/>
    <m/>
    <x v="3"/>
    <x v="0"/>
    <m/>
    <m/>
    <m/>
    <x v="2"/>
    <s v="JS"/>
    <s v="MedicalEligibilityConditions"/>
    <m/>
    <m/>
    <s v="       Filariasis"/>
    <s v="Changed"/>
    <m/>
    <x v="1"/>
    <e v="#NAME?"/>
    <m/>
    <x v="0"/>
    <m/>
    <m/>
    <s v="x"/>
    <m/>
    <m/>
    <s v="105706003"/>
    <m/>
    <m/>
    <m/>
    <m/>
    <m/>
    <m/>
    <m/>
    <m/>
    <m/>
    <m/>
    <m/>
    <m/>
    <m/>
    <m/>
    <x v="2"/>
    <n v="0"/>
    <x v="2"/>
    <x v="49"/>
    <n v="1"/>
    <s v=""/>
    <n v="1"/>
    <n v="1"/>
    <n v="1"/>
    <n v="0"/>
    <n v="0"/>
  </r>
  <r>
    <n v="1668"/>
    <s v="Elephantiasis"/>
    <n v="1668"/>
    <e v="#NAME?"/>
    <s v="Elephantiasis"/>
    <x v="1"/>
    <n v="23"/>
    <s v="Current conditions affecting Medical Eligibility"/>
    <m/>
    <m/>
    <s v="FP.2. Counseling"/>
    <x v="3"/>
    <m/>
    <s v="2.10.5 Screen for medical eligibility"/>
    <m/>
    <s v="FP.DE.551"/>
    <m/>
    <m/>
    <m/>
    <m/>
    <m/>
    <s v="Elephantiasis"/>
    <m/>
    <s v="No"/>
    <m/>
    <s v="Yes"/>
    <s v="C"/>
    <s v="Required during MEC check if MEC classification &gt;   MEC okay to use rating, currently 2] for method selected"/>
    <m/>
    <m/>
    <m/>
    <m/>
    <s v="MEC"/>
    <m/>
    <m/>
    <m/>
    <x v="3"/>
    <x v="0"/>
    <m/>
    <m/>
    <m/>
    <x v="2"/>
    <s v="JS"/>
    <s v="MedicalEligibilityConditions"/>
    <m/>
    <m/>
    <s v="       Elephantiasis"/>
    <s v="Changed"/>
    <m/>
    <x v="1"/>
    <e v="#NAME?"/>
    <m/>
    <x v="0"/>
    <m/>
    <m/>
    <s v="x"/>
    <m/>
    <m/>
    <s v="240820001"/>
    <m/>
    <m/>
    <m/>
    <m/>
    <m/>
    <m/>
    <m/>
    <m/>
    <m/>
    <m/>
    <m/>
    <m/>
    <m/>
    <m/>
    <x v="2"/>
    <n v="0"/>
    <x v="2"/>
    <x v="49"/>
    <n v="1"/>
    <s v=""/>
    <n v="1"/>
    <n v="1"/>
    <n v="1"/>
    <n v="0"/>
    <n v="0"/>
  </r>
  <r>
    <n v="1669"/>
    <s v="Intrascrotal mass"/>
    <n v="1669"/>
    <e v="#NAME?"/>
    <s v="Intrascrotal mass"/>
    <x v="1"/>
    <n v="23"/>
    <s v="Current conditions affecting Medical Eligibility"/>
    <m/>
    <m/>
    <s v="FP.2. Counseling"/>
    <x v="3"/>
    <m/>
    <s v="2.10.5 Screen for medical eligibility"/>
    <m/>
    <s v="FP.DE.552"/>
    <m/>
    <m/>
    <m/>
    <m/>
    <m/>
    <s v="Intrascrotal mass"/>
    <m/>
    <s v="No"/>
    <m/>
    <s v="Yes"/>
    <s v="C"/>
    <s v="Required during MEC check if MEC classification &gt;   MEC okay to use rating, currently 2] for method selected"/>
    <m/>
    <m/>
    <m/>
    <m/>
    <s v="MEC"/>
    <m/>
    <m/>
    <m/>
    <x v="3"/>
    <x v="0"/>
    <m/>
    <m/>
    <m/>
    <x v="2"/>
    <s v="JS"/>
    <s v="MedicalEligibilityConditions"/>
    <m/>
    <m/>
    <s v="       Intrascrotal mass"/>
    <s v="Changed"/>
    <m/>
    <x v="1"/>
    <e v="#NAME?"/>
    <m/>
    <x v="0"/>
    <m/>
    <m/>
    <s v="x"/>
    <m/>
    <m/>
    <s v="53929009"/>
    <m/>
    <m/>
    <m/>
    <m/>
    <m/>
    <m/>
    <m/>
    <m/>
    <m/>
    <m/>
    <m/>
    <m/>
    <m/>
    <m/>
    <x v="2"/>
    <n v="0"/>
    <x v="2"/>
    <x v="49"/>
    <n v="1"/>
    <s v=""/>
    <n v="1"/>
    <n v="1"/>
    <n v="1"/>
    <n v="0"/>
    <n v="0"/>
  </r>
  <r>
    <n v="1670"/>
    <s v="Cryptorchidism"/>
    <n v="1670"/>
    <e v="#NAME?"/>
    <s v="Cryptorchidism"/>
    <x v="1"/>
    <n v="23"/>
    <s v="Current conditions affecting Medical Eligibility"/>
    <m/>
    <m/>
    <s v="FP.2. Counseling"/>
    <x v="3"/>
    <m/>
    <s v="2.10.5 Screen for medical eligibility"/>
    <m/>
    <s v="FP.DE.553"/>
    <m/>
    <m/>
    <m/>
    <m/>
    <m/>
    <s v="Cryptorchidism"/>
    <m/>
    <s v="No"/>
    <m/>
    <s v="Yes"/>
    <s v="C"/>
    <s v="Required during MEC check if MEC classification &gt;   MEC okay to use rating, currently 2] for method selected"/>
    <m/>
    <m/>
    <m/>
    <m/>
    <s v="MEC"/>
    <m/>
    <m/>
    <m/>
    <x v="3"/>
    <x v="0"/>
    <m/>
    <m/>
    <m/>
    <x v="2"/>
    <s v="JS"/>
    <s v="MedicalEligibilityConditions"/>
    <m/>
    <m/>
    <s v="       Cryptorchidism"/>
    <s v="Changed"/>
    <m/>
    <x v="1"/>
    <e v="#NAME?"/>
    <m/>
    <x v="0"/>
    <m/>
    <m/>
    <s v="x"/>
    <m/>
    <m/>
    <s v="204878001"/>
    <m/>
    <m/>
    <m/>
    <m/>
    <m/>
    <m/>
    <m/>
    <m/>
    <m/>
    <m/>
    <m/>
    <m/>
    <m/>
    <m/>
    <x v="2"/>
    <n v="0"/>
    <x v="2"/>
    <x v="49"/>
    <n v="1"/>
    <s v=""/>
    <n v="1"/>
    <n v="1"/>
    <n v="1"/>
    <n v="0"/>
    <n v="0"/>
  </r>
  <r>
    <n v="1671"/>
    <s v="Inguinal hernia"/>
    <n v="1671"/>
    <e v="#NAME?"/>
    <s v="Inguinal hernia"/>
    <x v="1"/>
    <n v="23"/>
    <s v="Current conditions affecting Medical Eligibility"/>
    <m/>
    <m/>
    <s v="FP.2. Counseling"/>
    <x v="3"/>
    <m/>
    <s v="2.10.5 Screen for medical eligibility"/>
    <m/>
    <s v="FP.DE.554"/>
    <m/>
    <m/>
    <m/>
    <m/>
    <m/>
    <s v="Inguinal hernia"/>
    <m/>
    <s v="No"/>
    <m/>
    <s v="Yes"/>
    <s v="C"/>
    <s v="Required during MEC check if MEC classification &gt;   MEC okay to use rating, currently 2] for method selected"/>
    <m/>
    <m/>
    <m/>
    <m/>
    <s v="MEC"/>
    <m/>
    <m/>
    <m/>
    <x v="3"/>
    <x v="0"/>
    <m/>
    <m/>
    <m/>
    <x v="2"/>
    <s v="JS"/>
    <s v="MedicalEligibilityConditions"/>
    <m/>
    <m/>
    <s v="       Inguinal hernia"/>
    <s v="Changed"/>
    <m/>
    <x v="1"/>
    <e v="#NAME?"/>
    <m/>
    <x v="0"/>
    <m/>
    <m/>
    <s v="x"/>
    <m/>
    <m/>
    <s v="396232000"/>
    <m/>
    <m/>
    <m/>
    <m/>
    <m/>
    <m/>
    <m/>
    <m/>
    <m/>
    <m/>
    <m/>
    <m/>
    <m/>
    <m/>
    <x v="2"/>
    <n v="0"/>
    <x v="2"/>
    <x v="49"/>
    <n v="1"/>
    <s v=""/>
    <n v="1"/>
    <n v="1"/>
    <n v="1"/>
    <n v="0"/>
    <n v="0"/>
  </r>
  <r>
    <n v="1672"/>
    <s v="Scrotal skin infection"/>
    <n v="1672"/>
    <e v="#NAME?"/>
    <s v="Scrotal skin infection"/>
    <x v="1"/>
    <n v="23"/>
    <s v="Current conditions affecting Medical Eligibility"/>
    <m/>
    <m/>
    <s v="FP.2. Counseling"/>
    <x v="3"/>
    <m/>
    <s v="2.10.5 Screen for medical eligibility"/>
    <m/>
    <s v="FP.DE.555"/>
    <m/>
    <m/>
    <m/>
    <m/>
    <m/>
    <s v="Scrotal skin infection"/>
    <m/>
    <s v="No"/>
    <m/>
    <s v="Yes"/>
    <s v="C"/>
    <s v="Required during MEC check if MEC classification &gt;   MEC okay to use rating, currently 2] for method selected"/>
    <m/>
    <m/>
    <m/>
    <m/>
    <s v="MEC"/>
    <m/>
    <m/>
    <m/>
    <x v="3"/>
    <x v="0"/>
    <m/>
    <m/>
    <m/>
    <x v="2"/>
    <s v="JS"/>
    <s v="MedicalEligibilityConditions"/>
    <m/>
    <m/>
    <s v="       Scrotal skin infection"/>
    <s v="Changed"/>
    <m/>
    <x v="1"/>
    <e v="#NAME?"/>
    <m/>
    <x v="0"/>
    <m/>
    <m/>
    <s v="x"/>
    <m/>
    <m/>
    <s v="371413003"/>
    <m/>
    <m/>
    <m/>
    <m/>
    <m/>
    <s v="scrotal infection"/>
    <m/>
    <m/>
    <m/>
    <m/>
    <m/>
    <m/>
    <m/>
    <m/>
    <x v="2"/>
    <n v="0"/>
    <x v="2"/>
    <x v="49"/>
    <n v="1"/>
    <s v=""/>
    <n v="1"/>
    <n v="1"/>
    <n v="1"/>
    <n v="0"/>
    <n v="0"/>
  </r>
  <r>
    <n v="1673"/>
    <s v="Balanitis"/>
    <n v="1673"/>
    <e v="#NAME?"/>
    <s v="Balanitis"/>
    <x v="1"/>
    <n v="23"/>
    <s v="Current conditions affecting Medical Eligibility"/>
    <m/>
    <m/>
    <s v="FP.2. Counseling"/>
    <x v="3"/>
    <m/>
    <s v="2.10.5 Screen for medical eligibility"/>
    <m/>
    <s v="FP.DE.556"/>
    <m/>
    <m/>
    <m/>
    <m/>
    <m/>
    <s v="Balanitis"/>
    <m/>
    <s v="No"/>
    <m/>
    <s v="Yes"/>
    <s v="C"/>
    <s v="Required during MEC check if MEC classification &gt;   MEC okay to use rating, currently 2] for method selected"/>
    <m/>
    <m/>
    <m/>
    <m/>
    <s v="MEC"/>
    <m/>
    <m/>
    <m/>
    <x v="3"/>
    <x v="0"/>
    <m/>
    <m/>
    <m/>
    <x v="2"/>
    <s v="JS"/>
    <s v="MedicalEligibilityConditions"/>
    <m/>
    <m/>
    <s v="       Balanitis"/>
    <s v="Changed"/>
    <m/>
    <x v="1"/>
    <e v="#NAME?"/>
    <m/>
    <x v="0"/>
    <m/>
    <m/>
    <s v="x"/>
    <m/>
    <m/>
    <s v="44882003"/>
    <m/>
    <m/>
    <m/>
    <m/>
    <m/>
    <m/>
    <m/>
    <m/>
    <m/>
    <m/>
    <m/>
    <m/>
    <m/>
    <m/>
    <x v="2"/>
    <n v="0"/>
    <x v="2"/>
    <x v="49"/>
    <n v="1"/>
    <s v=""/>
    <n v="1"/>
    <n v="1"/>
    <n v="1"/>
    <n v="0"/>
    <n v="0"/>
  </r>
  <r>
    <n v="1674"/>
    <s v="Epididymitis"/>
    <n v="1674"/>
    <e v="#NAME?"/>
    <s v="Epididymitis"/>
    <x v="1"/>
    <n v="23"/>
    <s v="Current conditions affecting Medical Eligibility"/>
    <m/>
    <m/>
    <s v="FP.2. Counseling"/>
    <x v="3"/>
    <m/>
    <s v="2.10.5 Screen for medical eligibility"/>
    <m/>
    <s v="FP.DE.557"/>
    <m/>
    <m/>
    <m/>
    <m/>
    <m/>
    <s v="Epididymitis"/>
    <m/>
    <s v="No"/>
    <m/>
    <s v="Yes"/>
    <s v="C"/>
    <s v="Required during MEC check if MEC classification &gt;   MEC okay to use rating, currently 2] for method selected"/>
    <m/>
    <m/>
    <m/>
    <m/>
    <s v="MEC"/>
    <m/>
    <m/>
    <m/>
    <x v="3"/>
    <x v="0"/>
    <m/>
    <m/>
    <m/>
    <x v="2"/>
    <s v="JS"/>
    <s v="MedicalEligibilityConditions"/>
    <m/>
    <m/>
    <s v="       Epididymitis"/>
    <s v="Changed"/>
    <m/>
    <x v="1"/>
    <e v="#NAME?"/>
    <m/>
    <x v="0"/>
    <m/>
    <m/>
    <s v="x"/>
    <s v="N45.1"/>
    <m/>
    <s v="31070006"/>
    <m/>
    <m/>
    <m/>
    <m/>
    <m/>
    <m/>
    <m/>
    <m/>
    <m/>
    <m/>
    <m/>
    <m/>
    <m/>
    <m/>
    <x v="2"/>
    <n v="0"/>
    <x v="2"/>
    <x v="49"/>
    <n v="1"/>
    <s v=""/>
    <n v="1"/>
    <n v="1"/>
    <n v="1"/>
    <n v="0"/>
    <n v="0"/>
  </r>
  <r>
    <n v="1675"/>
    <s v="Orchitis"/>
    <n v="1675"/>
    <e v="#NAME?"/>
    <s v="Orchitis"/>
    <x v="1"/>
    <n v="23"/>
    <s v="Current conditions affecting Medical Eligibility"/>
    <m/>
    <m/>
    <s v="FP.2. Counseling"/>
    <x v="3"/>
    <m/>
    <s v="2.10.5 Screen for medical eligibility"/>
    <m/>
    <s v="FP.DE.558"/>
    <m/>
    <m/>
    <m/>
    <m/>
    <m/>
    <s v="Orchitis"/>
    <m/>
    <s v="No"/>
    <m/>
    <s v="Yes"/>
    <s v="C"/>
    <s v="Required during MEC check if MEC classification &gt;   MEC okay to use rating, currently 2] for method selected"/>
    <m/>
    <m/>
    <m/>
    <m/>
    <s v="MEC"/>
    <m/>
    <m/>
    <m/>
    <x v="3"/>
    <x v="0"/>
    <m/>
    <m/>
    <m/>
    <x v="2"/>
    <s v="JS"/>
    <s v="MedicalEligibilityConditions"/>
    <m/>
    <m/>
    <s v="       Orchitis"/>
    <s v="Changed"/>
    <m/>
    <x v="1"/>
    <e v="#NAME?"/>
    <m/>
    <x v="0"/>
    <m/>
    <m/>
    <s v="orchitis and epididymitis together is 197983000 in snomed if bothx"/>
    <s v="N45.2"/>
    <m/>
    <s v="274718005"/>
    <m/>
    <m/>
    <m/>
    <m/>
    <m/>
    <m/>
    <m/>
    <m/>
    <m/>
    <m/>
    <m/>
    <m/>
    <m/>
    <m/>
    <x v="2"/>
    <n v="0"/>
    <x v="2"/>
    <x v="49"/>
    <n v="1"/>
    <s v=""/>
    <n v="1"/>
    <n v="1"/>
    <n v="1"/>
    <n v="0"/>
    <n v="0"/>
  </r>
  <r>
    <n v="1431"/>
    <s v="Physical Examination"/>
    <n v="1431"/>
    <s v="Physical Examination"/>
    <s v="Physical Examination"/>
    <x v="2"/>
    <n v="20"/>
    <s v=""/>
    <m/>
    <m/>
    <s v="FP.2. Counseling"/>
    <x v="11"/>
    <m/>
    <s v="2.10.5 Screen for medical eligibility"/>
    <m/>
    <s v="FP.DE.499"/>
    <s v="Physical Examination"/>
    <m/>
    <s v="Whether a physical exam was conducted during the visit."/>
    <s v="Boolean"/>
    <m/>
    <s v="True/False"/>
    <m/>
    <s v="No"/>
    <m/>
    <s v="Yes"/>
    <s v="C"/>
    <s v="Optional selection for providers for continuing users, during issues and concerns. _x000a_Required if FP.DE.257 Pelvic/genital examination needed = TRUE in Exams and Tests Decision Logic, _x000a_else optional"/>
    <m/>
    <m/>
    <m/>
    <m/>
    <m/>
    <m/>
    <m/>
    <m/>
    <x v="3"/>
    <x v="0"/>
    <m/>
    <m/>
    <m/>
    <x v="2"/>
    <s v="NA"/>
    <m/>
    <m/>
    <m/>
    <s v="Physical Examination"/>
    <s v="Same"/>
    <m/>
    <x v="1"/>
    <s v=""/>
    <m/>
    <x v="2"/>
    <m/>
    <m/>
    <m/>
    <m/>
    <m/>
    <m/>
    <m/>
    <m/>
    <s v="No terminology code required"/>
    <m/>
    <m/>
    <m/>
    <m/>
    <m/>
    <m/>
    <m/>
    <m/>
    <m/>
    <m/>
    <m/>
    <x v="2"/>
    <s v=""/>
    <x v="3"/>
    <x v="2"/>
    <n v="1"/>
    <s v=""/>
    <n v="1"/>
    <n v="1"/>
    <n v="1"/>
    <n v="0"/>
    <n v="0"/>
  </r>
  <r>
    <n v="1868"/>
    <s v="Routine laboratory tests"/>
    <n v="1868"/>
    <s v="Routine laboratory tests"/>
    <s v="Routine laboratory tests"/>
    <x v="0"/>
    <n v="24"/>
    <s v=""/>
    <m/>
    <m/>
    <s v="FP.2. Counseling"/>
    <x v="10"/>
    <m/>
    <s v="2.10.5 Screen for medical eligibility"/>
    <m/>
    <s v="FP.DE.259"/>
    <s v="Routine laboratory tests"/>
    <m/>
    <m/>
    <m/>
    <m/>
    <m/>
    <m/>
    <m/>
    <m/>
    <s v="Yes"/>
    <s v="C"/>
    <s v="Conditional based on availability "/>
    <m/>
    <m/>
    <m/>
    <m/>
    <m/>
    <m/>
    <m/>
    <s v=""/>
    <x v="25"/>
    <x v="0"/>
    <s v="FHIR"/>
    <s v="4.0.1"/>
    <s v=""/>
    <x v="2"/>
    <s v="NA"/>
    <m/>
    <m/>
    <m/>
    <m/>
    <s v=""/>
    <m/>
    <x v="1"/>
    <s v=""/>
    <m/>
    <x v="2"/>
    <m/>
    <s v=""/>
    <s v=""/>
    <m/>
    <s v=""/>
    <m/>
    <m/>
    <m/>
    <s v="No terminology code required"/>
    <s v=""/>
    <m/>
    <s v=""/>
    <s v=""/>
    <s v=""/>
    <s v=""/>
    <s v=""/>
    <s v=""/>
    <m/>
    <m/>
    <m/>
    <x v="2"/>
    <s v=""/>
    <x v="3"/>
    <x v="12"/>
    <n v="1"/>
    <n v="0"/>
    <n v="1"/>
    <n v="1"/>
    <n v="1"/>
    <n v="0"/>
    <n v="0"/>
  </r>
  <r>
    <n v="2366"/>
    <s v="Breast Exam Status"/>
    <n v="2366"/>
    <s v="Breast Exam"/>
    <s v="Breast Exam"/>
    <x v="0"/>
    <n v="18"/>
    <s v=""/>
    <m/>
    <m/>
    <s v="FP.2. Counseling"/>
    <x v="11"/>
    <s v="Remodel this"/>
    <s v="2.10.5 Screen for medical eligibility"/>
    <m/>
    <s v="FP.DE.256"/>
    <s v="Breast Exam"/>
    <m/>
    <s v="Breast exam conducted during the visit."/>
    <s v="Coding "/>
    <s v="Select one"/>
    <m/>
    <m/>
    <m/>
    <m/>
    <s v="Yes"/>
    <s v="O"/>
    <m/>
    <m/>
    <m/>
    <m/>
    <s v="Included in Exams and Tests table, but not required or listed as desirable for any method. "/>
    <m/>
    <m/>
    <m/>
    <m/>
    <x v="32"/>
    <x v="0"/>
    <s v="FHIR"/>
    <s v="4.0.1"/>
    <m/>
    <x v="2"/>
    <s v="NA"/>
    <s v="ExamStatus"/>
    <m/>
    <m/>
    <s v="Breast Exam"/>
    <s v="Changed"/>
    <m/>
    <x v="1"/>
    <s v="&quot;Breast Exam&quot;-&gt;&quot;Breast Exam Status&quot;"/>
    <m/>
    <x v="2"/>
    <m/>
    <m/>
    <s v="assume manual exam; is this self or other medical provider.  x"/>
    <m/>
    <m/>
    <s v="13607009; 409979009"/>
    <m/>
    <m/>
    <m/>
    <m/>
    <m/>
    <s v="271886009; should be 13607009; manual self exam 409979009"/>
    <s v="_x000a_"/>
    <m/>
    <m/>
    <s v="Concept - Breast examination performance status"/>
    <s v="165369AAAAAAAAAAAAAAAAAAAAAAAAAAAAAA"/>
    <m/>
    <m/>
    <m/>
    <x v="2"/>
    <s v=""/>
    <x v="3"/>
    <x v="12"/>
    <n v="1"/>
    <n v="1"/>
    <n v="1"/>
    <n v="1"/>
    <n v="1"/>
    <n v="0"/>
    <n v="0"/>
  </r>
  <r>
    <n v="1434"/>
    <s v="       Not done"/>
    <n v="1434"/>
    <e v="#NAME?"/>
    <s v="Not done"/>
    <x v="1"/>
    <n v="15"/>
    <s v="Breast Exam Status"/>
    <m/>
    <m/>
    <s v="FP.2. Counseling"/>
    <x v="11"/>
    <s v="Remodel this"/>
    <s v="2.10.5 Screen for medical eligibility"/>
    <m/>
    <s v="FP.DE.500"/>
    <m/>
    <m/>
    <m/>
    <m/>
    <m/>
    <s v="Not done"/>
    <m/>
    <m/>
    <m/>
    <s v="Yes"/>
    <m/>
    <m/>
    <m/>
    <m/>
    <m/>
    <m/>
    <m/>
    <m/>
    <m/>
    <m/>
    <x v="3"/>
    <x v="0"/>
    <m/>
    <m/>
    <m/>
    <x v="2"/>
    <s v="NA"/>
    <s v="ExamStatus"/>
    <m/>
    <m/>
    <s v="       Not done"/>
    <s v="Same"/>
    <m/>
    <x v="1"/>
    <e v="#NAME?"/>
    <m/>
    <x v="2"/>
    <s v="http://hl7.org/fhir/event-status"/>
    <s v="not-done"/>
    <m/>
    <m/>
    <m/>
    <s v="385660001"/>
    <m/>
    <m/>
    <m/>
    <m/>
    <m/>
    <m/>
    <m/>
    <m/>
    <m/>
    <s v="Concept - Normal"/>
    <s v="1115AAAAAAAAAAAAAAAAAAAAAAAAAAAAAAAA"/>
    <m/>
    <m/>
    <m/>
    <x v="2"/>
    <n v="0"/>
    <x v="2"/>
    <x v="12"/>
    <n v="1"/>
    <s v=""/>
    <n v="1"/>
    <n v="1"/>
    <n v="1"/>
    <n v="0"/>
    <n v="0"/>
  </r>
  <r>
    <n v="2367"/>
    <s v="       Done"/>
    <n v="2367"/>
    <e v="#NAME?"/>
    <n v="0"/>
    <x v="1"/>
    <n v="11"/>
    <s v="Breast Exam Status"/>
    <m/>
    <m/>
    <s v="FP.2. Counseling"/>
    <x v="11"/>
    <s v="Remodel this"/>
    <s v="2.10.5 Screen for medical eligibility"/>
    <m/>
    <s v="FP.DE.500"/>
    <m/>
    <m/>
    <m/>
    <m/>
    <m/>
    <m/>
    <m/>
    <m/>
    <m/>
    <s v="Yes"/>
    <m/>
    <m/>
    <m/>
    <m/>
    <m/>
    <m/>
    <m/>
    <m/>
    <m/>
    <m/>
    <x v="3"/>
    <x v="0"/>
    <m/>
    <m/>
    <m/>
    <x v="2"/>
    <s v="NA"/>
    <s v="ExamStatus"/>
    <m/>
    <m/>
    <s v="       Not done"/>
    <s v="Changed"/>
    <m/>
    <x v="1"/>
    <e v="#NAME?"/>
    <m/>
    <x v="2"/>
    <s v="http://hl7.org/fhir/event-status"/>
    <s v="completed"/>
    <m/>
    <m/>
    <m/>
    <s v="385658003"/>
    <m/>
    <m/>
    <m/>
    <m/>
    <m/>
    <m/>
    <m/>
    <m/>
    <m/>
    <s v="Concept - Normal"/>
    <s v="1115AAAAAAAAAAAAAAAAAAAAAAAAAAAAAAAA"/>
    <m/>
    <m/>
    <m/>
    <x v="2"/>
    <n v="0"/>
    <x v="2"/>
    <x v="12"/>
    <n v="1"/>
    <s v=""/>
    <n v="1"/>
    <n v="1"/>
    <n v="1"/>
    <n v="0"/>
    <n v="0"/>
  </r>
  <r>
    <n v="1433"/>
    <s v="Breast Exam Result"/>
    <n v="1433"/>
    <s v="Breast Exam"/>
    <s v="Breast Exam"/>
    <x v="0"/>
    <n v="18"/>
    <s v=""/>
    <m/>
    <m/>
    <s v="FP.2. Counseling"/>
    <x v="11"/>
    <s v="Remodel this"/>
    <s v="2.10.5 Screen for medical eligibility"/>
    <m/>
    <s v="FP.DE.256"/>
    <s v="Breast Exam"/>
    <m/>
    <s v="Breast exam conducted during the visit."/>
    <s v="Coding "/>
    <s v="Select one"/>
    <m/>
    <m/>
    <m/>
    <m/>
    <s v="Yes"/>
    <s v="O"/>
    <m/>
    <m/>
    <m/>
    <m/>
    <s v="Included in Exams and Tests table, but not required or listed as desirable for any method. "/>
    <m/>
    <m/>
    <m/>
    <m/>
    <x v="33"/>
    <x v="0"/>
    <s v="FHIR"/>
    <s v="4.0.1"/>
    <m/>
    <x v="2"/>
    <s v="NA"/>
    <s v="ExamResult"/>
    <m/>
    <m/>
    <s v="Breast Exam"/>
    <s v="Changed"/>
    <m/>
    <x v="1"/>
    <s v="&quot;Breast Exam&quot;-&gt;&quot;Breast Exam Result&quot;"/>
    <m/>
    <x v="2"/>
    <m/>
    <m/>
    <s v="assume manual exam; is this self or other medical provider.  x"/>
    <m/>
    <m/>
    <s v="13607009; 409979009"/>
    <m/>
    <m/>
    <m/>
    <m/>
    <m/>
    <s v="271886009; should be 13607009; manual self exam 409979009"/>
    <s v="_x000a_"/>
    <m/>
    <m/>
    <s v="Concept - Breast examination performance status"/>
    <s v="165369AAAAAAAAAAAAAAAAAAAAAAAAAAAAAA"/>
    <m/>
    <m/>
    <m/>
    <x v="2"/>
    <s v=""/>
    <x v="3"/>
    <x v="12"/>
    <n v="1"/>
    <n v="1"/>
    <n v="1"/>
    <n v="1"/>
    <n v="1"/>
    <n v="0"/>
    <n v="0"/>
  </r>
  <r>
    <n v="1435"/>
    <s v="       Normal"/>
    <n v="1435"/>
    <e v="#NAME?"/>
    <s v="Normal"/>
    <x v="1"/>
    <n v="13"/>
    <s v="Breast Exam Result"/>
    <m/>
    <m/>
    <s v="FP.2. Counseling"/>
    <x v="11"/>
    <s v="Remodel this"/>
    <s v="2.10.5 Screen for medical eligibility"/>
    <m/>
    <s v="FP.DE.501"/>
    <m/>
    <m/>
    <m/>
    <m/>
    <m/>
    <s v="Normal"/>
    <m/>
    <m/>
    <m/>
    <s v="Yes"/>
    <m/>
    <m/>
    <m/>
    <m/>
    <m/>
    <m/>
    <m/>
    <m/>
    <m/>
    <m/>
    <x v="3"/>
    <x v="0"/>
    <m/>
    <m/>
    <m/>
    <x v="2"/>
    <s v="NA"/>
    <s v="ExamResult"/>
    <m/>
    <m/>
    <s v="       Normal"/>
    <s v="Same"/>
    <m/>
    <x v="1"/>
    <e v="#NAME?"/>
    <m/>
    <x v="2"/>
    <m/>
    <m/>
    <m/>
    <m/>
    <m/>
    <s v="17621005"/>
    <m/>
    <m/>
    <m/>
    <m/>
    <m/>
    <m/>
    <m/>
    <m/>
    <m/>
    <s v="Concept - Not done"/>
    <s v="1118AAAAAAAAAAAAAAAAAAAAAAAAAAAAAAAA"/>
    <m/>
    <m/>
    <m/>
    <x v="2"/>
    <n v="0"/>
    <x v="2"/>
    <x v="12"/>
    <n v="1"/>
    <s v=""/>
    <n v="1"/>
    <n v="1"/>
    <n v="1"/>
    <n v="0"/>
    <n v="0"/>
  </r>
  <r>
    <n v="1436"/>
    <s v="       Abnormal"/>
    <n v="1436"/>
    <e v="#NAME?"/>
    <s v="Abnormal"/>
    <x v="1"/>
    <n v="15"/>
    <s v="Breast Exam Result"/>
    <m/>
    <m/>
    <s v="FP.2. Counseling"/>
    <x v="11"/>
    <s v="Remodel this"/>
    <s v="2.10.5 Screen for medical eligibility"/>
    <m/>
    <s v="FP.DE.502"/>
    <m/>
    <m/>
    <m/>
    <m/>
    <m/>
    <s v="Abnormal"/>
    <m/>
    <m/>
    <m/>
    <s v="Yes"/>
    <m/>
    <m/>
    <m/>
    <m/>
    <m/>
    <m/>
    <m/>
    <m/>
    <m/>
    <m/>
    <x v="3"/>
    <x v="0"/>
    <m/>
    <m/>
    <m/>
    <x v="2"/>
    <s v="NA"/>
    <s v="ExamResult"/>
    <m/>
    <m/>
    <s v="       Abnormal"/>
    <s v="Same"/>
    <m/>
    <x v="1"/>
    <e v="#NAME?"/>
    <m/>
    <x v="2"/>
    <m/>
    <m/>
    <m/>
    <m/>
    <m/>
    <s v="263654008"/>
    <m/>
    <m/>
    <m/>
    <m/>
    <m/>
    <m/>
    <m/>
    <m/>
    <m/>
    <s v="Concept - Abnormal"/>
    <s v="1116AAAAAAAAAAAAAAAAAAAAAAAAAAAAAAAA"/>
    <m/>
    <m/>
    <m/>
    <x v="2"/>
    <n v="0"/>
    <x v="2"/>
    <x v="12"/>
    <n v="1"/>
    <s v=""/>
    <n v="1"/>
    <n v="1"/>
    <n v="1"/>
    <n v="0"/>
    <n v="0"/>
  </r>
  <r>
    <n v="2373"/>
    <s v="FP Recommended Care"/>
    <m/>
    <m/>
    <m/>
    <x v="0"/>
    <m/>
    <m/>
    <m/>
    <m/>
    <m/>
    <x v="9"/>
    <m/>
    <m/>
    <m/>
    <m/>
    <m/>
    <m/>
    <m/>
    <m/>
    <m/>
    <m/>
    <m/>
    <m/>
    <m/>
    <m/>
    <m/>
    <m/>
    <m/>
    <m/>
    <m/>
    <m/>
    <m/>
    <m/>
    <m/>
    <m/>
    <x v="24"/>
    <x v="0"/>
    <s v="FHIR"/>
    <s v="4.0.1"/>
    <m/>
    <x v="54"/>
    <s v="JA"/>
    <m/>
    <m/>
    <m/>
    <m/>
    <m/>
    <m/>
    <x v="1"/>
    <m/>
    <m/>
    <x v="0"/>
    <m/>
    <m/>
    <m/>
    <m/>
    <m/>
    <m/>
    <m/>
    <m/>
    <m/>
    <m/>
    <m/>
    <m/>
    <m/>
    <m/>
    <m/>
    <m/>
    <m/>
    <m/>
    <m/>
    <m/>
    <x v="9"/>
    <s v=""/>
    <x v="10"/>
    <x v="55"/>
    <n v="1"/>
    <n v="1"/>
    <n v="0"/>
    <n v="1"/>
    <n v="0"/>
    <n v="1"/>
    <n v="0"/>
  </r>
  <r>
    <n v="1437"/>
    <s v="       Pelvic/genital examination needed"/>
    <n v="1437"/>
    <e v="#NAME?"/>
    <s v="Pelvic/genital examination needed"/>
    <x v="1"/>
    <n v="40"/>
    <s v="FP Recommended Care"/>
    <m/>
    <m/>
    <s v="FP.2. Counseling"/>
    <x v="11"/>
    <m/>
    <s v="2.10.5 Screen for medical eligibility"/>
    <m/>
    <s v="FP.DE.257"/>
    <s v="Pelvic/genital examination needed"/>
    <m/>
    <s v="Whether a genital or pelvic exam is needed for the method selected"/>
    <s v="Boolean"/>
    <m/>
    <s v="True/False"/>
    <m/>
    <s v="No"/>
    <m/>
    <s v="No"/>
    <s v="C"/>
    <s v="System generated by Exams and Tests decision logic"/>
    <m/>
    <m/>
    <m/>
    <m/>
    <m/>
    <m/>
    <m/>
    <m/>
    <x v="3"/>
    <x v="0"/>
    <m/>
    <m/>
    <m/>
    <x v="2"/>
    <s v="JS"/>
    <m/>
    <m/>
    <m/>
    <s v="Pelvic/genital examination needed"/>
    <s v="Changed"/>
    <m/>
    <x v="1"/>
    <e v="#NAME?"/>
    <m/>
    <x v="0"/>
    <m/>
    <m/>
    <m/>
    <m/>
    <m/>
    <s v="35025007"/>
    <m/>
    <m/>
    <m/>
    <s v="SNOMED_ manual pelvic exam plus nEEDS"/>
    <m/>
    <s v="Couldn't find term for this"/>
    <m/>
    <m/>
    <m/>
    <m/>
    <m/>
    <m/>
    <m/>
    <m/>
    <x v="2"/>
    <n v="0"/>
    <x v="2"/>
    <x v="55"/>
    <n v="1"/>
    <s v=""/>
    <n v="1"/>
    <n v="1"/>
    <n v="1"/>
    <n v="0"/>
    <n v="0"/>
  </r>
  <r>
    <n v="1438"/>
    <s v="Pelvic/genital examination outcome"/>
    <n v="1438"/>
    <s v="Pelvic/genital examination outcome"/>
    <s v="Pelvic/genital examination outcome"/>
    <x v="0"/>
    <n v="34"/>
    <s v=""/>
    <m/>
    <m/>
    <s v="FP.2. Counseling"/>
    <x v="11"/>
    <m/>
    <s v="2.10.5 Screen for medical eligibility"/>
    <m/>
    <s v="FP.DE.379"/>
    <s v="Pelvic/genital examination outcome"/>
    <m/>
    <s v="Whether or not the pelvic/genital exam was normal"/>
    <s v="Coding "/>
    <s v="Select one"/>
    <m/>
    <m/>
    <s v="No"/>
    <m/>
    <s v="Yes"/>
    <s v="C"/>
    <s v="Optional selection for providers for continuing users, during issues and concerns. _x000a_Required if FP.DE.257 Pelvic/genital examination needed = TRUE, _x000a_else optional"/>
    <m/>
    <m/>
    <m/>
    <m/>
    <m/>
    <m/>
    <m/>
    <m/>
    <x v="22"/>
    <x v="0"/>
    <s v="FHIR"/>
    <s v="4.0.1"/>
    <m/>
    <x v="2"/>
    <s v="NA"/>
    <s v="ExamResult"/>
    <m/>
    <m/>
    <s v="Pelvic examination "/>
    <s v="Changed"/>
    <m/>
    <x v="1"/>
    <s v=""/>
    <m/>
    <x v="2"/>
    <m/>
    <m/>
    <m/>
    <m/>
    <m/>
    <m/>
    <s v="8707-2"/>
    <m/>
    <m/>
    <m/>
    <m/>
    <m/>
    <m/>
    <m/>
    <m/>
    <s v="Concept - Pelvic examination performance status"/>
    <s v="165373AAAAAAAAAAAAAAAAAAAAAAAAAAAAAA"/>
    <m/>
    <m/>
    <m/>
    <x v="2"/>
    <s v=""/>
    <x v="3"/>
    <x v="12"/>
    <n v="1"/>
    <n v="1"/>
    <n v="1"/>
    <n v="1"/>
    <n v="1"/>
    <n v="0"/>
    <n v="0"/>
  </r>
  <r>
    <n v="1442"/>
    <s v="Abnormal (specify) - Pelvic/genital examination outcome"/>
    <n v="1442"/>
    <s v="Abnormal (specify)"/>
    <s v="Abnormal (specify)"/>
    <x v="0"/>
    <n v="55"/>
    <s v=""/>
    <m/>
    <m/>
    <s v="FP.2. Counseling"/>
    <x v="11"/>
    <m/>
    <s v="2.10.5 Screen for medical eligibility"/>
    <m/>
    <s v="FP.DE.108"/>
    <s v="Abnormal (specify)"/>
    <m/>
    <m/>
    <s v="Text"/>
    <m/>
    <m/>
    <m/>
    <s v="No"/>
    <m/>
    <s v="Yes"/>
    <s v="C"/>
    <m/>
    <m/>
    <m/>
    <m/>
    <m/>
    <m/>
    <m/>
    <m/>
    <m/>
    <x v="34"/>
    <x v="0"/>
    <s v="FHIR"/>
    <s v="4.0.1"/>
    <m/>
    <x v="2"/>
    <s v="NA"/>
    <m/>
    <m/>
    <m/>
    <s v="Abnormal (specify)"/>
    <s v="Changed"/>
    <m/>
    <x v="1"/>
    <s v="&quot;Abnormal (specify)&quot;-&gt;&quot;Abnormal (specify) - Pelvic/genital examination outcome&quot;"/>
    <m/>
    <x v="2"/>
    <m/>
    <m/>
    <m/>
    <m/>
    <m/>
    <m/>
    <s v="10204-6"/>
    <m/>
    <m/>
    <m/>
    <m/>
    <m/>
    <m/>
    <m/>
    <m/>
    <m/>
    <m/>
    <m/>
    <m/>
    <m/>
    <x v="2"/>
    <s v=""/>
    <x v="3"/>
    <x v="12"/>
    <n v="1"/>
    <n v="1"/>
    <n v="1"/>
    <n v="1"/>
    <n v="1"/>
    <n v="0"/>
    <n v="0"/>
  </r>
  <r>
    <n v="1676"/>
    <s v="Blood haemoglobin test"/>
    <n v="1676"/>
    <e v="#NAME?"/>
    <s v="Blood haemoglobin test"/>
    <x v="1"/>
    <n v="22"/>
    <s v="Observations affecting Medical Eligibility"/>
    <m/>
    <m/>
    <s v="FP.2. Counseling"/>
    <x v="11"/>
    <m/>
    <s v="2.10.5 Screen for medical eligibility"/>
    <m/>
    <s v="FP.DE.260"/>
    <s v="Blood haemoglobin test"/>
    <m/>
    <m/>
    <s v="Boolean"/>
    <m/>
    <s v="True/False"/>
    <m/>
    <m/>
    <m/>
    <s v="Yes"/>
    <s v="C"/>
    <s v="Required during MEC check if MEC classification &gt;   MEC okay to use rating, currently 2] for method selected"/>
    <m/>
    <m/>
    <m/>
    <m/>
    <m/>
    <m/>
    <m/>
    <m/>
    <x v="3"/>
    <x v="0"/>
    <m/>
    <m/>
    <m/>
    <x v="2"/>
    <s v="JS"/>
    <s v="MedicalEligibilityObservations"/>
    <m/>
    <m/>
    <s v="Blood haemoglobin test"/>
    <s v="Same"/>
    <m/>
    <x v="1"/>
    <e v="#NAME?"/>
    <m/>
    <x v="0"/>
    <m/>
    <m/>
    <s v="x"/>
    <m/>
    <m/>
    <s v="38082009"/>
    <s v="718-7"/>
    <m/>
    <m/>
    <m/>
    <m/>
    <m/>
    <s v="76"/>
    <m/>
    <m/>
    <m/>
    <m/>
    <m/>
    <m/>
    <m/>
    <x v="2"/>
    <n v="0"/>
    <x v="2"/>
    <x v="48"/>
    <n v="1"/>
    <s v=""/>
    <n v="1"/>
    <n v="1"/>
    <n v="1"/>
    <n v="0"/>
    <n v="0"/>
  </r>
  <r>
    <n v="1677"/>
    <s v="       Blood pressure screening recommended"/>
    <n v="1677"/>
    <e v="#NAME?"/>
    <s v="Blood pressure screening recommended"/>
    <x v="1"/>
    <n v="43"/>
    <s v="FP Recommended Care"/>
    <m/>
    <m/>
    <s v="FP.2. Counseling"/>
    <x v="11"/>
    <m/>
    <s v="2.10.5 Screen for medical eligibility"/>
    <m/>
    <s v="FP.DE.262"/>
    <s v="Blood pressure screening recommended"/>
    <m/>
    <s v="System generated value if blood pressure is recommended for method selected. "/>
    <s v="Boolean"/>
    <m/>
    <s v="True/False"/>
    <m/>
    <m/>
    <m/>
    <s v="No"/>
    <s v="C"/>
    <s v="System generated based on DSL Exams and Tests for method selected"/>
    <m/>
    <m/>
    <m/>
    <s v="Set by Exams and Tests Decision Logic"/>
    <m/>
    <m/>
    <m/>
    <m/>
    <x v="3"/>
    <x v="0"/>
    <m/>
    <m/>
    <m/>
    <x v="2"/>
    <s v="JS"/>
    <m/>
    <m/>
    <m/>
    <s v="Blood pressure screening recommended"/>
    <s v="Changed"/>
    <m/>
    <x v="1"/>
    <e v="#NAME?"/>
    <m/>
    <x v="0"/>
    <m/>
    <m/>
    <m/>
    <m/>
    <m/>
    <s v="268607006"/>
    <m/>
    <m/>
    <m/>
    <m/>
    <m/>
    <s v="Mapped to &quot;Hypertension Risk&quot;, presuming the answer to hypertension risk would determine whether or not someone should be screened."/>
    <m/>
    <m/>
    <m/>
    <m/>
    <m/>
    <m/>
    <m/>
    <m/>
    <x v="2"/>
    <n v="0"/>
    <x v="2"/>
    <x v="55"/>
    <n v="1"/>
    <s v=""/>
    <n v="1"/>
    <n v="1"/>
    <n v="1"/>
    <n v="0"/>
    <n v="0"/>
  </r>
  <r>
    <n v="1678"/>
    <s v="STI/HIV Screening laboratory tests"/>
    <n v="1678"/>
    <s v="STI/HIV Screening laboratory tests"/>
    <s v="STI/HIV Screening laboratory tests"/>
    <x v="2"/>
    <n v="34"/>
    <s v=""/>
    <m/>
    <m/>
    <s v="FP.2. Counseling"/>
    <x v="12"/>
    <m/>
    <s v="2.10.5 Screen for medical eligibility"/>
    <m/>
    <s v="FP.DE.261"/>
    <s v="STI/HIV Screening laboratory tests"/>
    <m/>
    <m/>
    <m/>
    <m/>
    <m/>
    <m/>
    <s v="No"/>
    <m/>
    <s v="Yes"/>
    <s v="O"/>
    <m/>
    <m/>
    <m/>
    <m/>
    <m/>
    <m/>
    <m/>
    <m/>
    <m/>
    <x v="3"/>
    <x v="0"/>
    <m/>
    <m/>
    <m/>
    <x v="2"/>
    <s v="NA"/>
    <m/>
    <m/>
    <m/>
    <s v="STI/HIV Screening laboratory tests"/>
    <s v="Same"/>
    <m/>
    <x v="1"/>
    <s v=""/>
    <m/>
    <x v="2"/>
    <m/>
    <m/>
    <m/>
    <m/>
    <m/>
    <m/>
    <m/>
    <m/>
    <s v="No terminology code required"/>
    <m/>
    <m/>
    <m/>
    <m/>
    <m/>
    <m/>
    <m/>
    <m/>
    <m/>
    <m/>
    <m/>
    <x v="2"/>
    <s v=""/>
    <x v="3"/>
    <x v="2"/>
    <n v="1"/>
    <s v=""/>
    <n v="1"/>
    <n v="1"/>
    <n v="1"/>
    <n v="0"/>
    <n v="0"/>
  </r>
  <r>
    <n v="1679"/>
    <s v="HIV test not done"/>
    <n v="1679"/>
    <s v="HIV test not done"/>
    <s v="HIV test not done"/>
    <x v="2"/>
    <n v="17"/>
    <s v=""/>
    <m/>
    <m/>
    <s v="FP.2. Counseling"/>
    <x v="12"/>
    <m/>
    <s v="2.10.5 Screen for medical eligibility"/>
    <m/>
    <s v="FP.DE.526"/>
    <s v="HIV test not done"/>
    <m/>
    <m/>
    <s v="Boolean"/>
    <m/>
    <s v="True/False"/>
    <m/>
    <s v="No"/>
    <m/>
    <s v="Yes"/>
    <s v="O"/>
    <m/>
    <m/>
    <m/>
    <m/>
    <m/>
    <m/>
    <m/>
    <m/>
    <m/>
    <x v="3"/>
    <x v="0"/>
    <m/>
    <m/>
    <m/>
    <x v="2"/>
    <s v="NA"/>
    <m/>
    <m/>
    <m/>
    <s v="HIV test not done"/>
    <s v="Same"/>
    <m/>
    <x v="1"/>
    <s v=""/>
    <m/>
    <x v="2"/>
    <m/>
    <m/>
    <m/>
    <m/>
    <m/>
    <m/>
    <m/>
    <m/>
    <m/>
    <m/>
    <m/>
    <m/>
    <m/>
    <m/>
    <m/>
    <m/>
    <m/>
    <m/>
    <m/>
    <m/>
    <x v="2"/>
    <s v=""/>
    <x v="3"/>
    <x v="2"/>
    <n v="1"/>
    <s v=""/>
    <n v="1"/>
    <n v="1"/>
    <n v="1"/>
    <n v="0"/>
    <n v="0"/>
  </r>
  <r>
    <n v="1680"/>
    <s v="Date of Last HIV Screen "/>
    <n v="1680"/>
    <s v="Date of Last HIV Screen "/>
    <s v="Date of Last HIV Screen "/>
    <x v="0"/>
    <n v="24"/>
    <s v=""/>
    <m/>
    <m/>
    <s v="FP.2. Counseling, ST.2 Consultation"/>
    <x v="12"/>
    <m/>
    <s v="2.10.5 Screen for medical eligibility, 2.14 Diagnose"/>
    <s v="ST.DE.126"/>
    <s v="FP.DE.527"/>
    <s v="Date of Last HIV Screen "/>
    <m/>
    <s v="Date of last HIV screen (Date of this visit if test was performed. Otherwise date of lab result from this clinic or other clinic, or self-report if test result not available) "/>
    <m/>
    <m/>
    <m/>
    <m/>
    <s v="No"/>
    <m/>
    <s v="Yes"/>
    <s v="O"/>
    <m/>
    <m/>
    <m/>
    <m/>
    <m/>
    <m/>
    <m/>
    <m/>
    <m/>
    <x v="30"/>
    <x v="8"/>
    <s v="FHIR"/>
    <s v="4.0.1"/>
    <m/>
    <x v="55"/>
    <s v="JA"/>
    <m/>
    <m/>
    <m/>
    <s v="Date of Last HIV Screen "/>
    <s v="Same"/>
    <m/>
    <x v="0"/>
    <s v=""/>
    <m/>
    <x v="1"/>
    <m/>
    <m/>
    <s v="HIV screen test"/>
    <s v="Z11.4"/>
    <s v=""/>
    <s v="171121004"/>
    <m/>
    <m/>
    <m/>
    <m/>
    <m/>
    <m/>
    <m/>
    <m/>
    <m/>
    <m/>
    <m/>
    <m/>
    <m/>
    <m/>
    <x v="5"/>
    <s v=""/>
    <x v="6"/>
    <x v="56"/>
    <n v="1"/>
    <n v="0"/>
    <n v="1"/>
    <n v="1"/>
    <n v="1"/>
    <n v="0"/>
    <n v="0"/>
  </r>
  <r>
    <n v="1681"/>
    <s v="HIV Test Result "/>
    <n v="1681"/>
    <s v="HIV Test Result "/>
    <s v="HIV Test Result "/>
    <x v="0"/>
    <n v="16"/>
    <s v=""/>
    <m/>
    <m/>
    <s v="FP.2. Counseling"/>
    <x v="12"/>
    <m/>
    <s v="2.10.5 Screen for medical eligibility"/>
    <m/>
    <s v="FP.DE.058"/>
    <s v="HIV Test Result "/>
    <m/>
    <s v="HIV status of client or not known."/>
    <s v="Coding "/>
    <s v="Select one"/>
    <m/>
    <m/>
    <s v="No"/>
    <m/>
    <s v="Yes"/>
    <s v="O"/>
    <m/>
    <m/>
    <m/>
    <m/>
    <s v="Current options are from the HIV SI Data Dictionary annex. Should be synced with the HIV Accelerator Kit, once it is available."/>
    <m/>
    <m/>
    <m/>
    <m/>
    <x v="17"/>
    <x v="2"/>
    <s v="FHIR"/>
    <s v="4.0.1"/>
    <m/>
    <x v="55"/>
    <s v="JA"/>
    <m/>
    <m/>
    <m/>
    <s v="HIV Screen Result "/>
    <s v="Changed"/>
    <m/>
    <x v="0"/>
    <s v=""/>
    <m/>
    <x v="1"/>
    <m/>
    <m/>
    <m/>
    <m/>
    <m/>
    <m/>
    <m/>
    <m/>
    <s v="No terminology code required"/>
    <m/>
    <s v="x"/>
    <s v="this is context of an HIV test, should not be coded"/>
    <m/>
    <m/>
    <m/>
    <m/>
    <m/>
    <m/>
    <m/>
    <m/>
    <x v="5"/>
    <s v=""/>
    <x v="6"/>
    <x v="56"/>
    <n v="1"/>
    <n v="1"/>
    <n v="1"/>
    <n v="1"/>
    <n v="1"/>
    <n v="0"/>
    <n v="0"/>
  </r>
  <r>
    <n v="1869"/>
    <s v="       Positive"/>
    <n v="1869"/>
    <e v="#NAME?"/>
    <s v="Positive"/>
    <x v="1"/>
    <n v="15"/>
    <s v="HIV Test Result "/>
    <m/>
    <m/>
    <s v="FP.2. Counseling"/>
    <x v="12"/>
    <m/>
    <s v="2.10.5 Screen for medical eligibility"/>
    <m/>
    <m/>
    <m/>
    <m/>
    <m/>
    <m/>
    <m/>
    <s v="Positive"/>
    <m/>
    <s v="No"/>
    <m/>
    <s v="Yes"/>
    <s v="O"/>
    <m/>
    <m/>
    <m/>
    <m/>
    <m/>
    <m/>
    <m/>
    <m/>
    <s v=""/>
    <x v="3"/>
    <x v="0"/>
    <m/>
    <m/>
    <s v=""/>
    <x v="2"/>
    <s v="JS"/>
    <m/>
    <m/>
    <m/>
    <m/>
    <s v=""/>
    <m/>
    <x v="0"/>
    <e v="#NAME?"/>
    <m/>
    <x v="1"/>
    <m/>
    <s v=""/>
    <s v=""/>
    <s v="Z21"/>
    <s v=""/>
    <s v="165816005"/>
    <m/>
    <m/>
    <s v=""/>
    <s v="needs value set (i didnt map all of them) "/>
    <m/>
    <s v=""/>
    <s v=""/>
    <s v=""/>
    <s v=""/>
    <s v=""/>
    <s v=""/>
    <m/>
    <m/>
    <m/>
    <x v="2"/>
    <n v="0"/>
    <x v="2"/>
    <x v="56"/>
    <n v="1"/>
    <s v=""/>
    <n v="1"/>
    <n v="1"/>
    <n v="1"/>
    <n v="0"/>
    <n v="0"/>
  </r>
  <r>
    <n v="1870"/>
    <s v="       Negative"/>
    <n v="1870"/>
    <e v="#NAME?"/>
    <s v="Negative"/>
    <x v="1"/>
    <n v="15"/>
    <s v="HIV Test Result "/>
    <m/>
    <m/>
    <s v="FP.2. Counseling"/>
    <x v="12"/>
    <m/>
    <s v="2.10.5 Screen for medical eligibility"/>
    <m/>
    <m/>
    <m/>
    <m/>
    <m/>
    <m/>
    <m/>
    <s v="Negative"/>
    <m/>
    <s v="No"/>
    <m/>
    <s v="Yes"/>
    <s v="O"/>
    <m/>
    <m/>
    <m/>
    <m/>
    <m/>
    <m/>
    <m/>
    <m/>
    <s v=""/>
    <x v="3"/>
    <x v="0"/>
    <m/>
    <m/>
    <s v=""/>
    <x v="2"/>
    <s v="JS"/>
    <m/>
    <m/>
    <m/>
    <m/>
    <s v=""/>
    <m/>
    <x v="0"/>
    <e v="#NAME?"/>
    <m/>
    <x v="1"/>
    <m/>
    <s v=""/>
    <s v=""/>
    <m/>
    <s v=""/>
    <s v="165815009"/>
    <m/>
    <m/>
    <s v=""/>
    <s v="may need value set"/>
    <m/>
    <s v=""/>
    <s v=""/>
    <s v=""/>
    <s v=""/>
    <s v=""/>
    <s v=""/>
    <m/>
    <m/>
    <m/>
    <x v="2"/>
    <n v="0"/>
    <x v="2"/>
    <x v="56"/>
    <n v="1"/>
    <s v=""/>
    <n v="1"/>
    <n v="1"/>
    <n v="1"/>
    <n v="0"/>
    <n v="0"/>
  </r>
  <r>
    <n v="1871"/>
    <s v="       Indeterminate"/>
    <n v="1871"/>
    <e v="#NAME?"/>
    <s v="Indeterminate"/>
    <x v="1"/>
    <n v="20"/>
    <s v="HIV Test Result "/>
    <m/>
    <m/>
    <s v="FP.2. Counseling"/>
    <x v="12"/>
    <m/>
    <s v="2.10.5 Screen for medical eligibility"/>
    <m/>
    <m/>
    <m/>
    <m/>
    <m/>
    <m/>
    <m/>
    <s v="Indeterminate"/>
    <m/>
    <s v="No"/>
    <m/>
    <s v="Yes"/>
    <s v="O"/>
    <m/>
    <m/>
    <m/>
    <m/>
    <m/>
    <m/>
    <m/>
    <m/>
    <s v=""/>
    <x v="3"/>
    <x v="0"/>
    <m/>
    <m/>
    <s v=""/>
    <x v="2"/>
    <s v="JA"/>
    <m/>
    <m/>
    <m/>
    <m/>
    <s v=""/>
    <m/>
    <x v="0"/>
    <e v="#NAME?"/>
    <m/>
    <x v="1"/>
    <m/>
    <s v=""/>
    <s v=""/>
    <m/>
    <s v=""/>
    <s v="719727000; 719767004"/>
    <m/>
    <m/>
    <s v=""/>
    <s v=""/>
    <m/>
    <s v=""/>
    <s v=""/>
    <s v=""/>
    <s v=""/>
    <s v=""/>
    <s v=""/>
    <m/>
    <m/>
    <m/>
    <x v="2"/>
    <n v="0"/>
    <x v="2"/>
    <x v="56"/>
    <n v="1"/>
    <s v=""/>
    <n v="1"/>
    <n v="1"/>
    <n v="1"/>
    <n v="0"/>
    <n v="0"/>
  </r>
  <r>
    <n v="1872"/>
    <s v="       Other"/>
    <n v="1872"/>
    <e v="#NAME?"/>
    <s v="Other"/>
    <x v="1"/>
    <n v="12"/>
    <s v="HIV Test Result "/>
    <m/>
    <m/>
    <s v="FP.2. Counseling"/>
    <x v="12"/>
    <m/>
    <s v="2.10.5 Screen for medical eligibility"/>
    <m/>
    <m/>
    <m/>
    <m/>
    <m/>
    <m/>
    <m/>
    <s v="Other"/>
    <m/>
    <s v="No"/>
    <m/>
    <s v="Yes"/>
    <s v="O"/>
    <m/>
    <m/>
    <m/>
    <m/>
    <m/>
    <m/>
    <m/>
    <m/>
    <s v=""/>
    <x v="3"/>
    <x v="0"/>
    <m/>
    <m/>
    <s v=""/>
    <x v="2"/>
    <s v="JA"/>
    <m/>
    <m/>
    <m/>
    <m/>
    <s v=""/>
    <m/>
    <x v="0"/>
    <e v="#NAME?"/>
    <m/>
    <x v="1"/>
    <s v="http://who.int/cg/CodeSystem/extended-content"/>
    <s v="Other"/>
    <s v=""/>
    <m/>
    <s v=""/>
    <m/>
    <m/>
    <m/>
    <m/>
    <s v=""/>
    <m/>
    <s v=""/>
    <s v=""/>
    <s v=""/>
    <s v=""/>
    <s v=""/>
    <s v=""/>
    <m/>
    <m/>
    <m/>
    <x v="2"/>
    <n v="0"/>
    <x v="2"/>
    <x v="56"/>
    <n v="1"/>
    <s v=""/>
    <n v="1"/>
    <n v="1"/>
    <n v="1"/>
    <n v="0"/>
    <n v="0"/>
  </r>
  <r>
    <n v="1682"/>
    <s v="HIV status source"/>
    <n v="1682"/>
    <s v="HIV status source"/>
    <s v="HIV status source"/>
    <x v="0"/>
    <n v="17"/>
    <s v=""/>
    <m/>
    <m/>
    <s v="FP.2. Counseling, ST.2 Consultation"/>
    <x v="12"/>
    <m/>
    <s v="2.10.5 Screen for medical eligibility, 2.2 Capture or update client history"/>
    <s v="ST.DE.038"/>
    <s v="FP.DE.059"/>
    <s v="HIV status source"/>
    <m/>
    <s v="Enter how the HIV status was given (written info, told by client, etc.)."/>
    <m/>
    <m/>
    <m/>
    <m/>
    <s v="No"/>
    <m/>
    <s v="Yes"/>
    <s v="O, C"/>
    <s v="Include if HIV Status = Positive"/>
    <m/>
    <m/>
    <m/>
    <m/>
    <m/>
    <m/>
    <m/>
    <m/>
    <x v="35"/>
    <x v="2"/>
    <s v="FHIR"/>
    <s v="4.0.1"/>
    <m/>
    <x v="55"/>
    <s v="JA"/>
    <m/>
    <m/>
    <m/>
    <s v="HIV status source"/>
    <s v="Same"/>
    <m/>
    <x v="0"/>
    <s v=""/>
    <m/>
    <x v="1"/>
    <m/>
    <m/>
    <s v=""/>
    <m/>
    <m/>
    <m/>
    <m/>
    <m/>
    <s v="No terminology code required"/>
    <s v="see posting in slack"/>
    <s v="x"/>
    <s v="this is context of an HIV test, should not be coded"/>
    <m/>
    <m/>
    <m/>
    <m/>
    <m/>
    <m/>
    <m/>
    <m/>
    <x v="5"/>
    <s v=""/>
    <x v="6"/>
    <x v="56"/>
    <n v="1"/>
    <n v="1"/>
    <n v="1"/>
    <n v="1"/>
    <n v="1"/>
    <n v="0"/>
    <n v="0"/>
  </r>
  <r>
    <n v="1683"/>
    <s v="Screenings performed"/>
    <n v="1683"/>
    <e v="#NAME?"/>
    <s v="Screenings performed"/>
    <x v="1"/>
    <n v="20"/>
    <s v="Observations affecting Medical Eligibility"/>
    <m/>
    <m/>
    <s v="FP.2. Counseling"/>
    <x v="12"/>
    <m/>
    <s v="2.10.5 Screen for medical eligibility"/>
    <m/>
    <s v="FP.DE.064"/>
    <s v="Screenings performed"/>
    <m/>
    <s v="Any screenings performed during the encounter."/>
    <m/>
    <m/>
    <m/>
    <m/>
    <s v="No"/>
    <m/>
    <s v="Yes"/>
    <s v="O"/>
    <m/>
    <m/>
    <m/>
    <m/>
    <m/>
    <m/>
    <m/>
    <m/>
    <m/>
    <x v="3"/>
    <x v="0"/>
    <m/>
    <m/>
    <m/>
    <x v="2"/>
    <s v="NA"/>
    <s v="MedicalEligibilityObservations"/>
    <m/>
    <m/>
    <s v="Screenings performed"/>
    <s v="Same"/>
    <m/>
    <x v="0"/>
    <e v="#NAME?"/>
    <m/>
    <x v="0"/>
    <m/>
    <m/>
    <m/>
    <m/>
    <m/>
    <m/>
    <m/>
    <m/>
    <s v="No terminology code required"/>
    <m/>
    <m/>
    <m/>
    <m/>
    <m/>
    <m/>
    <m/>
    <m/>
    <m/>
    <m/>
    <m/>
    <x v="2"/>
    <n v="0"/>
    <x v="2"/>
    <x v="48"/>
    <n v="1"/>
    <s v=""/>
    <n v="1"/>
    <n v="1"/>
    <n v="1"/>
    <n v="0"/>
    <n v="0"/>
  </r>
  <r>
    <n v="1684"/>
    <s v="Test results"/>
    <n v="1684"/>
    <s v="Test results"/>
    <s v="Test results"/>
    <x v="0"/>
    <n v="12"/>
    <s v=""/>
    <m/>
    <m/>
    <s v="FP.2. Counseling, ST.2 Consultation"/>
    <x v="12"/>
    <m/>
    <s v="2.10.5 Screen for medical eligibility, 2.14 Diagnose"/>
    <s v="ST.DE.050"/>
    <s v="FP.DE.065"/>
    <s v="Test results"/>
    <m/>
    <s v="Results for any tests performed. "/>
    <m/>
    <m/>
    <m/>
    <m/>
    <s v="No"/>
    <m/>
    <s v="Yes"/>
    <s v="O"/>
    <m/>
    <m/>
    <s v="STI.IND.02"/>
    <m/>
    <m/>
    <m/>
    <m/>
    <m/>
    <m/>
    <x v="17"/>
    <x v="2"/>
    <s v="FHIR"/>
    <s v="4.0.1"/>
    <m/>
    <x v="56"/>
    <s v="JA"/>
    <m/>
    <m/>
    <m/>
    <s v="Test results"/>
    <s v="Same"/>
    <m/>
    <x v="1"/>
    <s v=""/>
    <m/>
    <x v="0"/>
    <m/>
    <m/>
    <m/>
    <m/>
    <m/>
    <m/>
    <m/>
    <m/>
    <s v="No terminology code required"/>
    <m/>
    <m/>
    <m/>
    <m/>
    <m/>
    <m/>
    <m/>
    <m/>
    <m/>
    <m/>
    <m/>
    <x v="5"/>
    <s v=""/>
    <x v="6"/>
    <x v="57"/>
    <n v="1"/>
    <n v="0"/>
    <n v="1"/>
    <n v="1"/>
    <n v="1"/>
    <n v="0"/>
    <n v="0"/>
  </r>
  <r>
    <n v="1685"/>
    <s v="Voluntary Informed Consent"/>
    <n v="1685"/>
    <s v="Voluntary Informed Consent"/>
    <s v="Voluntary Informed Consent"/>
    <x v="0"/>
    <n v="26"/>
    <s v=""/>
    <m/>
    <m/>
    <s v="FP.3.Service Provision"/>
    <x v="10"/>
    <m/>
    <s v="3.4 Explain method"/>
    <m/>
    <s v="FP.DE.067"/>
    <s v="Voluntary Informed Consent"/>
    <m/>
    <s v="Based on best practice and local laws and regulations."/>
    <m/>
    <m/>
    <m/>
    <m/>
    <s v="No"/>
    <m/>
    <s v="Yes"/>
    <s v="C"/>
    <m/>
    <m/>
    <m/>
    <m/>
    <m/>
    <m/>
    <m/>
    <m/>
    <m/>
    <x v="36"/>
    <x v="0"/>
    <s v="FHIR"/>
    <s v="4.0.1"/>
    <m/>
    <x v="57"/>
    <s v="JA"/>
    <m/>
    <m/>
    <m/>
    <s v="Voluntary Informed Consent"/>
    <s v="Same"/>
    <m/>
    <x v="1"/>
    <s v=""/>
    <m/>
    <x v="0"/>
    <m/>
    <m/>
    <m/>
    <m/>
    <m/>
    <m/>
    <m/>
    <m/>
    <s v="No terminology code required"/>
    <m/>
    <m/>
    <m/>
    <m/>
    <m/>
    <m/>
    <m/>
    <m/>
    <m/>
    <m/>
    <m/>
    <x v="12"/>
    <s v=""/>
    <x v="13"/>
    <x v="58"/>
    <n v="1"/>
    <n v="0"/>
    <n v="1"/>
    <n v="1"/>
    <n v="1"/>
    <n v="0"/>
    <n v="0"/>
  </r>
  <r>
    <n v="1686"/>
    <s v="Informed consent requirements"/>
    <n v="1686"/>
    <s v="Informed consent requirements"/>
    <s v="Informed consent requirements"/>
    <x v="0"/>
    <n v="29"/>
    <s v=""/>
    <m/>
    <m/>
    <s v="FP.3.Service Provision"/>
    <x v="10"/>
    <m/>
    <s v="3.5 Get informed consent"/>
    <m/>
    <s v="FP.DE.068"/>
    <s v="Informed consent requirements"/>
    <m/>
    <s v="Local requirements for informed consent."/>
    <m/>
    <m/>
    <m/>
    <m/>
    <s v="No"/>
    <m/>
    <s v="Yes"/>
    <s v="C"/>
    <m/>
    <m/>
    <m/>
    <m/>
    <m/>
    <m/>
    <m/>
    <m/>
    <m/>
    <x v="37"/>
    <x v="0"/>
    <s v="FHIR"/>
    <s v="4.0.1"/>
    <m/>
    <x v="2"/>
    <s v="NA"/>
    <m/>
    <m/>
    <m/>
    <s v="Informed consent requirements"/>
    <s v="Same"/>
    <m/>
    <x v="1"/>
    <s v=""/>
    <m/>
    <x v="2"/>
    <m/>
    <m/>
    <m/>
    <m/>
    <m/>
    <m/>
    <m/>
    <m/>
    <s v="No terminology code required"/>
    <m/>
    <m/>
    <m/>
    <m/>
    <m/>
    <m/>
    <m/>
    <m/>
    <m/>
    <m/>
    <m/>
    <x v="2"/>
    <s v=""/>
    <x v="3"/>
    <x v="12"/>
    <n v="1"/>
    <n v="0"/>
    <n v="1"/>
    <n v="1"/>
    <n v="1"/>
    <n v="0"/>
    <n v="0"/>
  </r>
  <r>
    <n v="1687"/>
    <s v="Contraception Method at exit - reported - Device-based"/>
    <n v="1687"/>
    <s v="Method at exit - reported"/>
    <s v="Method at exit - reported"/>
    <x v="0"/>
    <n v="54"/>
    <s v=""/>
    <m/>
    <m/>
    <s v="FP.3.Service Provision"/>
    <x v="8"/>
    <m/>
    <s v="3.6 Provide method"/>
    <m/>
    <s v="FP.DE.069"/>
    <s v="Method at exit - reported"/>
    <m/>
    <s v="Contraceptive method at exit reported."/>
    <s v="Coding"/>
    <s v="Select all that apply"/>
    <m/>
    <m/>
    <s v="No"/>
    <m/>
    <s v="Yes"/>
    <s v="R"/>
    <m/>
    <m/>
    <s v="FP.IND.04"/>
    <m/>
    <m/>
    <m/>
    <m/>
    <m/>
    <m/>
    <x v="18"/>
    <x v="0"/>
    <s v="FHIR"/>
    <s v="4.0.1"/>
    <m/>
    <x v="58"/>
    <s v="JA"/>
    <s v="http://hl7.org/fhir/who-int/core/ImplementationGuide/core/ValueSet/devicebirthcontrolmethods-values"/>
    <m/>
    <m/>
    <s v="Contraception Method at exit - reported"/>
    <s v="Changed"/>
    <m/>
    <x v="1"/>
    <s v="&quot;Method at exit - reported&quot;-&gt;&quot;Contraception Method at exit - reported - Device-based&quot;"/>
    <m/>
    <x v="0"/>
    <m/>
    <m/>
    <m/>
    <m/>
    <m/>
    <m/>
    <m/>
    <m/>
    <s v="No terminology code required"/>
    <m/>
    <m/>
    <m/>
    <m/>
    <m/>
    <m/>
    <m/>
    <m/>
    <m/>
    <m/>
    <m/>
    <x v="6"/>
    <s v=""/>
    <x v="7"/>
    <x v="59"/>
    <n v="1"/>
    <n v="1"/>
    <n v="1"/>
    <n v="1"/>
    <n v="1"/>
    <n v="0"/>
    <n v="0"/>
  </r>
  <r>
    <n v="2357"/>
    <s v="Contraception Method at exit - reported - Medication-based"/>
    <n v="2357"/>
    <s v="Method at exit - reported"/>
    <s v="Method at exit - reported"/>
    <x v="0"/>
    <n v="58"/>
    <s v=""/>
    <m/>
    <m/>
    <s v="FP.3.Service Provision"/>
    <x v="8"/>
    <m/>
    <s v="3.6 Provide method"/>
    <m/>
    <s v="FP.DE.069"/>
    <s v="Method at exit - reported"/>
    <m/>
    <s v="Contraceptive method at exit reported."/>
    <s v="Coding"/>
    <s v="Select all that apply"/>
    <m/>
    <m/>
    <s v="No"/>
    <m/>
    <s v="Yes"/>
    <s v="R"/>
    <m/>
    <m/>
    <s v="FP.IND.04"/>
    <m/>
    <m/>
    <m/>
    <m/>
    <m/>
    <m/>
    <x v="20"/>
    <x v="2"/>
    <s v="FHIR"/>
    <s v="4.0.1"/>
    <m/>
    <x v="59"/>
    <s v="JA"/>
    <s v="http://hl7.org/fhir/who-int/core/ImplementationGuide/core/ValueSet/medicationbirthcontrolmethods-values"/>
    <m/>
    <m/>
    <s v="Contraception Method at exit - reported"/>
    <s v="Changed"/>
    <m/>
    <x v="1"/>
    <s v="&quot;Method at exit - reported&quot;-&gt;&quot;Contraception Method at exit - reported - Medication-based&quot;"/>
    <m/>
    <x v="0"/>
    <m/>
    <m/>
    <m/>
    <m/>
    <m/>
    <m/>
    <m/>
    <m/>
    <s v="No terminology code required"/>
    <m/>
    <m/>
    <m/>
    <m/>
    <m/>
    <m/>
    <m/>
    <m/>
    <m/>
    <m/>
    <m/>
    <x v="7"/>
    <s v=""/>
    <x v="8"/>
    <x v="60"/>
    <n v="1"/>
    <n v="1"/>
    <n v="1"/>
    <n v="1"/>
    <n v="1"/>
    <n v="0"/>
    <n v="0"/>
  </r>
  <r>
    <n v="2358"/>
    <s v="Contraception Method at exit - reported - Procedure-based"/>
    <n v="2358"/>
    <s v="Method at exit - reported"/>
    <s v="Method at exit - reported"/>
    <x v="0"/>
    <n v="57"/>
    <s v=""/>
    <m/>
    <m/>
    <s v="FP.3.Service Provision"/>
    <x v="8"/>
    <m/>
    <s v="3.6 Provide method"/>
    <m/>
    <s v="FP.DE.069"/>
    <s v="Method at exit - reported"/>
    <m/>
    <s v="Contraceptive method at exit reported."/>
    <s v="Coding"/>
    <s v="Select all that apply"/>
    <m/>
    <m/>
    <s v="No"/>
    <m/>
    <s v="Yes"/>
    <s v="R"/>
    <m/>
    <m/>
    <s v="FP.IND.04"/>
    <m/>
    <m/>
    <m/>
    <m/>
    <m/>
    <m/>
    <x v="22"/>
    <x v="0"/>
    <s v="FHIR"/>
    <s v="4.0.1"/>
    <m/>
    <x v="60"/>
    <s v="JA"/>
    <s v="http://hl7.org/fhir/who-int/core/ImplementationGuide/core/ValueSet/procedurebirthcontrolmethods-values"/>
    <m/>
    <m/>
    <s v="Contraception Method at exit - reported"/>
    <s v="Changed"/>
    <m/>
    <x v="1"/>
    <s v="&quot;Method at exit - reported&quot;-&gt;&quot;Contraception Method at exit - reported - Procedure-based&quot;"/>
    <m/>
    <x v="0"/>
    <m/>
    <m/>
    <m/>
    <m/>
    <m/>
    <m/>
    <m/>
    <m/>
    <s v="No terminology code required"/>
    <m/>
    <m/>
    <m/>
    <m/>
    <m/>
    <m/>
    <m/>
    <m/>
    <m/>
    <m/>
    <m/>
    <x v="8"/>
    <s v=""/>
    <x v="9"/>
    <x v="61"/>
    <n v="1"/>
    <n v="1"/>
    <n v="1"/>
    <n v="1"/>
    <n v="1"/>
    <n v="0"/>
    <n v="0"/>
  </r>
  <r>
    <n v="1694"/>
    <s v="Insertion of IUD"/>
    <n v="1694"/>
    <s v="Insertion of IUD"/>
    <s v="Insertion of IUD"/>
    <x v="0"/>
    <n v="16"/>
    <s v=""/>
    <m/>
    <m/>
    <s v="FP.3.Service Provision"/>
    <x v="8"/>
    <m/>
    <s v="3.6 Provide method"/>
    <m/>
    <s v="FP.DE.533"/>
    <s v="Insertion of IUD"/>
    <m/>
    <s v="Intrauterine device was inserted during the visit"/>
    <s v="Boolean"/>
    <m/>
    <s v="True/False"/>
    <m/>
    <s v="No"/>
    <m/>
    <s v="Yes"/>
    <s v="C"/>
    <m/>
    <m/>
    <m/>
    <m/>
    <m/>
    <m/>
    <m/>
    <m/>
    <m/>
    <x v="22"/>
    <x v="0"/>
    <s v="FHIR"/>
    <s v="4.0.1"/>
    <m/>
    <x v="2"/>
    <s v="NA"/>
    <m/>
    <m/>
    <m/>
    <s v="Insertion of IUD"/>
    <s v="Same"/>
    <m/>
    <x v="1"/>
    <s v=""/>
    <m/>
    <x v="2"/>
    <m/>
    <m/>
    <s v="x"/>
    <s v="Z30.430"/>
    <m/>
    <s v="65200003"/>
    <m/>
    <m/>
    <m/>
    <m/>
    <m/>
    <m/>
    <m/>
    <n v="161886"/>
    <m/>
    <m/>
    <m/>
    <m/>
    <m/>
    <m/>
    <x v="2"/>
    <s v=""/>
    <x v="3"/>
    <x v="12"/>
    <n v="1"/>
    <n v="0"/>
    <n v="1"/>
    <n v="1"/>
    <n v="1"/>
    <n v="0"/>
    <n v="0"/>
  </r>
  <r>
    <n v="1695"/>
    <s v="Insertion of subcutaneous contraceptive (procedure)"/>
    <n v="1695"/>
    <s v="Insertion of subcutaneous contraceptive (procedure)"/>
    <s v="Insertion of subcutaneous contraceptive (procedure)"/>
    <x v="0"/>
    <n v="51"/>
    <s v="https://docs.google.com/document/d/1a9c1WPbC8DSWL7M6zDaryaYKkVRGik6txCbQc23MAyI/edit"/>
    <m/>
    <m/>
    <s v="FP.3.Service Provision"/>
    <x v="8"/>
    <m/>
    <s v="3.6 Provide method"/>
    <m/>
    <s v="FP.DE.131"/>
    <s v="Insertion of subcutaneous contraceptive (procedure)"/>
    <m/>
    <m/>
    <m/>
    <m/>
    <m/>
    <m/>
    <m/>
    <m/>
    <m/>
    <m/>
    <m/>
    <m/>
    <m/>
    <m/>
    <m/>
    <m/>
    <m/>
    <m/>
    <m/>
    <x v="22"/>
    <x v="0"/>
    <s v="FHIR"/>
    <s v="4.0.1"/>
    <m/>
    <x v="2"/>
    <s v="NA"/>
    <m/>
    <m/>
    <m/>
    <s v="Insertion of subcutaneous contraceptive (procedure)"/>
    <s v="Same"/>
    <m/>
    <x v="1"/>
    <s v=""/>
    <m/>
    <x v="2"/>
    <m/>
    <m/>
    <s v="x"/>
    <s v="Z30.430"/>
    <m/>
    <m/>
    <m/>
    <m/>
    <m/>
    <m/>
    <m/>
    <s v="procedure code-- 11981; ICD 10 Z30.430"/>
    <m/>
    <m/>
    <m/>
    <m/>
    <m/>
    <m/>
    <m/>
    <m/>
    <x v="2"/>
    <s v=""/>
    <x v="3"/>
    <x v="12"/>
    <n v="1"/>
    <n v="0"/>
    <n v="1"/>
    <n v="1"/>
    <n v="1"/>
    <n v="0"/>
    <n v="0"/>
  </r>
  <r>
    <n v="1696"/>
    <s v="IUD removal"/>
    <n v="1696"/>
    <s v="IUD removal"/>
    <s v="IUD removal"/>
    <x v="0"/>
    <n v="11"/>
    <s v=""/>
    <m/>
    <m/>
    <s v="FP.3.Service Provision"/>
    <x v="8"/>
    <m/>
    <s v="3.6 Provide method"/>
    <m/>
    <s v="FP.DE.271"/>
    <s v="IUD removal"/>
    <m/>
    <s v="An intrauterine device was removed during the visit"/>
    <s v="Boolean"/>
    <m/>
    <s v="True/False"/>
    <m/>
    <s v="No"/>
    <m/>
    <s v="Yes"/>
    <s v="C"/>
    <s v="Include if method at intake reported = IUD and    ]"/>
    <m/>
    <s v="FP.IND.14"/>
    <m/>
    <m/>
    <m/>
    <m/>
    <m/>
    <m/>
    <x v="22"/>
    <x v="0"/>
    <s v="FHIR"/>
    <s v="4.0.1"/>
    <m/>
    <x v="61"/>
    <s v="JA"/>
    <m/>
    <m/>
    <m/>
    <s v="IUD removal"/>
    <s v="Same"/>
    <m/>
    <x v="1"/>
    <s v=""/>
    <m/>
    <x v="0"/>
    <m/>
    <m/>
    <s v="x"/>
    <s v="Z30.432"/>
    <m/>
    <s v="68254000"/>
    <m/>
    <m/>
    <m/>
    <m/>
    <m/>
    <m/>
    <m/>
    <m/>
    <m/>
    <m/>
    <m/>
    <m/>
    <m/>
    <m/>
    <x v="8"/>
    <s v=""/>
    <x v="9"/>
    <x v="62"/>
    <n v="1"/>
    <n v="0"/>
    <n v="1"/>
    <n v="1"/>
    <n v="1"/>
    <n v="0"/>
    <n v="0"/>
  </r>
  <r>
    <n v="1697"/>
    <s v="IUD Insertion status"/>
    <n v="1697"/>
    <s v="IUD Insertion not possible"/>
    <s v="IUD Insertion not possible"/>
    <x v="0"/>
    <n v="20"/>
    <s v=""/>
    <m/>
    <m/>
    <s v="FP.3.Service Provision"/>
    <x v="8"/>
    <m/>
    <s v="3.6 Provide method"/>
    <m/>
    <s v="FP.DE.534"/>
    <s v="IUD Insertion not possible"/>
    <m/>
    <s v="An intrauterine device could not be inserted during the visit"/>
    <s v="Boolean"/>
    <m/>
    <s v="True/False"/>
    <m/>
    <s v="No"/>
    <m/>
    <s v="Yes"/>
    <s v="C"/>
    <s v="Include if method selected = IUD, MEC for IUD is in range   below 2]"/>
    <m/>
    <m/>
    <m/>
    <m/>
    <m/>
    <m/>
    <m/>
    <m/>
    <x v="32"/>
    <x v="0"/>
    <s v="FHIR"/>
    <s v="4.0.1"/>
    <m/>
    <x v="61"/>
    <s v="JA"/>
    <m/>
    <m/>
    <m/>
    <s v="IUD Insertion not possible"/>
    <s v="Changed"/>
    <m/>
    <x v="1"/>
    <s v="&quot;IUD Insertion not possible&quot;-&gt;&quot;IUD Insertion status&quot;"/>
    <m/>
    <x v="0"/>
    <m/>
    <m/>
    <m/>
    <m/>
    <m/>
    <m/>
    <m/>
    <m/>
    <s v="No terminology code required"/>
    <m/>
    <m/>
    <m/>
    <m/>
    <m/>
    <m/>
    <m/>
    <m/>
    <m/>
    <m/>
    <m/>
    <x v="8"/>
    <s v=""/>
    <x v="9"/>
    <x v="62"/>
    <n v="1"/>
    <n v="1"/>
    <n v="1"/>
    <n v="1"/>
    <n v="1"/>
    <n v="0"/>
    <n v="0"/>
  </r>
  <r>
    <n v="2352"/>
    <s v="       IUD Insertion completed"/>
    <n v="2352"/>
    <m/>
    <m/>
    <x v="1"/>
    <n v="30"/>
    <s v="IUD Insertion status"/>
    <m/>
    <m/>
    <s v="FP.3.Service Provision"/>
    <x v="8"/>
    <m/>
    <m/>
    <m/>
    <m/>
    <m/>
    <m/>
    <m/>
    <m/>
    <m/>
    <m/>
    <m/>
    <m/>
    <m/>
    <m/>
    <m/>
    <m/>
    <m/>
    <m/>
    <m/>
    <m/>
    <m/>
    <m/>
    <m/>
    <m/>
    <x v="3"/>
    <x v="0"/>
    <m/>
    <m/>
    <m/>
    <x v="2"/>
    <s v="JS"/>
    <m/>
    <m/>
    <m/>
    <m/>
    <m/>
    <m/>
    <x v="1"/>
    <m/>
    <m/>
    <x v="0"/>
    <s v="http://hl7.org/fhir/event-status"/>
    <s v="completed"/>
    <m/>
    <m/>
    <m/>
    <m/>
    <m/>
    <m/>
    <m/>
    <m/>
    <m/>
    <m/>
    <m/>
    <m/>
    <m/>
    <m/>
    <m/>
    <m/>
    <m/>
    <m/>
    <x v="2"/>
    <n v="0"/>
    <x v="2"/>
    <x v="62"/>
    <n v="1"/>
    <s v=""/>
    <n v="1"/>
    <n v="1"/>
    <n v="1"/>
    <n v="0"/>
    <n v="0"/>
  </r>
  <r>
    <n v="2353"/>
    <s v="       IUD Insertion not possible"/>
    <n v="2353"/>
    <m/>
    <m/>
    <x v="1"/>
    <n v="33"/>
    <s v="IUD Insertion status"/>
    <m/>
    <m/>
    <s v="FP.3.Service Provision"/>
    <x v="8"/>
    <m/>
    <m/>
    <m/>
    <m/>
    <m/>
    <m/>
    <m/>
    <m/>
    <m/>
    <m/>
    <m/>
    <m/>
    <m/>
    <m/>
    <m/>
    <m/>
    <m/>
    <m/>
    <m/>
    <m/>
    <m/>
    <m/>
    <m/>
    <m/>
    <x v="3"/>
    <x v="0"/>
    <m/>
    <m/>
    <m/>
    <x v="2"/>
    <s v="JS"/>
    <m/>
    <m/>
    <m/>
    <m/>
    <m/>
    <m/>
    <x v="1"/>
    <m/>
    <m/>
    <x v="0"/>
    <s v="http://hl7.org/fhir/event-status"/>
    <s v="not-done"/>
    <m/>
    <m/>
    <m/>
    <m/>
    <m/>
    <m/>
    <m/>
    <m/>
    <m/>
    <m/>
    <m/>
    <m/>
    <m/>
    <m/>
    <m/>
    <m/>
    <m/>
    <m/>
    <x v="2"/>
    <n v="0"/>
    <x v="2"/>
    <x v="62"/>
    <n v="1"/>
    <s v=""/>
    <n v="1"/>
    <n v="1"/>
    <n v="1"/>
    <n v="0"/>
    <n v="0"/>
  </r>
  <r>
    <n v="1698"/>
    <s v="Contraception Implant removal"/>
    <n v="1698"/>
    <s v="Implant removal"/>
    <s v="Implant removal"/>
    <x v="0"/>
    <n v="29"/>
    <s v=""/>
    <m/>
    <m/>
    <s v="FP.3.Service Provision"/>
    <x v="8"/>
    <m/>
    <s v="3.6 Provide method"/>
    <m/>
    <s v="FP.DE.130"/>
    <s v="Implant removal"/>
    <m/>
    <m/>
    <m/>
    <m/>
    <m/>
    <m/>
    <m/>
    <m/>
    <m/>
    <m/>
    <m/>
    <m/>
    <m/>
    <m/>
    <m/>
    <m/>
    <m/>
    <m/>
    <m/>
    <x v="22"/>
    <x v="0"/>
    <s v="FHIR"/>
    <s v="4.0.1"/>
    <m/>
    <x v="61"/>
    <s v="JA"/>
    <m/>
    <m/>
    <m/>
    <s v="Implant removal"/>
    <s v="Changed"/>
    <m/>
    <x v="1"/>
    <s v="&quot;Implant removal&quot;-&gt;&quot;Contraception Implant removal&quot;"/>
    <m/>
    <x v="0"/>
    <m/>
    <m/>
    <s v="x"/>
    <s v="Z30.49"/>
    <m/>
    <m/>
    <m/>
    <m/>
    <m/>
    <m/>
    <m/>
    <s v="procedure code 11982; ICD 10 z30.49 (same ofr surveilland and removal and reinsertion)"/>
    <m/>
    <m/>
    <m/>
    <m/>
    <m/>
    <m/>
    <m/>
    <m/>
    <x v="8"/>
    <s v=""/>
    <x v="9"/>
    <x v="62"/>
    <n v="1"/>
    <n v="0"/>
    <n v="1"/>
    <n v="1"/>
    <n v="1"/>
    <n v="0"/>
    <n v="0"/>
  </r>
  <r>
    <n v="2359"/>
    <s v="Contraception Method at exit - reported - CarePlan-based"/>
    <n v="2359"/>
    <s v="Method at exit - reported"/>
    <s v="Method at exit - reported"/>
    <x v="0"/>
    <n v="56"/>
    <s v=""/>
    <m/>
    <m/>
    <s v="FP.3.Service Provision"/>
    <x v="8"/>
    <m/>
    <s v="3.6 Provide method"/>
    <m/>
    <s v="FP.DE.069"/>
    <s v="Method at exit - reported"/>
    <m/>
    <s v="Contraceptive method at exit reported."/>
    <s v="Coding"/>
    <s v="Select all that apply"/>
    <m/>
    <m/>
    <s v="No"/>
    <m/>
    <s v="Yes"/>
    <s v="R"/>
    <m/>
    <m/>
    <s v="FP.IND.04"/>
    <m/>
    <m/>
    <m/>
    <m/>
    <m/>
    <m/>
    <x v="24"/>
    <x v="0"/>
    <s v="FHIR"/>
    <s v="4.0.1"/>
    <m/>
    <x v="62"/>
    <s v="JA"/>
    <s v="http://hl7.org/fhir/who-int/core/ImplementationGuide/core/ValueSet/careplanbirthcontrolmethods-values"/>
    <m/>
    <m/>
    <s v="Contraception Method at exit - reported"/>
    <s v="Changed"/>
    <m/>
    <x v="1"/>
    <s v="&quot;Method at exit - reported&quot;-&gt;&quot;Contraception Method at exit - reported - CarePlan-based&quot;"/>
    <m/>
    <x v="0"/>
    <m/>
    <m/>
    <m/>
    <m/>
    <m/>
    <m/>
    <m/>
    <m/>
    <s v="No terminology code required"/>
    <m/>
    <m/>
    <m/>
    <m/>
    <m/>
    <m/>
    <m/>
    <m/>
    <m/>
    <m/>
    <m/>
    <x v="9"/>
    <s v=""/>
    <x v="10"/>
    <x v="63"/>
    <n v="1"/>
    <n v="1"/>
    <n v="1"/>
    <n v="1"/>
    <n v="1"/>
    <n v="0"/>
    <n v="0"/>
  </r>
  <r>
    <n v="1690"/>
    <s v="How contraceptive method is being provided"/>
    <n v="1690"/>
    <s v="How method is being provided"/>
    <s v="How method is being provided"/>
    <x v="0"/>
    <n v="42"/>
    <s v=""/>
    <m/>
    <m/>
    <s v="FP.3.Service Provision"/>
    <x v="8"/>
    <m/>
    <s v="3.6 Provide method"/>
    <m/>
    <s v="FP.DE.529"/>
    <s v="How method is being provided"/>
    <m/>
    <s v="How the client will receive the method, including onsite or if follow up is required. "/>
    <s v="Coding"/>
    <s v="Select one"/>
    <m/>
    <m/>
    <s v="No"/>
    <m/>
    <s v="Yes"/>
    <s v="C"/>
    <s v="Required for each method selected, f Method at exit - reported is not &quot;No method at exit&quot;"/>
    <m/>
    <m/>
    <m/>
    <s v="SNOMED codes are from IHE FP content"/>
    <m/>
    <m/>
    <m/>
    <m/>
    <x v="38"/>
    <x v="0"/>
    <s v="Extension Needed"/>
    <s v="4.0.1"/>
    <m/>
    <x v="62"/>
    <s v="JA"/>
    <s v="ContraceptiveDeliveryMethod"/>
    <m/>
    <m/>
    <s v="How method is being provided"/>
    <s v="Changed"/>
    <m/>
    <x v="1"/>
    <s v="&quot;How method is being provided&quot;-&gt;&quot;How contraceptive method is being provided&quot;"/>
    <m/>
    <x v="0"/>
    <m/>
    <m/>
    <m/>
    <m/>
    <m/>
    <m/>
    <m/>
    <m/>
    <m/>
    <m/>
    <m/>
    <s v="Dependent on 1687 mapping"/>
    <m/>
    <m/>
    <m/>
    <m/>
    <m/>
    <m/>
    <m/>
    <m/>
    <x v="9"/>
    <s v=""/>
    <x v="10"/>
    <x v="63"/>
    <n v="1"/>
    <n v="1"/>
    <n v="0"/>
    <n v="0"/>
    <n v="0"/>
    <n v="0"/>
    <n v="1"/>
  </r>
  <r>
    <n v="1691"/>
    <s v="       Provided on site    "/>
    <n v="1691"/>
    <e v="#NAME?"/>
    <s v="Provided on site    "/>
    <x v="1"/>
    <n v="27"/>
    <s v="How contraceptive method is being provided"/>
    <m/>
    <m/>
    <s v="FP.3.Service Provision"/>
    <x v="8"/>
    <m/>
    <s v="3.6 Provide method"/>
    <m/>
    <s v="FP.DE.530"/>
    <m/>
    <m/>
    <m/>
    <m/>
    <m/>
    <s v="Provided on site    "/>
    <m/>
    <s v="No"/>
    <m/>
    <m/>
    <m/>
    <m/>
    <m/>
    <m/>
    <m/>
    <m/>
    <m/>
    <m/>
    <m/>
    <m/>
    <x v="3"/>
    <x v="0"/>
    <m/>
    <m/>
    <m/>
    <x v="2"/>
    <s v="JS"/>
    <s v="ContraceptiveDeliveryMethod"/>
    <m/>
    <m/>
    <s v="       Provided on site    "/>
    <s v="Same"/>
    <m/>
    <x v="1"/>
    <e v="#NAME?"/>
    <m/>
    <x v="0"/>
    <m/>
    <m/>
    <s v="x"/>
    <m/>
    <m/>
    <s v="308335008"/>
    <m/>
    <m/>
    <m/>
    <m/>
    <m/>
    <m/>
    <m/>
    <m/>
    <m/>
    <m/>
    <m/>
    <m/>
    <m/>
    <m/>
    <x v="2"/>
    <n v="0"/>
    <x v="2"/>
    <x v="63"/>
    <n v="1"/>
    <s v=""/>
    <n v="1"/>
    <n v="1"/>
    <n v="1"/>
    <n v="0"/>
    <n v="0"/>
  </r>
  <r>
    <n v="1692"/>
    <s v="       Referral "/>
    <n v="1692"/>
    <e v="#NAME?"/>
    <s v="Referral "/>
    <x v="1"/>
    <n v="16"/>
    <s v="How contraceptive method is being provided"/>
    <m/>
    <m/>
    <s v="FP.3.Service Provision"/>
    <x v="8"/>
    <m/>
    <s v="3.6 Provide method"/>
    <m/>
    <s v="FP.DE.531"/>
    <m/>
    <m/>
    <m/>
    <m/>
    <m/>
    <s v="Referral "/>
    <m/>
    <s v="No"/>
    <m/>
    <m/>
    <m/>
    <m/>
    <m/>
    <m/>
    <m/>
    <m/>
    <m/>
    <m/>
    <m/>
    <m/>
    <x v="3"/>
    <x v="0"/>
    <m/>
    <m/>
    <m/>
    <x v="2"/>
    <s v="JS"/>
    <s v="ContraceptiveDeliveryMethod"/>
    <m/>
    <m/>
    <s v="       Referral "/>
    <s v="Same"/>
    <m/>
    <x v="1"/>
    <e v="#NAME?"/>
    <m/>
    <x v="0"/>
    <m/>
    <m/>
    <s v="x"/>
    <m/>
    <m/>
    <s v="281100006"/>
    <m/>
    <m/>
    <m/>
    <m/>
    <m/>
    <m/>
    <m/>
    <m/>
    <m/>
    <m/>
    <m/>
    <m/>
    <m/>
    <m/>
    <x v="2"/>
    <n v="0"/>
    <x v="2"/>
    <x v="63"/>
    <n v="1"/>
    <s v=""/>
    <n v="1"/>
    <n v="1"/>
    <n v="1"/>
    <n v="0"/>
    <n v="0"/>
  </r>
  <r>
    <n v="1693"/>
    <s v="       Prescription"/>
    <n v="1693"/>
    <e v="#NAME?"/>
    <s v="Prescription"/>
    <x v="1"/>
    <n v="19"/>
    <s v="How contraceptive method is being provided"/>
    <m/>
    <m/>
    <s v="FP.3.Service Provision"/>
    <x v="8"/>
    <m/>
    <s v="3.6 Provide method"/>
    <m/>
    <s v="FP.DE.532"/>
    <m/>
    <m/>
    <m/>
    <m/>
    <m/>
    <s v="Prescription"/>
    <m/>
    <s v="No"/>
    <m/>
    <m/>
    <m/>
    <m/>
    <m/>
    <m/>
    <m/>
    <s v="SNOMED for Rx for contraception: 703142009, using general term as defined in IHE FP profile"/>
    <m/>
    <m/>
    <m/>
    <m/>
    <x v="3"/>
    <x v="0"/>
    <m/>
    <m/>
    <m/>
    <x v="2"/>
    <s v="JS"/>
    <s v="ContraceptiveDeliveryMethod"/>
    <m/>
    <m/>
    <s v="       Prescription"/>
    <s v="Same"/>
    <m/>
    <x v="1"/>
    <e v="#NAME?"/>
    <m/>
    <x v="0"/>
    <m/>
    <m/>
    <s v="x"/>
    <m/>
    <m/>
    <s v="16076005"/>
    <m/>
    <m/>
    <m/>
    <m/>
    <m/>
    <m/>
    <m/>
    <m/>
    <m/>
    <m/>
    <m/>
    <m/>
    <m/>
    <m/>
    <x v="2"/>
    <n v="0"/>
    <x v="2"/>
    <x v="63"/>
    <n v="1"/>
    <s v=""/>
    <n v="1"/>
    <n v="1"/>
    <n v="1"/>
    <n v="0"/>
    <n v="0"/>
  </r>
  <r>
    <n v="1699"/>
    <s v="Provider that served the client"/>
    <n v="1699"/>
    <s v="Provider "/>
    <s v="Provider "/>
    <x v="0"/>
    <n v="31"/>
    <s v=""/>
    <m/>
    <m/>
    <s v="FP.3.Service Provision"/>
    <x v="10"/>
    <m/>
    <s v="3.6 Provide method"/>
    <m/>
    <s v="FP.DE.274"/>
    <s v="Provider "/>
    <m/>
    <s v="The provider that served the client."/>
    <s v="Coding"/>
    <s v="Select one"/>
    <m/>
    <m/>
    <s v="Yes"/>
    <s v="Default to user logged in to the system"/>
    <s v="Yes"/>
    <m/>
    <m/>
    <m/>
    <s v="FP.IND.15"/>
    <m/>
    <m/>
    <m/>
    <m/>
    <m/>
    <m/>
    <x v="39"/>
    <x v="0"/>
    <s v="FHIR"/>
    <s v="4.0.1"/>
    <m/>
    <x v="63"/>
    <s v="JA"/>
    <m/>
    <m/>
    <m/>
    <s v="Provider "/>
    <s v="Changed"/>
    <m/>
    <x v="0"/>
    <s v="&quot;Provider &quot;-&gt;&quot;Provider that served the client&quot;"/>
    <m/>
    <x v="0"/>
    <m/>
    <m/>
    <m/>
    <m/>
    <m/>
    <m/>
    <m/>
    <m/>
    <s v="No terminology code required"/>
    <m/>
    <m/>
    <m/>
    <m/>
    <m/>
    <m/>
    <m/>
    <m/>
    <m/>
    <m/>
    <m/>
    <x v="13"/>
    <s v=""/>
    <x v="14"/>
    <x v="64"/>
    <n v="1"/>
    <n v="0"/>
    <n v="1"/>
    <n v="1"/>
    <n v="1"/>
    <n v="0"/>
    <n v="0"/>
  </r>
  <r>
    <n v="1700"/>
    <s v="Quantity of backup method provided"/>
    <n v="1700"/>
    <s v="Quantity of backup method provided"/>
    <s v="Quantity of backup method provided"/>
    <x v="0"/>
    <n v="34"/>
    <s v=""/>
    <m/>
    <m/>
    <s v="FP.3.Service Provision"/>
    <x v="8"/>
    <m/>
    <s v="3.7 Discuss dual protection"/>
    <m/>
    <s v="FP.DE.077"/>
    <s v="Quantity of backup method provided"/>
    <m/>
    <s v="Quantity or package size of backup method provided."/>
    <s v="Integer"/>
    <m/>
    <m/>
    <m/>
    <s v="No"/>
    <m/>
    <s v="Yes"/>
    <s v="O"/>
    <m/>
    <m/>
    <m/>
    <m/>
    <m/>
    <m/>
    <m/>
    <m/>
    <m/>
    <x v="3"/>
    <x v="3"/>
    <s v="Extension Needed"/>
    <s v="4.0.1"/>
    <m/>
    <x v="2"/>
    <s v="NA"/>
    <m/>
    <m/>
    <m/>
    <s v="Quantity of method provided"/>
    <s v="Changed"/>
    <m/>
    <x v="1"/>
    <s v=""/>
    <m/>
    <x v="2"/>
    <m/>
    <m/>
    <m/>
    <m/>
    <m/>
    <m/>
    <m/>
    <m/>
    <m/>
    <m/>
    <m/>
    <s v="Dependent on 1687 mapping"/>
    <m/>
    <m/>
    <m/>
    <m/>
    <m/>
    <m/>
    <m/>
    <m/>
    <x v="2"/>
    <s v=""/>
    <x v="3"/>
    <x v="12"/>
    <n v="1"/>
    <n v="0"/>
    <n v="0"/>
    <n v="0"/>
    <n v="0"/>
    <n v="0"/>
    <n v="1"/>
  </r>
  <r>
    <n v="1701"/>
    <s v="Reason for no method at exit"/>
    <n v="1701"/>
    <s v="Reason for no method at exit"/>
    <s v="Reason for no method at exit"/>
    <x v="0"/>
    <n v="28"/>
    <s v=""/>
    <m/>
    <m/>
    <s v="FP.3.Service Provision"/>
    <x v="8"/>
    <m/>
    <s v="3.7 Discuss dual protection"/>
    <m/>
    <s v="FP.DE.071"/>
    <s v="Reason for no method at exit"/>
    <m/>
    <s v="Reason for no contraceptive method use reported –at exit"/>
    <s v="Coding"/>
    <m/>
    <m/>
    <m/>
    <s v="No"/>
    <m/>
    <s v="Yes"/>
    <s v="C"/>
    <s v="Included and required if Method at exit - reported = No method at exit "/>
    <m/>
    <s v="FP.IND.05"/>
    <m/>
    <m/>
    <m/>
    <m/>
    <m/>
    <m/>
    <x v="17"/>
    <x v="2"/>
    <s v="FHIR"/>
    <s v="4.0.1"/>
    <m/>
    <x v="64"/>
    <s v="JA"/>
    <m/>
    <m/>
    <m/>
    <s v="Reason for no contraception method at exit"/>
    <s v="Changed"/>
    <m/>
    <x v="1"/>
    <s v=""/>
    <m/>
    <x v="0"/>
    <m/>
    <m/>
    <s v="x"/>
    <m/>
    <m/>
    <m/>
    <s v="86653-3"/>
    <m/>
    <m/>
    <m/>
    <m/>
    <s v="Dependent on 1687 mapping"/>
    <s v="90"/>
    <m/>
    <m/>
    <m/>
    <m/>
    <m/>
    <m/>
    <m/>
    <x v="5"/>
    <s v=""/>
    <x v="6"/>
    <x v="65"/>
    <n v="1"/>
    <n v="1"/>
    <n v="1"/>
    <n v="1"/>
    <n v="1"/>
    <n v="0"/>
    <n v="0"/>
  </r>
  <r>
    <n v="1702"/>
    <s v="       Voluntarily refrains from sexual intercourse"/>
    <n v="1702"/>
    <e v="#NAME?"/>
    <s v="Voluntarily refrains from sexual intercourse"/>
    <x v="1"/>
    <n v="51"/>
    <s v="Reason for no method at exit"/>
    <m/>
    <m/>
    <s v="FP.3.Service Provision"/>
    <x v="8"/>
    <m/>
    <s v="3.7 Discuss dual protection"/>
    <m/>
    <s v="FP.DE.409"/>
    <s v="Voluntarily refrains from sexual intercourse"/>
    <m/>
    <m/>
    <m/>
    <m/>
    <s v="Abstinence    "/>
    <m/>
    <s v="No"/>
    <m/>
    <s v="Yes"/>
    <m/>
    <m/>
    <m/>
    <m/>
    <m/>
    <m/>
    <m/>
    <m/>
    <m/>
    <m/>
    <x v="3"/>
    <x v="0"/>
    <m/>
    <m/>
    <m/>
    <x v="2"/>
    <s v="JS"/>
    <m/>
    <m/>
    <m/>
    <s v="       Abstinence    "/>
    <s v="Changed"/>
    <m/>
    <x v="1"/>
    <e v="#NAME?"/>
    <m/>
    <x v="0"/>
    <m/>
    <m/>
    <s v="x"/>
    <m/>
    <m/>
    <s v="454731000124108"/>
    <s v="14550-0"/>
    <m/>
    <m/>
    <m/>
    <m/>
    <m/>
    <m/>
    <m/>
    <m/>
    <m/>
    <m/>
    <m/>
    <m/>
    <m/>
    <x v="2"/>
    <n v="0"/>
    <x v="2"/>
    <x v="65"/>
    <n v="1"/>
    <s v=""/>
    <n v="1"/>
    <n v="1"/>
    <n v="1"/>
    <n v="0"/>
    <n v="0"/>
  </r>
  <r>
    <n v="1703"/>
    <s v="       Client choice to not use contraception"/>
    <n v="1703"/>
    <e v="#NAME?"/>
    <s v="Client choice to not use contraception"/>
    <x v="1"/>
    <n v="45"/>
    <s v="Reason for no method at exit"/>
    <m/>
    <m/>
    <s v="FP.3.Service Provision"/>
    <x v="8"/>
    <m/>
    <s v="3.7 Discuss dual protection"/>
    <m/>
    <s v="FP.DE.411"/>
    <s v="Client choice to not use contraception"/>
    <m/>
    <m/>
    <m/>
    <m/>
    <s v="Chooses not to use"/>
    <m/>
    <s v="No"/>
    <m/>
    <s v="Yes"/>
    <m/>
    <m/>
    <m/>
    <m/>
    <m/>
    <m/>
    <m/>
    <m/>
    <m/>
    <m/>
    <x v="3"/>
    <x v="0"/>
    <m/>
    <m/>
    <m/>
    <x v="2"/>
    <s v="JS"/>
    <m/>
    <m/>
    <m/>
    <s v="       Chooses not to use"/>
    <s v="Changed"/>
    <m/>
    <x v="1"/>
    <e v="#NAME?"/>
    <m/>
    <x v="0"/>
    <m/>
    <m/>
    <m/>
    <m/>
    <m/>
    <s v="445637007"/>
    <m/>
    <m/>
    <m/>
    <m/>
    <m/>
    <m/>
    <m/>
    <m/>
    <m/>
    <m/>
    <m/>
    <m/>
    <m/>
    <m/>
    <x v="2"/>
    <n v="0"/>
    <x v="2"/>
    <x v="65"/>
    <n v="1"/>
    <s v=""/>
    <n v="1"/>
    <n v="1"/>
    <n v="1"/>
    <n v="0"/>
    <n v="0"/>
  </r>
  <r>
    <n v="1704"/>
    <s v="       Same sex partner    "/>
    <n v="1704"/>
    <e v="#NAME?"/>
    <s v="Same sex partner    "/>
    <x v="1"/>
    <n v="27"/>
    <s v="Reason for no method at exit"/>
    <m/>
    <m/>
    <s v="FP.3.Service Provision"/>
    <x v="8"/>
    <m/>
    <s v="3.7 Discuss dual protection"/>
    <m/>
    <s v="FP.DE.412"/>
    <m/>
    <m/>
    <m/>
    <m/>
    <m/>
    <s v="Same sex partner    "/>
    <m/>
    <s v="No"/>
    <m/>
    <s v="Yes"/>
    <m/>
    <m/>
    <m/>
    <m/>
    <m/>
    <m/>
    <m/>
    <m/>
    <m/>
    <m/>
    <x v="3"/>
    <x v="0"/>
    <m/>
    <m/>
    <m/>
    <x v="2"/>
    <s v="JS"/>
    <m/>
    <m/>
    <m/>
    <s v="       Same sex partner    "/>
    <s v="Same"/>
    <m/>
    <x v="1"/>
    <e v="#NAME?"/>
    <m/>
    <x v="0"/>
    <m/>
    <m/>
    <s v="x"/>
    <m/>
    <m/>
    <s v="454361000124100"/>
    <s v="LA 27925-9"/>
    <m/>
    <m/>
    <m/>
    <m/>
    <m/>
    <m/>
    <m/>
    <m/>
    <m/>
    <m/>
    <m/>
    <m/>
    <m/>
    <x v="2"/>
    <n v="0"/>
    <x v="2"/>
    <x v="65"/>
    <n v="1"/>
    <s v=""/>
    <n v="1"/>
    <n v="1"/>
    <n v="1"/>
    <n v="0"/>
    <n v="0"/>
  </r>
  <r>
    <n v="1705"/>
    <s v="       No method for other reasons"/>
    <n v="1705"/>
    <e v="#NAME?"/>
    <s v="No method for other reasons"/>
    <x v="1"/>
    <n v="34"/>
    <s v="Reason for no method at exit"/>
    <m/>
    <m/>
    <s v="FP.3.Service Provision"/>
    <x v="8"/>
    <m/>
    <s v="3.7 Discuss dual protection"/>
    <m/>
    <s v="FP.DE.413"/>
    <s v="No method for other reasons"/>
    <m/>
    <m/>
    <m/>
    <m/>
    <s v="Other    "/>
    <m/>
    <s v="No"/>
    <m/>
    <s v="Yes"/>
    <m/>
    <m/>
    <m/>
    <m/>
    <m/>
    <s v="CIEL uses SNOMED 419182006"/>
    <m/>
    <m/>
    <m/>
    <m/>
    <x v="3"/>
    <x v="0"/>
    <m/>
    <m/>
    <m/>
    <x v="2"/>
    <s v="JS"/>
    <m/>
    <m/>
    <m/>
    <s v="       Other    "/>
    <s v="Changed"/>
    <m/>
    <x v="1"/>
    <e v="#NAME?"/>
    <m/>
    <x v="0"/>
    <m/>
    <m/>
    <s v="x"/>
    <m/>
    <m/>
    <s v="74964007"/>
    <s v="46-8"/>
    <m/>
    <m/>
    <m/>
    <m/>
    <m/>
    <m/>
    <m/>
    <m/>
    <m/>
    <m/>
    <m/>
    <m/>
    <m/>
    <x v="2"/>
    <n v="0"/>
    <x v="2"/>
    <x v="65"/>
    <n v="1"/>
    <s v=""/>
    <n v="1"/>
    <n v="1"/>
    <n v="1"/>
    <n v="0"/>
    <n v="0"/>
  </r>
  <r>
    <n v="1706"/>
    <s v="       Out of stock"/>
    <n v="1706"/>
    <e v="#NAME?"/>
    <s v="Out of stock"/>
    <x v="1"/>
    <n v="19"/>
    <s v="Reason for no method at exit"/>
    <m/>
    <m/>
    <s v="FP.3.Service Provision"/>
    <x v="8"/>
    <m/>
    <s v="3.7 Discuss dual protection"/>
    <m/>
    <s v="FP.DE.414"/>
    <m/>
    <m/>
    <m/>
    <m/>
    <m/>
    <s v="Out of stock"/>
    <m/>
    <s v="No"/>
    <m/>
    <s v="Yes"/>
    <m/>
    <m/>
    <m/>
    <m/>
    <m/>
    <m/>
    <m/>
    <m/>
    <m/>
    <m/>
    <x v="3"/>
    <x v="0"/>
    <m/>
    <m/>
    <m/>
    <x v="2"/>
    <s v="JS"/>
    <m/>
    <m/>
    <m/>
    <s v="       Out of stock"/>
    <s v="Same"/>
    <m/>
    <x v="1"/>
    <e v="#NAME?"/>
    <m/>
    <x v="0"/>
    <m/>
    <m/>
    <s v="need to check"/>
    <s v="Z76.89"/>
    <m/>
    <s v="182856006"/>
    <m/>
    <m/>
    <m/>
    <m/>
    <m/>
    <m/>
    <m/>
    <n v="165183"/>
    <m/>
    <m/>
    <s v="1754AAAAAAAAAAAAAAAAAAAAAAAAAAAAAAAA"/>
    <m/>
    <m/>
    <m/>
    <x v="2"/>
    <n v="0"/>
    <x v="2"/>
    <x v="65"/>
    <n v="1"/>
    <s v=""/>
    <n v="1"/>
    <n v="1"/>
    <n v="1"/>
    <n v="0"/>
    <n v="0"/>
  </r>
  <r>
    <n v="1707"/>
    <s v="       Sterile for non-contraceptive reasons    "/>
    <n v="1707"/>
    <e v="#NAME?"/>
    <s v="Sterile for non-contraceptive reasons    "/>
    <x v="1"/>
    <n v="48"/>
    <s v="Reason for no method at exit"/>
    <m/>
    <m/>
    <s v="FP.3.Service Provision"/>
    <x v="8"/>
    <m/>
    <s v="3.7 Discuss dual protection"/>
    <m/>
    <s v="FP.DE.415"/>
    <m/>
    <m/>
    <m/>
    <m/>
    <m/>
    <s v="Sterile for non-contraceptive reasons    "/>
    <m/>
    <s v="No"/>
    <m/>
    <s v="Yes"/>
    <m/>
    <m/>
    <m/>
    <m/>
    <m/>
    <m/>
    <m/>
    <m/>
    <m/>
    <m/>
    <x v="3"/>
    <x v="0"/>
    <m/>
    <m/>
    <m/>
    <x v="2"/>
    <s v="JS"/>
    <m/>
    <m/>
    <m/>
    <s v="       Sterile for non-contraceptive reasons    "/>
    <s v="Same"/>
    <m/>
    <x v="1"/>
    <e v="#NAME?"/>
    <m/>
    <x v="0"/>
    <m/>
    <m/>
    <s v="x"/>
    <s v="Z31.9"/>
    <s v="QA3Z"/>
    <s v="15296000"/>
    <s v="27927-5"/>
    <m/>
    <m/>
    <m/>
    <m/>
    <m/>
    <m/>
    <m/>
    <s v="9789007-natural sterility"/>
    <m/>
    <s v="125899AAAAAAAAAAAAAAAAAAAAAAAAAAAAAA"/>
    <m/>
    <m/>
    <m/>
    <x v="2"/>
    <n v="0"/>
    <x v="2"/>
    <x v="65"/>
    <n v="1"/>
    <s v=""/>
    <n v="1"/>
    <n v="1"/>
    <n v="1"/>
    <n v="0"/>
    <n v="0"/>
  </r>
  <r>
    <n v="1708"/>
    <s v="       Seeking pregnancy   "/>
    <n v="1708"/>
    <e v="#NAME?"/>
    <s v="Seeking pregnancy   "/>
    <x v="1"/>
    <n v="27"/>
    <s v="Reason for no method at exit"/>
    <m/>
    <m/>
    <s v="FP.3.Service Provision"/>
    <x v="8"/>
    <m/>
    <s v="3.7 Discuss dual protection"/>
    <m/>
    <s v="FP.DE.416"/>
    <m/>
    <m/>
    <m/>
    <m/>
    <m/>
    <s v="Seeking pregnancy   "/>
    <m/>
    <s v="No"/>
    <m/>
    <s v="Yes"/>
    <m/>
    <m/>
    <m/>
    <m/>
    <m/>
    <m/>
    <m/>
    <m/>
    <m/>
    <m/>
    <x v="3"/>
    <x v="0"/>
    <m/>
    <m/>
    <m/>
    <x v="2"/>
    <s v="JS"/>
    <m/>
    <m/>
    <m/>
    <s v="       Seeking pregnancy"/>
    <s v="Changed"/>
    <m/>
    <x v="1"/>
    <e v="#NAME?"/>
    <m/>
    <x v="0"/>
    <m/>
    <m/>
    <s v="x"/>
    <m/>
    <m/>
    <s v="454411000124108"/>
    <s v="LA 27928-3"/>
    <m/>
    <m/>
    <s v="LOINC : Narrower"/>
    <m/>
    <s v="limited to the next year"/>
    <m/>
    <m/>
    <m/>
    <m/>
    <m/>
    <m/>
    <m/>
    <m/>
    <x v="2"/>
    <n v="0"/>
    <x v="2"/>
    <x v="65"/>
    <n v="1"/>
    <s v=""/>
    <n v="1"/>
    <n v="1"/>
    <n v="1"/>
    <n v="0"/>
    <n v="0"/>
  </r>
  <r>
    <n v="1709"/>
    <s v="Observations"/>
    <n v="1709"/>
    <s v="Observations"/>
    <s v="Observations"/>
    <x v="0"/>
    <n v="12"/>
    <s v=""/>
    <m/>
    <m/>
    <s v="FP.3.Service Provision"/>
    <x v="10"/>
    <m/>
    <s v="3.7 Discuss dual protection"/>
    <m/>
    <m/>
    <s v="Observations"/>
    <m/>
    <s v="Observations from  any other procedures performed. "/>
    <s v="Text"/>
    <m/>
    <m/>
    <m/>
    <s v="No"/>
    <m/>
    <s v="Yes"/>
    <s v="O"/>
    <m/>
    <m/>
    <m/>
    <m/>
    <s v="Optional. List of values may be defined based on country needs"/>
    <m/>
    <m/>
    <m/>
    <m/>
    <x v="40"/>
    <x v="0"/>
    <s v="FHIR"/>
    <s v="4.0.1"/>
    <m/>
    <x v="2"/>
    <s v="NA"/>
    <m/>
    <m/>
    <m/>
    <s v="Observations"/>
    <s v="Same"/>
    <m/>
    <x v="1"/>
    <s v=""/>
    <m/>
    <x v="2"/>
    <m/>
    <m/>
    <m/>
    <m/>
    <m/>
    <m/>
    <m/>
    <m/>
    <s v="No terminology code required"/>
    <m/>
    <m/>
    <m/>
    <m/>
    <m/>
    <m/>
    <m/>
    <m/>
    <m/>
    <m/>
    <m/>
    <x v="2"/>
    <s v=""/>
    <x v="3"/>
    <x v="12"/>
    <n v="1"/>
    <n v="0"/>
    <n v="1"/>
    <n v="1"/>
    <n v="1"/>
    <n v="0"/>
    <n v="0"/>
  </r>
  <r>
    <n v="1711"/>
    <s v="Return Visit Appointment"/>
    <n v="1711"/>
    <s v="Return Visit Appointment"/>
    <s v="Return Visit Appointment"/>
    <x v="0"/>
    <n v="24"/>
    <s v=""/>
    <m/>
    <m/>
    <s v="FP.3.Service Provision, ST.3. Service Provision"/>
    <x v="14"/>
    <m/>
    <s v="3.8 Schedule follow up"/>
    <s v="ST.DE.058"/>
    <s v="FP.DE.079"/>
    <s v="Return Visit Appointment"/>
    <m/>
    <s v="Date and time of return visit appointment"/>
    <s v="DateTime"/>
    <m/>
    <m/>
    <m/>
    <s v="No"/>
    <m/>
    <s v="Yes"/>
    <s v="O"/>
    <m/>
    <m/>
    <m/>
    <m/>
    <m/>
    <s v="DL Treatment Recs"/>
    <m/>
    <m/>
    <m/>
    <x v="4"/>
    <x v="0"/>
    <s v="FHIR"/>
    <s v="4.0.1"/>
    <m/>
    <x v="65"/>
    <s v="JA"/>
    <m/>
    <m/>
    <m/>
    <s v="Return Visit Appointment"/>
    <s v="Same"/>
    <m/>
    <x v="0"/>
    <s v=""/>
    <s v="Ready for testing"/>
    <x v="1"/>
    <m/>
    <m/>
    <m/>
    <m/>
    <m/>
    <s v="185353001"/>
    <m/>
    <m/>
    <s v="No terminology code required"/>
    <m/>
    <m/>
    <m/>
    <m/>
    <m/>
    <m/>
    <m/>
    <m/>
    <m/>
    <m/>
    <m/>
    <x v="1"/>
    <s v=""/>
    <x v="1"/>
    <x v="66"/>
    <n v="1"/>
    <n v="0"/>
    <n v="1"/>
    <n v="1"/>
    <n v="1"/>
    <n v="0"/>
    <n v="0"/>
  </r>
  <r>
    <n v="1712"/>
    <s v="Follow up recommended"/>
    <n v="1712"/>
    <s v="Follow up recommended"/>
    <s v="Follow up recommended"/>
    <x v="0"/>
    <n v="21"/>
    <s v=""/>
    <m/>
    <m/>
    <s v="FP.3.Service Provision"/>
    <x v="14"/>
    <m/>
    <s v="3.8 Schedule follow up"/>
    <m/>
    <s v="FP.DE.267"/>
    <s v="Follow up recommended"/>
    <m/>
    <s v="A follow up appointment is recommended"/>
    <s v="Boolean"/>
    <m/>
    <s v="True/False"/>
    <m/>
    <s v="No"/>
    <m/>
    <s v="Yes"/>
    <s v="C"/>
    <s v="System"/>
    <m/>
    <m/>
    <m/>
    <m/>
    <m/>
    <m/>
    <m/>
    <m/>
    <x v="41"/>
    <x v="0"/>
    <s v="FHIR"/>
    <s v="4.0.1"/>
    <m/>
    <x v="66"/>
    <s v="JA"/>
    <m/>
    <m/>
    <m/>
    <s v="Follow up recommended"/>
    <s v="Same"/>
    <m/>
    <x v="0"/>
    <s v=""/>
    <m/>
    <x v="0"/>
    <s v="http://hl7.org/fhir/resource-types"/>
    <s v="CommunicationRequest"/>
    <m/>
    <m/>
    <m/>
    <m/>
    <m/>
    <m/>
    <s v="No terminology code required"/>
    <m/>
    <m/>
    <m/>
    <m/>
    <m/>
    <m/>
    <m/>
    <m/>
    <m/>
    <m/>
    <m/>
    <x v="9"/>
    <s v=""/>
    <x v="10"/>
    <x v="67"/>
    <n v="1"/>
    <n v="0"/>
    <n v="1"/>
    <n v="1"/>
    <n v="1"/>
    <n v="0"/>
    <n v="0"/>
  </r>
  <r>
    <n v="1713"/>
    <s v="Follow up contact recommended date"/>
    <n v="1713"/>
    <s v="Follow up contact recommended date"/>
    <s v="Follow up contact recommended date"/>
    <x v="0"/>
    <n v="34"/>
    <s v=""/>
    <m/>
    <m/>
    <s v="FP.3.Service Provision, ST.3. Service Provision"/>
    <x v="14"/>
    <m/>
    <s v="3.8 Schedule follow up"/>
    <s v="ST.DE.057"/>
    <s v="FP.DE.266"/>
    <s v="Follow up contact recommended date"/>
    <m/>
    <s v="A follow up outreach to the client is recommended"/>
    <s v="DateTime"/>
    <m/>
    <m/>
    <m/>
    <s v="No"/>
    <m/>
    <s v="Yes"/>
    <s v="C"/>
    <m/>
    <m/>
    <m/>
    <m/>
    <m/>
    <m/>
    <m/>
    <m/>
    <m/>
    <x v="42"/>
    <x v="10"/>
    <s v="FHIR"/>
    <s v="4.0.1"/>
    <m/>
    <x v="66"/>
    <s v="JA"/>
    <m/>
    <m/>
    <m/>
    <s v="Follow up contact recommended date"/>
    <s v="Same"/>
    <m/>
    <x v="0"/>
    <s v=""/>
    <m/>
    <x v="0"/>
    <m/>
    <m/>
    <m/>
    <m/>
    <m/>
    <m/>
    <m/>
    <m/>
    <s v="No terminology code required"/>
    <m/>
    <m/>
    <m/>
    <m/>
    <m/>
    <m/>
    <m/>
    <m/>
    <m/>
    <m/>
    <m/>
    <x v="9"/>
    <s v=""/>
    <x v="10"/>
    <x v="67"/>
    <n v="1"/>
    <n v="0"/>
    <n v="1"/>
    <n v="1"/>
    <n v="1"/>
    <n v="0"/>
    <n v="0"/>
  </r>
  <r>
    <n v="1714"/>
    <s v="Backup method provided"/>
    <n v="1714"/>
    <s v="Backup method provided"/>
    <s v="Backup method provided"/>
    <x v="2"/>
    <n v="22"/>
    <s v=""/>
    <m/>
    <m/>
    <s v="FP.3.Service Provision"/>
    <x v="8"/>
    <m/>
    <s v="3.9 Discuss dual protection"/>
    <m/>
    <s v="FP.DE.251"/>
    <s v="Backup method provided"/>
    <m/>
    <s v="A backup method was provided during the visit "/>
    <s v="Boolean"/>
    <m/>
    <s v="True/False"/>
    <m/>
    <s v="No"/>
    <m/>
    <s v="Yes"/>
    <s v="C"/>
    <s v="Require if backup method recommended = TRUE"/>
    <m/>
    <m/>
    <m/>
    <m/>
    <m/>
    <m/>
    <m/>
    <m/>
    <x v="3"/>
    <x v="0"/>
    <s v="Extension Needed"/>
    <s v="4.0.1"/>
    <m/>
    <x v="2"/>
    <s v="NA"/>
    <m/>
    <m/>
    <m/>
    <s v="Backup contraception method provided"/>
    <s v="Changed"/>
    <m/>
    <x v="1"/>
    <s v=""/>
    <m/>
    <x v="0"/>
    <m/>
    <m/>
    <m/>
    <m/>
    <m/>
    <m/>
    <m/>
    <m/>
    <m/>
    <m/>
    <m/>
    <s v="Dependent on 1687 mapping"/>
    <m/>
    <m/>
    <m/>
    <m/>
    <m/>
    <m/>
    <m/>
    <m/>
    <x v="2"/>
    <s v=""/>
    <x v="3"/>
    <x v="2"/>
    <n v="1"/>
    <s v=""/>
    <n v="0"/>
    <n v="0"/>
    <n v="0"/>
    <n v="0"/>
    <n v="1"/>
  </r>
  <r>
    <n v="1715"/>
    <s v="Contraception backup method provided"/>
    <n v="1715"/>
    <s v="Type of backup method provided"/>
    <s v="Type of backup method provided"/>
    <x v="0"/>
    <n v="36"/>
    <s v=""/>
    <m/>
    <m/>
    <s v="FP.3.Service Provision"/>
    <x v="8"/>
    <m/>
    <s v="3.9 Discuss dual protection"/>
    <m/>
    <s v="FP.DE.535"/>
    <s v="Type of backup method provided"/>
    <m/>
    <s v="Type of backup method provided"/>
    <s v="Coding"/>
    <s v="Select all that apply"/>
    <m/>
    <m/>
    <s v="No"/>
    <m/>
    <s v="Yes"/>
    <s v="C"/>
    <s v="Include if backup method provided = TRUE"/>
    <m/>
    <m/>
    <m/>
    <m/>
    <m/>
    <m/>
    <m/>
    <m/>
    <x v="24"/>
    <x v="0"/>
    <s v="FHIR"/>
    <s v="4.0.1"/>
    <m/>
    <x v="67"/>
    <s v="JA"/>
    <s v="BackupContraceptiveMethod"/>
    <m/>
    <m/>
    <s v="Type of backup contraception method provided"/>
    <s v="Changed"/>
    <m/>
    <x v="1"/>
    <s v="&quot;Type of backup method provided&quot;-&gt;&quot;Contraception backup method provided&quot;"/>
    <m/>
    <x v="0"/>
    <m/>
    <m/>
    <m/>
    <m/>
    <m/>
    <m/>
    <m/>
    <m/>
    <m/>
    <m/>
    <m/>
    <s v="Dependent on 1687 mapping"/>
    <m/>
    <m/>
    <m/>
    <m/>
    <m/>
    <m/>
    <m/>
    <m/>
    <x v="9"/>
    <s v=""/>
    <x v="10"/>
    <x v="68"/>
    <n v="1"/>
    <n v="1"/>
    <n v="0"/>
    <n v="1"/>
    <n v="0"/>
    <n v="1"/>
    <n v="0"/>
  </r>
  <r>
    <n v="1716"/>
    <s v="       Male condom"/>
    <n v="1716"/>
    <e v="#NAME?"/>
    <s v="Male condom"/>
    <x v="1"/>
    <n v="18"/>
    <s v="Contraception backup method provided"/>
    <m/>
    <m/>
    <s v="FP.3.Service Provision"/>
    <x v="8"/>
    <m/>
    <s v="3.9 Discuss dual protection"/>
    <m/>
    <s v="FP.DE.438"/>
    <m/>
    <m/>
    <m/>
    <m/>
    <m/>
    <s v="Male condom"/>
    <m/>
    <s v="No"/>
    <m/>
    <s v="Yes"/>
    <m/>
    <m/>
    <m/>
    <m/>
    <m/>
    <m/>
    <m/>
    <m/>
    <m/>
    <m/>
    <x v="3"/>
    <x v="0"/>
    <m/>
    <m/>
    <m/>
    <x v="2"/>
    <s v="JS"/>
    <s v="BackupContraceptiveMethod"/>
    <m/>
    <m/>
    <s v="       Male condom"/>
    <s v="Same"/>
    <m/>
    <x v="1"/>
    <e v="#NAME?"/>
    <m/>
    <x v="0"/>
    <m/>
    <m/>
    <s v="x"/>
    <m/>
    <m/>
    <s v="442450006"/>
    <s v="LA27912-7"/>
    <m/>
    <m/>
    <m/>
    <m/>
    <m/>
    <m/>
    <n v="164813"/>
    <m/>
    <m/>
    <s v="164813AAAAAAAAAAAAAAAAAAAAAAAAAAAAAA"/>
    <m/>
    <m/>
    <m/>
    <x v="2"/>
    <n v="0"/>
    <x v="2"/>
    <x v="68"/>
    <n v="1"/>
    <s v=""/>
    <n v="1"/>
    <n v="1"/>
    <n v="1"/>
    <n v="0"/>
    <n v="0"/>
  </r>
  <r>
    <n v="1717"/>
    <s v="       Female condom"/>
    <n v="1717"/>
    <e v="#NAME?"/>
    <s v="Female condom"/>
    <x v="1"/>
    <n v="20"/>
    <s v="Contraception backup method provided"/>
    <m/>
    <m/>
    <s v="FP.3.Service Provision"/>
    <x v="8"/>
    <m/>
    <s v="3.9 Discuss dual protection"/>
    <m/>
    <s v="FP.DE.439"/>
    <m/>
    <m/>
    <m/>
    <m/>
    <m/>
    <s v="Female condom"/>
    <m/>
    <s v="No"/>
    <m/>
    <s v="Yes"/>
    <m/>
    <m/>
    <m/>
    <m/>
    <m/>
    <m/>
    <m/>
    <m/>
    <m/>
    <m/>
    <x v="3"/>
    <x v="0"/>
    <m/>
    <m/>
    <m/>
    <x v="2"/>
    <s v="JS"/>
    <s v="BackupContraceptiveMethod"/>
    <m/>
    <m/>
    <s v="       Female condom"/>
    <s v="Same"/>
    <m/>
    <x v="1"/>
    <e v="#NAME?"/>
    <m/>
    <x v="0"/>
    <m/>
    <m/>
    <s v="x"/>
    <m/>
    <m/>
    <s v="442288006; 228479001"/>
    <s v="LA27914-3"/>
    <m/>
    <m/>
    <m/>
    <m/>
    <m/>
    <m/>
    <n v="164814"/>
    <m/>
    <m/>
    <s v="164814AAAAAAAAAAAAAAAAAAAAAAAAAAAAAA"/>
    <m/>
    <m/>
    <m/>
    <x v="2"/>
    <n v="0"/>
    <x v="2"/>
    <x v="68"/>
    <n v="1"/>
    <s v=""/>
    <n v="1"/>
    <n v="1"/>
    <n v="1"/>
    <n v="0"/>
    <n v="0"/>
  </r>
  <r>
    <n v="1718"/>
    <s v="       Other "/>
    <n v="1718"/>
    <e v="#NAME?"/>
    <s v="Other"/>
    <x v="1"/>
    <n v="13"/>
    <s v="Contraception backup method provided"/>
    <m/>
    <m/>
    <s v="FP.3.Service Provision"/>
    <x v="8"/>
    <m/>
    <s v="3.9 Discuss dual protection"/>
    <m/>
    <s v="FP.DE.440"/>
    <m/>
    <m/>
    <m/>
    <m/>
    <m/>
    <s v="Other"/>
    <m/>
    <s v="No"/>
    <m/>
    <s v="Yes"/>
    <m/>
    <m/>
    <m/>
    <m/>
    <m/>
    <m/>
    <m/>
    <m/>
    <m/>
    <m/>
    <x v="3"/>
    <x v="0"/>
    <m/>
    <m/>
    <m/>
    <x v="2"/>
    <s v="JS"/>
    <s v="BackupContraceptiveMethod"/>
    <m/>
    <m/>
    <s v="       Other"/>
    <s v="Changed"/>
    <m/>
    <x v="1"/>
    <e v="#NAME?"/>
    <m/>
    <x v="0"/>
    <s v="http://who.int/cg/CodeSystem/extended-content"/>
    <s v="Other"/>
    <m/>
    <m/>
    <m/>
    <m/>
    <m/>
    <m/>
    <m/>
    <m/>
    <m/>
    <m/>
    <m/>
    <m/>
    <m/>
    <m/>
    <m/>
    <m/>
    <m/>
    <m/>
    <x v="2"/>
    <n v="0"/>
    <x v="2"/>
    <x v="68"/>
    <n v="1"/>
    <s v=""/>
    <n v="1"/>
    <n v="1"/>
    <n v="1"/>
    <n v="0"/>
    <n v="0"/>
  </r>
  <r>
    <n v="1719"/>
    <s v="Quantity of backup contraception method provided"/>
    <n v="1719"/>
    <s v="Quantity of backup method provided"/>
    <s v="Quantity of backup method provided"/>
    <x v="0"/>
    <n v="48"/>
    <s v=""/>
    <m/>
    <m/>
    <s v="FP.3.Service Provision"/>
    <x v="8"/>
    <m/>
    <s v="3.9 Discuss dual protection"/>
    <m/>
    <m/>
    <s v="Quantity of backup method provided"/>
    <m/>
    <s v="Quantity or package size of  backup method provided"/>
    <s v="Integer"/>
    <m/>
    <m/>
    <m/>
    <s v="No"/>
    <m/>
    <s v="Yes"/>
    <s v="O"/>
    <m/>
    <m/>
    <m/>
    <m/>
    <m/>
    <m/>
    <m/>
    <m/>
    <m/>
    <x v="3"/>
    <x v="3"/>
    <s v="Extension Needed"/>
    <s v="4.0.1"/>
    <m/>
    <x v="2"/>
    <s v="NA"/>
    <m/>
    <m/>
    <m/>
    <s v="Quantity of backup contraception method provided"/>
    <s v="Same"/>
    <m/>
    <x v="1"/>
    <s v="&quot;Quantity of backup method provided&quot;-&gt;&quot;Quantity of backup contraception method provided&quot;"/>
    <m/>
    <x v="2"/>
    <m/>
    <m/>
    <m/>
    <m/>
    <m/>
    <m/>
    <m/>
    <m/>
    <m/>
    <m/>
    <m/>
    <s v="Dependent on 1687 mapping"/>
    <m/>
    <m/>
    <m/>
    <m/>
    <m/>
    <m/>
    <m/>
    <m/>
    <x v="2"/>
    <s v=""/>
    <x v="3"/>
    <x v="12"/>
    <n v="1"/>
    <n v="1"/>
    <n v="0"/>
    <n v="0"/>
    <n v="0"/>
    <n v="0"/>
    <n v="1"/>
  </r>
  <r>
    <n v="1720"/>
    <s v="       Backup contraception method needed"/>
    <n v="1720"/>
    <e v="#NAME?"/>
    <s v="Backup method needed"/>
    <x v="1"/>
    <n v="41"/>
    <s v="FP Recommended Care"/>
    <m/>
    <m/>
    <s v="FP.3.Service Provision"/>
    <x v="8"/>
    <m/>
    <s v="3.9 Discuss dual protection"/>
    <m/>
    <s v="FP.DE.536"/>
    <s v="Backup method needed"/>
    <m/>
    <s v="Whether a backup method based on client history and method start date"/>
    <s v="Boolean"/>
    <m/>
    <s v="True/False"/>
    <m/>
    <s v="No"/>
    <m/>
    <s v="Yes"/>
    <s v="C"/>
    <s v="Set by DL-When to Start"/>
    <m/>
    <m/>
    <m/>
    <m/>
    <m/>
    <m/>
    <m/>
    <m/>
    <x v="3"/>
    <x v="0"/>
    <m/>
    <m/>
    <m/>
    <x v="2"/>
    <s v="JA"/>
    <m/>
    <m/>
    <m/>
    <s v="Backup contraception method needed"/>
    <s v="Changed"/>
    <m/>
    <x v="1"/>
    <e v="#NAME?"/>
    <m/>
    <x v="0"/>
    <s v="http://who.int/cg/CodeSystem/extended-content"/>
    <s v="Backup Method Needed"/>
    <m/>
    <m/>
    <m/>
    <m/>
    <m/>
    <m/>
    <m/>
    <m/>
    <m/>
    <s v="Dependent on 1687 mapping"/>
    <m/>
    <m/>
    <m/>
    <m/>
    <m/>
    <m/>
    <m/>
    <m/>
    <x v="2"/>
    <n v="0"/>
    <x v="2"/>
    <x v="55"/>
    <n v="1"/>
    <s v=""/>
    <n v="1"/>
    <n v="1"/>
    <n v="1"/>
    <n v="0"/>
    <n v="0"/>
  </r>
  <r>
    <n v="1876"/>
    <s v="Temperature"/>
    <n v="1876"/>
    <s v="Temperature"/>
    <s v="Temperature"/>
    <x v="0"/>
    <n v="11"/>
    <s v=""/>
    <m/>
    <m/>
    <s v="ST.2 Consultation"/>
    <x v="4"/>
    <m/>
    <s v="Quick check"/>
    <s v="ST.DE.367"/>
    <m/>
    <s v="Temperature"/>
    <m/>
    <s v="Temperature of the client in Celsius"/>
    <s v="Decimal - Celsus"/>
    <m/>
    <m/>
    <m/>
    <s v="Yes"/>
    <s v="&gt;= 35 and &lt;= 42"/>
    <s v="Yes"/>
    <s v="O"/>
    <m/>
    <m/>
    <m/>
    <m/>
    <m/>
    <s v="DL Postpartum  infection"/>
    <m/>
    <m/>
    <s v=""/>
    <x v="17"/>
    <x v="7"/>
    <s v="FHIR"/>
    <s v="4.0.1"/>
    <m/>
    <x v="68"/>
    <s v="JA"/>
    <m/>
    <m/>
    <s v="Cel"/>
    <m/>
    <s v=""/>
    <m/>
    <x v="0"/>
    <s v=""/>
    <s v="Ready for testing"/>
    <x v="1"/>
    <m/>
    <s v=""/>
    <s v="x"/>
    <m/>
    <s v=""/>
    <s v="386725007"/>
    <s v="8310-5"/>
    <m/>
    <s v=""/>
    <s v=""/>
    <m/>
    <s v=""/>
    <s v=""/>
    <s v=""/>
    <s v=""/>
    <s v=""/>
    <s v=""/>
    <m/>
    <m/>
    <m/>
    <x v="5"/>
    <s v=""/>
    <x v="6"/>
    <x v="69"/>
    <n v="1"/>
    <n v="0"/>
    <n v="1"/>
    <n v="1"/>
    <n v="1"/>
    <n v="0"/>
    <n v="0"/>
  </r>
  <r>
    <n v="1877"/>
    <s v="Signs of fever"/>
    <n v="1877"/>
    <s v="Signs of fever"/>
    <s v="Signs of fever"/>
    <x v="0"/>
    <n v="14"/>
    <s v=""/>
    <m/>
    <m/>
    <s v="ST.2 Consultation"/>
    <x v="10"/>
    <m/>
    <s v="Quick check"/>
    <s v="ST.DE.368"/>
    <m/>
    <s v="Signs of fever"/>
    <m/>
    <m/>
    <m/>
    <m/>
    <m/>
    <m/>
    <m/>
    <m/>
    <m/>
    <m/>
    <m/>
    <m/>
    <m/>
    <m/>
    <m/>
    <s v="DL Postpartum  infection"/>
    <m/>
    <m/>
    <s v=""/>
    <x v="25"/>
    <x v="0"/>
    <s v="FHIR"/>
    <s v="4.0.1"/>
    <s v=""/>
    <x v="69"/>
    <s v="JA"/>
    <m/>
    <m/>
    <m/>
    <m/>
    <s v=""/>
    <m/>
    <x v="2"/>
    <s v=""/>
    <m/>
    <x v="1"/>
    <m/>
    <s v=""/>
    <s v=""/>
    <s v="r50.9"/>
    <s v=""/>
    <s v="386661006"/>
    <m/>
    <m/>
    <s v=""/>
    <s v=""/>
    <m/>
    <s v=""/>
    <s v=""/>
    <s v=""/>
    <s v=""/>
    <s v=""/>
    <s v=""/>
    <m/>
    <m/>
    <m/>
    <x v="5"/>
    <s v=""/>
    <x v="6"/>
    <x v="70"/>
    <n v="1"/>
    <n v="0"/>
    <n v="1"/>
    <n v="1"/>
    <n v="1"/>
    <n v="0"/>
    <n v="0"/>
  </r>
  <r>
    <n v="1878"/>
    <s v="Signs of shock"/>
    <n v="1878"/>
    <s v="Signs of shock"/>
    <s v="Signs of shock"/>
    <x v="0"/>
    <n v="14"/>
    <s v=""/>
    <m/>
    <m/>
    <s v="ST.2 Consultation"/>
    <x v="10"/>
    <m/>
    <s v="Quick check"/>
    <s v="ST.DE.369"/>
    <m/>
    <s v="Signs of shock"/>
    <m/>
    <m/>
    <m/>
    <m/>
    <m/>
    <m/>
    <m/>
    <m/>
    <m/>
    <m/>
    <m/>
    <m/>
    <m/>
    <m/>
    <m/>
    <s v="DL Postpartum  infection"/>
    <m/>
    <m/>
    <s v=""/>
    <x v="25"/>
    <x v="0"/>
    <s v="FHIR"/>
    <s v="4.0.1"/>
    <s v=""/>
    <x v="70"/>
    <s v="JA"/>
    <m/>
    <m/>
    <m/>
    <m/>
    <s v=""/>
    <m/>
    <x v="2"/>
    <s v=""/>
    <m/>
    <x v="1"/>
    <m/>
    <s v=""/>
    <s v=""/>
    <s v="r57.9"/>
    <s v=""/>
    <s v="27942005"/>
    <m/>
    <m/>
    <s v=""/>
    <s v="may need value set"/>
    <m/>
    <s v=""/>
    <s v=""/>
    <s v=""/>
    <s v=""/>
    <s v=""/>
    <s v=""/>
    <m/>
    <m/>
    <m/>
    <x v="5"/>
    <s v=""/>
    <x v="6"/>
    <x v="71"/>
    <n v="1"/>
    <n v="0"/>
    <n v="1"/>
    <n v="1"/>
    <n v="1"/>
    <n v="0"/>
    <n v="0"/>
  </r>
  <r>
    <n v="1881"/>
    <s v="STI Risk assessment conducted"/>
    <n v="1881"/>
    <s v="Risk assessment conducted"/>
    <s v="Risk assessment conducted"/>
    <x v="0"/>
    <n v="29"/>
    <s v=""/>
    <m/>
    <m/>
    <s v="FP.2. Counseling, ST.2 Consultation"/>
    <x v="15"/>
    <m/>
    <s v="2.2 Capture or update client history"/>
    <s v="ST.DE.024"/>
    <s v="FP.DE.042,"/>
    <s v="Risk assessment conducted"/>
    <m/>
    <s v="Whether a risk assessment was conducted"/>
    <s v="Boolean"/>
    <m/>
    <s v="True/False"/>
    <m/>
    <s v="No"/>
    <m/>
    <s v="Yes"/>
    <s v="O"/>
    <m/>
    <m/>
    <m/>
    <m/>
    <m/>
    <m/>
    <m/>
    <m/>
    <s v=""/>
    <x v="17"/>
    <x v="4"/>
    <s v="FHIR"/>
    <s v="4.0.1"/>
    <s v=""/>
    <x v="71"/>
    <s v="JA"/>
    <m/>
    <m/>
    <m/>
    <m/>
    <s v=""/>
    <m/>
    <x v="2"/>
    <s v="&quot;Risk assessment conducted&quot;-&gt;&quot;STI Risk assessment conducted&quot;"/>
    <m/>
    <x v="0"/>
    <m/>
    <s v=""/>
    <s v="x"/>
    <s v="Z72.5"/>
    <s v=""/>
    <m/>
    <m/>
    <m/>
    <s v=""/>
    <s v=""/>
    <m/>
    <s v=""/>
    <s v="26 (Closed)"/>
    <s v=""/>
    <s v=""/>
    <s v=""/>
    <s v=""/>
    <m/>
    <m/>
    <m/>
    <x v="5"/>
    <s v=""/>
    <x v="6"/>
    <x v="72"/>
    <n v="1"/>
    <n v="0"/>
    <n v="1"/>
    <n v="1"/>
    <n v="1"/>
    <n v="0"/>
    <n v="0"/>
  </r>
  <r>
    <n v="1882"/>
    <s v="STI risk assessment factors"/>
    <n v="1882"/>
    <s v="STI risk-assessment factors"/>
    <s v="STI risk-assessment factors"/>
    <x v="0"/>
    <n v="27"/>
    <s v=""/>
    <m/>
    <m/>
    <s v="FP.2. Counseling, ST.2 Consultation"/>
    <x v="15"/>
    <m/>
    <s v="2.4 Conduct risk assessment, 2.2 Capture or update client history"/>
    <s v="ST.DE.025"/>
    <s v="FP.DE.043"/>
    <s v="STI risk-assessment factors"/>
    <m/>
    <s v="STI risk factors relevant to the population (e.g., sexually active, new partner in the past three months, partner has an STI, etc.)"/>
    <s v="Coding"/>
    <s v="Multiple Choice - select all that apply"/>
    <m/>
    <m/>
    <s v="No"/>
    <m/>
    <s v="Yes"/>
    <s v="C"/>
    <s v="Include if risk assessment conducted = TRUE"/>
    <m/>
    <m/>
    <m/>
    <m/>
    <m/>
    <m/>
    <m/>
    <s v=""/>
    <x v="17"/>
    <x v="2"/>
    <s v="FHIR"/>
    <s v="4.0.1"/>
    <s v=""/>
    <x v="72"/>
    <s v="JA"/>
    <m/>
    <m/>
    <m/>
    <m/>
    <s v=""/>
    <m/>
    <x v="0"/>
    <s v="&quot;STI risk-assessment factors&quot;-&gt;&quot;STI risk assessment factors&quot;"/>
    <m/>
    <x v="0"/>
    <m/>
    <s v=""/>
    <s v=""/>
    <m/>
    <s v=""/>
    <m/>
    <s v="LA6508-1"/>
    <m/>
    <s v=""/>
    <s v="LNC- STI outpatient"/>
    <m/>
    <s v=""/>
    <s v="14 (closed)"/>
    <s v=""/>
    <s v=""/>
    <s v=""/>
    <s v=""/>
    <m/>
    <m/>
    <m/>
    <x v="5"/>
    <s v=""/>
    <x v="6"/>
    <x v="73"/>
    <n v="1"/>
    <n v="1"/>
    <n v="1"/>
    <n v="1"/>
    <n v="1"/>
    <n v="0"/>
    <n v="0"/>
  </r>
  <r>
    <n v="1883"/>
    <s v="       Sex worker"/>
    <n v="1883"/>
    <e v="#NAME?"/>
    <s v="Sex worker"/>
    <x v="1"/>
    <n v="17"/>
    <s v="STI risk assessment factors"/>
    <m/>
    <m/>
    <s v="ST.2 Consultation"/>
    <x v="15"/>
    <m/>
    <s v="2.2 Capture or update client history"/>
    <s v="ST.DE.128"/>
    <m/>
    <m/>
    <m/>
    <s v="Works as prostitute"/>
    <m/>
    <m/>
    <s v="Sex worker"/>
    <m/>
    <m/>
    <m/>
    <s v="Yes"/>
    <s v="O"/>
    <m/>
    <m/>
    <m/>
    <m/>
    <m/>
    <m/>
    <m/>
    <m/>
    <s v=""/>
    <x v="3"/>
    <x v="0"/>
    <m/>
    <m/>
    <s v=""/>
    <x v="2"/>
    <s v="JA"/>
    <m/>
    <m/>
    <m/>
    <m/>
    <s v=""/>
    <m/>
    <x v="0"/>
    <e v="#NAME?"/>
    <m/>
    <x v="0"/>
    <m/>
    <s v=""/>
    <s v="x"/>
    <m/>
    <s v=""/>
    <s v="449344001"/>
    <m/>
    <m/>
    <s v=""/>
    <s v=""/>
    <m/>
    <s v=""/>
    <s v=""/>
    <s v=""/>
    <s v=""/>
    <s v=""/>
    <s v=""/>
    <m/>
    <m/>
    <m/>
    <x v="2"/>
    <n v="0"/>
    <x v="2"/>
    <x v="73"/>
    <n v="1"/>
    <s v=""/>
    <n v="1"/>
    <n v="1"/>
    <n v="1"/>
    <n v="0"/>
    <n v="0"/>
  </r>
  <r>
    <n v="1884"/>
    <s v="       Sex with HIV+ person"/>
    <n v="1884"/>
    <e v="#NAME?"/>
    <s v="Sex with HIV+ person"/>
    <x v="1"/>
    <n v="27"/>
    <s v="STI risk assessment factors"/>
    <m/>
    <m/>
    <s v="ST.2 Consultation"/>
    <x v="15"/>
    <m/>
    <s v="2.2 Capture or update client history"/>
    <s v="ST.DE.129"/>
    <m/>
    <m/>
    <m/>
    <s v="Sex with person known to be infected by human immunodeficiency virus"/>
    <m/>
    <m/>
    <s v="Sex with HIV+ person"/>
    <m/>
    <m/>
    <m/>
    <s v="Yes"/>
    <s v="O"/>
    <m/>
    <m/>
    <m/>
    <m/>
    <m/>
    <m/>
    <m/>
    <m/>
    <s v=""/>
    <x v="3"/>
    <x v="0"/>
    <m/>
    <m/>
    <s v=""/>
    <x v="2"/>
    <s v="JA"/>
    <m/>
    <m/>
    <m/>
    <m/>
    <s v=""/>
    <m/>
    <x v="0"/>
    <e v="#NAME?"/>
    <m/>
    <x v="1"/>
    <m/>
    <s v=""/>
    <s v=""/>
    <s v="Z20.6"/>
    <s v=""/>
    <m/>
    <m/>
    <m/>
    <s v=""/>
    <s v="exposure to HIV--may not mean sex"/>
    <m/>
    <s v=""/>
    <s v=""/>
    <s v=""/>
    <s v=""/>
    <s v=""/>
    <s v=""/>
    <m/>
    <m/>
    <m/>
    <x v="2"/>
    <n v="0"/>
    <x v="2"/>
    <x v="73"/>
    <n v="1"/>
    <s v=""/>
    <n v="1"/>
    <n v="1"/>
    <n v="1"/>
    <n v="0"/>
    <n v="0"/>
  </r>
  <r>
    <n v="1885"/>
    <s v="       Referral for STI screening"/>
    <n v="1885"/>
    <e v="#NAME?"/>
    <s v="Referral for STI screening"/>
    <x v="1"/>
    <n v="33"/>
    <s v="STI risk assessment factors"/>
    <m/>
    <m/>
    <s v="ST.2 Consultation"/>
    <x v="15"/>
    <m/>
    <s v="2.2 Capture or update client history"/>
    <s v="ST.DE.130"/>
    <m/>
    <m/>
    <m/>
    <s v="Referral for sexually transmitted infection screening"/>
    <m/>
    <m/>
    <s v="Referral for STI screening"/>
    <m/>
    <m/>
    <m/>
    <s v="Yes"/>
    <s v="O"/>
    <m/>
    <m/>
    <m/>
    <m/>
    <m/>
    <m/>
    <m/>
    <m/>
    <s v=""/>
    <x v="3"/>
    <x v="0"/>
    <m/>
    <m/>
    <s v=""/>
    <x v="2"/>
    <s v="JA"/>
    <m/>
    <m/>
    <m/>
    <m/>
    <s v=""/>
    <m/>
    <x v="0"/>
    <e v="#NAME?"/>
    <m/>
    <x v="1"/>
    <m/>
    <s v=""/>
    <s v=""/>
    <s v="z13.9"/>
    <s v=""/>
    <s v="171128005"/>
    <m/>
    <m/>
    <s v=""/>
    <s v="ICD10- screening (not STI) ; SNOMED_ screening for VD"/>
    <m/>
    <s v=""/>
    <s v=""/>
    <s v=""/>
    <s v=""/>
    <s v=""/>
    <s v=""/>
    <m/>
    <m/>
    <m/>
    <x v="2"/>
    <n v="0"/>
    <x v="2"/>
    <x v="73"/>
    <n v="1"/>
    <s v=""/>
    <n v="1"/>
    <n v="1"/>
    <n v="1"/>
    <n v="0"/>
    <n v="0"/>
  </r>
  <r>
    <n v="1886"/>
    <s v="       Casual sexual partner"/>
    <n v="1886"/>
    <e v="#NAME?"/>
    <s v="Casual sexual partner"/>
    <x v="1"/>
    <n v="28"/>
    <s v="STI risk assessment factors"/>
    <m/>
    <m/>
    <s v="ST.2 Consultation"/>
    <x v="15"/>
    <m/>
    <s v="2.2 Capture or update client history"/>
    <s v="ST.DE.143"/>
    <m/>
    <m/>
    <m/>
    <s v="Someone the client had sex with for fun, without commitment to a relationship."/>
    <m/>
    <m/>
    <s v="Casual sexual partner"/>
    <m/>
    <m/>
    <m/>
    <s v="Yes"/>
    <s v="O"/>
    <m/>
    <m/>
    <m/>
    <m/>
    <m/>
    <m/>
    <m/>
    <m/>
    <s v=""/>
    <x v="3"/>
    <x v="0"/>
    <m/>
    <m/>
    <s v=""/>
    <x v="2"/>
    <s v="JA"/>
    <m/>
    <m/>
    <m/>
    <m/>
    <s v=""/>
    <m/>
    <x v="0"/>
    <e v="#NAME?"/>
    <m/>
    <x v="1"/>
    <m/>
    <s v=""/>
    <s v="x"/>
    <m/>
    <s v=""/>
    <s v="228467001"/>
    <m/>
    <m/>
    <s v=""/>
    <s v=""/>
    <m/>
    <s v="casual sexual partner"/>
    <s v=""/>
    <s v=""/>
    <s v=""/>
    <s v=""/>
    <s v=""/>
    <m/>
    <m/>
    <m/>
    <x v="2"/>
    <n v="0"/>
    <x v="2"/>
    <x v="73"/>
    <n v="1"/>
    <s v=""/>
    <n v="1"/>
    <n v="1"/>
    <n v="1"/>
    <n v="0"/>
    <n v="0"/>
  </r>
  <r>
    <n v="1887"/>
    <s v="       No condom use during sex"/>
    <n v="1887"/>
    <e v="#NAME?"/>
    <s v="No condom use during sex"/>
    <x v="1"/>
    <n v="31"/>
    <s v="STI risk assessment factors"/>
    <m/>
    <m/>
    <s v="ST.2 Consultation"/>
    <x v="15"/>
    <m/>
    <s v="2.2 Capture or update client history"/>
    <s v="ST.DE.144"/>
    <m/>
    <m/>
    <m/>
    <m/>
    <m/>
    <m/>
    <s v="No condom use during sex"/>
    <m/>
    <m/>
    <m/>
    <s v="Yes"/>
    <s v="O"/>
    <m/>
    <m/>
    <m/>
    <m/>
    <m/>
    <m/>
    <m/>
    <m/>
    <s v=""/>
    <x v="3"/>
    <x v="0"/>
    <m/>
    <m/>
    <s v=""/>
    <x v="2"/>
    <s v="JA"/>
    <m/>
    <m/>
    <m/>
    <m/>
    <s v=""/>
    <m/>
    <x v="0"/>
    <e v="#NAME?"/>
    <m/>
    <x v="1"/>
    <m/>
    <s v=""/>
    <s v=""/>
    <m/>
    <s v=""/>
    <s v="473386008"/>
    <m/>
    <m/>
    <s v=""/>
    <s v=""/>
    <m/>
    <s v="never used condom. 473386008"/>
    <s v=""/>
    <s v=""/>
    <s v=""/>
    <s v=""/>
    <s v=""/>
    <m/>
    <m/>
    <m/>
    <x v="2"/>
    <n v="0"/>
    <x v="2"/>
    <x v="73"/>
    <n v="1"/>
    <s v=""/>
    <n v="1"/>
    <n v="1"/>
    <n v="1"/>
    <n v="0"/>
    <n v="0"/>
  </r>
  <r>
    <n v="1888"/>
    <s v="       Patient with multiple sexual partners"/>
    <n v="1888"/>
    <e v="#NAME?"/>
    <s v="Patient with multiple sexual partners"/>
    <x v="1"/>
    <n v="44"/>
    <s v="STI risk assessment factors"/>
    <m/>
    <m/>
    <s v="ST.2 Consultation"/>
    <x v="15"/>
    <m/>
    <s v="2.2 Capture or update client history"/>
    <s v="ST.DE.145"/>
    <m/>
    <m/>
    <m/>
    <s v="Patient with multiple sexual partners"/>
    <m/>
    <m/>
    <s v="Patient with multiple sexual partners"/>
    <m/>
    <m/>
    <m/>
    <s v="Yes"/>
    <s v="O"/>
    <m/>
    <m/>
    <m/>
    <m/>
    <m/>
    <m/>
    <m/>
    <m/>
    <s v=""/>
    <x v="3"/>
    <x v="0"/>
    <m/>
    <m/>
    <s v=""/>
    <x v="2"/>
    <s v="JA"/>
    <m/>
    <m/>
    <m/>
    <m/>
    <s v=""/>
    <m/>
    <x v="0"/>
    <e v="#NAME?"/>
    <m/>
    <x v="1"/>
    <m/>
    <s v=""/>
    <s v="high risk homo/hetero/bi (X)"/>
    <s v="Z72.51; Z72.52; Z72.53"/>
    <s v=""/>
    <s v="225516002"/>
    <m/>
    <m/>
    <s v=""/>
    <s v=""/>
    <m/>
    <s v=""/>
    <s v=""/>
    <s v=""/>
    <s v=""/>
    <s v=""/>
    <s v=""/>
    <m/>
    <m/>
    <m/>
    <x v="2"/>
    <n v="0"/>
    <x v="2"/>
    <x v="73"/>
    <n v="1"/>
    <s v=""/>
    <n v="1"/>
    <n v="1"/>
    <n v="1"/>
    <n v="0"/>
    <n v="0"/>
  </r>
  <r>
    <n v="1889"/>
    <s v="Increased risk of STIs"/>
    <n v="1889"/>
    <s v="Increased risk of STIs"/>
    <s v="Increased risk of STIs"/>
    <x v="0"/>
    <n v="22"/>
    <s v=""/>
    <m/>
    <m/>
    <s v="ST.2 Consultation"/>
    <x v="15"/>
    <m/>
    <s v="2.2 Capture or update client history"/>
    <s v="ST.DE.034"/>
    <m/>
    <s v="Increased risk of STIs"/>
    <m/>
    <s v="At a high risk for STIs based on a risk assessment"/>
    <s v="Boolean"/>
    <m/>
    <s v="True/False"/>
    <m/>
    <s v="No"/>
    <m/>
    <s v="Yes"/>
    <s v="O"/>
    <m/>
    <m/>
    <s v="STI.IND.01"/>
    <m/>
    <m/>
    <m/>
    <m/>
    <m/>
    <s v=""/>
    <x v="17"/>
    <x v="4"/>
    <s v="FHIR"/>
    <s v="4.0.1"/>
    <s v=""/>
    <x v="73"/>
    <s v="JA"/>
    <m/>
    <m/>
    <m/>
    <m/>
    <s v=""/>
    <m/>
    <x v="2"/>
    <s v=""/>
    <m/>
    <x v="0"/>
    <m/>
    <s v=""/>
    <s v=""/>
    <s v="Z72.5; Z72.51; Z72.52; Z72.53"/>
    <s v=""/>
    <m/>
    <m/>
    <m/>
    <m/>
    <s v=""/>
    <m/>
    <s v=""/>
    <s v=""/>
    <s v=""/>
    <s v=""/>
    <s v=""/>
    <s v=""/>
    <m/>
    <m/>
    <m/>
    <x v="5"/>
    <s v=""/>
    <x v="6"/>
    <x v="74"/>
    <n v="1"/>
    <n v="0"/>
    <n v="1"/>
    <n v="1"/>
    <n v="1"/>
    <n v="0"/>
    <n v="0"/>
  </r>
  <r>
    <n v="1893"/>
    <s v="Current medications"/>
    <n v="1893"/>
    <s v="Current medications"/>
    <s v="Current medications"/>
    <x v="0"/>
    <n v="19"/>
    <s v=""/>
    <m/>
    <m/>
    <s v="ST.2 Consultation"/>
    <x v="13"/>
    <m/>
    <s v="2.2 Capture or update client history"/>
    <s v="ST.DE.028"/>
    <m/>
    <s v="Current medications"/>
    <s v="medications"/>
    <s v="Detemine what medications the client is currently taking. "/>
    <s v="Coding"/>
    <s v="Select all that apply"/>
    <m/>
    <m/>
    <s v="Yes"/>
    <s v="Cannot select &quot;None&quot; or &quot;Don't know&quot; with any other option."/>
    <s v="Yes"/>
    <s v="R"/>
    <m/>
    <m/>
    <m/>
    <m/>
    <m/>
    <m/>
    <m/>
    <m/>
    <s v=""/>
    <x v="20"/>
    <x v="2"/>
    <s v="FHIR"/>
    <s v="4.0.1"/>
    <s v=""/>
    <x v="74"/>
    <s v="JA"/>
    <m/>
    <s v="Extensible"/>
    <m/>
    <m/>
    <s v=""/>
    <m/>
    <x v="0"/>
    <s v=""/>
    <s v="Ready for testing"/>
    <x v="1"/>
    <m/>
    <s v=""/>
    <s v=""/>
    <m/>
    <s v=""/>
    <m/>
    <m/>
    <m/>
    <s v="No terminology code required"/>
    <s v=""/>
    <m/>
    <s v=""/>
    <s v=""/>
    <s v=""/>
    <s v=""/>
    <s v=""/>
    <s v=""/>
    <m/>
    <m/>
    <m/>
    <x v="7"/>
    <s v=""/>
    <x v="8"/>
    <x v="75"/>
    <n v="1"/>
    <n v="1"/>
    <n v="1"/>
    <n v="1"/>
    <n v="1"/>
    <n v="0"/>
    <n v="0"/>
  </r>
  <r>
    <n v="1894"/>
    <s v="       None"/>
    <n v="1894"/>
    <e v="#NAME?"/>
    <s v="None"/>
    <x v="1"/>
    <n v="11"/>
    <s v="Current medications"/>
    <m/>
    <m/>
    <s v="ST.2 Consultation"/>
    <x v="13"/>
    <m/>
    <s v="2.2 Capture or update client history"/>
    <s v="ST.DE.295"/>
    <m/>
    <m/>
    <m/>
    <m/>
    <m/>
    <m/>
    <s v="None"/>
    <m/>
    <s v="No"/>
    <m/>
    <s v="Yes"/>
    <s v="R"/>
    <m/>
    <m/>
    <m/>
    <m/>
    <m/>
    <m/>
    <m/>
    <m/>
    <s v=""/>
    <x v="3"/>
    <x v="1"/>
    <m/>
    <s v=""/>
    <s v=""/>
    <x v="2"/>
    <s v="JA"/>
    <m/>
    <m/>
    <m/>
    <m/>
    <s v=""/>
    <m/>
    <x v="0"/>
    <e v="#NAME?"/>
    <s v="Ready for testing"/>
    <x v="1"/>
    <m/>
    <s v=""/>
    <s v=""/>
    <m/>
    <s v=""/>
    <m/>
    <m/>
    <m/>
    <s v="No terminology code required"/>
    <s v=""/>
    <m/>
    <s v=""/>
    <s v=""/>
    <s v=""/>
    <s v=""/>
    <s v=""/>
    <s v=""/>
    <m/>
    <m/>
    <m/>
    <x v="2"/>
    <n v="0"/>
    <x v="2"/>
    <x v="54"/>
    <n v="1"/>
    <s v=""/>
    <n v="1"/>
    <n v="1"/>
    <n v="1"/>
    <n v="0"/>
    <n v="0"/>
  </r>
  <r>
    <n v="1895"/>
    <s v="       Don't know"/>
    <n v="1895"/>
    <e v="#NAME?"/>
    <s v="Don't know"/>
    <x v="1"/>
    <n v="17"/>
    <s v="Current medications"/>
    <m/>
    <m/>
    <s v="ST.2 Consultation"/>
    <x v="13"/>
    <m/>
    <s v="2.2 Capture or update client history"/>
    <s v="ST.DE.296"/>
    <m/>
    <m/>
    <m/>
    <m/>
    <m/>
    <m/>
    <s v="Don't know"/>
    <m/>
    <s v="No"/>
    <m/>
    <s v="Yes"/>
    <s v="R"/>
    <m/>
    <m/>
    <m/>
    <m/>
    <m/>
    <m/>
    <m/>
    <m/>
    <s v=""/>
    <x v="3"/>
    <x v="1"/>
    <m/>
    <s v=""/>
    <s v=""/>
    <x v="2"/>
    <s v="JA"/>
    <m/>
    <m/>
    <m/>
    <m/>
    <s v=""/>
    <m/>
    <x v="0"/>
    <e v="#NAME?"/>
    <m/>
    <x v="1"/>
    <s v="http://who.int/cg/CodeSystem/extended-content"/>
    <s v="Don't know"/>
    <s v=""/>
    <m/>
    <s v=""/>
    <m/>
    <m/>
    <m/>
    <s v="No SNOMED code available"/>
    <s v=""/>
    <s v="x"/>
    <s v=""/>
    <s v=""/>
    <s v=""/>
    <s v=""/>
    <s v=""/>
    <s v=""/>
    <m/>
    <m/>
    <m/>
    <x v="2"/>
    <n v="0"/>
    <x v="2"/>
    <x v="54"/>
    <n v="1"/>
    <s v=""/>
    <n v="1"/>
    <n v="1"/>
    <n v="1"/>
    <n v="0"/>
    <n v="0"/>
  </r>
  <r>
    <n v="1896"/>
    <s v="       Antivirals"/>
    <n v="1896"/>
    <e v="#NAME?"/>
    <s v="Antivirals"/>
    <x v="1"/>
    <n v="17"/>
    <s v="Current medications"/>
    <m/>
    <m/>
    <s v="ST.2 Consultation"/>
    <x v="13"/>
    <m/>
    <s v="2.2 Capture or update client history"/>
    <s v="ST.DE.290"/>
    <m/>
    <m/>
    <m/>
    <m/>
    <m/>
    <m/>
    <s v="Antivirals"/>
    <m/>
    <s v="No"/>
    <m/>
    <s v="Yes"/>
    <s v="R"/>
    <m/>
    <m/>
    <m/>
    <m/>
    <m/>
    <m/>
    <m/>
    <m/>
    <s v=""/>
    <x v="3"/>
    <x v="1"/>
    <m/>
    <s v=""/>
    <s v=""/>
    <x v="2"/>
    <s v="JS"/>
    <m/>
    <m/>
    <m/>
    <m/>
    <s v=""/>
    <m/>
    <x v="0"/>
    <e v="#NAME?"/>
    <m/>
    <x v="1"/>
    <m/>
    <s v=""/>
    <s v="is this the drug class that is needed"/>
    <m/>
    <s v=""/>
    <s v="788081006"/>
    <m/>
    <m/>
    <s v=""/>
    <s v=""/>
    <s v="x"/>
    <s v=""/>
    <s v=""/>
    <s v=""/>
    <s v=""/>
    <s v=""/>
    <s v=""/>
    <m/>
    <m/>
    <m/>
    <x v="2"/>
    <n v="0"/>
    <x v="2"/>
    <x v="54"/>
    <n v="1"/>
    <s v=""/>
    <n v="1"/>
    <n v="1"/>
    <n v="1"/>
    <n v="0"/>
    <n v="0"/>
  </r>
  <r>
    <n v="1897"/>
    <s v="       Antiretrovirals"/>
    <n v="1897"/>
    <e v="#NAME?"/>
    <s v="Antiretrovirals"/>
    <x v="1"/>
    <n v="22"/>
    <s v="Current medications"/>
    <m/>
    <m/>
    <s v="ST.2 Consultation"/>
    <x v="13"/>
    <m/>
    <s v="2.2 Capture or update client history"/>
    <s v="ST.DE.291"/>
    <m/>
    <m/>
    <s v="ARV"/>
    <m/>
    <m/>
    <m/>
    <s v="Antiretrovirals"/>
    <m/>
    <s v="No"/>
    <m/>
    <s v="Yes"/>
    <s v="R"/>
    <m/>
    <m/>
    <m/>
    <m/>
    <m/>
    <m/>
    <m/>
    <m/>
    <s v=""/>
    <x v="3"/>
    <x v="1"/>
    <m/>
    <s v=""/>
    <s v=""/>
    <x v="2"/>
    <s v="JS"/>
    <m/>
    <m/>
    <m/>
    <m/>
    <s v=""/>
    <m/>
    <x v="0"/>
    <e v="#NAME?"/>
    <m/>
    <x v="1"/>
    <m/>
    <s v=""/>
    <s v=""/>
    <m/>
    <s v=""/>
    <s v="788075003"/>
    <m/>
    <m/>
    <s v=""/>
    <s v=""/>
    <s v="x"/>
    <s v=""/>
    <s v=""/>
    <s v=""/>
    <s v=""/>
    <s v=""/>
    <s v=""/>
    <m/>
    <m/>
    <m/>
    <x v="2"/>
    <n v="0"/>
    <x v="2"/>
    <x v="54"/>
    <n v="1"/>
    <s v=""/>
    <n v="1"/>
    <n v="1"/>
    <n v="1"/>
    <n v="0"/>
    <n v="0"/>
  </r>
  <r>
    <n v="1898"/>
    <s v="       PrEP"/>
    <n v="1898"/>
    <e v="#NAME?"/>
    <s v="PrEP"/>
    <x v="1"/>
    <n v="11"/>
    <s v="Current medications"/>
    <m/>
    <m/>
    <s v="ST.2 Consultation"/>
    <x v="13"/>
    <m/>
    <s v="2.2 Capture or update client history"/>
    <s v="ST.DE.292"/>
    <m/>
    <m/>
    <m/>
    <m/>
    <m/>
    <m/>
    <s v="PrEP"/>
    <m/>
    <s v="No"/>
    <m/>
    <s v="Yes"/>
    <s v="R"/>
    <m/>
    <m/>
    <m/>
    <m/>
    <m/>
    <m/>
    <m/>
    <m/>
    <s v=""/>
    <x v="3"/>
    <x v="1"/>
    <m/>
    <s v=""/>
    <s v=""/>
    <x v="2"/>
    <s v="JS"/>
    <m/>
    <m/>
    <m/>
    <m/>
    <s v=""/>
    <m/>
    <x v="0"/>
    <e v="#NAME?"/>
    <m/>
    <x v="1"/>
    <m/>
    <s v=""/>
    <s v=""/>
    <m/>
    <s v=""/>
    <s v="409516001"/>
    <m/>
    <m/>
    <s v=""/>
    <s v="SNOEMD PREP plus HIV; may need RxNorm codes for this"/>
    <m/>
    <s v=""/>
    <s v=""/>
    <s v=""/>
    <s v=""/>
    <s v=""/>
    <s v=""/>
    <m/>
    <m/>
    <m/>
    <x v="2"/>
    <n v="0"/>
    <x v="2"/>
    <x v="54"/>
    <n v="1"/>
    <s v=""/>
    <n v="1"/>
    <n v="1"/>
    <n v="1"/>
    <n v="0"/>
    <n v="0"/>
  </r>
  <r>
    <n v="1899"/>
    <s v="       STI medication"/>
    <n v="1899"/>
    <e v="#NAME?"/>
    <s v="STI medication"/>
    <x v="1"/>
    <n v="21"/>
    <s v="Current medications"/>
    <m/>
    <m/>
    <s v="ST.2 Consultation"/>
    <x v="13"/>
    <m/>
    <s v="2.2 Capture or update client history"/>
    <s v="ST.DE.293"/>
    <m/>
    <m/>
    <m/>
    <m/>
    <m/>
    <m/>
    <s v="STI medication"/>
    <m/>
    <s v="No"/>
    <m/>
    <s v="Yes"/>
    <s v="R"/>
    <m/>
    <m/>
    <m/>
    <m/>
    <m/>
    <m/>
    <m/>
    <m/>
    <s v=""/>
    <x v="3"/>
    <x v="1"/>
    <m/>
    <s v=""/>
    <s v=""/>
    <x v="2"/>
    <s v="JS"/>
    <m/>
    <m/>
    <m/>
    <m/>
    <s v=""/>
    <m/>
    <x v="0"/>
    <e v="#NAME?"/>
    <m/>
    <x v="1"/>
    <s v="http://who.int/cg/CodeSystem/extended-content"/>
    <s v="STI medication"/>
    <s v=""/>
    <m/>
    <s v=""/>
    <m/>
    <m/>
    <m/>
    <s v="No SNOMED code available"/>
    <s v=""/>
    <s v="x"/>
    <s v=" is this actually a proxy for antibiotics, as antivirals and antiretrovirals are already called out as other answers to the question of &quot;current medications&quot;?"/>
    <s v=""/>
    <s v=""/>
    <s v=""/>
    <s v=""/>
    <s v=""/>
    <m/>
    <m/>
    <m/>
    <x v="2"/>
    <n v="0"/>
    <x v="2"/>
    <x v="54"/>
    <n v="1"/>
    <s v=""/>
    <n v="1"/>
    <n v="1"/>
    <n v="1"/>
    <n v="0"/>
    <n v="0"/>
  </r>
  <r>
    <n v="1900"/>
    <s v="       Other antibiotics"/>
    <n v="1900"/>
    <e v="#NAME?"/>
    <s v="Other antibiotics"/>
    <x v="1"/>
    <n v="24"/>
    <s v="Current medications"/>
    <m/>
    <m/>
    <s v="ST.2 Consultation"/>
    <x v="13"/>
    <m/>
    <s v="2.2 Capture or update client history"/>
    <s v="ST.DE.294"/>
    <m/>
    <m/>
    <m/>
    <m/>
    <m/>
    <m/>
    <s v="Other antibiotics"/>
    <m/>
    <s v="No"/>
    <m/>
    <s v="Yes"/>
    <s v="R"/>
    <m/>
    <m/>
    <m/>
    <m/>
    <m/>
    <m/>
    <m/>
    <m/>
    <s v=""/>
    <x v="3"/>
    <x v="1"/>
    <m/>
    <s v=""/>
    <s v=""/>
    <x v="2"/>
    <s v="JS"/>
    <m/>
    <m/>
    <m/>
    <m/>
    <s v=""/>
    <m/>
    <x v="0"/>
    <e v="#NAME?"/>
    <s v="Ready for testing"/>
    <x v="1"/>
    <s v="http://who.int/cg/CodeSystem/extended-content"/>
    <s v="Other Antibiotics"/>
    <s v=""/>
    <m/>
    <s v=""/>
    <m/>
    <m/>
    <m/>
    <s v=""/>
    <s v=""/>
    <m/>
    <s v=""/>
    <s v=""/>
    <s v=""/>
    <s v=""/>
    <s v=""/>
    <s v=""/>
    <m/>
    <m/>
    <m/>
    <x v="2"/>
    <n v="0"/>
    <x v="2"/>
    <x v="54"/>
    <n v="1"/>
    <s v=""/>
    <n v="1"/>
    <n v="1"/>
    <n v="1"/>
    <n v="0"/>
    <n v="0"/>
  </r>
  <r>
    <n v="1901"/>
    <s v="       Other (specify)"/>
    <n v="1901"/>
    <e v="#NAME?"/>
    <s v="Other (specify)"/>
    <x v="1"/>
    <n v="22"/>
    <s v="Current medications"/>
    <m/>
    <m/>
    <s v="ST.2 Consultation"/>
    <x v="13"/>
    <m/>
    <s v="2.2 Capture or update client history"/>
    <s v="ST.DE.220"/>
    <m/>
    <m/>
    <m/>
    <m/>
    <m/>
    <m/>
    <s v="Other (specify)"/>
    <m/>
    <s v="No"/>
    <m/>
    <s v="Yes"/>
    <s v="R"/>
    <m/>
    <m/>
    <m/>
    <m/>
    <s v=" "/>
    <m/>
    <m/>
    <m/>
    <s v=""/>
    <x v="3"/>
    <x v="1"/>
    <m/>
    <s v=""/>
    <s v=""/>
    <x v="2"/>
    <s v="JS"/>
    <m/>
    <m/>
    <m/>
    <m/>
    <s v=""/>
    <m/>
    <x v="0"/>
    <e v="#NAME?"/>
    <s v="Ready for testing"/>
    <x v="0"/>
    <s v="http://who.int/cg/CodeSystem/extended-content"/>
    <s v="Other"/>
    <s v=""/>
    <m/>
    <s v=""/>
    <m/>
    <m/>
    <m/>
    <s v=""/>
    <s v=""/>
    <m/>
    <s v=""/>
    <s v=""/>
    <s v=""/>
    <s v=""/>
    <s v=""/>
    <s v=""/>
    <m/>
    <m/>
    <m/>
    <x v="2"/>
    <n v="0"/>
    <x v="2"/>
    <x v="54"/>
    <n v="1"/>
    <s v=""/>
    <n v="1"/>
    <n v="1"/>
    <n v="1"/>
    <n v="0"/>
    <n v="0"/>
  </r>
  <r>
    <n v="1902"/>
    <s v="Other (specify) - Current medications"/>
    <n v="1902"/>
    <s v="Other (specify)"/>
    <s v="Other (specify)"/>
    <x v="0"/>
    <n v="37"/>
    <s v=""/>
    <m/>
    <m/>
    <s v="ST.2 Consultation"/>
    <x v="13"/>
    <m/>
    <s v="2.2 Capture or update client history"/>
    <s v="ST.DE.301"/>
    <m/>
    <s v="Other (specify)"/>
    <m/>
    <s v="Write in the medication not included in the list."/>
    <s v="Text"/>
    <m/>
    <m/>
    <m/>
    <s v="No"/>
    <m/>
    <s v="Yes"/>
    <s v="C"/>
    <s v="Include if Current medication includes &quot;Other (specify)&quot;"/>
    <m/>
    <m/>
    <m/>
    <m/>
    <m/>
    <m/>
    <m/>
    <s v=""/>
    <x v="43"/>
    <x v="6"/>
    <s v="FHIR"/>
    <s v="4.0.1"/>
    <s v=""/>
    <x v="74"/>
    <s v="JA"/>
    <m/>
    <m/>
    <m/>
    <m/>
    <s v=""/>
    <m/>
    <x v="0"/>
    <s v="&quot;Other (specify)&quot;-&gt;&quot;Other (specify) - Current medications&quot;"/>
    <s v="Ready for testing"/>
    <x v="0"/>
    <m/>
    <s v=""/>
    <m/>
    <m/>
    <s v=""/>
    <m/>
    <m/>
    <m/>
    <s v="No terminology code required"/>
    <s v=""/>
    <m/>
    <s v=""/>
    <s v=""/>
    <s v=""/>
    <s v=""/>
    <s v=""/>
    <s v=""/>
    <m/>
    <m/>
    <m/>
    <x v="7"/>
    <s v=""/>
    <x v="8"/>
    <x v="75"/>
    <n v="1"/>
    <n v="0"/>
    <n v="1"/>
    <n v="1"/>
    <n v="1"/>
    <n v="0"/>
    <n v="0"/>
  </r>
  <r>
    <n v="1903"/>
    <s v="Current STI Treatment"/>
    <n v="1903"/>
    <s v="Current STI Treatment"/>
    <s v="Current STI Treatment"/>
    <x v="0"/>
    <n v="21"/>
    <s v=""/>
    <m/>
    <m/>
    <s v="ST.2 Consultation"/>
    <x v="15"/>
    <m/>
    <s v="2.2 Capture or update client history"/>
    <s v="ST.DE.293"/>
    <m/>
    <s v="Current STI Treatment"/>
    <m/>
    <m/>
    <s v="Boolean"/>
    <m/>
    <s v="True/False"/>
    <m/>
    <s v="No"/>
    <m/>
    <s v="Yes"/>
    <s v="R"/>
    <m/>
    <m/>
    <m/>
    <m/>
    <s v="Needed for tracking resistance and whether it is a first infection."/>
    <m/>
    <m/>
    <m/>
    <s v=""/>
    <x v="17"/>
    <x v="4"/>
    <s v="FHIR"/>
    <s v="4.0.1"/>
    <m/>
    <x v="75"/>
    <s v="JA"/>
    <m/>
    <m/>
    <m/>
    <m/>
    <s v=""/>
    <m/>
    <x v="2"/>
    <s v=""/>
    <m/>
    <x v="1"/>
    <m/>
    <s v=""/>
    <s v=""/>
    <s v="A50-A64.9"/>
    <s v=""/>
    <s v="8098009"/>
    <m/>
    <m/>
    <s v=""/>
    <s v=""/>
    <m/>
    <s v=""/>
    <s v=""/>
    <s v=""/>
    <s v=""/>
    <s v=""/>
    <s v=""/>
    <m/>
    <m/>
    <m/>
    <x v="5"/>
    <s v=""/>
    <x v="6"/>
    <x v="76"/>
    <n v="1"/>
    <n v="0"/>
    <n v="1"/>
    <n v="1"/>
    <n v="1"/>
    <n v="0"/>
    <n v="0"/>
  </r>
  <r>
    <n v="1904"/>
    <s v="Past STI treatment"/>
    <n v="1904"/>
    <s v="Past STI treatment"/>
    <s v="Past STI treatment"/>
    <x v="0"/>
    <n v="18"/>
    <s v=""/>
    <m/>
    <m/>
    <s v="ST.2 Consultation"/>
    <x v="15"/>
    <m/>
    <s v="2.2 Capture or update client history"/>
    <s v="ST.DE.035"/>
    <m/>
    <s v="Past STI treatment"/>
    <m/>
    <m/>
    <s v="Boolean"/>
    <m/>
    <s v="True/False"/>
    <m/>
    <s v="No"/>
    <m/>
    <s v="Yes"/>
    <s v="O"/>
    <m/>
    <m/>
    <m/>
    <m/>
    <m/>
    <m/>
    <m/>
    <m/>
    <s v=""/>
    <x v="17"/>
    <x v="4"/>
    <s v="FHIR"/>
    <s v="4.0.1"/>
    <m/>
    <x v="76"/>
    <s v="JA"/>
    <m/>
    <m/>
    <m/>
    <m/>
    <s v=""/>
    <m/>
    <x v="2"/>
    <s v=""/>
    <m/>
    <x v="1"/>
    <m/>
    <s v=""/>
    <s v=""/>
    <m/>
    <s v=""/>
    <m/>
    <m/>
    <m/>
    <s v="No terminology code required"/>
    <s v=""/>
    <m/>
    <s v=""/>
    <s v=""/>
    <s v=""/>
    <s v=""/>
    <s v=""/>
    <s v=""/>
    <m/>
    <m/>
    <m/>
    <x v="5"/>
    <s v=""/>
    <x v="6"/>
    <x v="77"/>
    <n v="1"/>
    <n v="0"/>
    <n v="1"/>
    <n v="1"/>
    <n v="1"/>
    <n v="0"/>
    <n v="0"/>
  </r>
  <r>
    <n v="1905"/>
    <s v="STI Treatment date"/>
    <n v="1905"/>
    <s v="STI Treatment date"/>
    <s v="STI Treatment date"/>
    <x v="0"/>
    <n v="18"/>
    <s v=""/>
    <m/>
    <m/>
    <s v="ST.2 Consultation"/>
    <x v="15"/>
    <m/>
    <s v="2.2 Capture or update client history"/>
    <s v="ST.DE.342"/>
    <m/>
    <s v="STI Treatment date"/>
    <m/>
    <s v="Approximate date if client reports having had treatment for an STI previously"/>
    <s v="Date"/>
    <m/>
    <m/>
    <m/>
    <s v="No"/>
    <m/>
    <s v="Yes"/>
    <s v="C"/>
    <s v="Include if Past STI Treatment = TRUE or Current STI Treatment = TRUE"/>
    <m/>
    <m/>
    <m/>
    <m/>
    <m/>
    <m/>
    <m/>
    <s v=""/>
    <x v="17"/>
    <x v="8"/>
    <s v="FHIR"/>
    <s v="4.0.1"/>
    <s v=""/>
    <x v="76"/>
    <s v="JA"/>
    <m/>
    <m/>
    <m/>
    <m/>
    <s v=""/>
    <m/>
    <x v="2"/>
    <s v=""/>
    <m/>
    <x v="1"/>
    <m/>
    <s v=""/>
    <s v=""/>
    <m/>
    <s v=""/>
    <m/>
    <m/>
    <m/>
    <s v="No terminology code required"/>
    <s v=""/>
    <m/>
    <s v=""/>
    <s v=""/>
    <s v=""/>
    <s v=""/>
    <s v=""/>
    <s v=""/>
    <m/>
    <m/>
    <m/>
    <x v="5"/>
    <s v=""/>
    <x v="6"/>
    <x v="77"/>
    <n v="1"/>
    <n v="0"/>
    <n v="1"/>
    <n v="1"/>
    <n v="1"/>
    <n v="0"/>
    <n v="0"/>
  </r>
  <r>
    <n v="1906"/>
    <s v="History of STIs"/>
    <n v="1906"/>
    <s v="History of STIs"/>
    <s v="History of STIs"/>
    <x v="0"/>
    <n v="15"/>
    <s v=""/>
    <m/>
    <m/>
    <s v="ST.2 Consultation"/>
    <x v="15"/>
    <m/>
    <s v="2.2 Capture or update client history"/>
    <s v="ST.DE.343"/>
    <m/>
    <s v="History of STIs"/>
    <m/>
    <s v="Past or current STI treatment"/>
    <s v="Coding "/>
    <s v="Select all that apply"/>
    <m/>
    <m/>
    <s v="No"/>
    <m/>
    <s v="Yes"/>
    <s v="C"/>
    <s v="Require if Current STI Treatment = TRUE"/>
    <m/>
    <m/>
    <m/>
    <m/>
    <m/>
    <m/>
    <m/>
    <s v=""/>
    <x v="31"/>
    <x v="0"/>
    <s v="FHIR"/>
    <s v="4.0.1"/>
    <s v=""/>
    <x v="77"/>
    <s v="JA"/>
    <m/>
    <s v="Extensible"/>
    <m/>
    <m/>
    <s v=""/>
    <m/>
    <x v="2"/>
    <s v=""/>
    <m/>
    <x v="1"/>
    <m/>
    <s v=""/>
    <s v=""/>
    <m/>
    <s v=""/>
    <m/>
    <m/>
    <m/>
    <s v="No terminology code required"/>
    <s v=""/>
    <m/>
    <s v="can these all be history of in FHIR and then the diagosis? "/>
    <s v=""/>
    <s v=""/>
    <s v=""/>
    <s v=""/>
    <s v=""/>
    <m/>
    <m/>
    <m/>
    <x v="11"/>
    <s v=""/>
    <x v="12"/>
    <x v="78"/>
    <n v="1"/>
    <n v="1"/>
    <n v="1"/>
    <n v="1"/>
    <n v="1"/>
    <n v="0"/>
    <n v="0"/>
  </r>
  <r>
    <n v="1907"/>
    <s v="Chlamydia"/>
    <n v="1907"/>
    <e v="#NAME?"/>
    <s v="Chlamydia"/>
    <x v="1"/>
    <n v="9"/>
    <s v="History of STIs"/>
    <m/>
    <m/>
    <s v="ST.2 Consultation"/>
    <x v="15"/>
    <m/>
    <s v="2.2 Capture or update client history"/>
    <s v="ST.DE.248"/>
    <m/>
    <m/>
    <m/>
    <m/>
    <m/>
    <m/>
    <s v="Chlamydia"/>
    <m/>
    <s v="No"/>
    <m/>
    <s v="Yes"/>
    <s v="C"/>
    <m/>
    <m/>
    <m/>
    <m/>
    <m/>
    <m/>
    <m/>
    <m/>
    <s v=""/>
    <x v="3"/>
    <x v="0"/>
    <m/>
    <m/>
    <s v=""/>
    <x v="2"/>
    <s v="JS"/>
    <m/>
    <m/>
    <m/>
    <m/>
    <s v=""/>
    <m/>
    <x v="2"/>
    <e v="#NAME?"/>
    <m/>
    <x v="0"/>
    <m/>
    <s v=""/>
    <s v="x"/>
    <m/>
    <s v=""/>
    <s v="472954000"/>
    <m/>
    <m/>
    <s v=""/>
    <s v=""/>
    <m/>
    <s v="this is history of"/>
    <s v=""/>
    <s v=""/>
    <s v=""/>
    <s v=""/>
    <s v=""/>
    <m/>
    <m/>
    <m/>
    <x v="2"/>
    <n v="0"/>
    <x v="2"/>
    <x v="78"/>
    <n v="1"/>
    <s v=""/>
    <n v="1"/>
    <n v="1"/>
    <n v="1"/>
    <n v="0"/>
    <n v="0"/>
  </r>
  <r>
    <n v="1908"/>
    <s v="Syphilis"/>
    <n v="1908"/>
    <e v="#NAME?"/>
    <s v="Syphilis"/>
    <x v="1"/>
    <n v="8"/>
    <s v="History of STIs"/>
    <m/>
    <m/>
    <s v="ST.2 Consultation"/>
    <x v="15"/>
    <m/>
    <s v="2.2 Capture or update client history"/>
    <s v="ST.DE.246"/>
    <m/>
    <m/>
    <m/>
    <m/>
    <m/>
    <m/>
    <s v="Syphilis"/>
    <m/>
    <s v="No"/>
    <m/>
    <s v="Yes"/>
    <s v="C"/>
    <m/>
    <m/>
    <m/>
    <m/>
    <m/>
    <m/>
    <m/>
    <m/>
    <s v=""/>
    <x v="3"/>
    <x v="0"/>
    <m/>
    <m/>
    <s v=""/>
    <x v="2"/>
    <s v="JS"/>
    <m/>
    <m/>
    <m/>
    <m/>
    <s v=""/>
    <m/>
    <x v="2"/>
    <e v="#NAME?"/>
    <m/>
    <x v="1"/>
    <m/>
    <s v=""/>
    <s v=""/>
    <m/>
    <s v=""/>
    <s v="1087151000119108"/>
    <m/>
    <m/>
    <s v=""/>
    <s v=""/>
    <m/>
    <s v="this is history of"/>
    <s v=""/>
    <s v=""/>
    <s v=""/>
    <s v=""/>
    <s v=""/>
    <m/>
    <m/>
    <m/>
    <x v="2"/>
    <n v="0"/>
    <x v="2"/>
    <x v="78"/>
    <n v="1"/>
    <s v=""/>
    <n v="1"/>
    <n v="1"/>
    <n v="1"/>
    <n v="0"/>
    <n v="0"/>
  </r>
  <r>
    <n v="1909"/>
    <s v="Herpes simplex viruses"/>
    <n v="1909"/>
    <e v="#NAME?"/>
    <s v="Herpes simplex viruses"/>
    <x v="1"/>
    <n v="22"/>
    <s v="History of STIs"/>
    <m/>
    <m/>
    <s v="ST.2 Consultation"/>
    <x v="15"/>
    <m/>
    <s v="2.2 Capture or update client history"/>
    <s v="ST.DE.251"/>
    <m/>
    <m/>
    <s v="HSV"/>
    <m/>
    <m/>
    <m/>
    <s v="Herpes simplex viruses"/>
    <m/>
    <s v="No"/>
    <m/>
    <s v="Yes"/>
    <s v="C"/>
    <m/>
    <m/>
    <m/>
    <m/>
    <m/>
    <m/>
    <m/>
    <m/>
    <s v=""/>
    <x v="3"/>
    <x v="0"/>
    <m/>
    <m/>
    <s v=""/>
    <x v="2"/>
    <s v="JS"/>
    <m/>
    <m/>
    <m/>
    <m/>
    <s v=""/>
    <m/>
    <x v="2"/>
    <e v="#NAME?"/>
    <m/>
    <x v="1"/>
    <m/>
    <s v=""/>
    <s v=""/>
    <m/>
    <s v=""/>
    <s v="88594005"/>
    <m/>
    <m/>
    <s v=""/>
    <m/>
    <m/>
    <s v="history of"/>
    <s v=""/>
    <s v=""/>
    <s v=""/>
    <s v=""/>
    <s v=""/>
    <m/>
    <m/>
    <m/>
    <x v="2"/>
    <n v="0"/>
    <x v="2"/>
    <x v="78"/>
    <n v="1"/>
    <s v=""/>
    <n v="1"/>
    <n v="1"/>
    <n v="1"/>
    <n v="0"/>
    <n v="0"/>
  </r>
  <r>
    <n v="1910"/>
    <s v="Gonorrhea"/>
    <n v="1910"/>
    <e v="#NAME?"/>
    <s v="Gonorrhea"/>
    <x v="1"/>
    <n v="9"/>
    <s v="History of STIs"/>
    <m/>
    <m/>
    <s v="ST.2 Consultation"/>
    <x v="15"/>
    <m/>
    <s v="2.2 Capture or update client history"/>
    <s v="ST.DE.247"/>
    <m/>
    <m/>
    <m/>
    <m/>
    <m/>
    <m/>
    <s v="Gonorrhea"/>
    <m/>
    <s v="No"/>
    <m/>
    <s v="Yes"/>
    <s v="C"/>
    <m/>
    <m/>
    <m/>
    <m/>
    <m/>
    <m/>
    <m/>
    <m/>
    <s v=""/>
    <x v="3"/>
    <x v="0"/>
    <m/>
    <m/>
    <s v=""/>
    <x v="2"/>
    <s v="JS"/>
    <m/>
    <m/>
    <m/>
    <m/>
    <s v=""/>
    <m/>
    <x v="2"/>
    <e v="#NAME?"/>
    <m/>
    <x v="0"/>
    <m/>
    <s v=""/>
    <s v=""/>
    <s v="A54.9"/>
    <s v=""/>
    <m/>
    <m/>
    <m/>
    <s v=""/>
    <s v=""/>
    <m/>
    <s v=""/>
    <s v=""/>
    <s v=""/>
    <s v=""/>
    <s v=""/>
    <s v=""/>
    <m/>
    <m/>
    <m/>
    <x v="2"/>
    <n v="0"/>
    <x v="2"/>
    <x v="78"/>
    <n v="1"/>
    <s v=""/>
    <n v="1"/>
    <n v="1"/>
    <n v="1"/>
    <n v="0"/>
    <n v="0"/>
  </r>
  <r>
    <n v="1911"/>
    <s v="Yeast infection"/>
    <n v="1911"/>
    <e v="#NAME?"/>
    <s v="Yeast infection"/>
    <x v="1"/>
    <n v="15"/>
    <s v="History of STIs"/>
    <m/>
    <m/>
    <s v="ST.2 Consultation"/>
    <x v="15"/>
    <m/>
    <s v="2.2 Capture or update client history"/>
    <s v="ST.DE.354"/>
    <m/>
    <m/>
    <m/>
    <s v="Candida albicans"/>
    <m/>
    <m/>
    <s v="Yeast infection"/>
    <m/>
    <s v="No"/>
    <m/>
    <s v="Yes"/>
    <s v="C"/>
    <m/>
    <m/>
    <m/>
    <m/>
    <m/>
    <m/>
    <m/>
    <m/>
    <s v=""/>
    <x v="3"/>
    <x v="0"/>
    <m/>
    <m/>
    <s v=""/>
    <x v="2"/>
    <s v="JS"/>
    <m/>
    <m/>
    <m/>
    <m/>
    <s v=""/>
    <m/>
    <x v="2"/>
    <e v="#NAME?"/>
    <m/>
    <x v="1"/>
    <m/>
    <s v=""/>
    <s v="unspecified"/>
    <s v="B37"/>
    <s v=""/>
    <m/>
    <m/>
    <m/>
    <s v=""/>
    <s v=""/>
    <m/>
    <s v=""/>
    <s v=""/>
    <s v=""/>
    <s v=""/>
    <s v=""/>
    <s v=""/>
    <m/>
    <m/>
    <m/>
    <x v="2"/>
    <n v="0"/>
    <x v="2"/>
    <x v="78"/>
    <n v="1"/>
    <s v=""/>
    <n v="1"/>
    <n v="1"/>
    <n v="1"/>
    <n v="0"/>
    <n v="0"/>
  </r>
  <r>
    <n v="1912"/>
    <s v="Bacterial vaginosis"/>
    <n v="1912"/>
    <e v="#NAME?"/>
    <s v="Bacterial vaginosis"/>
    <x v="1"/>
    <n v="19"/>
    <s v="History of STIs"/>
    <m/>
    <m/>
    <s v="ST.2 Consultation"/>
    <x v="15"/>
    <m/>
    <s v="2.2 Capture or update client history"/>
    <s v="ST.DE.355"/>
    <m/>
    <m/>
    <m/>
    <m/>
    <m/>
    <m/>
    <s v="Bacterial vaginosis"/>
    <m/>
    <s v="No"/>
    <m/>
    <s v="Yes"/>
    <s v="C"/>
    <m/>
    <m/>
    <m/>
    <m/>
    <m/>
    <m/>
    <m/>
    <m/>
    <s v=""/>
    <x v="3"/>
    <x v="0"/>
    <m/>
    <m/>
    <s v=""/>
    <x v="2"/>
    <s v="JS"/>
    <m/>
    <m/>
    <m/>
    <m/>
    <s v=""/>
    <m/>
    <x v="2"/>
    <e v="#NAME?"/>
    <m/>
    <x v="0"/>
    <m/>
    <s v=""/>
    <s v=""/>
    <m/>
    <s v=""/>
    <s v="419760006"/>
    <m/>
    <m/>
    <s v=""/>
    <s v=""/>
    <m/>
    <s v="and history of"/>
    <s v=""/>
    <s v=""/>
    <s v=""/>
    <s v=""/>
    <s v=""/>
    <m/>
    <m/>
    <m/>
    <x v="2"/>
    <n v="0"/>
    <x v="2"/>
    <x v="78"/>
    <n v="1"/>
    <s v=""/>
    <n v="1"/>
    <n v="1"/>
    <n v="1"/>
    <n v="0"/>
    <n v="0"/>
  </r>
  <r>
    <n v="1913"/>
    <s v="Trichomoniasis"/>
    <n v="1913"/>
    <e v="#NAME?"/>
    <s v="Trichomoniasis"/>
    <x v="1"/>
    <n v="14"/>
    <s v="History of STIs"/>
    <m/>
    <m/>
    <s v="ST.2 Consultation"/>
    <x v="15"/>
    <m/>
    <s v="2.2 Capture or update client history"/>
    <s v="ST.DE.356"/>
    <m/>
    <m/>
    <m/>
    <m/>
    <m/>
    <m/>
    <s v="Trichomoniasis"/>
    <m/>
    <s v="No"/>
    <m/>
    <s v="Yes"/>
    <s v="C"/>
    <m/>
    <m/>
    <m/>
    <m/>
    <m/>
    <m/>
    <m/>
    <m/>
    <s v=""/>
    <x v="3"/>
    <x v="0"/>
    <m/>
    <m/>
    <s v=""/>
    <x v="2"/>
    <s v="JS"/>
    <m/>
    <m/>
    <m/>
    <m/>
    <s v=""/>
    <m/>
    <x v="2"/>
    <e v="#NAME?"/>
    <m/>
    <x v="1"/>
    <m/>
    <s v=""/>
    <s v="x"/>
    <m/>
    <s v=""/>
    <s v="105648001"/>
    <m/>
    <m/>
    <s v=""/>
    <s v=""/>
    <m/>
    <s v="and history of"/>
    <s v=""/>
    <s v=""/>
    <s v=""/>
    <s v=""/>
    <s v=""/>
    <m/>
    <m/>
    <m/>
    <x v="2"/>
    <n v="0"/>
    <x v="2"/>
    <x v="78"/>
    <n v="1"/>
    <s v=""/>
    <n v="1"/>
    <n v="1"/>
    <n v="1"/>
    <n v="0"/>
    <n v="0"/>
  </r>
  <r>
    <n v="1914"/>
    <s v="Cervical infection"/>
    <n v="1914"/>
    <e v="#NAME?"/>
    <s v="Cervical infection"/>
    <x v="1"/>
    <n v="18"/>
    <s v="History of STIs"/>
    <m/>
    <m/>
    <s v="ST.2 Consultation"/>
    <x v="15"/>
    <m/>
    <s v="2.2 Capture or update client history"/>
    <s v="ST.DE.261"/>
    <m/>
    <m/>
    <m/>
    <m/>
    <m/>
    <m/>
    <s v="Cervical infection"/>
    <m/>
    <s v="No"/>
    <m/>
    <s v="Yes"/>
    <s v="C"/>
    <m/>
    <m/>
    <m/>
    <m/>
    <s v="SNOMED code is infection of uterus, which includes cervical infections for different disorders as children. "/>
    <m/>
    <m/>
    <m/>
    <s v=""/>
    <x v="3"/>
    <x v="0"/>
    <m/>
    <m/>
    <s v=""/>
    <x v="2"/>
    <s v="JS"/>
    <m/>
    <m/>
    <m/>
    <m/>
    <s v=""/>
    <m/>
    <x v="2"/>
    <e v="#NAME?"/>
    <m/>
    <x v="1"/>
    <m/>
    <s v=""/>
    <s v=""/>
    <s v="N72"/>
    <s v=""/>
    <m/>
    <m/>
    <m/>
    <s v=""/>
    <s v="cervix infection"/>
    <m/>
    <s v=""/>
    <s v=""/>
    <s v=""/>
    <s v=""/>
    <s v=""/>
    <s v=""/>
    <m/>
    <m/>
    <m/>
    <x v="2"/>
    <n v="0"/>
    <x v="2"/>
    <x v="78"/>
    <n v="1"/>
    <s v=""/>
    <n v="1"/>
    <n v="1"/>
    <n v="1"/>
    <n v="0"/>
    <n v="0"/>
  </r>
  <r>
    <n v="1915"/>
    <s v="Anaerobic infection"/>
    <n v="1915"/>
    <e v="#NAME?"/>
    <s v="Anaerobic infection"/>
    <x v="1"/>
    <n v="19"/>
    <s v="History of STIs"/>
    <m/>
    <m/>
    <s v="ST.2 Consultation"/>
    <x v="15"/>
    <m/>
    <s v="2.2 Capture or update client history"/>
    <s v="ST.DE.357"/>
    <m/>
    <m/>
    <m/>
    <m/>
    <m/>
    <m/>
    <s v="Anaerobic infection"/>
    <m/>
    <s v="No"/>
    <m/>
    <s v="Yes"/>
    <s v="C"/>
    <m/>
    <m/>
    <m/>
    <m/>
    <m/>
    <m/>
    <m/>
    <m/>
    <s v=""/>
    <x v="3"/>
    <x v="0"/>
    <m/>
    <m/>
    <s v=""/>
    <x v="2"/>
    <s v="JS"/>
    <m/>
    <m/>
    <m/>
    <m/>
    <s v=""/>
    <m/>
    <x v="2"/>
    <e v="#NAME?"/>
    <m/>
    <x v="1"/>
    <m/>
    <s v=""/>
    <s v="x"/>
    <m/>
    <s v=""/>
    <s v="444395001"/>
    <m/>
    <m/>
    <s v=""/>
    <s v=""/>
    <m/>
    <s v="exposue to anaerobic infection"/>
    <s v=""/>
    <s v=""/>
    <s v=""/>
    <s v=""/>
    <s v=""/>
    <m/>
    <m/>
    <m/>
    <x v="2"/>
    <n v="0"/>
    <x v="2"/>
    <x v="78"/>
    <n v="1"/>
    <s v=""/>
    <n v="1"/>
    <n v="1"/>
    <n v="1"/>
    <n v="0"/>
    <n v="0"/>
  </r>
  <r>
    <n v="1916"/>
    <s v="Pelvic Inflammatory Disease"/>
    <n v="1916"/>
    <e v="#NAME?"/>
    <s v="Pelvic Inflammatory Disease"/>
    <x v="1"/>
    <n v="27"/>
    <s v="History of STIs"/>
    <m/>
    <m/>
    <s v="ST.2 Consultation"/>
    <x v="15"/>
    <m/>
    <s v="2.2 Capture or update client history"/>
    <s v="ST.DE.358"/>
    <m/>
    <m/>
    <s v="PID"/>
    <m/>
    <m/>
    <m/>
    <s v="Pelvic Inflammatory Disease"/>
    <m/>
    <s v="No"/>
    <m/>
    <s v="Yes"/>
    <s v="C"/>
    <m/>
    <m/>
    <m/>
    <m/>
    <m/>
    <m/>
    <m/>
    <m/>
    <s v=""/>
    <x v="3"/>
    <x v="0"/>
    <m/>
    <m/>
    <s v=""/>
    <x v="2"/>
    <s v="JS"/>
    <m/>
    <m/>
    <m/>
    <m/>
    <s v=""/>
    <m/>
    <x v="2"/>
    <e v="#NAME?"/>
    <m/>
    <x v="0"/>
    <m/>
    <s v=""/>
    <s v="x"/>
    <m/>
    <s v=""/>
    <s v="198130006"/>
    <m/>
    <m/>
    <s v=""/>
    <s v=""/>
    <m/>
    <s v="female"/>
    <s v=""/>
    <s v=""/>
    <s v=""/>
    <s v=""/>
    <s v=""/>
    <m/>
    <m/>
    <m/>
    <x v="2"/>
    <n v="0"/>
    <x v="2"/>
    <x v="78"/>
    <n v="1"/>
    <s v=""/>
    <n v="1"/>
    <n v="1"/>
    <n v="1"/>
    <n v="0"/>
    <n v="0"/>
  </r>
  <r>
    <n v="1917"/>
    <s v="Anogenital warts"/>
    <n v="1917"/>
    <e v="#NAME?"/>
    <s v="Anogenital warts"/>
    <x v="1"/>
    <n v="16"/>
    <s v="History of STIs"/>
    <m/>
    <m/>
    <s v="ST.2 Consultation"/>
    <x v="15"/>
    <m/>
    <s v="2.2 Capture or update client history"/>
    <s v="ST.DE.262"/>
    <m/>
    <m/>
    <m/>
    <m/>
    <m/>
    <m/>
    <s v="Anogenital warts"/>
    <m/>
    <s v="No"/>
    <m/>
    <s v="Yes"/>
    <s v="C"/>
    <m/>
    <m/>
    <m/>
    <m/>
    <m/>
    <m/>
    <m/>
    <m/>
    <s v=""/>
    <x v="3"/>
    <x v="0"/>
    <m/>
    <m/>
    <s v=""/>
    <x v="2"/>
    <s v="JS"/>
    <m/>
    <m/>
    <m/>
    <m/>
    <s v=""/>
    <m/>
    <x v="2"/>
    <e v="#NAME?"/>
    <m/>
    <x v="1"/>
    <m/>
    <s v=""/>
    <s v="x"/>
    <s v="A63.0"/>
    <s v=""/>
    <s v="240542006"/>
    <m/>
    <m/>
    <s v=""/>
    <s v=""/>
    <m/>
    <s v=""/>
    <s v=""/>
    <s v=""/>
    <s v=""/>
    <s v=""/>
    <s v=""/>
    <m/>
    <m/>
    <m/>
    <x v="2"/>
    <n v="0"/>
    <x v="2"/>
    <x v="78"/>
    <n v="1"/>
    <s v=""/>
    <n v="1"/>
    <n v="1"/>
    <n v="1"/>
    <n v="0"/>
    <n v="0"/>
  </r>
  <r>
    <n v="1918"/>
    <s v="Toxic shock syndrome "/>
    <n v="1918"/>
    <e v="#NAME?"/>
    <s v="Toxic shock syndrome "/>
    <x v="1"/>
    <n v="21"/>
    <s v="History of STIs"/>
    <m/>
    <m/>
    <s v="ST.2 Consultation"/>
    <x v="15"/>
    <m/>
    <s v="2.2 Capture or update client history"/>
    <s v="ST.DE.359"/>
    <m/>
    <m/>
    <m/>
    <m/>
    <m/>
    <m/>
    <s v="Toxic shock syndrome "/>
    <m/>
    <s v="No"/>
    <m/>
    <s v="Yes"/>
    <s v="C"/>
    <m/>
    <m/>
    <m/>
    <m/>
    <m/>
    <m/>
    <m/>
    <m/>
    <s v=""/>
    <x v="3"/>
    <x v="0"/>
    <m/>
    <m/>
    <s v=""/>
    <x v="2"/>
    <s v="JS"/>
    <m/>
    <m/>
    <m/>
    <m/>
    <s v=""/>
    <m/>
    <x v="2"/>
    <e v="#NAME?"/>
    <m/>
    <x v="0"/>
    <m/>
    <s v=""/>
    <s v="x"/>
    <m/>
    <s v=""/>
    <s v="18504008"/>
    <m/>
    <m/>
    <s v=""/>
    <s v=""/>
    <m/>
    <s v=""/>
    <s v=""/>
    <s v=""/>
    <s v=""/>
    <s v=""/>
    <s v=""/>
    <m/>
    <m/>
    <m/>
    <x v="2"/>
    <n v="0"/>
    <x v="2"/>
    <x v="78"/>
    <n v="1"/>
    <s v=""/>
    <n v="1"/>
    <n v="1"/>
    <n v="1"/>
    <n v="0"/>
    <n v="0"/>
  </r>
  <r>
    <n v="1920"/>
    <s v="Human papillomavirus"/>
    <n v="1920"/>
    <e v="#NAME?"/>
    <s v="Human papillomavirus"/>
    <x v="1"/>
    <n v="20"/>
    <s v="History of STIs"/>
    <m/>
    <m/>
    <s v="ST.2 Consultation"/>
    <x v="15"/>
    <m/>
    <s v="2.2 Capture or update client history"/>
    <s v="ST.DE.250"/>
    <m/>
    <m/>
    <s v="HPV"/>
    <m/>
    <m/>
    <m/>
    <s v="Human papillomavirus"/>
    <m/>
    <s v="No"/>
    <m/>
    <s v="Yes"/>
    <s v="C"/>
    <m/>
    <m/>
    <s v="STI.IND.01"/>
    <m/>
    <m/>
    <m/>
    <m/>
    <m/>
    <s v=""/>
    <x v="3"/>
    <x v="0"/>
    <m/>
    <m/>
    <s v=""/>
    <x v="2"/>
    <s v="JS"/>
    <m/>
    <m/>
    <m/>
    <m/>
    <s v=""/>
    <m/>
    <x v="2"/>
    <e v="#NAME?"/>
    <m/>
    <x v="1"/>
    <m/>
    <s v=""/>
    <s v="x"/>
    <m/>
    <s v=""/>
    <s v="9482002"/>
    <m/>
    <m/>
    <s v=""/>
    <s v=""/>
    <m/>
    <s v=""/>
    <s v=""/>
    <s v=""/>
    <s v=""/>
    <s v=""/>
    <s v=""/>
    <m/>
    <m/>
    <m/>
    <x v="2"/>
    <n v="0"/>
    <x v="2"/>
    <x v="78"/>
    <n v="1"/>
    <s v=""/>
    <n v="1"/>
    <n v="1"/>
    <n v="1"/>
    <n v="0"/>
    <n v="0"/>
  </r>
  <r>
    <n v="1921"/>
    <s v="Other STI History"/>
    <n v="1921"/>
    <s v="Other (specify)"/>
    <s v="Other (specify)"/>
    <x v="0"/>
    <n v="17"/>
    <s v=""/>
    <m/>
    <m/>
    <s v="ST.2 Consultation"/>
    <x v="15"/>
    <m/>
    <s v="2.2 Capture or update client history"/>
    <s v="ST.DE.220"/>
    <m/>
    <m/>
    <m/>
    <m/>
    <m/>
    <m/>
    <s v="Other (specify)"/>
    <m/>
    <s v="No"/>
    <m/>
    <s v="Yes"/>
    <s v="C"/>
    <m/>
    <m/>
    <m/>
    <m/>
    <m/>
    <m/>
    <m/>
    <m/>
    <s v=""/>
    <x v="44"/>
    <x v="0"/>
    <s v="FHIR"/>
    <s v="4.0.1"/>
    <s v=""/>
    <x v="77"/>
    <s v="JA"/>
    <m/>
    <m/>
    <m/>
    <m/>
    <s v=""/>
    <m/>
    <x v="2"/>
    <s v="&quot;Other (specify)&quot;-&gt;&quot;Other STI History&quot;"/>
    <m/>
    <x v="0"/>
    <m/>
    <m/>
    <s v=""/>
    <s v="z22.4; 098.32; a64"/>
    <s v=""/>
    <m/>
    <m/>
    <m/>
    <s v=""/>
    <s v="large value set; this is just some of them"/>
    <m/>
    <s v=""/>
    <s v=""/>
    <s v=""/>
    <s v=""/>
    <s v=""/>
    <s v=""/>
    <m/>
    <m/>
    <m/>
    <x v="11"/>
    <s v=""/>
    <x v="12"/>
    <x v="78"/>
    <n v="1"/>
    <n v="0"/>
    <n v="1"/>
    <n v="1"/>
    <n v="1"/>
    <n v="0"/>
    <n v="0"/>
  </r>
  <r>
    <n v="1923"/>
    <s v="Clinical status"/>
    <n v="1923"/>
    <s v="Clinical status"/>
    <s v="Clinical status"/>
    <x v="0"/>
    <n v="15"/>
    <s v=""/>
    <m/>
    <m/>
    <s v="ST.2 Consultation"/>
    <x v="15"/>
    <m/>
    <s v="2.2 Capture or update client history"/>
    <s v="ST.DE.378"/>
    <m/>
    <s v="Clinical status"/>
    <m/>
    <s v="Status of STI diagnosis for each STI"/>
    <s v="Coding"/>
    <s v="Select one"/>
    <m/>
    <m/>
    <s v="No"/>
    <m/>
    <s v="Yes"/>
    <s v="C"/>
    <s v="Required for each past or current STIs. Newly diagnosed STIs default to active."/>
    <m/>
    <m/>
    <m/>
    <m/>
    <m/>
    <m/>
    <m/>
    <s v=""/>
    <x v="45"/>
    <x v="0"/>
    <s v="FHIR"/>
    <s v="4.0.1"/>
    <s v=""/>
    <x v="77"/>
    <s v="JA"/>
    <m/>
    <m/>
    <m/>
    <m/>
    <s v=""/>
    <m/>
    <x v="2"/>
    <s v=""/>
    <m/>
    <x v="1"/>
    <m/>
    <s v=""/>
    <s v=""/>
    <m/>
    <s v=""/>
    <m/>
    <m/>
    <m/>
    <s v="No terminology code required"/>
    <s v=""/>
    <m/>
    <s v=""/>
    <s v=""/>
    <s v=""/>
    <s v=""/>
    <s v=""/>
    <s v=""/>
    <m/>
    <m/>
    <m/>
    <x v="11"/>
    <s v=""/>
    <x v="12"/>
    <x v="78"/>
    <n v="1"/>
    <n v="1"/>
    <n v="1"/>
    <n v="1"/>
    <n v="1"/>
    <n v="0"/>
    <n v="0"/>
  </r>
  <r>
    <n v="1924"/>
    <s v="       Active"/>
    <n v="1924"/>
    <e v="#NAME?"/>
    <s v="Active"/>
    <x v="1"/>
    <n v="13"/>
    <s v="Clinical status"/>
    <m/>
    <m/>
    <s v="ST.2 Consultation"/>
    <x v="15"/>
    <m/>
    <s v="2.2 Capture or update client history"/>
    <s v="ST.DE.379"/>
    <m/>
    <m/>
    <m/>
    <m/>
    <m/>
    <m/>
    <s v="Active"/>
    <m/>
    <m/>
    <m/>
    <m/>
    <m/>
    <m/>
    <m/>
    <m/>
    <m/>
    <m/>
    <m/>
    <m/>
    <m/>
    <s v=""/>
    <x v="3"/>
    <x v="1"/>
    <m/>
    <s v=""/>
    <s v=""/>
    <x v="2"/>
    <s v="JS"/>
    <m/>
    <m/>
    <m/>
    <m/>
    <s v=""/>
    <m/>
    <x v="2"/>
    <e v="#NAME?"/>
    <m/>
    <x v="1"/>
    <s v="http://terminology.hl7.org/CodeSystem/condition-clinical"/>
    <s v="active"/>
    <s v=""/>
    <m/>
    <s v=""/>
    <m/>
    <m/>
    <m/>
    <s v=""/>
    <s v=""/>
    <m/>
    <s v=""/>
    <s v=""/>
    <s v=""/>
    <s v=""/>
    <s v=""/>
    <s v=""/>
    <m/>
    <m/>
    <m/>
    <x v="2"/>
    <n v="0"/>
    <x v="2"/>
    <x v="78"/>
    <n v="1"/>
    <s v=""/>
    <n v="1"/>
    <n v="1"/>
    <n v="1"/>
    <n v="0"/>
    <n v="0"/>
  </r>
  <r>
    <n v="1925"/>
    <s v="       Recurrence"/>
    <n v="1925"/>
    <e v="#NAME?"/>
    <s v="Recurrence"/>
    <x v="1"/>
    <n v="17"/>
    <s v="Clinical status"/>
    <m/>
    <m/>
    <s v="ST.2 Consultation"/>
    <x v="15"/>
    <m/>
    <s v="2.2 Capture or update client history"/>
    <s v="ST.DE.380"/>
    <m/>
    <m/>
    <m/>
    <m/>
    <m/>
    <m/>
    <s v="Recurrence"/>
    <m/>
    <m/>
    <m/>
    <m/>
    <m/>
    <m/>
    <m/>
    <m/>
    <m/>
    <m/>
    <m/>
    <m/>
    <m/>
    <s v=""/>
    <x v="3"/>
    <x v="1"/>
    <m/>
    <s v=""/>
    <s v=""/>
    <x v="2"/>
    <s v="JS"/>
    <m/>
    <m/>
    <m/>
    <m/>
    <s v=""/>
    <m/>
    <x v="2"/>
    <e v="#NAME?"/>
    <m/>
    <x v="1"/>
    <s v="http://terminology.hl7.org/CodeSystem/condition-clinical"/>
    <s v="recurrence"/>
    <s v=""/>
    <m/>
    <s v=""/>
    <m/>
    <m/>
    <m/>
    <s v=""/>
    <s v=""/>
    <m/>
    <s v=""/>
    <s v=""/>
    <s v=""/>
    <s v=""/>
    <s v=""/>
    <s v=""/>
    <m/>
    <m/>
    <m/>
    <x v="2"/>
    <n v="0"/>
    <x v="2"/>
    <x v="78"/>
    <n v="1"/>
    <s v=""/>
    <n v="1"/>
    <n v="1"/>
    <n v="1"/>
    <n v="0"/>
    <n v="0"/>
  </r>
  <r>
    <n v="1926"/>
    <s v="       Relapse"/>
    <n v="1926"/>
    <e v="#NAME?"/>
    <s v="Relapse"/>
    <x v="1"/>
    <n v="14"/>
    <s v="Clinical status"/>
    <m/>
    <m/>
    <s v="ST.2 Consultation"/>
    <x v="15"/>
    <m/>
    <s v="2.2 Capture or update client history"/>
    <s v="ST.DE.381"/>
    <m/>
    <m/>
    <m/>
    <m/>
    <m/>
    <m/>
    <s v="Relapse"/>
    <m/>
    <m/>
    <m/>
    <m/>
    <m/>
    <m/>
    <m/>
    <m/>
    <m/>
    <m/>
    <m/>
    <m/>
    <m/>
    <s v=""/>
    <x v="3"/>
    <x v="1"/>
    <m/>
    <s v=""/>
    <s v=""/>
    <x v="2"/>
    <s v="JS"/>
    <m/>
    <m/>
    <m/>
    <m/>
    <s v=""/>
    <m/>
    <x v="2"/>
    <e v="#NAME?"/>
    <m/>
    <x v="1"/>
    <s v="http://terminology.hl7.org/CodeSystem/condition-clinical"/>
    <s v="relapse"/>
    <s v=""/>
    <m/>
    <s v=""/>
    <m/>
    <m/>
    <m/>
    <s v=""/>
    <s v=""/>
    <m/>
    <s v=""/>
    <s v=""/>
    <s v=""/>
    <s v=""/>
    <s v=""/>
    <s v=""/>
    <m/>
    <m/>
    <m/>
    <x v="2"/>
    <n v="0"/>
    <x v="2"/>
    <x v="78"/>
    <n v="1"/>
    <s v=""/>
    <n v="1"/>
    <n v="1"/>
    <n v="1"/>
    <n v="0"/>
    <n v="0"/>
  </r>
  <r>
    <n v="1927"/>
    <s v="       Inactive"/>
    <n v="1927"/>
    <e v="#NAME?"/>
    <s v="Inactive"/>
    <x v="1"/>
    <n v="15"/>
    <s v="Clinical status"/>
    <m/>
    <m/>
    <s v="ST.2 Consultation"/>
    <x v="15"/>
    <m/>
    <s v="2.2 Capture or update client history"/>
    <s v="ST.DE.382"/>
    <m/>
    <m/>
    <m/>
    <m/>
    <m/>
    <m/>
    <s v="Inactive"/>
    <m/>
    <m/>
    <m/>
    <m/>
    <m/>
    <m/>
    <m/>
    <m/>
    <m/>
    <m/>
    <m/>
    <m/>
    <m/>
    <s v=""/>
    <x v="3"/>
    <x v="1"/>
    <m/>
    <s v=""/>
    <s v=""/>
    <x v="2"/>
    <s v="JS"/>
    <m/>
    <m/>
    <m/>
    <m/>
    <s v=""/>
    <m/>
    <x v="2"/>
    <e v="#NAME?"/>
    <m/>
    <x v="1"/>
    <s v="http://terminology.hl7.org/CodeSystem/condition-clinical"/>
    <s v="inactive"/>
    <s v=""/>
    <m/>
    <s v=""/>
    <m/>
    <m/>
    <m/>
    <s v=""/>
    <s v=""/>
    <m/>
    <s v=""/>
    <s v=""/>
    <s v=""/>
    <s v=""/>
    <s v=""/>
    <s v=""/>
    <m/>
    <m/>
    <m/>
    <x v="2"/>
    <n v="0"/>
    <x v="2"/>
    <x v="78"/>
    <n v="1"/>
    <s v=""/>
    <n v="1"/>
    <n v="1"/>
    <n v="1"/>
    <n v="0"/>
    <n v="0"/>
  </r>
  <r>
    <n v="1928"/>
    <s v="       Remission"/>
    <n v="1928"/>
    <e v="#NAME?"/>
    <s v="Remission"/>
    <x v="1"/>
    <n v="16"/>
    <s v="Clinical status"/>
    <m/>
    <m/>
    <s v="ST.2 Consultation"/>
    <x v="15"/>
    <m/>
    <s v="2.2 Capture or update client history"/>
    <s v="ST.DE.383"/>
    <m/>
    <m/>
    <m/>
    <m/>
    <m/>
    <m/>
    <s v="Remission"/>
    <m/>
    <m/>
    <m/>
    <m/>
    <m/>
    <m/>
    <m/>
    <m/>
    <m/>
    <m/>
    <m/>
    <m/>
    <m/>
    <s v=""/>
    <x v="3"/>
    <x v="1"/>
    <m/>
    <s v=""/>
    <s v=""/>
    <x v="2"/>
    <s v="JS"/>
    <m/>
    <m/>
    <m/>
    <m/>
    <s v=""/>
    <m/>
    <x v="2"/>
    <e v="#NAME?"/>
    <m/>
    <x v="1"/>
    <s v="http://terminology.hl7.org/CodeSystem/condition-clinical"/>
    <s v="remission"/>
    <s v=""/>
    <m/>
    <s v=""/>
    <m/>
    <m/>
    <m/>
    <s v=""/>
    <s v=""/>
    <m/>
    <s v=""/>
    <s v=""/>
    <s v=""/>
    <s v=""/>
    <s v=""/>
    <s v=""/>
    <m/>
    <m/>
    <m/>
    <x v="2"/>
    <n v="0"/>
    <x v="2"/>
    <x v="78"/>
    <n v="1"/>
    <s v=""/>
    <n v="1"/>
    <n v="1"/>
    <n v="1"/>
    <n v="0"/>
    <n v="0"/>
  </r>
  <r>
    <n v="1929"/>
    <s v="       Resolved"/>
    <n v="1929"/>
    <e v="#NAME?"/>
    <s v="Resolved"/>
    <x v="1"/>
    <n v="15"/>
    <s v="Clinical status"/>
    <m/>
    <m/>
    <s v="ST.2 Consultation"/>
    <x v="15"/>
    <m/>
    <s v="2.2 Capture or update client history"/>
    <s v="ST.DE.384"/>
    <m/>
    <m/>
    <m/>
    <m/>
    <m/>
    <m/>
    <s v="Resolved"/>
    <m/>
    <m/>
    <m/>
    <m/>
    <m/>
    <m/>
    <m/>
    <m/>
    <m/>
    <m/>
    <m/>
    <m/>
    <m/>
    <s v=""/>
    <x v="3"/>
    <x v="1"/>
    <m/>
    <s v=""/>
    <s v=""/>
    <x v="2"/>
    <s v="JS"/>
    <m/>
    <m/>
    <m/>
    <m/>
    <s v=""/>
    <m/>
    <x v="2"/>
    <e v="#NAME?"/>
    <m/>
    <x v="1"/>
    <s v="http://terminology.hl7.org/CodeSystem/condition-clinical"/>
    <s v="resolved"/>
    <s v=""/>
    <m/>
    <s v=""/>
    <m/>
    <m/>
    <m/>
    <s v=""/>
    <s v=""/>
    <m/>
    <s v=""/>
    <s v=""/>
    <s v=""/>
    <s v=""/>
    <s v=""/>
    <s v=""/>
    <m/>
    <m/>
    <m/>
    <x v="2"/>
    <n v="0"/>
    <x v="2"/>
    <x v="78"/>
    <n v="1"/>
    <s v=""/>
    <n v="1"/>
    <n v="1"/>
    <n v="1"/>
    <n v="0"/>
    <n v="0"/>
  </r>
  <r>
    <n v="1930"/>
    <s v="       Unknown"/>
    <n v="1930"/>
    <e v="#NAME?"/>
    <s v="Unknown"/>
    <x v="1"/>
    <n v="14"/>
    <s v="Clinical status"/>
    <m/>
    <m/>
    <s v="ST.2 Consultation"/>
    <x v="15"/>
    <m/>
    <s v="2.2 Capture or update client history"/>
    <s v="ST.DE.385"/>
    <m/>
    <m/>
    <m/>
    <m/>
    <m/>
    <m/>
    <s v="Unknown"/>
    <m/>
    <m/>
    <m/>
    <m/>
    <m/>
    <m/>
    <m/>
    <m/>
    <m/>
    <m/>
    <m/>
    <m/>
    <m/>
    <s v=""/>
    <x v="3"/>
    <x v="1"/>
    <m/>
    <s v=""/>
    <s v=""/>
    <x v="2"/>
    <s v="JS"/>
    <m/>
    <m/>
    <m/>
    <m/>
    <s v=""/>
    <m/>
    <x v="2"/>
    <e v="#NAME?"/>
    <m/>
    <x v="0"/>
    <s v="http://who.int/cg/CodeSystem/extended-content"/>
    <s v="Unknown"/>
    <s v=""/>
    <m/>
    <s v=""/>
    <m/>
    <m/>
    <m/>
    <s v="No FHIR valueset code available"/>
    <s v=""/>
    <m/>
    <s v=""/>
    <s v=""/>
    <s v=""/>
    <s v=""/>
    <s v=""/>
    <s v=""/>
    <m/>
    <m/>
    <m/>
    <x v="2"/>
    <n v="0"/>
    <x v="2"/>
    <x v="78"/>
    <n v="1"/>
    <s v=""/>
    <n v="1"/>
    <n v="1"/>
    <n v="1"/>
    <n v="0"/>
    <n v="0"/>
  </r>
  <r>
    <n v="1931"/>
    <s v="STI treatment medication history"/>
    <n v="1931"/>
    <s v="STI treatment medication history"/>
    <s v="STI treatment medication history"/>
    <x v="0"/>
    <n v="32"/>
    <s v=""/>
    <m/>
    <m/>
    <s v="ST.2 Consultation"/>
    <x v="15"/>
    <m/>
    <s v="2.2 Capture or update client history"/>
    <s v="ST.DE.036"/>
    <m/>
    <s v="STI treatment medication history"/>
    <m/>
    <s v="Medication used for past or current treatment, if known or can be determined"/>
    <s v="Coding"/>
    <s v="Select all that apply"/>
    <s v="True/False"/>
    <m/>
    <s v="Yes"/>
    <s v="Cannot select &quot;None&quot; or &quot;Don't know&quot; with any other option. Cannot select them together either."/>
    <s v="Yes"/>
    <m/>
    <s v="Include if Past STI Treatment = TRUE or Current STI Treatment = TRUE"/>
    <m/>
    <m/>
    <m/>
    <m/>
    <m/>
    <m/>
    <m/>
    <s v=""/>
    <x v="20"/>
    <x v="2"/>
    <s v="FHIR"/>
    <s v="4.0.1"/>
    <s v=""/>
    <x v="78"/>
    <s v="JA"/>
    <s v="STI-Medications"/>
    <m/>
    <m/>
    <m/>
    <s v=""/>
    <m/>
    <x v="2"/>
    <s v=""/>
    <m/>
    <x v="1"/>
    <m/>
    <s v=""/>
    <s v=""/>
    <m/>
    <s v=""/>
    <m/>
    <m/>
    <m/>
    <s v="No terminology code required"/>
    <s v=""/>
    <m/>
    <s v=""/>
    <s v=""/>
    <s v=""/>
    <s v=""/>
    <s v=""/>
    <s v=""/>
    <m/>
    <m/>
    <m/>
    <x v="7"/>
    <s v=""/>
    <x v="8"/>
    <x v="79"/>
    <n v="1"/>
    <n v="1"/>
    <n v="1"/>
    <n v="1"/>
    <n v="1"/>
    <n v="0"/>
    <n v="0"/>
  </r>
  <r>
    <n v="1937"/>
    <s v="Drug allergies"/>
    <n v="1937"/>
    <s v="Drug allergies"/>
    <s v="Drug allergies"/>
    <x v="0"/>
    <n v="14"/>
    <s v=""/>
    <m/>
    <m/>
    <s v="ST.2 Consultation"/>
    <x v="13"/>
    <m/>
    <s v="2.2 Capture or update client history"/>
    <s v="ST.DE.068"/>
    <m/>
    <s v="Drug allergies"/>
    <m/>
    <s v="Any known medical allergies of the client."/>
    <s v="Coding"/>
    <s v="Select all that apply"/>
    <m/>
    <m/>
    <s v="Yes"/>
    <s v="Cannot select &quot;None&quot; or &quot;Don't know&quot; with any other option. Cannot select them together either."/>
    <s v="Yes"/>
    <s v="R"/>
    <m/>
    <m/>
    <m/>
    <m/>
    <m/>
    <m/>
    <m/>
    <m/>
    <s v=""/>
    <x v="46"/>
    <x v="0"/>
    <s v="FHIR"/>
    <s v="4.0.1"/>
    <s v="AllergyIntolerance.category = medication"/>
    <x v="79"/>
    <s v="JA"/>
    <m/>
    <s v="Extensible"/>
    <m/>
    <m/>
    <s v=""/>
    <m/>
    <x v="0"/>
    <s v=""/>
    <s v="Ready for testing"/>
    <x v="1"/>
    <m/>
    <s v=""/>
    <s v="x"/>
    <m/>
    <s v=""/>
    <m/>
    <m/>
    <m/>
    <s v="No terminology code required"/>
    <s v=""/>
    <m/>
    <s v=""/>
    <s v=""/>
    <s v=""/>
    <s v=""/>
    <s v=""/>
    <s v=""/>
    <m/>
    <m/>
    <m/>
    <x v="14"/>
    <s v=""/>
    <x v="15"/>
    <x v="80"/>
    <n v="1"/>
    <n v="1"/>
    <n v="1"/>
    <n v="1"/>
    <n v="1"/>
    <n v="0"/>
    <n v="0"/>
  </r>
  <r>
    <n v="1938"/>
    <s v="       None"/>
    <n v="1938"/>
    <e v="#NAME?"/>
    <n v="0"/>
    <x v="1"/>
    <n v="11"/>
    <s v="Drug allergies"/>
    <m/>
    <m/>
    <s v="ST.2 Consultation"/>
    <x v="13"/>
    <m/>
    <s v="2.2 Capture or update client history"/>
    <s v="ST.DE.295"/>
    <m/>
    <m/>
    <m/>
    <m/>
    <s v="None"/>
    <m/>
    <m/>
    <m/>
    <m/>
    <m/>
    <s v="Yes"/>
    <m/>
    <m/>
    <m/>
    <m/>
    <m/>
    <m/>
    <m/>
    <m/>
    <m/>
    <s v=""/>
    <x v="3"/>
    <x v="0"/>
    <m/>
    <m/>
    <m/>
    <x v="2"/>
    <s v="JA"/>
    <m/>
    <m/>
    <m/>
    <m/>
    <s v=""/>
    <m/>
    <x v="0"/>
    <e v="#NAME?"/>
    <s v="Ready for testing"/>
    <x v="1"/>
    <m/>
    <s v=""/>
    <s v="x"/>
    <m/>
    <s v=""/>
    <m/>
    <s v="la32-8"/>
    <m/>
    <s v=""/>
    <s v=""/>
    <m/>
    <s v=""/>
    <s v=""/>
    <s v=""/>
    <s v=""/>
    <s v=""/>
    <s v=""/>
    <m/>
    <m/>
    <m/>
    <x v="2"/>
    <n v="0"/>
    <x v="2"/>
    <x v="80"/>
    <n v="1"/>
    <s v=""/>
    <n v="1"/>
    <n v="1"/>
    <n v="1"/>
    <n v="0"/>
    <n v="0"/>
  </r>
  <r>
    <n v="1939"/>
    <s v="       Don't know"/>
    <n v="1939"/>
    <e v="#NAME?"/>
    <n v="0"/>
    <x v="1"/>
    <n v="17"/>
    <s v="Drug allergies"/>
    <m/>
    <m/>
    <s v="ST.2 Consultation"/>
    <x v="13"/>
    <m/>
    <s v="2.2 Capture or update client history"/>
    <s v="ST.DE.296"/>
    <m/>
    <m/>
    <m/>
    <m/>
    <s v="Don't know"/>
    <m/>
    <m/>
    <m/>
    <m/>
    <m/>
    <s v="Yes"/>
    <m/>
    <m/>
    <m/>
    <m/>
    <m/>
    <m/>
    <m/>
    <m/>
    <m/>
    <s v=""/>
    <x v="3"/>
    <x v="0"/>
    <m/>
    <m/>
    <m/>
    <x v="2"/>
    <s v="JA"/>
    <m/>
    <m/>
    <m/>
    <m/>
    <s v=""/>
    <m/>
    <x v="0"/>
    <e v="#NAME?"/>
    <s v="Ready for testing"/>
    <x v="1"/>
    <m/>
    <s v=""/>
    <s v="x"/>
    <m/>
    <s v=""/>
    <m/>
    <s v="la12688-0"/>
    <m/>
    <s v=""/>
    <s v=""/>
    <m/>
    <s v=""/>
    <s v=""/>
    <s v=""/>
    <s v=""/>
    <s v=""/>
    <s v=""/>
    <m/>
    <m/>
    <m/>
    <x v="2"/>
    <n v="0"/>
    <x v="2"/>
    <x v="80"/>
    <n v="1"/>
    <s v=""/>
    <n v="1"/>
    <n v="1"/>
    <n v="1"/>
    <n v="0"/>
    <n v="0"/>
  </r>
  <r>
    <n v="1940"/>
    <s v="       Penicillin"/>
    <n v="1940"/>
    <e v="#NAME?"/>
    <n v="0"/>
    <x v="1"/>
    <n v="17"/>
    <s v="Drug allergies"/>
    <m/>
    <m/>
    <s v="ST.2 Consultation"/>
    <x v="13"/>
    <m/>
    <s v="2.2 Capture or update client history"/>
    <s v="ST.DE.299"/>
    <m/>
    <m/>
    <m/>
    <m/>
    <s v="Penicillin"/>
    <m/>
    <m/>
    <m/>
    <m/>
    <m/>
    <s v="Yes"/>
    <m/>
    <m/>
    <m/>
    <m/>
    <m/>
    <m/>
    <m/>
    <m/>
    <m/>
    <s v=""/>
    <x v="3"/>
    <x v="0"/>
    <m/>
    <m/>
    <m/>
    <x v="2"/>
    <s v="JA"/>
    <m/>
    <m/>
    <m/>
    <m/>
    <s v=""/>
    <m/>
    <x v="0"/>
    <e v="#NAME?"/>
    <s v="Ready for testing"/>
    <x v="1"/>
    <m/>
    <s v=""/>
    <s v="allergy plus med"/>
    <m/>
    <s v=""/>
    <m/>
    <m/>
    <s v="70618"/>
    <s v=""/>
    <s v=""/>
    <m/>
    <s v="c0220892"/>
    <s v=""/>
    <s v=""/>
    <s v=""/>
    <s v=""/>
    <s v=""/>
    <m/>
    <m/>
    <m/>
    <x v="2"/>
    <n v="0"/>
    <x v="2"/>
    <x v="80"/>
    <n v="1"/>
    <s v=""/>
    <n v="1"/>
    <n v="1"/>
    <n v="1"/>
    <n v="0"/>
    <n v="0"/>
  </r>
  <r>
    <n v="1941"/>
    <s v="       PrEP tenofovir disoproxil fumarate "/>
    <n v="1941"/>
    <e v="#NAME?"/>
    <n v="0"/>
    <x v="1"/>
    <n v="42"/>
    <s v="Drug allergies"/>
    <m/>
    <m/>
    <s v="ST.2 Consultation"/>
    <x v="13"/>
    <m/>
    <s v="2.2 Capture or update client history"/>
    <s v="ST.DE.300"/>
    <m/>
    <m/>
    <m/>
    <m/>
    <s v="PrEP tenofovir disoproxil fumarate "/>
    <s v="TDF)"/>
    <m/>
    <m/>
    <m/>
    <m/>
    <s v="Yes"/>
    <m/>
    <m/>
    <m/>
    <m/>
    <m/>
    <m/>
    <m/>
    <m/>
    <m/>
    <s v=""/>
    <x v="3"/>
    <x v="0"/>
    <m/>
    <m/>
    <m/>
    <x v="2"/>
    <s v="JA"/>
    <m/>
    <m/>
    <m/>
    <m/>
    <s v=""/>
    <m/>
    <x v="0"/>
    <e v="#NAME?"/>
    <s v="Ready for testing"/>
    <x v="1"/>
    <m/>
    <s v=""/>
    <s v=""/>
    <m/>
    <s v=""/>
    <m/>
    <m/>
    <s v="117466"/>
    <s v=""/>
    <s v=""/>
    <m/>
    <s v="c0384228"/>
    <s v=""/>
    <s v=""/>
    <s v=""/>
    <s v=""/>
    <s v=""/>
    <m/>
    <m/>
    <m/>
    <x v="2"/>
    <n v="0"/>
    <x v="2"/>
    <x v="80"/>
    <n v="1"/>
    <s v=""/>
    <n v="1"/>
    <n v="1"/>
    <n v="1"/>
    <n v="0"/>
    <n v="0"/>
  </r>
  <r>
    <n v="1942"/>
    <s v="       Other "/>
    <n v="1942"/>
    <e v="#NAME?"/>
    <n v="0"/>
    <x v="1"/>
    <n v="13"/>
    <s v="Drug allergies"/>
    <m/>
    <m/>
    <s v="ST.2 Consultation"/>
    <x v="13"/>
    <m/>
    <s v="2.2 Capture or update client history"/>
    <s v="ST.DE.220"/>
    <m/>
    <m/>
    <m/>
    <m/>
    <s v="Other "/>
    <s v="specify)"/>
    <m/>
    <m/>
    <m/>
    <m/>
    <s v="Yes"/>
    <m/>
    <m/>
    <m/>
    <m/>
    <m/>
    <m/>
    <m/>
    <m/>
    <m/>
    <s v=""/>
    <x v="3"/>
    <x v="0"/>
    <m/>
    <m/>
    <m/>
    <x v="2"/>
    <s v="JA"/>
    <m/>
    <m/>
    <m/>
    <m/>
    <s v=""/>
    <m/>
    <x v="0"/>
    <e v="#NAME?"/>
    <s v="Ready for testing"/>
    <x v="1"/>
    <s v="http://who.int/cg/CodeSystem/extended-content"/>
    <s v="Other"/>
    <s v=""/>
    <m/>
    <s v=""/>
    <m/>
    <m/>
    <m/>
    <s v=""/>
    <s v=""/>
    <m/>
    <s v=""/>
    <s v=""/>
    <s v=""/>
    <s v=""/>
    <s v=""/>
    <s v=""/>
    <m/>
    <m/>
    <m/>
    <x v="2"/>
    <n v="0"/>
    <x v="2"/>
    <x v="80"/>
    <n v="1"/>
    <s v=""/>
    <n v="1"/>
    <n v="1"/>
    <n v="1"/>
    <n v="0"/>
    <n v="0"/>
  </r>
  <r>
    <n v="1943"/>
    <s v="Other (specify) - Drug allergies"/>
    <n v="1943"/>
    <s v="Other (specify)"/>
    <s v="Other (specify)"/>
    <x v="0"/>
    <n v="32"/>
    <s v=""/>
    <m/>
    <m/>
    <s v="ST.2 Consultation"/>
    <x v="13"/>
    <m/>
    <s v="2.2 Capture or update client history"/>
    <s v="ST.DE.301"/>
    <m/>
    <s v="Other (specify)"/>
    <m/>
    <s v="Write in the medication not included in the list."/>
    <s v="Text"/>
    <m/>
    <m/>
    <m/>
    <s v="No"/>
    <m/>
    <s v="Yes"/>
    <s v="C"/>
    <s v="Include if drug allergies = Other (specify)"/>
    <m/>
    <m/>
    <m/>
    <m/>
    <m/>
    <m/>
    <m/>
    <s v=""/>
    <x v="47"/>
    <x v="0"/>
    <s v="FHIR"/>
    <s v="4.0.1"/>
    <s v="AllergyIntolerance.category = medication"/>
    <x v="79"/>
    <s v="JA"/>
    <m/>
    <m/>
    <m/>
    <m/>
    <s v=""/>
    <m/>
    <x v="0"/>
    <s v="&quot;Other (specify)&quot;-&gt;&quot;Other (specify) - Drug allergies&quot;"/>
    <s v="Ready for testing"/>
    <x v="0"/>
    <m/>
    <s v=""/>
    <s v=""/>
    <m/>
    <s v=""/>
    <m/>
    <m/>
    <m/>
    <s v="No terminology code required"/>
    <s v=""/>
    <m/>
    <s v=""/>
    <s v=""/>
    <s v=""/>
    <s v=""/>
    <s v=""/>
    <s v=""/>
    <m/>
    <m/>
    <m/>
    <x v="14"/>
    <s v=""/>
    <x v="15"/>
    <x v="80"/>
    <n v="1"/>
    <n v="0"/>
    <n v="1"/>
    <n v="1"/>
    <n v="1"/>
    <n v="0"/>
    <n v="0"/>
  </r>
  <r>
    <n v="1944"/>
    <s v="Confirmation date for positive HIV test OR HIV test date, HIV test result"/>
    <n v="1944"/>
    <n v="0"/>
    <n v="0"/>
    <x v="2"/>
    <n v="73"/>
    <s v=""/>
    <m/>
    <m/>
    <s v="ST.2 Consultation"/>
    <x v="12"/>
    <m/>
    <s v="2.2 Capture or update client history"/>
    <s v="ST.DE.037"/>
    <m/>
    <m/>
    <s v="Confirmation date for positive HIV test OR HIV test date, HIV test result"/>
    <m/>
    <m/>
    <m/>
    <m/>
    <m/>
    <m/>
    <m/>
    <s v="Yes"/>
    <m/>
    <m/>
    <m/>
    <m/>
    <m/>
    <m/>
    <m/>
    <m/>
    <m/>
    <s v=""/>
    <x v="3"/>
    <x v="1"/>
    <m/>
    <m/>
    <s v=""/>
    <x v="2"/>
    <s v="NA"/>
    <m/>
    <m/>
    <m/>
    <m/>
    <s v=""/>
    <m/>
    <x v="0"/>
    <s v="&quot;0&quot;-&gt;&quot;Confirmation date for positive HIV test OR HIV test date, HIV test result&quot;"/>
    <m/>
    <x v="1"/>
    <m/>
    <s v=""/>
    <m/>
    <m/>
    <s v=""/>
    <m/>
    <m/>
    <m/>
    <s v="No terminology code required"/>
    <s v="date plus HIV test result--that is above"/>
    <s v="x"/>
    <s v="this is context of an HIV test, should not be coded"/>
    <s v="https://github.com/who-int/Data-Dictionary-Mapping/issues/100"/>
    <s v=""/>
    <s v=""/>
    <s v=""/>
    <s v=""/>
    <m/>
    <m/>
    <m/>
    <x v="2"/>
    <s v=""/>
    <x v="3"/>
    <x v="2"/>
    <n v="1"/>
    <s v=""/>
    <n v="1"/>
    <n v="1"/>
    <n v="1"/>
    <n v="0"/>
    <n v="0"/>
  </r>
  <r>
    <n v="1952"/>
    <s v="Enrollment date into HIV care"/>
    <n v="1952"/>
    <s v="Enrollment date into HIV care"/>
    <s v="Enrollment date into HIV care"/>
    <x v="0"/>
    <n v="29"/>
    <s v=""/>
    <m/>
    <m/>
    <s v="ST.2 Consultation"/>
    <x v="12"/>
    <m/>
    <s v="2.2 Capture or update client history"/>
    <s v="ST.DE.039"/>
    <m/>
    <s v="Enrollment date into HIV care"/>
    <m/>
    <m/>
    <m/>
    <m/>
    <m/>
    <m/>
    <s v="No"/>
    <m/>
    <s v="Yes"/>
    <s v="C"/>
    <s v="Include if HIV Status = Positive"/>
    <m/>
    <m/>
    <m/>
    <m/>
    <m/>
    <m/>
    <m/>
    <s v=""/>
    <x v="30"/>
    <x v="8"/>
    <s v="FHIR"/>
    <s v="4.0.1"/>
    <s v=""/>
    <x v="80"/>
    <s v="JA"/>
    <m/>
    <m/>
    <m/>
    <m/>
    <s v=""/>
    <m/>
    <x v="0"/>
    <s v=""/>
    <m/>
    <x v="1"/>
    <m/>
    <s v=""/>
    <m/>
    <m/>
    <s v=""/>
    <m/>
    <s v="45235-9"/>
    <m/>
    <s v=""/>
    <s v=""/>
    <s v="x"/>
    <s v=""/>
    <s v=""/>
    <s v=""/>
    <s v=""/>
    <s v=""/>
    <s v=""/>
    <m/>
    <m/>
    <m/>
    <x v="5"/>
    <s v=""/>
    <x v="6"/>
    <x v="81"/>
    <n v="1"/>
    <n v="0"/>
    <n v="1"/>
    <n v="1"/>
    <n v="1"/>
    <n v="0"/>
    <n v="0"/>
  </r>
  <r>
    <n v="1953"/>
    <s v="PrEP status"/>
    <n v="1953"/>
    <s v="PrEP status"/>
    <s v="PrEP status"/>
    <x v="0"/>
    <n v="11"/>
    <s v=""/>
    <m/>
    <m/>
    <s v="ST.2 Consultation"/>
    <x v="12"/>
    <m/>
    <s v="2.2 Capture or update client history"/>
    <s v="ST.DE.040"/>
    <m/>
    <s v="PrEP status"/>
    <m/>
    <m/>
    <m/>
    <m/>
    <m/>
    <m/>
    <s v="No"/>
    <m/>
    <s v="Yes"/>
    <s v="C"/>
    <m/>
    <m/>
    <m/>
    <m/>
    <m/>
    <m/>
    <m/>
    <m/>
    <s v=""/>
    <x v="17"/>
    <x v="2"/>
    <s v="FHIR"/>
    <s v="4.0.1"/>
    <s v=""/>
    <x v="81"/>
    <s v="JA"/>
    <m/>
    <m/>
    <m/>
    <m/>
    <s v=""/>
    <m/>
    <x v="0"/>
    <s v=""/>
    <m/>
    <x v="1"/>
    <s v="http://who.int/cg/CodeSystem/extended-content"/>
    <s v="PrEP status"/>
    <s v=""/>
    <m/>
    <s v=""/>
    <m/>
    <m/>
    <m/>
    <s v="No LOINC code available"/>
    <s v="PreP plys yes or no"/>
    <s v="x"/>
    <s v="Should be modelled differently... either they're on pre-exposure prophylaxis or they are not, those are likely values to another question"/>
    <s v=""/>
    <s v=""/>
    <s v=""/>
    <s v=""/>
    <s v=""/>
    <m/>
    <m/>
    <m/>
    <x v="5"/>
    <s v=""/>
    <x v="6"/>
    <x v="82"/>
    <n v="1"/>
    <n v="0"/>
    <n v="1"/>
    <n v="1"/>
    <n v="1"/>
    <n v="0"/>
    <n v="0"/>
  </r>
  <r>
    <n v="1954"/>
    <s v="Start date for antiretroviral therapy"/>
    <n v="1954"/>
    <s v="Start date for antiretroviral therapy"/>
    <s v="Start date for antiretroviral therapy"/>
    <x v="0"/>
    <n v="37"/>
    <s v=""/>
    <m/>
    <m/>
    <s v="ST.2 Consultation"/>
    <x v="12"/>
    <m/>
    <s v="2.2 Capture or update client history"/>
    <s v="ST.DE.041"/>
    <m/>
    <s v="Start date for antiretroviral therapy"/>
    <m/>
    <m/>
    <m/>
    <m/>
    <m/>
    <m/>
    <s v="No"/>
    <m/>
    <s v="Yes"/>
    <s v="C"/>
    <s v="Include if HIV Status = Positive"/>
    <m/>
    <m/>
    <m/>
    <m/>
    <m/>
    <m/>
    <m/>
    <s v=""/>
    <x v="21"/>
    <x v="8"/>
    <s v="FHIR"/>
    <s v="4.0.1"/>
    <s v=""/>
    <x v="74"/>
    <s v="JA"/>
    <m/>
    <m/>
    <m/>
    <m/>
    <s v=""/>
    <m/>
    <x v="0"/>
    <s v=""/>
    <s v="Ready for testing"/>
    <x v="1"/>
    <m/>
    <s v=""/>
    <s v=""/>
    <m/>
    <s v=""/>
    <m/>
    <m/>
    <m/>
    <s v="No terminology code required"/>
    <s v=""/>
    <m/>
    <s v=""/>
    <s v=""/>
    <s v=""/>
    <s v=""/>
    <s v=""/>
    <s v=""/>
    <m/>
    <m/>
    <m/>
    <x v="7"/>
    <s v=""/>
    <x v="8"/>
    <x v="75"/>
    <n v="1"/>
    <n v="0"/>
    <n v="1"/>
    <n v="1"/>
    <n v="1"/>
    <n v="0"/>
    <n v="0"/>
  </r>
  <r>
    <n v="1955"/>
    <s v="Antiretroviral regimen (date and dose)"/>
    <n v="1955"/>
    <s v="Antiretroviral regimen (date and dose)"/>
    <s v="Antiretroviral regimen (date and dose)"/>
    <x v="0"/>
    <n v="38"/>
    <s v=""/>
    <m/>
    <m/>
    <s v="ST.2 Consultation"/>
    <x v="12"/>
    <m/>
    <s v="2.2 Capture or update client history"/>
    <s v="ST.DE.042"/>
    <m/>
    <s v="Antiretroviral regimen (date and dose)"/>
    <m/>
    <m/>
    <m/>
    <m/>
    <m/>
    <m/>
    <s v="No"/>
    <m/>
    <s v="Yes"/>
    <s v="C"/>
    <s v="Include if HIV Status = Positive"/>
    <m/>
    <m/>
    <m/>
    <m/>
    <m/>
    <m/>
    <m/>
    <s v=""/>
    <x v="48"/>
    <x v="0"/>
    <s v="FHIR"/>
    <s v="4.0.1"/>
    <s v=""/>
    <x v="74"/>
    <s v="JA"/>
    <m/>
    <m/>
    <m/>
    <m/>
    <s v=""/>
    <m/>
    <x v="0"/>
    <s v=""/>
    <m/>
    <x v="1"/>
    <s v="http://who.int/cg/CodeSystem/extended-content"/>
    <s v="Antiretroviral regimen (date and dose)"/>
    <s v=""/>
    <m/>
    <s v=""/>
    <m/>
    <m/>
    <m/>
    <s v="No LOINC code available"/>
    <s v=""/>
    <s v="x"/>
    <s v="Should be modelled differently... these are all meds that should be a part of a patient's active medication list."/>
    <s v=""/>
    <s v=""/>
    <s v=""/>
    <s v=""/>
    <s v=""/>
    <m/>
    <m/>
    <m/>
    <x v="7"/>
    <s v=""/>
    <x v="8"/>
    <x v="75"/>
    <n v="1"/>
    <n v="0"/>
    <n v="1"/>
    <n v="1"/>
    <n v="1"/>
    <n v="0"/>
    <n v="0"/>
  </r>
  <r>
    <n v="1956"/>
    <s v="History of contraceptive use"/>
    <n v="1956"/>
    <s v="History of contraceptive use"/>
    <s v="History of contraceptive use"/>
    <x v="2"/>
    <n v="28"/>
    <s v=""/>
    <m/>
    <m/>
    <s v="ST.2 Consultation"/>
    <x v="8"/>
    <m/>
    <s v="2.2 Capture or update client history"/>
    <s v="ST.DE.303"/>
    <m/>
    <s v="History of contraceptive use"/>
    <m/>
    <m/>
    <m/>
    <m/>
    <m/>
    <m/>
    <s v="No"/>
    <m/>
    <s v="Yes"/>
    <s v="O"/>
    <m/>
    <m/>
    <m/>
    <m/>
    <m/>
    <m/>
    <m/>
    <m/>
    <s v=""/>
    <x v="3"/>
    <x v="1"/>
    <m/>
    <s v=""/>
    <s v=""/>
    <x v="2"/>
    <s v="NA"/>
    <m/>
    <m/>
    <m/>
    <m/>
    <s v=""/>
    <m/>
    <x v="0"/>
    <s v=""/>
    <s v="Ready for testing"/>
    <x v="1"/>
    <m/>
    <s v=""/>
    <s v="x"/>
    <m/>
    <s v=""/>
    <m/>
    <m/>
    <m/>
    <s v="No terminology code required"/>
    <m/>
    <m/>
    <s v="420209000 snomed"/>
    <s v=""/>
    <s v=""/>
    <s v=""/>
    <s v=""/>
    <s v=""/>
    <m/>
    <m/>
    <m/>
    <x v="2"/>
    <s v=""/>
    <x v="3"/>
    <x v="2"/>
    <n v="1"/>
    <s v=""/>
    <n v="1"/>
    <n v="1"/>
    <n v="1"/>
    <n v="0"/>
    <n v="0"/>
  </r>
  <r>
    <n v="1958"/>
    <s v="Contraceptive history - Device-based"/>
    <n v="1958"/>
    <s v="Contraceptive history"/>
    <s v="Contraceptive history"/>
    <x v="0"/>
    <n v="36"/>
    <s v=""/>
    <m/>
    <m/>
    <s v="ST.2 Consultation"/>
    <x v="8"/>
    <m/>
    <s v="2.2 Capture or update client history"/>
    <s v="ST.DE.406"/>
    <m/>
    <s v="Contraceptive history"/>
    <m/>
    <s v="Reported use of method at intake"/>
    <s v="Coding"/>
    <s v="Select all that apply"/>
    <m/>
    <m/>
    <s v="No"/>
    <m/>
    <s v="Yes"/>
    <s v="O"/>
    <m/>
    <m/>
    <m/>
    <m/>
    <m/>
    <m/>
    <m/>
    <m/>
    <s v=""/>
    <x v="18"/>
    <x v="0"/>
    <s v="FHIR"/>
    <s v="4.0.1"/>
    <s v=""/>
    <x v="18"/>
    <s v="JA"/>
    <s v="DeviceBirthControlMethods"/>
    <m/>
    <m/>
    <m/>
    <s v=""/>
    <m/>
    <x v="0"/>
    <s v="&quot;Contraceptive history&quot;-&gt;&quot;Contraceptive history - Device-based&quot;"/>
    <s v="Ready for testing"/>
    <x v="1"/>
    <m/>
    <s v=""/>
    <s v=""/>
    <m/>
    <s v=""/>
    <m/>
    <m/>
    <m/>
    <s v="No terminology code required"/>
    <s v=""/>
    <m/>
    <s v=""/>
    <s v=""/>
    <s v=""/>
    <s v=""/>
    <s v=""/>
    <s v=""/>
    <m/>
    <m/>
    <m/>
    <x v="6"/>
    <s v=""/>
    <x v="7"/>
    <x v="19"/>
    <n v="1"/>
    <n v="1"/>
    <n v="1"/>
    <n v="1"/>
    <n v="1"/>
    <n v="0"/>
    <n v="0"/>
  </r>
  <r>
    <n v="2360"/>
    <s v="Contraceptive history - Medication-based"/>
    <n v="2360"/>
    <s v="Contraceptive history"/>
    <s v="Contraceptive history"/>
    <x v="0"/>
    <n v="40"/>
    <s v=""/>
    <m/>
    <m/>
    <s v="ST.2 Consultation"/>
    <x v="8"/>
    <m/>
    <s v="2.2 Capture or update client history"/>
    <s v="ST.DE.406"/>
    <m/>
    <s v="Contraceptive history"/>
    <m/>
    <s v="Reported use of method at intake"/>
    <s v="Coding"/>
    <s v="Select all that apply"/>
    <m/>
    <m/>
    <s v="No"/>
    <m/>
    <s v="Yes"/>
    <s v="O"/>
    <m/>
    <m/>
    <m/>
    <m/>
    <m/>
    <m/>
    <m/>
    <m/>
    <s v=""/>
    <x v="20"/>
    <x v="2"/>
    <s v="FHIR"/>
    <s v="4.0.1"/>
    <s v=""/>
    <x v="19"/>
    <s v="JA"/>
    <s v="MedicationBirthControlMethods"/>
    <m/>
    <m/>
    <m/>
    <s v=""/>
    <m/>
    <x v="0"/>
    <s v="&quot;Contraceptive history&quot;-&gt;&quot;Contraceptive history - Medication-based&quot;"/>
    <s v="Ready for testing"/>
    <x v="1"/>
    <m/>
    <s v=""/>
    <s v=""/>
    <m/>
    <s v=""/>
    <m/>
    <m/>
    <m/>
    <s v="No terminology code required"/>
    <s v=""/>
    <m/>
    <s v=""/>
    <s v=""/>
    <s v=""/>
    <s v=""/>
    <s v=""/>
    <s v=""/>
    <m/>
    <m/>
    <m/>
    <x v="7"/>
    <s v=""/>
    <x v="8"/>
    <x v="20"/>
    <n v="1"/>
    <n v="1"/>
    <n v="1"/>
    <n v="1"/>
    <n v="1"/>
    <n v="0"/>
    <n v="0"/>
  </r>
  <r>
    <n v="2361"/>
    <s v="Contraceptive history - Procedure-based"/>
    <n v="2361"/>
    <s v="Contraceptive history"/>
    <s v="Contraceptive history"/>
    <x v="0"/>
    <n v="39"/>
    <s v=""/>
    <m/>
    <m/>
    <s v="ST.2 Consultation"/>
    <x v="8"/>
    <m/>
    <s v="2.2 Capture or update client history"/>
    <s v="ST.DE.406"/>
    <m/>
    <s v="Contraceptive history"/>
    <m/>
    <s v="Reported use of method at intake"/>
    <s v="Coding"/>
    <s v="Select all that apply"/>
    <m/>
    <m/>
    <s v="No"/>
    <m/>
    <s v="Yes"/>
    <s v="O"/>
    <m/>
    <m/>
    <m/>
    <m/>
    <m/>
    <m/>
    <m/>
    <m/>
    <s v=""/>
    <x v="22"/>
    <x v="0"/>
    <s v="FHIR"/>
    <s v="4.0.1"/>
    <s v=""/>
    <x v="20"/>
    <s v="JA"/>
    <s v="ProcedureBirthControlMethods"/>
    <m/>
    <m/>
    <m/>
    <s v=""/>
    <m/>
    <x v="0"/>
    <s v="&quot;Contraceptive history&quot;-&gt;&quot;Contraceptive history - Procedure-based&quot;"/>
    <s v="Ready for testing"/>
    <x v="1"/>
    <m/>
    <s v=""/>
    <s v=""/>
    <m/>
    <s v=""/>
    <m/>
    <m/>
    <m/>
    <s v="No terminology code required"/>
    <s v=""/>
    <m/>
    <s v=""/>
    <s v=""/>
    <s v=""/>
    <s v=""/>
    <s v=""/>
    <s v=""/>
    <m/>
    <m/>
    <m/>
    <x v="8"/>
    <s v=""/>
    <x v="9"/>
    <x v="21"/>
    <n v="1"/>
    <n v="1"/>
    <n v="1"/>
    <n v="1"/>
    <n v="1"/>
    <n v="0"/>
    <n v="0"/>
  </r>
  <r>
    <n v="2362"/>
    <s v="Contraceptive history - CarePlan-based"/>
    <n v="2362"/>
    <s v="Contraceptive history"/>
    <s v="Contraceptive history"/>
    <x v="0"/>
    <n v="38"/>
    <s v=""/>
    <m/>
    <m/>
    <s v="ST.2 Consultation"/>
    <x v="8"/>
    <m/>
    <s v="2.2 Capture or update client history"/>
    <s v="ST.DE.406"/>
    <m/>
    <s v="Contraceptive history"/>
    <m/>
    <s v="Reported use of method at intake"/>
    <s v="Coding"/>
    <s v="Select all that apply"/>
    <m/>
    <m/>
    <s v="No"/>
    <m/>
    <s v="Yes"/>
    <s v="O"/>
    <m/>
    <m/>
    <m/>
    <m/>
    <m/>
    <m/>
    <m/>
    <m/>
    <s v=""/>
    <x v="24"/>
    <x v="0"/>
    <s v="FHIR"/>
    <s v="4.0.1"/>
    <s v=""/>
    <x v="21"/>
    <s v="JA"/>
    <s v="CarePlanBirthControlMethods"/>
    <m/>
    <m/>
    <m/>
    <s v=""/>
    <m/>
    <x v="0"/>
    <s v="&quot;Contraceptive history&quot;-&gt;&quot;Contraceptive history - CarePlan-based&quot;"/>
    <s v="Ready for testing"/>
    <x v="1"/>
    <m/>
    <s v=""/>
    <s v=""/>
    <m/>
    <s v=""/>
    <m/>
    <m/>
    <m/>
    <s v="No terminology code required"/>
    <s v=""/>
    <m/>
    <s v=""/>
    <s v=""/>
    <s v=""/>
    <s v=""/>
    <s v=""/>
    <s v=""/>
    <m/>
    <m/>
    <m/>
    <x v="9"/>
    <s v=""/>
    <x v="10"/>
    <x v="22"/>
    <n v="1"/>
    <n v="1"/>
    <n v="1"/>
    <n v="1"/>
    <n v="1"/>
    <n v="0"/>
    <n v="0"/>
  </r>
  <r>
    <n v="2374"/>
    <s v="STI Care Recommendation"/>
    <m/>
    <m/>
    <m/>
    <x v="0"/>
    <m/>
    <m/>
    <m/>
    <m/>
    <m/>
    <x v="9"/>
    <m/>
    <m/>
    <m/>
    <m/>
    <m/>
    <m/>
    <m/>
    <m/>
    <m/>
    <m/>
    <m/>
    <m/>
    <m/>
    <m/>
    <m/>
    <m/>
    <m/>
    <m/>
    <m/>
    <m/>
    <m/>
    <m/>
    <m/>
    <m/>
    <x v="24"/>
    <x v="0"/>
    <s v="FHIR"/>
    <s v="4.0.1"/>
    <s v=""/>
    <x v="82"/>
    <s v="JS"/>
    <m/>
    <m/>
    <m/>
    <m/>
    <m/>
    <m/>
    <x v="2"/>
    <m/>
    <m/>
    <x v="1"/>
    <m/>
    <m/>
    <m/>
    <m/>
    <m/>
    <m/>
    <m/>
    <m/>
    <m/>
    <m/>
    <m/>
    <m/>
    <m/>
    <m/>
    <m/>
    <m/>
    <m/>
    <m/>
    <m/>
    <m/>
    <x v="9"/>
    <s v=""/>
    <x v="10"/>
    <x v="83"/>
    <n v="1"/>
    <n v="1"/>
    <n v="0"/>
    <n v="1"/>
    <n v="0"/>
    <n v="1"/>
    <n v="0"/>
  </r>
  <r>
    <n v="1987"/>
    <s v="       Perform pregnancy test"/>
    <n v="1987"/>
    <e v="#NAME?"/>
    <s v="Perform pregnancy test"/>
    <x v="1"/>
    <n v="29"/>
    <s v="STI Care Recommendation"/>
    <m/>
    <m/>
    <s v="ST.2 Consultation"/>
    <x v="6"/>
    <m/>
    <s v="2.2 Capture or update client history"/>
    <s v="ST.DE.311"/>
    <m/>
    <s v="Perform pregnancy test"/>
    <m/>
    <s v="System generated value on if a pregnancy test is needed, based on checklist answers and guidance"/>
    <s v="Boolean"/>
    <m/>
    <s v="True/False"/>
    <m/>
    <s v="No"/>
    <m/>
    <s v="No"/>
    <s v="C"/>
    <s v="Include if Pregnancy status = Unknown and Source of pregnancy status = Pregnancy checklist"/>
    <m/>
    <m/>
    <m/>
    <m/>
    <s v="Provider handbook"/>
    <m/>
    <m/>
    <s v=""/>
    <x v="3"/>
    <x v="0"/>
    <m/>
    <m/>
    <m/>
    <x v="2"/>
    <s v="JA"/>
    <m/>
    <m/>
    <m/>
    <m/>
    <s v=""/>
    <m/>
    <x v="2"/>
    <e v="#NAME?"/>
    <m/>
    <x v="1"/>
    <m/>
    <s v=""/>
    <s v="pregnancy test - no tconfirmed result"/>
    <s v="Z31.00; Z32.01; Z32.02"/>
    <s v=""/>
    <m/>
    <m/>
    <m/>
    <s v=""/>
    <s v=""/>
    <m/>
    <s v=""/>
    <s v=""/>
    <s v=""/>
    <s v=""/>
    <s v=""/>
    <s v=""/>
    <m/>
    <m/>
    <m/>
    <x v="2"/>
    <n v="0"/>
    <x v="2"/>
    <x v="83"/>
    <n v="1"/>
    <s v=""/>
    <n v="1"/>
    <n v="1"/>
    <n v="1"/>
    <n v="0"/>
    <n v="0"/>
  </r>
  <r>
    <n v="1275"/>
    <s v="Information source for pregnancy status"/>
    <n v="1275"/>
    <s v="Information source for pregnancy status"/>
    <s v="Information source for pregnancy status"/>
    <x v="0"/>
    <n v="39"/>
    <s v=""/>
    <m/>
    <m/>
    <s v="FP.2. Counseling"/>
    <x v="6"/>
    <m/>
    <s v="2.3 Capture or update client history"/>
    <s v="ST.DE.030"/>
    <s v="FP.DE.056"/>
    <s v="Information source for pregnancy status"/>
    <m/>
    <s v="The source for the status, such as patient reported, laboratory, or point of care. "/>
    <s v="Coding "/>
    <s v="Select all that apply"/>
    <m/>
    <m/>
    <s v="No"/>
    <m/>
    <s v="Yes"/>
    <s v="C"/>
    <s v="Include if Pregnancy status is not null"/>
    <m/>
    <m/>
    <m/>
    <m/>
    <s v="MEC"/>
    <m/>
    <m/>
    <m/>
    <x v="17"/>
    <x v="2"/>
    <s v="FHIR"/>
    <s v="4.0.1"/>
    <m/>
    <x v="2"/>
    <s v="NA"/>
    <m/>
    <m/>
    <m/>
    <s v="Information source for pregnancy status"/>
    <s v="Same"/>
    <m/>
    <x v="0"/>
    <s v=""/>
    <s v="Ready for testing"/>
    <x v="2"/>
    <m/>
    <m/>
    <s v="x"/>
    <m/>
    <m/>
    <m/>
    <s v="86643-4"/>
    <m/>
    <m/>
    <m/>
    <m/>
    <s v="86643-4  (answers= pt reported; lab, POC- all with different LOINCS) "/>
    <m/>
    <m/>
    <m/>
    <m/>
    <m/>
    <m/>
    <m/>
    <m/>
    <x v="2"/>
    <s v=""/>
    <x v="3"/>
    <x v="12"/>
    <n v="1"/>
    <n v="1"/>
    <n v="1"/>
    <n v="1"/>
    <n v="1"/>
    <n v="0"/>
    <n v="0"/>
  </r>
  <r>
    <n v="1995"/>
    <s v="       Patient reported"/>
    <n v="1995"/>
    <e v="#NAME?"/>
    <s v="Patient reported"/>
    <x v="1"/>
    <n v="23"/>
    <s v="Information source for pregnancy status"/>
    <m/>
    <m/>
    <s v="ST.2 Consultation"/>
    <x v="6"/>
    <m/>
    <s v="2.2 Capture or update client history"/>
    <s v="ST.DE.315"/>
    <m/>
    <m/>
    <m/>
    <m/>
    <m/>
    <m/>
    <s v="Patient reported"/>
    <m/>
    <s v="No"/>
    <m/>
    <s v="Yes"/>
    <s v="C"/>
    <m/>
    <m/>
    <m/>
    <m/>
    <m/>
    <m/>
    <m/>
    <m/>
    <s v=""/>
    <x v="3"/>
    <x v="1"/>
    <m/>
    <s v=""/>
    <s v=""/>
    <x v="2"/>
    <s v="NA"/>
    <m/>
    <m/>
    <m/>
    <m/>
    <s v=""/>
    <m/>
    <x v="2"/>
    <e v="#NAME?"/>
    <m/>
    <x v="2"/>
    <m/>
    <s v=""/>
    <s v="plus pregnancy"/>
    <m/>
    <s v=""/>
    <s v="733985002"/>
    <m/>
    <m/>
    <s v=""/>
    <s v=""/>
    <s v="x"/>
    <s v="_x000a_PATRPT. HL7V3"/>
    <s v=""/>
    <s v=""/>
    <s v=""/>
    <s v=""/>
    <s v=""/>
    <m/>
    <m/>
    <m/>
    <x v="2"/>
    <n v="0"/>
    <x v="2"/>
    <x v="12"/>
    <n v="1"/>
    <s v=""/>
    <n v="1"/>
    <n v="1"/>
    <n v="1"/>
    <n v="0"/>
    <n v="0"/>
  </r>
  <r>
    <n v="1996"/>
    <s v="       Urine Test"/>
    <n v="1996"/>
    <e v="#NAME?"/>
    <s v="Urine Test"/>
    <x v="1"/>
    <n v="17"/>
    <s v="Information source for pregnancy status"/>
    <m/>
    <m/>
    <s v="ST.2 Consultation"/>
    <x v="6"/>
    <m/>
    <s v="2.2 Capture or update client history"/>
    <s v="ST.DE.316"/>
    <m/>
    <m/>
    <m/>
    <s v="Urine pregnancy test"/>
    <m/>
    <m/>
    <s v="Urine Test"/>
    <m/>
    <s v="No"/>
    <m/>
    <s v="Yes"/>
    <s v="C"/>
    <m/>
    <m/>
    <m/>
    <m/>
    <m/>
    <m/>
    <m/>
    <m/>
    <s v=""/>
    <x v="3"/>
    <x v="1"/>
    <m/>
    <s v=""/>
    <s v=""/>
    <x v="2"/>
    <s v="NA"/>
    <m/>
    <m/>
    <m/>
    <m/>
    <s v=""/>
    <m/>
    <x v="2"/>
    <e v="#NAME?"/>
    <m/>
    <x v="2"/>
    <m/>
    <s v=""/>
    <s v="is this the test OR a positive result"/>
    <m/>
    <m/>
    <s v="167252002"/>
    <s v="2106-3; 2112-1"/>
    <m/>
    <s v=""/>
    <s v=""/>
    <m/>
    <s v=""/>
    <s v="17"/>
    <s v=""/>
    <s v=""/>
    <s v=""/>
    <s v=""/>
    <m/>
    <m/>
    <m/>
    <x v="2"/>
    <n v="0"/>
    <x v="2"/>
    <x v="12"/>
    <n v="1"/>
    <s v=""/>
    <n v="1"/>
    <n v="1"/>
    <n v="1"/>
    <n v="0"/>
    <n v="0"/>
  </r>
  <r>
    <n v="1997"/>
    <s v="       Blood Test"/>
    <n v="1997"/>
    <e v="#NAME?"/>
    <s v="Blood Test"/>
    <x v="1"/>
    <n v="17"/>
    <s v="Information source for pregnancy status"/>
    <m/>
    <m/>
    <s v="ST.2 Consultation"/>
    <x v="6"/>
    <m/>
    <s v="2.2 Capture or update client history"/>
    <s v="ST.DE.317"/>
    <m/>
    <m/>
    <m/>
    <s v="Serum pregnancy test (B-HCG)"/>
    <m/>
    <m/>
    <s v="Blood Test"/>
    <m/>
    <s v="No"/>
    <m/>
    <s v="Yes"/>
    <s v="C"/>
    <m/>
    <m/>
    <m/>
    <m/>
    <m/>
    <m/>
    <m/>
    <m/>
    <s v=""/>
    <x v="3"/>
    <x v="1"/>
    <m/>
    <s v=""/>
    <s v=""/>
    <x v="2"/>
    <s v="NA"/>
    <m/>
    <m/>
    <m/>
    <m/>
    <s v=""/>
    <m/>
    <x v="2"/>
    <e v="#NAME?"/>
    <m/>
    <x v="2"/>
    <m/>
    <s v=""/>
    <s v="same as urine;codes are different"/>
    <m/>
    <m/>
    <s v="166434005"/>
    <s v="2118-8; 2110-5"/>
    <m/>
    <s v=""/>
    <s v="Narrower"/>
    <m/>
    <s v=""/>
    <s v="17"/>
    <s v=""/>
    <s v=""/>
    <s v=""/>
    <s v=""/>
    <m/>
    <m/>
    <m/>
    <x v="2"/>
    <n v="0"/>
    <x v="2"/>
    <x v="12"/>
    <n v="1"/>
    <s v=""/>
    <n v="1"/>
    <n v="1"/>
    <n v="1"/>
    <n v="0"/>
    <n v="0"/>
  </r>
  <r>
    <n v="1998"/>
    <s v="       Pregnancy checklist"/>
    <n v="1998"/>
    <e v="#NAME?"/>
    <s v="Pregnancy checklist"/>
    <x v="1"/>
    <n v="26"/>
    <s v="Information source for pregnancy status"/>
    <m/>
    <m/>
    <s v="ST.2 Consultation"/>
    <x v="6"/>
    <m/>
    <s v="2.2 Capture or update client history"/>
    <s v="ST.DE.318"/>
    <m/>
    <m/>
    <m/>
    <s v="Pregnancy determined using pregnancy checklist and client history"/>
    <m/>
    <m/>
    <s v="Pregnancy checklist"/>
    <m/>
    <s v="No"/>
    <m/>
    <s v="Yes"/>
    <s v="C"/>
    <s v="If Pregnancy status = &quot;Unknown&quot; decision table for Reasonably certain not pregnant&quot; is used. Set by decision logic. "/>
    <m/>
    <m/>
    <m/>
    <s v="Include here if the  decision logic was how pregnancy status was determined? "/>
    <m/>
    <m/>
    <m/>
    <s v=""/>
    <x v="3"/>
    <x v="1"/>
    <m/>
    <s v=""/>
    <s v=""/>
    <x v="2"/>
    <s v="NA"/>
    <m/>
    <m/>
    <m/>
    <m/>
    <s v=""/>
    <m/>
    <x v="2"/>
    <e v="#NAME?"/>
    <m/>
    <x v="2"/>
    <m/>
    <s v=""/>
    <s v=""/>
    <m/>
    <s v=""/>
    <s v="169563005"/>
    <m/>
    <m/>
    <s v=""/>
    <s v=""/>
    <m/>
    <s v=""/>
    <s v=""/>
    <s v=""/>
    <s v=""/>
    <s v=""/>
    <s v=""/>
    <m/>
    <m/>
    <m/>
    <x v="2"/>
    <n v="0"/>
    <x v="2"/>
    <x v="12"/>
    <n v="1"/>
    <s v=""/>
    <n v="1"/>
    <n v="1"/>
    <n v="1"/>
    <n v="0"/>
    <n v="0"/>
  </r>
  <r>
    <n v="1999"/>
    <s v="       Pregnancy test guidance"/>
    <n v="1999"/>
    <e v="#NAME?"/>
    <s v="Pregnancy test guidance"/>
    <x v="1"/>
    <n v="30"/>
    <s v="Information source for pregnancy status"/>
    <m/>
    <m/>
    <s v="ST.2 Consultation"/>
    <x v="6"/>
    <m/>
    <s v="2.2 Capture or update client history"/>
    <s v="ST.DE.319"/>
    <m/>
    <m/>
    <m/>
    <s v="Pregnancy determined using guidance for pregnancy testing"/>
    <m/>
    <m/>
    <s v="Pregnancy test guidance"/>
    <m/>
    <s v="No"/>
    <m/>
    <s v="Yes"/>
    <s v="C"/>
    <m/>
    <m/>
    <m/>
    <m/>
    <m/>
    <m/>
    <m/>
    <m/>
    <s v=""/>
    <x v="3"/>
    <x v="1"/>
    <m/>
    <s v=""/>
    <s v=""/>
    <x v="2"/>
    <s v="NA"/>
    <m/>
    <m/>
    <m/>
    <m/>
    <s v=""/>
    <m/>
    <x v="2"/>
    <e v="#NAME?"/>
    <m/>
    <x v="2"/>
    <s v="http://who.int/cg/CodeSystem/extended-content"/>
    <s v="Pregnancy test guidance"/>
    <s v=""/>
    <m/>
    <s v=""/>
    <m/>
    <m/>
    <m/>
    <s v="No SNOMED code available"/>
    <s v=""/>
    <s v="x"/>
    <s v="way too specific... or maybe I don't understand intention? :)  an individual learns of their pregancy by being instructed on a pregnancy test and how it works? :D"/>
    <s v=""/>
    <s v=""/>
    <s v=""/>
    <s v=""/>
    <s v=""/>
    <m/>
    <m/>
    <m/>
    <x v="2"/>
    <n v="0"/>
    <x v="2"/>
    <x v="12"/>
    <n v="1"/>
    <s v=""/>
    <n v="1"/>
    <n v="1"/>
    <n v="1"/>
    <n v="0"/>
    <n v="0"/>
  </r>
  <r>
    <n v="2001"/>
    <s v="Recent abortion or miscarriage"/>
    <n v="2001"/>
    <s v="Recent abortion or miscarriage"/>
    <s v="Recent abortion or miscarriage"/>
    <x v="0"/>
    <n v="30"/>
    <s v=""/>
    <m/>
    <m/>
    <s v="ST.2 Consultation"/>
    <x v="6"/>
    <m/>
    <s v="2.2 Capture or update client history"/>
    <s v="ST.DE.223"/>
    <m/>
    <s v="Recent abortion or miscarriage"/>
    <m/>
    <m/>
    <s v="Boolean"/>
    <m/>
    <s v="True/False"/>
    <m/>
    <s v="No"/>
    <m/>
    <s v="Yes"/>
    <s v="C"/>
    <s v="Skip if gender = male"/>
    <m/>
    <m/>
    <m/>
    <m/>
    <m/>
    <m/>
    <m/>
    <s v=""/>
    <x v="17"/>
    <x v="4"/>
    <s v="FHIR"/>
    <s v="4.0.1"/>
    <s v=""/>
    <x v="83"/>
    <s v="JA"/>
    <m/>
    <m/>
    <m/>
    <m/>
    <s v=""/>
    <m/>
    <x v="2"/>
    <s v=""/>
    <m/>
    <x v="0"/>
    <m/>
    <s v=""/>
    <s v=""/>
    <m/>
    <s v=""/>
    <s v="17369002"/>
    <m/>
    <m/>
    <s v=""/>
    <s v=""/>
    <m/>
    <s v="need to include time; this is only for SAB"/>
    <s v=""/>
    <s v=""/>
    <s v=""/>
    <s v=""/>
    <s v=""/>
    <m/>
    <m/>
    <m/>
    <x v="5"/>
    <s v=""/>
    <x v="6"/>
    <x v="84"/>
    <n v="1"/>
    <n v="0"/>
    <n v="1"/>
    <n v="1"/>
    <n v="1"/>
    <n v="0"/>
    <n v="0"/>
  </r>
  <r>
    <n v="2003"/>
    <s v="Reported symptoms"/>
    <n v="2003"/>
    <s v="Reported symptoms"/>
    <s v="Reported symptoms"/>
    <x v="0"/>
    <n v="17"/>
    <s v=""/>
    <m/>
    <m/>
    <s v="ST.2 Consultation"/>
    <x v="15"/>
    <m/>
    <s v="2.2 Capture or update client history"/>
    <s v="ST.DE.047"/>
    <m/>
    <s v="Reported symptoms"/>
    <m/>
    <m/>
    <m/>
    <m/>
    <m/>
    <m/>
    <s v="No"/>
    <m/>
    <s v="Yes"/>
    <s v="O"/>
    <m/>
    <m/>
    <m/>
    <m/>
    <m/>
    <m/>
    <m/>
    <m/>
    <s v=""/>
    <x v="17"/>
    <x v="2"/>
    <s v="FHIR"/>
    <s v="4.0.1"/>
    <s v=""/>
    <x v="84"/>
    <s v="JA"/>
    <m/>
    <s v="Extensible"/>
    <m/>
    <m/>
    <s v=""/>
    <m/>
    <x v="2"/>
    <s v=""/>
    <m/>
    <x v="1"/>
    <m/>
    <s v=""/>
    <s v=""/>
    <m/>
    <s v=""/>
    <m/>
    <m/>
    <m/>
    <s v="No terminology code required"/>
    <s v=""/>
    <m/>
    <s v=""/>
    <s v=""/>
    <s v=""/>
    <s v=""/>
    <s v=""/>
    <s v=""/>
    <m/>
    <m/>
    <m/>
    <x v="5"/>
    <s v=""/>
    <x v="6"/>
    <x v="85"/>
    <n v="1"/>
    <n v="1"/>
    <n v="1"/>
    <n v="1"/>
    <n v="1"/>
    <n v="0"/>
    <n v="0"/>
  </r>
  <r>
    <n v="2004"/>
    <s v="       Abnormal vaginal discharge"/>
    <n v="2004"/>
    <e v="#NAME?"/>
    <s v="Abnormal vaginal discharge"/>
    <x v="1"/>
    <n v="33"/>
    <s v="Reported symptoms"/>
    <m/>
    <m/>
    <s v="ST.2 Consultation"/>
    <x v="15"/>
    <m/>
    <s v="2.2 Capture or update client history"/>
    <s v="ST.DE.200"/>
    <m/>
    <m/>
    <m/>
    <m/>
    <m/>
    <m/>
    <s v="Abnormal vaginal discharge"/>
    <m/>
    <s v="No"/>
    <m/>
    <s v="Yes"/>
    <s v="O"/>
    <s v="Include if gender !=male"/>
    <m/>
    <s v="STI.IND.07"/>
    <m/>
    <m/>
    <s v="DL - Chief complaint, lower abdomenal, Vaginal Discharge, Exams"/>
    <m/>
    <m/>
    <s v=""/>
    <x v="3"/>
    <x v="1"/>
    <m/>
    <s v=""/>
    <s v=""/>
    <x v="2"/>
    <s v="JS"/>
    <m/>
    <m/>
    <m/>
    <m/>
    <s v=""/>
    <m/>
    <x v="2"/>
    <e v="#NAME?"/>
    <m/>
    <x v="1"/>
    <m/>
    <s v=""/>
    <s v="include if gender is male? is that mistake?"/>
    <m/>
    <s v=""/>
    <s v="289567003"/>
    <m/>
    <m/>
    <s v=""/>
    <s v=""/>
    <m/>
    <s v=""/>
    <s v=""/>
    <s v=""/>
    <s v=""/>
    <s v=""/>
    <s v=""/>
    <m/>
    <m/>
    <m/>
    <x v="2"/>
    <n v="0"/>
    <x v="2"/>
    <x v="85"/>
    <n v="1"/>
    <s v=""/>
    <n v="1"/>
    <n v="1"/>
    <n v="1"/>
    <n v="0"/>
    <n v="0"/>
  </r>
  <r>
    <n v="2005"/>
    <s v="       Vulval or vaginal Irritation"/>
    <n v="2005"/>
    <e v="#NAME?"/>
    <s v="Vulval or vaginal Irritation"/>
    <x v="1"/>
    <n v="35"/>
    <s v="Reported symptoms"/>
    <m/>
    <m/>
    <s v="ST.2 Consultation"/>
    <x v="15"/>
    <m/>
    <s v="2.2 Capture or update client history"/>
    <s v="ST.DE.146"/>
    <m/>
    <m/>
    <m/>
    <m/>
    <m/>
    <m/>
    <s v="Vulval or vaginal Irritation"/>
    <m/>
    <s v="No"/>
    <m/>
    <s v="Yes "/>
    <s v="O"/>
    <s v="Include if gender !=male"/>
    <m/>
    <m/>
    <m/>
    <m/>
    <m/>
    <m/>
    <m/>
    <s v=""/>
    <x v="3"/>
    <x v="1"/>
    <m/>
    <s v=""/>
    <s v=""/>
    <x v="2"/>
    <s v="JS"/>
    <m/>
    <m/>
    <m/>
    <m/>
    <s v=""/>
    <m/>
    <x v="2"/>
    <e v="#NAME?"/>
    <m/>
    <x v="1"/>
    <m/>
    <s v=""/>
    <s v="x"/>
    <m/>
    <s v=""/>
    <s v="16186004"/>
    <m/>
    <m/>
    <s v=""/>
    <s v=""/>
    <m/>
    <s v=""/>
    <s v=""/>
    <s v=""/>
    <s v=""/>
    <s v=""/>
    <s v=""/>
    <m/>
    <m/>
    <m/>
    <x v="2"/>
    <n v="0"/>
    <x v="2"/>
    <x v="85"/>
    <n v="1"/>
    <s v=""/>
    <n v="1"/>
    <n v="1"/>
    <n v="1"/>
    <n v="0"/>
    <n v="0"/>
  </r>
  <r>
    <n v="2006"/>
    <s v="       Abdominal guarding"/>
    <n v="2006"/>
    <e v="#NAME?"/>
    <s v="Abdominal guarding"/>
    <x v="1"/>
    <n v="25"/>
    <s v="Reported symptoms"/>
    <m/>
    <m/>
    <s v="ST.2 Consultation"/>
    <x v="15"/>
    <m/>
    <s v="2.2 Capture or update client history"/>
    <s v="ST.DE.224"/>
    <m/>
    <m/>
    <m/>
    <m/>
    <m/>
    <m/>
    <s v="Abdominal guarding"/>
    <m/>
    <s v="No"/>
    <m/>
    <s v="Yes"/>
    <s v="O"/>
    <m/>
    <m/>
    <m/>
    <m/>
    <m/>
    <s v="DL Lower Abdomenal"/>
    <m/>
    <m/>
    <s v=""/>
    <x v="3"/>
    <x v="1"/>
    <m/>
    <s v=""/>
    <s v=""/>
    <x v="2"/>
    <s v="JS"/>
    <m/>
    <m/>
    <m/>
    <m/>
    <s v=""/>
    <m/>
    <x v="2"/>
    <e v="#NAME?"/>
    <m/>
    <x v="1"/>
    <m/>
    <s v=""/>
    <s v="x"/>
    <m/>
    <s v=""/>
    <s v="249545003"/>
    <m/>
    <m/>
    <s v=""/>
    <s v=""/>
    <m/>
    <s v=""/>
    <s v=""/>
    <s v=""/>
    <s v=""/>
    <s v=""/>
    <s v=""/>
    <m/>
    <m/>
    <m/>
    <x v="2"/>
    <n v="0"/>
    <x v="2"/>
    <x v="85"/>
    <n v="1"/>
    <s v=""/>
    <n v="1"/>
    <n v="1"/>
    <n v="1"/>
    <n v="0"/>
    <n v="0"/>
  </r>
  <r>
    <n v="2007"/>
    <s v="       Rebound tenderness"/>
    <n v="2007"/>
    <e v="#NAME?"/>
    <s v="Rebound tenderness"/>
    <x v="1"/>
    <n v="25"/>
    <s v="Reported symptoms"/>
    <m/>
    <m/>
    <s v="ST.2 Consultation"/>
    <x v="15"/>
    <m/>
    <s v="2.2 Capture or update client history"/>
    <s v="ST.DE.225"/>
    <m/>
    <m/>
    <m/>
    <m/>
    <m/>
    <m/>
    <s v="Rebound tenderness"/>
    <m/>
    <s v="No"/>
    <m/>
    <s v="Yes"/>
    <s v="O"/>
    <m/>
    <m/>
    <m/>
    <m/>
    <m/>
    <s v="DL Lower Abdomenal"/>
    <m/>
    <m/>
    <s v=""/>
    <x v="3"/>
    <x v="1"/>
    <m/>
    <s v=""/>
    <s v=""/>
    <x v="2"/>
    <s v="JS"/>
    <m/>
    <m/>
    <m/>
    <m/>
    <s v=""/>
    <m/>
    <x v="2"/>
    <e v="#NAME?"/>
    <m/>
    <x v="1"/>
    <m/>
    <s v=""/>
    <s v="x"/>
    <m/>
    <s v=""/>
    <s v="35611005"/>
    <m/>
    <m/>
    <s v=""/>
    <s v=""/>
    <m/>
    <s v=""/>
    <s v=""/>
    <s v=""/>
    <s v=""/>
    <s v=""/>
    <s v=""/>
    <m/>
    <m/>
    <m/>
    <x v="2"/>
    <n v="0"/>
    <x v="2"/>
    <x v="85"/>
    <n v="1"/>
    <s v=""/>
    <n v="1"/>
    <n v="1"/>
    <n v="1"/>
    <n v="0"/>
    <n v="0"/>
  </r>
  <r>
    <n v="2008"/>
    <s v="       Abdominal mass"/>
    <n v="2008"/>
    <e v="#NAME?"/>
    <s v="Abdominal mass"/>
    <x v="1"/>
    <n v="21"/>
    <s v="Reported symptoms"/>
    <m/>
    <m/>
    <s v="ST.2 Consultation"/>
    <x v="15"/>
    <m/>
    <s v="2.2 Capture or update client history"/>
    <s v="ST.DE.226"/>
    <m/>
    <m/>
    <m/>
    <m/>
    <m/>
    <m/>
    <s v="Abdominal mass"/>
    <m/>
    <s v="No"/>
    <m/>
    <s v="Yes"/>
    <s v="O"/>
    <m/>
    <m/>
    <m/>
    <m/>
    <m/>
    <s v="DL Lower Abdomenal"/>
    <m/>
    <m/>
    <s v=""/>
    <x v="3"/>
    <x v="1"/>
    <m/>
    <s v=""/>
    <s v=""/>
    <x v="2"/>
    <s v="JS"/>
    <m/>
    <m/>
    <m/>
    <m/>
    <s v=""/>
    <m/>
    <x v="2"/>
    <e v="#NAME?"/>
    <m/>
    <x v="1"/>
    <m/>
    <s v=""/>
    <s v="x"/>
    <m/>
    <s v=""/>
    <s v="271860004"/>
    <m/>
    <m/>
    <s v=""/>
    <s v=""/>
    <m/>
    <s v=""/>
    <s v=""/>
    <s v=""/>
    <s v=""/>
    <s v=""/>
    <s v=""/>
    <m/>
    <m/>
    <m/>
    <x v="2"/>
    <n v="0"/>
    <x v="2"/>
    <x v="85"/>
    <n v="1"/>
    <s v=""/>
    <n v="1"/>
    <n v="1"/>
    <n v="1"/>
    <n v="0"/>
    <n v="0"/>
  </r>
  <r>
    <n v="2009"/>
    <s v="       Cervical motion tenderness"/>
    <n v="2009"/>
    <e v="#NAME?"/>
    <s v="Cervical motion tenderness"/>
    <x v="1"/>
    <n v="33"/>
    <s v="Reported symptoms"/>
    <m/>
    <m/>
    <s v="ST.2 Consultation"/>
    <x v="15"/>
    <m/>
    <s v="2.2 Capture or update client history"/>
    <s v="ST.DE.227"/>
    <m/>
    <m/>
    <m/>
    <m/>
    <m/>
    <m/>
    <s v="Cervical motion tenderness"/>
    <m/>
    <s v="No"/>
    <m/>
    <s v="Yes"/>
    <s v="O"/>
    <s v="Include if gender !=male"/>
    <m/>
    <m/>
    <m/>
    <m/>
    <s v="DL Lower Abdomenal, Exams"/>
    <m/>
    <m/>
    <s v=""/>
    <x v="3"/>
    <x v="1"/>
    <m/>
    <s v=""/>
    <s v=""/>
    <x v="2"/>
    <s v="JS"/>
    <m/>
    <m/>
    <m/>
    <m/>
    <s v=""/>
    <m/>
    <x v="2"/>
    <e v="#NAME?"/>
    <m/>
    <x v="1"/>
    <m/>
    <s v=""/>
    <s v=""/>
    <m/>
    <s v=""/>
    <s v="289815006"/>
    <m/>
    <m/>
    <s v=""/>
    <s v=""/>
    <m/>
    <s v=""/>
    <s v=""/>
    <s v=""/>
    <s v=""/>
    <s v=""/>
    <s v=""/>
    <m/>
    <m/>
    <m/>
    <x v="2"/>
    <n v="0"/>
    <x v="2"/>
    <x v="85"/>
    <n v="1"/>
    <s v=""/>
    <n v="1"/>
    <n v="1"/>
    <n v="1"/>
    <n v="0"/>
    <n v="0"/>
  </r>
  <r>
    <n v="2010"/>
    <s v="       Pain in lower abdomen during pelvic examination"/>
    <n v="2010"/>
    <e v="#NAME?"/>
    <s v="Pain in lower abdomen during pelvic examination"/>
    <x v="1"/>
    <n v="54"/>
    <s v="Reported symptoms"/>
    <m/>
    <m/>
    <s v="ST.2 Consultation"/>
    <x v="15"/>
    <m/>
    <s v="2.2 Capture or update client history"/>
    <s v="ST.DE.202"/>
    <m/>
    <m/>
    <m/>
    <m/>
    <m/>
    <m/>
    <s v="Pain in lower abdomen during pelvic examination"/>
    <m/>
    <s v="No"/>
    <m/>
    <s v="Yes"/>
    <s v="O"/>
    <m/>
    <m/>
    <m/>
    <m/>
    <m/>
    <s v="DL - Chief complaint, lower abdomenal, Exams"/>
    <m/>
    <m/>
    <s v=""/>
    <x v="3"/>
    <x v="1"/>
    <m/>
    <s v=""/>
    <s v=""/>
    <x v="2"/>
    <s v="JS"/>
    <m/>
    <m/>
    <m/>
    <m/>
    <s v=""/>
    <m/>
    <x v="2"/>
    <e v="#NAME?"/>
    <m/>
    <x v="1"/>
    <m/>
    <s v=""/>
    <s v=""/>
    <m/>
    <s v=""/>
    <s v="54586004"/>
    <m/>
    <m/>
    <s v=""/>
    <s v=""/>
    <s v="x"/>
    <s v=""/>
    <s v=""/>
    <s v=""/>
    <s v=""/>
    <s v=""/>
    <s v=""/>
    <m/>
    <m/>
    <m/>
    <x v="2"/>
    <n v="0"/>
    <x v="2"/>
    <x v="85"/>
    <n v="1"/>
    <s v=""/>
    <n v="1"/>
    <n v="1"/>
    <n v="1"/>
    <n v="0"/>
    <n v="0"/>
  </r>
  <r>
    <n v="2011"/>
    <s v="       Ulcer(s) improving"/>
    <n v="2011"/>
    <e v="#NAME?"/>
    <s v="Ulcer(s) improving"/>
    <x v="1"/>
    <n v="25"/>
    <s v="Reported symptoms"/>
    <m/>
    <m/>
    <s v="ST.2 Consultation"/>
    <x v="15"/>
    <m/>
    <s v="2.2 Capture or update client history"/>
    <s v="ST.DE.240"/>
    <m/>
    <m/>
    <m/>
    <m/>
    <m/>
    <m/>
    <s v="Ulcer(s) improving"/>
    <m/>
    <s v="No"/>
    <m/>
    <s v="Yes"/>
    <s v="O"/>
    <m/>
    <m/>
    <m/>
    <m/>
    <m/>
    <s v="DL Genital ulcer return visit"/>
    <m/>
    <m/>
    <s v=""/>
    <x v="3"/>
    <x v="1"/>
    <m/>
    <s v=""/>
    <s v=""/>
    <x v="2"/>
    <s v="JS"/>
    <m/>
    <m/>
    <m/>
    <m/>
    <s v=""/>
    <m/>
    <x v="2"/>
    <e v="#NAME?"/>
    <m/>
    <x v="1"/>
    <m/>
    <s v=""/>
    <s v=""/>
    <m/>
    <s v=""/>
    <s v="25845007"/>
    <m/>
    <m/>
    <s v=""/>
    <s v=""/>
    <s v="x"/>
    <s v="??ULSER"/>
    <s v=""/>
    <s v=""/>
    <s v=""/>
    <s v=""/>
    <s v=""/>
    <m/>
    <m/>
    <m/>
    <x v="2"/>
    <n v="0"/>
    <x v="2"/>
    <x v="85"/>
    <n v="1"/>
    <s v=""/>
    <n v="1"/>
    <n v="1"/>
    <n v="1"/>
    <n v="0"/>
    <n v="0"/>
  </r>
  <r>
    <n v="2012"/>
    <s v="       Ulcer(s) healed"/>
    <n v="2012"/>
    <e v="#NAME?"/>
    <s v="Ulcer(s) healed"/>
    <x v="1"/>
    <n v="22"/>
    <s v="Reported symptoms"/>
    <m/>
    <m/>
    <s v="ST.2 Consultation"/>
    <x v="15"/>
    <m/>
    <s v="2.2 Capture or update client history"/>
    <s v="ST.DE.239"/>
    <m/>
    <m/>
    <m/>
    <m/>
    <m/>
    <m/>
    <s v="Ulcer(s) healed"/>
    <m/>
    <s v="No"/>
    <m/>
    <s v="Yes"/>
    <s v="O"/>
    <m/>
    <m/>
    <m/>
    <m/>
    <m/>
    <s v="DL Genital ulcer return visit"/>
    <m/>
    <m/>
    <s v=""/>
    <x v="3"/>
    <x v="1"/>
    <m/>
    <s v=""/>
    <s v=""/>
    <x v="2"/>
    <s v="JS"/>
    <m/>
    <m/>
    <m/>
    <m/>
    <s v=""/>
    <m/>
    <x v="2"/>
    <e v="#NAME?"/>
    <m/>
    <x v="1"/>
    <m/>
    <s v=""/>
    <s v=""/>
    <m/>
    <s v=""/>
    <s v="125313005"/>
    <m/>
    <m/>
    <s v=""/>
    <s v=""/>
    <s v="x"/>
    <s v="? ULCER"/>
    <s v=""/>
    <s v=""/>
    <s v=""/>
    <s v=""/>
    <s v=""/>
    <m/>
    <m/>
    <m/>
    <x v="2"/>
    <n v="0"/>
    <x v="2"/>
    <x v="85"/>
    <n v="1"/>
    <s v=""/>
    <n v="1"/>
    <n v="1"/>
    <n v="1"/>
    <n v="0"/>
    <n v="0"/>
  </r>
  <r>
    <n v="2013"/>
    <s v="       Adnexal tenderness"/>
    <n v="2013"/>
    <e v="#NAME?"/>
    <s v="Adnexal tenderness"/>
    <x v="1"/>
    <n v="25"/>
    <s v="Reported symptoms"/>
    <m/>
    <m/>
    <s v="ST.2 Consultation"/>
    <x v="15"/>
    <m/>
    <s v="2.2 Capture or update client history"/>
    <s v="ST.DE.269"/>
    <m/>
    <m/>
    <m/>
    <m/>
    <m/>
    <m/>
    <s v="Adnexal tenderness"/>
    <m/>
    <s v="No"/>
    <m/>
    <s v="Yes"/>
    <s v="O"/>
    <m/>
    <m/>
    <m/>
    <m/>
    <m/>
    <s v="DL Exams"/>
    <m/>
    <m/>
    <s v=""/>
    <x v="3"/>
    <x v="1"/>
    <m/>
    <s v=""/>
    <s v=""/>
    <x v="2"/>
    <s v="JS"/>
    <m/>
    <m/>
    <m/>
    <m/>
    <s v=""/>
    <m/>
    <x v="2"/>
    <e v="#NAME?"/>
    <m/>
    <x v="1"/>
    <m/>
    <s v=""/>
    <s v="x"/>
    <m/>
    <s v=""/>
    <s v="297123002"/>
    <m/>
    <m/>
    <s v=""/>
    <s v=""/>
    <m/>
    <s v=""/>
    <s v=""/>
    <s v=""/>
    <s v=""/>
    <s v=""/>
    <s v=""/>
    <m/>
    <m/>
    <m/>
    <x v="2"/>
    <n v="0"/>
    <x v="2"/>
    <x v="85"/>
    <n v="1"/>
    <s v=""/>
    <n v="1"/>
    <n v="1"/>
    <n v="1"/>
    <n v="0"/>
    <n v="0"/>
  </r>
  <r>
    <n v="2014"/>
    <s v="       Uterine tenderness"/>
    <n v="2014"/>
    <e v="#NAME?"/>
    <s v="Uterine tenderness"/>
    <x v="1"/>
    <n v="25"/>
    <s v="Reported symptoms"/>
    <m/>
    <m/>
    <s v="ST.2 Consultation"/>
    <x v="15"/>
    <m/>
    <s v="2.2 Capture or update client history"/>
    <s v="ST.DE.331"/>
    <m/>
    <m/>
    <m/>
    <m/>
    <m/>
    <m/>
    <s v="Uterine tenderness"/>
    <m/>
    <s v="No"/>
    <m/>
    <s v="Yes"/>
    <s v="O"/>
    <m/>
    <m/>
    <m/>
    <m/>
    <m/>
    <s v="DL Exams"/>
    <m/>
    <m/>
    <s v=""/>
    <x v="3"/>
    <x v="1"/>
    <m/>
    <s v=""/>
    <s v=""/>
    <x v="2"/>
    <s v="JS"/>
    <m/>
    <m/>
    <m/>
    <m/>
    <s v=""/>
    <m/>
    <x v="2"/>
    <e v="#NAME?"/>
    <m/>
    <x v="1"/>
    <m/>
    <s v=""/>
    <s v=""/>
    <s v="R10.2; R10.819; N94.89; N85.8; R10"/>
    <s v=""/>
    <s v="289667007"/>
    <m/>
    <m/>
    <s v=""/>
    <s v=""/>
    <m/>
    <s v="needs value set"/>
    <s v=""/>
    <s v=""/>
    <s v=""/>
    <s v=""/>
    <s v=""/>
    <m/>
    <m/>
    <m/>
    <x v="2"/>
    <n v="0"/>
    <x v="2"/>
    <x v="85"/>
    <n v="1"/>
    <s v=""/>
    <n v="1"/>
    <n v="1"/>
    <n v="1"/>
    <n v="0"/>
    <n v="0"/>
  </r>
  <r>
    <n v="2015"/>
    <s v="       Ulcer in reproductive tract"/>
    <n v="2015"/>
    <e v="#NAME?"/>
    <s v="Ulcer in reproductive tract"/>
    <x v="1"/>
    <n v="34"/>
    <s v="Reported symptoms"/>
    <m/>
    <m/>
    <s v="ST.2 Consultation"/>
    <x v="15"/>
    <m/>
    <s v="2.2 Capture or update client history"/>
    <s v="ST.DE.332"/>
    <m/>
    <m/>
    <m/>
    <m/>
    <m/>
    <m/>
    <s v="Ulcer in reproductive tract"/>
    <m/>
    <s v="No"/>
    <m/>
    <s v="Yes"/>
    <s v="O"/>
    <m/>
    <m/>
    <m/>
    <m/>
    <m/>
    <m/>
    <m/>
    <m/>
    <s v=""/>
    <x v="3"/>
    <x v="1"/>
    <m/>
    <s v=""/>
    <s v=""/>
    <x v="2"/>
    <s v="JS"/>
    <m/>
    <m/>
    <m/>
    <m/>
    <s v=""/>
    <m/>
    <x v="2"/>
    <e v="#NAME?"/>
    <m/>
    <x v="1"/>
    <s v="http://who.int/cg/CodeSystem/extended-content"/>
    <s v="Ulcer in reproductive tract"/>
    <s v=""/>
    <m/>
    <s v=""/>
    <m/>
    <m/>
    <m/>
    <s v="No SNOMED code available"/>
    <s v=""/>
    <s v="x"/>
    <s v="Urethral (8041002) and Vaginal (31066003) ulcers are valid answers, but there's no implied precoordinated value set for tract ulcer"/>
    <s v=""/>
    <s v=""/>
    <s v=""/>
    <s v=""/>
    <s v=""/>
    <m/>
    <m/>
    <m/>
    <x v="2"/>
    <n v="0"/>
    <x v="2"/>
    <x v="85"/>
    <n v="1"/>
    <s v=""/>
    <n v="1"/>
    <n v="1"/>
    <n v="1"/>
    <n v="0"/>
    <n v="0"/>
  </r>
  <r>
    <n v="2016"/>
    <s v="       Foul-smelling vaginal discharge"/>
    <n v="2016"/>
    <e v="#NAME?"/>
    <s v="Foul-smelling vaginal discharge"/>
    <x v="1"/>
    <n v="38"/>
    <s v="Reported symptoms"/>
    <m/>
    <m/>
    <s v="ST.2 Consultation"/>
    <x v="15"/>
    <m/>
    <s v="2.2 Capture or update client history"/>
    <s v="ST.DE.333"/>
    <m/>
    <m/>
    <m/>
    <m/>
    <m/>
    <m/>
    <s v="Foul-smelling vaginal discharge"/>
    <m/>
    <s v="No"/>
    <m/>
    <s v="Yes"/>
    <s v="O"/>
    <s v="Include if gender !=male"/>
    <m/>
    <m/>
    <m/>
    <m/>
    <m/>
    <m/>
    <m/>
    <s v=""/>
    <x v="3"/>
    <x v="1"/>
    <m/>
    <s v=""/>
    <s v=""/>
    <x v="2"/>
    <s v="JS"/>
    <m/>
    <m/>
    <m/>
    <m/>
    <s v=""/>
    <m/>
    <x v="2"/>
    <e v="#NAME?"/>
    <m/>
    <x v="1"/>
    <m/>
    <s v=""/>
    <s v="nothing specific for foul "/>
    <m/>
    <s v=""/>
    <s v="366296005"/>
    <m/>
    <m/>
    <s v=""/>
    <s v=""/>
    <m/>
    <s v="odorous; 366296005"/>
    <s v=""/>
    <s v=""/>
    <s v=""/>
    <s v=""/>
    <s v=""/>
    <m/>
    <m/>
    <m/>
    <x v="2"/>
    <n v="0"/>
    <x v="2"/>
    <x v="85"/>
    <n v="1"/>
    <s v=""/>
    <n v="1"/>
    <n v="1"/>
    <n v="1"/>
    <n v="0"/>
    <n v="0"/>
  </r>
  <r>
    <n v="2017"/>
    <s v="       Clusters of erythematous papules"/>
    <n v="2017"/>
    <e v="#NAME?"/>
    <s v="Clusters of erythematous papules"/>
    <x v="1"/>
    <n v="39"/>
    <s v="Reported symptoms"/>
    <m/>
    <m/>
    <s v="ST.2 Consultation"/>
    <x v="15"/>
    <m/>
    <s v="2.2 Capture or update client history"/>
    <s v="ST.DE.334"/>
    <m/>
    <m/>
    <m/>
    <m/>
    <m/>
    <m/>
    <s v="Clusters of erythematous papules"/>
    <m/>
    <s v="No"/>
    <m/>
    <s v="Yes"/>
    <s v="O"/>
    <m/>
    <m/>
    <m/>
    <m/>
    <m/>
    <m/>
    <m/>
    <m/>
    <s v=""/>
    <x v="3"/>
    <x v="1"/>
    <m/>
    <s v=""/>
    <s v=""/>
    <x v="2"/>
    <s v="JS"/>
    <m/>
    <m/>
    <m/>
    <m/>
    <s v=""/>
    <m/>
    <x v="2"/>
    <e v="#NAME?"/>
    <m/>
    <x v="1"/>
    <s v="http://who.int/cg/CodeSystem/extended-content"/>
    <s v="Clusters of erythematous papules"/>
    <s v=""/>
    <m/>
    <s v=""/>
    <m/>
    <m/>
    <m/>
    <s v="No SNOMED code available"/>
    <s v=""/>
    <s v="x"/>
    <s v="uh.. way too specific"/>
    <s v=""/>
    <s v=""/>
    <s v=""/>
    <s v=""/>
    <s v=""/>
    <m/>
    <m/>
    <m/>
    <x v="2"/>
    <n v="0"/>
    <x v="2"/>
    <x v="85"/>
    <n v="1"/>
    <s v=""/>
    <n v="1"/>
    <n v="1"/>
    <n v="1"/>
    <n v="0"/>
    <n v="0"/>
  </r>
  <r>
    <n v="2018"/>
    <s v="       Vesicles"/>
    <n v="2018"/>
    <e v="#NAME?"/>
    <s v="Vesicles"/>
    <x v="1"/>
    <n v="15"/>
    <s v="Reported symptoms"/>
    <m/>
    <m/>
    <s v="ST.2 Consultation"/>
    <x v="15"/>
    <m/>
    <s v="2.2 Capture or update client history"/>
    <s v="ST.DE.231"/>
    <m/>
    <m/>
    <m/>
    <m/>
    <m/>
    <m/>
    <s v="Vesicles"/>
    <m/>
    <s v="No"/>
    <m/>
    <s v="Yes"/>
    <s v="O"/>
    <m/>
    <m/>
    <m/>
    <m/>
    <m/>
    <s v="DL Genital ulcer"/>
    <m/>
    <m/>
    <s v=""/>
    <x v="3"/>
    <x v="1"/>
    <m/>
    <s v=""/>
    <s v=""/>
    <x v="2"/>
    <s v="JS"/>
    <m/>
    <m/>
    <m/>
    <m/>
    <s v=""/>
    <m/>
    <x v="2"/>
    <e v="#NAME?"/>
    <m/>
    <x v="1"/>
    <m/>
    <s v=""/>
    <s v=""/>
    <s v="N76.5;S30.824D"/>
    <s v=""/>
    <m/>
    <m/>
    <m/>
    <s v=""/>
    <s v=""/>
    <m/>
    <s v="blister of vagina"/>
    <s v=""/>
    <s v=""/>
    <s v=""/>
    <s v=""/>
    <s v=""/>
    <m/>
    <m/>
    <m/>
    <x v="2"/>
    <n v="0"/>
    <x v="2"/>
    <x v="85"/>
    <n v="1"/>
    <s v=""/>
    <n v="1"/>
    <n v="1"/>
    <n v="1"/>
    <n v="0"/>
    <n v="0"/>
  </r>
  <r>
    <n v="2019"/>
    <s v="       Vulval oedema"/>
    <n v="2019"/>
    <e v="#NAME?"/>
    <s v="Vulval oedema"/>
    <x v="1"/>
    <n v="20"/>
    <s v="Reported symptoms"/>
    <m/>
    <m/>
    <s v="ST.2 Consultation"/>
    <x v="15"/>
    <m/>
    <s v="2.2 Capture or update client history"/>
    <s v="ST.DE.221"/>
    <m/>
    <m/>
    <m/>
    <m/>
    <m/>
    <m/>
    <s v="Vulval oedema"/>
    <m/>
    <s v="No"/>
    <m/>
    <s v="Yes"/>
    <s v="O"/>
    <s v="Include if gender !=male"/>
    <m/>
    <m/>
    <m/>
    <m/>
    <s v="DL Vaginal Discharge"/>
    <m/>
    <m/>
    <s v=""/>
    <x v="3"/>
    <x v="1"/>
    <m/>
    <s v=""/>
    <s v=""/>
    <x v="2"/>
    <s v="JS"/>
    <m/>
    <m/>
    <m/>
    <m/>
    <s v=""/>
    <m/>
    <x v="2"/>
    <e v="#NAME?"/>
    <m/>
    <x v="1"/>
    <m/>
    <s v=""/>
    <s v="x"/>
    <m/>
    <s v=""/>
    <s v="36311007"/>
    <m/>
    <m/>
    <s v=""/>
    <s v=""/>
    <m/>
    <s v=""/>
    <s v=""/>
    <s v=""/>
    <s v=""/>
    <s v=""/>
    <s v=""/>
    <m/>
    <m/>
    <m/>
    <x v="2"/>
    <n v="0"/>
    <x v="2"/>
    <x v="85"/>
    <n v="1"/>
    <s v=""/>
    <n v="1"/>
    <n v="1"/>
    <n v="1"/>
    <n v="0"/>
    <n v="0"/>
  </r>
  <r>
    <n v="2020"/>
    <s v="       Vulval erythema (redness)"/>
    <n v="2020"/>
    <e v="#NAME?"/>
    <s v="Vulval erythema (redness)"/>
    <x v="1"/>
    <n v="32"/>
    <s v="Reported symptoms"/>
    <m/>
    <m/>
    <s v="ST.2 Consultation"/>
    <x v="15"/>
    <m/>
    <s v="2.2 Capture or update client history"/>
    <s v="ST.DE.218"/>
    <m/>
    <m/>
    <m/>
    <m/>
    <m/>
    <m/>
    <s v="Vulval erythema (redness)"/>
    <m/>
    <s v="No"/>
    <m/>
    <s v="Yes"/>
    <s v="O"/>
    <s v="Include if gender !=male"/>
    <m/>
    <m/>
    <m/>
    <m/>
    <s v="DL Vaginal Discharge, Exams"/>
    <m/>
    <m/>
    <s v=""/>
    <x v="3"/>
    <x v="1"/>
    <m/>
    <s v=""/>
    <s v=""/>
    <x v="2"/>
    <s v="JS"/>
    <m/>
    <m/>
    <m/>
    <m/>
    <s v=""/>
    <m/>
    <x v="2"/>
    <e v="#NAME?"/>
    <m/>
    <x v="1"/>
    <m/>
    <s v=""/>
    <s v="x"/>
    <m/>
    <s v=""/>
    <s v="289485008"/>
    <m/>
    <m/>
    <s v=""/>
    <s v=""/>
    <m/>
    <s v=""/>
    <s v=""/>
    <s v=""/>
    <s v=""/>
    <s v=""/>
    <s v=""/>
    <m/>
    <m/>
    <m/>
    <x v="2"/>
    <n v="0"/>
    <x v="2"/>
    <x v="85"/>
    <n v="1"/>
    <s v=""/>
    <n v="1"/>
    <n v="1"/>
    <n v="1"/>
    <n v="0"/>
    <n v="0"/>
  </r>
  <r>
    <n v="2021"/>
    <s v="       Testis rotated or elevated"/>
    <n v="2021"/>
    <e v="#NAME?"/>
    <s v="Testis rotated or elevated"/>
    <x v="1"/>
    <n v="33"/>
    <s v="Reported symptoms"/>
    <m/>
    <m/>
    <s v="ST.2 Consultation"/>
    <x v="15"/>
    <m/>
    <s v="2.2 Capture or update client history"/>
    <s v="ST.DE.216"/>
    <m/>
    <m/>
    <m/>
    <m/>
    <m/>
    <m/>
    <s v="Testis rotated or elevated"/>
    <m/>
    <s v="No"/>
    <m/>
    <s v="Yes"/>
    <s v="O"/>
    <s v="Include if gender !=female"/>
    <m/>
    <m/>
    <m/>
    <m/>
    <s v="DL Scrotal swelling"/>
    <m/>
    <m/>
    <s v=""/>
    <x v="3"/>
    <x v="1"/>
    <m/>
    <s v=""/>
    <s v=""/>
    <x v="2"/>
    <s v="JS"/>
    <m/>
    <m/>
    <m/>
    <m/>
    <s v=""/>
    <m/>
    <x v="2"/>
    <e v="#NAME?"/>
    <m/>
    <x v="1"/>
    <m/>
    <s v=""/>
    <s v=""/>
    <s v="Q53.9"/>
    <s v=""/>
    <m/>
    <m/>
    <m/>
    <s v=""/>
    <s v=""/>
    <m/>
    <s v="undescedned testes_x000a_261257. MEDCIN"/>
    <s v=""/>
    <s v=""/>
    <s v=""/>
    <s v=""/>
    <s v=""/>
    <m/>
    <m/>
    <m/>
    <x v="2"/>
    <n v="0"/>
    <x v="2"/>
    <x v="85"/>
    <n v="1"/>
    <s v=""/>
    <n v="1"/>
    <n v="1"/>
    <n v="1"/>
    <n v="0"/>
    <n v="0"/>
  </r>
  <r>
    <n v="2022"/>
    <s v="       Mouth sores"/>
    <n v="2022"/>
    <e v="#NAME?"/>
    <s v="Mouth sores"/>
    <x v="1"/>
    <n v="18"/>
    <s v="Reported symptoms"/>
    <m/>
    <m/>
    <s v="ST.2 Consultation"/>
    <x v="15"/>
    <m/>
    <s v="2.2 Capture or update client history"/>
    <s v="ST.DE.214"/>
    <m/>
    <m/>
    <m/>
    <m/>
    <m/>
    <m/>
    <s v="Mouth sores"/>
    <m/>
    <s v="No"/>
    <m/>
    <s v="Yes"/>
    <s v="O"/>
    <m/>
    <m/>
    <m/>
    <m/>
    <m/>
    <s v="DL Chief complaint"/>
    <m/>
    <m/>
    <s v=""/>
    <x v="3"/>
    <x v="1"/>
    <m/>
    <s v=""/>
    <s v=""/>
    <x v="2"/>
    <s v="JS"/>
    <m/>
    <m/>
    <m/>
    <m/>
    <s v=""/>
    <m/>
    <x v="2"/>
    <e v="#NAME?"/>
    <m/>
    <x v="1"/>
    <m/>
    <s v=""/>
    <s v=""/>
    <m/>
    <s v=""/>
    <s v="26284000"/>
    <m/>
    <m/>
    <s v=""/>
    <s v=""/>
    <m/>
    <s v="oral ulcer"/>
    <s v=""/>
    <s v=""/>
    <s v=""/>
    <s v=""/>
    <s v=""/>
    <m/>
    <m/>
    <m/>
    <x v="2"/>
    <n v="0"/>
    <x v="2"/>
    <x v="85"/>
    <n v="1"/>
    <s v=""/>
    <n v="1"/>
    <n v="1"/>
    <n v="1"/>
    <n v="0"/>
    <n v="0"/>
  </r>
  <r>
    <n v="2023"/>
    <s v="       Mouth ulcers"/>
    <n v="2023"/>
    <e v="#NAME?"/>
    <s v="Mouth ulcers"/>
    <x v="1"/>
    <n v="19"/>
    <s v="Reported symptoms"/>
    <m/>
    <m/>
    <s v="ST.2 Consultation"/>
    <x v="15"/>
    <m/>
    <s v="2.2 Capture or update client history"/>
    <s v="ST.DE.213"/>
    <m/>
    <m/>
    <m/>
    <m/>
    <m/>
    <m/>
    <s v="Mouth ulcers"/>
    <m/>
    <s v="No"/>
    <m/>
    <s v="Yes"/>
    <s v="O"/>
    <m/>
    <m/>
    <m/>
    <m/>
    <m/>
    <s v="DL Chief complaint"/>
    <m/>
    <m/>
    <s v=""/>
    <x v="3"/>
    <x v="1"/>
    <m/>
    <s v=""/>
    <s v=""/>
    <x v="2"/>
    <s v="JS"/>
    <m/>
    <m/>
    <m/>
    <m/>
    <s v=""/>
    <m/>
    <x v="2"/>
    <e v="#NAME?"/>
    <m/>
    <x v="1"/>
    <m/>
    <s v=""/>
    <s v="x"/>
    <m/>
    <s v=""/>
    <s v="26284000"/>
    <m/>
    <m/>
    <s v=""/>
    <s v=""/>
    <m/>
    <s v=""/>
    <s v=""/>
    <s v=""/>
    <s v=""/>
    <s v=""/>
    <s v=""/>
    <m/>
    <m/>
    <m/>
    <x v="2"/>
    <n v="0"/>
    <x v="2"/>
    <x v="85"/>
    <n v="1"/>
    <s v=""/>
    <n v="1"/>
    <n v="1"/>
    <n v="1"/>
    <n v="0"/>
    <n v="0"/>
  </r>
  <r>
    <n v="2024"/>
    <s v="       Painful urination"/>
    <n v="2024"/>
    <e v="#NAME?"/>
    <s v="Painful urination"/>
    <x v="1"/>
    <n v="24"/>
    <s v="Reported symptoms"/>
    <m/>
    <m/>
    <s v="ST.2 Consultation"/>
    <x v="15"/>
    <m/>
    <s v="2.2 Capture or update client history"/>
    <s v="ST.DE.210"/>
    <m/>
    <m/>
    <m/>
    <m/>
    <m/>
    <m/>
    <s v="Painful urination"/>
    <m/>
    <s v="No"/>
    <m/>
    <s v="Yes"/>
    <s v="O"/>
    <m/>
    <m/>
    <m/>
    <m/>
    <m/>
    <s v="DL Chief complaint"/>
    <m/>
    <m/>
    <s v=""/>
    <x v="3"/>
    <x v="1"/>
    <m/>
    <s v=""/>
    <s v=""/>
    <x v="2"/>
    <s v="JS"/>
    <m/>
    <m/>
    <m/>
    <m/>
    <s v=""/>
    <m/>
    <x v="2"/>
    <e v="#NAME?"/>
    <m/>
    <x v="1"/>
    <m/>
    <s v=""/>
    <s v="dysuria. x"/>
    <m/>
    <s v=""/>
    <s v="49650001"/>
    <m/>
    <m/>
    <s v=""/>
    <s v=""/>
    <m/>
    <s v=""/>
    <s v=""/>
    <s v=""/>
    <s v=""/>
    <s v=""/>
    <s v=""/>
    <m/>
    <m/>
    <m/>
    <x v="2"/>
    <n v="0"/>
    <x v="2"/>
    <x v="85"/>
    <n v="1"/>
    <s v=""/>
    <n v="1"/>
    <n v="1"/>
    <n v="1"/>
    <n v="0"/>
    <n v="0"/>
  </r>
  <r>
    <n v="2025"/>
    <s v="       Urethral discharge"/>
    <n v="2025"/>
    <e v="#NAME?"/>
    <s v="Urethral discharge"/>
    <x v="1"/>
    <n v="25"/>
    <s v="Reported symptoms"/>
    <m/>
    <m/>
    <s v="ST.2 Consultation"/>
    <x v="15"/>
    <m/>
    <s v="2.2 Capture or update client history"/>
    <s v="ST.DE.209"/>
    <m/>
    <m/>
    <m/>
    <m/>
    <m/>
    <m/>
    <s v="Urethral discharge"/>
    <m/>
    <s v="No"/>
    <m/>
    <s v="Yes"/>
    <s v="O"/>
    <s v="Include if gender !=female"/>
    <m/>
    <s v="FP.IND.03"/>
    <m/>
    <m/>
    <s v="DL Chief complaint, Vaginal Discharge"/>
    <m/>
    <m/>
    <s v=""/>
    <x v="3"/>
    <x v="1"/>
    <m/>
    <s v=""/>
    <s v=""/>
    <x v="2"/>
    <s v="JS"/>
    <m/>
    <m/>
    <m/>
    <m/>
    <s v=""/>
    <m/>
    <x v="2"/>
    <e v="#NAME?"/>
    <m/>
    <x v="1"/>
    <m/>
    <s v=""/>
    <s v=""/>
    <s v="R36.9"/>
    <s v=""/>
    <s v="9957009"/>
    <m/>
    <m/>
    <s v=""/>
    <s v=""/>
    <m/>
    <s v=""/>
    <s v=""/>
    <s v=""/>
    <s v=""/>
    <s v=""/>
    <s v=""/>
    <m/>
    <m/>
    <m/>
    <x v="2"/>
    <n v="0"/>
    <x v="2"/>
    <x v="85"/>
    <n v="1"/>
    <s v=""/>
    <n v="1"/>
    <n v="1"/>
    <n v="1"/>
    <n v="0"/>
    <n v="0"/>
  </r>
  <r>
    <n v="2026"/>
    <s v="       Groin lumps"/>
    <n v="2026"/>
    <e v="#NAME?"/>
    <s v="Groin lumps"/>
    <x v="1"/>
    <n v="18"/>
    <s v="Reported symptoms"/>
    <m/>
    <m/>
    <s v="ST.2 Consultation"/>
    <x v="15"/>
    <m/>
    <s v="2.2 Capture or update client history"/>
    <s v="ST.DE.207"/>
    <m/>
    <m/>
    <m/>
    <m/>
    <m/>
    <m/>
    <s v="Groin lumps"/>
    <m/>
    <s v="No"/>
    <m/>
    <s v="Yes"/>
    <s v="O"/>
    <m/>
    <m/>
    <m/>
    <m/>
    <m/>
    <s v="DL Chief complaint, Exams"/>
    <m/>
    <m/>
    <s v=""/>
    <x v="3"/>
    <x v="1"/>
    <m/>
    <s v=""/>
    <s v=""/>
    <x v="2"/>
    <s v="JS"/>
    <m/>
    <m/>
    <m/>
    <m/>
    <s v=""/>
    <m/>
    <x v="2"/>
    <e v="#NAME?"/>
    <m/>
    <x v="1"/>
    <m/>
    <s v=""/>
    <s v=""/>
    <s v="R22"/>
    <s v=""/>
    <s v="281398003"/>
    <m/>
    <m/>
    <s v=""/>
    <s v=""/>
    <m/>
    <s v="SNOMED_ inguinal mass"/>
    <s v=""/>
    <s v=""/>
    <s v=""/>
    <s v=""/>
    <s v=""/>
    <m/>
    <m/>
    <m/>
    <x v="2"/>
    <n v="0"/>
    <x v="2"/>
    <x v="85"/>
    <n v="1"/>
    <s v=""/>
    <n v="1"/>
    <n v="1"/>
    <n v="1"/>
    <n v="0"/>
    <n v="0"/>
  </r>
  <r>
    <n v="2027"/>
    <s v="       Groin swelling"/>
    <n v="2027"/>
    <e v="#NAME?"/>
    <s v="Groin swelling"/>
    <x v="1"/>
    <n v="21"/>
    <s v="Reported symptoms"/>
    <m/>
    <m/>
    <s v="ST.2 Consultation"/>
    <x v="15"/>
    <m/>
    <s v="2.2 Capture or update client history"/>
    <s v="ST.DE.206"/>
    <m/>
    <m/>
    <m/>
    <m/>
    <m/>
    <m/>
    <s v="Groin swelling"/>
    <m/>
    <s v="No"/>
    <m/>
    <s v="Yes"/>
    <s v="O"/>
    <m/>
    <m/>
    <m/>
    <m/>
    <m/>
    <s v="DL Chief complaint, Exams, Scrotal Swelling"/>
    <m/>
    <m/>
    <s v=""/>
    <x v="3"/>
    <x v="1"/>
    <m/>
    <s v=""/>
    <s v=""/>
    <x v="2"/>
    <s v="JS"/>
    <m/>
    <m/>
    <m/>
    <m/>
    <s v=""/>
    <m/>
    <x v="2"/>
    <e v="#NAME?"/>
    <m/>
    <x v="1"/>
    <m/>
    <s v=""/>
    <s v=""/>
    <s v="R19.09; R22.41"/>
    <s v=""/>
    <s v="274743004"/>
    <m/>
    <m/>
    <s v=""/>
    <s v=""/>
    <m/>
    <s v=""/>
    <s v=""/>
    <s v=""/>
    <s v=""/>
    <s v=""/>
    <s v=""/>
    <m/>
    <m/>
    <m/>
    <x v="2"/>
    <n v="0"/>
    <x v="2"/>
    <x v="85"/>
    <n v="1"/>
    <s v=""/>
    <n v="1"/>
    <n v="1"/>
    <n v="1"/>
    <n v="0"/>
    <n v="0"/>
  </r>
  <r>
    <n v="2028"/>
    <s v="       Genital blisters"/>
    <n v="2028"/>
    <e v="#NAME?"/>
    <s v="Genital blisters"/>
    <x v="1"/>
    <n v="23"/>
    <s v="Reported symptoms"/>
    <m/>
    <m/>
    <s v="ST.2 Consultation"/>
    <x v="15"/>
    <m/>
    <s v="2.2 Capture or update client history"/>
    <s v="ST.DE.205"/>
    <m/>
    <m/>
    <m/>
    <m/>
    <m/>
    <m/>
    <s v="Genital blisters"/>
    <m/>
    <s v="No"/>
    <m/>
    <s v="Yes"/>
    <s v="O"/>
    <m/>
    <m/>
    <m/>
    <m/>
    <m/>
    <s v="DL Chief complaint, Exams"/>
    <m/>
    <m/>
    <s v=""/>
    <x v="3"/>
    <x v="1"/>
    <m/>
    <s v=""/>
    <s v=""/>
    <x v="2"/>
    <s v="JS"/>
    <m/>
    <m/>
    <m/>
    <m/>
    <s v=""/>
    <m/>
    <x v="2"/>
    <e v="#NAME?"/>
    <m/>
    <x v="1"/>
    <m/>
    <s v=""/>
    <s v="? traumatic?"/>
    <m/>
    <s v=""/>
    <s v="283130009"/>
    <m/>
    <m/>
    <s v=""/>
    <s v=""/>
    <m/>
    <s v=""/>
    <s v=""/>
    <s v=""/>
    <s v=""/>
    <s v=""/>
    <s v=""/>
    <m/>
    <m/>
    <m/>
    <x v="2"/>
    <n v="0"/>
    <x v="2"/>
    <x v="85"/>
    <n v="1"/>
    <s v=""/>
    <n v="1"/>
    <n v="1"/>
    <n v="1"/>
    <n v="0"/>
    <n v="0"/>
  </r>
  <r>
    <n v="2029"/>
    <s v="       Anogenital sores"/>
    <n v="2029"/>
    <e v="#NAME?"/>
    <s v="Anogenital sores"/>
    <x v="1"/>
    <n v="23"/>
    <s v="Reported symptoms"/>
    <m/>
    <m/>
    <s v="ST.2 Consultation"/>
    <x v="15"/>
    <m/>
    <s v="2.2 Capture or update client history"/>
    <s v="ST.DE.204"/>
    <m/>
    <m/>
    <m/>
    <m/>
    <m/>
    <m/>
    <s v="Anogenital sores"/>
    <m/>
    <s v="No"/>
    <m/>
    <s v="Yes"/>
    <s v="O"/>
    <m/>
    <m/>
    <m/>
    <m/>
    <m/>
    <s v="DL Chief complaint, Exams"/>
    <m/>
    <m/>
    <s v=""/>
    <x v="3"/>
    <x v="1"/>
    <m/>
    <s v=""/>
    <s v=""/>
    <x v="2"/>
    <s v="JS"/>
    <m/>
    <m/>
    <m/>
    <m/>
    <s v=""/>
    <m/>
    <x v="2"/>
    <e v="#NAME?"/>
    <m/>
    <x v="1"/>
    <m/>
    <s v=""/>
    <s v=""/>
    <s v="NEED VALUE SET"/>
    <s v=""/>
    <s v="38864007"/>
    <m/>
    <m/>
    <s v=""/>
    <s v=""/>
    <m/>
    <s v="SNOMED_ anogenital REGION-not sores"/>
    <s v=""/>
    <s v=""/>
    <s v=""/>
    <s v=""/>
    <s v=""/>
    <m/>
    <m/>
    <m/>
    <x v="2"/>
    <n v="0"/>
    <x v="2"/>
    <x v="85"/>
    <n v="1"/>
    <s v=""/>
    <n v="1"/>
    <n v="1"/>
    <n v="1"/>
    <n v="0"/>
    <n v="0"/>
  </r>
  <r>
    <n v="2030"/>
    <s v="       Groin ulcer"/>
    <n v="2030"/>
    <e v="#NAME?"/>
    <s v="Groin ulcer"/>
    <x v="1"/>
    <n v="18"/>
    <s v="Reported symptoms"/>
    <m/>
    <m/>
    <s v="ST.2 Consultation"/>
    <x v="15"/>
    <m/>
    <s v="2.2 Capture or update client history"/>
    <s v="ST.DE.208"/>
    <m/>
    <m/>
    <m/>
    <m/>
    <m/>
    <m/>
    <s v="Groin ulcer"/>
    <m/>
    <s v="No"/>
    <m/>
    <s v="Yes"/>
    <s v="O"/>
    <m/>
    <m/>
    <m/>
    <m/>
    <m/>
    <s v="DL Chief complaint"/>
    <m/>
    <m/>
    <s v=""/>
    <x v="3"/>
    <x v="1"/>
    <m/>
    <s v=""/>
    <s v=""/>
    <x v="2"/>
    <s v="JS"/>
    <m/>
    <m/>
    <m/>
    <m/>
    <s v=""/>
    <m/>
    <x v="2"/>
    <e v="#NAME?"/>
    <m/>
    <x v="1"/>
    <s v="http://who.int/cg/CodeSystem/extended-content"/>
    <s v="Groin ulcer"/>
    <s v=""/>
    <m/>
    <s v=""/>
    <m/>
    <m/>
    <m/>
    <s v="No SNOMED code available"/>
    <s v=""/>
    <s v="x"/>
    <s v="missing SNOMED code.. there's lots of body locations for ulcers, and there's lots of groin lesions that aren't ulcers. :("/>
    <s v=""/>
    <s v=""/>
    <s v=""/>
    <s v=""/>
    <s v=""/>
    <m/>
    <m/>
    <m/>
    <x v="2"/>
    <n v="0"/>
    <x v="2"/>
    <x v="85"/>
    <n v="1"/>
    <s v=""/>
    <n v="1"/>
    <n v="1"/>
    <n v="1"/>
    <n v="0"/>
    <n v="0"/>
  </r>
  <r>
    <n v="2031"/>
    <s v="       Genital ulcer"/>
    <n v="2031"/>
    <e v="#NAME?"/>
    <s v="Genital ulcer"/>
    <x v="1"/>
    <n v="20"/>
    <s v="Reported symptoms"/>
    <m/>
    <m/>
    <s v="ST.2 Consultation"/>
    <x v="15"/>
    <m/>
    <s v="2.2 Capture or update client history"/>
    <s v="ST.DE.203"/>
    <m/>
    <m/>
    <m/>
    <m/>
    <m/>
    <m/>
    <s v="Genital ulcer"/>
    <m/>
    <s v="No"/>
    <m/>
    <s v="Yes"/>
    <s v="O"/>
    <m/>
    <m/>
    <s v="FP.IND.04 "/>
    <m/>
    <m/>
    <s v="DL Chief complaint, Exams"/>
    <m/>
    <m/>
    <s v=""/>
    <x v="3"/>
    <x v="1"/>
    <m/>
    <s v=""/>
    <s v=""/>
    <x v="2"/>
    <s v="JS"/>
    <m/>
    <m/>
    <m/>
    <m/>
    <s v=""/>
    <m/>
    <x v="2"/>
    <e v="#NAME?"/>
    <m/>
    <x v="1"/>
    <m/>
    <s v=""/>
    <s v="ulcer of female genital organs X"/>
    <m/>
    <s v=""/>
    <s v="95595006"/>
    <m/>
    <m/>
    <s v=""/>
    <s v=""/>
    <m/>
    <s v=""/>
    <s v=""/>
    <s v=""/>
    <s v=""/>
    <s v=""/>
    <s v=""/>
    <m/>
    <m/>
    <m/>
    <x v="2"/>
    <n v="0"/>
    <x v="2"/>
    <x v="85"/>
    <n v="1"/>
    <s v=""/>
    <n v="1"/>
    <n v="1"/>
    <n v="1"/>
    <n v="0"/>
    <n v="0"/>
  </r>
  <r>
    <n v="2032"/>
    <s v="       Anogenital warts"/>
    <n v="2032"/>
    <e v="#NAME?"/>
    <s v="Anogenital warts"/>
    <x v="1"/>
    <n v="23"/>
    <s v="Reported symptoms"/>
    <m/>
    <m/>
    <s v="ST.2 Consultation"/>
    <x v="15"/>
    <m/>
    <s v="2.2 Capture or update client history"/>
    <s v="ST.DE.261"/>
    <m/>
    <m/>
    <m/>
    <m/>
    <m/>
    <m/>
    <s v="Anogenital warts"/>
    <m/>
    <s v="No"/>
    <m/>
    <s v="Yes"/>
    <s v="O"/>
    <m/>
    <m/>
    <s v="FP.IND.04 "/>
    <m/>
    <m/>
    <m/>
    <m/>
    <m/>
    <s v=""/>
    <x v="3"/>
    <x v="1"/>
    <m/>
    <s v=""/>
    <s v=""/>
    <x v="2"/>
    <s v="JS"/>
    <m/>
    <m/>
    <m/>
    <m/>
    <s v=""/>
    <m/>
    <x v="2"/>
    <e v="#NAME?"/>
    <m/>
    <x v="1"/>
    <m/>
    <s v=""/>
    <s v=""/>
    <s v="A63.0"/>
    <s v=""/>
    <s v="240542006"/>
    <m/>
    <m/>
    <s v=""/>
    <s v=""/>
    <m/>
    <s v="SNOMED- DUE TO Papilloma"/>
    <s v=""/>
    <s v=""/>
    <s v=""/>
    <s v=""/>
    <s v=""/>
    <m/>
    <m/>
    <m/>
    <x v="2"/>
    <n v="0"/>
    <x v="2"/>
    <x v="85"/>
    <n v="1"/>
    <s v=""/>
    <n v="1"/>
    <n v="1"/>
    <n v="1"/>
    <n v="0"/>
    <n v="0"/>
  </r>
  <r>
    <n v="2033"/>
    <s v="       Cervical infection"/>
    <n v="2033"/>
    <e v="#NAME?"/>
    <s v="Cervical infection"/>
    <x v="1"/>
    <n v="25"/>
    <s v="Reported symptoms"/>
    <m/>
    <m/>
    <s v="ST.2 Consultation"/>
    <x v="15"/>
    <m/>
    <s v="2.2 Capture or update client history"/>
    <s v="ST.DE.262"/>
    <m/>
    <m/>
    <m/>
    <m/>
    <m/>
    <m/>
    <s v="Cervical infection"/>
    <m/>
    <s v="No"/>
    <m/>
    <s v="Yes"/>
    <s v="O"/>
    <s v="Include if gender !=male"/>
    <m/>
    <s v="STI.IND.07"/>
    <m/>
    <m/>
    <s v="DL Vaginal discharge, Treatment"/>
    <m/>
    <m/>
    <s v=""/>
    <x v="3"/>
    <x v="1"/>
    <m/>
    <s v=""/>
    <s v=""/>
    <x v="2"/>
    <s v="JS"/>
    <m/>
    <m/>
    <m/>
    <m/>
    <s v=""/>
    <m/>
    <x v="2"/>
    <e v="#NAME?"/>
    <m/>
    <x v="1"/>
    <s v="http://who.int/cg/CodeSystem/extended-content"/>
    <s v="Cervical infection"/>
    <s v=""/>
    <m/>
    <s v=""/>
    <m/>
    <m/>
    <m/>
    <s v="No SNOMED code available"/>
    <s v=""/>
    <s v="x"/>
    <s v="infection of the cervix can not be a symptom... this needs to be clarified"/>
    <s v=""/>
    <s v=""/>
    <s v=""/>
    <s v=""/>
    <s v=""/>
    <m/>
    <m/>
    <m/>
    <x v="2"/>
    <n v="0"/>
    <x v="2"/>
    <x v="85"/>
    <n v="1"/>
    <s v=""/>
    <n v="1"/>
    <n v="1"/>
    <n v="1"/>
    <n v="0"/>
    <n v="0"/>
  </r>
  <r>
    <n v="2034"/>
    <s v="       Genital pruritus (itching)"/>
    <n v="2034"/>
    <e v="#NAME?"/>
    <s v="Genital pruritus (itching)"/>
    <x v="1"/>
    <n v="33"/>
    <s v="Reported symptoms"/>
    <m/>
    <m/>
    <s v="ST.2 Consultation"/>
    <x v="15"/>
    <m/>
    <s v="2.2 Capture or update client history"/>
    <s v="ST.DE.201"/>
    <m/>
    <m/>
    <m/>
    <m/>
    <m/>
    <m/>
    <s v="Genital pruritus (itching)"/>
    <m/>
    <s v="No"/>
    <m/>
    <s v="Yes"/>
    <s v="O"/>
    <m/>
    <m/>
    <m/>
    <m/>
    <m/>
    <s v="DL Chief complaint, Vaginal Discharge"/>
    <m/>
    <m/>
    <s v=""/>
    <x v="3"/>
    <x v="1"/>
    <m/>
    <s v=""/>
    <s v=""/>
    <x v="2"/>
    <s v="JS"/>
    <m/>
    <m/>
    <m/>
    <m/>
    <s v=""/>
    <m/>
    <x v="2"/>
    <e v="#NAME?"/>
    <m/>
    <x v="1"/>
    <m/>
    <s v=""/>
    <s v="female X"/>
    <m/>
    <s v=""/>
    <s v="95596009"/>
    <m/>
    <m/>
    <s v=""/>
    <s v=""/>
    <m/>
    <s v=""/>
    <s v=""/>
    <s v=""/>
    <s v=""/>
    <s v=""/>
    <s v=""/>
    <m/>
    <m/>
    <m/>
    <x v="2"/>
    <n v="0"/>
    <x v="2"/>
    <x v="85"/>
    <n v="1"/>
    <s v=""/>
    <n v="1"/>
    <n v="1"/>
    <n v="1"/>
    <n v="0"/>
    <n v="0"/>
  </r>
  <r>
    <n v="2035"/>
    <s v="       Curd-like vaginal discharge"/>
    <n v="2035"/>
    <e v="#NAME?"/>
    <s v="Curd-like vaginal discharge"/>
    <x v="1"/>
    <n v="34"/>
    <s v="Reported symptoms"/>
    <m/>
    <m/>
    <s v="ST.2 Consultation"/>
    <x v="15"/>
    <m/>
    <s v="2.2 Capture or update client history"/>
    <s v="ST.DE.222"/>
    <m/>
    <m/>
    <m/>
    <m/>
    <m/>
    <m/>
    <s v="Curd-like vaginal discharge"/>
    <m/>
    <s v="No"/>
    <m/>
    <s v="Yes"/>
    <s v="O"/>
    <s v="Include if gender !=male"/>
    <m/>
    <m/>
    <m/>
    <m/>
    <s v="DL Vaginal Discharge"/>
    <m/>
    <m/>
    <s v=""/>
    <x v="3"/>
    <x v="1"/>
    <m/>
    <s v=""/>
    <s v=""/>
    <x v="2"/>
    <s v="JS"/>
    <m/>
    <m/>
    <m/>
    <m/>
    <s v=""/>
    <m/>
    <x v="2"/>
    <e v="#NAME?"/>
    <m/>
    <x v="1"/>
    <m/>
    <s v=""/>
    <s v="creamy Vag DC"/>
    <m/>
    <s v=""/>
    <s v="289553007"/>
    <m/>
    <m/>
    <s v=""/>
    <s v=""/>
    <m/>
    <s v=""/>
    <s v=""/>
    <s v=""/>
    <s v=""/>
    <s v=""/>
    <s v=""/>
    <m/>
    <m/>
    <m/>
    <x v="2"/>
    <n v="0"/>
    <x v="2"/>
    <x v="85"/>
    <n v="1"/>
    <s v=""/>
    <n v="1"/>
    <n v="1"/>
    <n v="1"/>
    <n v="0"/>
    <n v="0"/>
  </r>
  <r>
    <n v="2036"/>
    <s v="       Irregular period without heavy bleeding"/>
    <n v="2036"/>
    <e v="#NAME?"/>
    <s v="Irregular period without heavy bleeding"/>
    <x v="1"/>
    <n v="46"/>
    <s v="Reported symptoms"/>
    <m/>
    <m/>
    <s v="ST.2 Consultation"/>
    <x v="15"/>
    <m/>
    <s v="2.2 Capture or update client history"/>
    <s v="ST.DE.212"/>
    <m/>
    <m/>
    <m/>
    <m/>
    <m/>
    <m/>
    <s v="Irregular period without heavy bleeding"/>
    <m/>
    <s v="No"/>
    <m/>
    <s v="Yes"/>
    <s v="O"/>
    <s v="Include if gender !=male"/>
    <m/>
    <m/>
    <m/>
    <m/>
    <s v="DL Chief complaint"/>
    <m/>
    <m/>
    <s v=""/>
    <x v="3"/>
    <x v="1"/>
    <m/>
    <s v=""/>
    <s v=""/>
    <x v="2"/>
    <s v="JS"/>
    <m/>
    <m/>
    <m/>
    <m/>
    <s v=""/>
    <m/>
    <x v="2"/>
    <e v="#NAME?"/>
    <m/>
    <x v="1"/>
    <m/>
    <s v=""/>
    <s v=""/>
    <m/>
    <s v=""/>
    <s v="80182007"/>
    <m/>
    <m/>
    <s v=""/>
    <s v=""/>
    <m/>
    <s v=""/>
    <s v=""/>
    <s v=""/>
    <s v=""/>
    <s v=""/>
    <s v=""/>
    <m/>
    <m/>
    <m/>
    <x v="2"/>
    <n v="0"/>
    <x v="2"/>
    <x v="85"/>
    <n v="1"/>
    <s v=""/>
    <n v="1"/>
    <n v="1"/>
    <n v="1"/>
    <n v="0"/>
    <n v="0"/>
  </r>
  <r>
    <n v="2037"/>
    <s v="       Heavy or prolonged bleeding"/>
    <n v="2037"/>
    <e v="#NAME?"/>
    <s v="Heavy or prolonged bleeding (including regular and irregular patterns)"/>
    <x v="1"/>
    <n v="34"/>
    <s v="Reported symptoms"/>
    <m/>
    <m/>
    <s v="ST.2 Consultation"/>
    <x v="15"/>
    <m/>
    <s v="2.2 Capture or update client history"/>
    <s v="ST.DE.335"/>
    <m/>
    <m/>
    <s v="Heavy or prolonged bleeding (including regular and irregular patterns)"/>
    <m/>
    <m/>
    <m/>
    <s v="Heavy or prolonged bleeding (including regular and irregular patterns)"/>
    <m/>
    <s v="No"/>
    <m/>
    <s v="Yes"/>
    <s v="O"/>
    <s v="Include if gender !=male"/>
    <m/>
    <m/>
    <m/>
    <m/>
    <m/>
    <m/>
    <m/>
    <s v=""/>
    <x v="3"/>
    <x v="1"/>
    <m/>
    <s v=""/>
    <s v=""/>
    <x v="2"/>
    <s v="JS"/>
    <m/>
    <m/>
    <m/>
    <m/>
    <s v=""/>
    <m/>
    <x v="2"/>
    <e v="#NAME?"/>
    <m/>
    <x v="1"/>
    <m/>
    <s v=""/>
    <s v="x"/>
    <m/>
    <s v=""/>
    <s v="315224006"/>
    <m/>
    <m/>
    <s v=""/>
    <s v=""/>
    <m/>
    <s v="one episode--is htis chronic?"/>
    <s v=""/>
    <s v=""/>
    <s v=""/>
    <s v=""/>
    <s v=""/>
    <m/>
    <m/>
    <m/>
    <x v="2"/>
    <n v="0"/>
    <x v="2"/>
    <x v="85"/>
    <n v="1"/>
    <s v=""/>
    <n v="1"/>
    <n v="1"/>
    <n v="1"/>
    <n v="0"/>
    <n v="0"/>
  </r>
  <r>
    <n v="2038"/>
    <s v="       Amenorrhea"/>
    <n v="2038"/>
    <e v="#NAME?"/>
    <s v="Amenorrhea"/>
    <x v="1"/>
    <n v="17"/>
    <s v="Reported symptoms"/>
    <m/>
    <m/>
    <s v="ST.2 Consultation"/>
    <x v="15"/>
    <m/>
    <s v="2.2 Capture or update client history"/>
    <s v="ST.DE.211"/>
    <m/>
    <m/>
    <m/>
    <m/>
    <m/>
    <m/>
    <s v="Amenorrhea"/>
    <m/>
    <s v="No"/>
    <m/>
    <s v="Yes"/>
    <s v="O"/>
    <s v="Include if gender !=male"/>
    <m/>
    <m/>
    <m/>
    <m/>
    <s v="DL: Chief complaint"/>
    <m/>
    <m/>
    <s v=""/>
    <x v="3"/>
    <x v="1"/>
    <m/>
    <s v=""/>
    <s v=""/>
    <x v="2"/>
    <s v="JS"/>
    <m/>
    <m/>
    <m/>
    <m/>
    <s v=""/>
    <m/>
    <x v="2"/>
    <e v="#NAME?"/>
    <m/>
    <x v="0"/>
    <m/>
    <s v=""/>
    <s v="x"/>
    <m/>
    <s v=""/>
    <s v="14302001"/>
    <m/>
    <m/>
    <s v=""/>
    <s v=""/>
    <m/>
    <s v=""/>
    <s v=""/>
    <s v=""/>
    <s v=""/>
    <s v=""/>
    <s v=""/>
    <m/>
    <m/>
    <m/>
    <x v="2"/>
    <n v="0"/>
    <x v="2"/>
    <x v="85"/>
    <n v="1"/>
    <s v=""/>
    <n v="1"/>
    <n v="1"/>
    <n v="1"/>
    <n v="0"/>
    <n v="0"/>
  </r>
  <r>
    <n v="2039"/>
    <s v="       Other (specify)"/>
    <n v="2039"/>
    <e v="#NAME?"/>
    <s v="Other (specify)"/>
    <x v="1"/>
    <n v="22"/>
    <s v="Reported symptoms"/>
    <m/>
    <m/>
    <s v="ST.2 Consultation"/>
    <x v="15"/>
    <m/>
    <s v="2.2 Capture or update client history"/>
    <s v="ST.DE.220"/>
    <m/>
    <m/>
    <m/>
    <m/>
    <m/>
    <m/>
    <s v="Other (specify)"/>
    <m/>
    <s v="No"/>
    <m/>
    <s v="Yes"/>
    <s v="O"/>
    <m/>
    <m/>
    <m/>
    <m/>
    <m/>
    <s v="DL - Chief complaint, lower abdomenal, Vaginal Discharge, Inguinal bubo"/>
    <m/>
    <m/>
    <s v=""/>
    <x v="3"/>
    <x v="1"/>
    <m/>
    <s v=""/>
    <s v=""/>
    <x v="2"/>
    <s v="JS"/>
    <m/>
    <m/>
    <m/>
    <m/>
    <s v=""/>
    <m/>
    <x v="2"/>
    <e v="#NAME?"/>
    <m/>
    <x v="0"/>
    <s v="http://who.int/cg/CodeSystem/extended-content"/>
    <s v="Other"/>
    <s v=""/>
    <m/>
    <s v=""/>
    <m/>
    <m/>
    <m/>
    <s v=""/>
    <s v=""/>
    <m/>
    <s v=""/>
    <s v=""/>
    <s v=""/>
    <s v=""/>
    <s v=""/>
    <s v=""/>
    <m/>
    <m/>
    <m/>
    <x v="2"/>
    <n v="0"/>
    <x v="2"/>
    <x v="85"/>
    <n v="1"/>
    <s v=""/>
    <n v="1"/>
    <n v="1"/>
    <n v="1"/>
    <n v="0"/>
    <n v="0"/>
  </r>
  <r>
    <n v="2040"/>
    <s v="Other (specify) - Reported symptoms"/>
    <n v="2040"/>
    <s v="Other (specify)"/>
    <s v="Other (specify)"/>
    <x v="0"/>
    <n v="35"/>
    <s v=""/>
    <m/>
    <m/>
    <s v="ST.2 Consultation"/>
    <x v="15"/>
    <m/>
    <s v="2.2 Capture or update client history"/>
    <s v="ST.DE.301"/>
    <m/>
    <s v="Other (specify)"/>
    <m/>
    <s v="Write in other reported symptoms not included in the list"/>
    <s v="Text"/>
    <m/>
    <m/>
    <m/>
    <s v="No"/>
    <m/>
    <s v="Yes"/>
    <s v="C"/>
    <s v="Include if reported symptoms = Other (specify)"/>
    <m/>
    <m/>
    <m/>
    <m/>
    <m/>
    <m/>
    <m/>
    <s v=""/>
    <x v="17"/>
    <x v="6"/>
    <s v="FHIR"/>
    <s v="4.0.1"/>
    <s v=""/>
    <x v="84"/>
    <s v="JA"/>
    <m/>
    <m/>
    <m/>
    <m/>
    <s v=""/>
    <m/>
    <x v="2"/>
    <s v="&quot;Other (specify)&quot;-&gt;&quot;Other (specify) - Reported symptoms&quot;"/>
    <m/>
    <x v="0"/>
    <m/>
    <s v=""/>
    <s v=""/>
    <m/>
    <s v=""/>
    <m/>
    <m/>
    <m/>
    <s v="No terminology code required"/>
    <s v=""/>
    <m/>
    <s v=""/>
    <s v=""/>
    <s v=""/>
    <s v=""/>
    <s v=""/>
    <s v=""/>
    <m/>
    <m/>
    <m/>
    <x v="5"/>
    <s v=""/>
    <x v="6"/>
    <x v="85"/>
    <n v="1"/>
    <n v="0"/>
    <n v="1"/>
    <n v="1"/>
    <n v="1"/>
    <n v="0"/>
    <n v="0"/>
  </r>
  <r>
    <n v="2041"/>
    <s v="Partner has symptoms"/>
    <n v="2041"/>
    <s v="Partner has symptoms"/>
    <s v="Partner has symptoms"/>
    <x v="0"/>
    <n v="20"/>
    <s v=""/>
    <m/>
    <m/>
    <s v="ST.2 Consultation"/>
    <x v="15"/>
    <m/>
    <s v="2.2 Capture or update client history"/>
    <s v="ST.DE.360"/>
    <m/>
    <s v="Partner has symptoms"/>
    <m/>
    <s v="Whether the client's partner has reported similar symptoms"/>
    <s v="Boolean"/>
    <s v="True/False"/>
    <m/>
    <m/>
    <s v="No"/>
    <m/>
    <s v="Yes"/>
    <s v="O"/>
    <s v="Include if DSL includes value - used by DSL for vaginal discharge "/>
    <m/>
    <m/>
    <m/>
    <m/>
    <m/>
    <m/>
    <m/>
    <s v=""/>
    <x v="17"/>
    <x v="4"/>
    <s v="FHIR"/>
    <s v="4.0.1"/>
    <s v=""/>
    <x v="85"/>
    <s v="JS"/>
    <m/>
    <m/>
    <m/>
    <m/>
    <s v=""/>
    <m/>
    <x v="2"/>
    <s v=""/>
    <m/>
    <x v="1"/>
    <s v="http://who.int/cg/CodeSystem/extended-content"/>
    <s v="Partner has symptoms"/>
    <s v=""/>
    <m/>
    <s v=""/>
    <m/>
    <m/>
    <m/>
    <s v="No LOINC code available"/>
    <s v=""/>
    <s v="x"/>
    <s v="needs to be remodelled into partner history?"/>
    <s v=""/>
    <s v=""/>
    <s v=""/>
    <s v=""/>
    <s v=""/>
    <m/>
    <m/>
    <m/>
    <x v="5"/>
    <s v=""/>
    <x v="6"/>
    <x v="86"/>
    <n v="1"/>
    <n v="0"/>
    <n v="1"/>
    <n v="1"/>
    <n v="1"/>
    <n v="0"/>
    <n v="0"/>
  </r>
  <r>
    <n v="2042"/>
    <s v="Exposed to a communicable disease"/>
    <n v="2042"/>
    <s v="Exposed to a communicable disease"/>
    <s v="Exposed to a communicable disease"/>
    <x v="0"/>
    <n v="33"/>
    <s v=""/>
    <m/>
    <m/>
    <s v="ST.2 Consultation"/>
    <x v="15"/>
    <m/>
    <s v="2.2 Capture or update client history"/>
    <s v="ST.DE.366"/>
    <m/>
    <s v="Exposed to a communicable disease"/>
    <m/>
    <m/>
    <s v="Boolean"/>
    <s v="True/False"/>
    <m/>
    <m/>
    <s v="No"/>
    <m/>
    <s v="Yes"/>
    <s v="O"/>
    <s v="Include if DSL includes value - used by DSL for vaginal discharge "/>
    <m/>
    <m/>
    <m/>
    <m/>
    <m/>
    <m/>
    <m/>
    <s v=""/>
    <x v="17"/>
    <x v="4"/>
    <s v="FHIR"/>
    <s v="4.0.1"/>
    <s v=""/>
    <x v="86"/>
    <s v="JA"/>
    <m/>
    <m/>
    <m/>
    <m/>
    <s v=""/>
    <m/>
    <x v="2"/>
    <s v=""/>
    <m/>
    <x v="1"/>
    <m/>
    <s v=""/>
    <s v="x"/>
    <m/>
    <s v=""/>
    <s v="444451006"/>
    <m/>
    <m/>
    <s v=""/>
    <s v=""/>
    <m/>
    <s v="exposure to STD"/>
    <s v=""/>
    <s v=""/>
    <s v=""/>
    <s v=""/>
    <s v=""/>
    <m/>
    <m/>
    <m/>
    <x v="5"/>
    <s v=""/>
    <x v="6"/>
    <x v="87"/>
    <n v="1"/>
    <n v="0"/>
    <n v="1"/>
    <n v="1"/>
    <n v="1"/>
    <n v="0"/>
    <n v="0"/>
  </r>
  <r>
    <n v="2043"/>
    <s v="LGV follow-up"/>
    <n v="2043"/>
    <s v="LGV follow-up"/>
    <s v="LGV follow-up"/>
    <x v="0"/>
    <n v="13"/>
    <s v=""/>
    <m/>
    <m/>
    <s v="ST.2 Consultation"/>
    <x v="15"/>
    <m/>
    <s v="2.2 Capture or update client history"/>
    <s v="ST.DE.243"/>
    <m/>
    <s v="LGV follow-up"/>
    <m/>
    <m/>
    <m/>
    <m/>
    <m/>
    <m/>
    <s v="No"/>
    <m/>
    <s v="Yes"/>
    <s v="O"/>
    <m/>
    <m/>
    <m/>
    <m/>
    <m/>
    <m/>
    <m/>
    <m/>
    <s v=""/>
    <x v="17"/>
    <x v="4"/>
    <s v="FHIR"/>
    <s v="4.0.1"/>
    <s v=""/>
    <x v="87"/>
    <s v="JS"/>
    <m/>
    <m/>
    <m/>
    <m/>
    <s v=""/>
    <m/>
    <x v="2"/>
    <s v=""/>
    <m/>
    <x v="1"/>
    <m/>
    <s v=""/>
    <s v="plus follow up and LGV"/>
    <m/>
    <s v=""/>
    <s v="186946009"/>
    <m/>
    <m/>
    <s v=""/>
    <s v=""/>
    <m/>
    <s v=""/>
    <s v=""/>
    <s v=""/>
    <s v=""/>
    <s v=""/>
    <s v=""/>
    <m/>
    <m/>
    <m/>
    <x v="5"/>
    <s v=""/>
    <x v="6"/>
    <x v="88"/>
    <n v="1"/>
    <n v="0"/>
    <n v="1"/>
    <n v="1"/>
    <n v="1"/>
    <n v="0"/>
    <n v="0"/>
  </r>
  <r>
    <n v="2045"/>
    <s v="Clinical examination"/>
    <n v="2045"/>
    <s v="Clinical examination"/>
    <s v="Clinical examination"/>
    <x v="2"/>
    <n v="20"/>
    <s v=""/>
    <m/>
    <m/>
    <s v="ST.2 Consultation"/>
    <x v="15"/>
    <m/>
    <s v="2.4 Assess chief complaint / 2.5 Conduct clinical exam"/>
    <s v="ST.DE.043"/>
    <m/>
    <s v="Clinical examination"/>
    <m/>
    <s v="Whether a clinical examination will be performed, such as an external genital or speculem exam"/>
    <s v="Boolean"/>
    <m/>
    <s v="True/False"/>
    <m/>
    <s v="No"/>
    <m/>
    <s v="Yes"/>
    <s v="O"/>
    <m/>
    <m/>
    <m/>
    <m/>
    <m/>
    <m/>
    <m/>
    <m/>
    <s v=""/>
    <x v="3"/>
    <x v="1"/>
    <m/>
    <s v=""/>
    <s v=""/>
    <x v="2"/>
    <s v="NA"/>
    <m/>
    <m/>
    <m/>
    <m/>
    <s v=""/>
    <m/>
    <x v="2"/>
    <s v=""/>
    <m/>
    <x v="1"/>
    <m/>
    <s v=""/>
    <s v=""/>
    <m/>
    <s v=""/>
    <m/>
    <m/>
    <m/>
    <s v="No terminology code required"/>
    <s v=""/>
    <m/>
    <s v=""/>
    <s v=""/>
    <s v=""/>
    <s v=""/>
    <s v=""/>
    <s v=""/>
    <m/>
    <m/>
    <m/>
    <x v="2"/>
    <s v=""/>
    <x v="3"/>
    <x v="2"/>
    <n v="1"/>
    <s v=""/>
    <n v="1"/>
    <n v="1"/>
    <n v="1"/>
    <n v="0"/>
    <n v="0"/>
  </r>
  <r>
    <n v="2046"/>
    <s v="Clinical exam type "/>
    <n v="2046"/>
    <s v="Clinical exam type "/>
    <s v="Clinical exam type "/>
    <x v="0"/>
    <n v="19"/>
    <s v=""/>
    <m/>
    <m/>
    <s v="ST.2 Consultation"/>
    <x v="15"/>
    <m/>
    <s v="2.4 Assess chief complaint / 2.5 Conduct clinical exam"/>
    <s v="ST.DE.306"/>
    <m/>
    <s v="Clinical exam type "/>
    <m/>
    <s v="Type of clinical screening performed"/>
    <s v="Coding"/>
    <s v="Select all that apply"/>
    <m/>
    <m/>
    <s v="Yes"/>
    <s v="One or more exam types must be selected"/>
    <s v="Yes"/>
    <s v="C"/>
    <s v="Include if Clinical Examination = TRUE"/>
    <m/>
    <m/>
    <m/>
    <m/>
    <m/>
    <m/>
    <m/>
    <s v=""/>
    <x v="22"/>
    <x v="0"/>
    <s v="FHIR"/>
    <s v="4.0.1"/>
    <s v=""/>
    <x v="88"/>
    <s v="JA"/>
    <m/>
    <s v="Extensible"/>
    <m/>
    <m/>
    <s v=""/>
    <m/>
    <x v="2"/>
    <s v=""/>
    <m/>
    <x v="1"/>
    <m/>
    <s v=""/>
    <s v=""/>
    <m/>
    <s v=""/>
    <m/>
    <m/>
    <m/>
    <s v="No terminology code required"/>
    <s v=""/>
    <m/>
    <s v=""/>
    <s v=""/>
    <s v=""/>
    <s v=""/>
    <s v=""/>
    <s v=""/>
    <m/>
    <m/>
    <m/>
    <x v="8"/>
    <s v=""/>
    <x v="9"/>
    <x v="89"/>
    <n v="1"/>
    <n v="1"/>
    <n v="1"/>
    <n v="1"/>
    <n v="1"/>
    <n v="0"/>
    <n v="0"/>
  </r>
  <r>
    <n v="2047"/>
    <s v="       External genital examination"/>
    <n v="2047"/>
    <e v="#NAME?"/>
    <s v="External genital examination"/>
    <x v="1"/>
    <n v="35"/>
    <s v="Clinical exam type "/>
    <m/>
    <m/>
    <s v="ST.2 Consultation"/>
    <x v="15"/>
    <m/>
    <s v="2.4 Assess chief complaint / 2.5 Conduct clinical exam"/>
    <s v="ST.DE.307"/>
    <m/>
    <m/>
    <m/>
    <m/>
    <m/>
    <m/>
    <s v="External genital examination"/>
    <m/>
    <s v="No"/>
    <m/>
    <s v="Yes"/>
    <s v="O"/>
    <m/>
    <m/>
    <m/>
    <m/>
    <m/>
    <m/>
    <m/>
    <m/>
    <s v=""/>
    <x v="3"/>
    <x v="1"/>
    <m/>
    <s v=""/>
    <s v=""/>
    <x v="2"/>
    <s v="JS"/>
    <m/>
    <m/>
    <m/>
    <m/>
    <s v=""/>
    <m/>
    <x v="2"/>
    <e v="#NAME?"/>
    <m/>
    <x v="1"/>
    <m/>
    <s v=""/>
    <s v="ext gen exam finding"/>
    <m/>
    <s v=""/>
    <s v="268947001"/>
    <m/>
    <m/>
    <s v=""/>
    <s v=""/>
    <m/>
    <s v=""/>
    <s v=""/>
    <s v=""/>
    <s v=""/>
    <s v=""/>
    <s v=""/>
    <m/>
    <m/>
    <m/>
    <x v="2"/>
    <n v="0"/>
    <x v="2"/>
    <x v="89"/>
    <n v="1"/>
    <s v=""/>
    <n v="1"/>
    <n v="1"/>
    <n v="1"/>
    <n v="0"/>
    <n v="0"/>
  </r>
  <r>
    <n v="2048"/>
    <s v="       speculem evaluation"/>
    <n v="2048"/>
    <e v="#NAME?"/>
    <s v="speculem evaluation"/>
    <x v="1"/>
    <n v="26"/>
    <s v="Clinical exam type "/>
    <m/>
    <m/>
    <s v="ST.2 Consultation"/>
    <x v="15"/>
    <m/>
    <s v="2.4 Assess chief complaint / 2.5 Conduct clinical exam"/>
    <s v="ST.DE.308"/>
    <m/>
    <m/>
    <m/>
    <m/>
    <m/>
    <m/>
    <s v="speculem evaluation"/>
    <m/>
    <s v="No"/>
    <m/>
    <s v="Yes"/>
    <s v="O"/>
    <m/>
    <m/>
    <m/>
    <m/>
    <m/>
    <m/>
    <m/>
    <m/>
    <s v=""/>
    <x v="3"/>
    <x v="1"/>
    <m/>
    <s v=""/>
    <s v=""/>
    <x v="2"/>
    <s v="JS"/>
    <m/>
    <m/>
    <m/>
    <m/>
    <s v=""/>
    <m/>
    <x v="2"/>
    <e v="#NAME?"/>
    <m/>
    <x v="1"/>
    <m/>
    <s v=""/>
    <s v="x"/>
    <m/>
    <s v=""/>
    <s v="163412002"/>
    <m/>
    <m/>
    <s v=""/>
    <s v=""/>
    <m/>
    <s v="vaginal 163412002"/>
    <s v=""/>
    <s v=""/>
    <s v=""/>
    <s v=""/>
    <s v=""/>
    <m/>
    <m/>
    <m/>
    <x v="2"/>
    <n v="0"/>
    <x v="2"/>
    <x v="89"/>
    <n v="1"/>
    <s v=""/>
    <n v="1"/>
    <n v="1"/>
    <n v="1"/>
    <n v="0"/>
    <n v="0"/>
  </r>
  <r>
    <n v="2049"/>
    <s v="       bimanual evaluation"/>
    <n v="2049"/>
    <e v="#NAME?"/>
    <s v="bimanual evaluation"/>
    <x v="1"/>
    <n v="26"/>
    <s v="Clinical exam type "/>
    <m/>
    <m/>
    <s v="ST.2 Consultation"/>
    <x v="15"/>
    <m/>
    <s v="2.4 Assess chief complaint / 2.5 Conduct clinical exam"/>
    <s v="ST.DE.309"/>
    <m/>
    <m/>
    <m/>
    <m/>
    <m/>
    <m/>
    <s v="bimanual evaluation"/>
    <m/>
    <s v="No"/>
    <m/>
    <s v="Yes"/>
    <s v="O"/>
    <m/>
    <m/>
    <m/>
    <m/>
    <m/>
    <m/>
    <m/>
    <m/>
    <s v=""/>
    <x v="3"/>
    <x v="1"/>
    <m/>
    <s v=""/>
    <s v=""/>
    <x v="2"/>
    <s v="JS"/>
    <m/>
    <m/>
    <m/>
    <m/>
    <s v=""/>
    <m/>
    <x v="2"/>
    <e v="#NAME?"/>
    <m/>
    <x v="1"/>
    <m/>
    <s v=""/>
    <s v="x"/>
    <m/>
    <s v=""/>
    <s v="241598003"/>
    <m/>
    <m/>
    <s v=""/>
    <s v=""/>
    <m/>
    <s v=""/>
    <s v=""/>
    <s v=""/>
    <s v=""/>
    <s v=""/>
    <s v=""/>
    <m/>
    <m/>
    <m/>
    <x v="2"/>
    <n v="0"/>
    <x v="2"/>
    <x v="89"/>
    <n v="1"/>
    <s v=""/>
    <n v="1"/>
    <n v="1"/>
    <n v="1"/>
    <n v="0"/>
    <n v="0"/>
  </r>
  <r>
    <n v="2050"/>
    <s v="       Other (specify)"/>
    <n v="2050"/>
    <e v="#NAME?"/>
    <s v="Other (specify)"/>
    <x v="1"/>
    <n v="22"/>
    <s v="Clinical exam type "/>
    <m/>
    <m/>
    <s v="ST.2 Consultation"/>
    <x v="15"/>
    <m/>
    <s v="2.4 Assess chief complaint / 2.5 Conduct clinical exam"/>
    <s v="ST.DE.220"/>
    <m/>
    <m/>
    <m/>
    <m/>
    <m/>
    <m/>
    <s v="Other (specify)"/>
    <m/>
    <s v="No"/>
    <m/>
    <s v="Yes"/>
    <s v="O"/>
    <m/>
    <m/>
    <m/>
    <m/>
    <m/>
    <s v="DL - Chief complaint, lower abdomenal, Vaginal Discharge, Inguinal bubo"/>
    <m/>
    <m/>
    <s v=""/>
    <x v="3"/>
    <x v="1"/>
    <m/>
    <s v=""/>
    <s v=""/>
    <x v="2"/>
    <s v="JS"/>
    <m/>
    <m/>
    <m/>
    <m/>
    <s v=""/>
    <m/>
    <x v="2"/>
    <e v="#NAME?"/>
    <m/>
    <x v="0"/>
    <s v="http://who.int/cg/CodeSystem/extended-content"/>
    <s v="Other"/>
    <s v=""/>
    <m/>
    <s v=""/>
    <m/>
    <m/>
    <m/>
    <s v=""/>
    <s v=""/>
    <m/>
    <s v=""/>
    <s v=""/>
    <s v=""/>
    <s v=""/>
    <s v=""/>
    <s v=""/>
    <m/>
    <m/>
    <m/>
    <x v="2"/>
    <n v="0"/>
    <x v="2"/>
    <x v="89"/>
    <n v="1"/>
    <s v=""/>
    <n v="1"/>
    <n v="1"/>
    <n v="1"/>
    <n v="0"/>
    <n v="0"/>
  </r>
  <r>
    <n v="2051"/>
    <s v="Other (specify) - Clinical exam type "/>
    <n v="2051"/>
    <s v="Other (specify)"/>
    <s v="Other (specify)"/>
    <x v="0"/>
    <n v="37"/>
    <s v=""/>
    <m/>
    <m/>
    <s v="ST.2 Consultation"/>
    <x v="15"/>
    <m/>
    <s v="2.4 Assess chief complaint / 2.5 Conduct clinical exam"/>
    <s v="ST.DE.301"/>
    <m/>
    <s v="Other (specify)"/>
    <m/>
    <s v="Write in other reported symptoms not included in the list"/>
    <s v="Text"/>
    <m/>
    <m/>
    <m/>
    <s v="No"/>
    <m/>
    <s v="Yes"/>
    <s v="O"/>
    <s v="Include if reported symptoms = Other (specify)"/>
    <m/>
    <m/>
    <m/>
    <m/>
    <m/>
    <m/>
    <m/>
    <s v=""/>
    <x v="49"/>
    <x v="0"/>
    <s v="FHIR"/>
    <s v="4.0.1"/>
    <s v=""/>
    <x v="88"/>
    <s v="JA"/>
    <m/>
    <m/>
    <m/>
    <m/>
    <s v=""/>
    <m/>
    <x v="2"/>
    <s v="&quot;Other (specify)&quot;-&gt;&quot;Other (specify) - Clinical exam type &quot;"/>
    <m/>
    <x v="0"/>
    <m/>
    <s v=""/>
    <s v=""/>
    <m/>
    <s v=""/>
    <m/>
    <m/>
    <m/>
    <s v="No terminology code required"/>
    <s v=""/>
    <m/>
    <s v=""/>
    <s v=""/>
    <s v=""/>
    <s v=""/>
    <s v=""/>
    <s v=""/>
    <m/>
    <m/>
    <m/>
    <x v="8"/>
    <s v=""/>
    <x v="9"/>
    <x v="89"/>
    <n v="1"/>
    <n v="0"/>
    <n v="1"/>
    <n v="1"/>
    <n v="1"/>
    <n v="0"/>
    <n v="0"/>
  </r>
  <r>
    <n v="2052"/>
    <s v="External genital exam"/>
    <n v="2052"/>
    <s v="External genital"/>
    <s v="External genital"/>
    <x v="0"/>
    <n v="21"/>
    <s v=""/>
    <m/>
    <m/>
    <s v="ST.2 Consultation"/>
    <x v="15"/>
    <m/>
    <s v="2.5 Conduct clinical exam"/>
    <s v="ST.DE.307"/>
    <m/>
    <s v="External genital"/>
    <s v="Findings from the external genital exam"/>
    <m/>
    <s v="Coding"/>
    <s v="Select all that apply"/>
    <m/>
    <m/>
    <s v="Yes"/>
    <s v="If Normal is selected, no other options allowed"/>
    <s v="Yes"/>
    <s v="C"/>
    <s v="include if exams performed = exterma; genital exam = true"/>
    <m/>
    <m/>
    <m/>
    <m/>
    <m/>
    <m/>
    <m/>
    <s v=""/>
    <x v="17"/>
    <x v="2"/>
    <s v="FHIR"/>
    <s v="4.0.1"/>
    <s v=""/>
    <x v="89"/>
    <s v="JS"/>
    <m/>
    <s v="Extensible"/>
    <m/>
    <m/>
    <s v=""/>
    <m/>
    <x v="2"/>
    <s v="&quot;External genital&quot;-&gt;&quot;External genital exam&quot;"/>
    <m/>
    <x v="1"/>
    <m/>
    <s v=""/>
    <s v="same as 2047 above"/>
    <m/>
    <s v=""/>
    <s v="268947001"/>
    <m/>
    <m/>
    <s v=""/>
    <s v=""/>
    <m/>
    <s v=""/>
    <s v=""/>
    <s v=""/>
    <s v=""/>
    <s v=""/>
    <s v=""/>
    <m/>
    <m/>
    <m/>
    <x v="5"/>
    <s v=""/>
    <x v="6"/>
    <x v="90"/>
    <n v="1"/>
    <n v="1"/>
    <n v="1"/>
    <n v="1"/>
    <n v="1"/>
    <n v="0"/>
    <n v="0"/>
  </r>
  <r>
    <n v="2053"/>
    <s v="       Normal"/>
    <n v="2053"/>
    <e v="#NAME?"/>
    <s v="Normal"/>
    <x v="1"/>
    <n v="13"/>
    <s v="External genital exam"/>
    <m/>
    <m/>
    <s v="ST.2 Consultation"/>
    <x v="15"/>
    <m/>
    <s v="2.5 Conduct clinical exam"/>
    <s v="ST.DE.100"/>
    <m/>
    <m/>
    <m/>
    <m/>
    <m/>
    <m/>
    <s v="Normal"/>
    <m/>
    <m/>
    <m/>
    <s v="Yes"/>
    <s v="O"/>
    <m/>
    <m/>
    <m/>
    <m/>
    <m/>
    <m/>
    <m/>
    <m/>
    <s v=""/>
    <x v="3"/>
    <x v="1"/>
    <m/>
    <s v=""/>
    <s v=""/>
    <x v="2"/>
    <s v="JS"/>
    <m/>
    <m/>
    <m/>
    <m/>
    <s v=""/>
    <m/>
    <x v="2"/>
    <e v="#NAME?"/>
    <m/>
    <x v="1"/>
    <m/>
    <s v=""/>
    <s v=""/>
    <m/>
    <s v=""/>
    <s v="827038004"/>
    <m/>
    <m/>
    <s v=""/>
    <s v=""/>
    <s v="x"/>
    <s v=""/>
    <s v=""/>
    <s v=""/>
    <s v=""/>
    <s v=""/>
    <s v=""/>
    <m/>
    <m/>
    <m/>
    <x v="2"/>
    <n v="0"/>
    <x v="2"/>
    <x v="90"/>
    <n v="1"/>
    <s v=""/>
    <n v="1"/>
    <n v="1"/>
    <n v="1"/>
    <n v="0"/>
    <n v="0"/>
  </r>
  <r>
    <n v="2054"/>
    <s v="       Vulval discharge"/>
    <n v="2054"/>
    <e v="#NAME?"/>
    <s v="Vulval discharge"/>
    <x v="1"/>
    <n v="23"/>
    <s v="External genital exam"/>
    <m/>
    <m/>
    <s v="ST.2 Consultation"/>
    <x v="15"/>
    <m/>
    <s v="2.5 Conduct clinical exam"/>
    <s v="ST.DE.362"/>
    <m/>
    <m/>
    <m/>
    <m/>
    <m/>
    <m/>
    <s v="Vulval discharge"/>
    <m/>
    <m/>
    <m/>
    <s v="Yes"/>
    <s v="O"/>
    <s v="Skip if gender = male "/>
    <m/>
    <m/>
    <m/>
    <m/>
    <m/>
    <m/>
    <m/>
    <s v=""/>
    <x v="3"/>
    <x v="1"/>
    <m/>
    <s v=""/>
    <s v=""/>
    <x v="2"/>
    <s v="JS"/>
    <m/>
    <m/>
    <m/>
    <m/>
    <s v=""/>
    <m/>
    <x v="2"/>
    <e v="#NAME?"/>
    <m/>
    <x v="1"/>
    <m/>
    <s v=""/>
    <s v=""/>
    <s v="n89.8; N76.2 (acute vulvitis) "/>
    <s v=""/>
    <s v="5089007"/>
    <m/>
    <m/>
    <s v=""/>
    <s v=""/>
    <m/>
    <s v="icd 10 needs n76.3; n76.4; n76.6; n76.81; n76.89; SNOMED- vulvar diseases"/>
    <s v=""/>
    <s v=""/>
    <s v=""/>
    <s v=""/>
    <s v=""/>
    <m/>
    <m/>
    <m/>
    <x v="2"/>
    <n v="0"/>
    <x v="2"/>
    <x v="90"/>
    <n v="1"/>
    <s v=""/>
    <n v="1"/>
    <n v="1"/>
    <n v="1"/>
    <n v="0"/>
    <n v="0"/>
  </r>
  <r>
    <n v="2055"/>
    <s v="       Urethral discharge"/>
    <n v="2055"/>
    <e v="#NAME?"/>
    <s v="Urethral discharge"/>
    <x v="1"/>
    <n v="25"/>
    <s v="External genital exam"/>
    <m/>
    <m/>
    <s v="ST.2 Consultation"/>
    <x v="15"/>
    <m/>
    <s v="2.5 Conduct clinical exam"/>
    <s v="ST.DE.209"/>
    <m/>
    <m/>
    <m/>
    <m/>
    <m/>
    <m/>
    <s v="Urethral discharge"/>
    <m/>
    <m/>
    <m/>
    <s v="Yes"/>
    <s v="O"/>
    <s v="Skip if gender = female"/>
    <m/>
    <m/>
    <m/>
    <m/>
    <m/>
    <m/>
    <m/>
    <s v=""/>
    <x v="3"/>
    <x v="1"/>
    <m/>
    <s v=""/>
    <s v=""/>
    <x v="2"/>
    <s v="JS"/>
    <m/>
    <m/>
    <m/>
    <m/>
    <s v=""/>
    <m/>
    <x v="2"/>
    <e v="#NAME?"/>
    <m/>
    <x v="1"/>
    <m/>
    <s v=""/>
    <s v=""/>
    <m/>
    <s v=""/>
    <s v="9957009"/>
    <m/>
    <m/>
    <s v=""/>
    <s v=""/>
    <s v="x"/>
    <s v=""/>
    <s v=""/>
    <s v=""/>
    <s v=""/>
    <s v=""/>
    <s v=""/>
    <m/>
    <m/>
    <m/>
    <x v="2"/>
    <n v="0"/>
    <x v="2"/>
    <x v="90"/>
    <n v="1"/>
    <s v=""/>
    <n v="1"/>
    <n v="1"/>
    <n v="1"/>
    <n v="0"/>
    <n v="0"/>
  </r>
  <r>
    <n v="2056"/>
    <s v="       Testicle swelling"/>
    <n v="2056"/>
    <e v="#NAME?"/>
    <s v="Testicle swelling"/>
    <x v="1"/>
    <n v="24"/>
    <s v="External genital exam"/>
    <m/>
    <m/>
    <s v="ST.2 Consultation"/>
    <x v="15"/>
    <m/>
    <s v="2.5 Conduct clinical exam"/>
    <s v="ST.DE.363"/>
    <m/>
    <m/>
    <m/>
    <m/>
    <m/>
    <m/>
    <s v="Testicle swelling"/>
    <m/>
    <m/>
    <m/>
    <s v="Yes"/>
    <s v="O"/>
    <s v="Skip if gender = female"/>
    <m/>
    <m/>
    <m/>
    <m/>
    <m/>
    <m/>
    <m/>
    <s v=""/>
    <x v="3"/>
    <x v="1"/>
    <m/>
    <s v=""/>
    <s v=""/>
    <x v="2"/>
    <s v="JS"/>
    <m/>
    <m/>
    <m/>
    <m/>
    <s v=""/>
    <m/>
    <x v="2"/>
    <e v="#NAME?"/>
    <m/>
    <x v="1"/>
    <m/>
    <s v=""/>
    <s v="x"/>
    <m/>
    <s v=""/>
    <s v="438457000"/>
    <m/>
    <m/>
    <s v=""/>
    <s v=""/>
    <m/>
    <s v=""/>
    <s v=""/>
    <s v=""/>
    <s v=""/>
    <s v=""/>
    <s v=""/>
    <m/>
    <m/>
    <m/>
    <x v="2"/>
    <n v="0"/>
    <x v="2"/>
    <x v="90"/>
    <n v="1"/>
    <s v=""/>
    <n v="1"/>
    <n v="1"/>
    <n v="1"/>
    <n v="0"/>
    <n v="0"/>
  </r>
  <r>
    <n v="2057"/>
    <s v="       Vulval Redness (erythema)"/>
    <n v="2057"/>
    <e v="#NAME?"/>
    <s v="Vulval Redness (erythema)"/>
    <x v="1"/>
    <n v="32"/>
    <s v="External genital exam"/>
    <m/>
    <m/>
    <s v="ST.2 Consultation"/>
    <x v="15"/>
    <m/>
    <s v="2.5 Conduct clinical exam"/>
    <s v="ST.DE.218"/>
    <m/>
    <m/>
    <m/>
    <m/>
    <m/>
    <m/>
    <s v="Vulval Redness (erythema)"/>
    <m/>
    <m/>
    <m/>
    <s v="Yes"/>
    <s v="O"/>
    <s v="Skip if gender = male "/>
    <m/>
    <m/>
    <m/>
    <m/>
    <m/>
    <m/>
    <m/>
    <s v=""/>
    <x v="3"/>
    <x v="1"/>
    <m/>
    <s v=""/>
    <s v=""/>
    <x v="2"/>
    <s v="JS"/>
    <m/>
    <m/>
    <m/>
    <m/>
    <s v=""/>
    <m/>
    <x v="2"/>
    <e v="#NAME?"/>
    <m/>
    <x v="1"/>
    <m/>
    <s v=""/>
    <s v="x"/>
    <m/>
    <s v=""/>
    <s v="289485008"/>
    <m/>
    <m/>
    <s v=""/>
    <s v=""/>
    <m/>
    <s v=""/>
    <s v=""/>
    <s v=""/>
    <s v=""/>
    <s v=""/>
    <s v=""/>
    <m/>
    <m/>
    <m/>
    <x v="2"/>
    <n v="0"/>
    <x v="2"/>
    <x v="90"/>
    <n v="1"/>
    <s v=""/>
    <n v="1"/>
    <n v="1"/>
    <n v="1"/>
    <n v="0"/>
    <n v="0"/>
  </r>
  <r>
    <n v="2058"/>
    <s v="       Ulcers"/>
    <n v="2058"/>
    <e v="#NAME?"/>
    <s v="Ulcers"/>
    <x v="1"/>
    <n v="13"/>
    <s v="External genital exam"/>
    <m/>
    <m/>
    <s v="ST.2 Consultation"/>
    <x v="15"/>
    <m/>
    <s v="2.5 Conduct clinical exam"/>
    <s v="ST.DE.203"/>
    <m/>
    <m/>
    <m/>
    <m/>
    <m/>
    <m/>
    <s v="Ulcers"/>
    <m/>
    <m/>
    <m/>
    <s v="Yes"/>
    <s v="O"/>
    <m/>
    <m/>
    <m/>
    <m/>
    <m/>
    <m/>
    <m/>
    <m/>
    <s v=""/>
    <x v="3"/>
    <x v="1"/>
    <m/>
    <s v=""/>
    <s v=""/>
    <x v="2"/>
    <s v="JS"/>
    <m/>
    <m/>
    <m/>
    <m/>
    <s v=""/>
    <m/>
    <x v="2"/>
    <e v="#NAME?"/>
    <m/>
    <x v="1"/>
    <s v="http://who.int/cg/CodeSystem/extended-content"/>
    <s v="Ulcers"/>
    <s v=""/>
    <m/>
    <s v=""/>
    <m/>
    <m/>
    <m/>
    <s v="No SNOMED code available"/>
    <s v=""/>
    <s v="x"/>
    <s v="Needs more specificity... what is a genital sore vs. an ulcer? Is genital lesion (724386005) a good grouper for these?"/>
    <s v=""/>
    <s v=""/>
    <s v=""/>
    <s v=""/>
    <s v=""/>
    <m/>
    <m/>
    <m/>
    <x v="2"/>
    <n v="0"/>
    <x v="2"/>
    <x v="90"/>
    <n v="1"/>
    <s v=""/>
    <n v="1"/>
    <n v="1"/>
    <n v="1"/>
    <n v="0"/>
    <n v="0"/>
  </r>
  <r>
    <n v="2059"/>
    <s v="       Sores"/>
    <n v="2059"/>
    <e v="#NAME?"/>
    <s v="Sores"/>
    <x v="1"/>
    <n v="12"/>
    <s v="External genital exam"/>
    <m/>
    <m/>
    <s v="ST.2 Consultation"/>
    <x v="15"/>
    <m/>
    <s v="2.5 Conduct clinical exam"/>
    <s v="ST.DE.204"/>
    <m/>
    <m/>
    <m/>
    <m/>
    <m/>
    <m/>
    <s v="Sores"/>
    <m/>
    <m/>
    <m/>
    <s v="Yes"/>
    <s v="O"/>
    <m/>
    <m/>
    <m/>
    <m/>
    <m/>
    <m/>
    <m/>
    <m/>
    <s v=""/>
    <x v="3"/>
    <x v="1"/>
    <m/>
    <s v=""/>
    <s v=""/>
    <x v="2"/>
    <s v="JS"/>
    <m/>
    <m/>
    <m/>
    <m/>
    <s v=""/>
    <m/>
    <x v="2"/>
    <e v="#NAME?"/>
    <m/>
    <x v="1"/>
    <s v="http://who.int/cg/CodeSystem/extended-content"/>
    <s v="Sores"/>
    <s v=""/>
    <m/>
    <s v=""/>
    <m/>
    <m/>
    <m/>
    <s v="No SNOMED code available"/>
    <s v=""/>
    <s v="x"/>
    <s v="Needs more specificity... what is a genital sore vs. an ulcer? Is genital lesion (724386005) a good grouper for these?"/>
    <s v=""/>
    <s v=""/>
    <s v=""/>
    <s v=""/>
    <s v=""/>
    <m/>
    <m/>
    <m/>
    <x v="2"/>
    <n v="0"/>
    <x v="2"/>
    <x v="90"/>
    <n v="1"/>
    <s v=""/>
    <n v="1"/>
    <n v="1"/>
    <n v="1"/>
    <n v="0"/>
    <n v="0"/>
  </r>
  <r>
    <n v="2060"/>
    <s v="       Blisters"/>
    <n v="2060"/>
    <e v="#NAME?"/>
    <s v="Blisters"/>
    <x v="1"/>
    <n v="15"/>
    <s v="External genital exam"/>
    <m/>
    <m/>
    <s v="ST.2 Consultation"/>
    <x v="15"/>
    <m/>
    <s v="2.5 Conduct clinical exam"/>
    <s v="ST.DE.205"/>
    <m/>
    <m/>
    <m/>
    <m/>
    <m/>
    <m/>
    <s v="Blisters"/>
    <m/>
    <m/>
    <m/>
    <s v="Yes"/>
    <s v="O"/>
    <m/>
    <m/>
    <m/>
    <m/>
    <m/>
    <m/>
    <m/>
    <m/>
    <s v=""/>
    <x v="3"/>
    <x v="1"/>
    <m/>
    <s v=""/>
    <s v=""/>
    <x v="2"/>
    <s v="JS"/>
    <m/>
    <m/>
    <m/>
    <m/>
    <s v=""/>
    <m/>
    <x v="2"/>
    <e v="#NAME?"/>
    <m/>
    <x v="1"/>
    <m/>
    <s v=""/>
    <s v="x"/>
    <s v="S30.826; _x000a_S30.825A"/>
    <s v=""/>
    <m/>
    <m/>
    <m/>
    <s v=""/>
    <s v=""/>
    <m/>
    <s v=""/>
    <s v=""/>
    <s v=""/>
    <s v=""/>
    <s v=""/>
    <s v=""/>
    <m/>
    <m/>
    <m/>
    <x v="2"/>
    <n v="0"/>
    <x v="2"/>
    <x v="90"/>
    <n v="1"/>
    <s v=""/>
    <n v="1"/>
    <n v="1"/>
    <n v="1"/>
    <n v="0"/>
    <n v="0"/>
  </r>
  <r>
    <n v="2061"/>
    <s v="       Groin swelling"/>
    <n v="2061"/>
    <e v="#NAME?"/>
    <s v="Groin swelling"/>
    <x v="1"/>
    <n v="21"/>
    <s v="External genital exam"/>
    <m/>
    <m/>
    <s v="ST.2 Consultation"/>
    <x v="15"/>
    <m/>
    <s v="2.5 Conduct clinical exam"/>
    <s v="ST.DE.206"/>
    <m/>
    <m/>
    <m/>
    <m/>
    <m/>
    <m/>
    <s v="Groin swelling"/>
    <m/>
    <m/>
    <m/>
    <s v="Yes"/>
    <s v="O"/>
    <m/>
    <m/>
    <m/>
    <m/>
    <m/>
    <m/>
    <m/>
    <m/>
    <s v=""/>
    <x v="3"/>
    <x v="1"/>
    <m/>
    <s v=""/>
    <s v=""/>
    <x v="2"/>
    <s v="JS"/>
    <m/>
    <m/>
    <m/>
    <m/>
    <s v=""/>
    <m/>
    <x v="2"/>
    <e v="#NAME?"/>
    <m/>
    <x v="1"/>
    <m/>
    <s v=""/>
    <s v="inguinal swelling"/>
    <m/>
    <s v=""/>
    <s v="274743004"/>
    <m/>
    <m/>
    <s v=""/>
    <s v=""/>
    <m/>
    <s v=""/>
    <s v=""/>
    <s v=""/>
    <s v=""/>
    <s v=""/>
    <s v=""/>
    <m/>
    <m/>
    <m/>
    <x v="2"/>
    <n v="0"/>
    <x v="2"/>
    <x v="90"/>
    <n v="1"/>
    <s v=""/>
    <n v="1"/>
    <n v="1"/>
    <n v="1"/>
    <n v="0"/>
    <n v="0"/>
  </r>
  <r>
    <n v="2062"/>
    <s v="       Groin lumps"/>
    <n v="2062"/>
    <e v="#NAME?"/>
    <s v="Groin lumps"/>
    <x v="1"/>
    <n v="18"/>
    <s v="External genital exam"/>
    <m/>
    <m/>
    <s v="ST.2 Consultation"/>
    <x v="15"/>
    <m/>
    <s v="2.5 Conduct clinical exam"/>
    <s v="ST.DE.207"/>
    <m/>
    <m/>
    <m/>
    <m/>
    <m/>
    <m/>
    <s v="Groin lumps"/>
    <m/>
    <m/>
    <m/>
    <s v="Yes"/>
    <s v="O"/>
    <m/>
    <m/>
    <m/>
    <m/>
    <m/>
    <m/>
    <m/>
    <m/>
    <s v=""/>
    <x v="3"/>
    <x v="1"/>
    <m/>
    <s v=""/>
    <s v=""/>
    <x v="2"/>
    <s v="JS"/>
    <m/>
    <m/>
    <m/>
    <m/>
    <s v=""/>
    <m/>
    <x v="2"/>
    <e v="#NAME?"/>
    <m/>
    <x v="1"/>
    <m/>
    <s v=""/>
    <s v=""/>
    <m/>
    <s v=""/>
    <s v="281398003"/>
    <m/>
    <m/>
    <s v=""/>
    <s v=""/>
    <s v="x"/>
    <s v=""/>
    <s v=""/>
    <s v=""/>
    <s v=""/>
    <s v=""/>
    <s v=""/>
    <m/>
    <m/>
    <m/>
    <x v="2"/>
    <n v="0"/>
    <x v="2"/>
    <x v="90"/>
    <n v="1"/>
    <s v=""/>
    <n v="1"/>
    <n v="1"/>
    <n v="1"/>
    <n v="0"/>
    <n v="0"/>
  </r>
  <r>
    <n v="2063"/>
    <s v="       Other (specify)"/>
    <n v="2063"/>
    <e v="#NAME?"/>
    <s v="Other (specify)"/>
    <x v="1"/>
    <n v="22"/>
    <s v="External genital exam"/>
    <m/>
    <m/>
    <s v="ST.2 Consultation"/>
    <x v="15"/>
    <m/>
    <s v="2.5 Conduct clinical exam"/>
    <s v="ST.DE.220"/>
    <m/>
    <m/>
    <m/>
    <m/>
    <m/>
    <m/>
    <s v="Other (specify)"/>
    <m/>
    <m/>
    <m/>
    <s v="Yes"/>
    <s v="O"/>
    <m/>
    <m/>
    <m/>
    <m/>
    <m/>
    <m/>
    <m/>
    <m/>
    <s v=""/>
    <x v="3"/>
    <x v="1"/>
    <m/>
    <s v=""/>
    <s v=""/>
    <x v="2"/>
    <s v="JS"/>
    <m/>
    <m/>
    <m/>
    <m/>
    <s v=""/>
    <m/>
    <x v="2"/>
    <e v="#NAME?"/>
    <m/>
    <x v="0"/>
    <s v="http://who.int/cg/CodeSystem/extended-content"/>
    <s v="Other"/>
    <s v=""/>
    <m/>
    <s v=""/>
    <m/>
    <m/>
    <m/>
    <s v=""/>
    <s v=""/>
    <m/>
    <s v=""/>
    <s v=""/>
    <s v=""/>
    <s v=""/>
    <s v=""/>
    <s v=""/>
    <m/>
    <m/>
    <m/>
    <x v="2"/>
    <n v="0"/>
    <x v="2"/>
    <x v="90"/>
    <n v="1"/>
    <s v=""/>
    <n v="1"/>
    <n v="1"/>
    <n v="1"/>
    <n v="0"/>
    <n v="0"/>
  </r>
  <r>
    <n v="2064"/>
    <s v="Other (specify) - External genital"/>
    <n v="2064"/>
    <s v="Other (specify)"/>
    <s v="Other (specify)"/>
    <x v="0"/>
    <n v="34"/>
    <s v=""/>
    <m/>
    <m/>
    <s v="ST.2 Consultation"/>
    <x v="15"/>
    <m/>
    <s v="2.5 Conduct clinical exam"/>
    <s v="ST.DE.301"/>
    <m/>
    <s v="Other (specify)"/>
    <m/>
    <s v="Write in other observations not included in the list"/>
    <s v="Text"/>
    <m/>
    <m/>
    <m/>
    <s v="No"/>
    <m/>
    <s v="Yes"/>
    <s v="C"/>
    <s v="Include if external genital exam = Other (specify)"/>
    <m/>
    <m/>
    <m/>
    <m/>
    <m/>
    <m/>
    <m/>
    <s v=""/>
    <x v="17"/>
    <x v="6"/>
    <s v="FHIR"/>
    <s v="4.0.1"/>
    <s v=""/>
    <x v="89"/>
    <s v="JA"/>
    <m/>
    <m/>
    <m/>
    <m/>
    <s v=""/>
    <m/>
    <x v="2"/>
    <s v="&quot;Other (specify)&quot;-&gt;&quot;Other (specify) - External genital&quot;"/>
    <m/>
    <x v="0"/>
    <m/>
    <s v=""/>
    <s v=""/>
    <m/>
    <s v=""/>
    <m/>
    <m/>
    <m/>
    <s v="No terminology code required"/>
    <s v=""/>
    <m/>
    <s v=""/>
    <s v=""/>
    <s v=""/>
    <s v=""/>
    <s v=""/>
    <s v=""/>
    <m/>
    <m/>
    <m/>
    <x v="5"/>
    <s v=""/>
    <x v="6"/>
    <x v="90"/>
    <n v="1"/>
    <n v="0"/>
    <n v="1"/>
    <n v="1"/>
    <n v="1"/>
    <n v="0"/>
    <n v="0"/>
  </r>
  <r>
    <n v="2065"/>
    <s v="Speculum Exam Results"/>
    <n v="2065"/>
    <s v="Speculum"/>
    <s v="Speculum"/>
    <x v="0"/>
    <n v="21"/>
    <s v=""/>
    <m/>
    <m/>
    <s v="ST.2 Consultation"/>
    <x v="16"/>
    <m/>
    <s v="2.5 Conduct clinical exam"/>
    <s v="ST.DE.308"/>
    <m/>
    <s v="Speculum"/>
    <s v="Findings from the speculem exam"/>
    <m/>
    <s v="Coding"/>
    <s v="Select all that apply"/>
    <m/>
    <m/>
    <s v="Yes"/>
    <s v="If Normal is selected, no other options allowed"/>
    <s v="Yes"/>
    <s v="C"/>
    <s v="Skip if gender = male, include if exams performed  speculum = true"/>
    <m/>
    <m/>
    <m/>
    <m/>
    <m/>
    <m/>
    <m/>
    <s v=""/>
    <x v="17"/>
    <x v="2"/>
    <s v="FHIR"/>
    <s v="4.0.1"/>
    <s v=""/>
    <x v="90"/>
    <s v="JS"/>
    <m/>
    <s v="Extensible"/>
    <m/>
    <m/>
    <s v=""/>
    <m/>
    <x v="2"/>
    <s v="&quot;Speculum&quot;-&gt;&quot;Speculum Exam Results&quot;"/>
    <m/>
    <x v="1"/>
    <s v="http://who.int/cg/CodeSystem/extended-content"/>
    <s v="Speculum Exam Results"/>
    <s v=""/>
    <m/>
    <s v=""/>
    <m/>
    <m/>
    <m/>
    <s v="No LOINC code available"/>
    <s v=""/>
    <s v="x"/>
    <s v="too specific..."/>
    <s v=""/>
    <s v=""/>
    <s v=""/>
    <s v=""/>
    <s v=""/>
    <m/>
    <m/>
    <m/>
    <x v="5"/>
    <s v=""/>
    <x v="6"/>
    <x v="91"/>
    <n v="1"/>
    <n v="1"/>
    <n v="1"/>
    <n v="1"/>
    <n v="1"/>
    <n v="0"/>
    <n v="0"/>
  </r>
  <r>
    <n v="2066"/>
    <s v="       Normal"/>
    <n v="2066"/>
    <e v="#NAME?"/>
    <s v="Normal"/>
    <x v="1"/>
    <n v="13"/>
    <s v="Speculum Exam Results"/>
    <m/>
    <m/>
    <s v="ST.2 Consultation"/>
    <x v="16"/>
    <m/>
    <s v="2.5 Conduct clinical exam"/>
    <s v="ST.DE.100"/>
    <m/>
    <m/>
    <m/>
    <m/>
    <m/>
    <m/>
    <s v="Normal"/>
    <m/>
    <m/>
    <m/>
    <s v="Yes"/>
    <s v="O"/>
    <m/>
    <m/>
    <m/>
    <m/>
    <m/>
    <m/>
    <m/>
    <m/>
    <s v=""/>
    <x v="3"/>
    <x v="1"/>
    <m/>
    <s v=""/>
    <s v=""/>
    <x v="2"/>
    <s v="JS"/>
    <m/>
    <m/>
    <m/>
    <m/>
    <s v=""/>
    <m/>
    <x v="2"/>
    <e v="#NAME?"/>
    <m/>
    <x v="1"/>
    <m/>
    <s v=""/>
    <s v=""/>
    <s v="z01.419 "/>
    <s v=""/>
    <m/>
    <m/>
    <m/>
    <s v=""/>
    <s v=""/>
    <m/>
    <s v="z01.419 (no abnormal; z01.411 abnomral findings) "/>
    <s v=""/>
    <s v=""/>
    <s v=""/>
    <s v=""/>
    <s v=""/>
    <m/>
    <m/>
    <m/>
    <x v="2"/>
    <n v="0"/>
    <x v="2"/>
    <x v="91"/>
    <n v="1"/>
    <s v=""/>
    <n v="1"/>
    <n v="1"/>
    <n v="1"/>
    <n v="0"/>
    <n v="0"/>
  </r>
  <r>
    <n v="2067"/>
    <s v="       Ulcers"/>
    <n v="2067"/>
    <e v="#NAME?"/>
    <s v="Ulcers"/>
    <x v="1"/>
    <n v="13"/>
    <s v="Speculum Exam Results"/>
    <m/>
    <m/>
    <s v="ST.2 Consultation"/>
    <x v="16"/>
    <m/>
    <s v="2.5 Conduct clinical exam"/>
    <s v="ST.DE.203"/>
    <m/>
    <m/>
    <m/>
    <m/>
    <m/>
    <m/>
    <s v="Ulcers"/>
    <m/>
    <m/>
    <m/>
    <s v="Yes"/>
    <s v="O"/>
    <m/>
    <m/>
    <m/>
    <m/>
    <m/>
    <m/>
    <m/>
    <m/>
    <s v=""/>
    <x v="3"/>
    <x v="1"/>
    <m/>
    <s v=""/>
    <s v=""/>
    <x v="2"/>
    <s v="JS"/>
    <m/>
    <m/>
    <m/>
    <m/>
    <s v=""/>
    <m/>
    <x v="2"/>
    <e v="#NAME?"/>
    <m/>
    <x v="1"/>
    <m/>
    <s v=""/>
    <s v="x (Vaginal)"/>
    <s v="N76.5"/>
    <s v=""/>
    <m/>
    <m/>
    <m/>
    <s v=""/>
    <s v=""/>
    <m/>
    <s v=""/>
    <s v=""/>
    <s v=""/>
    <s v=""/>
    <s v=""/>
    <s v=""/>
    <m/>
    <m/>
    <m/>
    <x v="2"/>
    <n v="0"/>
    <x v="2"/>
    <x v="91"/>
    <n v="1"/>
    <s v=""/>
    <n v="1"/>
    <n v="1"/>
    <n v="1"/>
    <n v="0"/>
    <n v="0"/>
  </r>
  <r>
    <n v="2068"/>
    <s v="       Sores"/>
    <n v="2068"/>
    <e v="#NAME?"/>
    <s v="Sores"/>
    <x v="1"/>
    <n v="12"/>
    <s v="Speculum Exam Results"/>
    <m/>
    <m/>
    <s v="ST.2 Consultation"/>
    <x v="16"/>
    <m/>
    <s v="2.5 Conduct clinical exam"/>
    <s v="ST.DE.204"/>
    <m/>
    <m/>
    <m/>
    <m/>
    <m/>
    <m/>
    <s v="Sores"/>
    <m/>
    <m/>
    <m/>
    <s v="Yes"/>
    <s v="O"/>
    <m/>
    <m/>
    <m/>
    <m/>
    <m/>
    <m/>
    <m/>
    <m/>
    <s v=""/>
    <x v="3"/>
    <x v="1"/>
    <m/>
    <s v=""/>
    <s v=""/>
    <x v="2"/>
    <s v="JS"/>
    <m/>
    <m/>
    <m/>
    <m/>
    <s v=""/>
    <m/>
    <x v="2"/>
    <e v="#NAME?"/>
    <m/>
    <x v="1"/>
    <s v="http://who.int/cg/CodeSystem/extended-content"/>
    <s v="Sores"/>
    <s v=""/>
    <m/>
    <s v=""/>
    <m/>
    <m/>
    <m/>
    <s v="No SNOMED code available"/>
    <s v=""/>
    <s v="x"/>
    <s v="Sores are not a common concept in SNOMED... appropriate synonym?"/>
    <s v=""/>
    <s v=""/>
    <s v=""/>
    <s v=""/>
    <s v=""/>
    <m/>
    <m/>
    <m/>
    <x v="2"/>
    <n v="0"/>
    <x v="2"/>
    <x v="91"/>
    <n v="1"/>
    <s v=""/>
    <n v="1"/>
    <n v="1"/>
    <n v="1"/>
    <n v="0"/>
    <n v="0"/>
  </r>
  <r>
    <n v="2069"/>
    <s v="       Blisters"/>
    <n v="2069"/>
    <e v="#NAME?"/>
    <s v="Blisters"/>
    <x v="1"/>
    <n v="15"/>
    <s v="Speculum Exam Results"/>
    <m/>
    <m/>
    <s v="ST.2 Consultation"/>
    <x v="16"/>
    <m/>
    <s v="2.5 Conduct clinical exam"/>
    <s v="ST.DE.205"/>
    <m/>
    <m/>
    <m/>
    <m/>
    <m/>
    <m/>
    <s v="Blisters"/>
    <m/>
    <m/>
    <m/>
    <s v="Yes"/>
    <s v="O"/>
    <m/>
    <m/>
    <m/>
    <m/>
    <m/>
    <m/>
    <m/>
    <m/>
    <s v=""/>
    <x v="3"/>
    <x v="1"/>
    <m/>
    <s v=""/>
    <s v=""/>
    <x v="2"/>
    <s v="JS"/>
    <m/>
    <m/>
    <m/>
    <m/>
    <s v=""/>
    <m/>
    <x v="2"/>
    <e v="#NAME?"/>
    <m/>
    <x v="1"/>
    <m/>
    <s v=""/>
    <m/>
    <m/>
    <s v=""/>
    <s v="289519008"/>
    <m/>
    <m/>
    <s v=""/>
    <s v=""/>
    <s v="x"/>
    <s v=""/>
    <s v=""/>
    <s v=""/>
    <s v=""/>
    <s v=""/>
    <s v=""/>
    <m/>
    <m/>
    <m/>
    <x v="2"/>
    <n v="0"/>
    <x v="2"/>
    <x v="91"/>
    <n v="1"/>
    <s v=""/>
    <n v="1"/>
    <n v="1"/>
    <n v="1"/>
    <n v="0"/>
    <n v="0"/>
  </r>
  <r>
    <n v="2070"/>
    <s v="       Abnormal vaginal discharge"/>
    <n v="2070"/>
    <e v="#NAME?"/>
    <s v="Abnormal vaginal discharge"/>
    <x v="1"/>
    <n v="33"/>
    <s v="Speculum Exam Results"/>
    <m/>
    <m/>
    <s v="ST.2 Consultation"/>
    <x v="16"/>
    <m/>
    <s v="2.5 Conduct clinical exam"/>
    <s v="ST.DE.200"/>
    <m/>
    <m/>
    <m/>
    <m/>
    <m/>
    <m/>
    <s v="Abnormal vaginal discharge"/>
    <m/>
    <m/>
    <m/>
    <s v="Yes"/>
    <s v="O"/>
    <m/>
    <m/>
    <m/>
    <m/>
    <m/>
    <m/>
    <m/>
    <m/>
    <s v=""/>
    <x v="3"/>
    <x v="1"/>
    <m/>
    <s v=""/>
    <s v=""/>
    <x v="2"/>
    <s v="JS"/>
    <m/>
    <m/>
    <m/>
    <m/>
    <s v=""/>
    <m/>
    <x v="2"/>
    <e v="#NAME?"/>
    <m/>
    <x v="1"/>
    <m/>
    <s v=""/>
    <s v=""/>
    <s v="S30.824D"/>
    <s v=""/>
    <s v="289567003"/>
    <m/>
    <m/>
    <s v=""/>
    <s v=""/>
    <m/>
    <s v=""/>
    <s v=""/>
    <s v=""/>
    <s v=""/>
    <s v=""/>
    <s v=""/>
    <m/>
    <m/>
    <m/>
    <x v="2"/>
    <n v="0"/>
    <x v="2"/>
    <x v="91"/>
    <n v="1"/>
    <s v=""/>
    <n v="1"/>
    <n v="1"/>
    <n v="1"/>
    <n v="0"/>
    <n v="0"/>
  </r>
  <r>
    <n v="2071"/>
    <s v="       Redness of vaginal walls"/>
    <n v="2071"/>
    <e v="#NAME?"/>
    <s v="Redness of vaginal walls"/>
    <x v="1"/>
    <n v="31"/>
    <s v="Speculum Exam Results"/>
    <m/>
    <m/>
    <s v="ST.2 Consultation"/>
    <x v="16"/>
    <m/>
    <s v="2.5 Conduct clinical exam"/>
    <s v="ST.DE.220"/>
    <m/>
    <m/>
    <m/>
    <m/>
    <m/>
    <m/>
    <s v="Redness of vaginal walls"/>
    <m/>
    <m/>
    <m/>
    <s v="Yes"/>
    <s v="O"/>
    <m/>
    <m/>
    <m/>
    <m/>
    <m/>
    <m/>
    <m/>
    <m/>
    <s v=""/>
    <x v="3"/>
    <x v="1"/>
    <m/>
    <s v=""/>
    <s v=""/>
    <x v="2"/>
    <s v="JS"/>
    <m/>
    <m/>
    <m/>
    <m/>
    <s v=""/>
    <m/>
    <x v="2"/>
    <e v="#NAME?"/>
    <m/>
    <x v="1"/>
    <m/>
    <s v=""/>
    <s v=""/>
    <m/>
    <s v=""/>
    <s v="126486000"/>
    <m/>
    <m/>
    <s v=""/>
    <s v="Vaginal wall is a mucosal surface? :D"/>
    <s v="x"/>
    <s v=""/>
    <s v=""/>
    <s v=""/>
    <s v=""/>
    <s v=""/>
    <s v=""/>
    <m/>
    <m/>
    <m/>
    <x v="2"/>
    <n v="0"/>
    <x v="2"/>
    <x v="91"/>
    <n v="1"/>
    <s v=""/>
    <n v="1"/>
    <n v="1"/>
    <n v="1"/>
    <n v="0"/>
    <n v="0"/>
  </r>
  <r>
    <n v="2072"/>
    <s v="       Cervix bleeds easily when touched"/>
    <n v="2072"/>
    <e v="#NAME?"/>
    <s v="Cervix bleeds easily when touched"/>
    <x v="1"/>
    <n v="40"/>
    <s v="Speculum Exam Results"/>
    <m/>
    <m/>
    <s v="ST.2 Consultation"/>
    <x v="16"/>
    <m/>
    <s v="2.5 Conduct clinical exam"/>
    <s v="ST.DE.272"/>
    <m/>
    <m/>
    <m/>
    <m/>
    <m/>
    <m/>
    <s v="Cervix bleeds easily when touched"/>
    <m/>
    <m/>
    <m/>
    <s v="Yes"/>
    <s v="O"/>
    <m/>
    <m/>
    <m/>
    <m/>
    <m/>
    <m/>
    <m/>
    <m/>
    <s v=""/>
    <x v="3"/>
    <x v="1"/>
    <m/>
    <s v=""/>
    <s v=""/>
    <x v="2"/>
    <s v="JS"/>
    <m/>
    <m/>
    <m/>
    <m/>
    <s v=""/>
    <m/>
    <x v="2"/>
    <e v="#NAME?"/>
    <m/>
    <x v="1"/>
    <s v="http://who.int/cg/CodeSystem/extended-content"/>
    <s v="Cervix bleeds easily when touched"/>
    <s v=""/>
    <m/>
    <s v=""/>
    <m/>
    <m/>
    <m/>
    <s v="No SNOMED code available"/>
    <s v=""/>
    <s v="x"/>
    <s v="friable cervix is closest concept, but there's no SNOMED finding. :(  "/>
    <s v=""/>
    <s v=""/>
    <s v=""/>
    <s v=""/>
    <s v=""/>
    <m/>
    <m/>
    <m/>
    <x v="2"/>
    <n v="0"/>
    <x v="2"/>
    <x v="91"/>
    <n v="1"/>
    <s v=""/>
    <n v="1"/>
    <n v="1"/>
    <n v="1"/>
    <n v="0"/>
    <n v="0"/>
  </r>
  <r>
    <n v="2073"/>
    <s v="       Discharge appears mucopurulent with discoloration"/>
    <n v="2073"/>
    <e v="#NAME?"/>
    <s v="Discharge appears mucopurulent with discoloration"/>
    <x v="1"/>
    <n v="56"/>
    <s v="Speculum Exam Results"/>
    <m/>
    <m/>
    <s v="ST.2 Consultation"/>
    <x v="16"/>
    <m/>
    <s v="2.5 Conduct clinical exam"/>
    <s v="ST.DE.277"/>
    <m/>
    <m/>
    <m/>
    <m/>
    <m/>
    <m/>
    <s v="Discharge appears mucopurulent with discoloration"/>
    <m/>
    <m/>
    <m/>
    <s v="Yes"/>
    <s v="O"/>
    <s v="Include if DSL includes value - used by DSL for vaginal discharge in non-pregnant women"/>
    <m/>
    <m/>
    <m/>
    <m/>
    <m/>
    <m/>
    <m/>
    <s v=""/>
    <x v="3"/>
    <x v="1"/>
    <m/>
    <s v=""/>
    <s v=""/>
    <x v="2"/>
    <s v="JS"/>
    <m/>
    <m/>
    <m/>
    <m/>
    <s v=""/>
    <m/>
    <x v="2"/>
    <e v="#NAME?"/>
    <m/>
    <x v="1"/>
    <m/>
    <s v=""/>
    <s v=""/>
    <m/>
    <s v=""/>
    <s v="307492008"/>
    <m/>
    <m/>
    <s v=""/>
    <s v=""/>
    <s v="x"/>
    <s v=""/>
    <s v=""/>
    <s v=""/>
    <s v=""/>
    <s v=""/>
    <s v=""/>
    <m/>
    <m/>
    <m/>
    <x v="2"/>
    <n v="0"/>
    <x v="2"/>
    <x v="91"/>
    <n v="1"/>
    <s v=""/>
    <n v="1"/>
    <n v="1"/>
    <n v="1"/>
    <n v="0"/>
    <n v="0"/>
  </r>
  <r>
    <n v="2074"/>
    <s v="       Purulent discharge"/>
    <n v="2074"/>
    <e v="#NAME?"/>
    <s v="Purulent discharge"/>
    <x v="1"/>
    <n v="25"/>
    <s v="Speculum Exam Results"/>
    <m/>
    <m/>
    <s v="ST.2 Consultation"/>
    <x v="16"/>
    <m/>
    <s v="2.5 Conduct clinical exam"/>
    <s v="ST.DE.376"/>
    <m/>
    <m/>
    <m/>
    <m/>
    <m/>
    <m/>
    <s v="Purulent discharge"/>
    <m/>
    <m/>
    <m/>
    <s v="Yes"/>
    <s v="O"/>
    <s v="Include if DSL includes value - used by DSL for vaginal discharge in pregnancy or postpartum"/>
    <m/>
    <m/>
    <m/>
    <m/>
    <m/>
    <m/>
    <m/>
    <s v=""/>
    <x v="3"/>
    <x v="1"/>
    <m/>
    <s v=""/>
    <s v=""/>
    <x v="2"/>
    <s v="JS"/>
    <m/>
    <m/>
    <m/>
    <m/>
    <s v=""/>
    <m/>
    <x v="2"/>
    <e v="#NAME?"/>
    <m/>
    <x v="1"/>
    <m/>
    <s v=""/>
    <s v="purulent but not cervix"/>
    <m/>
    <s v=""/>
    <s v="35013009"/>
    <m/>
    <m/>
    <s v=""/>
    <s v=""/>
    <m/>
    <s v=""/>
    <s v=""/>
    <s v=""/>
    <s v=""/>
    <s v=""/>
    <s v=""/>
    <m/>
    <m/>
    <m/>
    <x v="2"/>
    <n v="0"/>
    <x v="2"/>
    <x v="91"/>
    <n v="1"/>
    <s v=""/>
    <n v="1"/>
    <n v="1"/>
    <n v="1"/>
    <n v="0"/>
    <n v="0"/>
  </r>
  <r>
    <n v="2075"/>
    <s v="       Cervical tumors"/>
    <n v="2075"/>
    <e v="#NAME?"/>
    <s v="Cervical tumors"/>
    <x v="1"/>
    <n v="22"/>
    <s v="Speculum Exam Results"/>
    <m/>
    <m/>
    <s v="ST.2 Consultation"/>
    <x v="16"/>
    <m/>
    <s v="2.5 Conduct clinical exam"/>
    <s v="ST.DE.271"/>
    <m/>
    <m/>
    <m/>
    <m/>
    <m/>
    <m/>
    <s v="Cervical tumors"/>
    <m/>
    <m/>
    <m/>
    <s v="Yes"/>
    <s v="O"/>
    <m/>
    <m/>
    <m/>
    <m/>
    <m/>
    <m/>
    <m/>
    <m/>
    <s v=""/>
    <x v="3"/>
    <x v="1"/>
    <m/>
    <s v=""/>
    <s v=""/>
    <x v="2"/>
    <s v="JS"/>
    <m/>
    <m/>
    <m/>
    <m/>
    <s v=""/>
    <m/>
    <x v="2"/>
    <e v="#NAME?"/>
    <m/>
    <x v="1"/>
    <m/>
    <s v=""/>
    <s v="is this malignant?"/>
    <m/>
    <s v=""/>
    <s v="363354003"/>
    <m/>
    <m/>
    <s v=""/>
    <s v=""/>
    <m/>
    <s v="malignant tumor of cervix"/>
    <s v="39"/>
    <s v=""/>
    <s v=""/>
    <s v=""/>
    <s v=""/>
    <m/>
    <m/>
    <m/>
    <x v="2"/>
    <n v="0"/>
    <x v="2"/>
    <x v="91"/>
    <n v="1"/>
    <s v=""/>
    <n v="1"/>
    <n v="1"/>
    <n v="1"/>
    <n v="0"/>
    <n v="0"/>
  </r>
  <r>
    <n v="2076"/>
    <s v="       Abnormal cervical tissue"/>
    <n v="2076"/>
    <e v="#NAME?"/>
    <s v="Abnormal cervical tissue"/>
    <x v="1"/>
    <n v="31"/>
    <s v="Speculum Exam Results"/>
    <m/>
    <m/>
    <s v="ST.2 Consultation"/>
    <x v="16"/>
    <m/>
    <s v="2.5 Conduct clinical exam"/>
    <s v="ST.DE.264"/>
    <m/>
    <m/>
    <m/>
    <m/>
    <m/>
    <m/>
    <s v="Abnormal cervical tissue"/>
    <m/>
    <m/>
    <m/>
    <s v="Yes"/>
    <s v="O"/>
    <m/>
    <m/>
    <m/>
    <m/>
    <m/>
    <m/>
    <m/>
    <m/>
    <s v=""/>
    <x v="3"/>
    <x v="1"/>
    <m/>
    <s v=""/>
    <s v=""/>
    <x v="2"/>
    <s v="JS"/>
    <m/>
    <m/>
    <m/>
    <m/>
    <s v=""/>
    <m/>
    <x v="2"/>
    <e v="#NAME?"/>
    <m/>
    <x v="1"/>
    <s v="http://who.int/cg/CodeSystem/extended-content"/>
    <s v="Abnormal cervical tissue"/>
    <s v=""/>
    <m/>
    <s v=""/>
    <m/>
    <m/>
    <m/>
    <s v="No SNOMED code available"/>
    <s v=""/>
    <s v="x"/>
    <s v="underspecified... many of the other answers would classify as abnormal tissue. :)"/>
    <s v=""/>
    <s v=""/>
    <s v=""/>
    <s v=""/>
    <s v=""/>
    <m/>
    <m/>
    <m/>
    <x v="2"/>
    <n v="0"/>
    <x v="2"/>
    <x v="91"/>
    <n v="1"/>
    <s v=""/>
    <n v="1"/>
    <n v="1"/>
    <n v="1"/>
    <n v="0"/>
    <n v="0"/>
  </r>
  <r>
    <n v="2077"/>
    <s v="       Other (specify)"/>
    <n v="2077"/>
    <e v="#NAME?"/>
    <s v="Other (specify)"/>
    <x v="1"/>
    <n v="22"/>
    <s v="Speculum Exam Results"/>
    <m/>
    <m/>
    <s v="ST.2 Consultation"/>
    <x v="16"/>
    <m/>
    <s v="2.5 Conduct clinical exam"/>
    <s v="ST.DE.220"/>
    <m/>
    <m/>
    <m/>
    <m/>
    <m/>
    <m/>
    <s v="Other (specify)"/>
    <m/>
    <m/>
    <m/>
    <s v="Yes"/>
    <m/>
    <m/>
    <m/>
    <m/>
    <m/>
    <m/>
    <m/>
    <m/>
    <m/>
    <s v=""/>
    <x v="3"/>
    <x v="1"/>
    <m/>
    <s v=""/>
    <s v=""/>
    <x v="2"/>
    <s v="JS"/>
    <m/>
    <m/>
    <m/>
    <m/>
    <s v=""/>
    <m/>
    <x v="2"/>
    <e v="#NAME?"/>
    <m/>
    <x v="0"/>
    <s v="http://who.int/cg/CodeSystem/extended-content"/>
    <s v="Other"/>
    <s v=""/>
    <m/>
    <s v=""/>
    <m/>
    <m/>
    <m/>
    <s v=""/>
    <s v=""/>
    <m/>
    <s v=""/>
    <s v=""/>
    <s v=""/>
    <s v=""/>
    <s v=""/>
    <s v=""/>
    <m/>
    <m/>
    <m/>
    <x v="2"/>
    <n v="0"/>
    <x v="2"/>
    <x v="91"/>
    <n v="1"/>
    <s v=""/>
    <n v="1"/>
    <n v="1"/>
    <n v="1"/>
    <n v="0"/>
    <n v="0"/>
  </r>
  <r>
    <n v="2078"/>
    <s v="       Foul-smelling lochia"/>
    <n v="2078"/>
    <e v="#NAME?"/>
    <s v="Foul-smelling lochia"/>
    <x v="1"/>
    <n v="27"/>
    <s v="Speculum Exam Results"/>
    <m/>
    <m/>
    <s v="ST.2 Consultation"/>
    <x v="16"/>
    <m/>
    <s v="2.5 Conduct clinical exam"/>
    <s v="ST.DE.371"/>
    <m/>
    <m/>
    <m/>
    <s v="Postpartum discharge is foul-smelling"/>
    <m/>
    <m/>
    <s v="Foul-smelling lochia"/>
    <m/>
    <m/>
    <s v="Postpartum = TRUE"/>
    <s v="Yes"/>
    <s v="C"/>
    <s v="Include if check for postpartum infection = TRUE, gender !=male"/>
    <m/>
    <m/>
    <m/>
    <m/>
    <s v="DL Postpartum  infection"/>
    <m/>
    <m/>
    <s v=""/>
    <x v="3"/>
    <x v="1"/>
    <m/>
    <s v=""/>
    <s v=""/>
    <x v="2"/>
    <s v="JS"/>
    <m/>
    <m/>
    <m/>
    <m/>
    <s v=""/>
    <m/>
    <x v="2"/>
    <e v="#NAME?"/>
    <m/>
    <x v="1"/>
    <m/>
    <s v=""/>
    <s v="not sure of the guidance ; is this during post partum only?"/>
    <m/>
    <s v=""/>
    <s v="276375002"/>
    <m/>
    <m/>
    <s v=""/>
    <s v=""/>
    <m/>
    <s v="malodrous lochia"/>
    <n v="40"/>
    <s v=""/>
    <s v=""/>
    <s v=""/>
    <s v=""/>
    <m/>
    <m/>
    <m/>
    <x v="2"/>
    <n v="0"/>
    <x v="2"/>
    <x v="91"/>
    <n v="1"/>
    <s v=""/>
    <n v="1"/>
    <n v="1"/>
    <n v="1"/>
    <n v="0"/>
    <n v="0"/>
  </r>
  <r>
    <n v="2079"/>
    <s v="       Profuse lochia"/>
    <n v="2079"/>
    <e v="#NAME?"/>
    <s v="Profuse lochia"/>
    <x v="1"/>
    <n v="21"/>
    <s v="Speculum Exam Results"/>
    <m/>
    <m/>
    <s v="ST.2 Consultation"/>
    <x v="16"/>
    <m/>
    <s v="2.5 Conduct clinical exam"/>
    <s v="ST.DE.372"/>
    <m/>
    <m/>
    <m/>
    <s v="Heavy amount of postpartum discharge"/>
    <m/>
    <m/>
    <s v="Profuse lochia"/>
    <m/>
    <m/>
    <s v="Postpartum = TRUE"/>
    <s v="Yes"/>
    <s v="C"/>
    <s v="Include if check for postpartum infection = TRUE, gender !=male"/>
    <m/>
    <m/>
    <m/>
    <m/>
    <s v="DL Postpartum  infection"/>
    <m/>
    <m/>
    <s v=""/>
    <x v="3"/>
    <x v="1"/>
    <m/>
    <s v=""/>
    <s v=""/>
    <x v="2"/>
    <s v="JS"/>
    <m/>
    <m/>
    <m/>
    <m/>
    <s v=""/>
    <m/>
    <x v="2"/>
    <e v="#NAME?"/>
    <m/>
    <x v="1"/>
    <m/>
    <s v=""/>
    <s v=""/>
    <m/>
    <s v=""/>
    <s v="289580000"/>
    <m/>
    <m/>
    <s v=""/>
    <s v=""/>
    <m/>
    <s v="heavy lochia"/>
    <s v=""/>
    <s v=""/>
    <s v=""/>
    <s v=""/>
    <s v=""/>
    <m/>
    <m/>
    <m/>
    <x v="2"/>
    <n v="0"/>
    <x v="2"/>
    <x v="91"/>
    <n v="1"/>
    <s v=""/>
    <n v="1"/>
    <n v="1"/>
    <n v="1"/>
    <n v="0"/>
    <n v="0"/>
  </r>
  <r>
    <n v="2080"/>
    <s v="       Amniotic fluid"/>
    <n v="2080"/>
    <e v="#NAME?"/>
    <s v="Amniotic fluid"/>
    <x v="1"/>
    <n v="21"/>
    <s v="Speculum Exam Results"/>
    <m/>
    <m/>
    <s v="ST.2 Consultation"/>
    <x v="16"/>
    <m/>
    <s v="2.5 Conduct clinical exam"/>
    <s v="ST.DE.373"/>
    <m/>
    <m/>
    <m/>
    <s v="Presence of amniotic fluid"/>
    <m/>
    <m/>
    <s v="Amniotic fluid"/>
    <m/>
    <s v="No"/>
    <s v="Postpartum = TRUE"/>
    <s v="Yes"/>
    <s v="C"/>
    <s v="Include if check for postpartum infection = TRUE, gender !=male"/>
    <m/>
    <m/>
    <m/>
    <m/>
    <s v="DL Postpartum  infection"/>
    <m/>
    <m/>
    <s v=""/>
    <x v="3"/>
    <x v="1"/>
    <m/>
    <s v=""/>
    <s v=""/>
    <x v="2"/>
    <s v="JS"/>
    <m/>
    <m/>
    <m/>
    <m/>
    <s v=""/>
    <m/>
    <x v="2"/>
    <e v="#NAME?"/>
    <m/>
    <x v="1"/>
    <m/>
    <s v=""/>
    <s v=""/>
    <m/>
    <s v=""/>
    <s v="77012006"/>
    <m/>
    <m/>
    <s v=""/>
    <s v=""/>
    <m/>
    <s v=""/>
    <s v=""/>
    <s v=""/>
    <s v=""/>
    <s v=""/>
    <s v=""/>
    <m/>
    <m/>
    <m/>
    <x v="2"/>
    <n v="0"/>
    <x v="2"/>
    <x v="91"/>
    <n v="1"/>
    <s v=""/>
    <n v="1"/>
    <n v="1"/>
    <n v="1"/>
    <n v="0"/>
    <n v="0"/>
  </r>
  <r>
    <n v="2081"/>
    <s v="       Abdominal tenderness"/>
    <n v="2081"/>
    <e v="#NAME?"/>
    <s v="Abdominal tenderness"/>
    <x v="1"/>
    <n v="27"/>
    <s v="Speculum Exam Results"/>
    <m/>
    <m/>
    <s v="ST.2 Consultation"/>
    <x v="16"/>
    <m/>
    <s v="2.5 Conduct clinical exam"/>
    <s v="ST.DE.219"/>
    <m/>
    <m/>
    <s v="abdo-tender"/>
    <m/>
    <m/>
    <m/>
    <s v="Abdominal tenderness"/>
    <m/>
    <s v="No"/>
    <m/>
    <s v="Yes"/>
    <s v="O"/>
    <m/>
    <m/>
    <m/>
    <m/>
    <m/>
    <s v="DL Vaginal Discharge"/>
    <m/>
    <m/>
    <s v=""/>
    <x v="3"/>
    <x v="1"/>
    <m/>
    <s v=""/>
    <s v=""/>
    <x v="2"/>
    <s v="JS"/>
    <m/>
    <m/>
    <m/>
    <m/>
    <s v=""/>
    <m/>
    <x v="2"/>
    <e v="#NAME?"/>
    <m/>
    <x v="1"/>
    <m/>
    <s v=""/>
    <s v=""/>
    <s v="R10.81"/>
    <s v=""/>
    <s v="43478001"/>
    <m/>
    <m/>
    <s v=""/>
    <s v=""/>
    <m/>
    <s v=""/>
    <s v=""/>
    <s v=""/>
    <s v=""/>
    <s v=""/>
    <s v=""/>
    <m/>
    <m/>
    <m/>
    <x v="2"/>
    <n v="0"/>
    <x v="2"/>
    <x v="91"/>
    <n v="1"/>
    <s v=""/>
    <n v="1"/>
    <n v="1"/>
    <n v="1"/>
    <n v="0"/>
    <n v="0"/>
  </r>
  <r>
    <n v="2082"/>
    <s v="       Unexplained vaginal bleeding"/>
    <n v="2082"/>
    <e v="#NAME?"/>
    <s v="Unexplained vaginal bleeding"/>
    <x v="1"/>
    <n v="35"/>
    <s v="Speculum Exam Results"/>
    <m/>
    <m/>
    <s v="ST.2 Consultation"/>
    <x v="16"/>
    <m/>
    <s v="2.5 Conduct clinical exam"/>
    <s v="ST.DE.336"/>
    <m/>
    <m/>
    <m/>
    <m/>
    <m/>
    <m/>
    <s v="Unexplained vaginal bleeding"/>
    <m/>
    <s v="No"/>
    <m/>
    <s v="Yes"/>
    <s v="O"/>
    <s v="Include if gender !=male"/>
    <m/>
    <m/>
    <m/>
    <m/>
    <m/>
    <m/>
    <m/>
    <s v=""/>
    <x v="3"/>
    <x v="1"/>
    <m/>
    <s v=""/>
    <s v=""/>
    <x v="2"/>
    <s v="JS"/>
    <m/>
    <m/>
    <m/>
    <m/>
    <s v=""/>
    <m/>
    <x v="2"/>
    <e v="#NAME?"/>
    <m/>
    <x v="0"/>
    <m/>
    <s v=""/>
    <s v="abnormal "/>
    <s v="N93.9"/>
    <s v=""/>
    <m/>
    <m/>
    <m/>
    <s v=""/>
    <s v=""/>
    <m/>
    <s v="_x000a_1494 MEDCIN"/>
    <s v=""/>
    <s v=""/>
    <s v=""/>
    <s v=""/>
    <s v=""/>
    <m/>
    <m/>
    <m/>
    <x v="2"/>
    <n v="0"/>
    <x v="2"/>
    <x v="91"/>
    <n v="1"/>
    <s v=""/>
    <n v="1"/>
    <n v="1"/>
    <n v="1"/>
    <n v="0"/>
    <n v="0"/>
  </r>
  <r>
    <n v="2083"/>
    <s v="Other (specify) - Speculum"/>
    <n v="2083"/>
    <s v="Other (specify)"/>
    <s v="Other (specify)"/>
    <x v="0"/>
    <n v="26"/>
    <s v=""/>
    <m/>
    <m/>
    <s v="ST.2 Consultation"/>
    <x v="16"/>
    <m/>
    <s v="2.5 Conduct clinical exam"/>
    <s v="ST.DE.301"/>
    <m/>
    <s v="Other (specify)"/>
    <m/>
    <s v="Write in other observations not included in the list"/>
    <s v="Text"/>
    <m/>
    <m/>
    <m/>
    <s v="No"/>
    <m/>
    <s v="Yes"/>
    <s v="C"/>
    <s v="Include if speculum exam = Other (specify)"/>
    <m/>
    <m/>
    <m/>
    <m/>
    <m/>
    <m/>
    <m/>
    <s v=""/>
    <x v="17"/>
    <x v="6"/>
    <s v="FHIR"/>
    <s v="4.0.1"/>
    <s v=""/>
    <x v="90"/>
    <s v="JA"/>
    <m/>
    <m/>
    <m/>
    <m/>
    <s v=""/>
    <m/>
    <x v="2"/>
    <s v="&quot;Other (specify)&quot;-&gt;&quot;Other (specify) - Speculum&quot;"/>
    <m/>
    <x v="0"/>
    <m/>
    <s v=""/>
    <s v=""/>
    <m/>
    <s v=""/>
    <m/>
    <m/>
    <m/>
    <s v="No terminology code required"/>
    <s v=""/>
    <m/>
    <s v=""/>
    <s v=""/>
    <s v=""/>
    <s v=""/>
    <s v=""/>
    <s v=""/>
    <m/>
    <m/>
    <m/>
    <x v="5"/>
    <s v=""/>
    <x v="6"/>
    <x v="91"/>
    <n v="1"/>
    <n v="0"/>
    <n v="1"/>
    <n v="1"/>
    <n v="1"/>
    <n v="0"/>
    <n v="0"/>
  </r>
  <r>
    <n v="2084"/>
    <s v="Bimanual exam"/>
    <n v="2084"/>
    <s v="Bimanual exam"/>
    <s v="Bimanual exam"/>
    <x v="0"/>
    <n v="13"/>
    <s v=""/>
    <m/>
    <m/>
    <s v="ST.2 Consultation"/>
    <x v="16"/>
    <m/>
    <s v="2.5 Conduct clinical exam"/>
    <s v="ST.DE.309"/>
    <m/>
    <s v="Bimanual exam"/>
    <s v="Findings from the bimanual exam"/>
    <m/>
    <s v="Coding"/>
    <s v="Select all that apply"/>
    <m/>
    <m/>
    <s v="Yes"/>
    <s v="If Normal is selected, no other options allowed"/>
    <s v="Yes"/>
    <s v="C"/>
    <s v="Skip if gender = male, include if exams performed = bimanual"/>
    <m/>
    <m/>
    <m/>
    <m/>
    <m/>
    <m/>
    <m/>
    <s v=""/>
    <x v="33"/>
    <x v="0"/>
    <s v="FHIR"/>
    <s v="4.0.1"/>
    <s v=""/>
    <x v="88"/>
    <s v="JA"/>
    <m/>
    <s v="Extensible"/>
    <m/>
    <m/>
    <s v=""/>
    <m/>
    <x v="2"/>
    <s v=""/>
    <m/>
    <x v="1"/>
    <m/>
    <s v=""/>
    <s v="GU exam;not just bimanual"/>
    <m/>
    <s v=""/>
    <m/>
    <s v="67531-4"/>
    <m/>
    <s v=""/>
    <s v=""/>
    <m/>
    <s v=""/>
    <s v=""/>
    <s v=""/>
    <s v=""/>
    <s v=""/>
    <s v=""/>
    <m/>
    <m/>
    <m/>
    <x v="8"/>
    <s v=""/>
    <x v="9"/>
    <x v="89"/>
    <n v="1"/>
    <n v="1"/>
    <n v="1"/>
    <n v="1"/>
    <n v="1"/>
    <n v="0"/>
    <n v="0"/>
  </r>
  <r>
    <n v="2085"/>
    <s v="       Normal"/>
    <n v="2085"/>
    <e v="#NAME?"/>
    <s v="Normal"/>
    <x v="1"/>
    <n v="13"/>
    <s v="Bimanual exam"/>
    <m/>
    <m/>
    <s v="ST.2 Consultation"/>
    <x v="16"/>
    <m/>
    <s v="2.5 Conduct clinical exam"/>
    <s v="ST.DE.100"/>
    <m/>
    <m/>
    <m/>
    <m/>
    <m/>
    <m/>
    <s v="Normal"/>
    <m/>
    <s v="Yes"/>
    <s v="If Normal is selected, no other options allowed"/>
    <s v="Yes"/>
    <s v="C"/>
    <m/>
    <m/>
    <m/>
    <m/>
    <m/>
    <m/>
    <m/>
    <m/>
    <s v=""/>
    <x v="3"/>
    <x v="0"/>
    <m/>
    <m/>
    <s v=""/>
    <x v="2"/>
    <s v="JS"/>
    <m/>
    <m/>
    <m/>
    <m/>
    <s v=""/>
    <m/>
    <x v="2"/>
    <e v="#NAME?"/>
    <m/>
    <x v="1"/>
    <m/>
    <s v=""/>
    <s v=""/>
    <m/>
    <s v=""/>
    <s v="17621005"/>
    <s v="LA6626-1"/>
    <m/>
    <s v=""/>
    <s v=""/>
    <m/>
    <s v=""/>
    <s v=""/>
    <s v=""/>
    <s v=""/>
    <s v=""/>
    <s v=""/>
    <m/>
    <m/>
    <m/>
    <x v="2"/>
    <n v="0"/>
    <x v="2"/>
    <x v="89"/>
    <n v="1"/>
    <s v=""/>
    <n v="1"/>
    <n v="1"/>
    <n v="1"/>
    <n v="0"/>
    <n v="0"/>
  </r>
  <r>
    <n v="2086"/>
    <s v="       Lower abdominal tenderness "/>
    <n v="2086"/>
    <e v="#NAME?"/>
    <s v="Lower abdominal tenderness "/>
    <x v="1"/>
    <n v="34"/>
    <s v="Bimanual exam"/>
    <m/>
    <m/>
    <s v="ST.2 Consultation"/>
    <x v="16"/>
    <m/>
    <s v="2.5 Conduct clinical exam"/>
    <s v="ST.DE.202"/>
    <m/>
    <m/>
    <m/>
    <m/>
    <m/>
    <m/>
    <s v="Lower abdominal tenderness "/>
    <m/>
    <m/>
    <m/>
    <s v="Yes"/>
    <s v="O"/>
    <m/>
    <m/>
    <m/>
    <m/>
    <m/>
    <m/>
    <m/>
    <m/>
    <s v=""/>
    <x v="3"/>
    <x v="0"/>
    <m/>
    <m/>
    <s v=""/>
    <x v="2"/>
    <s v="JS"/>
    <m/>
    <m/>
    <m/>
    <m/>
    <s v=""/>
    <m/>
    <x v="2"/>
    <e v="#NAME?"/>
    <m/>
    <x v="1"/>
    <m/>
    <s v=""/>
    <s v="x"/>
    <s v="L90.0"/>
    <s v=""/>
    <m/>
    <m/>
    <m/>
    <s v=""/>
    <s v=""/>
    <m/>
    <s v=""/>
    <s v=""/>
    <s v=""/>
    <s v=""/>
    <s v=""/>
    <s v=""/>
    <m/>
    <m/>
    <m/>
    <x v="2"/>
    <n v="0"/>
    <x v="2"/>
    <x v="89"/>
    <n v="1"/>
    <s v=""/>
    <n v="1"/>
    <n v="1"/>
    <n v="1"/>
    <n v="0"/>
    <n v="0"/>
  </r>
  <r>
    <n v="2087"/>
    <s v="       Cervical motion tenderness"/>
    <n v="2087"/>
    <e v="#NAME?"/>
    <s v="Cervical motion tenderness"/>
    <x v="1"/>
    <n v="33"/>
    <s v="Bimanual exam"/>
    <m/>
    <m/>
    <s v="ST.2 Consultation"/>
    <x v="16"/>
    <m/>
    <s v="2.5 Conduct clinical exam"/>
    <s v="ST.DE.227"/>
    <m/>
    <m/>
    <m/>
    <m/>
    <m/>
    <m/>
    <s v="Cervical motion tenderness"/>
    <m/>
    <m/>
    <m/>
    <s v="Yes"/>
    <s v="O"/>
    <m/>
    <m/>
    <m/>
    <m/>
    <m/>
    <m/>
    <m/>
    <m/>
    <s v=""/>
    <x v="3"/>
    <x v="0"/>
    <m/>
    <m/>
    <s v=""/>
    <x v="2"/>
    <s v="JS"/>
    <m/>
    <m/>
    <m/>
    <m/>
    <s v=""/>
    <m/>
    <x v="2"/>
    <e v="#NAME?"/>
    <m/>
    <x v="1"/>
    <m/>
    <s v=""/>
    <s v=""/>
    <m/>
    <s v=""/>
    <s v="289815006"/>
    <m/>
    <m/>
    <s v=""/>
    <s v=""/>
    <s v="x"/>
    <s v=""/>
    <s v=""/>
    <s v=""/>
    <s v=""/>
    <s v=""/>
    <s v=""/>
    <m/>
    <m/>
    <m/>
    <x v="2"/>
    <n v="0"/>
    <x v="2"/>
    <x v="89"/>
    <n v="1"/>
    <s v=""/>
    <n v="1"/>
    <n v="1"/>
    <n v="1"/>
    <n v="0"/>
    <n v="0"/>
  </r>
  <r>
    <n v="2088"/>
    <s v="       Uterine tenderness"/>
    <n v="2088"/>
    <e v="#NAME?"/>
    <s v="Uterine tenderness"/>
    <x v="1"/>
    <n v="25"/>
    <s v="Bimanual exam"/>
    <m/>
    <m/>
    <s v="ST.2 Consultation"/>
    <x v="16"/>
    <m/>
    <s v="2.5 Conduct clinical exam"/>
    <s v="ST.DE.361"/>
    <m/>
    <m/>
    <m/>
    <m/>
    <m/>
    <m/>
    <s v="Uterine tenderness"/>
    <m/>
    <m/>
    <m/>
    <s v="Yes"/>
    <s v="O"/>
    <m/>
    <m/>
    <m/>
    <m/>
    <m/>
    <m/>
    <m/>
    <m/>
    <s v=""/>
    <x v="3"/>
    <x v="0"/>
    <m/>
    <m/>
    <s v=""/>
    <x v="2"/>
    <s v="JS"/>
    <m/>
    <m/>
    <m/>
    <m/>
    <s v=""/>
    <m/>
    <x v="2"/>
    <e v="#NAME?"/>
    <m/>
    <x v="1"/>
    <m/>
    <s v=""/>
    <s v=""/>
    <m/>
    <s v=""/>
    <s v="289667007"/>
    <m/>
    <m/>
    <s v=""/>
    <s v=""/>
    <m/>
    <s v=""/>
    <s v=""/>
    <s v=""/>
    <s v=""/>
    <s v=""/>
    <s v=""/>
    <m/>
    <m/>
    <m/>
    <x v="2"/>
    <n v="0"/>
    <x v="2"/>
    <x v="89"/>
    <n v="1"/>
    <s v=""/>
    <n v="1"/>
    <n v="1"/>
    <n v="1"/>
    <n v="0"/>
    <n v="0"/>
  </r>
  <r>
    <n v="2089"/>
    <s v="       Adnexa tenderness"/>
    <n v="2089"/>
    <e v="#NAME?"/>
    <s v="Adnexa tenderness"/>
    <x v="1"/>
    <n v="24"/>
    <s v="Bimanual exam"/>
    <m/>
    <m/>
    <s v="ST.2 Consultation"/>
    <x v="16"/>
    <m/>
    <s v="2.5 Conduct clinical exam"/>
    <s v="ST.DE.269"/>
    <m/>
    <m/>
    <m/>
    <m/>
    <m/>
    <m/>
    <s v="Adnexa tenderness"/>
    <m/>
    <m/>
    <m/>
    <s v="Yes"/>
    <s v="O"/>
    <m/>
    <m/>
    <m/>
    <m/>
    <m/>
    <m/>
    <m/>
    <m/>
    <s v=""/>
    <x v="3"/>
    <x v="0"/>
    <m/>
    <m/>
    <s v=""/>
    <x v="2"/>
    <s v="JS"/>
    <m/>
    <m/>
    <m/>
    <m/>
    <s v=""/>
    <m/>
    <x v="2"/>
    <e v="#NAME?"/>
    <m/>
    <x v="1"/>
    <m/>
    <s v=""/>
    <s v="pelvic pain"/>
    <s v="R10.2"/>
    <s v=""/>
    <m/>
    <m/>
    <m/>
    <s v=""/>
    <s v=""/>
    <m/>
    <s v=""/>
    <s v=""/>
    <s v=""/>
    <s v=""/>
    <s v=""/>
    <s v=""/>
    <m/>
    <m/>
    <m/>
    <x v="2"/>
    <n v="0"/>
    <x v="2"/>
    <x v="89"/>
    <n v="1"/>
    <s v=""/>
    <n v="1"/>
    <n v="1"/>
    <n v="1"/>
    <n v="0"/>
    <n v="0"/>
  </r>
  <r>
    <n v="2090"/>
    <s v="       Abnormal growth"/>
    <n v="2090"/>
    <e v="#NAME?"/>
    <s v="Abnormal growth"/>
    <x v="1"/>
    <n v="22"/>
    <s v="Bimanual exam"/>
    <m/>
    <m/>
    <s v="ST.2 Consultation"/>
    <x v="16"/>
    <m/>
    <s v="2.5 Conduct clinical exam"/>
    <s v="ST.DE.265"/>
    <m/>
    <m/>
    <m/>
    <m/>
    <m/>
    <m/>
    <s v="Abnormal growth"/>
    <m/>
    <m/>
    <m/>
    <s v="Yes"/>
    <s v="O"/>
    <m/>
    <m/>
    <m/>
    <m/>
    <m/>
    <m/>
    <m/>
    <m/>
    <s v=""/>
    <x v="3"/>
    <x v="0"/>
    <m/>
    <m/>
    <s v=""/>
    <x v="2"/>
    <s v="JS"/>
    <m/>
    <m/>
    <m/>
    <m/>
    <s v=""/>
    <m/>
    <x v="2"/>
    <e v="#NAME?"/>
    <m/>
    <x v="1"/>
    <m/>
    <s v=""/>
    <s v="of what?"/>
    <m/>
    <s v=""/>
    <s v="289797008"/>
    <m/>
    <m/>
    <s v=""/>
    <s v=""/>
    <s v="x"/>
    <s v=""/>
    <s v="41"/>
    <s v=""/>
    <s v=""/>
    <s v=""/>
    <s v=""/>
    <m/>
    <m/>
    <m/>
    <x v="2"/>
    <n v="0"/>
    <x v="2"/>
    <x v="89"/>
    <n v="1"/>
    <s v=""/>
    <n v="1"/>
    <n v="1"/>
    <n v="1"/>
    <n v="0"/>
    <n v="0"/>
  </r>
  <r>
    <n v="2091"/>
    <s v="       Hardness to the touch"/>
    <n v="2091"/>
    <e v="#NAME?"/>
    <s v="Hardness to the touch"/>
    <x v="1"/>
    <n v="28"/>
    <s v="Bimanual exam"/>
    <m/>
    <m/>
    <s v="ST.2 Consultation"/>
    <x v="16"/>
    <m/>
    <s v="2.5 Conduct clinical exam"/>
    <s v="ST.DE.364"/>
    <m/>
    <m/>
    <m/>
    <m/>
    <m/>
    <m/>
    <s v="Hardness to the touch"/>
    <m/>
    <m/>
    <m/>
    <s v="Yes"/>
    <s v="O"/>
    <m/>
    <m/>
    <m/>
    <m/>
    <m/>
    <m/>
    <m/>
    <m/>
    <s v=""/>
    <x v="3"/>
    <x v="0"/>
    <m/>
    <m/>
    <s v=""/>
    <x v="2"/>
    <s v="JS"/>
    <m/>
    <m/>
    <m/>
    <m/>
    <s v=""/>
    <m/>
    <x v="2"/>
    <e v="#NAME?"/>
    <m/>
    <x v="1"/>
    <m/>
    <s v=""/>
    <s v="of what?"/>
    <m/>
    <s v=""/>
    <s v="289775006"/>
    <m/>
    <m/>
    <s v=""/>
    <s v=""/>
    <s v="x"/>
    <s v=""/>
    <s v="41"/>
    <s v=""/>
    <s v=""/>
    <s v=""/>
    <s v=""/>
    <m/>
    <m/>
    <m/>
    <x v="2"/>
    <n v="0"/>
    <x v="2"/>
    <x v="89"/>
    <n v="1"/>
    <s v=""/>
    <n v="1"/>
    <n v="1"/>
    <n v="1"/>
    <n v="0"/>
    <n v="0"/>
  </r>
  <r>
    <n v="2092"/>
    <s v="       Other (specify)"/>
    <n v="2092"/>
    <e v="#NAME?"/>
    <s v="Other (specify)"/>
    <x v="1"/>
    <n v="22"/>
    <s v="Bimanual exam"/>
    <m/>
    <m/>
    <s v="ST.2 Consultation"/>
    <x v="16"/>
    <m/>
    <s v="2.5 Conduct clinical exam"/>
    <s v="ST.DE.220"/>
    <m/>
    <m/>
    <m/>
    <m/>
    <m/>
    <m/>
    <s v="Other (specify)"/>
    <m/>
    <m/>
    <m/>
    <s v="Yes"/>
    <s v="O"/>
    <m/>
    <m/>
    <m/>
    <m/>
    <m/>
    <m/>
    <m/>
    <m/>
    <s v=""/>
    <x v="3"/>
    <x v="0"/>
    <m/>
    <m/>
    <s v=""/>
    <x v="2"/>
    <s v="JS"/>
    <m/>
    <m/>
    <m/>
    <m/>
    <s v=""/>
    <m/>
    <x v="2"/>
    <e v="#NAME?"/>
    <m/>
    <x v="0"/>
    <s v="http://who.int/cg/CodeSystem/extended-content"/>
    <s v="Other"/>
    <s v=""/>
    <m/>
    <s v=""/>
    <m/>
    <m/>
    <m/>
    <s v=""/>
    <s v=""/>
    <m/>
    <s v=""/>
    <s v=""/>
    <s v=""/>
    <s v=""/>
    <s v=""/>
    <s v=""/>
    <m/>
    <m/>
    <m/>
    <x v="2"/>
    <n v="0"/>
    <x v="2"/>
    <x v="89"/>
    <n v="1"/>
    <s v=""/>
    <n v="1"/>
    <n v="1"/>
    <n v="1"/>
    <n v="0"/>
    <n v="0"/>
  </r>
  <r>
    <n v="2094"/>
    <s v="       vaginal bleeding"/>
    <n v="2094"/>
    <e v="#NAME?"/>
    <s v="vaginal bleeding"/>
    <x v="1"/>
    <n v="23"/>
    <s v="Bimanual exam"/>
    <m/>
    <m/>
    <s v="ST.2 Consultation"/>
    <x v="16"/>
    <s v="Clarify with WHO"/>
    <s v="2.5 Conduct clinical exam"/>
    <s v="ST.DE.377"/>
    <m/>
    <m/>
    <m/>
    <m/>
    <m/>
    <m/>
    <s v="vaginal bleeding"/>
    <m/>
    <m/>
    <m/>
    <m/>
    <m/>
    <m/>
    <m/>
    <m/>
    <m/>
    <m/>
    <m/>
    <m/>
    <m/>
    <s v=""/>
    <x v="3"/>
    <x v="1"/>
    <m/>
    <s v=""/>
    <s v=""/>
    <x v="2"/>
    <s v="JS"/>
    <m/>
    <m/>
    <m/>
    <m/>
    <s v=""/>
    <m/>
    <x v="2"/>
    <e v="#NAME?"/>
    <m/>
    <x v="1"/>
    <m/>
    <s v=""/>
    <s v="part of pelvic and GU exam"/>
    <m/>
    <s v=""/>
    <m/>
    <s v="LA17250-4"/>
    <m/>
    <s v=""/>
    <s v=""/>
    <m/>
    <s v=""/>
    <s v=""/>
    <s v=""/>
    <s v=""/>
    <s v=""/>
    <s v=""/>
    <m/>
    <m/>
    <m/>
    <x v="2"/>
    <n v="0"/>
    <x v="2"/>
    <x v="89"/>
    <n v="1"/>
    <s v=""/>
    <n v="1"/>
    <n v="1"/>
    <n v="1"/>
    <n v="0"/>
    <n v="0"/>
  </r>
  <r>
    <n v="2093"/>
    <s v="Other (specify) - Bimanual exam"/>
    <n v="2093"/>
    <s v="Other (specify)"/>
    <s v="Other (specify)"/>
    <x v="0"/>
    <n v="31"/>
    <s v=""/>
    <m/>
    <m/>
    <s v="ST.2 Consultation"/>
    <x v="16"/>
    <m/>
    <s v="2.5 Conduct clinical exam"/>
    <s v="ST.DE.301"/>
    <m/>
    <s v="Other (specify)"/>
    <m/>
    <s v="Write in other observations not included in the list"/>
    <s v="Text"/>
    <m/>
    <m/>
    <m/>
    <s v="No"/>
    <m/>
    <s v="Yes"/>
    <s v="C"/>
    <s v="Include if bimanual exam = Other (specify)"/>
    <m/>
    <m/>
    <m/>
    <m/>
    <m/>
    <m/>
    <m/>
    <s v=""/>
    <x v="50"/>
    <x v="0"/>
    <s v="FHIR"/>
    <s v="4.0.1"/>
    <s v=""/>
    <x v="88"/>
    <s v="JA"/>
    <m/>
    <m/>
    <m/>
    <m/>
    <s v=""/>
    <m/>
    <x v="2"/>
    <s v="&quot;Other (specify)&quot;-&gt;&quot;Other (specify) - Bimanual exam&quot;"/>
    <m/>
    <x v="0"/>
    <m/>
    <s v=""/>
    <s v=""/>
    <m/>
    <s v=""/>
    <m/>
    <m/>
    <m/>
    <s v="No terminology code required"/>
    <s v=""/>
    <m/>
    <s v=""/>
    <s v=""/>
    <s v=""/>
    <s v=""/>
    <s v=""/>
    <s v=""/>
    <m/>
    <m/>
    <m/>
    <x v="8"/>
    <s v=""/>
    <x v="9"/>
    <x v="89"/>
    <n v="1"/>
    <n v="0"/>
    <n v="1"/>
    <n v="1"/>
    <n v="1"/>
    <n v="0"/>
    <n v="0"/>
  </r>
  <r>
    <n v="2095"/>
    <s v="STI Condition type"/>
    <n v="2095"/>
    <s v="Condition type"/>
    <s v="Condition type"/>
    <x v="0"/>
    <n v="18"/>
    <s v=""/>
    <m/>
    <m/>
    <s v="ST.2 Consultation"/>
    <x v="16"/>
    <m/>
    <s v="2.5 Conduct clinical exam"/>
    <s v="ST.DE.101"/>
    <m/>
    <s v="Condition type"/>
    <s v="The type of diagnosis, such as genital or anorectal"/>
    <m/>
    <s v="Coding"/>
    <m/>
    <m/>
    <m/>
    <m/>
    <m/>
    <s v="Yes"/>
    <s v="C"/>
    <m/>
    <m/>
    <m/>
    <m/>
    <m/>
    <m/>
    <m/>
    <m/>
    <s v=""/>
    <x v="51"/>
    <x v="5"/>
    <s v="Extension Needed"/>
    <s v="4.0.1"/>
    <s v=""/>
    <x v="77"/>
    <s v="JA"/>
    <m/>
    <m/>
    <m/>
    <m/>
    <s v=""/>
    <m/>
    <x v="2"/>
    <s v="&quot;Condition type&quot;-&gt;&quot;STI Condition type&quot;"/>
    <m/>
    <x v="1"/>
    <s v="http://who.int/cg/CodeSystem/extended-content"/>
    <s v="STI Condition type"/>
    <s v="which condition?"/>
    <m/>
    <s v=""/>
    <m/>
    <m/>
    <m/>
    <s v="No LOINC code available"/>
    <s v=""/>
    <s v="x"/>
    <s v="Have misgivings about this entire question/answer group.  Are these derived concepts?  Do they need codes?"/>
    <s v="42"/>
    <s v=""/>
    <s v=""/>
    <s v=""/>
    <s v=""/>
    <m/>
    <m/>
    <m/>
    <x v="11"/>
    <s v=""/>
    <x v="12"/>
    <x v="78"/>
    <n v="1"/>
    <n v="1"/>
    <n v="0"/>
    <n v="0"/>
    <n v="0"/>
    <n v="0"/>
    <n v="1"/>
  </r>
  <r>
    <n v="2096"/>
    <s v="       genital"/>
    <n v="2096"/>
    <e v="#NAME?"/>
    <s v="genital"/>
    <x v="1"/>
    <n v="14"/>
    <s v="STI Condition type"/>
    <m/>
    <m/>
    <s v="ST.2 Consultation"/>
    <x v="16"/>
    <m/>
    <s v="2.5 Conduct clinical exam"/>
    <s v="ST.DE.102"/>
    <m/>
    <m/>
    <m/>
    <m/>
    <m/>
    <m/>
    <s v="genital"/>
    <m/>
    <s v="No"/>
    <m/>
    <s v="Yes"/>
    <s v="C"/>
    <s v="Include if diagnosis = (chlamydia or herpes simplex virus or gonorrhea or gonoccocal)"/>
    <m/>
    <m/>
    <m/>
    <m/>
    <s v="DL Treatment Recommendations"/>
    <m/>
    <m/>
    <s v=""/>
    <x v="3"/>
    <x v="1"/>
    <m/>
    <s v=""/>
    <s v=""/>
    <x v="2"/>
    <s v="JS"/>
    <m/>
    <m/>
    <m/>
    <m/>
    <s v=""/>
    <m/>
    <x v="2"/>
    <e v="#NAME?"/>
    <m/>
    <x v="1"/>
    <m/>
    <s v=""/>
    <s v="talk about this"/>
    <m/>
    <s v=""/>
    <s v="312155003"/>
    <m/>
    <m/>
    <m/>
    <s v=""/>
    <s v="x"/>
    <s v="Have misgivings about this entire question/answer group.  Are these derived concepts?  Do they need codes?"/>
    <s v=""/>
    <s v=""/>
    <s v=""/>
    <s v=""/>
    <s v=""/>
    <m/>
    <m/>
    <m/>
    <x v="2"/>
    <n v="0"/>
    <x v="2"/>
    <x v="78"/>
    <n v="1"/>
    <s v=""/>
    <n v="1"/>
    <n v="1"/>
    <n v="1"/>
    <n v="0"/>
    <n v="0"/>
  </r>
  <r>
    <n v="2097"/>
    <s v="       anorectal"/>
    <n v="2097"/>
    <e v="#NAME?"/>
    <s v="anorectal"/>
    <x v="1"/>
    <n v="16"/>
    <s v="STI Condition type"/>
    <m/>
    <m/>
    <s v="ST.2 Consultation"/>
    <x v="16"/>
    <m/>
    <s v="2.5 Conduct clinical exam"/>
    <s v="ST.DE.103"/>
    <m/>
    <m/>
    <m/>
    <m/>
    <m/>
    <m/>
    <s v="anorectal"/>
    <m/>
    <s v="No"/>
    <m/>
    <s v="Yes"/>
    <s v="C"/>
    <s v="Include if diagnosis = (chlamydia or gonorrhea)"/>
    <m/>
    <m/>
    <m/>
    <m/>
    <s v="DL Treatment Recommendations"/>
    <m/>
    <m/>
    <s v=""/>
    <x v="3"/>
    <x v="1"/>
    <m/>
    <s v=""/>
    <s v=""/>
    <x v="2"/>
    <s v="JS"/>
    <m/>
    <m/>
    <m/>
    <m/>
    <s v=""/>
    <m/>
    <x v="2"/>
    <e v="#NAME?"/>
    <m/>
    <x v="1"/>
    <m/>
    <s v=""/>
    <s v="lets talk about this"/>
    <m/>
    <s v=""/>
    <s v="426867001"/>
    <m/>
    <m/>
    <m/>
    <s v=""/>
    <s v="x"/>
    <s v="Have misgivings about this entire question/answer group.  Are these derived concepts?  Do they need codes?"/>
    <s v=""/>
    <s v=""/>
    <s v=""/>
    <s v=""/>
    <s v=""/>
    <m/>
    <m/>
    <m/>
    <x v="2"/>
    <n v="0"/>
    <x v="2"/>
    <x v="78"/>
    <n v="1"/>
    <s v=""/>
    <n v="1"/>
    <n v="1"/>
    <n v="1"/>
    <n v="0"/>
    <n v="0"/>
  </r>
  <r>
    <n v="2098"/>
    <s v="       Lymphogranuloma venereum (LGV) "/>
    <n v="2098"/>
    <e v="#NAME?"/>
    <s v="Lymphogranuloma venereum (LGV) "/>
    <x v="1"/>
    <n v="38"/>
    <s v="STI Condition type"/>
    <m/>
    <m/>
    <s v="ST.2 Consultation"/>
    <x v="16"/>
    <m/>
    <s v="2.5 Conduct clinical exam"/>
    <s v="ST.DE.104"/>
    <m/>
    <m/>
    <m/>
    <s v="Chlamydia trachomatis"/>
    <m/>
    <m/>
    <s v="Lymphogranuloma venereum (LGV) "/>
    <m/>
    <s v="No"/>
    <m/>
    <s v="Yes"/>
    <s v="C"/>
    <s v="Include if diagnosis = chlamydia"/>
    <m/>
    <m/>
    <m/>
    <m/>
    <s v="DL Treatment Recommendations"/>
    <m/>
    <m/>
    <s v=""/>
    <x v="3"/>
    <x v="1"/>
    <m/>
    <s v=""/>
    <s v=""/>
    <x v="2"/>
    <s v="JS"/>
    <m/>
    <m/>
    <m/>
    <m/>
    <s v=""/>
    <m/>
    <x v="2"/>
    <e v="#NAME?"/>
    <m/>
    <x v="1"/>
    <m/>
    <s v=""/>
    <s v="check this; all chlamydia is NOT LGV"/>
    <s v="A55"/>
    <s v=""/>
    <m/>
    <m/>
    <m/>
    <s v=""/>
    <s v=""/>
    <m/>
    <s v=""/>
    <s v=""/>
    <s v=""/>
    <s v=""/>
    <s v=""/>
    <s v=""/>
    <m/>
    <m/>
    <m/>
    <x v="2"/>
    <n v="0"/>
    <x v="2"/>
    <x v="78"/>
    <n v="1"/>
    <s v=""/>
    <n v="1"/>
    <n v="1"/>
    <n v="1"/>
    <n v="0"/>
    <n v="0"/>
  </r>
  <r>
    <n v="2099"/>
    <s v="       conjunctivitis"/>
    <n v="2099"/>
    <e v="#NAME?"/>
    <s v="conjunctivitis"/>
    <x v="1"/>
    <n v="21"/>
    <s v="STI Condition type"/>
    <m/>
    <m/>
    <s v="ST.2 Consultation"/>
    <x v="16"/>
    <m/>
    <s v="2.5 Conduct clinical exam"/>
    <s v="ST.DE.105"/>
    <m/>
    <m/>
    <m/>
    <m/>
    <m/>
    <m/>
    <s v="conjunctivitis"/>
    <m/>
    <s v="No"/>
    <m/>
    <s v="Yes"/>
    <s v="C"/>
    <s v="Include if diagnosis = chlamydia"/>
    <m/>
    <m/>
    <m/>
    <m/>
    <s v="DL Treatment Recommendations"/>
    <m/>
    <m/>
    <s v=""/>
    <x v="3"/>
    <x v="1"/>
    <m/>
    <s v=""/>
    <s v=""/>
    <x v="2"/>
    <s v="JS"/>
    <m/>
    <m/>
    <m/>
    <m/>
    <s v=""/>
    <m/>
    <x v="2"/>
    <e v="#NAME?"/>
    <m/>
    <x v="1"/>
    <m/>
    <s v=""/>
    <s v="unspecifiedl i doubt that this is what they want; can they specifiy"/>
    <s v="H10.9"/>
    <s v=""/>
    <m/>
    <m/>
    <m/>
    <s v=""/>
    <s v=""/>
    <m/>
    <s v=""/>
    <s v="43"/>
    <s v=""/>
    <s v=""/>
    <s v=""/>
    <s v=""/>
    <m/>
    <m/>
    <m/>
    <x v="2"/>
    <n v="0"/>
    <x v="2"/>
    <x v="78"/>
    <n v="1"/>
    <s v=""/>
    <n v="1"/>
    <n v="1"/>
    <n v="1"/>
    <n v="0"/>
    <n v="0"/>
  </r>
  <r>
    <n v="2100"/>
    <s v="       oropharyngeal infection"/>
    <n v="2100"/>
    <e v="#NAME?"/>
    <s v="oropharyngeal infection"/>
    <x v="1"/>
    <n v="30"/>
    <s v="STI Condition type"/>
    <m/>
    <m/>
    <s v="ST.2 Consultation"/>
    <x v="16"/>
    <m/>
    <s v="2.5 Conduct clinical exam"/>
    <s v="ST.DE.106"/>
    <m/>
    <m/>
    <m/>
    <m/>
    <m/>
    <m/>
    <s v="oropharyngeal infection"/>
    <m/>
    <s v="No"/>
    <m/>
    <s v="Yes"/>
    <s v="C"/>
    <s v="Include if diagnosis = (gonoccocal)"/>
    <m/>
    <m/>
    <m/>
    <m/>
    <s v="DL Treatment Recommendations"/>
    <m/>
    <m/>
    <s v=""/>
    <x v="3"/>
    <x v="1"/>
    <m/>
    <s v=""/>
    <s v=""/>
    <x v="2"/>
    <s v="JS"/>
    <m/>
    <m/>
    <m/>
    <m/>
    <s v=""/>
    <m/>
    <x v="2"/>
    <e v="#NAME?"/>
    <m/>
    <x v="1"/>
    <m/>
    <s v=""/>
    <s v="x"/>
    <s v="A54.5"/>
    <s v=""/>
    <m/>
    <m/>
    <m/>
    <s v=""/>
    <s v=""/>
    <m/>
    <s v=""/>
    <s v=""/>
    <s v=""/>
    <s v=""/>
    <s v=""/>
    <s v=""/>
    <m/>
    <m/>
    <m/>
    <x v="2"/>
    <n v="0"/>
    <x v="2"/>
    <x v="78"/>
    <n v="1"/>
    <s v=""/>
    <n v="1"/>
    <n v="1"/>
    <n v="1"/>
    <n v="0"/>
    <n v="0"/>
  </r>
  <r>
    <n v="2101"/>
    <s v="       Conjunctivitis"/>
    <n v="2101"/>
    <e v="#NAME?"/>
    <s v="Conjunctivitis"/>
    <x v="1"/>
    <n v="21"/>
    <s v="STI Condition type"/>
    <m/>
    <m/>
    <s v="ST.2 Consultation"/>
    <x v="16"/>
    <m/>
    <s v="2.5 Conduct clinical exam"/>
    <s v="ST.DE.107"/>
    <m/>
    <m/>
    <m/>
    <m/>
    <m/>
    <m/>
    <s v="Conjunctivitis"/>
    <m/>
    <s v="No"/>
    <m/>
    <s v="Yes"/>
    <s v="C"/>
    <s v="Include if diagnosis = (gonoccocal) and age &lt;=   maximum neonate age]"/>
    <m/>
    <m/>
    <m/>
    <m/>
    <s v="DL Treatment Recommendations"/>
    <m/>
    <m/>
    <s v=""/>
    <x v="3"/>
    <x v="1"/>
    <m/>
    <s v=""/>
    <s v=""/>
    <x v="2"/>
    <s v="JS"/>
    <m/>
    <m/>
    <m/>
    <m/>
    <s v=""/>
    <m/>
    <x v="2"/>
    <e v="#NAME?"/>
    <m/>
    <x v="1"/>
    <m/>
    <s v=""/>
    <s v="x"/>
    <s v="A54.31"/>
    <s v=""/>
    <m/>
    <m/>
    <m/>
    <s v=""/>
    <s v=""/>
    <m/>
    <s v=""/>
    <s v=""/>
    <s v=""/>
    <s v=""/>
    <s v=""/>
    <s v=""/>
    <m/>
    <m/>
    <m/>
    <x v="2"/>
    <n v="0"/>
    <x v="2"/>
    <x v="78"/>
    <n v="1"/>
    <s v=""/>
    <n v="1"/>
    <n v="1"/>
    <n v="1"/>
    <n v="0"/>
    <n v="0"/>
  </r>
  <r>
    <n v="2102"/>
    <s v="       infection"/>
    <n v="2102"/>
    <e v="#NAME?"/>
    <s v="infection"/>
    <x v="1"/>
    <n v="16"/>
    <s v="STI Condition type"/>
    <m/>
    <m/>
    <s v="ST.2 Consultation"/>
    <x v="16"/>
    <m/>
    <s v="2.5 Conduct clinical exam"/>
    <s v="ST.DE.108"/>
    <m/>
    <m/>
    <m/>
    <m/>
    <m/>
    <m/>
    <s v="infection"/>
    <m/>
    <s v="No"/>
    <m/>
    <s v="Yes"/>
    <s v="C"/>
    <s v="Include if diagnosis = (gonoccocal)"/>
    <m/>
    <m/>
    <m/>
    <m/>
    <s v="DL Treatment Recommendations"/>
    <m/>
    <m/>
    <s v=""/>
    <x v="3"/>
    <x v="1"/>
    <m/>
    <s v=""/>
    <s v=""/>
    <x v="2"/>
    <s v="JS"/>
    <m/>
    <m/>
    <m/>
    <m/>
    <s v=""/>
    <m/>
    <x v="2"/>
    <e v="#NAME?"/>
    <m/>
    <x v="1"/>
    <s v="http://who.int/cg/CodeSystem/extended-content"/>
    <s v="infection"/>
    <s v="is this all GC?  A54.0"/>
    <m/>
    <s v=""/>
    <m/>
    <m/>
    <m/>
    <s v="No SNOMED code available"/>
    <s v=""/>
    <s v="x"/>
    <s v="Have misgivings about this entire question/answer group.  Are these derived concepts?  Do they need codes?"/>
    <s v=""/>
    <s v=""/>
    <s v=""/>
    <s v=""/>
    <s v=""/>
    <m/>
    <m/>
    <m/>
    <x v="2"/>
    <n v="0"/>
    <x v="2"/>
    <x v="78"/>
    <n v="1"/>
    <s v=""/>
    <n v="1"/>
    <n v="1"/>
    <n v="1"/>
    <n v="0"/>
    <n v="0"/>
  </r>
  <r>
    <n v="2103"/>
    <s v="       Herpes simplex virus type 1 (HSV-1)"/>
    <n v="2103"/>
    <e v="#NAME?"/>
    <s v="Herpes simplex virus type 1 (HSV-1)"/>
    <x v="1"/>
    <n v="42"/>
    <s v="STI Condition type"/>
    <m/>
    <m/>
    <s v="ST.2 Consultation"/>
    <x v="16"/>
    <m/>
    <s v="2.5 Conduct clinical exam"/>
    <m/>
    <m/>
    <m/>
    <m/>
    <m/>
    <m/>
    <m/>
    <s v="Herpes simplex virus type 1 (HSV-1)"/>
    <m/>
    <m/>
    <m/>
    <m/>
    <m/>
    <m/>
    <m/>
    <m/>
    <m/>
    <m/>
    <m/>
    <m/>
    <m/>
    <s v=""/>
    <x v="3"/>
    <x v="1"/>
    <m/>
    <s v=""/>
    <s v=""/>
    <x v="2"/>
    <s v="JS"/>
    <m/>
    <m/>
    <m/>
    <m/>
    <s v=""/>
    <m/>
    <x v="2"/>
    <e v="#NAME?"/>
    <m/>
    <x v="1"/>
    <m/>
    <s v=""/>
    <s v=""/>
    <s v="B00"/>
    <s v=""/>
    <s v="15302007"/>
    <m/>
    <m/>
    <s v=""/>
    <s v=""/>
    <m/>
    <s v=""/>
    <s v=""/>
    <s v=""/>
    <s v=""/>
    <s v=""/>
    <s v=""/>
    <m/>
    <m/>
    <m/>
    <x v="2"/>
    <n v="0"/>
    <x v="2"/>
    <x v="78"/>
    <n v="1"/>
    <s v=""/>
    <n v="1"/>
    <n v="1"/>
    <n v="1"/>
    <n v="0"/>
    <n v="0"/>
  </r>
  <r>
    <n v="2104"/>
    <s v="       Herpes simplex virus type 2 (HSV-2)"/>
    <n v="2104"/>
    <e v="#NAME?"/>
    <s v="Herpes simplex virus type 2 (HSV-2)"/>
    <x v="1"/>
    <n v="42"/>
    <s v="STI Condition type"/>
    <m/>
    <m/>
    <s v="ST.2 Consultation"/>
    <x v="16"/>
    <m/>
    <s v="2.5 Conduct clinical exam"/>
    <m/>
    <m/>
    <m/>
    <m/>
    <m/>
    <m/>
    <m/>
    <s v="Herpes simplex virus type 2 (HSV-2)"/>
    <m/>
    <m/>
    <m/>
    <m/>
    <m/>
    <m/>
    <m/>
    <m/>
    <m/>
    <m/>
    <m/>
    <m/>
    <m/>
    <s v=""/>
    <x v="3"/>
    <x v="1"/>
    <m/>
    <s v=""/>
    <s v=""/>
    <x v="2"/>
    <s v="JS"/>
    <m/>
    <m/>
    <m/>
    <m/>
    <s v=""/>
    <m/>
    <x v="2"/>
    <e v="#NAME?"/>
    <m/>
    <x v="1"/>
    <m/>
    <s v=""/>
    <s v="urogenital system ; unspecified"/>
    <s v="A60.00; A60.09"/>
    <s v=""/>
    <m/>
    <m/>
    <m/>
    <s v=""/>
    <s v=""/>
    <m/>
    <s v=""/>
    <s v=""/>
    <s v=""/>
    <s v=""/>
    <s v=""/>
    <s v=""/>
    <m/>
    <m/>
    <m/>
    <x v="2"/>
    <n v="0"/>
    <x v="2"/>
    <x v="78"/>
    <n v="1"/>
    <s v=""/>
    <n v="1"/>
    <n v="1"/>
    <n v="1"/>
    <n v="0"/>
    <n v="0"/>
  </r>
  <r>
    <n v="2105"/>
    <s v="History of trauma"/>
    <n v="2105"/>
    <s v="History of trauma"/>
    <s v="History of trauma"/>
    <x v="0"/>
    <n v="17"/>
    <s v=""/>
    <m/>
    <m/>
    <s v="ST.2 Consultation"/>
    <x v="16"/>
    <m/>
    <s v="2.5 Conduct clinical exam"/>
    <s v="ST.DE.217"/>
    <m/>
    <s v="History of trauma"/>
    <m/>
    <m/>
    <m/>
    <m/>
    <m/>
    <m/>
    <s v="No"/>
    <m/>
    <s v="Yes"/>
    <s v="C"/>
    <s v="Include if ST.02.DSL.07 Scrotal Swelling = TRUE"/>
    <m/>
    <m/>
    <m/>
    <m/>
    <s v="DL Scrotal swelling"/>
    <m/>
    <m/>
    <s v=""/>
    <x v="17"/>
    <x v="4"/>
    <s v="FHIR"/>
    <s v="4.0.1"/>
    <s v=""/>
    <x v="91"/>
    <s v="JS"/>
    <m/>
    <m/>
    <m/>
    <m/>
    <s v=""/>
    <m/>
    <x v="2"/>
    <s v=""/>
    <m/>
    <x v="1"/>
    <s v="http://who.int/cg/CodeSystem/extended-content"/>
    <s v="History of trauma"/>
    <s v=""/>
    <m/>
    <s v=""/>
    <m/>
    <m/>
    <m/>
    <s v="No LOINC code available"/>
    <s v=""/>
    <s v="x"/>
    <s v="Scrotal swelling?  Don't understand context at all here."/>
    <s v=""/>
    <s v=""/>
    <s v=""/>
    <s v=""/>
    <s v=""/>
    <m/>
    <m/>
    <m/>
    <x v="5"/>
    <s v=""/>
    <x v="6"/>
    <x v="92"/>
    <n v="1"/>
    <n v="0"/>
    <n v="1"/>
    <n v="1"/>
    <n v="1"/>
    <n v="0"/>
    <n v="0"/>
  </r>
  <r>
    <n v="2106"/>
    <s v="Screening"/>
    <n v="2106"/>
    <s v="Screening"/>
    <s v="Screening"/>
    <x v="2"/>
    <n v="9"/>
    <s v=""/>
    <m/>
    <m/>
    <s v="ST.2 Consultation"/>
    <x v="16"/>
    <m/>
    <s v="2.5 Conduct clinical exam"/>
    <s v="ST.DE.045"/>
    <m/>
    <s v="Screening"/>
    <m/>
    <s v="Whether screening is performed during the visit "/>
    <m/>
    <m/>
    <m/>
    <m/>
    <m/>
    <m/>
    <m/>
    <m/>
    <m/>
    <m/>
    <m/>
    <m/>
    <m/>
    <m/>
    <m/>
    <m/>
    <s v=""/>
    <x v="3"/>
    <x v="1"/>
    <m/>
    <s v=""/>
    <s v=""/>
    <x v="2"/>
    <s v="NA"/>
    <m/>
    <m/>
    <m/>
    <m/>
    <s v=""/>
    <m/>
    <x v="2"/>
    <s v=""/>
    <m/>
    <x v="1"/>
    <m/>
    <s v=""/>
    <s v="for what?"/>
    <m/>
    <s v=""/>
    <m/>
    <m/>
    <m/>
    <s v="No terminology code required"/>
    <s v=""/>
    <m/>
    <s v=""/>
    <s v="44"/>
    <s v=""/>
    <s v=""/>
    <s v=""/>
    <s v=""/>
    <m/>
    <m/>
    <m/>
    <x v="2"/>
    <s v=""/>
    <x v="3"/>
    <x v="2"/>
    <n v="1"/>
    <s v=""/>
    <n v="1"/>
    <n v="1"/>
    <n v="1"/>
    <n v="0"/>
    <n v="0"/>
  </r>
  <r>
    <n v="2107"/>
    <s v="Screening type"/>
    <n v="2107"/>
    <s v="Screening type"/>
    <s v="Screening type"/>
    <x v="0"/>
    <n v="14"/>
    <s v=""/>
    <m/>
    <m/>
    <s v="ST.2 Consultation"/>
    <x v="16"/>
    <m/>
    <s v="2.5 Conduct clinical exam"/>
    <s v="ST.DE.046"/>
    <m/>
    <s v="Screening type"/>
    <m/>
    <s v="Type of screening performed, such as type of HIV test"/>
    <m/>
    <m/>
    <m/>
    <m/>
    <m/>
    <m/>
    <m/>
    <m/>
    <m/>
    <m/>
    <m/>
    <m/>
    <m/>
    <m/>
    <m/>
    <m/>
    <s v=""/>
    <x v="25"/>
    <x v="0"/>
    <s v="FHIR"/>
    <s v="4.0.1"/>
    <s v=""/>
    <x v="92"/>
    <s v="JS"/>
    <m/>
    <s v="Extensible"/>
    <m/>
    <m/>
    <s v=""/>
    <m/>
    <x v="2"/>
    <s v=""/>
    <m/>
    <x v="1"/>
    <m/>
    <s v=""/>
    <s v="this is probably too much to do"/>
    <m/>
    <s v=""/>
    <m/>
    <m/>
    <m/>
    <s v="No terminology code required"/>
    <s v=""/>
    <m/>
    <s v=""/>
    <s v=""/>
    <s v=""/>
    <s v=""/>
    <s v=""/>
    <s v=""/>
    <m/>
    <m/>
    <m/>
    <x v="5"/>
    <s v=""/>
    <x v="6"/>
    <x v="93"/>
    <n v="1"/>
    <n v="1"/>
    <n v="1"/>
    <n v="1"/>
    <n v="1"/>
    <n v="0"/>
    <n v="0"/>
  </r>
  <r>
    <n v="2156"/>
    <s v="       Herpes simplex viruses screen"/>
    <n v="2156"/>
    <e v="#NAME?"/>
    <s v="Herpes simplex viruses screen"/>
    <x v="1"/>
    <n v="36"/>
    <s v="Screening type"/>
    <m/>
    <m/>
    <s v="ST.2 Consultation"/>
    <x v="17"/>
    <m/>
    <s v="2.14 Diagnose"/>
    <s v="ST.DE.256"/>
    <m/>
    <m/>
    <m/>
    <m/>
    <m/>
    <m/>
    <s v="Herpes simplex viruses screen"/>
    <m/>
    <s v="No"/>
    <m/>
    <s v="Yes"/>
    <m/>
    <m/>
    <m/>
    <s v="STI.IND.01"/>
    <m/>
    <m/>
    <m/>
    <m/>
    <m/>
    <s v=""/>
    <x v="3"/>
    <x v="1"/>
    <m/>
    <s v=""/>
    <s v=""/>
    <x v="2"/>
    <s v="JS"/>
    <m/>
    <m/>
    <m/>
    <m/>
    <s v=""/>
    <m/>
    <x v="2"/>
    <e v="#NAME?"/>
    <m/>
    <x v="1"/>
    <m/>
    <s v=""/>
    <s v="value set"/>
    <m/>
    <s v=""/>
    <m/>
    <s v="74247-8"/>
    <m/>
    <s v=""/>
    <s v=""/>
    <m/>
    <s v=""/>
    <s v="50"/>
    <s v=""/>
    <s v=""/>
    <s v=""/>
    <s v=""/>
    <m/>
    <m/>
    <m/>
    <x v="2"/>
    <n v="0"/>
    <x v="2"/>
    <x v="93"/>
    <n v="1"/>
    <s v=""/>
    <n v="1"/>
    <n v="1"/>
    <n v="1"/>
    <n v="0"/>
    <n v="0"/>
  </r>
  <r>
    <n v="2157"/>
    <s v="       Human papillomavirus screen"/>
    <n v="2157"/>
    <e v="#NAME?"/>
    <s v="Human papillomavirus screen"/>
    <x v="1"/>
    <n v="34"/>
    <s v="Screening type"/>
    <m/>
    <m/>
    <s v="ST.2 Consultation"/>
    <x v="17"/>
    <m/>
    <s v="2.14 Diagnose"/>
    <s v="ST.DE.255"/>
    <m/>
    <m/>
    <m/>
    <m/>
    <m/>
    <m/>
    <s v="Human papillomavirus screen"/>
    <m/>
    <s v="No"/>
    <m/>
    <s v="Yes"/>
    <m/>
    <m/>
    <m/>
    <s v="STI.IND.01"/>
    <m/>
    <m/>
    <m/>
    <m/>
    <m/>
    <s v=""/>
    <x v="3"/>
    <x v="1"/>
    <m/>
    <s v=""/>
    <s v=""/>
    <x v="2"/>
    <s v="JS"/>
    <m/>
    <m/>
    <m/>
    <m/>
    <s v=""/>
    <m/>
    <x v="2"/>
    <e v="#NAME?"/>
    <m/>
    <x v="1"/>
    <m/>
    <s v=""/>
    <s v="HPV test partentl assume that test means screen"/>
    <s v="Z11.51"/>
    <s v=""/>
    <m/>
    <s v="86658-2"/>
    <m/>
    <s v=""/>
    <s v=""/>
    <m/>
    <s v=""/>
    <s v="50"/>
    <s v=""/>
    <s v=""/>
    <s v=""/>
    <s v=""/>
    <m/>
    <m/>
    <m/>
    <x v="2"/>
    <n v="0"/>
    <x v="2"/>
    <x v="93"/>
    <n v="1"/>
    <s v=""/>
    <n v="1"/>
    <n v="1"/>
    <n v="1"/>
    <n v="0"/>
    <n v="0"/>
  </r>
  <r>
    <n v="2158"/>
    <s v="       Trichomoniasis screen"/>
    <n v="2158"/>
    <e v="#NAME?"/>
    <s v="Trichomoniasis screen"/>
    <x v="1"/>
    <n v="28"/>
    <s v="Screening type"/>
    <m/>
    <m/>
    <s v="ST.2 Consultation"/>
    <x v="17"/>
    <m/>
    <s v="2.14 Diagnose"/>
    <s v="ST.DE.254"/>
    <m/>
    <m/>
    <m/>
    <m/>
    <m/>
    <m/>
    <s v="Trichomoniasis screen"/>
    <m/>
    <s v="No"/>
    <m/>
    <s v="Yes"/>
    <m/>
    <m/>
    <m/>
    <s v="STI.IND.01"/>
    <m/>
    <m/>
    <m/>
    <m/>
    <m/>
    <s v=""/>
    <x v="3"/>
    <x v="1"/>
    <m/>
    <s v=""/>
    <s v=""/>
    <x v="2"/>
    <s v="JS"/>
    <m/>
    <m/>
    <m/>
    <m/>
    <s v=""/>
    <m/>
    <x v="2"/>
    <e v="#NAME?"/>
    <m/>
    <x v="1"/>
    <m/>
    <s v=""/>
    <s v="assume wet mount; put comment in slack"/>
    <m/>
    <s v=""/>
    <m/>
    <s v="LP 1441306; LP6760-5; LG34164-0"/>
    <m/>
    <s v=""/>
    <s v=""/>
    <m/>
    <s v="LP 1441306; wet prep is LP6760-5; panel will ne LG34164-0"/>
    <s v="50"/>
    <s v=""/>
    <s v=""/>
    <s v=""/>
    <s v=""/>
    <m/>
    <m/>
    <m/>
    <x v="2"/>
    <n v="0"/>
    <x v="2"/>
    <x v="93"/>
    <n v="1"/>
    <s v=""/>
    <n v="1"/>
    <n v="1"/>
    <n v="1"/>
    <n v="0"/>
    <n v="0"/>
  </r>
  <r>
    <n v="2159"/>
    <s v="       Chlamydia screen"/>
    <n v="2159"/>
    <e v="#NAME?"/>
    <s v="Chlamydia screen"/>
    <x v="1"/>
    <n v="23"/>
    <s v="Screening type"/>
    <m/>
    <m/>
    <s v="ST.2 Consultation"/>
    <x v="17"/>
    <m/>
    <s v="2.14 Diagnose"/>
    <s v="ST.DE.253"/>
    <m/>
    <m/>
    <m/>
    <m/>
    <m/>
    <m/>
    <s v="Chlamydia screen"/>
    <m/>
    <s v="No"/>
    <m/>
    <s v="Yes"/>
    <m/>
    <m/>
    <m/>
    <s v="STI.IND.01"/>
    <m/>
    <m/>
    <m/>
    <m/>
    <m/>
    <s v=""/>
    <x v="3"/>
    <x v="1"/>
    <m/>
    <s v=""/>
    <s v=""/>
    <x v="2"/>
    <s v="JS"/>
    <m/>
    <m/>
    <m/>
    <m/>
    <s v=""/>
    <m/>
    <x v="2"/>
    <e v="#NAME?"/>
    <m/>
    <x v="1"/>
    <m/>
    <s v=""/>
    <s v="same as HPV; chlamid positive is A71.9; GC positive is A54.00"/>
    <s v="Z11.18"/>
    <s v=""/>
    <m/>
    <s v="86659-0; 86661-6"/>
    <m/>
    <s v=""/>
    <s v=""/>
    <m/>
    <s v="86659-0; and 86661-6 (and GC) "/>
    <s v="50"/>
    <s v=""/>
    <s v=""/>
    <s v=""/>
    <s v=""/>
    <m/>
    <m/>
    <m/>
    <x v="2"/>
    <n v="0"/>
    <x v="2"/>
    <x v="93"/>
    <n v="1"/>
    <s v=""/>
    <n v="1"/>
    <n v="1"/>
    <n v="1"/>
    <n v="0"/>
    <n v="0"/>
  </r>
  <r>
    <n v="2160"/>
    <s v="       Gonorrhoea screen"/>
    <n v="2160"/>
    <e v="#NAME?"/>
    <s v="Gonorrhoea screen"/>
    <x v="1"/>
    <n v="24"/>
    <s v="Screening type"/>
    <m/>
    <m/>
    <s v="ST.2 Consultation"/>
    <x v="17"/>
    <m/>
    <s v="2.14 Diagnose"/>
    <s v="ST.DE.252"/>
    <m/>
    <m/>
    <m/>
    <m/>
    <m/>
    <m/>
    <s v="Gonorrhoea screen"/>
    <m/>
    <s v="No"/>
    <m/>
    <s v="Yes"/>
    <m/>
    <m/>
    <m/>
    <s v="STI.IND.01"/>
    <m/>
    <m/>
    <m/>
    <m/>
    <m/>
    <s v=""/>
    <x v="3"/>
    <x v="1"/>
    <m/>
    <s v=""/>
    <s v=""/>
    <x v="2"/>
    <s v="JS"/>
    <m/>
    <m/>
    <m/>
    <m/>
    <s v=""/>
    <m/>
    <x v="2"/>
    <e v="#NAME?"/>
    <m/>
    <x v="1"/>
    <m/>
    <s v=""/>
    <s v="x"/>
    <s v="Z11.3"/>
    <s v=""/>
    <m/>
    <s v="86660-8; 86661-6; LP74080-0"/>
    <m/>
    <s v=""/>
    <s v=""/>
    <m/>
    <s v="86660-8; 86661-6 (GC and Chlamydia) ; GC screen test status LP74080-0"/>
    <s v="50"/>
    <s v=""/>
    <s v=""/>
    <s v=""/>
    <s v=""/>
    <m/>
    <m/>
    <m/>
    <x v="2"/>
    <n v="0"/>
    <x v="2"/>
    <x v="93"/>
    <n v="1"/>
    <s v=""/>
    <n v="1"/>
    <n v="1"/>
    <n v="1"/>
    <n v="0"/>
    <n v="0"/>
  </r>
  <r>
    <n v="2161"/>
    <s v="       HIV test "/>
    <n v="2161"/>
    <e v="#NAME?"/>
    <s v="HIV test "/>
    <x v="1"/>
    <n v="16"/>
    <s v="Screening type"/>
    <m/>
    <m/>
    <s v="ST.2 Consultation"/>
    <x v="17"/>
    <m/>
    <s v="2.14 Diagnose"/>
    <s v="ST.DE.433"/>
    <m/>
    <m/>
    <m/>
    <m/>
    <m/>
    <m/>
    <s v="HIV test "/>
    <m/>
    <s v="No"/>
    <m/>
    <s v="Yes"/>
    <m/>
    <m/>
    <m/>
    <m/>
    <m/>
    <m/>
    <m/>
    <m/>
    <m/>
    <s v=""/>
    <x v="3"/>
    <x v="1"/>
    <m/>
    <s v=""/>
    <s v=""/>
    <x v="2"/>
    <s v="JS"/>
    <m/>
    <m/>
    <m/>
    <m/>
    <s v=""/>
    <m/>
    <x v="2"/>
    <e v="#NAME?"/>
    <m/>
    <x v="1"/>
    <m/>
    <s v=""/>
    <s v="?specific test? "/>
    <s v="Z11.4"/>
    <s v=""/>
    <m/>
    <m/>
    <m/>
    <s v=""/>
    <s v=""/>
    <m/>
    <s v=""/>
    <s v="49"/>
    <s v=""/>
    <s v=""/>
    <s v=""/>
    <s v=""/>
    <m/>
    <m/>
    <m/>
    <x v="2"/>
    <n v="0"/>
    <x v="2"/>
    <x v="93"/>
    <n v="1"/>
    <s v=""/>
    <n v="1"/>
    <n v="1"/>
    <n v="1"/>
    <n v="0"/>
    <n v="0"/>
  </r>
  <r>
    <n v="2162"/>
    <s v="       Syphilis screen"/>
    <n v="2162"/>
    <e v="#NAME?"/>
    <s v="Syphilis screen"/>
    <x v="1"/>
    <n v="22"/>
    <s v="Screening type"/>
    <m/>
    <m/>
    <s v="ST.2 Consultation"/>
    <x v="17"/>
    <m/>
    <s v="2.14 Diagnose"/>
    <s v="ST.DE.232"/>
    <m/>
    <m/>
    <m/>
    <m/>
    <m/>
    <m/>
    <s v="Syphilis screen"/>
    <m/>
    <s v="No"/>
    <m/>
    <s v="Yes"/>
    <m/>
    <m/>
    <m/>
    <s v="STI.IND.01"/>
    <m/>
    <m/>
    <m/>
    <m/>
    <m/>
    <s v=""/>
    <x v="3"/>
    <x v="1"/>
    <m/>
    <s v=""/>
    <s v=""/>
    <x v="2"/>
    <s v="JS"/>
    <m/>
    <m/>
    <m/>
    <m/>
    <s v=""/>
    <m/>
    <x v="2"/>
    <e v="#NAME?"/>
    <m/>
    <x v="1"/>
    <m/>
    <s v=""/>
    <s v="this is really a data element; i think that all of thes are data elements..can we talk about this; maybe i am wrong"/>
    <s v="Z11.8"/>
    <s v=""/>
    <m/>
    <s v="20507-0"/>
    <m/>
    <s v=""/>
    <s v=""/>
    <m/>
    <s v="z11.8 (same as chlamydia) _x000a__x000a_;20507-0 (RPR) "/>
    <s v="50"/>
    <s v=""/>
    <s v=""/>
    <s v=""/>
    <s v=""/>
    <m/>
    <m/>
    <m/>
    <x v="2"/>
    <n v="0"/>
    <x v="2"/>
    <x v="93"/>
    <n v="1"/>
    <s v=""/>
    <n v="1"/>
    <n v="1"/>
    <n v="1"/>
    <n v="0"/>
    <n v="0"/>
  </r>
  <r>
    <n v="2163"/>
    <s v="       Other (specify)"/>
    <n v="2163"/>
    <e v="#NAME?"/>
    <s v="Other (specify)"/>
    <x v="1"/>
    <n v="22"/>
    <s v="Screening type"/>
    <m/>
    <m/>
    <s v="ST.2 Consultation"/>
    <x v="17"/>
    <m/>
    <s v="2.14 Diagnose"/>
    <s v="ST.DE.220"/>
    <m/>
    <m/>
    <m/>
    <m/>
    <m/>
    <m/>
    <s v="Other (specify)"/>
    <m/>
    <s v="No"/>
    <m/>
    <s v="Yes"/>
    <m/>
    <m/>
    <m/>
    <m/>
    <m/>
    <m/>
    <m/>
    <m/>
    <m/>
    <s v=""/>
    <x v="3"/>
    <x v="1"/>
    <m/>
    <s v=""/>
    <s v=""/>
    <x v="2"/>
    <s v="JS"/>
    <m/>
    <m/>
    <m/>
    <m/>
    <s v=""/>
    <m/>
    <x v="2"/>
    <e v="#NAME?"/>
    <m/>
    <x v="0"/>
    <s v="http://who.int/cg/CodeSystem/extended-content"/>
    <s v="Other"/>
    <s v=""/>
    <m/>
    <s v=""/>
    <m/>
    <m/>
    <m/>
    <s v=""/>
    <s v=""/>
    <m/>
    <s v=""/>
    <s v="50"/>
    <s v=""/>
    <s v=""/>
    <s v=""/>
    <s v=""/>
    <m/>
    <m/>
    <m/>
    <x v="2"/>
    <n v="0"/>
    <x v="2"/>
    <x v="93"/>
    <n v="1"/>
    <s v=""/>
    <n v="1"/>
    <n v="1"/>
    <n v="1"/>
    <n v="0"/>
    <n v="0"/>
  </r>
  <r>
    <n v="2164"/>
    <s v="Other (specify) - Screenings performed"/>
    <n v="2164"/>
    <s v="Other (specify)"/>
    <s v="Other (specify)"/>
    <x v="0"/>
    <n v="38"/>
    <s v=""/>
    <m/>
    <m/>
    <s v="ST.2 Consultation"/>
    <x v="17"/>
    <m/>
    <s v="2.14 Diagnose"/>
    <s v="ST.DE.301"/>
    <m/>
    <s v="Other (specify)"/>
    <m/>
    <s v="Write in other screenings if not included in the list"/>
    <s v="Text"/>
    <m/>
    <m/>
    <m/>
    <s v="No"/>
    <m/>
    <s v="Yes"/>
    <s v="C"/>
    <s v="Include if speculum exam = Other (specify)"/>
    <m/>
    <m/>
    <m/>
    <m/>
    <m/>
    <m/>
    <m/>
    <s v=""/>
    <x v="52"/>
    <x v="0"/>
    <s v="FHIR"/>
    <s v="4.0.1"/>
    <s v=""/>
    <x v="92"/>
    <s v="JA"/>
    <m/>
    <m/>
    <m/>
    <m/>
    <s v=""/>
    <m/>
    <x v="2"/>
    <s v="&quot;Other (specify)&quot;-&gt;&quot;Other (specify) - Screenings performed&quot;"/>
    <m/>
    <x v="0"/>
    <m/>
    <s v=""/>
    <m/>
    <m/>
    <s v=""/>
    <m/>
    <m/>
    <m/>
    <s v="No terminology code required"/>
    <s v=""/>
    <m/>
    <s v=""/>
    <s v="50"/>
    <s v=""/>
    <s v=""/>
    <s v=""/>
    <s v=""/>
    <m/>
    <m/>
    <m/>
    <x v="5"/>
    <s v=""/>
    <x v="6"/>
    <x v="93"/>
    <n v="1"/>
    <n v="0"/>
    <n v="1"/>
    <n v="1"/>
    <n v="1"/>
    <n v="0"/>
    <n v="0"/>
  </r>
  <r>
    <n v="2380"/>
    <s v="Date of Screening"/>
    <m/>
    <m/>
    <m/>
    <x v="0"/>
    <m/>
    <m/>
    <m/>
    <m/>
    <m/>
    <x v="9"/>
    <m/>
    <m/>
    <m/>
    <m/>
    <m/>
    <m/>
    <m/>
    <m/>
    <m/>
    <m/>
    <m/>
    <m/>
    <m/>
    <m/>
    <m/>
    <m/>
    <m/>
    <m/>
    <m/>
    <m/>
    <m/>
    <m/>
    <m/>
    <m/>
    <x v="30"/>
    <x v="8"/>
    <s v="FHIR"/>
    <s v="4.0.1"/>
    <s v=""/>
    <x v="92"/>
    <s v="JA"/>
    <m/>
    <m/>
    <m/>
    <m/>
    <m/>
    <m/>
    <x v="2"/>
    <m/>
    <m/>
    <x v="1"/>
    <s v="http://who.int/cg/CodeSystem/extended-content"/>
    <s v="Date of Screening"/>
    <m/>
    <m/>
    <m/>
    <m/>
    <m/>
    <m/>
    <m/>
    <m/>
    <m/>
    <m/>
    <m/>
    <m/>
    <m/>
    <m/>
    <m/>
    <m/>
    <m/>
    <m/>
    <x v="5"/>
    <s v=""/>
    <x v="6"/>
    <x v="93"/>
    <n v="1"/>
    <n v="0"/>
    <n v="0"/>
    <n v="1"/>
    <n v="0"/>
    <n v="1"/>
    <n v="0"/>
  </r>
  <r>
    <n v="2381"/>
    <s v="Screening Result"/>
    <m/>
    <m/>
    <m/>
    <x v="0"/>
    <m/>
    <m/>
    <m/>
    <m/>
    <m/>
    <x v="9"/>
    <m/>
    <m/>
    <m/>
    <m/>
    <m/>
    <m/>
    <m/>
    <m/>
    <m/>
    <m/>
    <m/>
    <m/>
    <m/>
    <m/>
    <m/>
    <m/>
    <m/>
    <m/>
    <m/>
    <m/>
    <m/>
    <m/>
    <m/>
    <m/>
    <x v="17"/>
    <x v="2"/>
    <s v="FHIR"/>
    <s v="4.0.1"/>
    <s v=""/>
    <x v="92"/>
    <s v="JA"/>
    <m/>
    <m/>
    <m/>
    <m/>
    <m/>
    <m/>
    <x v="2"/>
    <m/>
    <m/>
    <x v="1"/>
    <s v="http://who.int/cg/CodeSystem/extended-content"/>
    <s v="Screening Result"/>
    <m/>
    <m/>
    <m/>
    <m/>
    <m/>
    <m/>
    <m/>
    <m/>
    <m/>
    <m/>
    <m/>
    <m/>
    <m/>
    <m/>
    <m/>
    <m/>
    <m/>
    <m/>
    <x v="5"/>
    <s v=""/>
    <x v="6"/>
    <x v="93"/>
    <n v="1"/>
    <n v="0"/>
    <n v="0"/>
    <n v="1"/>
    <n v="0"/>
    <n v="1"/>
    <n v="0"/>
  </r>
  <r>
    <n v="2108"/>
    <s v="Specimen collection"/>
    <n v="2108"/>
    <s v="Specimen collection"/>
    <s v="Specimen collection"/>
    <x v="0"/>
    <n v="19"/>
    <s v=""/>
    <m/>
    <m/>
    <s v="ST.2 Consultation"/>
    <x v="16"/>
    <m/>
    <s v="2.5 Conduct clinical exam"/>
    <s v="ST.DE.048"/>
    <m/>
    <s v="Specimen collection"/>
    <m/>
    <m/>
    <m/>
    <m/>
    <m/>
    <m/>
    <m/>
    <m/>
    <m/>
    <m/>
    <m/>
    <m/>
    <m/>
    <m/>
    <m/>
    <m/>
    <m/>
    <m/>
    <s v=""/>
    <x v="53"/>
    <x v="0"/>
    <s v="FHIR"/>
    <s v="4.0.1"/>
    <s v=""/>
    <x v="93"/>
    <s v="JA"/>
    <m/>
    <m/>
    <m/>
    <m/>
    <s v=""/>
    <m/>
    <x v="2"/>
    <s v=""/>
    <m/>
    <x v="1"/>
    <s v="http://who.int/cg/CodeSystem/extended-content"/>
    <s v="Specimen collection"/>
    <s v="can they give us options? "/>
    <m/>
    <s v=""/>
    <m/>
    <m/>
    <m/>
    <s v="No LOINC code available"/>
    <s v=""/>
    <s v="x"/>
    <s v=""/>
    <s v="45"/>
    <s v=""/>
    <s v=""/>
    <s v=""/>
    <s v=""/>
    <m/>
    <m/>
    <m/>
    <x v="15"/>
    <s v=""/>
    <x v="16"/>
    <x v="94"/>
    <n v="1"/>
    <n v="0"/>
    <n v="1"/>
    <n v="1"/>
    <n v="1"/>
    <n v="0"/>
    <n v="0"/>
  </r>
  <r>
    <n v="2120"/>
    <s v="Complicated condition"/>
    <n v="2120"/>
    <s v="Complicated condition"/>
    <s v="Complicated condition"/>
    <x v="0"/>
    <n v="21"/>
    <s v=""/>
    <m/>
    <m/>
    <s v="ST.2 Consultation"/>
    <x v="12"/>
    <m/>
    <s v="2.14 Diagnose"/>
    <s v="ST.DE.051"/>
    <m/>
    <s v="Complicated condition"/>
    <m/>
    <s v="Whether STI is a complicated infection"/>
    <s v="Boolean"/>
    <m/>
    <s v="True/False"/>
    <m/>
    <s v="Yes"/>
    <s v="Must be associated with a condition"/>
    <s v="Yes"/>
    <s v="O"/>
    <s v="Include if condition = Syphilis"/>
    <m/>
    <m/>
    <m/>
    <m/>
    <s v="DL Treatment Recommendations"/>
    <m/>
    <m/>
    <s v=""/>
    <x v="54"/>
    <x v="1"/>
    <s v="FHIR"/>
    <s v="4.0.1"/>
    <s v=""/>
    <x v="92"/>
    <s v="JA"/>
    <m/>
    <m/>
    <m/>
    <m/>
    <s v=""/>
    <m/>
    <x v="2"/>
    <s v=""/>
    <m/>
    <x v="1"/>
    <m/>
    <s v=""/>
    <s v=""/>
    <m/>
    <s v=""/>
    <s v="26039008"/>
    <m/>
    <m/>
    <s v=""/>
    <s v=""/>
    <s v="x"/>
    <s v="Most likely referring to neurosyphillis?"/>
    <s v=""/>
    <s v=""/>
    <s v=""/>
    <s v=""/>
    <s v=""/>
    <m/>
    <m/>
    <m/>
    <x v="5"/>
    <s v=""/>
    <x v="6"/>
    <x v="93"/>
    <n v="1"/>
    <n v="0"/>
    <n v="1"/>
    <n v="1"/>
    <n v="1"/>
    <n v="0"/>
    <n v="0"/>
  </r>
  <r>
    <n v="2121"/>
    <s v="HIV diagnosis date"/>
    <n v="2121"/>
    <s v="HIV diagnosis date"/>
    <s v="HIV diagnosis date"/>
    <x v="0"/>
    <n v="18"/>
    <s v=""/>
    <m/>
    <m/>
    <s v="ST.2 Consultation"/>
    <x v="12"/>
    <m/>
    <s v="2.14 Diagnose"/>
    <s v="ST.DE.111"/>
    <m/>
    <s v="HIV diagnosis date"/>
    <s v="hiv_diagnosis_date"/>
    <s v="If woman knows she's HIV+, record the date of her diagnosis."/>
    <s v="Date"/>
    <m/>
    <m/>
    <m/>
    <m/>
    <s v="&lt;= {Current Date}"/>
    <m/>
    <s v="Either this or unknown check is required."/>
    <m/>
    <m/>
    <m/>
    <m/>
    <m/>
    <m/>
    <m/>
    <m/>
    <s v=""/>
    <x v="55"/>
    <x v="8"/>
    <s v="FHIR"/>
    <s v="4.0.1"/>
    <s v=""/>
    <x v="94"/>
    <s v="JA"/>
    <m/>
    <m/>
    <m/>
    <m/>
    <s v=""/>
    <m/>
    <x v="2"/>
    <s v=""/>
    <m/>
    <x v="1"/>
    <m/>
    <s v=""/>
    <s v="HIV postiive test"/>
    <m/>
    <s v=""/>
    <s v="365866002"/>
    <m/>
    <m/>
    <s v=""/>
    <s v=""/>
    <m/>
    <s v=""/>
    <s v=""/>
    <s v=""/>
    <s v=""/>
    <s v=""/>
    <s v=""/>
    <m/>
    <m/>
    <m/>
    <x v="11"/>
    <s v=""/>
    <x v="12"/>
    <x v="95"/>
    <n v="1"/>
    <n v="0"/>
    <n v="1"/>
    <n v="1"/>
    <n v="1"/>
    <n v="0"/>
    <n v="0"/>
  </r>
  <r>
    <n v="2122"/>
    <s v="[Unknown checkbox for HIV diagnosis date inline with {hiv_diagnosis_date}]"/>
    <n v="2122"/>
    <s v="[Unknown checkbox for HIV diagnosis date inline with {hiv_diagnosis_date}]"/>
    <s v="[Unknown checkbox for HIV diagnosis date inline with {hiv_diagnosis_date}]"/>
    <x v="2"/>
    <n v="74"/>
    <s v=""/>
    <m/>
    <m/>
    <s v="ST.2 Consultation"/>
    <x v="12"/>
    <m/>
    <s v="2.14 Diagnose"/>
    <s v="ST.DE.112"/>
    <m/>
    <s v="[Unknown checkbox for HIV diagnosis date inline with {hiv_diagnosis_date}]"/>
    <s v="hiv_diagnosis_date_unknown"/>
    <s v="Check this box if the woman's HIV diagnosis date is unknown or cannot be estimated."/>
    <s v="Checkbox"/>
    <m/>
    <m/>
    <m/>
    <m/>
    <m/>
    <m/>
    <s v="Either this or HIV diagnosis date is required."/>
    <m/>
    <m/>
    <m/>
    <m/>
    <m/>
    <m/>
    <m/>
    <m/>
    <s v=""/>
    <x v="3"/>
    <x v="1"/>
    <m/>
    <s v=""/>
    <s v=""/>
    <x v="2"/>
    <m/>
    <m/>
    <m/>
    <m/>
    <m/>
    <s v=""/>
    <m/>
    <x v="2"/>
    <s v=""/>
    <m/>
    <x v="1"/>
    <m/>
    <s v=""/>
    <s v=""/>
    <m/>
    <s v=""/>
    <m/>
    <m/>
    <m/>
    <s v=""/>
    <s v=""/>
    <m/>
    <s v=""/>
    <s v=""/>
    <s v=""/>
    <s v=""/>
    <s v=""/>
    <s v=""/>
    <m/>
    <m/>
    <m/>
    <x v="2"/>
    <s v=""/>
    <x v="3"/>
    <x v="2"/>
    <n v="1"/>
    <s v=""/>
    <n v="1"/>
    <n v="1"/>
    <n v="1"/>
    <n v="0"/>
    <n v="0"/>
  </r>
  <r>
    <n v="2123"/>
    <s v="Calculation - HIV Positive"/>
    <n v="2123"/>
    <s v="NA"/>
    <s v="NA"/>
    <x v="0"/>
    <n v="26"/>
    <s v=""/>
    <m/>
    <m/>
    <s v="ST.2 Consultation"/>
    <x v="12"/>
    <m/>
    <s v="2.14 Diagnose"/>
    <s v="ST.DE.113"/>
    <m/>
    <s v="NA"/>
    <s v="hiv_positive"/>
    <s v="Calculated field for woman's HIV status."/>
    <s v="Calculation"/>
    <m/>
    <m/>
    <m/>
    <s v="if({hiv_test_result} = &quot;Positive&quot; OR selected({health_conditions}, &quot;HIV&quot;, 1, 0)"/>
    <m/>
    <m/>
    <s v="NA"/>
    <m/>
    <m/>
    <m/>
    <m/>
    <m/>
    <m/>
    <m/>
    <m/>
    <s v=""/>
    <x v="31"/>
    <x v="0"/>
    <s v="FHIR"/>
    <s v="4.0.1"/>
    <s v=""/>
    <x v="94"/>
    <s v="JA - Issue"/>
    <m/>
    <m/>
    <m/>
    <m/>
    <s v=""/>
    <m/>
    <x v="2"/>
    <s v="&quot;NA&quot;-&gt;&quot;Calculation - HIV Positive&quot;"/>
    <m/>
    <x v="1"/>
    <m/>
    <s v=""/>
    <s v=""/>
    <m/>
    <s v=""/>
    <s v="365866002"/>
    <m/>
    <m/>
    <m/>
    <s v=""/>
    <s v="x"/>
    <s v=""/>
    <s v=""/>
    <s v=""/>
    <s v=""/>
    <s v=""/>
    <s v=""/>
    <m/>
    <m/>
    <m/>
    <x v="11"/>
    <s v=""/>
    <x v="12"/>
    <x v="95"/>
    <n v="1"/>
    <n v="0"/>
    <n v="1"/>
    <n v="1"/>
    <n v="1"/>
    <n v="0"/>
    <n v="0"/>
  </r>
  <r>
    <n v="2124"/>
    <s v="Partner HIV status"/>
    <n v="2124"/>
    <s v="Partner HIV status"/>
    <s v="Partner HIV status"/>
    <x v="0"/>
    <n v="18"/>
    <s v=""/>
    <m/>
    <m/>
    <s v="ST.2 Consultation"/>
    <x v="12"/>
    <m/>
    <s v="2.14 Diagnose"/>
    <s v="ST.DE.114"/>
    <m/>
    <s v="Partner HIV status"/>
    <m/>
    <s v="The HIV status of the woman's partner."/>
    <s v="Coding"/>
    <s v="Select one"/>
    <m/>
    <m/>
    <s v="No"/>
    <m/>
    <m/>
    <s v="No"/>
    <m/>
    <m/>
    <m/>
    <m/>
    <m/>
    <m/>
    <m/>
    <m/>
    <s v=""/>
    <x v="17"/>
    <x v="2"/>
    <s v="FHIR"/>
    <s v="4.0.1"/>
    <s v=""/>
    <x v="95"/>
    <s v="JS"/>
    <m/>
    <m/>
    <m/>
    <m/>
    <s v=""/>
    <m/>
    <x v="2"/>
    <s v=""/>
    <m/>
    <x v="1"/>
    <s v="http://who.int/cg/CodeSystem/extended-content"/>
    <s v="Partner HIV status"/>
    <s v=""/>
    <m/>
    <s v=""/>
    <m/>
    <m/>
    <m/>
    <s v="No LOINC code available"/>
    <s v=""/>
    <s v="x"/>
    <s v="Concept for HIV status in LOINC, but not for partner"/>
    <s v=""/>
    <s v=""/>
    <s v=""/>
    <s v=""/>
    <s v=""/>
    <m/>
    <m/>
    <m/>
    <x v="5"/>
    <s v=""/>
    <x v="6"/>
    <x v="96"/>
    <n v="1"/>
    <n v="1"/>
    <n v="1"/>
    <n v="1"/>
    <n v="1"/>
    <n v="0"/>
    <n v="0"/>
  </r>
  <r>
    <n v="2125"/>
    <s v="       Don't know"/>
    <n v="2125"/>
    <e v="#NAME?"/>
    <s v="Don't know"/>
    <x v="1"/>
    <n v="17"/>
    <s v="Partner HIV status"/>
    <m/>
    <m/>
    <s v="ST.2 Consultation"/>
    <x v="12"/>
    <m/>
    <s v="2.14 Diagnose"/>
    <s v="ST.DE.115"/>
    <m/>
    <m/>
    <m/>
    <m/>
    <m/>
    <m/>
    <s v="Don't know"/>
    <m/>
    <s v="No"/>
    <m/>
    <m/>
    <m/>
    <m/>
    <m/>
    <m/>
    <m/>
    <m/>
    <m/>
    <m/>
    <m/>
    <s v=""/>
    <x v="3"/>
    <x v="1"/>
    <m/>
    <s v=""/>
    <s v=""/>
    <x v="2"/>
    <s v="JS"/>
    <m/>
    <m/>
    <m/>
    <m/>
    <s v=""/>
    <m/>
    <x v="2"/>
    <e v="#NAME?"/>
    <m/>
    <x v="1"/>
    <m/>
    <s v=""/>
    <s v=""/>
    <m/>
    <s v=""/>
    <s v="261665006"/>
    <m/>
    <m/>
    <s v=""/>
    <s v=""/>
    <m/>
    <s v=""/>
    <s v=""/>
    <s v=""/>
    <s v=""/>
    <s v=""/>
    <s v=""/>
    <m/>
    <m/>
    <m/>
    <x v="2"/>
    <n v="0"/>
    <x v="2"/>
    <x v="96"/>
    <n v="1"/>
    <s v=""/>
    <n v="1"/>
    <n v="1"/>
    <n v="1"/>
    <n v="0"/>
    <n v="0"/>
  </r>
  <r>
    <n v="2126"/>
    <s v="       Positive"/>
    <n v="2126"/>
    <e v="#NAME?"/>
    <s v="Positive"/>
    <x v="1"/>
    <n v="15"/>
    <s v="Partner HIV status"/>
    <m/>
    <m/>
    <s v="ST.2 Consultation"/>
    <x v="12"/>
    <m/>
    <s v="2.14 Diagnose"/>
    <s v="ST.DE.116"/>
    <m/>
    <m/>
    <m/>
    <m/>
    <m/>
    <m/>
    <s v="Positive"/>
    <m/>
    <s v="No"/>
    <m/>
    <m/>
    <m/>
    <m/>
    <m/>
    <m/>
    <m/>
    <m/>
    <m/>
    <m/>
    <m/>
    <s v=""/>
    <x v="3"/>
    <x v="1"/>
    <m/>
    <s v=""/>
    <s v=""/>
    <x v="2"/>
    <s v="JS"/>
    <m/>
    <m/>
    <m/>
    <m/>
    <s v=""/>
    <m/>
    <x v="2"/>
    <e v="#NAME?"/>
    <m/>
    <x v="1"/>
    <m/>
    <s v=""/>
    <s v=""/>
    <m/>
    <s v=""/>
    <s v="10828004"/>
    <m/>
    <m/>
    <s v=""/>
    <s v=""/>
    <m/>
    <s v=""/>
    <s v=""/>
    <s v=""/>
    <s v=""/>
    <s v=""/>
    <s v=""/>
    <m/>
    <m/>
    <m/>
    <x v="2"/>
    <n v="0"/>
    <x v="2"/>
    <x v="96"/>
    <n v="1"/>
    <s v=""/>
    <n v="1"/>
    <n v="1"/>
    <n v="1"/>
    <n v="0"/>
    <n v="0"/>
  </r>
  <r>
    <n v="2127"/>
    <s v="       Negative"/>
    <n v="2127"/>
    <e v="#NAME?"/>
    <s v="Negative"/>
    <x v="1"/>
    <n v="15"/>
    <s v="Partner HIV status"/>
    <m/>
    <m/>
    <s v="ST.2 Consultation"/>
    <x v="12"/>
    <m/>
    <s v="2.14 Diagnose"/>
    <s v="ST.DE.117"/>
    <m/>
    <m/>
    <m/>
    <m/>
    <m/>
    <m/>
    <s v="Negative"/>
    <m/>
    <s v="No"/>
    <m/>
    <m/>
    <m/>
    <m/>
    <m/>
    <m/>
    <m/>
    <m/>
    <m/>
    <m/>
    <m/>
    <s v=""/>
    <x v="3"/>
    <x v="1"/>
    <m/>
    <s v=""/>
    <s v=""/>
    <x v="2"/>
    <s v="JS"/>
    <m/>
    <m/>
    <m/>
    <m/>
    <s v=""/>
    <m/>
    <x v="2"/>
    <e v="#NAME?"/>
    <m/>
    <x v="1"/>
    <m/>
    <s v=""/>
    <s v=""/>
    <m/>
    <s v=""/>
    <s v="260385009"/>
    <m/>
    <m/>
    <s v=""/>
    <s v=""/>
    <m/>
    <s v=""/>
    <s v=""/>
    <s v=""/>
    <s v=""/>
    <s v=""/>
    <s v=""/>
    <m/>
    <m/>
    <m/>
    <x v="2"/>
    <n v="0"/>
    <x v="2"/>
    <x v="96"/>
    <n v="1"/>
    <s v=""/>
    <n v="1"/>
    <n v="1"/>
    <n v="1"/>
    <n v="0"/>
    <n v="0"/>
  </r>
  <r>
    <n v="2128"/>
    <s v="HIV positive counseling"/>
    <n v="2128"/>
    <s v="HIV positive counseling"/>
    <s v="HIV positive counseling"/>
    <x v="0"/>
    <n v="23"/>
    <s v=""/>
    <m/>
    <m/>
    <s v="ST.2 Consultation"/>
    <x v="12"/>
    <m/>
    <s v="2.14 Diagnose"/>
    <s v="ST.DE.118"/>
    <m/>
    <s v="HIV positive counseling"/>
    <s v="hiv_positive_counsel"/>
    <m/>
    <s v="Coding"/>
    <s v="Select one"/>
    <m/>
    <m/>
    <s v="No"/>
    <m/>
    <m/>
    <s v="No"/>
    <m/>
    <m/>
    <s v="Every contact if relevant"/>
    <m/>
    <m/>
    <m/>
    <m/>
    <m/>
    <s v=""/>
    <x v="56"/>
    <x v="2"/>
    <s v="FHIR"/>
    <s v="4.0.1"/>
    <s v=""/>
    <x v="82"/>
    <s v="JA"/>
    <m/>
    <m/>
    <m/>
    <m/>
    <s v=""/>
    <m/>
    <x v="2"/>
    <s v=""/>
    <m/>
    <x v="1"/>
    <m/>
    <s v=""/>
    <s v="x"/>
    <s v="Z71.7"/>
    <s v=""/>
    <s v="313077009"/>
    <m/>
    <m/>
    <s v=""/>
    <s v=""/>
    <m/>
    <s v=""/>
    <s v=""/>
    <s v=""/>
    <s v=""/>
    <s v=""/>
    <s v=""/>
    <m/>
    <m/>
    <m/>
    <x v="9"/>
    <s v=""/>
    <x v="10"/>
    <x v="83"/>
    <n v="1"/>
    <n v="1"/>
    <n v="1"/>
    <n v="1"/>
    <n v="1"/>
    <n v="0"/>
    <n v="0"/>
  </r>
  <r>
    <n v="2129"/>
    <s v="       Done"/>
    <n v="2129"/>
    <e v="#NAME?"/>
    <s v="Done"/>
    <x v="1"/>
    <n v="11"/>
    <s v="HIV positive counseling"/>
    <m/>
    <m/>
    <s v="ST.2 Consultation"/>
    <x v="12"/>
    <m/>
    <s v="2.14 Diagnose"/>
    <s v="ST.DE.119"/>
    <m/>
    <m/>
    <m/>
    <m/>
    <m/>
    <m/>
    <s v="Done"/>
    <m/>
    <s v="No"/>
    <m/>
    <m/>
    <m/>
    <m/>
    <m/>
    <m/>
    <m/>
    <m/>
    <m/>
    <m/>
    <m/>
    <s v=""/>
    <x v="3"/>
    <x v="1"/>
    <m/>
    <s v=""/>
    <s v=""/>
    <x v="2"/>
    <s v="JS"/>
    <m/>
    <m/>
    <m/>
    <m/>
    <s v=""/>
    <m/>
    <x v="2"/>
    <e v="#NAME?"/>
    <m/>
    <x v="1"/>
    <s v="http://hl7.org/fhir/request-status"/>
    <s v="completed"/>
    <m/>
    <m/>
    <s v=""/>
    <m/>
    <m/>
    <m/>
    <s v=""/>
    <s v=""/>
    <m/>
    <s v=""/>
    <s v=""/>
    <s v=""/>
    <s v=""/>
    <s v=""/>
    <s v=""/>
    <m/>
    <m/>
    <m/>
    <x v="2"/>
    <n v="0"/>
    <x v="2"/>
    <x v="83"/>
    <n v="1"/>
    <s v=""/>
    <n v="1"/>
    <n v="1"/>
    <n v="1"/>
    <n v="0"/>
    <n v="0"/>
  </r>
  <r>
    <n v="2130"/>
    <s v="       Not done"/>
    <n v="2130"/>
    <e v="#NAME?"/>
    <s v="Not done"/>
    <x v="1"/>
    <n v="15"/>
    <s v="HIV positive counseling"/>
    <m/>
    <m/>
    <s v="ST.2 Consultation"/>
    <x v="12"/>
    <m/>
    <s v="2.14 Diagnose"/>
    <s v="ST.DE.120"/>
    <m/>
    <m/>
    <m/>
    <m/>
    <m/>
    <m/>
    <s v="Not done"/>
    <m/>
    <s v="No"/>
    <m/>
    <m/>
    <m/>
    <m/>
    <m/>
    <m/>
    <m/>
    <m/>
    <m/>
    <m/>
    <m/>
    <s v=""/>
    <x v="3"/>
    <x v="1"/>
    <m/>
    <s v=""/>
    <s v=""/>
    <x v="2"/>
    <s v="JS"/>
    <m/>
    <m/>
    <m/>
    <m/>
    <s v=""/>
    <m/>
    <x v="2"/>
    <e v="#NAME?"/>
    <m/>
    <x v="1"/>
    <s v="http://who.int/cg/CodeSystem/extended-content"/>
    <s v="Not Done"/>
    <s v=""/>
    <m/>
    <s v=""/>
    <m/>
    <m/>
    <m/>
    <s v="No FHIR valueset code available"/>
    <s v=""/>
    <m/>
    <s v=""/>
    <s v=""/>
    <s v=""/>
    <s v=""/>
    <s v=""/>
    <s v=""/>
    <m/>
    <m/>
    <m/>
    <x v="2"/>
    <n v="0"/>
    <x v="2"/>
    <x v="83"/>
    <n v="1"/>
    <s v=""/>
    <n v="1"/>
    <n v="1"/>
    <n v="1"/>
    <n v="0"/>
    <n v="0"/>
  </r>
  <r>
    <n v="2131"/>
    <s v="Diagnosis"/>
    <n v="2131"/>
    <s v="Diagnosis"/>
    <s v="Diagnosis"/>
    <x v="0"/>
    <n v="9"/>
    <s v=""/>
    <m/>
    <m/>
    <s v="ST.2 Consultation"/>
    <x v="18"/>
    <m/>
    <s v="2.14 Diagnose"/>
    <s v="ST.DE.033"/>
    <m/>
    <s v="Diagnosis"/>
    <m/>
    <s v="Condition the patient is being diagnosed with"/>
    <s v="Coding"/>
    <s v="Select all that apply"/>
    <m/>
    <m/>
    <s v="No"/>
    <m/>
    <s v="Yes"/>
    <s v="O"/>
    <m/>
    <m/>
    <m/>
    <m/>
    <m/>
    <m/>
    <m/>
    <m/>
    <s v=""/>
    <x v="31"/>
    <x v="0"/>
    <s v="FHIR"/>
    <s v="4.0.1"/>
    <s v=""/>
    <x v="96"/>
    <s v="JS"/>
    <m/>
    <s v="Extensible"/>
    <m/>
    <m/>
    <s v=""/>
    <m/>
    <x v="2"/>
    <s v=""/>
    <m/>
    <x v="1"/>
    <m/>
    <s v=""/>
    <s v=""/>
    <m/>
    <s v=""/>
    <m/>
    <s v="54531-9"/>
    <m/>
    <s v=""/>
    <s v=""/>
    <s v="x"/>
    <s v=""/>
    <s v=""/>
    <s v=""/>
    <s v=""/>
    <s v=""/>
    <s v=""/>
    <m/>
    <m/>
    <m/>
    <x v="11"/>
    <s v=""/>
    <x v="12"/>
    <x v="97"/>
    <n v="1"/>
    <n v="1"/>
    <n v="1"/>
    <n v="1"/>
    <n v="1"/>
    <n v="0"/>
    <n v="0"/>
  </r>
  <r>
    <n v="2132"/>
    <s v="       Chlamydia"/>
    <n v="2132"/>
    <e v="#NAME?"/>
    <s v="Chlamydia"/>
    <x v="1"/>
    <n v="16"/>
    <s v="Diagnosis"/>
    <m/>
    <m/>
    <s v="ST.2 Consultation"/>
    <x v="18"/>
    <m/>
    <s v="2.14 Diagnose"/>
    <s v="ST.DE.248"/>
    <m/>
    <m/>
    <m/>
    <m/>
    <m/>
    <m/>
    <s v="Chlamydia"/>
    <m/>
    <s v="No"/>
    <m/>
    <s v="Yes"/>
    <s v="O"/>
    <m/>
    <m/>
    <s v="STI.IND.01"/>
    <m/>
    <m/>
    <m/>
    <m/>
    <m/>
    <s v=""/>
    <x v="3"/>
    <x v="1"/>
    <m/>
    <s v=""/>
    <s v=""/>
    <x v="2"/>
    <s v="JS"/>
    <m/>
    <m/>
    <m/>
    <m/>
    <s v=""/>
    <m/>
    <x v="2"/>
    <e v="#NAME?"/>
    <m/>
    <x v="1"/>
    <m/>
    <s v=""/>
    <s v="x"/>
    <s v="A74.9"/>
    <s v=""/>
    <s v="105629000"/>
    <m/>
    <m/>
    <s v=""/>
    <s v=""/>
    <m/>
    <s v=""/>
    <s v=""/>
    <s v=""/>
    <s v=""/>
    <s v=""/>
    <s v=""/>
    <m/>
    <m/>
    <m/>
    <x v="2"/>
    <n v="0"/>
    <x v="2"/>
    <x v="97"/>
    <n v="1"/>
    <s v=""/>
    <n v="1"/>
    <n v="1"/>
    <n v="1"/>
    <n v="0"/>
    <n v="0"/>
  </r>
  <r>
    <n v="2133"/>
    <s v="       Syphilis"/>
    <n v="2133"/>
    <e v="#NAME?"/>
    <s v="Syphilis"/>
    <x v="1"/>
    <n v="15"/>
    <s v="Diagnosis"/>
    <m/>
    <m/>
    <s v="ST.2 Consultation"/>
    <x v="18"/>
    <m/>
    <s v="2.14 Diagnose"/>
    <s v="ST.DE.246"/>
    <m/>
    <m/>
    <m/>
    <m/>
    <m/>
    <m/>
    <s v="Syphilis"/>
    <m/>
    <s v="No"/>
    <m/>
    <s v="Yes"/>
    <s v="O"/>
    <m/>
    <m/>
    <s v="STI.IND.01"/>
    <m/>
    <m/>
    <m/>
    <m/>
    <m/>
    <s v=""/>
    <x v="3"/>
    <x v="1"/>
    <m/>
    <s v=""/>
    <s v=""/>
    <x v="2"/>
    <s v="JS"/>
    <m/>
    <m/>
    <m/>
    <m/>
    <s v=""/>
    <m/>
    <x v="2"/>
    <e v="#NAME?"/>
    <m/>
    <x v="1"/>
    <m/>
    <s v=""/>
    <s v="x"/>
    <s v="A53.9"/>
    <s v=""/>
    <s v="76272004"/>
    <m/>
    <m/>
    <s v=""/>
    <s v=""/>
    <m/>
    <s v=""/>
    <s v=""/>
    <s v=""/>
    <s v=""/>
    <s v=""/>
    <s v=""/>
    <m/>
    <m/>
    <m/>
    <x v="2"/>
    <n v="0"/>
    <x v="2"/>
    <x v="97"/>
    <n v="1"/>
    <s v=""/>
    <n v="1"/>
    <n v="1"/>
    <n v="1"/>
    <n v="0"/>
    <n v="0"/>
  </r>
  <r>
    <n v="2134"/>
    <s v="       Genital herpes"/>
    <n v="2134"/>
    <e v="#NAME?"/>
    <s v="Genital herpes"/>
    <x v="1"/>
    <n v="21"/>
    <s v="Diagnosis"/>
    <m/>
    <m/>
    <s v="ST.2 Consultation"/>
    <x v="18"/>
    <m/>
    <s v="2.14 Diagnose"/>
    <s v="ST.DE.251"/>
    <m/>
    <m/>
    <s v="HSV"/>
    <s v="Herpes simplex virus (HSV)"/>
    <m/>
    <m/>
    <s v="Genital herpes"/>
    <m/>
    <s v="No"/>
    <m/>
    <s v="Yes"/>
    <s v="O"/>
    <m/>
    <m/>
    <s v="STI.IND.01"/>
    <m/>
    <m/>
    <m/>
    <m/>
    <m/>
    <s v=""/>
    <x v="3"/>
    <x v="1"/>
    <m/>
    <s v=""/>
    <s v=""/>
    <x v="2"/>
    <s v="JS"/>
    <m/>
    <m/>
    <m/>
    <m/>
    <s v=""/>
    <m/>
    <x v="2"/>
    <e v="#NAME?"/>
    <m/>
    <x v="1"/>
    <m/>
    <s v=""/>
    <s v=""/>
    <m/>
    <s v=""/>
    <s v="33839006; 40745002; 402894005"/>
    <m/>
    <m/>
    <s v=""/>
    <s v=""/>
    <m/>
    <s v=""/>
    <s v=""/>
    <s v=""/>
    <s v=""/>
    <s v=""/>
    <s v=""/>
    <m/>
    <m/>
    <m/>
    <x v="2"/>
    <n v="0"/>
    <x v="2"/>
    <x v="97"/>
    <n v="1"/>
    <s v=""/>
    <n v="1"/>
    <n v="1"/>
    <n v="1"/>
    <n v="0"/>
    <n v="0"/>
  </r>
  <r>
    <n v="2135"/>
    <s v="       Gonorrhea"/>
    <n v="2135"/>
    <e v="#NAME?"/>
    <s v="Gonorrhea"/>
    <x v="1"/>
    <n v="16"/>
    <s v="Diagnosis"/>
    <m/>
    <m/>
    <s v="ST.2 Consultation"/>
    <x v="18"/>
    <m/>
    <s v="2.14 Diagnose"/>
    <s v="ST.DE.247"/>
    <m/>
    <m/>
    <m/>
    <m/>
    <m/>
    <m/>
    <s v="Gonorrhea"/>
    <m/>
    <s v="No"/>
    <m/>
    <s v="Yes"/>
    <s v="O"/>
    <m/>
    <m/>
    <s v="STI.IND.01"/>
    <m/>
    <m/>
    <m/>
    <m/>
    <m/>
    <s v=""/>
    <x v="3"/>
    <x v="1"/>
    <m/>
    <s v=""/>
    <s v=""/>
    <x v="2"/>
    <s v="JS"/>
    <m/>
    <m/>
    <m/>
    <m/>
    <s v=""/>
    <m/>
    <x v="2"/>
    <e v="#NAME?"/>
    <m/>
    <x v="1"/>
    <m/>
    <s v=""/>
    <s v="x"/>
    <m/>
    <s v=""/>
    <s v="15628003"/>
    <m/>
    <m/>
    <s v=""/>
    <s v=""/>
    <m/>
    <s v=""/>
    <s v=""/>
    <s v=""/>
    <s v=""/>
    <s v=""/>
    <s v=""/>
    <m/>
    <m/>
    <m/>
    <x v="2"/>
    <n v="0"/>
    <x v="2"/>
    <x v="97"/>
    <n v="1"/>
    <s v=""/>
    <n v="1"/>
    <n v="1"/>
    <n v="1"/>
    <n v="0"/>
    <n v="0"/>
  </r>
  <r>
    <n v="2136"/>
    <s v="       Gonococcal "/>
    <n v="2136"/>
    <e v="#NAME?"/>
    <s v="Gonococcal "/>
    <x v="1"/>
    <n v="18"/>
    <s v="Diagnosis"/>
    <m/>
    <m/>
    <s v="ST.2 Consultation"/>
    <x v="18"/>
    <m/>
    <s v="2.14 Diagnose"/>
    <s v="ST.DE.353"/>
    <m/>
    <m/>
    <m/>
    <m/>
    <m/>
    <m/>
    <s v="Gonococcal "/>
    <m/>
    <s v="No"/>
    <m/>
    <s v="Yes"/>
    <s v="O"/>
    <m/>
    <m/>
    <m/>
    <m/>
    <m/>
    <m/>
    <m/>
    <m/>
    <s v=""/>
    <x v="3"/>
    <x v="1"/>
    <m/>
    <s v=""/>
    <s v=""/>
    <x v="2"/>
    <s v="JS"/>
    <m/>
    <m/>
    <m/>
    <m/>
    <s v=""/>
    <m/>
    <x v="2"/>
    <e v="#NAME?"/>
    <m/>
    <x v="1"/>
    <m/>
    <s v=""/>
    <s v=""/>
    <m/>
    <s v=""/>
    <s v="68704007"/>
    <m/>
    <m/>
    <s v=""/>
    <s v=""/>
    <m/>
    <s v=""/>
    <s v=""/>
    <s v=""/>
    <s v=""/>
    <s v=""/>
    <s v=""/>
    <m/>
    <m/>
    <m/>
    <x v="2"/>
    <n v="0"/>
    <x v="2"/>
    <x v="97"/>
    <n v="1"/>
    <s v=""/>
    <n v="1"/>
    <n v="1"/>
    <n v="1"/>
    <n v="0"/>
    <n v="0"/>
  </r>
  <r>
    <n v="2137"/>
    <s v="       Vaginal infection"/>
    <n v="2137"/>
    <e v="#NAME?"/>
    <s v="Vaginal infection"/>
    <x v="1"/>
    <n v="24"/>
    <s v="Diagnosis"/>
    <m/>
    <m/>
    <s v="ST.2 Consultation"/>
    <x v="18"/>
    <m/>
    <s v="2.14 Diagnose"/>
    <s v="ST.DE.365"/>
    <m/>
    <m/>
    <m/>
    <m/>
    <m/>
    <m/>
    <s v="Vaginal infection"/>
    <m/>
    <s v="No"/>
    <m/>
    <s v="Yes"/>
    <s v="O"/>
    <m/>
    <m/>
    <m/>
    <m/>
    <m/>
    <m/>
    <m/>
    <m/>
    <s v=""/>
    <x v="3"/>
    <x v="1"/>
    <m/>
    <s v=""/>
    <s v=""/>
    <x v="2"/>
    <s v="JS"/>
    <m/>
    <m/>
    <m/>
    <m/>
    <s v=""/>
    <m/>
    <x v="2"/>
    <e v="#NAME?"/>
    <m/>
    <x v="1"/>
    <m/>
    <s v=""/>
    <s v="? specific?"/>
    <m/>
    <s v=""/>
    <s v="237091009"/>
    <m/>
    <m/>
    <s v=""/>
    <s v=""/>
    <m/>
    <s v=""/>
    <s v="69"/>
    <s v=""/>
    <s v=""/>
    <s v=""/>
    <s v=""/>
    <m/>
    <m/>
    <m/>
    <x v="2"/>
    <n v="0"/>
    <x v="2"/>
    <x v="97"/>
    <n v="1"/>
    <s v=""/>
    <n v="1"/>
    <n v="1"/>
    <n v="1"/>
    <n v="0"/>
    <n v="0"/>
  </r>
  <r>
    <n v="2138"/>
    <s v="       Yeast infection"/>
    <n v="2138"/>
    <e v="#NAME?"/>
    <s v="Yeast infection"/>
    <x v="1"/>
    <n v="22"/>
    <s v="Diagnosis"/>
    <m/>
    <m/>
    <s v="ST.2 Consultation"/>
    <x v="18"/>
    <m/>
    <s v="2.14 Diagnose"/>
    <s v="ST.DE.354"/>
    <m/>
    <m/>
    <m/>
    <s v="Candida albicans"/>
    <m/>
    <m/>
    <s v="Yeast infection"/>
    <m/>
    <s v="No"/>
    <m/>
    <s v="Yes"/>
    <s v="O"/>
    <m/>
    <m/>
    <m/>
    <m/>
    <m/>
    <m/>
    <m/>
    <m/>
    <s v=""/>
    <x v="3"/>
    <x v="1"/>
    <m/>
    <s v=""/>
    <s v=""/>
    <x v="2"/>
    <s v="JS"/>
    <m/>
    <m/>
    <m/>
    <m/>
    <s v=""/>
    <m/>
    <x v="2"/>
    <e v="#NAME?"/>
    <m/>
    <x v="1"/>
    <m/>
    <s v=""/>
    <s v="unspecified"/>
    <s v="B37"/>
    <s v=""/>
    <m/>
    <m/>
    <m/>
    <s v=""/>
    <s v=""/>
    <m/>
    <s v=""/>
    <s v=""/>
    <s v=""/>
    <s v=""/>
    <s v=""/>
    <s v=""/>
    <m/>
    <m/>
    <m/>
    <x v="2"/>
    <n v="0"/>
    <x v="2"/>
    <x v="97"/>
    <n v="1"/>
    <s v=""/>
    <n v="1"/>
    <n v="1"/>
    <n v="1"/>
    <n v="0"/>
    <n v="0"/>
  </r>
  <r>
    <n v="2139"/>
    <s v="       Bacterial vaginosis"/>
    <n v="2139"/>
    <e v="#NAME?"/>
    <s v="Bacterial vaginosis"/>
    <x v="1"/>
    <n v="26"/>
    <s v="Diagnosis"/>
    <m/>
    <m/>
    <s v="ST.2 Consultation"/>
    <x v="18"/>
    <m/>
    <s v="2.14 Diagnose"/>
    <s v="ST.DE.355"/>
    <m/>
    <m/>
    <m/>
    <m/>
    <m/>
    <m/>
    <s v="Bacterial vaginosis"/>
    <m/>
    <s v="No"/>
    <m/>
    <s v="Yes"/>
    <s v="O"/>
    <m/>
    <m/>
    <m/>
    <m/>
    <m/>
    <m/>
    <m/>
    <m/>
    <s v=""/>
    <x v="3"/>
    <x v="1"/>
    <m/>
    <s v=""/>
    <s v=""/>
    <x v="2"/>
    <s v="JS"/>
    <m/>
    <m/>
    <m/>
    <m/>
    <s v=""/>
    <m/>
    <x v="2"/>
    <e v="#NAME?"/>
    <m/>
    <x v="1"/>
    <m/>
    <s v=""/>
    <s v="x"/>
    <m/>
    <s v=""/>
    <s v="419760006"/>
    <m/>
    <m/>
    <s v=""/>
    <s v=""/>
    <m/>
    <s v=""/>
    <s v=""/>
    <s v=""/>
    <s v=""/>
    <s v=""/>
    <s v=""/>
    <m/>
    <m/>
    <m/>
    <x v="2"/>
    <n v="0"/>
    <x v="2"/>
    <x v="97"/>
    <n v="1"/>
    <s v=""/>
    <n v="1"/>
    <n v="1"/>
    <n v="1"/>
    <n v="0"/>
    <n v="0"/>
  </r>
  <r>
    <n v="2140"/>
    <s v="       Trichomoniasis"/>
    <n v="2140"/>
    <e v="#NAME?"/>
    <s v="Trichomoniasis"/>
    <x v="1"/>
    <n v="21"/>
    <s v="Diagnosis"/>
    <m/>
    <m/>
    <s v="ST.2 Consultation"/>
    <x v="18"/>
    <m/>
    <s v="2.14 Diagnose"/>
    <s v="ST.DE.356"/>
    <m/>
    <m/>
    <m/>
    <m/>
    <m/>
    <m/>
    <s v="Trichomoniasis"/>
    <m/>
    <s v="No"/>
    <m/>
    <s v="Yes"/>
    <s v="O"/>
    <m/>
    <m/>
    <m/>
    <m/>
    <m/>
    <m/>
    <m/>
    <m/>
    <s v=""/>
    <x v="3"/>
    <x v="1"/>
    <m/>
    <s v=""/>
    <s v=""/>
    <x v="2"/>
    <s v="JS"/>
    <m/>
    <m/>
    <m/>
    <m/>
    <s v=""/>
    <m/>
    <x v="2"/>
    <e v="#NAME?"/>
    <m/>
    <x v="1"/>
    <m/>
    <s v=""/>
    <s v="x"/>
    <s v="A59.9"/>
    <s v=""/>
    <m/>
    <m/>
    <m/>
    <s v=""/>
    <s v=""/>
    <m/>
    <s v=""/>
    <s v=""/>
    <s v=""/>
    <s v=""/>
    <s v=""/>
    <s v=""/>
    <m/>
    <m/>
    <m/>
    <x v="2"/>
    <n v="0"/>
    <x v="2"/>
    <x v="97"/>
    <n v="1"/>
    <s v=""/>
    <n v="1"/>
    <n v="1"/>
    <n v="1"/>
    <n v="0"/>
    <n v="0"/>
  </r>
  <r>
    <n v="2141"/>
    <s v="       Cervical infection"/>
    <n v="2141"/>
    <e v="#NAME?"/>
    <s v="Cervical infection"/>
    <x v="1"/>
    <n v="25"/>
    <s v="Diagnosis"/>
    <m/>
    <m/>
    <s v="ST.2 Consultation"/>
    <x v="18"/>
    <m/>
    <s v="2.14 Diagnose"/>
    <s v="ST.DE.261"/>
    <m/>
    <m/>
    <m/>
    <m/>
    <m/>
    <m/>
    <s v="Cervical infection"/>
    <m/>
    <s v="No"/>
    <m/>
    <s v="Yes"/>
    <s v="O"/>
    <m/>
    <m/>
    <m/>
    <m/>
    <m/>
    <m/>
    <m/>
    <m/>
    <s v=""/>
    <x v="3"/>
    <x v="1"/>
    <m/>
    <s v=""/>
    <s v=""/>
    <x v="2"/>
    <s v="JS"/>
    <m/>
    <m/>
    <m/>
    <m/>
    <s v=""/>
    <m/>
    <x v="2"/>
    <e v="#NAME?"/>
    <m/>
    <x v="1"/>
    <m/>
    <s v=""/>
    <s v=""/>
    <m/>
    <s v=""/>
    <s v="447353001"/>
    <m/>
    <m/>
    <s v=""/>
    <s v=""/>
    <m/>
    <s v=""/>
    <s v=""/>
    <s v=""/>
    <s v=""/>
    <s v=""/>
    <s v=""/>
    <m/>
    <m/>
    <m/>
    <x v="2"/>
    <n v="0"/>
    <x v="2"/>
    <x v="97"/>
    <n v="1"/>
    <s v=""/>
    <n v="1"/>
    <n v="1"/>
    <n v="1"/>
    <n v="0"/>
    <n v="0"/>
  </r>
  <r>
    <n v="2142"/>
    <s v="       Anaerobic infection"/>
    <n v="2142"/>
    <e v="#NAME?"/>
    <s v="Anaerobic infection"/>
    <x v="1"/>
    <n v="26"/>
    <s v="Diagnosis"/>
    <m/>
    <m/>
    <s v="ST.2 Consultation"/>
    <x v="18"/>
    <m/>
    <s v="2.14 Diagnose"/>
    <s v="ST.DE.357"/>
    <m/>
    <m/>
    <m/>
    <m/>
    <m/>
    <m/>
    <s v="Anaerobic infection"/>
    <m/>
    <s v="No"/>
    <m/>
    <s v="Yes"/>
    <s v="O"/>
    <m/>
    <m/>
    <m/>
    <m/>
    <m/>
    <m/>
    <m/>
    <m/>
    <s v=""/>
    <x v="3"/>
    <x v="1"/>
    <m/>
    <s v=""/>
    <s v=""/>
    <x v="2"/>
    <s v="JS"/>
    <m/>
    <m/>
    <m/>
    <m/>
    <s v=""/>
    <m/>
    <x v="2"/>
    <e v="#NAME?"/>
    <m/>
    <x v="1"/>
    <m/>
    <s v=""/>
    <s v=""/>
    <m/>
    <s v=""/>
    <s v="423451008"/>
    <m/>
    <m/>
    <s v=""/>
    <s v=""/>
    <m/>
    <s v=""/>
    <s v=""/>
    <s v=""/>
    <s v=""/>
    <s v=""/>
    <s v=""/>
    <m/>
    <m/>
    <m/>
    <x v="2"/>
    <n v="0"/>
    <x v="2"/>
    <x v="97"/>
    <n v="1"/>
    <s v=""/>
    <n v="1"/>
    <n v="1"/>
    <n v="1"/>
    <n v="0"/>
    <n v="0"/>
  </r>
  <r>
    <n v="2143"/>
    <s v="       Pelvic Inflammatory Disease"/>
    <n v="2143"/>
    <e v="#NAME?"/>
    <s v="Pelvic Inflammatory Disease"/>
    <x v="1"/>
    <n v="34"/>
    <s v="Diagnosis"/>
    <m/>
    <m/>
    <s v="ST.2 Consultation"/>
    <x v="18"/>
    <m/>
    <s v="2.14 Diagnose"/>
    <s v="ST.DE.358"/>
    <m/>
    <m/>
    <m/>
    <m/>
    <m/>
    <m/>
    <s v="Pelvic Inflammatory Disease"/>
    <m/>
    <s v="No"/>
    <m/>
    <s v="Yes"/>
    <s v="O"/>
    <m/>
    <m/>
    <m/>
    <m/>
    <m/>
    <m/>
    <m/>
    <m/>
    <s v=""/>
    <x v="3"/>
    <x v="1"/>
    <m/>
    <s v=""/>
    <s v=""/>
    <x v="2"/>
    <s v="JS"/>
    <m/>
    <m/>
    <m/>
    <m/>
    <s v=""/>
    <m/>
    <x v="2"/>
    <e v="#NAME?"/>
    <m/>
    <x v="1"/>
    <m/>
    <s v=""/>
    <s v="x"/>
    <s v="N73.9"/>
    <s v=""/>
    <s v="198130006"/>
    <m/>
    <m/>
    <s v=""/>
    <s v=""/>
    <m/>
    <s v=""/>
    <s v=""/>
    <s v=""/>
    <s v=""/>
    <s v=""/>
    <s v=""/>
    <m/>
    <m/>
    <m/>
    <x v="2"/>
    <n v="0"/>
    <x v="2"/>
    <x v="97"/>
    <n v="1"/>
    <s v=""/>
    <n v="1"/>
    <n v="1"/>
    <n v="1"/>
    <n v="0"/>
    <n v="0"/>
  </r>
  <r>
    <n v="2144"/>
    <s v="       Genital warts"/>
    <n v="2144"/>
    <e v="#NAME?"/>
    <s v="Genital warts"/>
    <x v="1"/>
    <n v="20"/>
    <s v="Diagnosis"/>
    <m/>
    <m/>
    <s v="ST.2 Consultation"/>
    <x v="18"/>
    <m/>
    <s v="2.14 Diagnose"/>
    <s v="ST.DE.262"/>
    <m/>
    <m/>
    <m/>
    <m/>
    <m/>
    <m/>
    <s v="Genital warts"/>
    <m/>
    <s v="No"/>
    <m/>
    <s v="Yes"/>
    <s v="O"/>
    <m/>
    <m/>
    <m/>
    <m/>
    <m/>
    <m/>
    <m/>
    <m/>
    <s v=""/>
    <x v="3"/>
    <x v="1"/>
    <m/>
    <s v=""/>
    <s v=""/>
    <x v="2"/>
    <s v="JS"/>
    <m/>
    <m/>
    <m/>
    <m/>
    <s v=""/>
    <m/>
    <x v="2"/>
    <e v="#NAME?"/>
    <m/>
    <x v="1"/>
    <m/>
    <s v=""/>
    <s v=""/>
    <m/>
    <s v=""/>
    <s v="266113007"/>
    <m/>
    <m/>
    <s v=""/>
    <s v=""/>
    <m/>
    <s v=""/>
    <s v=""/>
    <s v=""/>
    <s v=""/>
    <s v=""/>
    <s v=""/>
    <m/>
    <m/>
    <m/>
    <x v="2"/>
    <n v="0"/>
    <x v="2"/>
    <x v="97"/>
    <n v="1"/>
    <s v=""/>
    <n v="1"/>
    <n v="1"/>
    <n v="1"/>
    <n v="0"/>
    <n v="0"/>
  </r>
  <r>
    <n v="2145"/>
    <s v="       Cervical warts"/>
    <n v="2145"/>
    <e v="#NAME?"/>
    <s v="Cervical warts"/>
    <x v="1"/>
    <n v="21"/>
    <s v="Diagnosis"/>
    <m/>
    <m/>
    <s v="ST.2 Consultation"/>
    <x v="18"/>
    <m/>
    <s v="2.14 Diagnose"/>
    <s v="ST.DE.263"/>
    <m/>
    <m/>
    <m/>
    <m/>
    <m/>
    <m/>
    <s v="Cervical warts"/>
    <m/>
    <s v="No"/>
    <m/>
    <s v="Yes"/>
    <s v="O"/>
    <m/>
    <m/>
    <m/>
    <m/>
    <m/>
    <m/>
    <m/>
    <m/>
    <s v=""/>
    <x v="3"/>
    <x v="1"/>
    <m/>
    <s v=""/>
    <s v=""/>
    <x v="2"/>
    <s v="JS"/>
    <m/>
    <m/>
    <m/>
    <m/>
    <s v=""/>
    <m/>
    <x v="2"/>
    <e v="#NAME?"/>
    <m/>
    <x v="1"/>
    <m/>
    <s v=""/>
    <s v=""/>
    <m/>
    <s v=""/>
    <s v="419266001"/>
    <m/>
    <m/>
    <s v=""/>
    <s v=""/>
    <m/>
    <s v=""/>
    <s v=""/>
    <s v=""/>
    <s v=""/>
    <s v=""/>
    <s v=""/>
    <m/>
    <m/>
    <m/>
    <x v="2"/>
    <n v="0"/>
    <x v="2"/>
    <x v="97"/>
    <n v="1"/>
    <s v=""/>
    <n v="1"/>
    <n v="1"/>
    <n v="1"/>
    <n v="0"/>
    <n v="0"/>
  </r>
  <r>
    <n v="2146"/>
    <s v="       Toxic shock syndrome "/>
    <n v="2146"/>
    <e v="#NAME?"/>
    <s v="Toxic shock syndrome "/>
    <x v="1"/>
    <n v="28"/>
    <s v="Diagnosis"/>
    <m/>
    <m/>
    <s v="ST.2 Consultation"/>
    <x v="18"/>
    <m/>
    <s v="2.14 Diagnose"/>
    <s v="ST.DE.359"/>
    <m/>
    <m/>
    <m/>
    <m/>
    <m/>
    <m/>
    <s v="Toxic shock syndrome "/>
    <m/>
    <s v="No"/>
    <m/>
    <s v="Yes"/>
    <s v="O"/>
    <m/>
    <m/>
    <m/>
    <m/>
    <m/>
    <m/>
    <m/>
    <m/>
    <s v=""/>
    <x v="3"/>
    <x v="1"/>
    <m/>
    <s v=""/>
    <s v=""/>
    <x v="2"/>
    <s v="JS"/>
    <m/>
    <m/>
    <m/>
    <m/>
    <s v=""/>
    <m/>
    <x v="2"/>
    <e v="#NAME?"/>
    <m/>
    <x v="1"/>
    <m/>
    <s v=""/>
    <s v="x"/>
    <s v="A48.3"/>
    <s v=""/>
    <s v="18504008"/>
    <m/>
    <m/>
    <s v=""/>
    <s v=""/>
    <m/>
    <s v=""/>
    <s v=""/>
    <s v=""/>
    <s v=""/>
    <s v=""/>
    <s v=""/>
    <m/>
    <m/>
    <m/>
    <x v="2"/>
    <n v="0"/>
    <x v="2"/>
    <x v="97"/>
    <n v="1"/>
    <s v=""/>
    <n v="1"/>
    <n v="1"/>
    <n v="1"/>
    <n v="0"/>
    <n v="0"/>
  </r>
  <r>
    <n v="2147"/>
    <s v="       Urinary tract infection"/>
    <n v="2147"/>
    <e v="#NAME?"/>
    <s v="Urinary tract infection"/>
    <x v="1"/>
    <n v="30"/>
    <s v="Diagnosis"/>
    <m/>
    <m/>
    <s v="ST.2 Consultation"/>
    <x v="18"/>
    <m/>
    <s v="2.14 Diagnose"/>
    <s v="ST.DE.360"/>
    <m/>
    <m/>
    <m/>
    <m/>
    <m/>
    <m/>
    <s v="Urinary tract infection"/>
    <m/>
    <s v="No"/>
    <m/>
    <s v="Yes"/>
    <s v="O"/>
    <m/>
    <m/>
    <m/>
    <m/>
    <m/>
    <m/>
    <m/>
    <m/>
    <s v=""/>
    <x v="3"/>
    <x v="1"/>
    <m/>
    <s v=""/>
    <s v=""/>
    <x v="2"/>
    <s v="JS"/>
    <m/>
    <m/>
    <m/>
    <m/>
    <s v=""/>
    <m/>
    <x v="2"/>
    <e v="#NAME?"/>
    <m/>
    <x v="1"/>
    <m/>
    <s v=""/>
    <s v=""/>
    <s v="N39; Z87.440"/>
    <s v=""/>
    <s v="68566005"/>
    <m/>
    <m/>
    <s v=""/>
    <s v=""/>
    <m/>
    <s v=""/>
    <s v=""/>
    <s v=""/>
    <s v=""/>
    <s v=""/>
    <s v=""/>
    <m/>
    <m/>
    <m/>
    <x v="2"/>
    <n v="0"/>
    <x v="2"/>
    <x v="97"/>
    <n v="1"/>
    <s v=""/>
    <n v="1"/>
    <n v="1"/>
    <n v="1"/>
    <n v="0"/>
    <n v="0"/>
  </r>
  <r>
    <n v="2148"/>
    <s v="       Human papillomavirus (HPV)"/>
    <n v="2148"/>
    <e v="#NAME?"/>
    <s v="Human papillomavirus (HPV)"/>
    <x v="1"/>
    <n v="33"/>
    <s v="Diagnosis"/>
    <m/>
    <m/>
    <s v="ST.2 Consultation"/>
    <x v="18"/>
    <m/>
    <s v="2.14 Diagnose"/>
    <s v="ST.DE.250"/>
    <m/>
    <m/>
    <s v="HPV"/>
    <m/>
    <m/>
    <m/>
    <s v="Human papillomavirus (HPV)"/>
    <m/>
    <s v="No"/>
    <m/>
    <s v="Yes"/>
    <s v="O"/>
    <m/>
    <m/>
    <s v="STI.IND.01"/>
    <m/>
    <m/>
    <m/>
    <m/>
    <m/>
    <s v=""/>
    <x v="3"/>
    <x v="1"/>
    <m/>
    <s v=""/>
    <s v=""/>
    <x v="2"/>
    <s v="JS"/>
    <m/>
    <m/>
    <m/>
    <m/>
    <s v=""/>
    <m/>
    <x v="2"/>
    <e v="#NAME?"/>
    <m/>
    <x v="1"/>
    <m/>
    <s v=""/>
    <s v=""/>
    <m/>
    <s v=""/>
    <s v="240532009"/>
    <m/>
    <m/>
    <s v=""/>
    <s v=""/>
    <m/>
    <s v=""/>
    <s v=""/>
    <s v=""/>
    <s v=""/>
    <s v=""/>
    <s v=""/>
    <m/>
    <m/>
    <m/>
    <x v="2"/>
    <n v="0"/>
    <x v="2"/>
    <x v="97"/>
    <n v="1"/>
    <s v=""/>
    <n v="1"/>
    <n v="1"/>
    <n v="1"/>
    <n v="0"/>
    <n v="0"/>
  </r>
  <r>
    <n v="2149"/>
    <s v="       Other (specify)"/>
    <n v="2149"/>
    <e v="#NAME?"/>
    <s v="Other (specify)"/>
    <x v="1"/>
    <n v="22"/>
    <s v="Diagnosis"/>
    <m/>
    <m/>
    <s v="ST.2 Consultation"/>
    <x v="18"/>
    <m/>
    <s v="2.14 Diagnose"/>
    <s v="ST.DE.220"/>
    <m/>
    <m/>
    <m/>
    <m/>
    <m/>
    <m/>
    <s v="Other (specify)"/>
    <m/>
    <s v="No"/>
    <m/>
    <s v="Yes"/>
    <s v="O"/>
    <m/>
    <m/>
    <m/>
    <m/>
    <m/>
    <m/>
    <m/>
    <m/>
    <s v=""/>
    <x v="3"/>
    <x v="1"/>
    <m/>
    <s v=""/>
    <s v=""/>
    <x v="2"/>
    <s v="JA"/>
    <m/>
    <m/>
    <m/>
    <m/>
    <s v=""/>
    <m/>
    <x v="2"/>
    <e v="#NAME?"/>
    <m/>
    <x v="0"/>
    <s v="http://who.int/cg/CodeSystem/extended-content"/>
    <s v="Other"/>
    <s v=""/>
    <m/>
    <s v=""/>
    <m/>
    <m/>
    <m/>
    <s v=""/>
    <s v=""/>
    <m/>
    <s v=""/>
    <s v=""/>
    <s v=""/>
    <s v=""/>
    <s v=""/>
    <s v=""/>
    <m/>
    <m/>
    <m/>
    <x v="2"/>
    <n v="0"/>
    <x v="2"/>
    <x v="97"/>
    <n v="1"/>
    <s v=""/>
    <n v="1"/>
    <n v="1"/>
    <n v="1"/>
    <n v="0"/>
    <n v="0"/>
  </r>
  <r>
    <n v="2150"/>
    <s v="Other (specify) - Diagnosis"/>
    <n v="2150"/>
    <s v="Other (specify)"/>
    <s v="Other (specify)"/>
    <x v="0"/>
    <n v="27"/>
    <s v=""/>
    <m/>
    <m/>
    <s v="ST.2 Consultation"/>
    <x v="18"/>
    <m/>
    <s v="2.14 Diagnose"/>
    <s v="ST.DE.301"/>
    <m/>
    <s v="Other (specify)"/>
    <m/>
    <s v="Write in other observations not included in the list"/>
    <s v="Text"/>
    <m/>
    <m/>
    <m/>
    <s v="No"/>
    <m/>
    <s v="Yes"/>
    <s v="C"/>
    <s v="Include if speculum exam = Other (specify)"/>
    <m/>
    <m/>
    <m/>
    <m/>
    <m/>
    <m/>
    <m/>
    <s v=""/>
    <x v="44"/>
    <x v="0"/>
    <s v="FHIR"/>
    <s v="4.0.1"/>
    <s v=""/>
    <x v="96"/>
    <s v="JA"/>
    <m/>
    <m/>
    <m/>
    <m/>
    <s v=""/>
    <m/>
    <x v="2"/>
    <s v="&quot;Other (specify)&quot;-&gt;&quot;Other (specify) - Diagnosis&quot;"/>
    <m/>
    <x v="0"/>
    <m/>
    <s v=""/>
    <s v=""/>
    <m/>
    <s v=""/>
    <m/>
    <m/>
    <m/>
    <s v="No terminology code required"/>
    <s v=""/>
    <m/>
    <s v=""/>
    <s v=""/>
    <s v=""/>
    <s v=""/>
    <s v=""/>
    <s v=""/>
    <m/>
    <m/>
    <m/>
    <x v="11"/>
    <s v=""/>
    <x v="12"/>
    <x v="97"/>
    <n v="1"/>
    <n v="0"/>
    <n v="1"/>
    <n v="1"/>
    <n v="1"/>
    <n v="0"/>
    <n v="0"/>
  </r>
  <r>
    <n v="2151"/>
    <s v="Method of diagnosis"/>
    <n v="2151"/>
    <s v="Method of diagnosis"/>
    <s v="Method of diagnosis"/>
    <x v="0"/>
    <n v="19"/>
    <s v=""/>
    <m/>
    <m/>
    <s v="ST.2 Consultation"/>
    <x v="18"/>
    <m/>
    <s v="2.14 Diagnose"/>
    <s v="ST.DE.258"/>
    <m/>
    <s v="Method of diagnosis"/>
    <m/>
    <s v="How each diagnosis was made. "/>
    <m/>
    <m/>
    <m/>
    <m/>
    <s v="No"/>
    <m/>
    <s v="Yes"/>
    <s v="C"/>
    <s v="Include if Diagnosis is not = None for each diagnoses during the visit"/>
    <m/>
    <s v="STI.IND.01"/>
    <m/>
    <m/>
    <m/>
    <m/>
    <m/>
    <s v=""/>
    <x v="57"/>
    <x v="1"/>
    <s v="FHIR"/>
    <s v="4.0.1"/>
    <s v=""/>
    <x v="96"/>
    <s v="JA"/>
    <m/>
    <m/>
    <m/>
    <m/>
    <s v=""/>
    <m/>
    <x v="2"/>
    <s v=""/>
    <m/>
    <x v="1"/>
    <s v="http://who.int/cg/CodeSystem/extended-content"/>
    <s v="Method of diagnosis"/>
    <s v="diagnosis of anything? "/>
    <m/>
    <s v=""/>
    <m/>
    <m/>
    <m/>
    <s v="No LOINC code available"/>
    <s v=""/>
    <s v="x"/>
    <s v="Just simply not in LOINC... don't know valid synonym"/>
    <s v=""/>
    <s v=""/>
    <s v=""/>
    <s v=""/>
    <s v=""/>
    <m/>
    <m/>
    <m/>
    <x v="11"/>
    <s v=""/>
    <x v="12"/>
    <x v="97"/>
    <n v="1"/>
    <n v="1"/>
    <n v="1"/>
    <n v="1"/>
    <n v="1"/>
    <n v="0"/>
    <n v="0"/>
  </r>
  <r>
    <n v="2152"/>
    <s v="       Syndromic"/>
    <n v="2152"/>
    <e v="#NAME?"/>
    <s v="Syndromic"/>
    <x v="1"/>
    <n v="16"/>
    <s v="Method of diagnosis"/>
    <m/>
    <m/>
    <s v="ST.2 Consultation"/>
    <x v="18"/>
    <m/>
    <s v="2.14 Diagnose"/>
    <s v="ST.DE.131"/>
    <m/>
    <m/>
    <m/>
    <s v="Diagnosed based on clinical signs and patient-reported symptoms, not diagnostic tests."/>
    <m/>
    <m/>
    <s v="Syndromic"/>
    <m/>
    <s v="No"/>
    <m/>
    <s v="Yes"/>
    <m/>
    <m/>
    <m/>
    <m/>
    <m/>
    <m/>
    <m/>
    <m/>
    <m/>
    <s v=""/>
    <x v="3"/>
    <x v="1"/>
    <m/>
    <s v=""/>
    <s v=""/>
    <x v="2"/>
    <s v="JS"/>
    <m/>
    <m/>
    <m/>
    <m/>
    <s v=""/>
    <m/>
    <x v="2"/>
    <e v="#NAME?"/>
    <m/>
    <x v="1"/>
    <m/>
    <s v=""/>
    <s v="what is being diagnosed"/>
    <m/>
    <s v=""/>
    <s v="39154008"/>
    <m/>
    <m/>
    <s v=""/>
    <s v=""/>
    <m/>
    <s v="confirm what this means;"/>
    <s v=""/>
    <s v=""/>
    <s v=""/>
    <s v=""/>
    <s v=""/>
    <m/>
    <m/>
    <m/>
    <x v="2"/>
    <n v="0"/>
    <x v="2"/>
    <x v="97"/>
    <n v="1"/>
    <s v=""/>
    <n v="1"/>
    <n v="1"/>
    <n v="1"/>
    <n v="0"/>
    <n v="0"/>
  </r>
  <r>
    <n v="2153"/>
    <s v="       Laboratory testing"/>
    <n v="2153"/>
    <e v="#NAME?"/>
    <s v="Laboratory testing"/>
    <x v="1"/>
    <n v="25"/>
    <s v="Method of diagnosis"/>
    <m/>
    <m/>
    <s v="ST.2 Consultation"/>
    <x v="18"/>
    <m/>
    <s v="2.14 Diagnose"/>
    <s v="ST.DE.132"/>
    <m/>
    <m/>
    <m/>
    <s v="Diagnosed based on laboratory reports or test results, not by clinical/physical examination."/>
    <m/>
    <m/>
    <s v="Laboratory testing"/>
    <m/>
    <s v="No"/>
    <m/>
    <s v="Yes"/>
    <m/>
    <m/>
    <m/>
    <m/>
    <m/>
    <m/>
    <m/>
    <m/>
    <m/>
    <s v=""/>
    <x v="3"/>
    <x v="1"/>
    <m/>
    <s v=""/>
    <s v=""/>
    <x v="2"/>
    <s v="JS"/>
    <m/>
    <m/>
    <m/>
    <m/>
    <s v=""/>
    <m/>
    <x v="2"/>
    <e v="#NAME?"/>
    <m/>
    <x v="1"/>
    <m/>
    <s v=""/>
    <s v="what is being diagnosed"/>
    <m/>
    <s v=""/>
    <s v="15220000"/>
    <m/>
    <m/>
    <s v=""/>
    <s v=""/>
    <m/>
    <s v=""/>
    <s v=""/>
    <s v=""/>
    <s v=""/>
    <s v=""/>
    <s v=""/>
    <m/>
    <m/>
    <m/>
    <x v="2"/>
    <n v="0"/>
    <x v="2"/>
    <x v="97"/>
    <n v="1"/>
    <s v=""/>
    <n v="1"/>
    <n v="1"/>
    <n v="1"/>
    <n v="0"/>
    <n v="0"/>
  </r>
  <r>
    <n v="2154"/>
    <s v="       Point-of-care rapid testing"/>
    <n v="2154"/>
    <e v="#NAME?"/>
    <s v="Point-of-care rapid testing"/>
    <x v="1"/>
    <n v="34"/>
    <s v="Method of diagnosis"/>
    <m/>
    <m/>
    <s v="ST.2 Consultation"/>
    <x v="18"/>
    <m/>
    <s v="2.14 Diagnose"/>
    <s v="ST.DE.133"/>
    <m/>
    <m/>
    <m/>
    <s v="Diagnosed using a rapid test onsite."/>
    <m/>
    <m/>
    <s v="Point-of-care rapid testing"/>
    <m/>
    <s v="No"/>
    <m/>
    <s v="Yes"/>
    <m/>
    <m/>
    <m/>
    <m/>
    <m/>
    <m/>
    <m/>
    <m/>
    <m/>
    <s v=""/>
    <x v="3"/>
    <x v="1"/>
    <m/>
    <s v=""/>
    <s v=""/>
    <x v="2"/>
    <s v="JS"/>
    <m/>
    <m/>
    <m/>
    <m/>
    <s v=""/>
    <m/>
    <x v="2"/>
    <e v="#NAME?"/>
    <m/>
    <x v="1"/>
    <m/>
    <s v=""/>
    <s v="what is being diagnosed"/>
    <m/>
    <s v=""/>
    <s v="405262001"/>
    <m/>
    <m/>
    <s v=""/>
    <s v=""/>
    <m/>
    <s v=""/>
    <s v=""/>
    <s v=""/>
    <s v=""/>
    <s v=""/>
    <s v=""/>
    <m/>
    <m/>
    <m/>
    <x v="2"/>
    <n v="0"/>
    <x v="2"/>
    <x v="97"/>
    <n v="1"/>
    <s v=""/>
    <n v="1"/>
    <n v="1"/>
    <n v="1"/>
    <n v="0"/>
    <n v="0"/>
  </r>
  <r>
    <n v="2165"/>
    <s v="Test status "/>
    <n v="2165"/>
    <s v="Test status "/>
    <s v="Test status "/>
    <x v="0"/>
    <n v="12"/>
    <s v=""/>
    <m/>
    <m/>
    <s v="ST.2 Consultation"/>
    <x v="17"/>
    <m/>
    <s v="2.14 Diagnose"/>
    <s v="ST.DE.134"/>
    <m/>
    <s v="Test status "/>
    <m/>
    <s v="Whether the test was performed or ordered. "/>
    <s v="Coding"/>
    <s v="Select one"/>
    <m/>
    <m/>
    <s v="No"/>
    <m/>
    <s v="Yes"/>
    <s v="C"/>
    <m/>
    <m/>
    <m/>
    <m/>
    <m/>
    <m/>
    <m/>
    <m/>
    <s v=""/>
    <x v="58"/>
    <x v="0"/>
    <s v="FHIR"/>
    <s v="4.0.1"/>
    <s v=""/>
    <x v="92"/>
    <s v="JS"/>
    <m/>
    <m/>
    <m/>
    <m/>
    <s v=""/>
    <m/>
    <x v="2"/>
    <s v=""/>
    <m/>
    <x v="1"/>
    <m/>
    <s v=""/>
    <s v=""/>
    <m/>
    <s v=""/>
    <m/>
    <m/>
    <m/>
    <s v="No terminology code required"/>
    <s v=""/>
    <m/>
    <s v=""/>
    <s v=""/>
    <s v=""/>
    <s v=""/>
    <s v=""/>
    <s v=""/>
    <m/>
    <m/>
    <m/>
    <x v="5"/>
    <s v=""/>
    <x v="6"/>
    <x v="93"/>
    <n v="1"/>
    <n v="1"/>
    <n v="1"/>
    <n v="1"/>
    <n v="1"/>
    <n v="0"/>
    <n v="0"/>
  </r>
  <r>
    <n v="2166"/>
    <s v="       Performed"/>
    <n v="2166"/>
    <e v="#NAME?"/>
    <s v="Performed"/>
    <x v="1"/>
    <n v="16"/>
    <s v="Test status "/>
    <m/>
    <m/>
    <s v="ST.2 Consultation"/>
    <x v="17"/>
    <m/>
    <s v="2.14 Diagnose"/>
    <s v="ST.DE.135"/>
    <m/>
    <m/>
    <m/>
    <s v="The test was performed and any specimens needed were collected, but have not been submitted for analysis and results are not yet available. "/>
    <m/>
    <m/>
    <s v="Performed"/>
    <m/>
    <s v="No"/>
    <m/>
    <s v="Yes"/>
    <m/>
    <m/>
    <m/>
    <m/>
    <m/>
    <m/>
    <m/>
    <m/>
    <m/>
    <s v=""/>
    <x v="3"/>
    <x v="0"/>
    <m/>
    <m/>
    <s v=""/>
    <x v="2"/>
    <s v="JS"/>
    <m/>
    <m/>
    <m/>
    <m/>
    <s v=""/>
    <m/>
    <x v="2"/>
    <e v="#NAME?"/>
    <m/>
    <x v="1"/>
    <s v="http://hl7.org/fhir/observation-status"/>
    <s v="final"/>
    <s v=""/>
    <m/>
    <s v=""/>
    <m/>
    <m/>
    <m/>
    <m/>
    <s v=""/>
    <m/>
    <s v=""/>
    <s v=""/>
    <s v=""/>
    <s v=""/>
    <s v=""/>
    <s v=""/>
    <m/>
    <m/>
    <m/>
    <x v="2"/>
    <n v="0"/>
    <x v="2"/>
    <x v="93"/>
    <n v="1"/>
    <s v=""/>
    <n v="1"/>
    <n v="1"/>
    <n v="1"/>
    <n v="0"/>
    <n v="0"/>
  </r>
  <r>
    <n v="2167"/>
    <s v="       Ordered"/>
    <n v="2167"/>
    <e v="#NAME?"/>
    <s v="Ordered"/>
    <x v="1"/>
    <n v="14"/>
    <s v="Test status "/>
    <m/>
    <m/>
    <s v="ST.2 Consultation"/>
    <x v="17"/>
    <m/>
    <s v="2.14 Diagnose"/>
    <s v="ST.DE.137"/>
    <m/>
    <m/>
    <m/>
    <s v="A sample was submitted for analysis, awaiting test results."/>
    <m/>
    <m/>
    <s v="Ordered"/>
    <m/>
    <s v="No"/>
    <m/>
    <s v="Yes"/>
    <m/>
    <m/>
    <m/>
    <m/>
    <m/>
    <m/>
    <m/>
    <m/>
    <m/>
    <s v=""/>
    <x v="3"/>
    <x v="0"/>
    <m/>
    <m/>
    <s v=""/>
    <x v="2"/>
    <s v="JS"/>
    <m/>
    <m/>
    <m/>
    <m/>
    <s v=""/>
    <m/>
    <x v="2"/>
    <e v="#NAME?"/>
    <m/>
    <x v="1"/>
    <s v="http://hl7.org/fhir/observation-status"/>
    <s v="registered"/>
    <s v=""/>
    <m/>
    <s v=""/>
    <m/>
    <m/>
    <m/>
    <m/>
    <s v=""/>
    <m/>
    <s v=""/>
    <s v=""/>
    <s v=""/>
    <s v=""/>
    <s v=""/>
    <s v=""/>
    <m/>
    <m/>
    <m/>
    <x v="2"/>
    <n v="0"/>
    <x v="2"/>
    <x v="93"/>
    <n v="1"/>
    <s v=""/>
    <n v="1"/>
    <n v="1"/>
    <n v="1"/>
    <n v="0"/>
    <n v="0"/>
  </r>
  <r>
    <n v="2168"/>
    <s v="       Completed"/>
    <n v="2168"/>
    <e v="#NAME?"/>
    <s v="Completed"/>
    <x v="1"/>
    <n v="16"/>
    <s v="Test status "/>
    <m/>
    <m/>
    <s v="ST.2 Consultation"/>
    <x v="17"/>
    <m/>
    <s v="2.14 Diagnose"/>
    <s v="ST.DE.434"/>
    <m/>
    <m/>
    <m/>
    <s v="Results from the test are available."/>
    <m/>
    <m/>
    <s v="Completed"/>
    <m/>
    <m/>
    <m/>
    <m/>
    <m/>
    <m/>
    <m/>
    <m/>
    <m/>
    <m/>
    <m/>
    <m/>
    <m/>
    <s v=""/>
    <x v="3"/>
    <x v="0"/>
    <m/>
    <m/>
    <s v=""/>
    <x v="2"/>
    <s v="JS"/>
    <m/>
    <m/>
    <m/>
    <m/>
    <s v=""/>
    <m/>
    <x v="2"/>
    <e v="#NAME?"/>
    <m/>
    <x v="1"/>
    <s v="http://hl7.org/fhir/observation-status"/>
    <s v="final"/>
    <s v="dont you want result?"/>
    <m/>
    <s v=""/>
    <m/>
    <m/>
    <m/>
    <m/>
    <s v=""/>
    <m/>
    <s v=""/>
    <s v=""/>
    <s v=""/>
    <s v=""/>
    <s v=""/>
    <s v=""/>
    <m/>
    <m/>
    <m/>
    <x v="2"/>
    <n v="0"/>
    <x v="2"/>
    <x v="93"/>
    <n v="1"/>
    <s v=""/>
    <n v="1"/>
    <n v="1"/>
    <n v="1"/>
    <n v="0"/>
    <n v="0"/>
  </r>
  <r>
    <n v="2169"/>
    <s v="Stage of Syphilis condition"/>
    <n v="2169"/>
    <s v="Stage of condition"/>
    <s v="Stage of condition"/>
    <x v="0"/>
    <n v="27"/>
    <s v=""/>
    <m/>
    <m/>
    <s v="ST.2 Consultation"/>
    <x v="18"/>
    <m/>
    <s v="2.14 Diagnose"/>
    <s v="ST.DE.259"/>
    <m/>
    <s v="Stage of condition"/>
    <m/>
    <m/>
    <s v="Coding"/>
    <s v="Select one"/>
    <m/>
    <m/>
    <s v="No"/>
    <m/>
    <s v="Yes"/>
    <s v="C"/>
    <m/>
    <m/>
    <s v="STI.IND.01"/>
    <m/>
    <s v="DL Treatment Recs"/>
    <m/>
    <m/>
    <m/>
    <s v=""/>
    <x v="17"/>
    <x v="2"/>
    <s v="FHIR"/>
    <s v="4.0.1"/>
    <s v=""/>
    <x v="97"/>
    <s v="JA"/>
    <m/>
    <m/>
    <m/>
    <m/>
    <s v=""/>
    <m/>
    <x v="2"/>
    <s v="&quot;Stage of condition&quot;-&gt;&quot;Stage of Syphilis condition&quot;"/>
    <m/>
    <x v="1"/>
    <s v="http://who.int/cg/CodeSystem/extended-content"/>
    <s v="Syphilis Stage"/>
    <s v="syphilis( they may want to consider extending this to a larger codes et for unspecified; though this is the right code for that)"/>
    <m/>
    <s v=""/>
    <m/>
    <m/>
    <m/>
    <s v="No SNOMED code available"/>
    <s v=""/>
    <m/>
    <s v="may want to do primary (A51.0); secondary (A51.49), neurosyphilis (A52.3), latent (A53.0).. code sets are different"/>
    <s v=""/>
    <s v=""/>
    <s v=""/>
    <s v=""/>
    <s v=""/>
    <m/>
    <m/>
    <m/>
    <x v="5"/>
    <s v=""/>
    <x v="6"/>
    <x v="98"/>
    <n v="1"/>
    <n v="1"/>
    <n v="1"/>
    <n v="1"/>
    <n v="1"/>
    <n v="0"/>
    <n v="0"/>
  </r>
  <r>
    <n v="2170"/>
    <s v="       early"/>
    <n v="2170"/>
    <e v="#NAME?"/>
    <s v="early"/>
    <x v="1"/>
    <n v="12"/>
    <s v="Stage of Syphilis condition"/>
    <m/>
    <m/>
    <s v="ST.2 Consultation"/>
    <x v="18"/>
    <m/>
    <s v="2.14 Diagnose"/>
    <s v="ST.DE.139"/>
    <m/>
    <m/>
    <m/>
    <m/>
    <m/>
    <m/>
    <s v="early"/>
    <m/>
    <s v="No"/>
    <m/>
    <s v="Yes"/>
    <s v="C"/>
    <s v="Include if Diagnosis = Syphilus"/>
    <s v="Treatment recommendations are different based on the stage"/>
    <s v="STI.IND.01"/>
    <m/>
    <s v="DL Treatment Recs"/>
    <m/>
    <m/>
    <m/>
    <s v=""/>
    <x v="3"/>
    <x v="1"/>
    <m/>
    <s v=""/>
    <s v=""/>
    <x v="2"/>
    <s v="JS"/>
    <m/>
    <m/>
    <m/>
    <m/>
    <s v=""/>
    <m/>
    <x v="2"/>
    <e v="#NAME?"/>
    <m/>
    <x v="1"/>
    <m/>
    <s v=""/>
    <s v="x"/>
    <s v="A51.9"/>
    <s v=""/>
    <m/>
    <m/>
    <m/>
    <s v=""/>
    <s v=""/>
    <m/>
    <s v=""/>
    <s v=""/>
    <s v=""/>
    <s v=""/>
    <s v=""/>
    <s v=""/>
    <m/>
    <m/>
    <m/>
    <x v="2"/>
    <n v="0"/>
    <x v="2"/>
    <x v="98"/>
    <n v="1"/>
    <s v=""/>
    <n v="1"/>
    <n v="1"/>
    <n v="1"/>
    <n v="0"/>
    <n v="0"/>
  </r>
  <r>
    <n v="2171"/>
    <s v="       late"/>
    <n v="2171"/>
    <e v="#NAME?"/>
    <s v="late"/>
    <x v="1"/>
    <n v="11"/>
    <s v="Stage of Syphilis condition"/>
    <m/>
    <m/>
    <s v="ST.2 Consultation"/>
    <x v="18"/>
    <m/>
    <s v="2.14 Diagnose"/>
    <s v="ST.DE.140"/>
    <m/>
    <m/>
    <m/>
    <m/>
    <m/>
    <m/>
    <s v="late"/>
    <m/>
    <s v="No"/>
    <m/>
    <s v="Yes"/>
    <s v="C"/>
    <s v="Include if Diagnosis = Syphilus"/>
    <s v="Treatment recommendations are different based on the stage"/>
    <s v="STI.IND.01"/>
    <m/>
    <s v="DL Treatment Recs"/>
    <m/>
    <m/>
    <m/>
    <s v=""/>
    <x v="3"/>
    <x v="1"/>
    <m/>
    <s v=""/>
    <s v=""/>
    <x v="2"/>
    <s v="JS"/>
    <m/>
    <m/>
    <m/>
    <m/>
    <s v=""/>
    <m/>
    <x v="2"/>
    <e v="#NAME?"/>
    <m/>
    <x v="1"/>
    <m/>
    <s v=""/>
    <s v="x"/>
    <s v="A52.9"/>
    <s v=""/>
    <m/>
    <m/>
    <m/>
    <s v=""/>
    <s v=""/>
    <m/>
    <s v=""/>
    <s v=""/>
    <s v=""/>
    <s v=""/>
    <s v=""/>
    <s v=""/>
    <m/>
    <m/>
    <m/>
    <x v="2"/>
    <n v="0"/>
    <x v="2"/>
    <x v="98"/>
    <n v="1"/>
    <s v=""/>
    <n v="1"/>
    <n v="1"/>
    <n v="1"/>
    <n v="0"/>
    <n v="0"/>
  </r>
  <r>
    <n v="2172"/>
    <s v="       unknown "/>
    <n v="2172"/>
    <e v="#NAME?"/>
    <s v="unknown "/>
    <x v="1"/>
    <n v="15"/>
    <s v="Stage of Syphilis condition"/>
    <m/>
    <m/>
    <s v="ST.2 Consultation"/>
    <x v="18"/>
    <m/>
    <s v="2.14 Diagnose"/>
    <s v="ST.DE.141"/>
    <m/>
    <m/>
    <m/>
    <m/>
    <m/>
    <m/>
    <s v="unknown "/>
    <m/>
    <s v="No"/>
    <m/>
    <s v="Yes"/>
    <s v="C"/>
    <s v="Include if Diagnosis = Syphilus"/>
    <s v="Treatment recommendations are different based on the stage"/>
    <s v="STI.IND.01"/>
    <m/>
    <s v="DL Treatment Recs"/>
    <m/>
    <m/>
    <m/>
    <s v=""/>
    <x v="3"/>
    <x v="1"/>
    <m/>
    <s v=""/>
    <s v=""/>
    <x v="2"/>
    <s v="JS"/>
    <m/>
    <m/>
    <m/>
    <m/>
    <s v=""/>
    <m/>
    <x v="2"/>
    <e v="#NAME?"/>
    <m/>
    <x v="1"/>
    <m/>
    <s v=""/>
    <s v="x"/>
    <s v="A53.9"/>
    <s v=""/>
    <m/>
    <m/>
    <m/>
    <s v=""/>
    <s v=""/>
    <m/>
    <s v=""/>
    <s v=""/>
    <s v=""/>
    <s v=""/>
    <s v=""/>
    <s v=""/>
    <m/>
    <m/>
    <m/>
    <x v="2"/>
    <n v="0"/>
    <x v="2"/>
    <x v="98"/>
    <n v="1"/>
    <s v=""/>
    <n v="1"/>
    <n v="1"/>
    <n v="1"/>
    <n v="0"/>
    <n v="0"/>
  </r>
  <r>
    <n v="2174"/>
    <s v="        Partner management recommended"/>
    <n v="2174"/>
    <e v="#NAME?"/>
    <s v="Partner management recommended"/>
    <x v="1"/>
    <n v="38"/>
    <s v="STI Care Recommendation"/>
    <m/>
    <m/>
    <s v="ST.2 Consultation, ST.3. Service Provision"/>
    <x v="10"/>
    <m/>
    <s v="2.14 Diagnose, 3.3 Provide treatment"/>
    <s v="ST.DE.142, ST.DE.228"/>
    <m/>
    <s v="Partner management recommended"/>
    <m/>
    <s v="System generated if partner management is recommended based on diagnosis"/>
    <s v="Boolean"/>
    <m/>
    <s v="True/False "/>
    <m/>
    <s v="No"/>
    <m/>
    <s v="Yes"/>
    <s v="O"/>
    <m/>
    <m/>
    <m/>
    <m/>
    <s v="DL "/>
    <m/>
    <m/>
    <m/>
    <s v=""/>
    <x v="3"/>
    <x v="0"/>
    <m/>
    <m/>
    <m/>
    <x v="2"/>
    <s v="JA"/>
    <m/>
    <m/>
    <m/>
    <m/>
    <s v=""/>
    <m/>
    <x v="2"/>
    <e v="#NAME?"/>
    <m/>
    <x v="1"/>
    <s v="http://who.int/cg/CodeSystem/extended-content"/>
    <s v="Partner management recommended"/>
    <s v=""/>
    <m/>
    <s v=""/>
    <m/>
    <m/>
    <m/>
    <s v="No LOINC code available"/>
    <s v=""/>
    <m/>
    <s v=""/>
    <s v=""/>
    <s v=""/>
    <s v=""/>
    <s v=""/>
    <s v=""/>
    <m/>
    <m/>
    <m/>
    <x v="2"/>
    <n v="0"/>
    <x v="2"/>
    <x v="83"/>
    <n v="1"/>
    <s v=""/>
    <n v="1"/>
    <n v="1"/>
    <n v="1"/>
    <n v="0"/>
    <n v="0"/>
  </r>
  <r>
    <n v="2175"/>
    <s v="Inguinal bubo "/>
    <n v="2175"/>
    <e v="#NAME?"/>
    <s v="Inguinal bubo "/>
    <x v="1"/>
    <n v="16"/>
    <s v="Diagnosis"/>
    <m/>
    <m/>
    <s v="ST.2 Consultation"/>
    <x v="18"/>
    <m/>
    <s v="2.14 Diagnose"/>
    <s v="ST.DE.241"/>
    <m/>
    <s v="Inguinal bubo "/>
    <m/>
    <m/>
    <m/>
    <m/>
    <m/>
    <m/>
    <s v="No"/>
    <m/>
    <s v="Yes"/>
    <m/>
    <m/>
    <m/>
    <m/>
    <m/>
    <m/>
    <m/>
    <m/>
    <m/>
    <s v=""/>
    <x v="3"/>
    <x v="0"/>
    <m/>
    <m/>
    <s v=""/>
    <x v="2"/>
    <s v="JS"/>
    <m/>
    <m/>
    <m/>
    <m/>
    <s v=""/>
    <m/>
    <x v="2"/>
    <e v="#NAME?"/>
    <m/>
    <x v="1"/>
    <m/>
    <s v=""/>
    <s v="x"/>
    <m/>
    <s v=""/>
    <s v="264037006"/>
    <m/>
    <m/>
    <s v=""/>
    <s v=""/>
    <m/>
    <s v=""/>
    <s v=""/>
    <s v=""/>
    <s v=""/>
    <s v=""/>
    <s v=""/>
    <m/>
    <m/>
    <m/>
    <x v="2"/>
    <n v="0"/>
    <x v="2"/>
    <x v="97"/>
    <n v="1"/>
    <s v=""/>
    <n v="1"/>
    <n v="1"/>
    <n v="1"/>
    <n v="0"/>
    <n v="0"/>
  </r>
  <r>
    <n v="2176"/>
    <s v="Femoral bubo"/>
    <n v="2176"/>
    <e v="#NAME?"/>
    <s v="Femoral bubo"/>
    <x v="1"/>
    <n v="16"/>
    <s v="Diagnosis"/>
    <m/>
    <m/>
    <s v="ST.2 Consultation"/>
    <x v="18"/>
    <m/>
    <s v="2.14 Diagnose"/>
    <s v="ST.DE.242"/>
    <m/>
    <s v="Femoral bubo"/>
    <m/>
    <m/>
    <m/>
    <m/>
    <m/>
    <m/>
    <s v="No"/>
    <m/>
    <s v="Yes"/>
    <s v="O"/>
    <m/>
    <m/>
    <m/>
    <m/>
    <m/>
    <m/>
    <m/>
    <m/>
    <s v=""/>
    <x v="3"/>
    <x v="0"/>
    <m/>
    <m/>
    <s v=""/>
    <x v="2"/>
    <s v="JS"/>
    <m/>
    <m/>
    <m/>
    <m/>
    <s v=""/>
    <m/>
    <x v="2"/>
    <e v="#NAME?"/>
    <m/>
    <x v="1"/>
    <m/>
    <s v=""/>
    <s v=""/>
    <m/>
    <s v=""/>
    <s v="11585000"/>
    <m/>
    <m/>
    <s v=""/>
    <s v=""/>
    <m/>
    <s v="medcin ; SNOMED non femoral_x000a_292858"/>
    <s v=""/>
    <s v=""/>
    <s v=""/>
    <s v=""/>
    <s v=""/>
    <m/>
    <m/>
    <m/>
    <x v="2"/>
    <n v="0"/>
    <x v="2"/>
    <x v="97"/>
    <n v="1"/>
    <s v=""/>
    <n v="1"/>
    <n v="1"/>
    <n v="1"/>
    <n v="0"/>
    <n v="0"/>
  </r>
  <r>
    <n v="2177"/>
    <s v="High prevalence"/>
    <n v="2177"/>
    <s v="High prevalence"/>
    <s v="High prevalence"/>
    <x v="0"/>
    <n v="15"/>
    <s v=""/>
    <m/>
    <m/>
    <s v="ST.2 Consultation"/>
    <x v="18"/>
    <m/>
    <s v="2.14 Diagnose"/>
    <s v="ST.DE.233"/>
    <m/>
    <s v="High prevalence"/>
    <m/>
    <m/>
    <m/>
    <m/>
    <m/>
    <m/>
    <s v="No"/>
    <m/>
    <s v="No"/>
    <s v="O"/>
    <m/>
    <m/>
    <m/>
    <m/>
    <m/>
    <m/>
    <m/>
    <m/>
    <s v=""/>
    <x v="3"/>
    <x v="1"/>
    <m/>
    <s v=""/>
    <s v=""/>
    <x v="2"/>
    <s v="NA"/>
    <m/>
    <m/>
    <m/>
    <m/>
    <s v=""/>
    <m/>
    <x v="2"/>
    <s v=""/>
    <m/>
    <x v="2"/>
    <s v="http://who.int/cg/CodeSystem/extended-content"/>
    <s v="High prevalence"/>
    <s v=""/>
    <m/>
    <s v=""/>
    <m/>
    <m/>
    <m/>
    <s v="No LOINC code available"/>
    <s v=""/>
    <m/>
    <s v="Underspecified. Not sure what &quot;High prevalance&quot; is referring to."/>
    <s v="95"/>
    <s v=""/>
    <s v=""/>
    <s v=""/>
    <s v=""/>
    <m/>
    <m/>
    <m/>
    <x v="2"/>
    <s v=""/>
    <x v="3"/>
    <x v="12"/>
    <n v="1"/>
    <n v="0"/>
    <n v="0"/>
    <n v="0"/>
    <n v="1"/>
    <n v="1"/>
    <n v="0"/>
  </r>
  <r>
    <n v="2178"/>
    <s v="Recent syphilis treatment "/>
    <n v="2178"/>
    <s v="Recent syphilis treatment "/>
    <s v="Recent syphilis treatment "/>
    <x v="0"/>
    <n v="26"/>
    <s v=""/>
    <m/>
    <m/>
    <s v="ST.2 Consultation"/>
    <x v="18"/>
    <m/>
    <s v="2.14 Diagnose"/>
    <s v="ST.DE.234"/>
    <m/>
    <s v="Recent syphilis treatment "/>
    <m/>
    <m/>
    <m/>
    <m/>
    <m/>
    <m/>
    <s v="No"/>
    <m/>
    <s v="Yes"/>
    <s v="O"/>
    <m/>
    <m/>
    <m/>
    <m/>
    <m/>
    <m/>
    <m/>
    <m/>
    <s v=""/>
    <x v="17"/>
    <x v="2"/>
    <s v="FHIR"/>
    <s v="4.0.1"/>
    <s v=""/>
    <x v="98"/>
    <s v="JS"/>
    <m/>
    <m/>
    <m/>
    <m/>
    <s v=""/>
    <m/>
    <x v="2"/>
    <s v=""/>
    <m/>
    <x v="1"/>
    <m/>
    <s v=""/>
    <s v=""/>
    <m/>
    <s v=""/>
    <m/>
    <s v="75197-4"/>
    <m/>
    <s v=""/>
    <s v=""/>
    <m/>
    <s v=""/>
    <s v=""/>
    <s v=""/>
    <s v=""/>
    <s v=""/>
    <s v=""/>
    <m/>
    <m/>
    <m/>
    <x v="5"/>
    <s v=""/>
    <x v="6"/>
    <x v="99"/>
    <n v="1"/>
    <n v="0"/>
    <n v="1"/>
    <n v="1"/>
    <n v="1"/>
    <n v="0"/>
    <n v="0"/>
  </r>
  <r>
    <n v="2179"/>
    <s v="STI Treatment recommendation"/>
    <n v="2179"/>
    <s v="Treatment recommendation"/>
    <s v="Treatment recommendation"/>
    <x v="0"/>
    <n v="28"/>
    <s v=""/>
    <m/>
    <m/>
    <s v="ST.3. Service Provision"/>
    <x v="18"/>
    <m/>
    <s v="3.3 Provide treatment"/>
    <s v="ST.DE.052"/>
    <m/>
    <s v="Treatment recommendation"/>
    <m/>
    <m/>
    <s v="Coding"/>
    <s v="Select all that apply"/>
    <m/>
    <m/>
    <m/>
    <m/>
    <m/>
    <m/>
    <m/>
    <m/>
    <s v="STI.IND.06"/>
    <m/>
    <m/>
    <s v="DL Treatment Recs"/>
    <m/>
    <m/>
    <s v=""/>
    <x v="59"/>
    <x v="2"/>
    <s v="FHIR"/>
    <s v="4.0.1"/>
    <s v=" "/>
    <x v="82"/>
    <s v="JS"/>
    <m/>
    <s v="Extensible"/>
    <m/>
    <m/>
    <s v=""/>
    <m/>
    <x v="2"/>
    <s v="&quot;Treatment recommendation&quot;-&gt;&quot;STI Treatment recommendation&quot;"/>
    <m/>
    <x v="1"/>
    <m/>
    <s v=""/>
    <s v="this is unclear to me"/>
    <m/>
    <s v=""/>
    <m/>
    <m/>
    <m/>
    <s v="No terminology code required"/>
    <s v=""/>
    <m/>
    <s v=""/>
    <s v="70"/>
    <s v=""/>
    <s v=""/>
    <s v=""/>
    <s v=""/>
    <m/>
    <m/>
    <m/>
    <x v="9"/>
    <s v=""/>
    <x v="10"/>
    <x v="83"/>
    <n v="1"/>
    <n v="1"/>
    <n v="1"/>
    <n v="1"/>
    <n v="1"/>
    <n v="0"/>
    <n v="0"/>
  </r>
  <r>
    <n v="2180"/>
    <s v="       Chlamydia"/>
    <n v="2180"/>
    <e v="#NAME?"/>
    <s v="Chlamydia"/>
    <x v="1"/>
    <n v="16"/>
    <s v="STI Treatment recommendation"/>
    <m/>
    <m/>
    <s v="ST.3. Service Provision"/>
    <x v="18"/>
    <m/>
    <s v="3.3 Provide treatment"/>
    <s v="ST.DE.245"/>
    <m/>
    <m/>
    <m/>
    <m/>
    <m/>
    <m/>
    <s v="Chlamydia"/>
    <m/>
    <s v="No"/>
    <m/>
    <s v="Yes"/>
    <s v="O"/>
    <m/>
    <m/>
    <s v="STI.IND.01"/>
    <m/>
    <m/>
    <m/>
    <m/>
    <m/>
    <s v=""/>
    <x v="3"/>
    <x v="0"/>
    <m/>
    <m/>
    <s v=""/>
    <x v="2"/>
    <s v="JS"/>
    <m/>
    <m/>
    <m/>
    <m/>
    <s v=""/>
    <m/>
    <x v="2"/>
    <e v="#NAME?"/>
    <m/>
    <x v="1"/>
    <m/>
    <s v=""/>
    <s v="see above"/>
    <m/>
    <s v=""/>
    <s v="16241000"/>
    <m/>
    <m/>
    <s v=""/>
    <s v=""/>
    <m/>
    <s v=""/>
    <s v=""/>
    <s v=""/>
    <s v=""/>
    <s v=""/>
    <s v=""/>
    <m/>
    <m/>
    <m/>
    <x v="2"/>
    <n v="0"/>
    <x v="2"/>
    <x v="83"/>
    <n v="1"/>
    <s v=""/>
    <n v="1"/>
    <n v="1"/>
    <n v="1"/>
    <n v="0"/>
    <n v="0"/>
  </r>
  <r>
    <n v="2181"/>
    <s v="       Syphilis"/>
    <n v="2181"/>
    <e v="#NAME?"/>
    <s v="Syphilis"/>
    <x v="1"/>
    <n v="15"/>
    <s v="STI Treatment recommendation"/>
    <m/>
    <m/>
    <s v="ST.3. Service Provision"/>
    <x v="18"/>
    <m/>
    <s v="3.3 Provide treatment"/>
    <s v="ST.DE.237"/>
    <m/>
    <m/>
    <m/>
    <m/>
    <m/>
    <m/>
    <s v="Syphilis"/>
    <m/>
    <s v="No"/>
    <m/>
    <s v="Yes"/>
    <s v="O"/>
    <m/>
    <m/>
    <s v="STI.IND.01"/>
    <m/>
    <m/>
    <m/>
    <m/>
    <m/>
    <s v=""/>
    <x v="3"/>
    <x v="0"/>
    <m/>
    <m/>
    <s v=""/>
    <x v="2"/>
    <s v="JS"/>
    <m/>
    <m/>
    <m/>
    <m/>
    <s v=""/>
    <m/>
    <x v="2"/>
    <e v="#NAME?"/>
    <m/>
    <x v="1"/>
    <m/>
    <s v=""/>
    <s v="see above"/>
    <m/>
    <s v=""/>
    <s v="76272004"/>
    <m/>
    <m/>
    <s v=""/>
    <s v=""/>
    <m/>
    <s v=""/>
    <s v=""/>
    <s v=""/>
    <s v=""/>
    <s v=""/>
    <s v=""/>
    <m/>
    <m/>
    <m/>
    <x v="2"/>
    <n v="0"/>
    <x v="2"/>
    <x v="83"/>
    <n v="1"/>
    <s v=""/>
    <n v="1"/>
    <n v="1"/>
    <n v="1"/>
    <n v="0"/>
    <n v="0"/>
  </r>
  <r>
    <n v="2182"/>
    <s v="       Herpes simplex virus"/>
    <n v="2182"/>
    <e v="#NAME?"/>
    <s v="Herpes simplex virus"/>
    <x v="1"/>
    <n v="27"/>
    <s v="STI Treatment recommendation"/>
    <m/>
    <m/>
    <s v="ST.3. Service Provision"/>
    <x v="18"/>
    <m/>
    <s v="3.3 Provide treatment"/>
    <s v="ST.DE.251"/>
    <m/>
    <m/>
    <s v="HSV"/>
    <m/>
    <m/>
    <m/>
    <s v="Herpes simplex virus"/>
    <m/>
    <s v="No"/>
    <m/>
    <s v="Yes"/>
    <s v="O"/>
    <m/>
    <m/>
    <s v="STI.IND.01"/>
    <m/>
    <m/>
    <m/>
    <m/>
    <m/>
    <s v=""/>
    <x v="3"/>
    <x v="0"/>
    <m/>
    <m/>
    <s v=""/>
    <x v="2"/>
    <s v="JS"/>
    <m/>
    <m/>
    <m/>
    <m/>
    <s v=""/>
    <m/>
    <x v="2"/>
    <e v="#NAME?"/>
    <m/>
    <x v="1"/>
    <m/>
    <s v=""/>
    <s v="x"/>
    <m/>
    <s v=""/>
    <s v="19965007"/>
    <m/>
    <m/>
    <s v=""/>
    <s v=""/>
    <m/>
    <s v=""/>
    <s v=""/>
    <s v=""/>
    <s v=""/>
    <s v=""/>
    <s v=""/>
    <m/>
    <m/>
    <m/>
    <x v="2"/>
    <n v="0"/>
    <x v="2"/>
    <x v="83"/>
    <n v="1"/>
    <s v=""/>
    <n v="1"/>
    <n v="1"/>
    <n v="1"/>
    <n v="0"/>
    <n v="0"/>
  </r>
  <r>
    <n v="2183"/>
    <s v="       Herpes simplex virus type 2"/>
    <n v="2183"/>
    <e v="#NAME?"/>
    <s v="Herpes simplex virus type 2"/>
    <x v="1"/>
    <n v="34"/>
    <s v="STI Treatment recommendation"/>
    <m/>
    <m/>
    <s v="ST.3. Service Provision"/>
    <x v="18"/>
    <m/>
    <s v="3.3 Provide treatment"/>
    <s v="ST.DE.236"/>
    <m/>
    <m/>
    <m/>
    <m/>
    <m/>
    <m/>
    <s v="Herpes simplex virus type 2"/>
    <m/>
    <m/>
    <m/>
    <s v="Yes"/>
    <s v="O"/>
    <m/>
    <m/>
    <m/>
    <m/>
    <m/>
    <m/>
    <m/>
    <m/>
    <s v=""/>
    <x v="3"/>
    <x v="0"/>
    <m/>
    <m/>
    <s v=""/>
    <x v="2"/>
    <s v="JS"/>
    <m/>
    <m/>
    <m/>
    <m/>
    <s v=""/>
    <m/>
    <x v="2"/>
    <e v="#NAME?"/>
    <m/>
    <x v="1"/>
    <m/>
    <s v=""/>
    <s v="x"/>
    <m/>
    <s v=""/>
    <s v="13687007"/>
    <m/>
    <m/>
    <s v=""/>
    <s v=""/>
    <m/>
    <s v=""/>
    <s v=""/>
    <s v=""/>
    <s v=""/>
    <s v=""/>
    <s v=""/>
    <m/>
    <m/>
    <m/>
    <x v="2"/>
    <n v="0"/>
    <x v="2"/>
    <x v="83"/>
    <n v="1"/>
    <s v=""/>
    <n v="1"/>
    <n v="1"/>
    <n v="1"/>
    <n v="0"/>
    <n v="0"/>
  </r>
  <r>
    <n v="2184"/>
    <s v="       Gonorrhea"/>
    <n v="2184"/>
    <e v="#NAME?"/>
    <s v="Gonorrhea"/>
    <x v="1"/>
    <n v="16"/>
    <s v="STI Treatment recommendation"/>
    <m/>
    <m/>
    <s v="ST.3. Service Provision"/>
    <x v="18"/>
    <m/>
    <s v="3.3 Provide treatment"/>
    <s v="ST.DE.247"/>
    <m/>
    <m/>
    <m/>
    <m/>
    <m/>
    <m/>
    <s v="Gonorrhea"/>
    <m/>
    <s v="No"/>
    <m/>
    <s v="Yes"/>
    <s v="O"/>
    <m/>
    <m/>
    <s v="STI.IND.01"/>
    <m/>
    <m/>
    <m/>
    <m/>
    <m/>
    <s v=""/>
    <x v="3"/>
    <x v="0"/>
    <m/>
    <m/>
    <s v=""/>
    <x v="2"/>
    <s v="JS"/>
    <m/>
    <m/>
    <m/>
    <m/>
    <s v=""/>
    <m/>
    <x v="2"/>
    <e v="#NAME?"/>
    <m/>
    <x v="1"/>
    <m/>
    <s v=""/>
    <s v="see above"/>
    <m/>
    <s v=""/>
    <s v="15628003"/>
    <m/>
    <m/>
    <s v=""/>
    <s v=""/>
    <m/>
    <s v=""/>
    <s v=""/>
    <s v=""/>
    <s v=""/>
    <s v=""/>
    <s v=""/>
    <m/>
    <m/>
    <m/>
    <x v="2"/>
    <n v="0"/>
    <x v="2"/>
    <x v="83"/>
    <n v="1"/>
    <s v=""/>
    <n v="1"/>
    <n v="1"/>
    <n v="1"/>
    <n v="0"/>
    <n v="0"/>
  </r>
  <r>
    <n v="2185"/>
    <s v="       Gonococcal "/>
    <n v="2185"/>
    <e v="#NAME?"/>
    <s v="Gonococcal "/>
    <x v="1"/>
    <n v="18"/>
    <s v="STI Treatment recommendation"/>
    <m/>
    <m/>
    <s v="ST.3. Service Provision"/>
    <x v="18"/>
    <m/>
    <s v="3.3 Provide treatment"/>
    <s v="ST.DE.353"/>
    <m/>
    <m/>
    <m/>
    <m/>
    <m/>
    <m/>
    <s v="Gonococcal "/>
    <m/>
    <s v="No"/>
    <m/>
    <s v="Yes"/>
    <s v="O"/>
    <m/>
    <m/>
    <m/>
    <m/>
    <m/>
    <m/>
    <m/>
    <m/>
    <s v=""/>
    <x v="3"/>
    <x v="0"/>
    <m/>
    <m/>
    <s v=""/>
    <x v="2"/>
    <s v="JS"/>
    <m/>
    <m/>
    <m/>
    <m/>
    <s v=""/>
    <m/>
    <x v="2"/>
    <e v="#NAME?"/>
    <m/>
    <x v="1"/>
    <m/>
    <s v=""/>
    <s v="see above"/>
    <m/>
    <s v=""/>
    <s v="68704007"/>
    <m/>
    <m/>
    <s v=""/>
    <s v=""/>
    <m/>
    <s v=""/>
    <s v=""/>
    <s v=""/>
    <s v=""/>
    <s v=""/>
    <s v=""/>
    <m/>
    <m/>
    <m/>
    <x v="2"/>
    <n v="0"/>
    <x v="2"/>
    <x v="83"/>
    <n v="1"/>
    <s v=""/>
    <n v="1"/>
    <n v="1"/>
    <n v="1"/>
    <n v="0"/>
    <n v="0"/>
  </r>
  <r>
    <n v="2186"/>
    <s v="       Candida albicans"/>
    <n v="2186"/>
    <e v="#NAME?"/>
    <s v="Candida albicans"/>
    <x v="1"/>
    <n v="23"/>
    <s v="STI Treatment recommendation"/>
    <m/>
    <m/>
    <s v="ST.3. Service Provision"/>
    <x v="18"/>
    <m/>
    <s v="3.3 Provide treatment"/>
    <s v="ST.DE.354"/>
    <m/>
    <m/>
    <m/>
    <m/>
    <m/>
    <m/>
    <s v="Candida albicans"/>
    <m/>
    <s v="No"/>
    <m/>
    <s v="Yes"/>
    <s v="O"/>
    <m/>
    <m/>
    <m/>
    <m/>
    <m/>
    <m/>
    <m/>
    <m/>
    <s v=""/>
    <x v="3"/>
    <x v="0"/>
    <m/>
    <m/>
    <s v=""/>
    <x v="2"/>
    <s v="JS"/>
    <m/>
    <m/>
    <m/>
    <m/>
    <s v=""/>
    <m/>
    <x v="2"/>
    <e v="#NAME?"/>
    <m/>
    <x v="1"/>
    <m/>
    <s v=""/>
    <s v="x"/>
    <m/>
    <s v=""/>
    <s v="53326005"/>
    <m/>
    <m/>
    <s v=""/>
    <s v=""/>
    <m/>
    <s v=""/>
    <s v=""/>
    <s v=""/>
    <s v=""/>
    <s v=""/>
    <s v=""/>
    <m/>
    <m/>
    <m/>
    <x v="2"/>
    <n v="0"/>
    <x v="2"/>
    <x v="83"/>
    <n v="1"/>
    <s v=""/>
    <n v="1"/>
    <n v="1"/>
    <n v="1"/>
    <n v="0"/>
    <n v="0"/>
  </r>
  <r>
    <n v="2187"/>
    <s v="       Bacterial vaginosis"/>
    <n v="2187"/>
    <e v="#NAME?"/>
    <s v="Bacterial vaginosis"/>
    <x v="1"/>
    <n v="26"/>
    <s v="STI Treatment recommendation"/>
    <m/>
    <m/>
    <s v="ST.3. Service Provision"/>
    <x v="18"/>
    <m/>
    <s v="3.3 Provide treatment"/>
    <s v="ST.DE.355"/>
    <m/>
    <m/>
    <m/>
    <m/>
    <m/>
    <m/>
    <s v="Bacterial vaginosis"/>
    <m/>
    <s v="No"/>
    <m/>
    <s v="Yes"/>
    <s v="O"/>
    <m/>
    <m/>
    <m/>
    <m/>
    <m/>
    <m/>
    <m/>
    <m/>
    <s v=""/>
    <x v="3"/>
    <x v="0"/>
    <m/>
    <m/>
    <s v=""/>
    <x v="2"/>
    <s v="JS"/>
    <m/>
    <m/>
    <m/>
    <m/>
    <s v=""/>
    <m/>
    <x v="2"/>
    <e v="#NAME?"/>
    <m/>
    <x v="1"/>
    <m/>
    <s v=""/>
    <s v="see above"/>
    <m/>
    <s v=""/>
    <s v="419760006"/>
    <m/>
    <m/>
    <s v=""/>
    <s v=""/>
    <m/>
    <s v=""/>
    <s v=""/>
    <s v=""/>
    <s v=""/>
    <s v=""/>
    <s v=""/>
    <m/>
    <m/>
    <m/>
    <x v="2"/>
    <n v="0"/>
    <x v="2"/>
    <x v="83"/>
    <n v="1"/>
    <s v=""/>
    <n v="1"/>
    <n v="1"/>
    <n v="1"/>
    <n v="0"/>
    <n v="0"/>
  </r>
  <r>
    <n v="2188"/>
    <s v="       Trichomoniasis"/>
    <n v="2188"/>
    <e v="#NAME?"/>
    <s v="Trichomoniasis"/>
    <x v="1"/>
    <n v="21"/>
    <s v="STI Treatment recommendation"/>
    <m/>
    <m/>
    <s v="ST.3. Service Provision"/>
    <x v="18"/>
    <m/>
    <s v="3.3 Provide treatment"/>
    <s v="ST.DE.356"/>
    <m/>
    <m/>
    <m/>
    <m/>
    <m/>
    <m/>
    <s v="Trichomoniasis"/>
    <m/>
    <s v="No"/>
    <m/>
    <s v="Yes"/>
    <s v="O"/>
    <m/>
    <m/>
    <m/>
    <m/>
    <m/>
    <m/>
    <m/>
    <m/>
    <s v=""/>
    <x v="3"/>
    <x v="0"/>
    <m/>
    <m/>
    <s v=""/>
    <x v="2"/>
    <s v="JS"/>
    <m/>
    <m/>
    <m/>
    <m/>
    <s v=""/>
    <m/>
    <x v="2"/>
    <e v="#NAME?"/>
    <m/>
    <x v="1"/>
    <m/>
    <s v=""/>
    <s v="see above"/>
    <m/>
    <s v=""/>
    <s v="56335008"/>
    <m/>
    <m/>
    <s v=""/>
    <s v=""/>
    <m/>
    <s v=""/>
    <s v=""/>
    <s v=""/>
    <s v=""/>
    <s v=""/>
    <s v=""/>
    <m/>
    <m/>
    <m/>
    <x v="2"/>
    <n v="0"/>
    <x v="2"/>
    <x v="83"/>
    <n v="1"/>
    <s v=""/>
    <n v="1"/>
    <n v="1"/>
    <n v="1"/>
    <n v="0"/>
    <n v="0"/>
  </r>
  <r>
    <n v="2189"/>
    <s v="       Cervical infection"/>
    <n v="2189"/>
    <e v="#NAME?"/>
    <s v="Cervical infection"/>
    <x v="1"/>
    <n v="25"/>
    <s v="STI Treatment recommendation"/>
    <m/>
    <m/>
    <s v="ST.3. Service Provision"/>
    <x v="18"/>
    <m/>
    <s v="3.3 Provide treatment"/>
    <s v="ST.DE.261"/>
    <m/>
    <m/>
    <m/>
    <m/>
    <m/>
    <m/>
    <s v="Cervical infection"/>
    <m/>
    <s v="No"/>
    <m/>
    <s v="Yes"/>
    <s v="O"/>
    <m/>
    <m/>
    <m/>
    <m/>
    <m/>
    <m/>
    <m/>
    <m/>
    <s v=""/>
    <x v="3"/>
    <x v="0"/>
    <m/>
    <m/>
    <s v=""/>
    <x v="2"/>
    <s v="JS"/>
    <m/>
    <m/>
    <m/>
    <m/>
    <s v=""/>
    <m/>
    <x v="2"/>
    <e v="#NAME?"/>
    <m/>
    <x v="1"/>
    <m/>
    <s v=""/>
    <s v="see above"/>
    <m/>
    <s v=""/>
    <s v="447353001"/>
    <m/>
    <m/>
    <s v=""/>
    <s v=""/>
    <m/>
    <s v="Used infection of cervix by chlamydia, since this was only infection of cervix SNOMED term"/>
    <s v=""/>
    <s v=""/>
    <s v=""/>
    <s v=""/>
    <s v=""/>
    <m/>
    <m/>
    <m/>
    <x v="2"/>
    <n v="0"/>
    <x v="2"/>
    <x v="83"/>
    <n v="1"/>
    <s v=""/>
    <n v="1"/>
    <n v="1"/>
    <n v="1"/>
    <n v="0"/>
    <n v="0"/>
  </r>
  <r>
    <n v="2190"/>
    <s v="       Anaerobic infection"/>
    <n v="2190"/>
    <e v="#NAME?"/>
    <s v="Anaerobic infection"/>
    <x v="1"/>
    <n v="26"/>
    <s v="STI Treatment recommendation"/>
    <m/>
    <m/>
    <s v="ST.3. Service Provision"/>
    <x v="18"/>
    <m/>
    <s v="3.3 Provide treatment"/>
    <s v="ST.DE.357"/>
    <m/>
    <m/>
    <m/>
    <m/>
    <m/>
    <m/>
    <s v="Anaerobic infection"/>
    <m/>
    <s v="No"/>
    <m/>
    <s v="Yes"/>
    <s v="O"/>
    <m/>
    <m/>
    <m/>
    <m/>
    <m/>
    <m/>
    <m/>
    <m/>
    <s v=""/>
    <x v="3"/>
    <x v="0"/>
    <m/>
    <m/>
    <s v=""/>
    <x v="2"/>
    <s v="JS"/>
    <m/>
    <m/>
    <m/>
    <m/>
    <s v=""/>
    <m/>
    <x v="2"/>
    <e v="#NAME?"/>
    <m/>
    <x v="1"/>
    <m/>
    <s v=""/>
    <s v="see above"/>
    <m/>
    <s v=""/>
    <s v="423451008"/>
    <m/>
    <m/>
    <s v=""/>
    <s v=""/>
    <m/>
    <s v=""/>
    <s v=""/>
    <s v=""/>
    <s v=""/>
    <s v=""/>
    <s v=""/>
    <m/>
    <m/>
    <m/>
    <x v="2"/>
    <n v="0"/>
    <x v="2"/>
    <x v="83"/>
    <n v="1"/>
    <s v=""/>
    <n v="1"/>
    <n v="1"/>
    <n v="1"/>
    <n v="0"/>
    <n v="0"/>
  </r>
  <r>
    <n v="2191"/>
    <s v="       Chancroid"/>
    <n v="2191"/>
    <e v="#NAME?"/>
    <s v="Chancroid"/>
    <x v="1"/>
    <n v="16"/>
    <s v="STI Treatment recommendation"/>
    <m/>
    <m/>
    <s v="ST.3. Service Provision"/>
    <x v="18"/>
    <m/>
    <s v="3.3 Provide treatment"/>
    <s v="ST.DE.238"/>
    <m/>
    <m/>
    <m/>
    <m/>
    <m/>
    <m/>
    <s v="Chancroid"/>
    <m/>
    <m/>
    <m/>
    <s v="Yes"/>
    <s v="O"/>
    <m/>
    <m/>
    <m/>
    <m/>
    <m/>
    <m/>
    <m/>
    <m/>
    <s v=""/>
    <x v="3"/>
    <x v="0"/>
    <m/>
    <m/>
    <s v=""/>
    <x v="2"/>
    <s v="JS"/>
    <m/>
    <m/>
    <m/>
    <m/>
    <s v=""/>
    <m/>
    <x v="2"/>
    <e v="#NAME?"/>
    <m/>
    <x v="1"/>
    <m/>
    <s v=""/>
    <s v="x"/>
    <m/>
    <s v=""/>
    <s v="266143009"/>
    <m/>
    <m/>
    <s v=""/>
    <s v=""/>
    <m/>
    <s v=""/>
    <s v=""/>
    <s v=""/>
    <s v=""/>
    <s v=""/>
    <s v=""/>
    <m/>
    <m/>
    <m/>
    <x v="2"/>
    <n v="0"/>
    <x v="2"/>
    <x v="83"/>
    <n v="1"/>
    <s v=""/>
    <n v="1"/>
    <n v="1"/>
    <n v="1"/>
    <n v="0"/>
    <n v="0"/>
  </r>
  <r>
    <n v="2192"/>
    <s v="       Pelvic Inflammatory Disease (PID)"/>
    <n v="2192"/>
    <e v="#NAME?"/>
    <s v="Pelvic Inflammatory Disease (PID)"/>
    <x v="1"/>
    <n v="40"/>
    <s v="STI Treatment recommendation"/>
    <m/>
    <m/>
    <s v="ST.3. Service Provision"/>
    <x v="18"/>
    <m/>
    <s v="3.3 Provide treatment"/>
    <s v="ST.DE.358"/>
    <m/>
    <m/>
    <m/>
    <m/>
    <m/>
    <m/>
    <s v="Pelvic Inflammatory Disease (PID)"/>
    <m/>
    <s v="No"/>
    <m/>
    <s v="Yes"/>
    <s v="O"/>
    <m/>
    <m/>
    <m/>
    <m/>
    <m/>
    <m/>
    <m/>
    <m/>
    <s v=""/>
    <x v="3"/>
    <x v="0"/>
    <m/>
    <m/>
    <s v=""/>
    <x v="2"/>
    <s v="JS"/>
    <m/>
    <m/>
    <m/>
    <m/>
    <s v=""/>
    <m/>
    <x v="2"/>
    <e v="#NAME?"/>
    <m/>
    <x v="0"/>
    <m/>
    <s v=""/>
    <s v=""/>
    <m/>
    <s v=""/>
    <s v="198130006"/>
    <m/>
    <m/>
    <s v=""/>
    <s v=""/>
    <m/>
    <s v=""/>
    <s v=""/>
    <s v=""/>
    <s v=""/>
    <s v=""/>
    <s v=""/>
    <m/>
    <m/>
    <m/>
    <x v="2"/>
    <n v="0"/>
    <x v="2"/>
    <x v="83"/>
    <n v="1"/>
    <s v=""/>
    <n v="1"/>
    <n v="1"/>
    <n v="1"/>
    <n v="0"/>
    <n v="0"/>
  </r>
  <r>
    <n v="2193"/>
    <s v="       Human papillomavirus"/>
    <n v="2193"/>
    <e v="#NAME?"/>
    <s v="Human papillomavirus"/>
    <x v="1"/>
    <n v="27"/>
    <s v="STI Treatment recommendation"/>
    <m/>
    <m/>
    <s v="ST.3. Service Provision"/>
    <x v="18"/>
    <m/>
    <s v="3.3 Provide treatment"/>
    <s v="ST.DE.250"/>
    <m/>
    <m/>
    <s v="HPV"/>
    <m/>
    <m/>
    <m/>
    <s v="Human papillomavirus"/>
    <m/>
    <s v="No"/>
    <m/>
    <s v="Yes"/>
    <s v="O"/>
    <m/>
    <m/>
    <s v="STI.IND.01"/>
    <m/>
    <m/>
    <m/>
    <m/>
    <m/>
    <s v=""/>
    <x v="3"/>
    <x v="0"/>
    <m/>
    <m/>
    <s v=""/>
    <x v="2"/>
    <s v="JS"/>
    <m/>
    <m/>
    <m/>
    <m/>
    <s v=""/>
    <m/>
    <x v="2"/>
    <e v="#NAME?"/>
    <m/>
    <x v="1"/>
    <m/>
    <s v=""/>
    <s v="x"/>
    <s v="R87.1"/>
    <s v=""/>
    <s v="9482002"/>
    <m/>
    <m/>
    <s v=""/>
    <s v=""/>
    <m/>
    <s v=""/>
    <s v=""/>
    <s v=""/>
    <s v=""/>
    <s v=""/>
    <s v=""/>
    <m/>
    <m/>
    <m/>
    <x v="2"/>
    <n v="0"/>
    <x v="2"/>
    <x v="83"/>
    <n v="1"/>
    <s v=""/>
    <n v="1"/>
    <n v="1"/>
    <n v="1"/>
    <n v="0"/>
    <n v="0"/>
  </r>
  <r>
    <n v="2194"/>
    <s v="       Other (specify)"/>
    <n v="2194"/>
    <e v="#NAME?"/>
    <s v="Other (specify)"/>
    <x v="1"/>
    <n v="22"/>
    <s v="STI Treatment recommendation"/>
    <m/>
    <m/>
    <s v="ST.3. Service Provision"/>
    <x v="18"/>
    <m/>
    <s v="3.3 Provide treatment"/>
    <s v="ST.DE.220"/>
    <m/>
    <m/>
    <m/>
    <m/>
    <m/>
    <m/>
    <s v="Other (specify)"/>
    <m/>
    <s v="No"/>
    <m/>
    <s v="Yes"/>
    <s v="O"/>
    <m/>
    <m/>
    <m/>
    <m/>
    <m/>
    <m/>
    <m/>
    <m/>
    <s v=""/>
    <x v="3"/>
    <x v="0"/>
    <m/>
    <m/>
    <s v=""/>
    <x v="2"/>
    <s v="JS"/>
    <m/>
    <m/>
    <m/>
    <m/>
    <s v=""/>
    <m/>
    <x v="2"/>
    <e v="#NAME?"/>
    <m/>
    <x v="0"/>
    <s v="http://who.int/cg/CodeSystem/extended-content"/>
    <s v="Other"/>
    <s v=""/>
    <m/>
    <s v=""/>
    <m/>
    <m/>
    <m/>
    <s v=""/>
    <s v=""/>
    <m/>
    <s v=""/>
    <s v=""/>
    <s v=""/>
    <s v=""/>
    <s v=""/>
    <s v=""/>
    <m/>
    <m/>
    <m/>
    <x v="2"/>
    <n v="0"/>
    <x v="2"/>
    <x v="83"/>
    <n v="1"/>
    <s v=""/>
    <n v="1"/>
    <n v="1"/>
    <n v="1"/>
    <n v="0"/>
    <n v="0"/>
  </r>
  <r>
    <n v="2195"/>
    <s v="       Postpartum infection"/>
    <n v="2195"/>
    <e v="#NAME?"/>
    <s v="Postpartum infection"/>
    <x v="1"/>
    <n v="27"/>
    <s v="STI Treatment recommendation"/>
    <m/>
    <m/>
    <s v="ST.3. Service Provision"/>
    <x v="18"/>
    <m/>
    <s v="3.3 Provide treatment"/>
    <s v="ST.DE.220"/>
    <m/>
    <m/>
    <m/>
    <m/>
    <m/>
    <m/>
    <s v="Postpartum infection"/>
    <m/>
    <s v="No"/>
    <m/>
    <s v="Yes"/>
    <s v="O"/>
    <m/>
    <m/>
    <m/>
    <m/>
    <m/>
    <m/>
    <m/>
    <m/>
    <s v=""/>
    <x v="3"/>
    <x v="0"/>
    <m/>
    <m/>
    <s v=""/>
    <x v="2"/>
    <s v="JS"/>
    <m/>
    <m/>
    <m/>
    <m/>
    <s v=""/>
    <m/>
    <x v="2"/>
    <e v="#NAME?"/>
    <m/>
    <x v="1"/>
    <m/>
    <s v=""/>
    <s v="JOE_ use SNOMED 86569001 for post partum state (so, anything postpartum plus something else ?)"/>
    <m/>
    <s v=""/>
    <s v="2858002"/>
    <m/>
    <m/>
    <s v=""/>
    <s v=""/>
    <m/>
    <s v=""/>
    <s v="71"/>
    <s v=""/>
    <s v=""/>
    <s v=""/>
    <s v=""/>
    <m/>
    <m/>
    <m/>
    <x v="2"/>
    <n v="0"/>
    <x v="2"/>
    <x v="83"/>
    <n v="1"/>
    <s v=""/>
    <n v="1"/>
    <n v="1"/>
    <n v="1"/>
    <n v="0"/>
    <n v="0"/>
  </r>
  <r>
    <n v="2196"/>
    <s v="Other (specify) - Treatment recommendation"/>
    <n v="2196"/>
    <s v="Other (specify)"/>
    <s v="Other (specify)"/>
    <x v="0"/>
    <n v="42"/>
    <s v=""/>
    <m/>
    <m/>
    <s v="ST.3. Service Provision"/>
    <x v="18"/>
    <m/>
    <s v="3.3 Provide treatment"/>
    <s v="ST.DE.301"/>
    <m/>
    <s v="Other (specify)"/>
    <m/>
    <s v="Write in other observations not included in the list"/>
    <s v="Text"/>
    <m/>
    <m/>
    <m/>
    <s v="No"/>
    <m/>
    <s v="Yes"/>
    <s v="C"/>
    <s v="Include if speculum exam = Other (specify)"/>
    <m/>
    <m/>
    <m/>
    <m/>
    <m/>
    <m/>
    <m/>
    <s v=""/>
    <x v="60"/>
    <x v="2"/>
    <s v="FHIR"/>
    <s v="4.0.1"/>
    <s v=""/>
    <x v="82"/>
    <s v="JS"/>
    <m/>
    <m/>
    <m/>
    <m/>
    <s v=""/>
    <m/>
    <x v="2"/>
    <s v="&quot;Other (specify)&quot;-&gt;&quot;Other (specify) - Treatment recommendation&quot;"/>
    <m/>
    <x v="1"/>
    <m/>
    <s v=""/>
    <s v=""/>
    <m/>
    <s v=""/>
    <m/>
    <m/>
    <m/>
    <s v="No terminology code required"/>
    <s v=""/>
    <m/>
    <s v=""/>
    <s v=""/>
    <s v=""/>
    <s v=""/>
    <s v=""/>
    <s v=""/>
    <m/>
    <m/>
    <m/>
    <x v="9"/>
    <s v=""/>
    <x v="10"/>
    <x v="83"/>
    <n v="1"/>
    <n v="0"/>
    <n v="1"/>
    <n v="1"/>
    <n v="1"/>
    <n v="0"/>
    <n v="0"/>
  </r>
  <r>
    <n v="2198"/>
    <s v="Current STI Medications"/>
    <n v="2198"/>
    <s v="Prescribed drugs"/>
    <s v="Prescribed drugs"/>
    <x v="0"/>
    <n v="23"/>
    <s v=""/>
    <m/>
    <m/>
    <s v="ST.3. Service Provision"/>
    <x v="13"/>
    <m/>
    <s v="3.3 Provide treatment"/>
    <s v="ST.DE.053"/>
    <m/>
    <s v="Prescribed drugs"/>
    <m/>
    <s v="Drugs prescribed to treat the diagnosis "/>
    <s v="Coding"/>
    <s v="Select all that apply"/>
    <m/>
    <m/>
    <s v="No"/>
    <m/>
    <s v="Yes"/>
    <s v="O"/>
    <s v="If client's drug allergy =  this medication class, do not include option"/>
    <m/>
    <m/>
    <m/>
    <m/>
    <s v="DL Treatment Recs"/>
    <m/>
    <m/>
    <s v=""/>
    <x v="20"/>
    <x v="2"/>
    <s v="FHIR"/>
    <s v="4.0.1"/>
    <s v=""/>
    <x v="99"/>
    <s v="JA"/>
    <s v="STI-Medications"/>
    <s v="Extensible"/>
    <m/>
    <m/>
    <s v=""/>
    <m/>
    <x v="2"/>
    <s v="&quot;Prescribed drugs&quot;-&gt;&quot;Current STI Medications&quot;"/>
    <m/>
    <x v="1"/>
    <m/>
    <s v=""/>
    <s v=""/>
    <m/>
    <s v=""/>
    <m/>
    <m/>
    <m/>
    <s v="No terminology code required"/>
    <s v=""/>
    <m/>
    <s v=""/>
    <s v=""/>
    <s v=""/>
    <s v=""/>
    <s v=""/>
    <s v=""/>
    <m/>
    <m/>
    <m/>
    <x v="7"/>
    <s v=""/>
    <x v="8"/>
    <x v="100"/>
    <n v="1"/>
    <n v="1"/>
    <n v="1"/>
    <n v="1"/>
    <n v="1"/>
    <n v="0"/>
    <n v="0"/>
  </r>
  <r>
    <n v="2199"/>
    <s v="aciclovir"/>
    <n v="2199"/>
    <e v="#NAME?"/>
    <s v="aciclovir"/>
    <x v="1"/>
    <n v="9"/>
    <s v="Current STI Medications"/>
    <m/>
    <m/>
    <s v="ST.3. Service Provision"/>
    <x v="13"/>
    <m/>
    <s v="3.3 Provide treatment"/>
    <s v="ST.DE.147"/>
    <m/>
    <m/>
    <m/>
    <m/>
    <m/>
    <m/>
    <s v="aciclovir"/>
    <m/>
    <s v="No"/>
    <m/>
    <s v="Yes"/>
    <s v="O"/>
    <s v="If client's drug allergy =  this medication class, do not include option"/>
    <m/>
    <m/>
    <m/>
    <m/>
    <s v="DL Treatment Recs"/>
    <m/>
    <m/>
    <s v=""/>
    <x v="3"/>
    <x v="0"/>
    <m/>
    <m/>
    <m/>
    <x v="2"/>
    <s v="JS"/>
    <m/>
    <m/>
    <m/>
    <m/>
    <s v=""/>
    <m/>
    <x v="2"/>
    <e v="#NAME?"/>
    <m/>
    <x v="1"/>
    <m/>
    <s v=""/>
    <s v="x"/>
    <m/>
    <s v=""/>
    <m/>
    <m/>
    <s v="248108"/>
    <s v=""/>
    <s v=""/>
    <m/>
    <s v="C0789387 CUI"/>
    <s v=""/>
    <s v=""/>
    <s v=""/>
    <s v=""/>
    <s v=""/>
    <m/>
    <m/>
    <m/>
    <x v="2"/>
    <n v="0"/>
    <x v="2"/>
    <x v="100"/>
    <n v="1"/>
    <s v=""/>
    <n v="1"/>
    <n v="1"/>
    <n v="1"/>
    <n v="0"/>
    <n v="0"/>
  </r>
  <r>
    <n v="2200"/>
    <s v="benzyl penicillin"/>
    <n v="2200"/>
    <e v="#NAME?"/>
    <s v="benzyl penicillin"/>
    <x v="1"/>
    <n v="17"/>
    <s v="Current STI Medications"/>
    <m/>
    <m/>
    <s v="ST.3. Service Provision"/>
    <x v="13"/>
    <m/>
    <s v="3.3 Provide treatment"/>
    <s v="ST.DE.148"/>
    <m/>
    <m/>
    <m/>
    <m/>
    <m/>
    <m/>
    <s v="benzyl penicillin"/>
    <m/>
    <s v="No"/>
    <m/>
    <s v="Yes"/>
    <s v="O"/>
    <s v="If client's drug allergy =  this medication class, do not include option"/>
    <m/>
    <m/>
    <m/>
    <m/>
    <s v="DL Treatment Recs"/>
    <m/>
    <m/>
    <s v=""/>
    <x v="3"/>
    <x v="0"/>
    <m/>
    <m/>
    <m/>
    <x v="2"/>
    <s v="JS"/>
    <m/>
    <m/>
    <m/>
    <m/>
    <s v=""/>
    <m/>
    <x v="2"/>
    <e v="#NAME?"/>
    <m/>
    <x v="1"/>
    <m/>
    <s v=""/>
    <s v=""/>
    <m/>
    <s v=""/>
    <s v="75247008"/>
    <m/>
    <s v="7982"/>
    <s v=""/>
    <m/>
    <m/>
    <s v="Pen G "/>
    <s v=""/>
    <s v=""/>
    <s v=""/>
    <s v=""/>
    <s v=""/>
    <m/>
    <m/>
    <m/>
    <x v="2"/>
    <n v="0"/>
    <x v="2"/>
    <x v="100"/>
    <n v="1"/>
    <s v=""/>
    <n v="1"/>
    <n v="1"/>
    <n v="1"/>
    <n v="0"/>
    <n v="0"/>
  </r>
  <r>
    <n v="2201"/>
    <s v="azithromycin"/>
    <n v="2201"/>
    <e v="#NAME?"/>
    <s v="azithromycin"/>
    <x v="1"/>
    <n v="12"/>
    <s v="Current STI Medications"/>
    <m/>
    <m/>
    <s v="ST.3. Service Provision"/>
    <x v="13"/>
    <m/>
    <s v="3.3 Provide treatment"/>
    <s v="ST.DE.149"/>
    <m/>
    <m/>
    <m/>
    <m/>
    <m/>
    <m/>
    <s v="azithromycin"/>
    <m/>
    <s v="No"/>
    <m/>
    <s v="Yes"/>
    <s v="O"/>
    <s v="If client's drug allergy =  this medication class, do not include option"/>
    <m/>
    <m/>
    <m/>
    <m/>
    <s v="DL Treatment Recs"/>
    <m/>
    <m/>
    <s v=""/>
    <x v="3"/>
    <x v="0"/>
    <m/>
    <m/>
    <m/>
    <x v="2"/>
    <s v="JS"/>
    <m/>
    <m/>
    <m/>
    <m/>
    <s v=""/>
    <m/>
    <x v="2"/>
    <e v="#NAME?"/>
    <m/>
    <x v="1"/>
    <m/>
    <s v=""/>
    <s v="x"/>
    <m/>
    <s v=""/>
    <m/>
    <m/>
    <s v="18631"/>
    <s v=""/>
    <s v=""/>
    <m/>
    <s v=""/>
    <s v=""/>
    <s v=""/>
    <s v=""/>
    <s v=""/>
    <s v=""/>
    <m/>
    <m/>
    <m/>
    <x v="2"/>
    <n v="0"/>
    <x v="2"/>
    <x v="100"/>
    <n v="1"/>
    <s v=""/>
    <n v="1"/>
    <n v="1"/>
    <n v="1"/>
    <n v="0"/>
    <n v="0"/>
  </r>
  <r>
    <n v="2202"/>
    <s v="benzathine penicillin"/>
    <n v="2202"/>
    <e v="#NAME?"/>
    <s v="benzathine penicillin"/>
    <x v="1"/>
    <n v="21"/>
    <s v="Current STI Medications"/>
    <m/>
    <m/>
    <s v="ST.3. Service Provision"/>
    <x v="13"/>
    <m/>
    <s v="3.3 Provide treatment"/>
    <s v="ST.DE.150"/>
    <m/>
    <m/>
    <m/>
    <m/>
    <m/>
    <m/>
    <s v="benzathine penicillin"/>
    <m/>
    <s v="No"/>
    <m/>
    <s v="Yes"/>
    <s v="O"/>
    <s v="If client's drug allergy =  this medication class, do not include option"/>
    <m/>
    <m/>
    <m/>
    <m/>
    <s v="DL Treatment Recs"/>
    <m/>
    <m/>
    <s v=""/>
    <x v="3"/>
    <x v="0"/>
    <m/>
    <m/>
    <m/>
    <x v="2"/>
    <s v="JS"/>
    <m/>
    <m/>
    <m/>
    <m/>
    <s v=""/>
    <m/>
    <x v="2"/>
    <e v="#NAME?"/>
    <m/>
    <x v="1"/>
    <m/>
    <s v=""/>
    <s v="x"/>
    <m/>
    <s v=""/>
    <m/>
    <m/>
    <s v="7982"/>
    <s v=""/>
    <m/>
    <m/>
    <s v=""/>
    <s v=""/>
    <s v=""/>
    <s v=""/>
    <s v=""/>
    <s v=""/>
    <m/>
    <m/>
    <m/>
    <x v="2"/>
    <n v="0"/>
    <x v="2"/>
    <x v="100"/>
    <n v="1"/>
    <s v=""/>
    <n v="1"/>
    <n v="1"/>
    <n v="1"/>
    <n v="0"/>
    <n v="0"/>
  </r>
  <r>
    <n v="2203"/>
    <s v="cefixime"/>
    <n v="2203"/>
    <e v="#NAME?"/>
    <s v="cefixime"/>
    <x v="1"/>
    <n v="8"/>
    <s v="Current STI Medications"/>
    <m/>
    <m/>
    <s v="ST.3. Service Provision"/>
    <x v="13"/>
    <m/>
    <s v="3.3 Provide treatment"/>
    <s v="ST.DE.151"/>
    <m/>
    <m/>
    <m/>
    <m/>
    <m/>
    <m/>
    <s v="cefixime"/>
    <m/>
    <s v="No"/>
    <m/>
    <s v="Yes"/>
    <s v="O"/>
    <s v="If client's drug allergy =  this medication class, do not include option"/>
    <m/>
    <m/>
    <m/>
    <m/>
    <s v="DL Treatment Recs"/>
    <m/>
    <m/>
    <s v=""/>
    <x v="3"/>
    <x v="0"/>
    <m/>
    <m/>
    <m/>
    <x v="2"/>
    <s v="JS"/>
    <m/>
    <m/>
    <m/>
    <m/>
    <s v=""/>
    <m/>
    <x v="2"/>
    <e v="#NAME?"/>
    <m/>
    <x v="1"/>
    <m/>
    <s v=""/>
    <s v="x"/>
    <m/>
    <s v=""/>
    <m/>
    <m/>
    <s v="25033"/>
    <s v=""/>
    <s v=""/>
    <m/>
    <s v="c0060400"/>
    <s v=""/>
    <s v=""/>
    <s v=""/>
    <s v=""/>
    <s v=""/>
    <m/>
    <m/>
    <m/>
    <x v="2"/>
    <n v="0"/>
    <x v="2"/>
    <x v="100"/>
    <n v="1"/>
    <s v=""/>
    <n v="1"/>
    <n v="1"/>
    <n v="1"/>
    <n v="0"/>
    <n v="0"/>
  </r>
  <r>
    <n v="2204"/>
    <s v="ceftriaxone"/>
    <n v="2204"/>
    <e v="#NAME?"/>
    <s v="ceftriaxone"/>
    <x v="1"/>
    <n v="11"/>
    <s v="Current STI Medications"/>
    <m/>
    <m/>
    <s v="ST.3. Service Provision"/>
    <x v="13"/>
    <m/>
    <s v="3.3 Provide treatment"/>
    <s v="ST.DE.152"/>
    <m/>
    <m/>
    <m/>
    <m/>
    <m/>
    <m/>
    <s v="ceftriaxone"/>
    <m/>
    <s v="No"/>
    <m/>
    <s v="Yes"/>
    <s v="O"/>
    <s v="If client's drug allergy =  this medication class, do not include option"/>
    <m/>
    <m/>
    <m/>
    <m/>
    <s v="DL Treatment Recs"/>
    <m/>
    <m/>
    <s v=""/>
    <x v="3"/>
    <x v="0"/>
    <m/>
    <m/>
    <m/>
    <x v="2"/>
    <s v="JS"/>
    <m/>
    <m/>
    <m/>
    <m/>
    <s v=""/>
    <m/>
    <x v="2"/>
    <e v="#NAME?"/>
    <m/>
    <x v="1"/>
    <m/>
    <s v=""/>
    <s v="x"/>
    <m/>
    <s v=""/>
    <m/>
    <m/>
    <s v="2193"/>
    <s v=""/>
    <s v=""/>
    <m/>
    <s v="c0007561"/>
    <s v=""/>
    <s v=""/>
    <s v=""/>
    <s v=""/>
    <s v=""/>
    <m/>
    <m/>
    <m/>
    <x v="2"/>
    <n v="0"/>
    <x v="2"/>
    <x v="100"/>
    <n v="1"/>
    <s v=""/>
    <n v="1"/>
    <n v="1"/>
    <n v="1"/>
    <n v="0"/>
    <n v="0"/>
  </r>
  <r>
    <n v="2205"/>
    <s v="chloramphenicol"/>
    <n v="2205"/>
    <e v="#NAME?"/>
    <s v="chloramphenicol"/>
    <x v="1"/>
    <n v="15"/>
    <s v="Current STI Medications"/>
    <m/>
    <m/>
    <s v="ST.3. Service Provision"/>
    <x v="13"/>
    <m/>
    <s v="3.3 Provide treatment"/>
    <s v="ST.DE.153"/>
    <m/>
    <m/>
    <m/>
    <m/>
    <m/>
    <m/>
    <s v="chloramphenicol"/>
    <m/>
    <s v="No"/>
    <m/>
    <s v="Yes"/>
    <s v="O"/>
    <s v="If client's drug allergy =  this medication class, do not include option"/>
    <m/>
    <m/>
    <m/>
    <m/>
    <s v="DL Treatment Recs"/>
    <m/>
    <m/>
    <s v=""/>
    <x v="3"/>
    <x v="0"/>
    <m/>
    <m/>
    <m/>
    <x v="2"/>
    <s v="JS"/>
    <m/>
    <m/>
    <m/>
    <m/>
    <s v=""/>
    <m/>
    <x v="2"/>
    <e v="#NAME?"/>
    <m/>
    <x v="1"/>
    <m/>
    <s v=""/>
    <s v="x"/>
    <m/>
    <s v=""/>
    <m/>
    <m/>
    <s v="2348"/>
    <s v=""/>
    <s v=""/>
    <m/>
    <s v="C0008168"/>
    <s v=""/>
    <s v=""/>
    <s v=""/>
    <s v=""/>
    <s v=""/>
    <m/>
    <m/>
    <m/>
    <x v="2"/>
    <n v="0"/>
    <x v="2"/>
    <x v="100"/>
    <n v="1"/>
    <s v=""/>
    <n v="1"/>
    <n v="1"/>
    <n v="1"/>
    <n v="0"/>
    <n v="0"/>
  </r>
  <r>
    <n v="2206"/>
    <s v="clindamycin"/>
    <n v="2206"/>
    <e v="#NAME?"/>
    <s v="clindamycin"/>
    <x v="1"/>
    <n v="11"/>
    <s v="Current STI Medications"/>
    <m/>
    <m/>
    <s v="ST.3. Service Provision"/>
    <x v="13"/>
    <m/>
    <s v="3.3 Provide treatment"/>
    <s v="ST.DE.154"/>
    <m/>
    <m/>
    <m/>
    <m/>
    <m/>
    <m/>
    <s v="clindamycin"/>
    <m/>
    <s v="No"/>
    <m/>
    <s v="Yes"/>
    <s v="O"/>
    <s v="If client's drug allergy =  this medication class, do not include option"/>
    <m/>
    <m/>
    <m/>
    <m/>
    <s v="DL Treatment Recs"/>
    <m/>
    <m/>
    <s v=""/>
    <x v="3"/>
    <x v="0"/>
    <m/>
    <m/>
    <m/>
    <x v="2"/>
    <s v="JS"/>
    <m/>
    <m/>
    <m/>
    <m/>
    <s v=""/>
    <m/>
    <x v="2"/>
    <e v="#NAME?"/>
    <m/>
    <x v="1"/>
    <m/>
    <s v=""/>
    <s v="x"/>
    <m/>
    <s v=""/>
    <m/>
    <m/>
    <s v="2582"/>
    <s v=""/>
    <s v=""/>
    <m/>
    <s v="c0008947"/>
    <s v=""/>
    <s v=""/>
    <s v=""/>
    <s v=""/>
    <s v=""/>
    <m/>
    <m/>
    <m/>
    <x v="2"/>
    <n v="0"/>
    <x v="2"/>
    <x v="100"/>
    <n v="1"/>
    <s v=""/>
    <n v="1"/>
    <n v="1"/>
    <n v="1"/>
    <n v="0"/>
    <n v="0"/>
  </r>
  <r>
    <n v="2207"/>
    <s v="Clotrimazoleb"/>
    <n v="2207"/>
    <e v="#NAME?"/>
    <s v="Clotrimazoleb"/>
    <x v="1"/>
    <n v="13"/>
    <s v="Current STI Medications"/>
    <m/>
    <m/>
    <s v="ST.3. Service Provision"/>
    <x v="13"/>
    <m/>
    <s v="3.3 Provide treatment"/>
    <s v="ST.DE.155"/>
    <m/>
    <m/>
    <m/>
    <m/>
    <m/>
    <m/>
    <s v="Clotrimazoleb"/>
    <m/>
    <s v="No"/>
    <m/>
    <s v="Yes"/>
    <s v="O"/>
    <s v="If client's drug allergy =  this medication class, do not include option"/>
    <m/>
    <m/>
    <m/>
    <m/>
    <s v="DL Treatment Recs"/>
    <m/>
    <m/>
    <s v=""/>
    <x v="3"/>
    <x v="0"/>
    <m/>
    <m/>
    <m/>
    <x v="2"/>
    <s v="JS"/>
    <m/>
    <m/>
    <m/>
    <m/>
    <s v=""/>
    <m/>
    <x v="2"/>
    <e v="#NAME?"/>
    <m/>
    <x v="1"/>
    <m/>
    <s v=""/>
    <s v="is this oral or topical: do they mean clotrimazole? "/>
    <m/>
    <s v=""/>
    <m/>
    <m/>
    <s v="1153919"/>
    <s v=""/>
    <s v=""/>
    <m/>
    <s v="oral c3208393"/>
    <s v="72"/>
    <s v=""/>
    <s v=""/>
    <s v=""/>
    <s v=""/>
    <m/>
    <m/>
    <m/>
    <x v="2"/>
    <n v="0"/>
    <x v="2"/>
    <x v="100"/>
    <n v="1"/>
    <s v=""/>
    <n v="1"/>
    <n v="1"/>
    <n v="1"/>
    <n v="0"/>
    <n v="0"/>
  </r>
  <r>
    <n v="2208"/>
    <s v="doxycycline"/>
    <n v="2208"/>
    <e v="#NAME?"/>
    <s v="doxycycline"/>
    <x v="1"/>
    <n v="11"/>
    <s v="Current STI Medications"/>
    <m/>
    <m/>
    <s v="ST.3. Service Provision"/>
    <x v="13"/>
    <m/>
    <s v="3.3 Provide treatment"/>
    <s v="ST.DE.156"/>
    <m/>
    <m/>
    <m/>
    <m/>
    <m/>
    <m/>
    <s v="doxycycline"/>
    <m/>
    <s v="No"/>
    <m/>
    <s v="Yes"/>
    <s v="O"/>
    <s v="If client's drug allergy =  this medication class, do not include option"/>
    <m/>
    <m/>
    <m/>
    <m/>
    <s v="DL Treatment Recs"/>
    <m/>
    <m/>
    <s v=""/>
    <x v="3"/>
    <x v="0"/>
    <m/>
    <m/>
    <m/>
    <x v="2"/>
    <s v="JS"/>
    <m/>
    <m/>
    <m/>
    <m/>
    <s v=""/>
    <m/>
    <x v="2"/>
    <e v="#NAME?"/>
    <m/>
    <x v="1"/>
    <m/>
    <s v=""/>
    <s v="x"/>
    <m/>
    <s v=""/>
    <m/>
    <m/>
    <s v="1160779"/>
    <s v=""/>
    <s v=""/>
    <m/>
    <s v="c3215139"/>
    <s v=""/>
    <s v=""/>
    <s v=""/>
    <s v=""/>
    <s v=""/>
    <m/>
    <m/>
    <m/>
    <x v="2"/>
    <n v="0"/>
    <x v="2"/>
    <x v="100"/>
    <n v="1"/>
    <s v=""/>
    <n v="1"/>
    <n v="1"/>
    <n v="1"/>
    <n v="0"/>
    <n v="0"/>
  </r>
  <r>
    <n v="2209"/>
    <s v="erythromycin"/>
    <n v="2209"/>
    <e v="#NAME?"/>
    <s v="erythromycin"/>
    <x v="1"/>
    <n v="12"/>
    <s v="Current STI Medications"/>
    <m/>
    <m/>
    <s v="ST.3. Service Provision"/>
    <x v="13"/>
    <m/>
    <s v="3.3 Provide treatment"/>
    <s v="ST.DE.157"/>
    <m/>
    <m/>
    <m/>
    <m/>
    <m/>
    <m/>
    <s v="erythromycin"/>
    <m/>
    <s v="No"/>
    <m/>
    <s v="Yes"/>
    <s v="O"/>
    <s v="If client's drug allergy =  this medication class, do not include option"/>
    <m/>
    <m/>
    <m/>
    <m/>
    <s v="DL Treatment Recs"/>
    <m/>
    <m/>
    <s v=""/>
    <x v="3"/>
    <x v="0"/>
    <m/>
    <m/>
    <m/>
    <x v="2"/>
    <s v="JS"/>
    <m/>
    <m/>
    <m/>
    <m/>
    <s v=""/>
    <m/>
    <x v="2"/>
    <e v="#NAME?"/>
    <m/>
    <x v="1"/>
    <m/>
    <s v=""/>
    <s v="x"/>
    <m/>
    <s v=""/>
    <m/>
    <m/>
    <s v="4053"/>
    <s v=""/>
    <s v=""/>
    <m/>
    <s v="c0014806"/>
    <s v=""/>
    <s v=""/>
    <s v=""/>
    <s v=""/>
    <s v=""/>
    <m/>
    <m/>
    <m/>
    <x v="2"/>
    <n v="0"/>
    <x v="2"/>
    <x v="100"/>
    <n v="1"/>
    <s v=""/>
    <n v="1"/>
    <n v="1"/>
    <n v="1"/>
    <n v="0"/>
    <n v="0"/>
  </r>
  <r>
    <n v="2210"/>
    <s v="imiquimod"/>
    <n v="2210"/>
    <e v="#NAME?"/>
    <s v="imiquimod"/>
    <x v="1"/>
    <n v="9"/>
    <s v="Current STI Medications"/>
    <m/>
    <m/>
    <s v="ST.3. Service Provision"/>
    <x v="13"/>
    <m/>
    <s v="3.3 Provide treatment"/>
    <s v="ST.DE.435"/>
    <m/>
    <m/>
    <m/>
    <m/>
    <m/>
    <m/>
    <s v="imiquimod"/>
    <m/>
    <s v="No"/>
    <m/>
    <s v="Yes"/>
    <s v="O"/>
    <s v="If client's drug allergy =  this medication class, do not include option"/>
    <m/>
    <m/>
    <m/>
    <m/>
    <s v="DL Treatment Recs"/>
    <m/>
    <m/>
    <s v=""/>
    <x v="3"/>
    <x v="0"/>
    <m/>
    <m/>
    <m/>
    <x v="2"/>
    <s v="JS"/>
    <m/>
    <m/>
    <m/>
    <m/>
    <s v=""/>
    <m/>
    <x v="2"/>
    <e v="#NAME?"/>
    <m/>
    <x v="1"/>
    <m/>
    <s v=""/>
    <s v="oral"/>
    <m/>
    <s v=""/>
    <m/>
    <m/>
    <s v="1248439"/>
    <s v=""/>
    <s v=""/>
    <m/>
    <s v="C3268225"/>
    <s v=""/>
    <s v=""/>
    <s v=""/>
    <s v=""/>
    <s v=""/>
    <m/>
    <m/>
    <m/>
    <x v="2"/>
    <n v="0"/>
    <x v="2"/>
    <x v="100"/>
    <n v="1"/>
    <s v=""/>
    <n v="1"/>
    <n v="1"/>
    <n v="1"/>
    <n v="0"/>
    <n v="0"/>
  </r>
  <r>
    <n v="2211"/>
    <s v="famciclovir"/>
    <n v="2211"/>
    <e v="#NAME?"/>
    <s v="famciclovir"/>
    <x v="1"/>
    <n v="11"/>
    <s v="Current STI Medications"/>
    <m/>
    <m/>
    <s v="ST.3. Service Provision"/>
    <x v="13"/>
    <m/>
    <s v="3.3 Provide treatment"/>
    <s v="ST.DE.158"/>
    <m/>
    <m/>
    <m/>
    <m/>
    <m/>
    <m/>
    <s v="famciclovir"/>
    <m/>
    <s v="No"/>
    <m/>
    <s v="Yes"/>
    <s v="O"/>
    <s v="If client's drug allergy =  this medication class, do not include option"/>
    <m/>
    <m/>
    <m/>
    <m/>
    <s v="DL Treatment Recs"/>
    <m/>
    <m/>
    <s v=""/>
    <x v="3"/>
    <x v="0"/>
    <m/>
    <m/>
    <m/>
    <x v="2"/>
    <s v="JS"/>
    <m/>
    <m/>
    <m/>
    <m/>
    <s v=""/>
    <m/>
    <x v="2"/>
    <e v="#NAME?"/>
    <m/>
    <x v="1"/>
    <m/>
    <s v=""/>
    <s v="x"/>
    <m/>
    <s v=""/>
    <m/>
    <m/>
    <s v="68099"/>
    <s v=""/>
    <s v=""/>
    <m/>
    <s v="c0209227"/>
    <s v=""/>
    <s v=""/>
    <s v=""/>
    <s v=""/>
    <s v=""/>
    <m/>
    <m/>
    <m/>
    <x v="2"/>
    <n v="0"/>
    <x v="2"/>
    <x v="100"/>
    <n v="1"/>
    <s v=""/>
    <n v="1"/>
    <n v="1"/>
    <n v="1"/>
    <n v="0"/>
    <n v="0"/>
  </r>
  <r>
    <n v="2212"/>
    <s v="fluconazole"/>
    <n v="2212"/>
    <e v="#NAME?"/>
    <s v="fluconazole"/>
    <x v="1"/>
    <n v="11"/>
    <s v="Current STI Medications"/>
    <m/>
    <m/>
    <s v="ST.3. Service Provision"/>
    <x v="13"/>
    <m/>
    <s v="3.3 Provide treatment"/>
    <s v="ST.DE.159"/>
    <m/>
    <m/>
    <m/>
    <m/>
    <m/>
    <m/>
    <s v="fluconazole"/>
    <m/>
    <s v="No"/>
    <m/>
    <s v="Yes"/>
    <s v="O"/>
    <s v="If client's drug allergy =  this medication class, do not include option"/>
    <m/>
    <m/>
    <m/>
    <m/>
    <s v="DL Treatment Recs"/>
    <m/>
    <m/>
    <s v=""/>
    <x v="3"/>
    <x v="0"/>
    <m/>
    <m/>
    <m/>
    <x v="2"/>
    <s v="JS"/>
    <m/>
    <m/>
    <m/>
    <m/>
    <s v=""/>
    <m/>
    <x v="2"/>
    <e v="#NAME?"/>
    <m/>
    <x v="1"/>
    <m/>
    <s v=""/>
    <s v="x"/>
    <m/>
    <s v=""/>
    <m/>
    <m/>
    <s v="4450"/>
    <s v=""/>
    <s v=""/>
    <m/>
    <s v="c0016277"/>
    <s v=""/>
    <s v=""/>
    <s v=""/>
    <s v=""/>
    <s v=""/>
    <m/>
    <m/>
    <m/>
    <x v="2"/>
    <n v="0"/>
    <x v="2"/>
    <x v="100"/>
    <n v="1"/>
    <s v=""/>
    <n v="1"/>
    <n v="1"/>
    <n v="1"/>
    <n v="0"/>
    <n v="0"/>
  </r>
  <r>
    <n v="2213"/>
    <s v="gentamicin"/>
    <n v="2213"/>
    <e v="#NAME?"/>
    <s v="gentamicin"/>
    <x v="1"/>
    <n v="10"/>
    <s v="Current STI Medications"/>
    <m/>
    <m/>
    <s v="ST.3. Service Provision"/>
    <x v="13"/>
    <m/>
    <s v="3.3 Provide treatment"/>
    <s v="ST.DE.160"/>
    <m/>
    <m/>
    <m/>
    <m/>
    <m/>
    <m/>
    <s v="gentamicin"/>
    <m/>
    <s v="No"/>
    <m/>
    <s v="Yes"/>
    <s v="O"/>
    <s v="If client's drug allergy =  this medication class, do not include option"/>
    <m/>
    <m/>
    <m/>
    <m/>
    <s v="DL Treatment Recs"/>
    <m/>
    <m/>
    <s v=""/>
    <x v="3"/>
    <x v="0"/>
    <m/>
    <m/>
    <m/>
    <x v="2"/>
    <s v="JS"/>
    <m/>
    <m/>
    <m/>
    <m/>
    <s v=""/>
    <m/>
    <x v="2"/>
    <e v="#NAME?"/>
    <m/>
    <x v="1"/>
    <m/>
    <s v=""/>
    <s v="x"/>
    <m/>
    <s v=""/>
    <m/>
    <m/>
    <s v="1596450"/>
    <s v=""/>
    <s v=""/>
    <m/>
    <s v="c3854019"/>
    <s v=""/>
    <s v=""/>
    <s v=""/>
    <s v=""/>
    <s v=""/>
    <m/>
    <m/>
    <m/>
    <x v="2"/>
    <n v="0"/>
    <x v="2"/>
    <x v="100"/>
    <n v="1"/>
    <s v=""/>
    <n v="1"/>
    <n v="1"/>
    <n v="1"/>
    <n v="0"/>
    <n v="0"/>
  </r>
  <r>
    <n v="2214"/>
    <s v="kanamycin"/>
    <n v="2214"/>
    <e v="#NAME?"/>
    <s v="kanamycin"/>
    <x v="1"/>
    <n v="9"/>
    <s v="Current STI Medications"/>
    <m/>
    <m/>
    <s v="ST.3. Service Provision"/>
    <x v="13"/>
    <m/>
    <s v="3.3 Provide treatment"/>
    <s v="ST.DE.161"/>
    <m/>
    <m/>
    <m/>
    <m/>
    <m/>
    <m/>
    <s v="kanamycin"/>
    <m/>
    <s v="No"/>
    <m/>
    <s v="Yes"/>
    <s v="O"/>
    <s v="If client's drug allergy =  this medication class, do not include option"/>
    <m/>
    <m/>
    <m/>
    <m/>
    <s v="DL Treatment Recs"/>
    <m/>
    <m/>
    <s v=""/>
    <x v="3"/>
    <x v="0"/>
    <m/>
    <m/>
    <m/>
    <x v="2"/>
    <s v="JS"/>
    <m/>
    <m/>
    <m/>
    <m/>
    <s v=""/>
    <m/>
    <x v="2"/>
    <e v="#NAME?"/>
    <m/>
    <x v="1"/>
    <m/>
    <s v=""/>
    <s v="x"/>
    <m/>
    <s v=""/>
    <m/>
    <m/>
    <s v="6099"/>
    <s v=""/>
    <s v=""/>
    <m/>
    <s v="c0022487"/>
    <s v=""/>
    <s v=""/>
    <s v=""/>
    <s v=""/>
    <s v=""/>
    <m/>
    <m/>
    <m/>
    <x v="2"/>
    <n v="0"/>
    <x v="2"/>
    <x v="100"/>
    <n v="1"/>
    <s v=""/>
    <n v="1"/>
    <n v="1"/>
    <n v="1"/>
    <n v="0"/>
    <n v="0"/>
  </r>
  <r>
    <n v="2215"/>
    <s v="metronidazole"/>
    <n v="2215"/>
    <e v="#NAME?"/>
    <s v="metronidazolea"/>
    <x v="1"/>
    <n v="13"/>
    <s v="Current STI Medications"/>
    <m/>
    <m/>
    <s v="ST.3. Service Provision"/>
    <x v="13"/>
    <m/>
    <s v="3.3 Provide treatment"/>
    <s v="ST.DE.162"/>
    <m/>
    <m/>
    <m/>
    <m/>
    <m/>
    <m/>
    <s v="metronidazolea"/>
    <m/>
    <s v="No"/>
    <m/>
    <s v="Yes"/>
    <s v="O"/>
    <s v="If client's drug allergy =  this medication class, do not include option"/>
    <m/>
    <m/>
    <m/>
    <m/>
    <s v="DL Treatment Recs"/>
    <m/>
    <m/>
    <s v=""/>
    <x v="3"/>
    <x v="0"/>
    <m/>
    <m/>
    <m/>
    <x v="2"/>
    <s v="JS"/>
    <m/>
    <m/>
    <m/>
    <m/>
    <s v=""/>
    <m/>
    <x v="2"/>
    <e v="#NAME?"/>
    <m/>
    <x v="1"/>
    <m/>
    <s v=""/>
    <s v="x"/>
    <m/>
    <s v=""/>
    <m/>
    <m/>
    <s v="6922"/>
    <s v=""/>
    <s v=""/>
    <m/>
    <s v="c0025872"/>
    <s v=""/>
    <s v=""/>
    <s v=""/>
    <s v=""/>
    <s v=""/>
    <m/>
    <m/>
    <m/>
    <x v="2"/>
    <n v="0"/>
    <x v="2"/>
    <x v="100"/>
    <n v="1"/>
    <s v=""/>
    <n v="1"/>
    <n v="1"/>
    <n v="1"/>
    <n v="0"/>
    <n v="0"/>
  </r>
  <r>
    <n v="2216"/>
    <s v="Miconazole"/>
    <n v="2216"/>
    <e v="#NAME?"/>
    <s v="Miconazole"/>
    <x v="1"/>
    <n v="10"/>
    <s v="Current STI Medications"/>
    <m/>
    <m/>
    <s v="ST.3. Service Provision"/>
    <x v="13"/>
    <m/>
    <s v="3.3 Provide treatment"/>
    <s v="ST.DE.163"/>
    <m/>
    <m/>
    <m/>
    <m/>
    <m/>
    <m/>
    <s v="Miconazole"/>
    <m/>
    <s v="No"/>
    <m/>
    <s v="Yes"/>
    <s v="O"/>
    <s v="If client's drug allergy =  this medication class, do not include option"/>
    <m/>
    <m/>
    <m/>
    <m/>
    <s v="DL Treatment Recs"/>
    <m/>
    <m/>
    <s v=""/>
    <x v="3"/>
    <x v="0"/>
    <m/>
    <m/>
    <m/>
    <x v="2"/>
    <s v="JS"/>
    <m/>
    <m/>
    <m/>
    <m/>
    <s v=""/>
    <m/>
    <x v="2"/>
    <e v="#NAME?"/>
    <m/>
    <x v="1"/>
    <m/>
    <s v=""/>
    <s v="x"/>
    <m/>
    <s v=""/>
    <m/>
    <m/>
    <s v="6932"/>
    <s v=""/>
    <s v=""/>
    <m/>
    <s v="c0025942"/>
    <s v=""/>
    <s v=""/>
    <s v=""/>
    <s v=""/>
    <s v=""/>
    <m/>
    <m/>
    <m/>
    <x v="2"/>
    <n v="0"/>
    <x v="2"/>
    <x v="100"/>
    <n v="1"/>
    <s v=""/>
    <n v="1"/>
    <n v="1"/>
    <n v="1"/>
    <n v="0"/>
    <n v="0"/>
  </r>
  <r>
    <n v="2217"/>
    <s v="nystatin"/>
    <n v="2217"/>
    <e v="#NAME?"/>
    <s v="nystatin"/>
    <x v="1"/>
    <n v="8"/>
    <s v="Current STI Medications"/>
    <m/>
    <m/>
    <s v="ST.3. Service Provision"/>
    <x v="13"/>
    <m/>
    <s v="3.3 Provide treatment"/>
    <s v="ST.DE.164"/>
    <m/>
    <m/>
    <m/>
    <m/>
    <m/>
    <m/>
    <s v="nystatin"/>
    <m/>
    <s v="No"/>
    <m/>
    <s v="Yes"/>
    <s v="O"/>
    <s v="If client's drug allergy =  this medication class, do not include option"/>
    <m/>
    <m/>
    <m/>
    <m/>
    <s v="DL Treatment Recs"/>
    <m/>
    <m/>
    <s v=""/>
    <x v="3"/>
    <x v="0"/>
    <m/>
    <m/>
    <m/>
    <x v="2"/>
    <s v="JS"/>
    <m/>
    <m/>
    <m/>
    <m/>
    <s v=""/>
    <m/>
    <x v="2"/>
    <e v="#NAME?"/>
    <m/>
    <x v="1"/>
    <m/>
    <s v=""/>
    <s v="x"/>
    <m/>
    <s v=""/>
    <m/>
    <m/>
    <s v="7597"/>
    <s v=""/>
    <s v=""/>
    <m/>
    <s v="c0028741"/>
    <s v=""/>
    <s v=""/>
    <s v=""/>
    <s v=""/>
    <s v=""/>
    <m/>
    <m/>
    <m/>
    <x v="2"/>
    <n v="0"/>
    <x v="2"/>
    <x v="100"/>
    <n v="1"/>
    <s v=""/>
    <n v="1"/>
    <n v="1"/>
    <n v="1"/>
    <n v="0"/>
    <n v="0"/>
  </r>
  <r>
    <n v="2218"/>
    <s v="ofloxacin"/>
    <n v="2218"/>
    <e v="#NAME?"/>
    <s v="ofloxacin"/>
    <x v="1"/>
    <n v="9"/>
    <s v="Current STI Medications"/>
    <m/>
    <m/>
    <s v="ST.3. Service Provision"/>
    <x v="13"/>
    <m/>
    <s v="3.3 Provide treatment"/>
    <s v="ST.DE.165"/>
    <m/>
    <m/>
    <m/>
    <m/>
    <m/>
    <m/>
    <s v="ofloxacin"/>
    <m/>
    <s v="No"/>
    <m/>
    <s v="Yes"/>
    <s v="O"/>
    <s v="If client's drug allergy =  this medication class, do not include option"/>
    <m/>
    <m/>
    <m/>
    <m/>
    <s v="DL Treatment Recs"/>
    <m/>
    <m/>
    <s v=""/>
    <x v="3"/>
    <x v="0"/>
    <m/>
    <m/>
    <m/>
    <x v="2"/>
    <s v="JS"/>
    <m/>
    <m/>
    <m/>
    <m/>
    <s v=""/>
    <m/>
    <x v="2"/>
    <e v="#NAME?"/>
    <m/>
    <x v="1"/>
    <m/>
    <s v=""/>
    <s v="x"/>
    <m/>
    <s v=""/>
    <m/>
    <m/>
    <s v="7623"/>
    <s v=""/>
    <s v=""/>
    <m/>
    <s v="c0028902"/>
    <s v=""/>
    <s v=""/>
    <s v=""/>
    <s v=""/>
    <s v=""/>
    <m/>
    <m/>
    <m/>
    <x v="2"/>
    <n v="0"/>
    <x v="2"/>
    <x v="100"/>
    <n v="1"/>
    <s v=""/>
    <n v="1"/>
    <n v="1"/>
    <n v="1"/>
    <n v="0"/>
    <n v="0"/>
  </r>
  <r>
    <n v="2219"/>
    <s v="podophyllin"/>
    <n v="2219"/>
    <e v="#NAME?"/>
    <s v="podophyllin"/>
    <x v="1"/>
    <n v="11"/>
    <s v="Current STI Medications"/>
    <m/>
    <m/>
    <s v="ST.3. Service Provision"/>
    <x v="13"/>
    <m/>
    <s v="3.3 Provide treatment"/>
    <s v="ST.DE.436"/>
    <m/>
    <m/>
    <m/>
    <m/>
    <m/>
    <m/>
    <s v="podophyllin"/>
    <m/>
    <s v="Yes"/>
    <s v="Pregnant = False"/>
    <s v="Yes"/>
    <s v="O"/>
    <s v="If client's drug allergy =  this medication class, do not include option"/>
    <m/>
    <m/>
    <m/>
    <m/>
    <s v="DL Treatment Recs"/>
    <m/>
    <m/>
    <s v=""/>
    <x v="3"/>
    <x v="0"/>
    <m/>
    <m/>
    <m/>
    <x v="2"/>
    <s v="JS"/>
    <m/>
    <m/>
    <m/>
    <m/>
    <s v=""/>
    <m/>
    <x v="2"/>
    <e v="#NAME?"/>
    <m/>
    <x v="1"/>
    <m/>
    <s v=""/>
    <s v="x"/>
    <m/>
    <s v=""/>
    <m/>
    <m/>
    <s v="8462"/>
    <s v=""/>
    <s v=""/>
    <m/>
    <s v="c0032333"/>
    <s v=""/>
    <s v=""/>
    <s v=""/>
    <s v=""/>
    <s v=""/>
    <m/>
    <m/>
    <m/>
    <x v="2"/>
    <n v="0"/>
    <x v="2"/>
    <x v="100"/>
    <n v="1"/>
    <s v=""/>
    <n v="1"/>
    <n v="1"/>
    <n v="1"/>
    <n v="0"/>
    <n v="0"/>
  </r>
  <r>
    <n v="2220"/>
    <s v="povidone iodine"/>
    <n v="2220"/>
    <e v="#NAME?"/>
    <s v="povidone iodine"/>
    <x v="1"/>
    <n v="15"/>
    <s v="Current STI Medications"/>
    <m/>
    <m/>
    <s v="ST.3. Service Provision"/>
    <x v="13"/>
    <m/>
    <s v="3.3 Provide treatment"/>
    <s v="ST.DE.166"/>
    <m/>
    <m/>
    <m/>
    <m/>
    <m/>
    <m/>
    <s v="povidone iodine"/>
    <m/>
    <s v="No"/>
    <m/>
    <s v="Yes"/>
    <s v="O"/>
    <s v="If client's drug allergy =  this medication class, do not include option"/>
    <m/>
    <m/>
    <m/>
    <m/>
    <s v="DL Treatment Recs"/>
    <m/>
    <m/>
    <s v=""/>
    <x v="3"/>
    <x v="0"/>
    <m/>
    <m/>
    <m/>
    <x v="2"/>
    <s v="JS"/>
    <m/>
    <m/>
    <m/>
    <m/>
    <s v=""/>
    <m/>
    <x v="2"/>
    <e v="#NAME?"/>
    <m/>
    <x v="1"/>
    <m/>
    <s v=""/>
    <s v="?"/>
    <m/>
    <s v=""/>
    <m/>
    <m/>
    <s v="1300277"/>
    <s v=""/>
    <s v=""/>
    <m/>
    <s v="c3474128"/>
    <s v=""/>
    <s v=""/>
    <s v=""/>
    <s v=""/>
    <s v=""/>
    <m/>
    <m/>
    <m/>
    <x v="2"/>
    <n v="0"/>
    <x v="2"/>
    <x v="100"/>
    <n v="1"/>
    <s v=""/>
    <n v="1"/>
    <n v="1"/>
    <n v="1"/>
    <n v="0"/>
    <n v="0"/>
  </r>
  <r>
    <n v="2221"/>
    <s v="procaine penicillin"/>
    <n v="2221"/>
    <e v="#NAME?"/>
    <s v="procaine penicillin"/>
    <x v="1"/>
    <n v="19"/>
    <s v="Current STI Medications"/>
    <m/>
    <m/>
    <s v="ST.3. Service Provision"/>
    <x v="13"/>
    <m/>
    <s v="3.3 Provide treatment"/>
    <s v="ST.DE.167"/>
    <m/>
    <m/>
    <m/>
    <m/>
    <m/>
    <m/>
    <s v="procaine penicillin"/>
    <m/>
    <s v="No"/>
    <m/>
    <s v="Yes"/>
    <s v="O"/>
    <s v="If client's drug allergy =  this medication class, do not include option"/>
    <m/>
    <m/>
    <m/>
    <m/>
    <s v="DL Treatment Recs"/>
    <m/>
    <m/>
    <s v=""/>
    <x v="3"/>
    <x v="0"/>
    <m/>
    <m/>
    <m/>
    <x v="2"/>
    <s v="JS"/>
    <m/>
    <m/>
    <m/>
    <m/>
    <s v=""/>
    <m/>
    <x v="2"/>
    <e v="#NAME?"/>
    <m/>
    <x v="1"/>
    <m/>
    <s v=""/>
    <s v="pen G x"/>
    <m/>
    <s v=""/>
    <m/>
    <m/>
    <s v="1008532"/>
    <s v=""/>
    <s v=""/>
    <m/>
    <s v="c2052688"/>
    <s v=""/>
    <s v=""/>
    <s v=""/>
    <s v=""/>
    <s v=""/>
    <m/>
    <m/>
    <m/>
    <x v="2"/>
    <n v="0"/>
    <x v="2"/>
    <x v="100"/>
    <n v="1"/>
    <s v=""/>
    <n v="1"/>
    <n v="1"/>
    <n v="1"/>
    <n v="0"/>
    <n v="0"/>
  </r>
  <r>
    <n v="2222"/>
    <s v="silver nitrate"/>
    <n v="2222"/>
    <e v="#NAME?"/>
    <s v="silver nitrate"/>
    <x v="1"/>
    <n v="14"/>
    <s v="Current STI Medications"/>
    <m/>
    <m/>
    <s v="ST.3. Service Provision"/>
    <x v="13"/>
    <m/>
    <s v="3.3 Provide treatment"/>
    <s v="ST.DE.168"/>
    <m/>
    <m/>
    <m/>
    <m/>
    <m/>
    <m/>
    <s v="silver nitrate"/>
    <m/>
    <s v="No"/>
    <m/>
    <s v="Yes"/>
    <s v="O"/>
    <s v="If client's drug allergy =  this medication class, do not include option"/>
    <m/>
    <m/>
    <m/>
    <m/>
    <s v="DL Treatment Recs"/>
    <m/>
    <m/>
    <s v=""/>
    <x v="3"/>
    <x v="0"/>
    <m/>
    <m/>
    <m/>
    <x v="2"/>
    <s v="JS"/>
    <m/>
    <m/>
    <m/>
    <m/>
    <s v=""/>
    <m/>
    <x v="2"/>
    <e v="#NAME?"/>
    <m/>
    <x v="1"/>
    <m/>
    <s v=""/>
    <s v="x"/>
    <m/>
    <s v=""/>
    <m/>
    <m/>
    <s v="9789"/>
    <s v=""/>
    <s v=""/>
    <m/>
    <s v="c0037129"/>
    <s v=""/>
    <s v=""/>
    <s v=""/>
    <s v=""/>
    <s v=""/>
    <m/>
    <m/>
    <m/>
    <x v="2"/>
    <n v="0"/>
    <x v="2"/>
    <x v="100"/>
    <n v="1"/>
    <s v=""/>
    <n v="1"/>
    <n v="1"/>
    <n v="1"/>
    <n v="0"/>
    <n v="0"/>
  </r>
  <r>
    <n v="2223"/>
    <s v="clotrimazole"/>
    <n v="2223"/>
    <e v="#NAME?"/>
    <s v="clotrimazole"/>
    <x v="1"/>
    <n v="12"/>
    <s v="Current STI Medications"/>
    <m/>
    <m/>
    <s v="ST.3. Service Provision"/>
    <x v="13"/>
    <m/>
    <s v="3.3 Provide treatment"/>
    <s v="ST.DE.169"/>
    <m/>
    <m/>
    <m/>
    <m/>
    <m/>
    <m/>
    <s v="clotrimazole"/>
    <m/>
    <s v="No"/>
    <m/>
    <s v="Yes"/>
    <s v="O"/>
    <s v="If client's drug allergy =  this medication class, do not include option"/>
    <m/>
    <m/>
    <m/>
    <m/>
    <s v="DL Treatment Recs"/>
    <m/>
    <m/>
    <s v=""/>
    <x v="3"/>
    <x v="0"/>
    <m/>
    <m/>
    <m/>
    <x v="2"/>
    <s v="JS"/>
    <m/>
    <m/>
    <m/>
    <m/>
    <s v=""/>
    <m/>
    <x v="2"/>
    <e v="#NAME?"/>
    <m/>
    <x v="1"/>
    <m/>
    <s v=""/>
    <s v="x"/>
    <m/>
    <s v=""/>
    <m/>
    <m/>
    <s v="2623"/>
    <s v=""/>
    <s v=""/>
    <m/>
    <s v="c0009074"/>
    <s v=""/>
    <s v=""/>
    <s v=""/>
    <s v=""/>
    <s v=""/>
    <m/>
    <m/>
    <m/>
    <x v="2"/>
    <n v="0"/>
    <x v="2"/>
    <x v="100"/>
    <n v="1"/>
    <s v=""/>
    <n v="1"/>
    <n v="1"/>
    <n v="1"/>
    <n v="0"/>
    <n v="0"/>
  </r>
  <r>
    <n v="2224"/>
    <s v="spectinomycin"/>
    <n v="2224"/>
    <e v="#NAME?"/>
    <s v="spectinomycin"/>
    <x v="1"/>
    <n v="13"/>
    <s v="Current STI Medications"/>
    <m/>
    <m/>
    <s v="ST.3. Service Provision"/>
    <x v="13"/>
    <m/>
    <s v="3.3 Provide treatment"/>
    <s v="ST.DE.170"/>
    <m/>
    <m/>
    <m/>
    <m/>
    <m/>
    <m/>
    <s v="spectinomycin"/>
    <m/>
    <s v="No"/>
    <m/>
    <s v="Yes"/>
    <s v="O"/>
    <s v="If client's drug allergy =  this medication class, do not include option"/>
    <m/>
    <m/>
    <m/>
    <m/>
    <s v="DL Treatment Recs"/>
    <m/>
    <m/>
    <s v=""/>
    <x v="3"/>
    <x v="0"/>
    <m/>
    <m/>
    <m/>
    <x v="2"/>
    <s v="JS"/>
    <m/>
    <m/>
    <m/>
    <m/>
    <s v=""/>
    <m/>
    <x v="2"/>
    <e v="#NAME?"/>
    <m/>
    <x v="1"/>
    <m/>
    <s v=""/>
    <s v="x"/>
    <m/>
    <s v=""/>
    <m/>
    <m/>
    <s v="270"/>
    <s v=""/>
    <s v=""/>
    <m/>
    <s v="c0001268"/>
    <s v=""/>
    <s v=""/>
    <s v=""/>
    <s v=""/>
    <s v=""/>
    <m/>
    <m/>
    <m/>
    <x v="2"/>
    <n v="0"/>
    <x v="2"/>
    <x v="100"/>
    <n v="1"/>
    <s v=""/>
    <n v="1"/>
    <n v="1"/>
    <n v="1"/>
    <n v="0"/>
    <n v="0"/>
  </r>
  <r>
    <n v="2225"/>
    <s v="tetracycline"/>
    <n v="2225"/>
    <e v="#NAME?"/>
    <s v="tetracycline"/>
    <x v="1"/>
    <n v="12"/>
    <s v="Current STI Medications"/>
    <m/>
    <m/>
    <s v="ST.3. Service Provision"/>
    <x v="13"/>
    <m/>
    <s v="3.3 Provide treatment"/>
    <s v="ST.DE.171"/>
    <m/>
    <m/>
    <m/>
    <m/>
    <m/>
    <m/>
    <s v="tetracycline"/>
    <m/>
    <s v="No"/>
    <m/>
    <s v="Yes"/>
    <s v="O"/>
    <s v="If client's drug allergy =  this medication class, do not include option"/>
    <m/>
    <m/>
    <m/>
    <m/>
    <s v="DL Treatment Recs"/>
    <m/>
    <m/>
    <s v=""/>
    <x v="3"/>
    <x v="0"/>
    <m/>
    <m/>
    <m/>
    <x v="2"/>
    <s v="JS"/>
    <m/>
    <m/>
    <m/>
    <m/>
    <s v=""/>
    <m/>
    <x v="2"/>
    <e v="#NAME?"/>
    <m/>
    <x v="1"/>
    <m/>
    <s v=""/>
    <s v="x"/>
    <m/>
    <s v=""/>
    <m/>
    <m/>
    <s v="10395"/>
    <s v=""/>
    <s v=""/>
    <m/>
    <s v="c0039644"/>
    <s v=""/>
    <s v=""/>
    <s v=""/>
    <s v=""/>
    <s v=""/>
    <m/>
    <m/>
    <m/>
    <x v="2"/>
    <n v="0"/>
    <x v="2"/>
    <x v="100"/>
    <n v="1"/>
    <s v=""/>
    <n v="1"/>
    <n v="1"/>
    <n v="1"/>
    <n v="0"/>
    <n v="0"/>
  </r>
  <r>
    <n v="2226"/>
    <s v="tetracycline hydrochloride"/>
    <n v="2226"/>
    <e v="#NAME?"/>
    <s v="tetracycline hydrochloride"/>
    <x v="1"/>
    <n v="26"/>
    <s v="Current STI Medications"/>
    <m/>
    <m/>
    <s v="ST.3. Service Provision"/>
    <x v="13"/>
    <m/>
    <s v="3.3 Provide treatment"/>
    <s v="ST.DE.172"/>
    <m/>
    <m/>
    <m/>
    <m/>
    <m/>
    <m/>
    <s v="tetracycline hydrochloride"/>
    <m/>
    <s v="No"/>
    <m/>
    <s v="Yes"/>
    <s v="O"/>
    <s v="If client's drug allergy =  this medication class, do not include option"/>
    <m/>
    <m/>
    <m/>
    <m/>
    <s v="DL Treatment Recs"/>
    <m/>
    <m/>
    <s v=""/>
    <x v="3"/>
    <x v="0"/>
    <m/>
    <m/>
    <m/>
    <x v="2"/>
    <s v="JS"/>
    <m/>
    <m/>
    <m/>
    <m/>
    <s v=""/>
    <m/>
    <x v="2"/>
    <e v="#NAME?"/>
    <m/>
    <x v="1"/>
    <m/>
    <s v=""/>
    <s v="x"/>
    <m/>
    <s v=""/>
    <m/>
    <m/>
    <s v="142446"/>
    <s v=""/>
    <s v=""/>
    <m/>
    <s v="c0546879"/>
    <s v=""/>
    <s v=""/>
    <s v=""/>
    <s v=""/>
    <s v=""/>
    <m/>
    <m/>
    <m/>
    <x v="2"/>
    <n v="0"/>
    <x v="2"/>
    <x v="100"/>
    <n v="1"/>
    <s v=""/>
    <n v="1"/>
    <n v="1"/>
    <n v="1"/>
    <n v="0"/>
    <n v="0"/>
  </r>
  <r>
    <n v="2227"/>
    <s v="tinidazolea"/>
    <n v="2227"/>
    <e v="#NAME?"/>
    <s v="tinidazolea"/>
    <x v="1"/>
    <n v="11"/>
    <s v="Current STI Medications"/>
    <m/>
    <m/>
    <s v="ST.3. Service Provision"/>
    <x v="13"/>
    <m/>
    <s v="3.3 Provide treatment"/>
    <s v="ST.DE.173"/>
    <m/>
    <m/>
    <m/>
    <m/>
    <m/>
    <m/>
    <s v="tinidazolea"/>
    <m/>
    <s v="No"/>
    <m/>
    <s v="Yes"/>
    <s v="O"/>
    <s v="If client's drug allergy =  this medication class, do not include option"/>
    <m/>
    <m/>
    <m/>
    <m/>
    <s v="DL Treatment Recs"/>
    <m/>
    <m/>
    <s v=""/>
    <x v="3"/>
    <x v="0"/>
    <m/>
    <m/>
    <m/>
    <x v="2"/>
    <s v="JS"/>
    <m/>
    <m/>
    <m/>
    <m/>
    <s v=""/>
    <m/>
    <x v="2"/>
    <e v="#NAME?"/>
    <m/>
    <x v="1"/>
    <m/>
    <s v=""/>
    <s v="x tinidazole"/>
    <m/>
    <s v=""/>
    <m/>
    <m/>
    <s v="10612"/>
    <s v=""/>
    <s v=""/>
    <m/>
    <s v="c0040263"/>
    <s v=""/>
    <s v=""/>
    <s v=""/>
    <s v=""/>
    <s v=""/>
    <m/>
    <m/>
    <m/>
    <x v="2"/>
    <n v="0"/>
    <x v="2"/>
    <x v="100"/>
    <n v="1"/>
    <s v=""/>
    <n v="1"/>
    <n v="1"/>
    <n v="1"/>
    <n v="0"/>
    <n v="0"/>
  </r>
  <r>
    <n v="2228"/>
    <s v="trichloracetic acid "/>
    <n v="2228"/>
    <e v="#NAME?"/>
    <s v="trichloracetic acid "/>
    <x v="1"/>
    <n v="20"/>
    <s v="Current STI Medications"/>
    <m/>
    <m/>
    <s v="ST.3. Service Provision"/>
    <x v="13"/>
    <m/>
    <s v="3.3 Provide treatment"/>
    <s v="ST.DE.437"/>
    <m/>
    <m/>
    <m/>
    <m/>
    <m/>
    <m/>
    <s v="trichloracetic acid "/>
    <m/>
    <s v="No"/>
    <m/>
    <s v="Yes"/>
    <s v="O"/>
    <s v="If client's drug allergy =  this medication class, do not include option"/>
    <m/>
    <m/>
    <m/>
    <m/>
    <s v="DL Treatment Recs"/>
    <m/>
    <m/>
    <s v=""/>
    <x v="3"/>
    <x v="0"/>
    <m/>
    <m/>
    <m/>
    <x v="2"/>
    <s v="JS"/>
    <m/>
    <m/>
    <m/>
    <m/>
    <s v=""/>
    <m/>
    <x v="2"/>
    <e v="#NAME?"/>
    <m/>
    <x v="1"/>
    <m/>
    <s v=""/>
    <s v="x"/>
    <m/>
    <s v=""/>
    <m/>
    <m/>
    <s v="10773"/>
    <s v=""/>
    <s v=""/>
    <m/>
    <s v="c0040900"/>
    <s v=""/>
    <s v=""/>
    <s v=""/>
    <s v=""/>
    <s v=""/>
    <m/>
    <m/>
    <m/>
    <x v="2"/>
    <n v="0"/>
    <x v="2"/>
    <x v="100"/>
    <n v="1"/>
    <s v=""/>
    <n v="1"/>
    <n v="1"/>
    <n v="1"/>
    <n v="0"/>
    <n v="0"/>
  </r>
  <r>
    <n v="2229"/>
    <s v="valaciclovir"/>
    <n v="2229"/>
    <e v="#NAME?"/>
    <s v="valaciclovir"/>
    <x v="1"/>
    <n v="12"/>
    <s v="Current STI Medications"/>
    <m/>
    <m/>
    <s v="ST.3. Service Provision"/>
    <x v="13"/>
    <m/>
    <s v="3.3 Provide treatment"/>
    <s v="ST.DE.174"/>
    <m/>
    <m/>
    <m/>
    <m/>
    <m/>
    <m/>
    <s v="valaciclovir"/>
    <m/>
    <s v="No"/>
    <m/>
    <s v="Yes"/>
    <s v="O"/>
    <s v="If client's drug allergy =  this medication class, do not include option"/>
    <m/>
    <m/>
    <m/>
    <m/>
    <s v="DL Treatment Recs"/>
    <m/>
    <m/>
    <s v=""/>
    <x v="3"/>
    <x v="0"/>
    <m/>
    <m/>
    <m/>
    <x v="2"/>
    <s v="JS"/>
    <m/>
    <m/>
    <m/>
    <m/>
    <s v=""/>
    <m/>
    <x v="2"/>
    <e v="#NAME?"/>
    <m/>
    <x v="1"/>
    <m/>
    <s v=""/>
    <s v="x"/>
    <m/>
    <s v=""/>
    <m/>
    <m/>
    <s v="73645"/>
    <s v=""/>
    <s v=""/>
    <m/>
    <s v="c0249458"/>
    <s v=""/>
    <s v=""/>
    <s v=""/>
    <s v=""/>
    <s v=""/>
    <m/>
    <m/>
    <m/>
    <x v="2"/>
    <n v="0"/>
    <x v="2"/>
    <x v="100"/>
    <n v="1"/>
    <s v=""/>
    <n v="1"/>
    <n v="1"/>
    <n v="1"/>
    <n v="0"/>
    <n v="0"/>
  </r>
  <r>
    <n v="2230"/>
    <s v="amoxicillin"/>
    <n v="2230"/>
    <e v="#NAME?"/>
    <s v="amoxicillin"/>
    <x v="1"/>
    <n v="11"/>
    <s v="Current STI Medications"/>
    <m/>
    <m/>
    <s v="ST.3. Service Provision"/>
    <x v="13"/>
    <m/>
    <s v="3.3 Provide treatment"/>
    <s v="ST.DE.175"/>
    <m/>
    <m/>
    <m/>
    <m/>
    <m/>
    <m/>
    <s v="amoxicillin"/>
    <m/>
    <s v="No"/>
    <m/>
    <s v="Yes"/>
    <s v="O"/>
    <s v="If client's drug allergy =  this medication class, do not include option"/>
    <m/>
    <m/>
    <m/>
    <m/>
    <s v="DL Treatment Recs"/>
    <m/>
    <m/>
    <s v=""/>
    <x v="3"/>
    <x v="0"/>
    <m/>
    <m/>
    <m/>
    <x v="2"/>
    <s v="JS"/>
    <m/>
    <m/>
    <m/>
    <m/>
    <s v=""/>
    <m/>
    <x v="2"/>
    <e v="#NAME?"/>
    <m/>
    <x v="1"/>
    <m/>
    <s v=""/>
    <s v="x"/>
    <m/>
    <s v=""/>
    <m/>
    <m/>
    <s v="723"/>
    <s v=""/>
    <s v=""/>
    <m/>
    <s v="c0002645"/>
    <s v=""/>
    <s v=""/>
    <s v=""/>
    <s v=""/>
    <s v=""/>
    <m/>
    <m/>
    <m/>
    <x v="2"/>
    <n v="0"/>
    <x v="2"/>
    <x v="100"/>
    <n v="1"/>
    <s v=""/>
    <n v="1"/>
    <n v="1"/>
    <n v="1"/>
    <n v="0"/>
    <n v="0"/>
  </r>
  <r>
    <n v="1932"/>
    <s v="None"/>
    <n v="1932"/>
    <e v="#NAME?"/>
    <n v="0"/>
    <x v="1"/>
    <n v="4"/>
    <s v="Current STI Medications"/>
    <m/>
    <m/>
    <s v="ST.2 Consultation"/>
    <x v="15"/>
    <m/>
    <s v="2.2 Capture or update client history"/>
    <s v="ST.DE.295"/>
    <m/>
    <m/>
    <m/>
    <m/>
    <s v="None"/>
    <m/>
    <m/>
    <m/>
    <m/>
    <m/>
    <s v="Yes"/>
    <m/>
    <m/>
    <m/>
    <m/>
    <m/>
    <m/>
    <m/>
    <m/>
    <m/>
    <s v=""/>
    <x v="3"/>
    <x v="1"/>
    <m/>
    <s v=""/>
    <s v=""/>
    <x v="2"/>
    <s v="JS"/>
    <m/>
    <m/>
    <m/>
    <m/>
    <s v=""/>
    <m/>
    <x v="2"/>
    <e v="#NAME?"/>
    <m/>
    <x v="1"/>
    <m/>
    <s v=""/>
    <s v=""/>
    <m/>
    <s v=""/>
    <s v="787481004"/>
    <m/>
    <m/>
    <s v=""/>
    <s v=""/>
    <s v="x"/>
    <s v=""/>
    <s v=""/>
    <s v=""/>
    <s v=""/>
    <s v=""/>
    <s v=""/>
    <m/>
    <m/>
    <m/>
    <x v="2"/>
    <n v="0"/>
    <x v="2"/>
    <x v="100"/>
    <n v="1"/>
    <s v=""/>
    <n v="1"/>
    <n v="1"/>
    <n v="1"/>
    <n v="0"/>
    <n v="0"/>
  </r>
  <r>
    <n v="1933"/>
    <s v="Don't know"/>
    <n v="1933"/>
    <e v="#NAME?"/>
    <n v="0"/>
    <x v="1"/>
    <n v="10"/>
    <s v="Current STI Medications"/>
    <m/>
    <m/>
    <s v="ST.2 Consultation"/>
    <x v="15"/>
    <m/>
    <s v="2.2 Capture or update client history"/>
    <s v="ST.DE.296"/>
    <m/>
    <m/>
    <m/>
    <m/>
    <s v="Don't know"/>
    <m/>
    <m/>
    <m/>
    <m/>
    <m/>
    <s v="Yes"/>
    <m/>
    <m/>
    <m/>
    <m/>
    <m/>
    <m/>
    <m/>
    <m/>
    <m/>
    <s v=""/>
    <x v="3"/>
    <x v="1"/>
    <m/>
    <s v=""/>
    <s v=""/>
    <x v="2"/>
    <s v="JS"/>
    <m/>
    <m/>
    <m/>
    <m/>
    <s v=""/>
    <m/>
    <x v="2"/>
    <e v="#NAME?"/>
    <m/>
    <x v="1"/>
    <m/>
    <s v=""/>
    <s v=""/>
    <m/>
    <s v=""/>
    <s v="261665006"/>
    <m/>
    <m/>
    <s v=""/>
    <s v=""/>
    <s v="x"/>
    <s v=""/>
    <s v=""/>
    <s v=""/>
    <s v=""/>
    <s v=""/>
    <s v=""/>
    <m/>
    <m/>
    <m/>
    <x v="2"/>
    <n v="0"/>
    <x v="2"/>
    <x v="100"/>
    <n v="1"/>
    <s v=""/>
    <n v="1"/>
    <n v="1"/>
    <n v="1"/>
    <n v="0"/>
    <n v="0"/>
  </r>
  <r>
    <n v="1935"/>
    <s v="Other "/>
    <n v="1935"/>
    <e v="#NAME?"/>
    <n v="0"/>
    <x v="1"/>
    <n v="6"/>
    <s v="Current STI Medications"/>
    <m/>
    <m/>
    <s v="ST.2 Consultation"/>
    <x v="15"/>
    <m/>
    <s v="2.2 Capture or update client history"/>
    <s v="ST.DE.220"/>
    <m/>
    <m/>
    <m/>
    <m/>
    <s v="Other "/>
    <s v="specify)"/>
    <m/>
    <m/>
    <m/>
    <m/>
    <s v="Yes"/>
    <m/>
    <m/>
    <m/>
    <m/>
    <m/>
    <m/>
    <m/>
    <m/>
    <m/>
    <s v=""/>
    <x v="3"/>
    <x v="1"/>
    <m/>
    <s v=""/>
    <s v=""/>
    <x v="2"/>
    <s v="JS"/>
    <m/>
    <m/>
    <m/>
    <m/>
    <s v=""/>
    <m/>
    <x v="2"/>
    <e v="#NAME?"/>
    <m/>
    <x v="1"/>
    <s v="http://who.int/cg/CodeSystem/extended-content"/>
    <s v="Other"/>
    <s v=""/>
    <m/>
    <s v=""/>
    <m/>
    <m/>
    <m/>
    <s v=""/>
    <s v=""/>
    <m/>
    <s v=""/>
    <s v=""/>
    <s v=""/>
    <s v=""/>
    <s v=""/>
    <s v=""/>
    <m/>
    <m/>
    <m/>
    <x v="2"/>
    <n v="0"/>
    <x v="2"/>
    <x v="100"/>
    <n v="1"/>
    <s v=""/>
    <n v="1"/>
    <n v="1"/>
    <n v="1"/>
    <n v="0"/>
    <n v="0"/>
  </r>
  <r>
    <n v="1936"/>
    <s v="Other (specify) - STI treatment medication history"/>
    <n v="1936"/>
    <s v="Other (specify)"/>
    <s v="Other (specify)"/>
    <x v="0"/>
    <n v="50"/>
    <s v=""/>
    <m/>
    <m/>
    <s v="ST.2 Consultation"/>
    <x v="10"/>
    <m/>
    <s v="2.2 Capture or update client history"/>
    <s v="ST.DE.301"/>
    <m/>
    <s v="Other (specify)"/>
    <m/>
    <s v="Write in the medication not included in the list."/>
    <s v="Text"/>
    <m/>
    <m/>
    <m/>
    <s v="No"/>
    <m/>
    <s v="Yes"/>
    <s v="C"/>
    <s v="Include if drug allergies = Other (specify)"/>
    <m/>
    <m/>
    <m/>
    <m/>
    <m/>
    <m/>
    <m/>
    <s v=""/>
    <x v="43"/>
    <x v="6"/>
    <s v="FHIR"/>
    <s v="4.0.1"/>
    <s v=""/>
    <x v="78"/>
    <s v="JS"/>
    <m/>
    <m/>
    <m/>
    <m/>
    <s v=""/>
    <m/>
    <x v="2"/>
    <s v="&quot;Other (specify)&quot;-&gt;&quot;Other (specify) - STI treatment medication history&quot;"/>
    <m/>
    <x v="0"/>
    <m/>
    <s v=""/>
    <s v=""/>
    <m/>
    <s v=""/>
    <m/>
    <m/>
    <m/>
    <s v="No terminology code required"/>
    <s v=""/>
    <m/>
    <s v=""/>
    <s v=""/>
    <s v=""/>
    <s v=""/>
    <s v=""/>
    <s v=""/>
    <m/>
    <m/>
    <m/>
    <x v="7"/>
    <s v=""/>
    <x v="8"/>
    <x v="79"/>
    <n v="1"/>
    <n v="0"/>
    <n v="1"/>
    <n v="1"/>
    <n v="1"/>
    <n v="0"/>
    <n v="0"/>
  </r>
  <r>
    <n v="2231"/>
    <s v="Type of treatment"/>
    <n v="2231"/>
    <s v="Type of treatment"/>
    <s v="Type of treatment"/>
    <x v="0"/>
    <n v="17"/>
    <s v=""/>
    <m/>
    <m/>
    <s v="ST.3. Service Provision"/>
    <x v="13"/>
    <m/>
    <s v="3.3 Provide treatment"/>
    <s v="ST.DE.176"/>
    <m/>
    <s v="Type of treatment"/>
    <m/>
    <m/>
    <s v="Coding"/>
    <m/>
    <m/>
    <m/>
    <s v="No"/>
    <m/>
    <s v="Yes"/>
    <s v="O"/>
    <m/>
    <m/>
    <m/>
    <m/>
    <m/>
    <s v="DL Treatment Recs"/>
    <m/>
    <m/>
    <s v=""/>
    <x v="61"/>
    <x v="5"/>
    <s v="Extension Needed"/>
    <s v="4.0.1"/>
    <s v=""/>
    <x v="99"/>
    <s v="JS"/>
    <m/>
    <m/>
    <m/>
    <m/>
    <s v=""/>
    <m/>
    <x v="2"/>
    <s v=""/>
    <m/>
    <x v="1"/>
    <s v="http://who.int/cg/CodeSystem/extended-content"/>
    <s v="Type of treatment"/>
    <s v=""/>
    <m/>
    <s v=""/>
    <m/>
    <m/>
    <m/>
    <s v="No LOINC code available"/>
    <s v=""/>
    <m/>
    <s v="Underspecified"/>
    <s v=""/>
    <s v=""/>
    <s v=""/>
    <s v=""/>
    <s v=""/>
    <m/>
    <m/>
    <m/>
    <x v="7"/>
    <s v=""/>
    <x v="8"/>
    <x v="100"/>
    <n v="1"/>
    <n v="1"/>
    <n v="0"/>
    <n v="0"/>
    <n v="0"/>
    <n v="0"/>
    <n v="1"/>
  </r>
  <r>
    <n v="2232"/>
    <s v="       dual therapy"/>
    <n v="2232"/>
    <e v="#NAME?"/>
    <s v="dual therapy"/>
    <x v="1"/>
    <n v="19"/>
    <s v="Type of treatment"/>
    <m/>
    <m/>
    <s v="ST.3. Service Provision"/>
    <x v="13"/>
    <m/>
    <s v="3.3 Provide treatment"/>
    <s v="ST.DE.177"/>
    <m/>
    <m/>
    <m/>
    <m/>
    <m/>
    <m/>
    <s v="dual therapy"/>
    <m/>
    <s v="No"/>
    <m/>
    <s v="Yes"/>
    <s v="O"/>
    <m/>
    <m/>
    <m/>
    <m/>
    <m/>
    <s v="DL Treatment Recs"/>
    <m/>
    <m/>
    <s v=""/>
    <x v="3"/>
    <x v="9"/>
    <m/>
    <s v=" "/>
    <s v=""/>
    <x v="2"/>
    <s v="JS"/>
    <m/>
    <m/>
    <m/>
    <m/>
    <s v=""/>
    <m/>
    <x v="2"/>
    <e v="#NAME?"/>
    <m/>
    <x v="1"/>
    <s v="http://who.int/cg/CodeSystem/extended-content"/>
    <s v="dual therapy"/>
    <s v="?"/>
    <m/>
    <s v=""/>
    <m/>
    <m/>
    <m/>
    <s v="No SNOMED code available"/>
    <m/>
    <m/>
    <s v="HL7V3. DU"/>
    <s v=""/>
    <s v=""/>
    <s v=""/>
    <s v=""/>
    <s v=""/>
    <m/>
    <m/>
    <m/>
    <x v="2"/>
    <n v="0"/>
    <x v="2"/>
    <x v="100"/>
    <n v="1"/>
    <s v=""/>
    <n v="1"/>
    <n v="1"/>
    <n v="1"/>
    <n v="0"/>
    <n v="0"/>
  </r>
  <r>
    <n v="2233"/>
    <s v="       episodic therapy"/>
    <n v="2233"/>
    <e v="#NAME?"/>
    <s v="episodic therapy"/>
    <x v="1"/>
    <n v="23"/>
    <s v="Type of treatment"/>
    <m/>
    <m/>
    <s v="ST.3. Service Provision"/>
    <x v="13"/>
    <m/>
    <s v="3.3 Provide treatment"/>
    <s v="ST.DE.178"/>
    <m/>
    <m/>
    <m/>
    <m/>
    <m/>
    <m/>
    <s v="episodic therapy"/>
    <m/>
    <s v="No"/>
    <m/>
    <s v="Yes"/>
    <s v="O"/>
    <m/>
    <m/>
    <m/>
    <m/>
    <m/>
    <s v="DL Treatment Recs"/>
    <m/>
    <m/>
    <s v=""/>
    <x v="3"/>
    <x v="1"/>
    <m/>
    <s v=""/>
    <s v=""/>
    <x v="2"/>
    <s v="JS"/>
    <m/>
    <m/>
    <m/>
    <m/>
    <s v=""/>
    <m/>
    <x v="2"/>
    <e v="#NAME?"/>
    <m/>
    <x v="1"/>
    <s v="http://who.int/cg/CodeSystem/extended-content"/>
    <s v="       episodic therapy"/>
    <s v="x"/>
    <m/>
    <s v=""/>
    <s v="278499009"/>
    <m/>
    <m/>
    <s v=""/>
    <m/>
    <m/>
    <s v="SNOMED qualified"/>
    <s v=""/>
    <s v=""/>
    <s v=""/>
    <s v=""/>
    <s v=""/>
    <m/>
    <m/>
    <m/>
    <x v="2"/>
    <n v="0"/>
    <x v="2"/>
    <x v="100"/>
    <n v="1"/>
    <s v=""/>
    <n v="1"/>
    <n v="1"/>
    <n v="1"/>
    <n v="0"/>
    <n v="0"/>
  </r>
  <r>
    <n v="2234"/>
    <s v="       single therapy"/>
    <n v="2234"/>
    <e v="#NAME?"/>
    <s v="single therapy"/>
    <x v="1"/>
    <n v="21"/>
    <s v="Type of treatment"/>
    <m/>
    <m/>
    <s v="ST.3. Service Provision"/>
    <x v="13"/>
    <m/>
    <s v="3.3 Provide treatment"/>
    <s v="ST.DE.179"/>
    <m/>
    <m/>
    <m/>
    <m/>
    <m/>
    <m/>
    <s v="single therapy"/>
    <m/>
    <s v="No"/>
    <m/>
    <s v="Yes"/>
    <s v="O"/>
    <m/>
    <m/>
    <m/>
    <m/>
    <m/>
    <s v="DL Treatment Recs"/>
    <m/>
    <m/>
    <s v=""/>
    <x v="3"/>
    <x v="1"/>
    <m/>
    <s v=""/>
    <s v=""/>
    <x v="2"/>
    <s v="JS"/>
    <m/>
    <m/>
    <m/>
    <m/>
    <s v=""/>
    <m/>
    <x v="2"/>
    <e v="#NAME?"/>
    <m/>
    <x v="1"/>
    <s v="http://who.int/cg/CodeSystem/extended-content"/>
    <s v="single therapy"/>
    <s v="/"/>
    <m/>
    <s v=""/>
    <m/>
    <m/>
    <m/>
    <s v="No SNOMED code available"/>
    <m/>
    <m/>
    <s v="C157514- NCI code (but that is for chemotherapy)"/>
    <s v=""/>
    <s v=""/>
    <s v=""/>
    <s v=""/>
    <s v=""/>
    <m/>
    <m/>
    <m/>
    <x v="2"/>
    <n v="0"/>
    <x v="2"/>
    <x v="100"/>
    <n v="1"/>
    <s v=""/>
    <n v="1"/>
    <n v="1"/>
    <n v="1"/>
    <n v="0"/>
    <n v="0"/>
  </r>
  <r>
    <n v="2235"/>
    <s v="       WHO recommended therapy (not entered)"/>
    <n v="2235"/>
    <e v="#NAME?"/>
    <s v="WHO recommended therapy (not entered)"/>
    <x v="1"/>
    <n v="44"/>
    <s v="Type of treatment"/>
    <m/>
    <m/>
    <s v="ST.3. Service Provision"/>
    <x v="13"/>
    <m/>
    <s v="3.3 Provide treatment"/>
    <s v="ST.DE.180"/>
    <m/>
    <m/>
    <m/>
    <m/>
    <m/>
    <m/>
    <s v="WHO recommended therapy (not entered)"/>
    <m/>
    <s v="No"/>
    <m/>
    <s v="Yes"/>
    <s v="O"/>
    <m/>
    <m/>
    <m/>
    <m/>
    <m/>
    <s v="DL Treatment Recs"/>
    <m/>
    <m/>
    <s v=""/>
    <x v="3"/>
    <x v="1"/>
    <m/>
    <s v=""/>
    <s v=""/>
    <x v="2"/>
    <s v="JS"/>
    <m/>
    <m/>
    <m/>
    <m/>
    <s v=""/>
    <m/>
    <x v="2"/>
    <e v="#NAME?"/>
    <m/>
    <x v="1"/>
    <s v="http://who.int/cg/CodeSystem/extended-content"/>
    <s v="WHO recommended therapy (not entered)"/>
    <s v="?"/>
    <m/>
    <s v=""/>
    <m/>
    <m/>
    <m/>
    <s v="No SNOMED code available"/>
    <m/>
    <m/>
    <s v="MEDCIN 341303 plus WHO"/>
    <s v=""/>
    <s v=""/>
    <s v=""/>
    <s v=""/>
    <s v=""/>
    <m/>
    <m/>
    <m/>
    <x v="2"/>
    <n v="0"/>
    <x v="2"/>
    <x v="100"/>
    <n v="1"/>
    <s v=""/>
    <n v="1"/>
    <n v="1"/>
    <n v="1"/>
    <n v="0"/>
    <n v="0"/>
  </r>
  <r>
    <n v="2236"/>
    <s v="       suppressive therapy"/>
    <n v="2236"/>
    <e v="#NAME?"/>
    <s v="suppressive therapy"/>
    <x v="1"/>
    <n v="26"/>
    <s v="Type of treatment"/>
    <m/>
    <m/>
    <s v="ST.3. Service Provision"/>
    <x v="13"/>
    <m/>
    <s v="3.3 Provide treatment"/>
    <s v="ST.DE.181"/>
    <m/>
    <m/>
    <m/>
    <m/>
    <m/>
    <m/>
    <s v="suppressive therapy"/>
    <m/>
    <s v="No"/>
    <m/>
    <s v="Yes"/>
    <s v="O"/>
    <m/>
    <m/>
    <m/>
    <m/>
    <m/>
    <s v="DL Treatment Recs"/>
    <m/>
    <m/>
    <s v=""/>
    <x v="3"/>
    <x v="1"/>
    <m/>
    <s v=""/>
    <s v=""/>
    <x v="2"/>
    <s v="JS"/>
    <m/>
    <m/>
    <m/>
    <m/>
    <s v=""/>
    <m/>
    <x v="2"/>
    <e v="#NAME?"/>
    <m/>
    <x v="1"/>
    <s v="http://who.int/cg/CodeSystem/extended-content"/>
    <s v="       suppressive therapy"/>
    <s v="?"/>
    <m/>
    <s v=""/>
    <s v="244840000"/>
    <m/>
    <m/>
    <s v=""/>
    <m/>
    <m/>
    <s v="C155924- NVI; suppressive antiretroviral"/>
    <s v=""/>
    <s v=""/>
    <s v=""/>
    <s v=""/>
    <s v=""/>
    <m/>
    <m/>
    <m/>
    <x v="2"/>
    <n v="0"/>
    <x v="2"/>
    <x v="100"/>
    <n v="1"/>
    <s v=""/>
    <n v="1"/>
    <n v="1"/>
    <n v="1"/>
    <n v="0"/>
    <n v="0"/>
  </r>
  <r>
    <n v="2237"/>
    <s v="       application"/>
    <n v="2237"/>
    <e v="#NAME?"/>
    <s v="application"/>
    <x v="1"/>
    <n v="18"/>
    <s v="Type of treatment"/>
    <m/>
    <m/>
    <s v="ST.3. Service Provision"/>
    <x v="13"/>
    <m/>
    <s v="3.3 Provide treatment"/>
    <s v="ST.DE.181"/>
    <m/>
    <m/>
    <s v="Application of treatment to area"/>
    <m/>
    <m/>
    <m/>
    <s v="application"/>
    <m/>
    <s v="No"/>
    <m/>
    <s v="Yes"/>
    <s v="O"/>
    <m/>
    <m/>
    <m/>
    <m/>
    <m/>
    <s v="DL Treatment Recs"/>
    <m/>
    <m/>
    <s v=""/>
    <x v="3"/>
    <x v="1"/>
    <m/>
    <s v=""/>
    <s v=""/>
    <x v="2"/>
    <s v="JS"/>
    <m/>
    <m/>
    <m/>
    <m/>
    <s v=""/>
    <m/>
    <x v="2"/>
    <e v="#NAME?"/>
    <m/>
    <x v="1"/>
    <s v="http://who.int/cg/CodeSystem/extended-content"/>
    <s v="       application"/>
    <s v=""/>
    <m/>
    <s v=""/>
    <s v="413568008"/>
    <m/>
    <m/>
    <s v=""/>
    <s v=""/>
    <m/>
    <s v=""/>
    <s v=""/>
    <s v=""/>
    <s v=""/>
    <s v=""/>
    <s v=""/>
    <m/>
    <m/>
    <m/>
    <x v="2"/>
    <n v="0"/>
    <x v="2"/>
    <x v="100"/>
    <n v="1"/>
    <s v=""/>
    <n v="1"/>
    <n v="1"/>
    <n v="1"/>
    <n v="0"/>
    <n v="0"/>
  </r>
  <r>
    <n v="2238"/>
    <s v="Drug form"/>
    <n v="2238"/>
    <s v="Drug form"/>
    <s v="Drug form"/>
    <x v="0"/>
    <n v="9"/>
    <s v=""/>
    <m/>
    <m/>
    <s v="ST.3. Service Provision"/>
    <x v="13"/>
    <m/>
    <s v="3.3 Provide treatment"/>
    <s v="ST.DE.184"/>
    <m/>
    <s v="Drug form"/>
    <m/>
    <s v="[System - Associated with the medication, not user selected]"/>
    <m/>
    <m/>
    <m/>
    <m/>
    <s v="No"/>
    <m/>
    <s v="Yes"/>
    <s v="O"/>
    <m/>
    <m/>
    <m/>
    <m/>
    <m/>
    <s v="DL Treatment Recs"/>
    <m/>
    <m/>
    <s v=""/>
    <x v="62"/>
    <x v="0"/>
    <s v="FHIR"/>
    <s v="4.0.1"/>
    <s v=""/>
    <x v="100"/>
    <s v="JA"/>
    <m/>
    <m/>
    <m/>
    <m/>
    <s v=""/>
    <m/>
    <x v="2"/>
    <s v=""/>
    <m/>
    <x v="1"/>
    <m/>
    <s v=""/>
    <s v=""/>
    <m/>
    <s v=""/>
    <m/>
    <m/>
    <m/>
    <s v="No terminology code required"/>
    <s v=""/>
    <m/>
    <s v=""/>
    <s v=""/>
    <s v=""/>
    <s v=""/>
    <s v=""/>
    <s v=""/>
    <m/>
    <m/>
    <m/>
    <x v="16"/>
    <s v=""/>
    <x v="17"/>
    <x v="101"/>
    <n v="1"/>
    <n v="1"/>
    <n v="1"/>
    <n v="1"/>
    <n v="1"/>
    <n v="0"/>
    <n v="0"/>
  </r>
  <r>
    <n v="2239"/>
    <s v="       gel"/>
    <n v="2239"/>
    <e v="#NAME?"/>
    <s v="gel"/>
    <x v="1"/>
    <n v="10"/>
    <s v="Drug form"/>
    <m/>
    <m/>
    <s v="ST.3. Service Provision"/>
    <x v="13"/>
    <m/>
    <s v="3.3 Provide treatment"/>
    <s v="ST.DE.185"/>
    <m/>
    <m/>
    <m/>
    <m/>
    <m/>
    <m/>
    <s v="gel"/>
    <m/>
    <s v="No"/>
    <m/>
    <s v="Yes"/>
    <s v="O"/>
    <m/>
    <m/>
    <m/>
    <m/>
    <m/>
    <s v="DL Treatment Recs"/>
    <m/>
    <m/>
    <s v=""/>
    <x v="3"/>
    <x v="9"/>
    <m/>
    <s v=" "/>
    <s v=""/>
    <x v="2"/>
    <s v="JS"/>
    <m/>
    <m/>
    <m/>
    <m/>
    <s v=""/>
    <m/>
    <x v="2"/>
    <e v="#NAME?"/>
    <m/>
    <x v="1"/>
    <m/>
    <s v=""/>
    <s v="x"/>
    <m/>
    <s v=""/>
    <s v="385100002"/>
    <m/>
    <m/>
    <s v=""/>
    <s v=""/>
    <m/>
    <s v=""/>
    <s v=""/>
    <s v=""/>
    <s v=""/>
    <s v=""/>
    <s v=""/>
    <m/>
    <m/>
    <m/>
    <x v="2"/>
    <n v="0"/>
    <x v="2"/>
    <x v="101"/>
    <n v="1"/>
    <s v=""/>
    <n v="1"/>
    <n v="1"/>
    <n v="1"/>
    <n v="0"/>
    <n v="0"/>
  </r>
  <r>
    <n v="2240"/>
    <s v="       compound tincture of benzoin"/>
    <n v="2240"/>
    <e v="#NAME?"/>
    <s v="compound tincture of benzoin"/>
    <x v="1"/>
    <n v="35"/>
    <s v="Drug form"/>
    <m/>
    <m/>
    <s v="ST.3. Service Provision"/>
    <x v="13"/>
    <m/>
    <s v="3.3 Provide treatment"/>
    <s v="ST.DE.438"/>
    <m/>
    <m/>
    <m/>
    <m/>
    <m/>
    <m/>
    <s v="compound tincture of benzoin"/>
    <m/>
    <s v="No"/>
    <m/>
    <s v="Yes"/>
    <s v="O"/>
    <m/>
    <m/>
    <m/>
    <m/>
    <m/>
    <m/>
    <m/>
    <m/>
    <s v=""/>
    <x v="3"/>
    <x v="9"/>
    <m/>
    <s v=" "/>
    <s v=""/>
    <x v="2"/>
    <s v="JS"/>
    <m/>
    <m/>
    <m/>
    <m/>
    <s v=""/>
    <m/>
    <x v="2"/>
    <e v="#NAME?"/>
    <m/>
    <x v="1"/>
    <m/>
    <s v=""/>
    <s v="x"/>
    <m/>
    <s v=""/>
    <m/>
    <m/>
    <s v="215648"/>
    <s v=""/>
    <s v=""/>
    <m/>
    <s v="C0718909"/>
    <s v=""/>
    <s v=""/>
    <s v=""/>
    <s v=""/>
    <s v=""/>
    <m/>
    <m/>
    <m/>
    <x v="2"/>
    <n v="0"/>
    <x v="2"/>
    <x v="101"/>
    <n v="1"/>
    <s v=""/>
    <n v="1"/>
    <n v="1"/>
    <n v="1"/>
    <n v="0"/>
    <n v="0"/>
  </r>
  <r>
    <n v="2241"/>
    <s v="       oral"/>
    <n v="2241"/>
    <e v="#NAME?"/>
    <s v="oral"/>
    <x v="1"/>
    <n v="11"/>
    <s v="Drug form"/>
    <m/>
    <m/>
    <s v="ST.3. Service Provision"/>
    <x v="13"/>
    <m/>
    <s v="3.3 Provide treatment"/>
    <s v="ST.DE.186"/>
    <m/>
    <m/>
    <m/>
    <m/>
    <m/>
    <m/>
    <s v="oral"/>
    <m/>
    <s v="No"/>
    <m/>
    <s v="Yes"/>
    <s v="O"/>
    <m/>
    <m/>
    <m/>
    <m/>
    <m/>
    <s v="DL Treatment Recs"/>
    <m/>
    <m/>
    <s v=""/>
    <x v="3"/>
    <x v="9"/>
    <m/>
    <s v=" "/>
    <s v=""/>
    <x v="2"/>
    <s v="JS"/>
    <m/>
    <m/>
    <m/>
    <m/>
    <s v=""/>
    <m/>
    <x v="2"/>
    <e v="#NAME?"/>
    <m/>
    <x v="1"/>
    <m/>
    <s v=""/>
    <s v="?"/>
    <m/>
    <s v=""/>
    <s v="26643006"/>
    <m/>
    <m/>
    <s v=""/>
    <m/>
    <m/>
    <s v="C102246- NCI "/>
    <s v=""/>
    <s v=""/>
    <s v=""/>
    <s v=""/>
    <s v=""/>
    <m/>
    <m/>
    <m/>
    <x v="2"/>
    <n v="0"/>
    <x v="2"/>
    <x v="101"/>
    <n v="1"/>
    <s v=""/>
    <n v="1"/>
    <n v="1"/>
    <n v="1"/>
    <n v="0"/>
    <n v="0"/>
  </r>
  <r>
    <n v="2242"/>
    <s v="       vaginal suppository"/>
    <n v="2242"/>
    <e v="#NAME?"/>
    <s v="vaginal suppository"/>
    <x v="1"/>
    <n v="26"/>
    <s v="Drug form"/>
    <m/>
    <m/>
    <s v="ST.3. Service Provision"/>
    <x v="13"/>
    <m/>
    <s v="3.3 Provide treatment"/>
    <s v="ST.DE.187"/>
    <m/>
    <m/>
    <m/>
    <m/>
    <m/>
    <m/>
    <s v="vaginal suppository"/>
    <m/>
    <s v="No"/>
    <m/>
    <s v="Yes"/>
    <s v="O"/>
    <m/>
    <m/>
    <m/>
    <m/>
    <m/>
    <s v="DL Treatment Recs"/>
    <m/>
    <m/>
    <s v=""/>
    <x v="3"/>
    <x v="9"/>
    <m/>
    <s v=" "/>
    <s v=""/>
    <x v="2"/>
    <s v="JS"/>
    <m/>
    <m/>
    <m/>
    <m/>
    <s v=""/>
    <m/>
    <x v="2"/>
    <e v="#NAME?"/>
    <m/>
    <x v="1"/>
    <m/>
    <s v=""/>
    <s v="x"/>
    <m/>
    <s v=""/>
    <s v="421195004"/>
    <m/>
    <m/>
    <s v=""/>
    <s v=""/>
    <m/>
    <s v=""/>
    <s v=""/>
    <s v=""/>
    <s v=""/>
    <s v=""/>
    <s v=""/>
    <m/>
    <m/>
    <m/>
    <x v="2"/>
    <n v="0"/>
    <x v="2"/>
    <x v="101"/>
    <n v="1"/>
    <s v=""/>
    <n v="1"/>
    <n v="1"/>
    <n v="1"/>
    <n v="0"/>
    <n v="0"/>
  </r>
  <r>
    <n v="2243"/>
    <s v="       intramuscular"/>
    <n v="2243"/>
    <e v="#NAME?"/>
    <s v="intramuscular"/>
    <x v="1"/>
    <n v="20"/>
    <s v="Drug form"/>
    <m/>
    <m/>
    <s v="ST.3. Service Provision"/>
    <x v="13"/>
    <m/>
    <s v="3.3 Provide treatment"/>
    <s v="ST.DE.188"/>
    <m/>
    <m/>
    <m/>
    <m/>
    <m/>
    <m/>
    <s v="intramuscular"/>
    <m/>
    <s v="No"/>
    <m/>
    <s v="Yes"/>
    <s v="O"/>
    <m/>
    <m/>
    <m/>
    <m/>
    <m/>
    <s v="DL Treatment Recs"/>
    <m/>
    <m/>
    <s v=""/>
    <x v="3"/>
    <x v="9"/>
    <m/>
    <s v=" "/>
    <s v=""/>
    <x v="2"/>
    <s v="JS"/>
    <m/>
    <m/>
    <m/>
    <m/>
    <s v=""/>
    <m/>
    <x v="2"/>
    <e v="#NAME?"/>
    <m/>
    <x v="1"/>
    <m/>
    <s v=""/>
    <s v="x"/>
    <m/>
    <s v=""/>
    <s v="255559005"/>
    <m/>
    <m/>
    <s v=""/>
    <s v=""/>
    <m/>
    <s v=""/>
    <s v=""/>
    <s v=""/>
    <s v=""/>
    <s v=""/>
    <s v=""/>
    <m/>
    <m/>
    <m/>
    <x v="2"/>
    <n v="0"/>
    <x v="2"/>
    <x v="101"/>
    <n v="1"/>
    <s v=""/>
    <n v="1"/>
    <n v="1"/>
    <n v="1"/>
    <n v="0"/>
    <n v="0"/>
  </r>
  <r>
    <n v="2244"/>
    <s v="       vaginal tablet"/>
    <n v="2244"/>
    <e v="#NAME?"/>
    <s v="vaginal tablet"/>
    <x v="1"/>
    <n v="21"/>
    <s v="Drug form"/>
    <m/>
    <m/>
    <s v="ST.3. Service Provision"/>
    <x v="13"/>
    <m/>
    <s v="3.3 Provide treatment"/>
    <s v="ST.DE.189"/>
    <m/>
    <m/>
    <m/>
    <m/>
    <m/>
    <m/>
    <s v="vaginal tablet"/>
    <m/>
    <s v="No"/>
    <m/>
    <s v="Yes"/>
    <s v="O"/>
    <m/>
    <m/>
    <m/>
    <m/>
    <m/>
    <s v="DL Treatment Recs"/>
    <m/>
    <m/>
    <s v=""/>
    <x v="3"/>
    <x v="9"/>
    <m/>
    <s v=" "/>
    <s v=""/>
    <x v="2"/>
    <s v="JS"/>
    <m/>
    <m/>
    <m/>
    <m/>
    <s v=""/>
    <m/>
    <x v="2"/>
    <e v="#NAME?"/>
    <m/>
    <x v="1"/>
    <m/>
    <s v=""/>
    <s v="x"/>
    <m/>
    <s v=""/>
    <s v="385178005"/>
    <m/>
    <m/>
    <s v=""/>
    <s v=""/>
    <m/>
    <s v=""/>
    <s v=""/>
    <s v=""/>
    <s v=""/>
    <s v=""/>
    <s v=""/>
    <m/>
    <m/>
    <m/>
    <x v="2"/>
    <n v="0"/>
    <x v="2"/>
    <x v="101"/>
    <n v="1"/>
    <s v=""/>
    <n v="1"/>
    <n v="1"/>
    <n v="1"/>
    <n v="0"/>
    <n v="0"/>
  </r>
  <r>
    <n v="2245"/>
    <s v="       eye ointment"/>
    <n v="2245"/>
    <e v="#NAME?"/>
    <s v="eye ointment"/>
    <x v="1"/>
    <n v="19"/>
    <s v="Drug form"/>
    <m/>
    <m/>
    <s v="ST.3. Service Provision"/>
    <x v="13"/>
    <m/>
    <s v="3.3 Provide treatment"/>
    <s v="ST.DE.190"/>
    <m/>
    <m/>
    <m/>
    <m/>
    <m/>
    <m/>
    <s v="eye ointment"/>
    <m/>
    <s v="No"/>
    <m/>
    <s v="Yes"/>
    <s v="O"/>
    <m/>
    <m/>
    <m/>
    <m/>
    <m/>
    <s v="DL Treatment Recs"/>
    <m/>
    <m/>
    <s v=""/>
    <x v="3"/>
    <x v="9"/>
    <m/>
    <s v=" "/>
    <s v=""/>
    <x v="2"/>
    <s v="JS"/>
    <m/>
    <m/>
    <m/>
    <m/>
    <s v=""/>
    <m/>
    <x v="2"/>
    <e v="#NAME?"/>
    <m/>
    <x v="1"/>
    <m/>
    <s v=""/>
    <s v="x"/>
    <m/>
    <s v=""/>
    <s v="421427005"/>
    <m/>
    <m/>
    <s v=""/>
    <s v=""/>
    <m/>
    <s v=""/>
    <s v=""/>
    <s v=""/>
    <s v=""/>
    <s v=""/>
    <s v=""/>
    <m/>
    <m/>
    <m/>
    <x v="2"/>
    <n v="0"/>
    <x v="2"/>
    <x v="101"/>
    <n v="1"/>
    <s v=""/>
    <n v="1"/>
    <n v="1"/>
    <n v="1"/>
    <n v="0"/>
    <n v="0"/>
  </r>
  <r>
    <n v="2246"/>
    <s v="       intravaginally"/>
    <n v="2246"/>
    <e v="#NAME?"/>
    <s v="intravaginally"/>
    <x v="1"/>
    <n v="21"/>
    <s v="Drug form"/>
    <m/>
    <m/>
    <s v="ST.3. Service Provision"/>
    <x v="13"/>
    <m/>
    <s v="3.3 Provide treatment"/>
    <s v="ST.DE.191"/>
    <m/>
    <m/>
    <m/>
    <m/>
    <m/>
    <m/>
    <s v="intravaginally"/>
    <m/>
    <s v="No"/>
    <m/>
    <s v="Yes"/>
    <s v="O"/>
    <m/>
    <m/>
    <m/>
    <m/>
    <m/>
    <s v="DL Treatment Recs"/>
    <m/>
    <m/>
    <s v=""/>
    <x v="3"/>
    <x v="9"/>
    <m/>
    <s v=" "/>
    <s v=""/>
    <x v="2"/>
    <s v="JS"/>
    <m/>
    <m/>
    <m/>
    <m/>
    <s v=""/>
    <m/>
    <x v="2"/>
    <e v="#NAME?"/>
    <m/>
    <x v="1"/>
    <m/>
    <s v=""/>
    <s v="x"/>
    <m/>
    <s v=""/>
    <s v="264049007"/>
    <m/>
    <m/>
    <s v=""/>
    <m/>
    <m/>
    <s v="qualifier"/>
    <s v=""/>
    <s v=""/>
    <s v=""/>
    <s v=""/>
    <s v=""/>
    <m/>
    <m/>
    <m/>
    <x v="2"/>
    <n v="0"/>
    <x v="2"/>
    <x v="101"/>
    <n v="1"/>
    <s v=""/>
    <n v="1"/>
    <n v="1"/>
    <n v="1"/>
    <n v="0"/>
    <n v="0"/>
  </r>
  <r>
    <n v="2247"/>
    <s v="       vaginal tablet"/>
    <n v="2247"/>
    <e v="#NAME?"/>
    <s v="vaginal tablet"/>
    <x v="1"/>
    <n v="21"/>
    <s v="Drug form"/>
    <m/>
    <m/>
    <s v="ST.3. Service Provision"/>
    <x v="13"/>
    <m/>
    <s v="3.3 Provide treatment"/>
    <s v="ST.DE.192"/>
    <m/>
    <m/>
    <m/>
    <m/>
    <m/>
    <m/>
    <s v="vaginal tablet"/>
    <m/>
    <s v="No"/>
    <m/>
    <s v="Yes"/>
    <s v="O"/>
    <m/>
    <m/>
    <m/>
    <m/>
    <m/>
    <s v="DL Treatment Recs"/>
    <m/>
    <m/>
    <s v=""/>
    <x v="3"/>
    <x v="9"/>
    <m/>
    <s v=" "/>
    <s v=""/>
    <x v="2"/>
    <s v="JS"/>
    <m/>
    <m/>
    <m/>
    <m/>
    <s v=""/>
    <m/>
    <x v="2"/>
    <e v="#NAME?"/>
    <m/>
    <x v="1"/>
    <m/>
    <s v=""/>
    <s v="x"/>
    <m/>
    <s v=""/>
    <s v="385178005"/>
    <m/>
    <m/>
    <s v=""/>
    <s v=""/>
    <m/>
    <s v=""/>
    <s v=""/>
    <s v=""/>
    <s v=""/>
    <s v=""/>
    <s v=""/>
    <m/>
    <m/>
    <m/>
    <x v="2"/>
    <n v="0"/>
    <x v="2"/>
    <x v="101"/>
    <n v="1"/>
    <s v=""/>
    <n v="1"/>
    <n v="1"/>
    <n v="1"/>
    <n v="0"/>
    <n v="0"/>
  </r>
  <r>
    <n v="2248"/>
    <s v="       cream"/>
    <n v="2248"/>
    <e v="#NAME?"/>
    <s v="cream"/>
    <x v="1"/>
    <n v="12"/>
    <s v="Drug form"/>
    <m/>
    <m/>
    <s v="ST.3. Service Provision"/>
    <x v="13"/>
    <m/>
    <s v="3.3 Provide treatment"/>
    <s v="ST.DE.439"/>
    <m/>
    <m/>
    <m/>
    <m/>
    <m/>
    <m/>
    <s v="cream"/>
    <m/>
    <s v="No"/>
    <m/>
    <s v="Yes"/>
    <s v="O"/>
    <m/>
    <m/>
    <m/>
    <m/>
    <m/>
    <m/>
    <m/>
    <m/>
    <s v=""/>
    <x v="3"/>
    <x v="9"/>
    <m/>
    <s v=" "/>
    <s v=""/>
    <x v="2"/>
    <s v="JS"/>
    <m/>
    <m/>
    <m/>
    <m/>
    <s v=""/>
    <m/>
    <x v="2"/>
    <e v="#NAME?"/>
    <m/>
    <x v="1"/>
    <m/>
    <s v=""/>
    <s v="x"/>
    <m/>
    <s v=""/>
    <s v="385165005"/>
    <m/>
    <m/>
    <s v=""/>
    <s v=""/>
    <m/>
    <s v=""/>
    <s v=""/>
    <s v=""/>
    <s v=""/>
    <s v=""/>
    <s v=""/>
    <m/>
    <m/>
    <m/>
    <x v="2"/>
    <n v="0"/>
    <x v="2"/>
    <x v="101"/>
    <n v="1"/>
    <s v=""/>
    <n v="1"/>
    <n v="1"/>
    <n v="1"/>
    <n v="0"/>
    <n v="0"/>
  </r>
  <r>
    <n v="2249"/>
    <s v="       Vaginal cream"/>
    <n v="2249"/>
    <e v="#NAME?"/>
    <s v="Vaginal cream"/>
    <x v="1"/>
    <n v="20"/>
    <s v="Drug form"/>
    <m/>
    <m/>
    <s v="ST.3. Service Provision"/>
    <x v="13"/>
    <m/>
    <s v="3.3 Provide treatment"/>
    <s v="ST.DE.193"/>
    <m/>
    <m/>
    <m/>
    <m/>
    <m/>
    <m/>
    <s v="Vaginal cream"/>
    <m/>
    <s v="No"/>
    <m/>
    <s v="Yes"/>
    <s v="O"/>
    <m/>
    <m/>
    <m/>
    <m/>
    <m/>
    <s v="DL Treatment Recs"/>
    <m/>
    <m/>
    <s v=""/>
    <x v="3"/>
    <x v="9"/>
    <m/>
    <s v=" "/>
    <s v=""/>
    <x v="2"/>
    <s v="JS"/>
    <m/>
    <m/>
    <m/>
    <m/>
    <s v=""/>
    <m/>
    <x v="2"/>
    <e v="#NAME?"/>
    <m/>
    <x v="1"/>
    <m/>
    <s v=""/>
    <s v="x"/>
    <m/>
    <s v=""/>
    <s v="385165005"/>
    <m/>
    <m/>
    <s v=""/>
    <s v=""/>
    <m/>
    <s v=""/>
    <s v=""/>
    <s v=""/>
    <s v=""/>
    <s v=""/>
    <s v=""/>
    <m/>
    <m/>
    <m/>
    <x v="2"/>
    <n v="0"/>
    <x v="2"/>
    <x v="101"/>
    <n v="1"/>
    <s v=""/>
    <n v="1"/>
    <n v="1"/>
    <n v="1"/>
    <n v="0"/>
    <n v="0"/>
  </r>
  <r>
    <n v="2250"/>
    <s v="       solution"/>
    <n v="2250"/>
    <e v="#NAME?"/>
    <s v="solution"/>
    <x v="1"/>
    <n v="15"/>
    <s v="Drug form"/>
    <m/>
    <m/>
    <s v="ST.3. Service Provision"/>
    <x v="13"/>
    <m/>
    <s v="3.3 Provide treatment"/>
    <s v="ST.DE.194"/>
    <m/>
    <m/>
    <m/>
    <m/>
    <m/>
    <m/>
    <s v="solution"/>
    <m/>
    <s v="No"/>
    <m/>
    <s v="Yes"/>
    <s v="O"/>
    <m/>
    <m/>
    <m/>
    <m/>
    <m/>
    <s v="DL Treatment Recs"/>
    <m/>
    <m/>
    <s v=""/>
    <x v="3"/>
    <x v="9"/>
    <m/>
    <s v=" "/>
    <s v=""/>
    <x v="2"/>
    <s v="JS"/>
    <m/>
    <m/>
    <m/>
    <m/>
    <s v=""/>
    <m/>
    <x v="2"/>
    <e v="#NAME?"/>
    <m/>
    <x v="1"/>
    <m/>
    <s v=""/>
    <s v="x"/>
    <m/>
    <s v=""/>
    <s v="739006009"/>
    <m/>
    <m/>
    <s v=""/>
    <m/>
    <m/>
    <s v="C42986; NCI code_x000a__x000a_solution dosage form"/>
    <s v=""/>
    <s v=""/>
    <s v=""/>
    <s v=""/>
    <s v=""/>
    <m/>
    <m/>
    <m/>
    <x v="2"/>
    <n v="0"/>
    <x v="2"/>
    <x v="101"/>
    <n v="1"/>
    <s v=""/>
    <n v="1"/>
    <n v="1"/>
    <n v="1"/>
    <n v="0"/>
    <n v="0"/>
  </r>
  <r>
    <n v="2251"/>
    <s v="Route of administration"/>
    <n v="2251"/>
    <s v="Route of adminstration"/>
    <s v="Route of adminstration"/>
    <x v="0"/>
    <n v="23"/>
    <s v=""/>
    <m/>
    <m/>
    <s v="ST.3. Service Provision"/>
    <x v="13"/>
    <m/>
    <s v="3.3 Provide treatment"/>
    <s v="ST.DE.440"/>
    <m/>
    <s v="Route of adminstration"/>
    <m/>
    <s v="How the medication is administered"/>
    <s v="Coding"/>
    <s v="Select one"/>
    <m/>
    <m/>
    <m/>
    <m/>
    <m/>
    <m/>
    <m/>
    <m/>
    <m/>
    <m/>
    <m/>
    <m/>
    <m/>
    <m/>
    <s v=""/>
    <x v="63"/>
    <x v="0"/>
    <s v="FHIR"/>
    <s v="4.0.1"/>
    <s v=""/>
    <x v="101"/>
    <s v="JA"/>
    <m/>
    <m/>
    <m/>
    <m/>
    <s v=""/>
    <m/>
    <x v="2"/>
    <s v="&quot;Route of adminstration&quot;-&gt;&quot;Route of administration&quot;"/>
    <m/>
    <x v="1"/>
    <m/>
    <s v=""/>
    <s v="x"/>
    <m/>
    <s v=""/>
    <m/>
    <m/>
    <m/>
    <s v="No terminology code required"/>
    <m/>
    <m/>
    <s v="HL7v 3 _x000a_2.16.840.1.113883.1.11.14581_x000a__x000a_snomed 410675002"/>
    <s v=""/>
    <s v=""/>
    <s v=""/>
    <s v=""/>
    <s v=""/>
    <m/>
    <m/>
    <m/>
    <x v="17"/>
    <s v=""/>
    <x v="18"/>
    <x v="102"/>
    <n v="1"/>
    <n v="1"/>
    <n v="1"/>
    <n v="1"/>
    <n v="1"/>
    <n v="0"/>
    <n v="0"/>
  </r>
  <r>
    <n v="2252"/>
    <s v="       Drug-device combination product"/>
    <n v="2252"/>
    <e v="#NAME?"/>
    <s v="Drug-device combination product"/>
    <x v="1"/>
    <n v="38"/>
    <s v="Route of administration"/>
    <m/>
    <m/>
    <s v="ST.3. Service Provision"/>
    <x v="13"/>
    <m/>
    <s v="3.3 Provide treatment"/>
    <s v="ST.DE.441"/>
    <m/>
    <m/>
    <m/>
    <m/>
    <m/>
    <m/>
    <s v="Drug-device combination product"/>
    <m/>
    <s v="Yes"/>
    <s v="Route of administration is associated with the item"/>
    <s v="No"/>
    <s v="O"/>
    <m/>
    <m/>
    <m/>
    <m/>
    <m/>
    <m/>
    <m/>
    <m/>
    <s v=""/>
    <x v="3"/>
    <x v="1"/>
    <m/>
    <s v=""/>
    <s v=""/>
    <x v="2"/>
    <s v="JS"/>
    <m/>
    <m/>
    <m/>
    <m/>
    <s v=""/>
    <m/>
    <x v="2"/>
    <e v="#NAME?"/>
    <m/>
    <x v="1"/>
    <m/>
    <s v=""/>
    <s v="x"/>
    <m/>
    <s v=""/>
    <s v="411115002"/>
    <m/>
    <m/>
    <s v=""/>
    <s v=""/>
    <m/>
    <s v=""/>
    <s v=""/>
    <s v=""/>
    <s v=""/>
    <s v=""/>
    <s v=""/>
    <m/>
    <m/>
    <m/>
    <x v="2"/>
    <n v="0"/>
    <x v="2"/>
    <x v="102"/>
    <n v="1"/>
    <s v=""/>
    <n v="1"/>
    <n v="1"/>
    <n v="1"/>
    <n v="0"/>
    <n v="0"/>
  </r>
  <r>
    <n v="2253"/>
    <s v="       Intramuscular"/>
    <n v="2253"/>
    <e v="#NAME?"/>
    <s v="Intramuscular"/>
    <x v="1"/>
    <n v="20"/>
    <s v="Route of administration"/>
    <m/>
    <m/>
    <s v="ST.3. Service Provision"/>
    <x v="13"/>
    <m/>
    <s v="3.3 Provide treatment"/>
    <s v="ST.DE.442"/>
    <m/>
    <m/>
    <m/>
    <m/>
    <m/>
    <m/>
    <s v="Intramuscular"/>
    <m/>
    <s v="Yes"/>
    <s v="Route of administration is associated with the item"/>
    <s v="No"/>
    <s v="O"/>
    <m/>
    <m/>
    <m/>
    <m/>
    <m/>
    <m/>
    <m/>
    <m/>
    <s v=""/>
    <x v="3"/>
    <x v="1"/>
    <m/>
    <s v=""/>
    <s v=""/>
    <x v="2"/>
    <s v="JS"/>
    <m/>
    <m/>
    <m/>
    <m/>
    <s v=""/>
    <m/>
    <x v="2"/>
    <e v="#NAME?"/>
    <m/>
    <x v="1"/>
    <m/>
    <s v=""/>
    <s v="x"/>
    <m/>
    <s v=""/>
    <s v="255559005"/>
    <m/>
    <m/>
    <s v=""/>
    <s v=""/>
    <m/>
    <s v=""/>
    <s v=""/>
    <s v=""/>
    <s v=""/>
    <s v=""/>
    <s v=""/>
    <m/>
    <m/>
    <m/>
    <x v="2"/>
    <n v="0"/>
    <x v="2"/>
    <x v="102"/>
    <n v="1"/>
    <s v=""/>
    <n v="1"/>
    <n v="1"/>
    <n v="1"/>
    <n v="0"/>
    <n v="0"/>
  </r>
  <r>
    <n v="2254"/>
    <s v="       Subcutaneous"/>
    <n v="2254"/>
    <e v="#NAME?"/>
    <s v="Subcutaneous"/>
    <x v="1"/>
    <n v="19"/>
    <s v="Route of administration"/>
    <m/>
    <m/>
    <s v="ST.3. Service Provision"/>
    <x v="13"/>
    <m/>
    <s v="3.3 Provide treatment"/>
    <s v="ST.DE.443"/>
    <m/>
    <m/>
    <m/>
    <m/>
    <m/>
    <m/>
    <s v="Subcutaneous"/>
    <m/>
    <s v="Yes"/>
    <s v="Route of administration is associated with the item"/>
    <s v="No"/>
    <s v="O"/>
    <m/>
    <m/>
    <m/>
    <m/>
    <m/>
    <m/>
    <m/>
    <m/>
    <s v=""/>
    <x v="3"/>
    <x v="1"/>
    <m/>
    <s v=""/>
    <s v=""/>
    <x v="2"/>
    <s v="JS"/>
    <m/>
    <m/>
    <m/>
    <m/>
    <s v=""/>
    <m/>
    <x v="2"/>
    <e v="#NAME?"/>
    <m/>
    <x v="1"/>
    <m/>
    <s v=""/>
    <s v="x"/>
    <m/>
    <s v=""/>
    <s v="263887005"/>
    <m/>
    <m/>
    <s v=""/>
    <m/>
    <m/>
    <s v="qualifier value"/>
    <s v=""/>
    <s v=""/>
    <s v=""/>
    <s v=""/>
    <s v=""/>
    <m/>
    <m/>
    <m/>
    <x v="2"/>
    <n v="0"/>
    <x v="2"/>
    <x v="102"/>
    <n v="1"/>
    <s v=""/>
    <n v="1"/>
    <n v="1"/>
    <n v="1"/>
    <n v="0"/>
    <n v="0"/>
  </r>
  <r>
    <n v="2255"/>
    <s v="       Injectable solution"/>
    <n v="2255"/>
    <e v="#NAME?"/>
    <s v="Injectable solution"/>
    <x v="1"/>
    <n v="26"/>
    <s v="Route of administration"/>
    <m/>
    <m/>
    <s v="ST.3. Service Provision"/>
    <x v="13"/>
    <m/>
    <s v="3.3 Provide treatment"/>
    <s v="ST.DE.469"/>
    <m/>
    <m/>
    <m/>
    <m/>
    <m/>
    <m/>
    <s v="Injectable solution"/>
    <m/>
    <m/>
    <m/>
    <m/>
    <m/>
    <m/>
    <m/>
    <m/>
    <m/>
    <m/>
    <m/>
    <m/>
    <m/>
    <s v=""/>
    <x v="3"/>
    <x v="1"/>
    <m/>
    <s v=""/>
    <s v=""/>
    <x v="2"/>
    <s v="JS"/>
    <m/>
    <m/>
    <m/>
    <m/>
    <s v=""/>
    <m/>
    <x v="2"/>
    <e v="#NAME?"/>
    <m/>
    <x v="1"/>
    <m/>
    <s v=""/>
    <s v="x"/>
    <m/>
    <s v=""/>
    <s v="385219001"/>
    <m/>
    <m/>
    <s v=""/>
    <s v=""/>
    <m/>
    <s v=""/>
    <s v=""/>
    <s v=""/>
    <s v=""/>
    <s v=""/>
    <s v=""/>
    <m/>
    <m/>
    <m/>
    <x v="2"/>
    <n v="0"/>
    <x v="2"/>
    <x v="102"/>
    <n v="1"/>
    <s v=""/>
    <n v="1"/>
    <n v="1"/>
    <n v="1"/>
    <n v="0"/>
    <n v="0"/>
  </r>
  <r>
    <n v="2256"/>
    <s v="       Biomedical device"/>
    <n v="2256"/>
    <e v="#NAME?"/>
    <s v="Biomedical device"/>
    <x v="1"/>
    <n v="24"/>
    <s v="Route of administration"/>
    <m/>
    <m/>
    <s v="ST.3. Service Provision"/>
    <x v="13"/>
    <m/>
    <s v="3.3 Provide treatment"/>
    <s v="ST.DE.470"/>
    <m/>
    <m/>
    <m/>
    <m/>
    <m/>
    <m/>
    <s v="Biomedical device"/>
    <m/>
    <m/>
    <m/>
    <m/>
    <m/>
    <m/>
    <m/>
    <m/>
    <m/>
    <m/>
    <m/>
    <m/>
    <m/>
    <s v=""/>
    <x v="3"/>
    <x v="1"/>
    <m/>
    <s v=""/>
    <s v=""/>
    <x v="2"/>
    <s v="JS"/>
    <m/>
    <m/>
    <m/>
    <m/>
    <s v=""/>
    <m/>
    <x v="2"/>
    <e v="#NAME?"/>
    <m/>
    <x v="1"/>
    <m/>
    <s v=""/>
    <s v="x"/>
    <m/>
    <s v=""/>
    <s v="63653004"/>
    <m/>
    <m/>
    <s v=""/>
    <s v=""/>
    <m/>
    <s v="lot sof medical devices; this is specific for biomedical"/>
    <s v=""/>
    <s v=""/>
    <s v=""/>
    <s v=""/>
    <s v=""/>
    <m/>
    <m/>
    <m/>
    <x v="2"/>
    <n v="0"/>
    <x v="2"/>
    <x v="102"/>
    <n v="1"/>
    <s v=""/>
    <n v="1"/>
    <n v="1"/>
    <n v="1"/>
    <n v="0"/>
    <n v="0"/>
  </r>
  <r>
    <n v="2257"/>
    <s v="Drug warnings"/>
    <n v="2257"/>
    <s v="Drug warnings"/>
    <s v="Drug warnings"/>
    <x v="0"/>
    <n v="13"/>
    <s v=""/>
    <m/>
    <m/>
    <s v="ST.3. Service Provision"/>
    <x v="13"/>
    <m/>
    <s v="3.3 Provide treatment"/>
    <s v="ST.DE.195"/>
    <m/>
    <s v="Drug warnings"/>
    <m/>
    <s v="[System]"/>
    <s v="Coding"/>
    <m/>
    <m/>
    <m/>
    <s v="No"/>
    <m/>
    <s v="No"/>
    <s v="O"/>
    <m/>
    <m/>
    <m/>
    <m/>
    <m/>
    <s v="DL Treatment Recs"/>
    <m/>
    <m/>
    <s v=""/>
    <x v="64"/>
    <x v="2"/>
    <s v="Extension Needed"/>
    <s v="4.0.1"/>
    <s v=""/>
    <x v="100"/>
    <s v="JS"/>
    <m/>
    <m/>
    <m/>
    <m/>
    <s v=""/>
    <m/>
    <x v="2"/>
    <s v=""/>
    <m/>
    <x v="1"/>
    <m/>
    <s v=""/>
    <s v="?"/>
    <m/>
    <s v=""/>
    <m/>
    <m/>
    <m/>
    <s v=""/>
    <m/>
    <m/>
    <s v="MSH code- black box warning; D004348"/>
    <s v=""/>
    <s v=""/>
    <s v=""/>
    <s v=""/>
    <s v=""/>
    <m/>
    <m/>
    <m/>
    <x v="16"/>
    <s v=""/>
    <x v="17"/>
    <x v="101"/>
    <n v="1"/>
    <n v="1"/>
    <n v="0"/>
    <n v="0"/>
    <n v="0"/>
    <n v="0"/>
    <n v="1"/>
  </r>
  <r>
    <n v="2258"/>
    <s v="       avoid alcohol with use"/>
    <n v="2258"/>
    <e v="#NAME?"/>
    <s v="avoid alcohol with use"/>
    <x v="1"/>
    <n v="29"/>
    <s v="Drug warnings"/>
    <m/>
    <m/>
    <s v="ST.3. Service Provision"/>
    <x v="13"/>
    <m/>
    <s v="3.3 Provide treatment"/>
    <s v="ST.DE.196"/>
    <m/>
    <m/>
    <m/>
    <m/>
    <m/>
    <m/>
    <s v="avoid alcohol with use"/>
    <m/>
    <s v="No"/>
    <m/>
    <s v="No"/>
    <s v="O"/>
    <m/>
    <m/>
    <m/>
    <m/>
    <m/>
    <s v="DL Treatment Recs"/>
    <m/>
    <m/>
    <s v=""/>
    <x v="3"/>
    <x v="1"/>
    <m/>
    <s v=""/>
    <s v=""/>
    <x v="2"/>
    <s v="JS"/>
    <m/>
    <m/>
    <m/>
    <m/>
    <s v=""/>
    <m/>
    <x v="2"/>
    <e v="#NAME?"/>
    <m/>
    <x v="1"/>
    <m/>
    <s v=""/>
    <s v="avoid alcohol and tobacco"/>
    <m/>
    <s v=""/>
    <s v="419822006"/>
    <m/>
    <m/>
    <s v=""/>
    <m/>
    <m/>
    <s v="NIC code; MTHU015943_x000a_Warning. Avoid alcoholic drink: 419822006"/>
    <s v=""/>
    <s v=""/>
    <s v=""/>
    <s v=""/>
    <s v=""/>
    <m/>
    <m/>
    <m/>
    <x v="2"/>
    <n v="0"/>
    <x v="2"/>
    <x v="101"/>
    <n v="1"/>
    <s v=""/>
    <n v="1"/>
    <n v="1"/>
    <n v="1"/>
    <n v="0"/>
    <n v="0"/>
  </r>
  <r>
    <n v="2259"/>
    <s v="       pregnancy warning"/>
    <n v="2259"/>
    <e v="#NAME?"/>
    <s v="pregnancy warning"/>
    <x v="1"/>
    <n v="24"/>
    <s v="Drug warnings"/>
    <m/>
    <m/>
    <s v="ST.3. Service Provision"/>
    <x v="13"/>
    <m/>
    <s v="3.3 Provide treatment"/>
    <s v="ST.DE.197"/>
    <m/>
    <m/>
    <m/>
    <m/>
    <m/>
    <m/>
    <s v="pregnancy warning"/>
    <m/>
    <s v="No"/>
    <m/>
    <s v="No"/>
    <s v="O"/>
    <m/>
    <m/>
    <m/>
    <m/>
    <m/>
    <s v="DL Treatment Recs"/>
    <m/>
    <m/>
    <s v=""/>
    <x v="3"/>
    <x v="1"/>
    <m/>
    <s v=""/>
    <s v=""/>
    <x v="2"/>
    <s v="JS"/>
    <m/>
    <m/>
    <m/>
    <m/>
    <s v=""/>
    <m/>
    <x v="2"/>
    <e v="#NAME?"/>
    <m/>
    <x v="1"/>
    <m/>
    <s v=""/>
    <s v=""/>
    <m/>
    <s v=""/>
    <s v="609496007"/>
    <m/>
    <m/>
    <s v=""/>
    <s v=""/>
    <m/>
    <s v="Could not find term for &quot;Pregnancy Warnings&quot; or &quot;Pregnancy Contraindications&quot; or &quot;Pregnancy Considerations&quot;, so used Complications occuring during pregnancy: 609496007"/>
    <s v=""/>
    <s v=""/>
    <s v=""/>
    <s v=""/>
    <s v=""/>
    <m/>
    <m/>
    <m/>
    <x v="2"/>
    <n v="0"/>
    <x v="2"/>
    <x v="101"/>
    <n v="1"/>
    <s v=""/>
    <n v="1"/>
    <n v="1"/>
    <n v="1"/>
    <n v="0"/>
    <n v="0"/>
  </r>
  <r>
    <n v="2260"/>
    <s v="Dosage"/>
    <n v="2260"/>
    <s v="Dosage"/>
    <s v="Dosage"/>
    <x v="0"/>
    <n v="6"/>
    <s v=""/>
    <m/>
    <m/>
    <s v="ST.3. Service Provision"/>
    <x v="13"/>
    <m/>
    <s v="3.3 Provide treatment"/>
    <s v="ST.DE.054"/>
    <m/>
    <s v="Dosage"/>
    <m/>
    <m/>
    <m/>
    <m/>
    <m/>
    <m/>
    <m/>
    <m/>
    <s v="Yes"/>
    <s v="O"/>
    <m/>
    <m/>
    <m/>
    <m/>
    <m/>
    <s v="DL Treatment Recs"/>
    <m/>
    <m/>
    <s v=""/>
    <x v="65"/>
    <x v="0"/>
    <s v="FHIR"/>
    <s v="4.0.1"/>
    <m/>
    <x v="101"/>
    <s v="JA"/>
    <m/>
    <m/>
    <m/>
    <m/>
    <s v=""/>
    <m/>
    <x v="2"/>
    <s v=""/>
    <m/>
    <x v="1"/>
    <m/>
    <s v=""/>
    <s v="x"/>
    <m/>
    <s v=""/>
    <m/>
    <m/>
    <m/>
    <s v="No terminology code required"/>
    <m/>
    <m/>
    <s v="snomed 260911001; snomed qualifier _x000a_277406006"/>
    <s v=""/>
    <s v=""/>
    <s v=""/>
    <s v=""/>
    <s v=""/>
    <m/>
    <m/>
    <m/>
    <x v="17"/>
    <s v=""/>
    <x v="18"/>
    <x v="102"/>
    <n v="1"/>
    <n v="0"/>
    <n v="1"/>
    <n v="1"/>
    <n v="1"/>
    <n v="0"/>
    <n v="0"/>
  </r>
  <r>
    <n v="2262"/>
    <s v="Date of treatment"/>
    <n v="2262"/>
    <s v="Date of treatment"/>
    <s v="Date of treatment"/>
    <x v="0"/>
    <n v="17"/>
    <s v=""/>
    <m/>
    <m/>
    <s v="ST.3. Service Provision"/>
    <x v="10"/>
    <m/>
    <s v="3.3 Provide treatment"/>
    <s v="ST.DE.449"/>
    <m/>
    <s v="Date of treatment"/>
    <m/>
    <m/>
    <s v="DateTime"/>
    <m/>
    <m/>
    <m/>
    <s v="Yes"/>
    <s v="Date &gt;= Current Date"/>
    <s v="Yes"/>
    <s v="O"/>
    <m/>
    <m/>
    <m/>
    <m/>
    <m/>
    <m/>
    <m/>
    <m/>
    <s v=""/>
    <x v="66"/>
    <x v="8"/>
    <s v="FHIR"/>
    <s v="4.0.1"/>
    <s v=""/>
    <x v="101"/>
    <s v="JA"/>
    <m/>
    <m/>
    <m/>
    <m/>
    <s v=""/>
    <m/>
    <x v="2"/>
    <s v=""/>
    <m/>
    <x v="1"/>
    <m/>
    <s v=""/>
    <s v=""/>
    <m/>
    <s v=""/>
    <m/>
    <m/>
    <m/>
    <s v="No terminology code required"/>
    <s v=""/>
    <m/>
    <s v=""/>
    <s v=""/>
    <s v=""/>
    <s v=""/>
    <s v=""/>
    <s v=""/>
    <m/>
    <m/>
    <m/>
    <x v="17"/>
    <s v=""/>
    <x v="18"/>
    <x v="102"/>
    <n v="1"/>
    <n v="0"/>
    <n v="1"/>
    <n v="1"/>
    <n v="1"/>
    <n v="0"/>
    <n v="0"/>
  </r>
  <r>
    <n v="2265"/>
    <s v="Counseling recommendations"/>
    <n v="2265"/>
    <s v="Counseling recommendations"/>
    <s v="Counseling recommendations"/>
    <x v="0"/>
    <n v="26"/>
    <s v=""/>
    <m/>
    <m/>
    <s v="ST.3. Service Provision"/>
    <x v="10"/>
    <m/>
    <s v="3.9 Schedule follow-up"/>
    <s v="ST.DE.444"/>
    <m/>
    <s v="Counseling recommendations"/>
    <m/>
    <m/>
    <m/>
    <m/>
    <m/>
    <m/>
    <m/>
    <m/>
    <s v="Yes"/>
    <s v="O"/>
    <m/>
    <m/>
    <m/>
    <m/>
    <m/>
    <s v="DL Treatment Recs"/>
    <m/>
    <m/>
    <s v=""/>
    <x v="67"/>
    <x v="0"/>
    <s v="FHIR"/>
    <s v="4.0.1"/>
    <s v=""/>
    <x v="82"/>
    <s v="JA"/>
    <m/>
    <m/>
    <m/>
    <m/>
    <s v=""/>
    <m/>
    <x v="2"/>
    <s v=""/>
    <m/>
    <x v="1"/>
    <m/>
    <s v=""/>
    <s v=""/>
    <m/>
    <s v=""/>
    <m/>
    <m/>
    <m/>
    <s v="No terminology code required"/>
    <s v=""/>
    <m/>
    <s v=""/>
    <s v=""/>
    <s v=""/>
    <s v=""/>
    <s v=""/>
    <s v=""/>
    <m/>
    <m/>
    <m/>
    <x v="9"/>
    <s v=""/>
    <x v="10"/>
    <x v="83"/>
    <n v="1"/>
    <n v="1"/>
    <n v="1"/>
    <n v="1"/>
    <n v="1"/>
    <n v="0"/>
    <n v="0"/>
  </r>
  <r>
    <n v="2266"/>
    <s v="       provide partner treatment"/>
    <n v="2266"/>
    <e v="#NAME?"/>
    <s v="provide partner treatment"/>
    <x v="1"/>
    <n v="32"/>
    <s v="Counseling recommendations"/>
    <m/>
    <m/>
    <s v="ST.3. Service Provision"/>
    <x v="10"/>
    <m/>
    <s v="3.9 Schedule follow-up"/>
    <s v="ST.DE.445"/>
    <m/>
    <m/>
    <m/>
    <m/>
    <m/>
    <m/>
    <s v="provide partner treatment"/>
    <m/>
    <m/>
    <m/>
    <s v="Yes"/>
    <s v="O"/>
    <m/>
    <m/>
    <m/>
    <m/>
    <m/>
    <s v="DL Treatment Recs"/>
    <m/>
    <m/>
    <s v=""/>
    <x v="3"/>
    <x v="1"/>
    <m/>
    <s v=""/>
    <s v=""/>
    <x v="2"/>
    <s v="JS"/>
    <m/>
    <m/>
    <m/>
    <m/>
    <s v=""/>
    <m/>
    <x v="2"/>
    <e v="#NAME?"/>
    <m/>
    <x v="1"/>
    <s v="http://who.int/cg/CodeSystem/extended-content"/>
    <s v="provide partner treatment"/>
    <s v=""/>
    <m/>
    <s v=""/>
    <m/>
    <m/>
    <m/>
    <s v="No SNOMED code available"/>
    <s v=""/>
    <m/>
    <s v="There's a MEDCIN term &quot;arrange for treatment of sexual partner&quot; with ID: 40012"/>
    <s v=""/>
    <s v=""/>
    <s v=""/>
    <s v=""/>
    <s v=""/>
    <m/>
    <m/>
    <m/>
    <x v="2"/>
    <n v="0"/>
    <x v="2"/>
    <x v="83"/>
    <n v="1"/>
    <s v=""/>
    <n v="1"/>
    <n v="1"/>
    <n v="1"/>
    <n v="0"/>
    <n v="0"/>
  </r>
  <r>
    <n v="2267"/>
    <s v="       re-treat"/>
    <n v="2267"/>
    <e v="#NAME?"/>
    <s v="re-treat"/>
    <x v="1"/>
    <n v="15"/>
    <s v="Counseling recommendations"/>
    <m/>
    <m/>
    <s v="ST.3. Service Provision"/>
    <x v="10"/>
    <m/>
    <s v="3.9 Schedule follow-up"/>
    <s v="ST.DE.446"/>
    <m/>
    <m/>
    <m/>
    <m/>
    <m/>
    <m/>
    <s v="re-treat"/>
    <m/>
    <m/>
    <m/>
    <s v="Yes"/>
    <s v="O"/>
    <m/>
    <m/>
    <m/>
    <m/>
    <m/>
    <s v="DL Treatment Recs"/>
    <m/>
    <m/>
    <s v=""/>
    <x v="3"/>
    <x v="1"/>
    <m/>
    <s v=""/>
    <s v=""/>
    <x v="2"/>
    <s v="JS"/>
    <m/>
    <m/>
    <m/>
    <m/>
    <s v=""/>
    <m/>
    <x v="2"/>
    <e v="#NAME?"/>
    <m/>
    <x v="1"/>
    <m/>
    <s v=""/>
    <s v=""/>
    <m/>
    <s v=""/>
    <s v="182919001"/>
    <m/>
    <m/>
    <s v=""/>
    <s v=""/>
    <m/>
    <s v="Previous treatment repeat"/>
    <s v=""/>
    <s v=""/>
    <s v=""/>
    <s v=""/>
    <s v=""/>
    <m/>
    <m/>
    <m/>
    <x v="2"/>
    <n v="0"/>
    <x v="2"/>
    <x v="83"/>
    <n v="1"/>
    <s v=""/>
    <n v="1"/>
    <n v="1"/>
    <n v="1"/>
    <n v="0"/>
    <n v="0"/>
  </r>
  <r>
    <n v="2268"/>
    <s v="       reinforce condom use"/>
    <n v="2268"/>
    <e v="#NAME?"/>
    <s v="reinforce condom use"/>
    <x v="1"/>
    <n v="27"/>
    <s v="Counseling recommendations"/>
    <m/>
    <m/>
    <s v="ST.3. Service Provision"/>
    <x v="10"/>
    <m/>
    <s v="3.9 Schedule follow-up"/>
    <s v="ST.DE.447"/>
    <m/>
    <m/>
    <m/>
    <m/>
    <m/>
    <m/>
    <s v="reinforce condom use"/>
    <m/>
    <m/>
    <m/>
    <s v="Yes"/>
    <s v="O"/>
    <m/>
    <m/>
    <m/>
    <m/>
    <m/>
    <s v="DL Treatment Recs"/>
    <m/>
    <m/>
    <s v=""/>
    <x v="3"/>
    <x v="1"/>
    <m/>
    <s v=""/>
    <s v=""/>
    <x v="2"/>
    <s v="JS"/>
    <m/>
    <m/>
    <m/>
    <m/>
    <s v=""/>
    <m/>
    <x v="2"/>
    <e v="#NAME?"/>
    <m/>
    <x v="1"/>
    <m/>
    <s v=""/>
    <s v=""/>
    <m/>
    <s v=""/>
    <s v="16311004"/>
    <m/>
    <m/>
    <s v=""/>
    <s v=""/>
    <m/>
    <s v="Condom use education"/>
    <s v=""/>
    <s v=""/>
    <s v=""/>
    <s v=""/>
    <s v=""/>
    <m/>
    <m/>
    <m/>
    <x v="2"/>
    <n v="0"/>
    <x v="2"/>
    <x v="83"/>
    <n v="1"/>
    <s v=""/>
    <n v="1"/>
    <n v="1"/>
    <n v="1"/>
    <n v="0"/>
    <n v="0"/>
  </r>
  <r>
    <n v="2269"/>
    <s v="       reinforce sexual abstinence"/>
    <n v="2269"/>
    <e v="#NAME?"/>
    <s v="reinforce sexual abstinence"/>
    <x v="1"/>
    <n v="34"/>
    <s v="Counseling recommendations"/>
    <m/>
    <m/>
    <s v="ST.3. Service Provision"/>
    <x v="10"/>
    <m/>
    <s v="3.9 Schedule follow-up"/>
    <s v="ST.DE.448"/>
    <m/>
    <m/>
    <m/>
    <m/>
    <m/>
    <m/>
    <s v="reinforce sexual abstinence"/>
    <m/>
    <m/>
    <m/>
    <s v="Yes"/>
    <s v="O"/>
    <m/>
    <m/>
    <m/>
    <m/>
    <m/>
    <s v="DL Treatment Recs"/>
    <m/>
    <m/>
    <s v=""/>
    <x v="3"/>
    <x v="1"/>
    <m/>
    <s v=""/>
    <s v=""/>
    <x v="2"/>
    <s v="JS"/>
    <m/>
    <m/>
    <m/>
    <m/>
    <s v=""/>
    <m/>
    <x v="2"/>
    <e v="#NAME?"/>
    <m/>
    <x v="1"/>
    <m/>
    <s v=""/>
    <s v=""/>
    <m/>
    <s v=""/>
    <s v="225160006"/>
    <m/>
    <m/>
    <s v=""/>
    <s v=""/>
    <m/>
    <s v="Reinforcing behavior: 225160006; not sexually active: 162171002"/>
    <s v=""/>
    <s v=""/>
    <s v=""/>
    <s v=""/>
    <s v=""/>
    <m/>
    <m/>
    <m/>
    <x v="2"/>
    <n v="0"/>
    <x v="2"/>
    <x v="83"/>
    <n v="1"/>
    <s v=""/>
    <n v="1"/>
    <n v="1"/>
    <n v="1"/>
    <n v="0"/>
    <n v="0"/>
  </r>
  <r>
    <n v="1767"/>
    <s v="Emergency referral"/>
    <n v="1767"/>
    <s v="Emergency referral"/>
    <s v="Emergency referral"/>
    <x v="0"/>
    <n v="18"/>
    <s v=""/>
    <m/>
    <m/>
    <s v="4. Referral"/>
    <x v="2"/>
    <m/>
    <s v="4.1 Emergency referral"/>
    <m/>
    <s v="FP.DE.084"/>
    <s v="Emergency referral"/>
    <m/>
    <s v="Referral for urgent care"/>
    <s v="Boolean"/>
    <m/>
    <s v="True/False"/>
    <m/>
    <m/>
    <m/>
    <m/>
    <m/>
    <m/>
    <m/>
    <m/>
    <m/>
    <m/>
    <m/>
    <m/>
    <m/>
    <m/>
    <x v="68"/>
    <x v="0"/>
    <s v="FHIR"/>
    <s v="4.0.1"/>
    <m/>
    <x v="3"/>
    <s v="JA"/>
    <m/>
    <m/>
    <m/>
    <s v="Emergency referral"/>
    <s v="Same"/>
    <m/>
    <x v="0"/>
    <s v=""/>
    <s v="Ready for testing"/>
    <x v="0"/>
    <m/>
    <m/>
    <m/>
    <m/>
    <m/>
    <s v="134403003"/>
    <m/>
    <m/>
    <m/>
    <m/>
    <m/>
    <m/>
    <m/>
    <m/>
    <m/>
    <m/>
    <m/>
    <m/>
    <m/>
    <m/>
    <x v="3"/>
    <s v=""/>
    <x v="4"/>
    <x v="3"/>
    <n v="1"/>
    <n v="0"/>
    <n v="1"/>
    <n v="1"/>
    <n v="1"/>
    <n v="0"/>
    <n v="0"/>
  </r>
  <r>
    <n v="1768"/>
    <s v="Danger signs"/>
    <n v="1768"/>
    <s v="Danger signs"/>
    <s v="Danger signs"/>
    <x v="0"/>
    <n v="12"/>
    <s v=""/>
    <m/>
    <m/>
    <s v="4. Referral"/>
    <x v="2"/>
    <m/>
    <s v="4.1 Emergency referral"/>
    <s v="ST.DE.059"/>
    <s v="FP.DE.081"/>
    <s v="Danger signs"/>
    <s v="danger_signs"/>
    <s v="Indicate danger signs which resulted in a client being given an emergency referral."/>
    <s v="Coding "/>
    <s v="Select all that apply"/>
    <m/>
    <m/>
    <s v="Yes"/>
    <s v="Cannot select &quot;None&quot; with any other choice"/>
    <m/>
    <m/>
    <m/>
    <m/>
    <m/>
    <m/>
    <m/>
    <m/>
    <m/>
    <m/>
    <m/>
    <x v="69"/>
    <x v="0"/>
    <s v="FHIR"/>
    <s v="4.0.1"/>
    <m/>
    <x v="2"/>
    <s v="NA"/>
    <m/>
    <m/>
    <m/>
    <s v="Danger signs"/>
    <s v="Same"/>
    <m/>
    <x v="0"/>
    <s v=""/>
    <m/>
    <x v="2"/>
    <m/>
    <m/>
    <m/>
    <m/>
    <m/>
    <m/>
    <m/>
    <m/>
    <m/>
    <m/>
    <m/>
    <m/>
    <m/>
    <n v="160939"/>
    <s v="NA"/>
    <s v="Concept - Presence of emergency danger sign(s)"/>
    <s v="160939AAAAAAAAAAAAAAAAAAAAAAAAAAAAAA"/>
    <m/>
    <m/>
    <m/>
    <x v="2"/>
    <s v=""/>
    <x v="3"/>
    <x v="12"/>
    <n v="1"/>
    <n v="0"/>
    <n v="0"/>
    <n v="1"/>
    <n v="0"/>
    <n v="1"/>
    <n v="0"/>
  </r>
  <r>
    <n v="1769"/>
    <s v="Treatment given before referral"/>
    <n v="1769"/>
    <s v="Treatment given before referral"/>
    <s v="Treatment given before referral"/>
    <x v="0"/>
    <n v="31"/>
    <s v=""/>
    <m/>
    <m/>
    <s v="4. Referral"/>
    <x v="2"/>
    <m/>
    <s v="4.1 Emergency referral"/>
    <s v="ST.DE.060"/>
    <s v="FP.DE.082"/>
    <s v="Treatment given before referral"/>
    <m/>
    <s v="Any treatment provided prior to the referral, including medications."/>
    <s v="Coding "/>
    <s v="Select all that apply"/>
    <m/>
    <m/>
    <m/>
    <m/>
    <m/>
    <m/>
    <m/>
    <m/>
    <m/>
    <m/>
    <m/>
    <m/>
    <m/>
    <m/>
    <m/>
    <x v="70"/>
    <x v="0"/>
    <s v="Extension Needed"/>
    <s v="4.0.1"/>
    <m/>
    <x v="2"/>
    <s v="NA"/>
    <m/>
    <m/>
    <m/>
    <s v="Treatment given before referral"/>
    <s v="Same"/>
    <m/>
    <x v="0"/>
    <s v=""/>
    <s v="Ready for testing"/>
    <x v="2"/>
    <m/>
    <m/>
    <m/>
    <m/>
    <m/>
    <m/>
    <m/>
    <m/>
    <s v="No terminology code required"/>
    <m/>
    <m/>
    <m/>
    <m/>
    <m/>
    <m/>
    <m/>
    <m/>
    <m/>
    <m/>
    <m/>
    <x v="2"/>
    <s v=""/>
    <x v="3"/>
    <x v="12"/>
    <n v="1"/>
    <n v="1"/>
    <n v="0"/>
    <n v="0"/>
    <n v="0"/>
    <n v="0"/>
    <n v="1"/>
  </r>
  <r>
    <n v="1770"/>
    <s v="       None"/>
    <n v="1770"/>
    <e v="#NAME?"/>
    <s v="None"/>
    <x v="1"/>
    <n v="11"/>
    <s v="Treatment given before referral"/>
    <m/>
    <m/>
    <s v="4. Referral"/>
    <x v="2"/>
    <m/>
    <s v="4.1 Emergency referral"/>
    <m/>
    <s v="FP.DE.117"/>
    <m/>
    <m/>
    <m/>
    <m/>
    <m/>
    <s v="None"/>
    <m/>
    <m/>
    <m/>
    <m/>
    <m/>
    <m/>
    <m/>
    <m/>
    <m/>
    <m/>
    <m/>
    <m/>
    <m/>
    <m/>
    <x v="3"/>
    <x v="0"/>
    <m/>
    <m/>
    <m/>
    <x v="2"/>
    <s v="NA"/>
    <m/>
    <m/>
    <m/>
    <s v="       None"/>
    <s v="Same"/>
    <m/>
    <x v="0"/>
    <e v="#NAME?"/>
    <s v="Ready for testing"/>
    <x v="2"/>
    <m/>
    <m/>
    <m/>
    <m/>
    <m/>
    <s v="260413007"/>
    <m/>
    <m/>
    <m/>
    <m/>
    <m/>
    <m/>
    <m/>
    <n v="1107"/>
    <m/>
    <s v="Concept - None"/>
    <s v="1107AAAAAAAAAAAAAAAAAAAAAAAAAAAAAAAA"/>
    <m/>
    <m/>
    <m/>
    <x v="2"/>
    <n v="0"/>
    <x v="2"/>
    <x v="12"/>
    <n v="1"/>
    <s v=""/>
    <n v="1"/>
    <n v="1"/>
    <n v="1"/>
    <n v="0"/>
    <n v="0"/>
  </r>
  <r>
    <n v="1771"/>
    <s v="       Central cyanosis"/>
    <n v="1771"/>
    <e v="#NAME?"/>
    <s v="Central cyanosis"/>
    <x v="1"/>
    <n v="23"/>
    <s v="Treatment given before referral"/>
    <m/>
    <m/>
    <s v="4. Referral"/>
    <x v="2"/>
    <m/>
    <s v="4.1 Emergency referral"/>
    <m/>
    <s v="FP.DE.118"/>
    <m/>
    <m/>
    <m/>
    <m/>
    <m/>
    <s v="Central cyanosis"/>
    <m/>
    <m/>
    <m/>
    <m/>
    <m/>
    <m/>
    <m/>
    <m/>
    <m/>
    <m/>
    <m/>
    <m/>
    <m/>
    <m/>
    <x v="3"/>
    <x v="0"/>
    <m/>
    <m/>
    <m/>
    <x v="2"/>
    <s v="NA"/>
    <m/>
    <m/>
    <m/>
    <s v="       Central cyanosis"/>
    <s v="Same"/>
    <m/>
    <x v="0"/>
    <e v="#NAME?"/>
    <s v="Ready for testing"/>
    <x v="2"/>
    <m/>
    <m/>
    <s v="x"/>
    <m/>
    <m/>
    <s v="95837007"/>
    <m/>
    <m/>
    <m/>
    <m/>
    <m/>
    <m/>
    <m/>
    <n v="165216"/>
    <m/>
    <s v="Concept - Central cyanosis"/>
    <s v="165216AAAAAAAAAAAAAAAAAAAAAAAAAAAAAA"/>
    <m/>
    <m/>
    <m/>
    <x v="2"/>
    <n v="0"/>
    <x v="2"/>
    <x v="12"/>
    <n v="1"/>
    <s v=""/>
    <n v="1"/>
    <n v="1"/>
    <n v="1"/>
    <n v="0"/>
    <n v="0"/>
  </r>
  <r>
    <n v="1772"/>
    <s v="       Convulsing"/>
    <n v="1772"/>
    <e v="#NAME?"/>
    <s v="Convulsing"/>
    <x v="1"/>
    <n v="17"/>
    <s v="Treatment given before referral"/>
    <m/>
    <m/>
    <s v="4. Referral"/>
    <x v="2"/>
    <m/>
    <s v="4.1 Emergency referral"/>
    <m/>
    <s v="FP.DE.119"/>
    <m/>
    <m/>
    <m/>
    <m/>
    <m/>
    <s v="Convulsing"/>
    <m/>
    <m/>
    <m/>
    <m/>
    <m/>
    <m/>
    <m/>
    <m/>
    <m/>
    <m/>
    <m/>
    <m/>
    <m/>
    <m/>
    <x v="3"/>
    <x v="0"/>
    <m/>
    <m/>
    <m/>
    <x v="2"/>
    <s v="NA"/>
    <m/>
    <m/>
    <m/>
    <s v="       Convulsing"/>
    <s v="Same"/>
    <m/>
    <x v="0"/>
    <e v="#NAME?"/>
    <s v="Ready for testing"/>
    <x v="2"/>
    <m/>
    <m/>
    <s v="convulsion"/>
    <m/>
    <m/>
    <s v="91175000"/>
    <m/>
    <m/>
    <m/>
    <m/>
    <m/>
    <m/>
    <m/>
    <n v="164483"/>
    <m/>
    <s v="Concept - Currently convulsing"/>
    <s v="164483AAAAAAAAAAAAAAAAAAAAAAAAAAAAAA"/>
    <m/>
    <m/>
    <m/>
    <x v="2"/>
    <n v="0"/>
    <x v="2"/>
    <x v="12"/>
    <n v="1"/>
    <s v=""/>
    <n v="1"/>
    <n v="1"/>
    <n v="1"/>
    <n v="0"/>
    <n v="0"/>
  </r>
  <r>
    <n v="1773"/>
    <s v="       Fever"/>
    <n v="1773"/>
    <e v="#NAME?"/>
    <s v="Fever"/>
    <x v="1"/>
    <n v="12"/>
    <s v="Treatment given before referral"/>
    <m/>
    <m/>
    <s v="4. Referral"/>
    <x v="2"/>
    <m/>
    <s v="4.1 Emergency referral"/>
    <m/>
    <s v="FP.DE.120"/>
    <m/>
    <m/>
    <m/>
    <m/>
    <m/>
    <s v="Fever"/>
    <m/>
    <m/>
    <m/>
    <m/>
    <m/>
    <m/>
    <m/>
    <m/>
    <m/>
    <m/>
    <m/>
    <m/>
    <m/>
    <m/>
    <x v="3"/>
    <x v="0"/>
    <m/>
    <m/>
    <m/>
    <x v="2"/>
    <s v="NA"/>
    <m/>
    <m/>
    <m/>
    <s v="       Fever"/>
    <s v="Same"/>
    <m/>
    <x v="0"/>
    <e v="#NAME?"/>
    <s v="Ready for testing"/>
    <x v="2"/>
    <m/>
    <m/>
    <m/>
    <s v="R50.9"/>
    <s v="MG26"/>
    <s v="386661006"/>
    <m/>
    <m/>
    <m/>
    <m/>
    <m/>
    <m/>
    <m/>
    <n v="140238"/>
    <m/>
    <s v="Concept - Fever"/>
    <s v="140238AAAAAAAAAAAAAAAAAAAAAAAAAAAAAA"/>
    <m/>
    <m/>
    <m/>
    <x v="2"/>
    <n v="0"/>
    <x v="2"/>
    <x v="12"/>
    <n v="1"/>
    <s v=""/>
    <n v="1"/>
    <n v="1"/>
    <n v="1"/>
    <n v="0"/>
    <n v="0"/>
  </r>
  <r>
    <n v="1774"/>
    <s v="       Severe headache"/>
    <n v="1774"/>
    <e v="#NAME?"/>
    <s v="Severe headache"/>
    <x v="1"/>
    <n v="22"/>
    <s v="Treatment given before referral"/>
    <m/>
    <m/>
    <s v="4. Referral"/>
    <x v="2"/>
    <m/>
    <s v="4.1 Emergency referral"/>
    <m/>
    <s v="FP.DE.121"/>
    <m/>
    <m/>
    <m/>
    <m/>
    <m/>
    <s v="Severe headache"/>
    <m/>
    <m/>
    <m/>
    <m/>
    <m/>
    <m/>
    <m/>
    <m/>
    <m/>
    <m/>
    <m/>
    <m/>
    <m/>
    <m/>
    <x v="3"/>
    <x v="0"/>
    <m/>
    <m/>
    <m/>
    <x v="2"/>
    <s v="NA"/>
    <m/>
    <m/>
    <m/>
    <s v="       Severe headache"/>
    <s v="Same"/>
    <m/>
    <x v="0"/>
    <e v="#NAME?"/>
    <s v="Ready for testing"/>
    <x v="2"/>
    <m/>
    <m/>
    <m/>
    <s v="R51"/>
    <s v="8A8Z"/>
    <m/>
    <m/>
    <m/>
    <m/>
    <m/>
    <m/>
    <m/>
    <m/>
    <n v="139081"/>
    <m/>
    <s v="Concept - Severe headache"/>
    <s v="139081AAAAAAAAAAAAAAAAAAAAAAAAAAAAAA"/>
    <m/>
    <m/>
    <m/>
    <x v="2"/>
    <n v="0"/>
    <x v="2"/>
    <x v="12"/>
    <n v="1"/>
    <s v=""/>
    <n v="1"/>
    <n v="1"/>
    <n v="1"/>
    <n v="0"/>
    <n v="0"/>
  </r>
  <r>
    <n v="1775"/>
    <s v="       Visual disturbance"/>
    <n v="1775"/>
    <e v="#NAME?"/>
    <s v="Visual disturbance"/>
    <x v="1"/>
    <n v="25"/>
    <s v="Treatment given before referral"/>
    <m/>
    <m/>
    <s v="4. Referral"/>
    <x v="2"/>
    <m/>
    <s v="4.1 Emergency referral"/>
    <m/>
    <s v="FP.DE.122"/>
    <m/>
    <m/>
    <m/>
    <m/>
    <m/>
    <s v="Visual disturbance"/>
    <m/>
    <m/>
    <m/>
    <m/>
    <m/>
    <m/>
    <m/>
    <m/>
    <m/>
    <m/>
    <m/>
    <m/>
    <m/>
    <m/>
    <x v="3"/>
    <x v="0"/>
    <m/>
    <m/>
    <m/>
    <x v="2"/>
    <s v="NA"/>
    <m/>
    <m/>
    <m/>
    <s v="       Visual disturbance"/>
    <s v="Same"/>
    <m/>
    <x v="0"/>
    <e v="#NAME?"/>
    <s v="Ready for testing"/>
    <x v="2"/>
    <m/>
    <m/>
    <s v="x"/>
    <s v="H53.9"/>
    <s v="9D7Z"/>
    <s v="63102001"/>
    <m/>
    <m/>
    <m/>
    <m/>
    <m/>
    <m/>
    <m/>
    <n v="123074"/>
    <m/>
    <s v="Concept - Visual disturbance"/>
    <s v="123074AAAAAAAAAAAAAAAAAAAAAAAAAAAAAA"/>
    <m/>
    <m/>
    <m/>
    <x v="2"/>
    <n v="0"/>
    <x v="2"/>
    <x v="12"/>
    <n v="1"/>
    <s v=""/>
    <n v="1"/>
    <n v="1"/>
    <n v="1"/>
    <n v="0"/>
    <n v="0"/>
  </r>
  <r>
    <n v="1776"/>
    <s v="       Looks very ill"/>
    <n v="1776"/>
    <e v="#NAME?"/>
    <s v="Looks very ill"/>
    <x v="1"/>
    <n v="21"/>
    <s v="Treatment given before referral"/>
    <m/>
    <m/>
    <s v="4. Referral"/>
    <x v="2"/>
    <m/>
    <s v="4.1 Emergency referral"/>
    <m/>
    <s v="FP.DE.123"/>
    <m/>
    <m/>
    <m/>
    <m/>
    <m/>
    <s v="Looks very ill"/>
    <m/>
    <m/>
    <m/>
    <m/>
    <m/>
    <m/>
    <m/>
    <m/>
    <m/>
    <m/>
    <m/>
    <m/>
    <m/>
    <m/>
    <x v="3"/>
    <x v="0"/>
    <m/>
    <m/>
    <m/>
    <x v="2"/>
    <s v="NA"/>
    <m/>
    <m/>
    <m/>
    <s v="       Looks very ill"/>
    <s v="Same"/>
    <m/>
    <x v="0"/>
    <e v="#NAME?"/>
    <s v="Ready for testing"/>
    <x v="2"/>
    <m/>
    <m/>
    <s v="x"/>
    <m/>
    <m/>
    <s v="302772006"/>
    <m/>
    <m/>
    <m/>
    <m/>
    <m/>
    <m/>
    <m/>
    <n v="16293"/>
    <m/>
    <s v="Concept - Unwell appearing"/>
    <s v="163293AAAAAAAAAAAAAAAAAAAAAAAAAAAAAA"/>
    <m/>
    <m/>
    <m/>
    <x v="2"/>
    <n v="0"/>
    <x v="2"/>
    <x v="12"/>
    <n v="1"/>
    <s v=""/>
    <n v="1"/>
    <n v="1"/>
    <n v="1"/>
    <n v="0"/>
    <n v="0"/>
  </r>
  <r>
    <n v="1777"/>
    <s v="       Severe pain"/>
    <n v="1777"/>
    <e v="#NAME?"/>
    <s v="Severe pain"/>
    <x v="1"/>
    <n v="18"/>
    <s v="Treatment given before referral"/>
    <m/>
    <m/>
    <s v="4. Referral"/>
    <x v="2"/>
    <m/>
    <s v="4.1 Emergency referral"/>
    <m/>
    <s v="FP.DE.124"/>
    <m/>
    <m/>
    <m/>
    <m/>
    <m/>
    <s v="Severe pain"/>
    <m/>
    <m/>
    <m/>
    <m/>
    <m/>
    <m/>
    <m/>
    <m/>
    <m/>
    <m/>
    <m/>
    <m/>
    <m/>
    <m/>
    <x v="3"/>
    <x v="0"/>
    <m/>
    <m/>
    <m/>
    <x v="2"/>
    <s v="NA"/>
    <m/>
    <m/>
    <m/>
    <s v="       Severe pain"/>
    <s v="Same"/>
    <m/>
    <x v="0"/>
    <e v="#NAME?"/>
    <s v="Ready for testing"/>
    <x v="2"/>
    <m/>
    <m/>
    <s v="x"/>
    <s v="R52.9"/>
    <s v="MG3Z"/>
    <s v="76948002"/>
    <m/>
    <m/>
    <m/>
    <m/>
    <m/>
    <m/>
    <m/>
    <n v="163477"/>
    <m/>
    <s v="Concept - Severe pain"/>
    <s v="163477AAAAAAAAAAAAAAAAAAAAAAAAAAAAAA"/>
    <m/>
    <m/>
    <m/>
    <x v="2"/>
    <n v="0"/>
    <x v="2"/>
    <x v="12"/>
    <n v="1"/>
    <s v=""/>
    <n v="1"/>
    <n v="1"/>
    <n v="1"/>
    <n v="0"/>
    <n v="0"/>
  </r>
  <r>
    <n v="1778"/>
    <s v="       Severe abdominal pain"/>
    <n v="1778"/>
    <e v="#NAME?"/>
    <s v="Severe abdominal pain"/>
    <x v="1"/>
    <n v="28"/>
    <s v="Treatment given before referral"/>
    <m/>
    <m/>
    <s v="4. Referral"/>
    <x v="2"/>
    <m/>
    <s v="4.1 Emergency referral"/>
    <m/>
    <s v="FP.DE.125"/>
    <m/>
    <m/>
    <m/>
    <m/>
    <m/>
    <s v="Severe abdominal pain"/>
    <m/>
    <m/>
    <m/>
    <m/>
    <m/>
    <m/>
    <m/>
    <m/>
    <m/>
    <m/>
    <m/>
    <m/>
    <m/>
    <m/>
    <x v="3"/>
    <x v="0"/>
    <m/>
    <m/>
    <m/>
    <x v="2"/>
    <s v="NA"/>
    <m/>
    <m/>
    <m/>
    <s v="       Severe abdominal pain"/>
    <s v="Same"/>
    <m/>
    <x v="0"/>
    <e v="#NAME?"/>
    <s v="Ready for testing"/>
    <x v="2"/>
    <m/>
    <m/>
    <m/>
    <s v="R10.9"/>
    <m/>
    <m/>
    <m/>
    <m/>
    <m/>
    <m/>
    <m/>
    <m/>
    <m/>
    <n v="165271"/>
    <m/>
    <s v="Concept - Severe abdominal pain"/>
    <s v="165271AAAAAAAAAAAAAAAAAAAAAAAAAAAAAA"/>
    <m/>
    <m/>
    <m/>
    <x v="2"/>
    <n v="0"/>
    <x v="2"/>
    <x v="12"/>
    <n v="1"/>
    <s v=""/>
    <n v="1"/>
    <n v="1"/>
    <n v="1"/>
    <n v="0"/>
    <n v="0"/>
  </r>
  <r>
    <n v="1779"/>
    <s v="       Unconscious"/>
    <n v="1779"/>
    <e v="#NAME?"/>
    <s v="Unconscious"/>
    <x v="1"/>
    <n v="18"/>
    <s v="Treatment given before referral"/>
    <m/>
    <m/>
    <s v="4. Referral"/>
    <x v="2"/>
    <m/>
    <s v="4.1 Emergency referral"/>
    <m/>
    <s v="FP.DE.126"/>
    <m/>
    <m/>
    <m/>
    <m/>
    <m/>
    <s v="Unconscious"/>
    <m/>
    <m/>
    <m/>
    <m/>
    <m/>
    <m/>
    <m/>
    <m/>
    <m/>
    <m/>
    <m/>
    <m/>
    <m/>
    <m/>
    <x v="3"/>
    <x v="0"/>
    <m/>
    <m/>
    <m/>
    <x v="2"/>
    <s v="NA"/>
    <m/>
    <m/>
    <m/>
    <s v="       Unconscious"/>
    <s v="Same"/>
    <m/>
    <x v="0"/>
    <e v="#NAME?"/>
    <s v="Ready for testing"/>
    <x v="2"/>
    <m/>
    <m/>
    <s v="x"/>
    <s v="R40.2"/>
    <s v="MB20.1"/>
    <s v="418107008"/>
    <m/>
    <m/>
    <m/>
    <m/>
    <m/>
    <m/>
    <m/>
    <n v="123818"/>
    <m/>
    <s v="Concept - Unconscious"/>
    <s v="123818AAAAAAAAAAAAAAAAAAAAAAAAAAAAAA"/>
    <m/>
    <m/>
    <m/>
    <x v="2"/>
    <n v="0"/>
    <x v="2"/>
    <x v="12"/>
    <n v="1"/>
    <s v=""/>
    <n v="1"/>
    <n v="1"/>
    <n v="1"/>
    <n v="0"/>
    <n v="0"/>
  </r>
  <r>
    <n v="1780"/>
    <s v="Reason for referral"/>
    <n v="1780"/>
    <s v="Reason for referral"/>
    <s v="Reason for referral"/>
    <x v="0"/>
    <n v="19"/>
    <s v=""/>
    <m/>
    <m/>
    <s v="4. Referral"/>
    <x v="2"/>
    <m/>
    <s v="4.2  Identify referral options"/>
    <s v="ST.DE.061"/>
    <s v="FP.DE.083"/>
    <s v="Reason for referral"/>
    <m/>
    <s v="Reason why the patient is being referred. If diagnosed, this may include the reason for the diagnosis."/>
    <s v="Coding "/>
    <s v=" Select one"/>
    <m/>
    <m/>
    <m/>
    <m/>
    <m/>
    <m/>
    <m/>
    <m/>
    <m/>
    <m/>
    <m/>
    <m/>
    <m/>
    <m/>
    <m/>
    <x v="71"/>
    <x v="0"/>
    <s v="FHIR"/>
    <s v="4.0.1"/>
    <m/>
    <x v="3"/>
    <s v="JA"/>
    <m/>
    <m/>
    <m/>
    <s v="Reason for referral"/>
    <s v="Same"/>
    <m/>
    <x v="0"/>
    <s v=""/>
    <s v="Ready for testing"/>
    <x v="0"/>
    <m/>
    <m/>
    <m/>
    <m/>
    <m/>
    <m/>
    <m/>
    <m/>
    <s v="No terminology code required"/>
    <m/>
    <m/>
    <m/>
    <m/>
    <m/>
    <m/>
    <m/>
    <m/>
    <m/>
    <m/>
    <m/>
    <x v="3"/>
    <s v=""/>
    <x v="4"/>
    <x v="3"/>
    <n v="1"/>
    <n v="1"/>
    <n v="1"/>
    <n v="1"/>
    <n v="1"/>
    <n v="0"/>
    <n v="0"/>
  </r>
  <r>
    <n v="1781"/>
    <s v="       Family planning procedure"/>
    <n v="1781"/>
    <e v="#NAME?"/>
    <s v="Family planning procedure"/>
    <x v="1"/>
    <n v="32"/>
    <s v="Reason for referral"/>
    <m/>
    <m/>
    <s v="4. Referral"/>
    <x v="2"/>
    <m/>
    <s v="4.2  Identify referral options"/>
    <m/>
    <m/>
    <m/>
    <m/>
    <s v="Referral for family planning (procedure)"/>
    <m/>
    <m/>
    <s v="Family planning procedure"/>
    <m/>
    <m/>
    <m/>
    <m/>
    <m/>
    <m/>
    <m/>
    <m/>
    <m/>
    <m/>
    <m/>
    <m/>
    <m/>
    <m/>
    <x v="3"/>
    <x v="0"/>
    <m/>
    <m/>
    <m/>
    <x v="2"/>
    <s v="JS"/>
    <m/>
    <m/>
    <m/>
    <s v="       Family planning procedure"/>
    <s v="Same"/>
    <m/>
    <x v="0"/>
    <e v="#NAME?"/>
    <s v="Ready for testing"/>
    <x v="0"/>
    <m/>
    <m/>
    <s v="x"/>
    <m/>
    <m/>
    <s v="86395003; 305930006"/>
    <m/>
    <m/>
    <m/>
    <m/>
    <m/>
    <s v="86395003; referral for family planning 305930006"/>
    <m/>
    <m/>
    <m/>
    <m/>
    <m/>
    <m/>
    <m/>
    <m/>
    <x v="2"/>
    <n v="0"/>
    <x v="2"/>
    <x v="3"/>
    <n v="1"/>
    <s v=""/>
    <n v="1"/>
    <n v="1"/>
    <n v="1"/>
    <n v="0"/>
    <n v="0"/>
  </r>
  <r>
    <n v="1782"/>
    <s v="       Screening referral"/>
    <n v="1782"/>
    <e v="#NAME?"/>
    <s v="Screening referral"/>
    <x v="1"/>
    <n v="25"/>
    <s v="Reason for referral"/>
    <m/>
    <m/>
    <s v="4. Referral"/>
    <x v="2"/>
    <m/>
    <s v="4.2  Identify referral options"/>
    <m/>
    <m/>
    <m/>
    <m/>
    <s v="Referral for screening including diagnostics and lab testing"/>
    <m/>
    <m/>
    <s v="Screening referral"/>
    <m/>
    <m/>
    <m/>
    <m/>
    <m/>
    <m/>
    <m/>
    <m/>
    <m/>
    <m/>
    <m/>
    <m/>
    <m/>
    <m/>
    <x v="3"/>
    <x v="0"/>
    <m/>
    <m/>
    <m/>
    <x v="2"/>
    <s v="JS"/>
    <m/>
    <m/>
    <m/>
    <s v="       Screening referral"/>
    <s v="Same"/>
    <m/>
    <x v="0"/>
    <e v="#NAME?"/>
    <s v="Ready for testing"/>
    <x v="0"/>
    <m/>
    <m/>
    <m/>
    <m/>
    <m/>
    <s v="306228005"/>
    <m/>
    <m/>
    <m/>
    <m/>
    <m/>
    <m/>
    <m/>
    <m/>
    <m/>
    <m/>
    <m/>
    <m/>
    <m/>
    <m/>
    <x v="2"/>
    <n v="0"/>
    <x v="2"/>
    <x v="3"/>
    <n v="1"/>
    <s v=""/>
    <n v="1"/>
    <n v="1"/>
    <n v="1"/>
    <n v="0"/>
    <n v="0"/>
  </r>
  <r>
    <n v="1783"/>
    <s v="       Other referral"/>
    <n v="1783"/>
    <e v="#NAME?"/>
    <s v="Other referral"/>
    <x v="1"/>
    <n v="21"/>
    <s v="Reason for referral"/>
    <m/>
    <m/>
    <s v="4. Referral"/>
    <x v="2"/>
    <m/>
    <s v="4.2  Identify referral options"/>
    <m/>
    <m/>
    <m/>
    <m/>
    <s v="Referral for a general service"/>
    <m/>
    <m/>
    <s v="Other referral"/>
    <m/>
    <m/>
    <m/>
    <m/>
    <m/>
    <m/>
    <m/>
    <m/>
    <m/>
    <m/>
    <m/>
    <m/>
    <m/>
    <m/>
    <x v="3"/>
    <x v="0"/>
    <m/>
    <m/>
    <m/>
    <x v="2"/>
    <s v="JS"/>
    <m/>
    <m/>
    <m/>
    <s v="       Other referral"/>
    <s v="Same"/>
    <m/>
    <x v="0"/>
    <e v="#NAME?"/>
    <s v="Ready for testing"/>
    <x v="0"/>
    <m/>
    <m/>
    <m/>
    <m/>
    <m/>
    <s v="306206005"/>
    <m/>
    <m/>
    <m/>
    <m/>
    <m/>
    <m/>
    <m/>
    <m/>
    <m/>
    <m/>
    <m/>
    <m/>
    <m/>
    <m/>
    <x v="2"/>
    <n v="0"/>
    <x v="2"/>
    <x v="3"/>
    <n v="1"/>
    <s v=""/>
    <n v="1"/>
    <n v="1"/>
    <n v="1"/>
    <n v="0"/>
    <n v="0"/>
  </r>
  <r>
    <n v="1786"/>
    <s v="Facility can accomodate"/>
    <n v="1786"/>
    <s v="True/False"/>
    <s v="True/False"/>
    <x v="2"/>
    <n v="23"/>
    <s v=""/>
    <m/>
    <m/>
    <s v="4. Referral"/>
    <x v="10"/>
    <m/>
    <s v="4.6 Facility can accommodate?"/>
    <m/>
    <m/>
    <m/>
    <m/>
    <m/>
    <s v="Boolean"/>
    <m/>
    <s v="True/False"/>
    <m/>
    <m/>
    <m/>
    <m/>
    <m/>
    <m/>
    <m/>
    <m/>
    <m/>
    <m/>
    <m/>
    <m/>
    <m/>
    <m/>
    <x v="3"/>
    <x v="0"/>
    <m/>
    <m/>
    <m/>
    <x v="2"/>
    <s v="NA"/>
    <m/>
    <m/>
    <m/>
    <s v="True/False"/>
    <s v="Changed"/>
    <m/>
    <x v="0"/>
    <s v="&quot;True/False&quot;-&gt;&quot;Facility can accomodate&quot;"/>
    <s v="Ready for testing"/>
    <x v="2"/>
    <m/>
    <m/>
    <m/>
    <m/>
    <m/>
    <m/>
    <m/>
    <m/>
    <s v="No terminology code required"/>
    <m/>
    <m/>
    <m/>
    <s v="5 (closed)"/>
    <m/>
    <m/>
    <m/>
    <m/>
    <m/>
    <m/>
    <m/>
    <x v="2"/>
    <s v=""/>
    <x v="3"/>
    <x v="2"/>
    <n v="1"/>
    <s v=""/>
    <n v="1"/>
    <n v="1"/>
    <n v="1"/>
    <n v="0"/>
    <n v="0"/>
  </r>
  <r>
    <n v="1787"/>
    <s v="       Referral needed"/>
    <n v="1787"/>
    <s v="Referral needed"/>
    <s v="Referral needed"/>
    <x v="2"/>
    <n v="22"/>
    <s v=""/>
    <m/>
    <m/>
    <s v="4. Referral"/>
    <x v="10"/>
    <m/>
    <s v="4.6 Facility can accommodate?"/>
    <s v="ST.DE.230"/>
    <m/>
    <m/>
    <m/>
    <m/>
    <m/>
    <m/>
    <s v="Referral needed"/>
    <m/>
    <m/>
    <m/>
    <m/>
    <m/>
    <m/>
    <m/>
    <m/>
    <m/>
    <m/>
    <m/>
    <m/>
    <m/>
    <m/>
    <x v="3"/>
    <x v="0"/>
    <m/>
    <m/>
    <m/>
    <x v="2"/>
    <s v="NA"/>
    <m/>
    <m/>
    <m/>
    <s v="       Referral needed"/>
    <s v="Same"/>
    <m/>
    <x v="0"/>
    <s v="&quot;Referral needed&quot;-&gt;&quot;       Referral needed&quot;"/>
    <s v="Ready for testing"/>
    <x v="2"/>
    <m/>
    <m/>
    <s v="x"/>
    <m/>
    <m/>
    <s v="183924009"/>
    <m/>
    <m/>
    <m/>
    <m/>
    <m/>
    <m/>
    <m/>
    <m/>
    <m/>
    <m/>
    <m/>
    <m/>
    <m/>
    <m/>
    <x v="2"/>
    <s v=""/>
    <x v="3"/>
    <x v="2"/>
    <n v="1"/>
    <s v=""/>
    <n v="1"/>
    <n v="1"/>
    <n v="1"/>
    <n v="0"/>
    <n v="0"/>
  </r>
  <r>
    <n v="1788"/>
    <s v="Date of scheduled referral appointment"/>
    <n v="1788"/>
    <s v="Date of scheduled referral appointment"/>
    <s v="Date of scheduled referral appointment"/>
    <x v="0"/>
    <n v="38"/>
    <s v=""/>
    <m/>
    <m/>
    <s v="4. Referral"/>
    <x v="2"/>
    <m/>
    <s v="4.7 Provide information to destination facility"/>
    <s v="ST.DE.062"/>
    <s v="FP.DE.084"/>
    <s v="Date of scheduled referral appointment"/>
    <m/>
    <s v="When the referral is scheduled"/>
    <s v="DateTime"/>
    <m/>
    <m/>
    <m/>
    <m/>
    <m/>
    <m/>
    <m/>
    <m/>
    <m/>
    <m/>
    <m/>
    <m/>
    <m/>
    <m/>
    <m/>
    <m/>
    <x v="72"/>
    <x v="8"/>
    <s v="FHIR"/>
    <s v="4.0.1"/>
    <m/>
    <x v="3"/>
    <s v="JA"/>
    <m/>
    <m/>
    <m/>
    <s v="Date of scheduled referral appointment"/>
    <s v="Same"/>
    <m/>
    <x v="0"/>
    <s v=""/>
    <s v="Ready for testing"/>
    <x v="0"/>
    <m/>
    <m/>
    <m/>
    <m/>
    <m/>
    <m/>
    <s v="57202-4"/>
    <m/>
    <m/>
    <m/>
    <m/>
    <m/>
    <m/>
    <m/>
    <m/>
    <m/>
    <m/>
    <m/>
    <m/>
    <m/>
    <x v="3"/>
    <s v=""/>
    <x v="4"/>
    <x v="3"/>
    <n v="1"/>
    <n v="0"/>
    <n v="1"/>
    <n v="1"/>
    <n v="1"/>
    <n v="0"/>
    <n v="0"/>
  </r>
  <r>
    <n v="1789"/>
    <s v="Location of scheduled referral appointment"/>
    <n v="1789"/>
    <s v="Location of scheduled referral appointment"/>
    <s v="Location of scheduled referral appointment"/>
    <x v="0"/>
    <n v="42"/>
    <s v=""/>
    <m/>
    <m/>
    <s v="4. Referral"/>
    <x v="2"/>
    <m/>
    <s v="4.7 Provide information to destination facility"/>
    <s v="ST.DE.063"/>
    <s v="FP.DE.085"/>
    <s v="Location of scheduled referral appointment"/>
    <m/>
    <s v="Where the client is being referred to"/>
    <s v="Location.identifier"/>
    <m/>
    <m/>
    <m/>
    <m/>
    <m/>
    <m/>
    <m/>
    <m/>
    <m/>
    <m/>
    <m/>
    <m/>
    <m/>
    <m/>
    <m/>
    <m/>
    <x v="73"/>
    <x v="0"/>
    <s v="FHIR"/>
    <s v="4.0.1"/>
    <m/>
    <x v="3"/>
    <s v="JA"/>
    <m/>
    <m/>
    <m/>
    <s v="Location of scheduled referral appointment"/>
    <s v="Same"/>
    <m/>
    <x v="0"/>
    <s v=""/>
    <s v="Ready for testing"/>
    <x v="0"/>
    <m/>
    <m/>
    <m/>
    <m/>
    <m/>
    <m/>
    <m/>
    <m/>
    <s v="No terminology code required"/>
    <m/>
    <m/>
    <m/>
    <m/>
    <m/>
    <m/>
    <m/>
    <m/>
    <m/>
    <m/>
    <m/>
    <x v="3"/>
    <s v=""/>
    <x v="4"/>
    <x v="3"/>
    <n v="1"/>
    <n v="0"/>
    <n v="1"/>
    <n v="1"/>
    <n v="1"/>
    <n v="0"/>
    <n v="0"/>
  </r>
  <r>
    <n v="1790"/>
    <s v="HIV Referral Recommended Date "/>
    <n v="1790"/>
    <s v="HIV Referral Recommended Date "/>
    <s v="HIV Referral Recommended Date "/>
    <x v="0"/>
    <n v="30"/>
    <s v=""/>
    <m/>
    <m/>
    <s v="4. Referral"/>
    <x v="2"/>
    <m/>
    <s v="4.7 Provide information to destination facility"/>
    <s v="ST.DE.064"/>
    <s v="FP.DE.086"/>
    <s v="HIV Referral Recommended Date "/>
    <m/>
    <s v="A date at which a clinician identifies that a clinical or laboratory finding on HIV status requires a referral to a different provider for a medical visit and the client has been provided knowledge of that referral. The referred provider and location is s"/>
    <m/>
    <m/>
    <m/>
    <m/>
    <m/>
    <m/>
    <m/>
    <m/>
    <m/>
    <m/>
    <m/>
    <m/>
    <m/>
    <m/>
    <m/>
    <m/>
    <m/>
    <x v="72"/>
    <x v="11"/>
    <s v="FHIR"/>
    <s v="4.0.1"/>
    <m/>
    <x v="2"/>
    <s v="NA"/>
    <m/>
    <m/>
    <m/>
    <s v="HIV Referral Recommended Date "/>
    <s v="Same"/>
    <m/>
    <x v="0"/>
    <s v=""/>
    <s v="Ready for testing"/>
    <x v="2"/>
    <m/>
    <m/>
    <m/>
    <m/>
    <m/>
    <m/>
    <s v="86664-0"/>
    <m/>
    <m/>
    <m/>
    <m/>
    <m/>
    <m/>
    <m/>
    <m/>
    <m/>
    <m/>
    <m/>
    <m/>
    <m/>
    <x v="2"/>
    <s v=""/>
    <x v="3"/>
    <x v="12"/>
    <n v="1"/>
    <n v="0"/>
    <n v="1"/>
    <n v="1"/>
    <n v="1"/>
    <n v="0"/>
    <n v="0"/>
  </r>
  <r>
    <n v="1791"/>
    <s v="HIV Referral Visit Completed Date "/>
    <n v="1791"/>
    <s v="HIV Referral Visit Completed Date "/>
    <s v="HIV Referral Visit Completed Date "/>
    <x v="0"/>
    <n v="34"/>
    <s v=""/>
    <m/>
    <m/>
    <s v="4. Referral"/>
    <x v="2"/>
    <m/>
    <s v="4.7 Provide information to destination facility"/>
    <s v="ST.DE.065"/>
    <s v="FP.DE.087"/>
    <s v="HIV Referral Visit Completed Date "/>
    <m/>
    <s v="The site that found a need for a referral receives documentation that the medical visit took place and enters the date of that visit. This date would be considered the end date for a performance measure that evaluates the time that it takes for a necessar"/>
    <m/>
    <m/>
    <m/>
    <m/>
    <m/>
    <m/>
    <m/>
    <m/>
    <m/>
    <m/>
    <m/>
    <m/>
    <m/>
    <m/>
    <m/>
    <m/>
    <m/>
    <x v="74"/>
    <x v="0"/>
    <s v="FHIR"/>
    <s v="4.0.1"/>
    <m/>
    <x v="2"/>
    <s v="NA"/>
    <m/>
    <m/>
    <m/>
    <s v="HIV Referral Visit Completed Date "/>
    <s v="Same"/>
    <m/>
    <x v="0"/>
    <s v=""/>
    <s v="Ready for testing"/>
    <x v="2"/>
    <m/>
    <m/>
    <m/>
    <m/>
    <m/>
    <m/>
    <m/>
    <m/>
    <s v="No terminology code required"/>
    <m/>
    <m/>
    <m/>
    <m/>
    <m/>
    <m/>
    <m/>
    <m/>
    <m/>
    <m/>
    <m/>
    <x v="2"/>
    <s v=""/>
    <x v="3"/>
    <x v="12"/>
    <n v="1"/>
    <n v="0"/>
    <n v="1"/>
    <n v="1"/>
    <n v="1"/>
    <n v="0"/>
    <n v="0"/>
  </r>
  <r>
    <n v="1792"/>
    <s v="Date referral was made_x000a__x000a__x000a__x000a__x000a_"/>
    <n v="1792"/>
    <s v="Date referral was made_x000a__x000a__x000a__x000a__x000a_"/>
    <s v="Date referral was made_x000a__x000a__x000a__x000a__x000a_"/>
    <x v="0"/>
    <n v="27"/>
    <s v=""/>
    <m/>
    <m/>
    <s v="4. Referral"/>
    <x v="2"/>
    <m/>
    <s v="4.8 Fill out referral details"/>
    <s v="ST.DE.066"/>
    <s v="FP.DE.088"/>
    <s v="Date referral was made_x000a__x000a__x000a__x000a__x000a_"/>
    <m/>
    <s v="The date the referral was made."/>
    <s v="DateTime"/>
    <m/>
    <m/>
    <m/>
    <m/>
    <m/>
    <m/>
    <m/>
    <m/>
    <m/>
    <m/>
    <m/>
    <m/>
    <m/>
    <m/>
    <m/>
    <m/>
    <x v="75"/>
    <x v="0"/>
    <s v="FHIR"/>
    <s v="4.0.1"/>
    <m/>
    <x v="3"/>
    <s v="JA"/>
    <m/>
    <m/>
    <m/>
    <s v="Date referral was made_x000a__x000a__x000a__x000a__x000a_"/>
    <s v="Same"/>
    <m/>
    <x v="0"/>
    <s v=""/>
    <s v="Ready for testing"/>
    <x v="0"/>
    <m/>
    <m/>
    <m/>
    <m/>
    <m/>
    <m/>
    <m/>
    <m/>
    <s v="No terminology code required"/>
    <m/>
    <m/>
    <m/>
    <m/>
    <m/>
    <m/>
    <m/>
    <m/>
    <m/>
    <m/>
    <m/>
    <x v="3"/>
    <s v=""/>
    <x v="4"/>
    <x v="3"/>
    <n v="1"/>
    <n v="0"/>
    <n v="1"/>
    <n v="1"/>
    <n v="1"/>
    <n v="0"/>
    <n v="0"/>
  </r>
  <r>
    <n v="1793"/>
    <s v="Existing co-illness "/>
    <n v="1793"/>
    <s v="Existing co-illness "/>
    <s v="Existing co-illness "/>
    <x v="0"/>
    <n v="20"/>
    <s v=""/>
    <m/>
    <m/>
    <s v="4. Referral"/>
    <x v="11"/>
    <m/>
    <s v="4.8 Fill out referral details"/>
    <s v="ST.DE.067"/>
    <s v="FP.DE.089"/>
    <s v="Existing co-illness "/>
    <m/>
    <s v="Any existing conditions."/>
    <s v="String"/>
    <m/>
    <m/>
    <m/>
    <m/>
    <m/>
    <m/>
    <m/>
    <m/>
    <m/>
    <m/>
    <m/>
    <m/>
    <m/>
    <m/>
    <m/>
    <m/>
    <x v="31"/>
    <x v="0"/>
    <s v="FHIR"/>
    <s v="4.0.1"/>
    <m/>
    <x v="2"/>
    <s v="NA"/>
    <m/>
    <m/>
    <m/>
    <s v="Existing co-illness "/>
    <s v="Same"/>
    <m/>
    <x v="0"/>
    <s v=""/>
    <s v="Ready for testing"/>
    <x v="2"/>
    <m/>
    <m/>
    <m/>
    <m/>
    <m/>
    <m/>
    <m/>
    <m/>
    <s v="No terminology code required"/>
    <m/>
    <m/>
    <m/>
    <m/>
    <m/>
    <m/>
    <m/>
    <m/>
    <m/>
    <m/>
    <m/>
    <x v="2"/>
    <s v=""/>
    <x v="3"/>
    <x v="12"/>
    <n v="1"/>
    <n v="0"/>
    <n v="1"/>
    <n v="1"/>
    <n v="1"/>
    <n v="0"/>
    <n v="0"/>
  </r>
  <r>
    <n v="1795"/>
    <s v="Known allergies "/>
    <n v="1795"/>
    <s v="Known allergies "/>
    <s v="Known allergies "/>
    <x v="0"/>
    <n v="16"/>
    <s v=""/>
    <m/>
    <m/>
    <s v="4. Referral"/>
    <x v="11"/>
    <m/>
    <s v="4.8 Fill out referral details"/>
    <s v="ST.DE.068"/>
    <s v="FP.DE.090"/>
    <s v="Known allergies "/>
    <m/>
    <s v="Any known medical allergies of the client."/>
    <s v="String"/>
    <m/>
    <m/>
    <m/>
    <m/>
    <m/>
    <m/>
    <m/>
    <m/>
    <m/>
    <m/>
    <m/>
    <m/>
    <m/>
    <m/>
    <m/>
    <m/>
    <x v="46"/>
    <x v="0"/>
    <s v="FHIR"/>
    <s v="4.0.1"/>
    <m/>
    <x v="102"/>
    <s v="JA"/>
    <m/>
    <m/>
    <m/>
    <s v="Known allergies "/>
    <s v="Same"/>
    <m/>
    <x v="0"/>
    <s v=""/>
    <s v="Ready for testing"/>
    <x v="0"/>
    <m/>
    <m/>
    <m/>
    <m/>
    <m/>
    <m/>
    <m/>
    <m/>
    <s v="No terminology code required"/>
    <m/>
    <m/>
    <s v="This is probably best modeled as FHIR's AllergyIntolerence with the patient as the asserter."/>
    <m/>
    <m/>
    <m/>
    <m/>
    <m/>
    <m/>
    <m/>
    <m/>
    <x v="14"/>
    <s v=""/>
    <x v="15"/>
    <x v="103"/>
    <n v="1"/>
    <n v="0"/>
    <n v="1"/>
    <n v="1"/>
    <n v="1"/>
    <n v="0"/>
    <n v="0"/>
  </r>
  <r>
    <n v="1796"/>
    <s v="Procedures performed prior to referral "/>
    <n v="1796"/>
    <s v="Procedures performed prior to referral "/>
    <s v="Procedures performed prior to referral "/>
    <x v="0"/>
    <n v="39"/>
    <s v=""/>
    <m/>
    <m/>
    <s v="4. Referral"/>
    <x v="11"/>
    <m/>
    <s v="4.8 Fill out referral details"/>
    <s v="ST.DE.069"/>
    <s v="FP.DE.091"/>
    <s v="Procedures performed prior to referral "/>
    <m/>
    <s v="Any procedures performed."/>
    <s v="String"/>
    <m/>
    <m/>
    <m/>
    <m/>
    <m/>
    <m/>
    <m/>
    <m/>
    <m/>
    <m/>
    <m/>
    <m/>
    <m/>
    <m/>
    <m/>
    <m/>
    <x v="22"/>
    <x v="0"/>
    <s v="FHIR"/>
    <s v="4.0.1"/>
    <m/>
    <x v="2"/>
    <s v="NA"/>
    <s v="http://hl7.org/fhir/ValueSet/procedure-code"/>
    <m/>
    <m/>
    <s v="Procedures performed prior to referral "/>
    <s v="Same"/>
    <m/>
    <x v="0"/>
    <s v=""/>
    <s v="Ready for testing"/>
    <x v="2"/>
    <m/>
    <m/>
    <m/>
    <m/>
    <m/>
    <m/>
    <m/>
    <m/>
    <s v="No terminology code required"/>
    <m/>
    <m/>
    <s v="I couldn't find a SNOMED term for &quot;Procedure&quot; or &quot;Personal history of procedures&quot;. I would recommend using FHIR's Procedure resource with the code set to a value from the value set http://hl7.org/fhir/ValueSet/procedure-code"/>
    <m/>
    <m/>
    <m/>
    <m/>
    <m/>
    <m/>
    <m/>
    <m/>
    <x v="2"/>
    <s v=""/>
    <x v="3"/>
    <x v="12"/>
    <n v="1"/>
    <n v="1"/>
    <n v="1"/>
    <n v="1"/>
    <n v="1"/>
    <n v="0"/>
    <n v="0"/>
  </r>
  <r>
    <n v="1797"/>
    <s v="visit notes"/>
    <n v="1797"/>
    <s v="visit notes"/>
    <s v="visit notes"/>
    <x v="0"/>
    <n v="11"/>
    <s v=""/>
    <m/>
    <m/>
    <s v="4. Referral"/>
    <x v="11"/>
    <m/>
    <s v="4.8 Fill out referral details"/>
    <s v="ST.DE.070"/>
    <s v="FP.DE.092"/>
    <s v="visit notes"/>
    <m/>
    <s v="Visit notes"/>
    <s v="String"/>
    <m/>
    <m/>
    <m/>
    <m/>
    <m/>
    <m/>
    <m/>
    <m/>
    <m/>
    <m/>
    <m/>
    <m/>
    <m/>
    <m/>
    <m/>
    <m/>
    <x v="76"/>
    <x v="0"/>
    <s v="FHIR"/>
    <s v="4.0.1"/>
    <m/>
    <x v="2"/>
    <s v="NA"/>
    <m/>
    <m/>
    <m/>
    <s v="visit notes"/>
    <s v="Same"/>
    <m/>
    <x v="0"/>
    <s v=""/>
    <s v="Ready for testing"/>
    <x v="2"/>
    <m/>
    <m/>
    <m/>
    <m/>
    <m/>
    <m/>
    <s v="57133-1"/>
    <m/>
    <m/>
    <m/>
    <m/>
    <s v="Not sure if this is a place for recording visit notes or (more likely based on the domain) a place for recording prior visit notes. In any case, this should probably be a FHIR resource and not a concept mapping."/>
    <m/>
    <m/>
    <m/>
    <m/>
    <m/>
    <m/>
    <m/>
    <m/>
    <x v="2"/>
    <s v=""/>
    <x v="3"/>
    <x v="12"/>
    <n v="1"/>
    <n v="0"/>
    <n v="1"/>
    <n v="1"/>
    <n v="1"/>
    <n v="0"/>
    <n v="0"/>
  </r>
  <r>
    <n v="1799"/>
    <s v="Level of urgency for the referral"/>
    <n v="1799"/>
    <s v="Level of urgency for the referral"/>
    <s v="Level of urgency for the referral"/>
    <x v="0"/>
    <n v="33"/>
    <s v=""/>
    <m/>
    <m/>
    <s v="4. Referral"/>
    <x v="2"/>
    <m/>
    <s v="4.8 Fill out referral details"/>
    <s v="ST.DE.071"/>
    <s v="FP.DE.093"/>
    <s v="Level of urgency for the referral"/>
    <m/>
    <s v="Indicate if it is an urgent referral."/>
    <s v="Coding"/>
    <m/>
    <s v="Select One"/>
    <m/>
    <m/>
    <m/>
    <m/>
    <m/>
    <m/>
    <m/>
    <m/>
    <m/>
    <m/>
    <m/>
    <m/>
    <m/>
    <m/>
    <x v="77"/>
    <x v="0"/>
    <s v="FHIR"/>
    <s v="4.0.1"/>
    <m/>
    <x v="2"/>
    <s v="NA"/>
    <s v="http://hl7.org/fhir/ValueSet/request-priority"/>
    <m/>
    <m/>
    <s v="Level of urgency for the referral"/>
    <s v="Same"/>
    <m/>
    <x v="0"/>
    <s v=""/>
    <s v="Ready for testing"/>
    <x v="2"/>
    <m/>
    <m/>
    <m/>
    <m/>
    <m/>
    <m/>
    <m/>
    <m/>
    <s v="No terminology code required"/>
    <m/>
    <m/>
    <m/>
    <s v="14 (also 6)"/>
    <m/>
    <m/>
    <m/>
    <m/>
    <m/>
    <m/>
    <m/>
    <x v="2"/>
    <s v=""/>
    <x v="3"/>
    <x v="12"/>
    <n v="1"/>
    <n v="1"/>
    <n v="1"/>
    <n v="1"/>
    <n v="1"/>
    <n v="0"/>
    <n v="0"/>
  </r>
  <r>
    <n v="1800"/>
    <s v="Contact and address of primary provider"/>
    <n v="1800"/>
    <s v="Contact and address of primary provider"/>
    <s v="Contact and address of primary provider"/>
    <x v="0"/>
    <n v="39"/>
    <s v=""/>
    <m/>
    <m/>
    <s v="4. Referral"/>
    <x v="0"/>
    <m/>
    <s v="4.8 Fill out referral details"/>
    <s v="ST.DE.072"/>
    <s v="FP.DE.094"/>
    <s v="Contact and address of primary provider"/>
    <m/>
    <s v="The contact details of the primary provider or clinician."/>
    <s v="String"/>
    <m/>
    <m/>
    <m/>
    <m/>
    <m/>
    <m/>
    <m/>
    <m/>
    <m/>
    <m/>
    <m/>
    <m/>
    <m/>
    <m/>
    <m/>
    <m/>
    <x v="78"/>
    <x v="0"/>
    <s v="FHIR"/>
    <s v="4.0.1"/>
    <m/>
    <x v="63"/>
    <s v="JA"/>
    <m/>
    <m/>
    <m/>
    <s v="Contact and address of primary provider"/>
    <s v="Same"/>
    <m/>
    <x v="0"/>
    <s v=""/>
    <s v="Ready for testing"/>
    <x v="0"/>
    <m/>
    <m/>
    <m/>
    <m/>
    <m/>
    <m/>
    <m/>
    <m/>
    <s v="No terminology code required"/>
    <m/>
    <m/>
    <m/>
    <m/>
    <m/>
    <m/>
    <m/>
    <m/>
    <m/>
    <m/>
    <m/>
    <x v="13"/>
    <s v=""/>
    <x v="14"/>
    <x v="64"/>
    <n v="1"/>
    <n v="0"/>
    <n v="1"/>
    <n v="1"/>
    <n v="1"/>
    <n v="0"/>
    <n v="0"/>
  </r>
  <r>
    <n v="1801"/>
    <s v="Any other detail of clinical significance"/>
    <n v="1801"/>
    <s v="Any other detail of clinical significance"/>
    <s v="Any other detail of clinical significance"/>
    <x v="0"/>
    <n v="41"/>
    <s v=""/>
    <m/>
    <m/>
    <s v="4. Referral"/>
    <x v="0"/>
    <m/>
    <s v="4.8 Fill out referral details"/>
    <s v="ST.DE.073"/>
    <s v="FP.DE.096"/>
    <s v="Any other detail of clinical significance"/>
    <m/>
    <s v="Any additional relevant details for the referral facility to provide care."/>
    <s v="Text"/>
    <m/>
    <m/>
    <m/>
    <m/>
    <m/>
    <m/>
    <m/>
    <m/>
    <m/>
    <m/>
    <m/>
    <m/>
    <m/>
    <m/>
    <m/>
    <m/>
    <x v="79"/>
    <x v="0"/>
    <s v="FHIR"/>
    <s v="4.0.1"/>
    <m/>
    <x v="2"/>
    <s v="NA"/>
    <m/>
    <m/>
    <m/>
    <s v="Any other detail of clinical significance"/>
    <s v="Same"/>
    <m/>
    <x v="0"/>
    <s v=""/>
    <s v="Ready for testing"/>
    <x v="2"/>
    <m/>
    <m/>
    <m/>
    <m/>
    <m/>
    <m/>
    <m/>
    <m/>
    <s v="No terminology code required"/>
    <m/>
    <m/>
    <m/>
    <s v="11"/>
    <m/>
    <m/>
    <m/>
    <m/>
    <m/>
    <m/>
    <m/>
    <x v="2"/>
    <s v=""/>
    <x v="3"/>
    <x v="12"/>
    <n v="1"/>
    <n v="0"/>
    <n v="1"/>
    <n v="1"/>
    <n v="1"/>
    <n v="0"/>
    <n v="0"/>
  </r>
  <r>
    <n v="2270"/>
    <s v="Item details"/>
    <n v="2270"/>
    <s v="Item details"/>
    <s v="Item details"/>
    <x v="0"/>
    <n v="12"/>
    <s v=""/>
    <m/>
    <m/>
    <s v="FP.5. Dispensing"/>
    <x v="13"/>
    <m/>
    <s v="Dispensing"/>
    <s v="ST.DE.450"/>
    <m/>
    <s v="Item details"/>
    <m/>
    <m/>
    <m/>
    <m/>
    <m/>
    <m/>
    <m/>
    <m/>
    <m/>
    <m/>
    <m/>
    <m/>
    <m/>
    <m/>
    <m/>
    <m/>
    <m/>
    <m/>
    <s v=""/>
    <x v="80"/>
    <x v="0"/>
    <s v="FHIR"/>
    <s v="4.0.1"/>
    <s v=""/>
    <x v="2"/>
    <s v="NA"/>
    <m/>
    <m/>
    <m/>
    <m/>
    <s v=""/>
    <m/>
    <x v="0"/>
    <s v=""/>
    <s v="Ready for testing"/>
    <x v="2"/>
    <m/>
    <s v=""/>
    <s v=""/>
    <m/>
    <s v=""/>
    <m/>
    <m/>
    <m/>
    <s v="No terminology code required"/>
    <s v=""/>
    <m/>
    <s v=""/>
    <s v=""/>
    <s v=""/>
    <s v=""/>
    <s v=""/>
    <s v=""/>
    <m/>
    <m/>
    <m/>
    <x v="2"/>
    <s v=""/>
    <x v="3"/>
    <x v="12"/>
    <n v="1"/>
    <n v="0"/>
    <n v="1"/>
    <n v="1"/>
    <n v="1"/>
    <n v="0"/>
    <n v="0"/>
  </r>
  <r>
    <n v="2271"/>
    <s v="dose_unit"/>
    <n v="2271"/>
    <s v="dose_unit"/>
    <s v="dose_unit"/>
    <x v="0"/>
    <n v="9"/>
    <s v=""/>
    <m/>
    <m/>
    <s v="FP.5. Dispensing"/>
    <x v="13"/>
    <m/>
    <s v="Dispensing"/>
    <s v="ST.DE.451"/>
    <m/>
    <s v="dose_unit"/>
    <s v="Dosing unit"/>
    <s v="The dosing unit for the material."/>
    <s v="Coding"/>
    <s v="Select one"/>
    <m/>
    <m/>
    <m/>
    <m/>
    <m/>
    <m/>
    <m/>
    <m/>
    <m/>
    <m/>
    <m/>
    <m/>
    <m/>
    <m/>
    <s v=""/>
    <x v="81"/>
    <x v="0"/>
    <s v="Extension Needed"/>
    <s v="4.0.1"/>
    <s v=""/>
    <x v="2"/>
    <s v="NA"/>
    <m/>
    <m/>
    <m/>
    <m/>
    <s v=""/>
    <m/>
    <x v="0"/>
    <s v=""/>
    <s v="Ready for testing"/>
    <x v="2"/>
    <m/>
    <s v=""/>
    <s v="x"/>
    <m/>
    <s v=""/>
    <m/>
    <m/>
    <m/>
    <s v="No terminology code required"/>
    <m/>
    <m/>
    <s v="unit does; snomed _x000a_408102007"/>
    <s v=""/>
    <s v=""/>
    <s v=""/>
    <s v=""/>
    <s v=""/>
    <m/>
    <m/>
    <m/>
    <x v="2"/>
    <s v=""/>
    <x v="3"/>
    <x v="12"/>
    <n v="1"/>
    <n v="0"/>
    <n v="0"/>
    <n v="0"/>
    <n v="0"/>
    <n v="0"/>
    <n v="1"/>
  </r>
  <r>
    <n v="2272"/>
    <s v="form_code"/>
    <n v="2272"/>
    <s v="form_code"/>
    <s v="form_code"/>
    <x v="0"/>
    <n v="9"/>
    <s v=""/>
    <m/>
    <m/>
    <s v="FP.5. Dispensing"/>
    <x v="13"/>
    <m/>
    <s v="Dispensing"/>
    <s v="ST.DE.452"/>
    <m/>
    <s v="form_code"/>
    <s v="Form of medication"/>
    <s v="The form code (capsules, injection, etc.)"/>
    <s v="Coding"/>
    <s v="Select one"/>
    <m/>
    <m/>
    <m/>
    <m/>
    <m/>
    <m/>
    <m/>
    <m/>
    <m/>
    <m/>
    <m/>
    <m/>
    <m/>
    <m/>
    <s v=""/>
    <x v="62"/>
    <x v="0"/>
    <s v="FHIR"/>
    <s v="4.0.1"/>
    <s v=""/>
    <x v="2"/>
    <s v="NA"/>
    <s v="http://hl7.org/fhir/ValueSet/medication-form-codes"/>
    <m/>
    <m/>
    <m/>
    <s v=""/>
    <m/>
    <x v="0"/>
    <s v=""/>
    <s v="Ready for testing"/>
    <x v="2"/>
    <m/>
    <s v=""/>
    <s v=""/>
    <m/>
    <s v=""/>
    <m/>
    <m/>
    <m/>
    <s v="No terminology code required"/>
    <s v=""/>
    <m/>
    <s v=""/>
    <s v=""/>
    <s v=""/>
    <s v=""/>
    <s v=""/>
    <s v=""/>
    <m/>
    <m/>
    <m/>
    <x v="2"/>
    <s v=""/>
    <x v="3"/>
    <x v="12"/>
    <n v="1"/>
    <n v="1"/>
    <n v="1"/>
    <n v="1"/>
    <n v="1"/>
    <n v="0"/>
    <n v="0"/>
  </r>
  <r>
    <n v="2273"/>
    <s v="expiry"/>
    <n v="2273"/>
    <s v="expiry"/>
    <s v="expiry"/>
    <x v="0"/>
    <n v="6"/>
    <s v=""/>
    <m/>
    <m/>
    <s v="FP.5. Dispensing"/>
    <x v="13"/>
    <m/>
    <s v="Dispensing"/>
    <s v="ST.DE.453"/>
    <m/>
    <s v="expiry"/>
    <s v="Expiration date"/>
    <s v="The expiration date of the material"/>
    <s v="Date"/>
    <m/>
    <m/>
    <m/>
    <m/>
    <m/>
    <m/>
    <m/>
    <m/>
    <m/>
    <m/>
    <m/>
    <m/>
    <m/>
    <m/>
    <m/>
    <s v=""/>
    <x v="82"/>
    <x v="0"/>
    <s v="FHIR"/>
    <s v="4.0.1"/>
    <s v=""/>
    <x v="2"/>
    <s v="NA"/>
    <m/>
    <m/>
    <m/>
    <m/>
    <s v=""/>
    <m/>
    <x v="0"/>
    <s v=""/>
    <s v="Ready for testing"/>
    <x v="2"/>
    <m/>
    <s v=""/>
    <s v=""/>
    <m/>
    <s v=""/>
    <m/>
    <m/>
    <m/>
    <s v="No terminology code required"/>
    <s v=""/>
    <m/>
    <s v=""/>
    <s v=""/>
    <s v=""/>
    <s v=""/>
    <s v=""/>
    <s v=""/>
    <m/>
    <m/>
    <m/>
    <x v="2"/>
    <s v=""/>
    <x v="3"/>
    <x v="12"/>
    <n v="1"/>
    <n v="0"/>
    <n v="1"/>
    <n v="1"/>
    <n v="1"/>
    <n v="0"/>
    <n v="0"/>
  </r>
  <r>
    <n v="2274"/>
    <s v="gtin"/>
    <n v="2274"/>
    <s v="gtin"/>
    <s v="gtin"/>
    <x v="0"/>
    <n v="4"/>
    <s v=""/>
    <m/>
    <m/>
    <s v="FP.5. Dispensing"/>
    <x v="13"/>
    <m/>
    <s v="Dispensing"/>
    <s v="ST.DE.454"/>
    <m/>
    <s v="gtin"/>
    <s v="GTIN"/>
    <s v="The global trade item number of the product."/>
    <s v="ID"/>
    <m/>
    <m/>
    <m/>
    <m/>
    <m/>
    <m/>
    <m/>
    <m/>
    <m/>
    <m/>
    <m/>
    <m/>
    <m/>
    <m/>
    <m/>
    <s v=""/>
    <x v="83"/>
    <x v="0"/>
    <s v="FHIR"/>
    <s v="4.0.1"/>
    <s v=""/>
    <x v="2"/>
    <s v="NA"/>
    <m/>
    <m/>
    <m/>
    <m/>
    <s v=""/>
    <m/>
    <x v="0"/>
    <s v=""/>
    <s v="Ready for testing"/>
    <x v="2"/>
    <m/>
    <s v=""/>
    <s v=""/>
    <m/>
    <s v=""/>
    <m/>
    <m/>
    <m/>
    <s v="No terminology code required"/>
    <s v=""/>
    <m/>
    <s v=""/>
    <s v=""/>
    <s v=""/>
    <s v=""/>
    <s v=""/>
    <s v=""/>
    <m/>
    <m/>
    <m/>
    <x v="2"/>
    <s v=""/>
    <x v="3"/>
    <x v="12"/>
    <n v="1"/>
    <n v="0"/>
    <n v="1"/>
    <n v="1"/>
    <n v="1"/>
    <n v="0"/>
    <n v="0"/>
  </r>
  <r>
    <n v="2275"/>
    <s v="lot"/>
    <n v="2275"/>
    <s v="lot"/>
    <s v="lot"/>
    <x v="0"/>
    <n v="3"/>
    <s v=""/>
    <m/>
    <m/>
    <s v="FP.5. Dispensing"/>
    <x v="13"/>
    <m/>
    <s v="Dispensing"/>
    <s v="ST.DE.455"/>
    <m/>
    <s v="lot"/>
    <s v="Item lot"/>
    <s v="The lot or batch number of the product."/>
    <s v="String"/>
    <m/>
    <m/>
    <m/>
    <m/>
    <m/>
    <m/>
    <m/>
    <m/>
    <m/>
    <m/>
    <m/>
    <m/>
    <m/>
    <m/>
    <m/>
    <s v=""/>
    <x v="84"/>
    <x v="0"/>
    <s v="FHIR"/>
    <s v="4.0.1"/>
    <s v=""/>
    <x v="2"/>
    <s v="NA"/>
    <m/>
    <m/>
    <m/>
    <m/>
    <s v=""/>
    <m/>
    <x v="0"/>
    <s v=""/>
    <s v="Ready for testing"/>
    <x v="2"/>
    <m/>
    <s v=""/>
    <s v="x"/>
    <m/>
    <s v=""/>
    <m/>
    <m/>
    <m/>
    <s v="No terminology code required"/>
    <m/>
    <m/>
    <s v="lot number NCI code C70848"/>
    <s v=""/>
    <s v=""/>
    <s v=""/>
    <s v=""/>
    <s v=""/>
    <m/>
    <m/>
    <m/>
    <x v="2"/>
    <s v=""/>
    <x v="3"/>
    <x v="12"/>
    <n v="1"/>
    <n v="0"/>
    <n v="1"/>
    <n v="1"/>
    <n v="1"/>
    <n v="0"/>
    <n v="0"/>
  </r>
  <r>
    <n v="2276"/>
    <s v="manufacturer"/>
    <n v="2276"/>
    <s v="manufacturer"/>
    <s v="manufacturer"/>
    <x v="0"/>
    <n v="12"/>
    <s v=""/>
    <m/>
    <m/>
    <s v="FP.5. Dispensing"/>
    <x v="13"/>
    <m/>
    <s v="Dispensing"/>
    <s v="ST.DE.456"/>
    <m/>
    <s v="manufacturer"/>
    <s v="Item manufacturer"/>
    <s v="The name of the manufacturer"/>
    <s v="Coding"/>
    <m/>
    <m/>
    <m/>
    <m/>
    <m/>
    <m/>
    <m/>
    <m/>
    <m/>
    <m/>
    <m/>
    <m/>
    <m/>
    <m/>
    <m/>
    <s v=""/>
    <x v="85"/>
    <x v="0"/>
    <s v="FHIR"/>
    <s v="4.0.1"/>
    <s v=""/>
    <x v="2"/>
    <s v="NA"/>
    <m/>
    <m/>
    <m/>
    <m/>
    <s v=""/>
    <m/>
    <x v="0"/>
    <s v=""/>
    <s v="Ready for testing"/>
    <x v="2"/>
    <m/>
    <s v=""/>
    <s v="x"/>
    <m/>
    <s v=""/>
    <m/>
    <m/>
    <m/>
    <s v="No terminology code required"/>
    <m/>
    <m/>
    <s v="NCI C25392"/>
    <s v=""/>
    <s v=""/>
    <s v=""/>
    <s v=""/>
    <s v=""/>
    <m/>
    <m/>
    <m/>
    <x v="2"/>
    <s v=""/>
    <x v="3"/>
    <x v="12"/>
    <n v="1"/>
    <n v="0"/>
    <n v="1"/>
    <n v="1"/>
    <n v="1"/>
    <n v="0"/>
    <n v="0"/>
  </r>
  <r>
    <n v="2277"/>
    <s v="Duration of action"/>
    <n v="2277"/>
    <s v="Duration of action"/>
    <s v="Duration of action"/>
    <x v="0"/>
    <n v="18"/>
    <s v=""/>
    <m/>
    <m/>
    <s v="FP.5. Dispensing"/>
    <x v="13"/>
    <m/>
    <s v="Dispensing"/>
    <s v="ST.DE.457"/>
    <m/>
    <s v="Duration of action"/>
    <s v="Duration of action"/>
    <s v="The length of time that a method is protective from when it is given or taken. "/>
    <s v="Time"/>
    <m/>
    <m/>
    <m/>
    <m/>
    <m/>
    <m/>
    <m/>
    <m/>
    <m/>
    <m/>
    <m/>
    <m/>
    <m/>
    <m/>
    <m/>
    <s v=""/>
    <x v="86"/>
    <x v="0"/>
    <s v="Extension Needed"/>
    <s v="4.0.1"/>
    <s v=""/>
    <x v="2"/>
    <s v="NA"/>
    <m/>
    <m/>
    <m/>
    <m/>
    <s v=""/>
    <m/>
    <x v="0"/>
    <s v=""/>
    <m/>
    <x v="2"/>
    <m/>
    <s v=""/>
    <s v=""/>
    <m/>
    <s v=""/>
    <m/>
    <m/>
    <m/>
    <s v="No terminology code required"/>
    <s v=""/>
    <m/>
    <s v=""/>
    <s v=""/>
    <s v=""/>
    <s v=""/>
    <s v=""/>
    <s v=""/>
    <m/>
    <m/>
    <m/>
    <x v="2"/>
    <s v=""/>
    <x v="3"/>
    <x v="12"/>
    <n v="1"/>
    <n v="0"/>
    <n v="0"/>
    <n v="0"/>
    <n v="0"/>
    <n v="0"/>
    <n v="1"/>
  </r>
  <r>
    <n v="2278"/>
    <s v="strength"/>
    <n v="2278"/>
    <s v="strength"/>
    <s v="strength"/>
    <x v="0"/>
    <n v="8"/>
    <s v=""/>
    <m/>
    <m/>
    <s v="FP.5. Dispensing"/>
    <x v="13"/>
    <m/>
    <s v="Dispensing"/>
    <s v="ST.DE.458"/>
    <m/>
    <s v="strength"/>
    <s v="Medication strength"/>
    <s v="Strength of medication"/>
    <s v="Decimal"/>
    <m/>
    <m/>
    <m/>
    <m/>
    <m/>
    <m/>
    <m/>
    <m/>
    <m/>
    <m/>
    <m/>
    <m/>
    <m/>
    <m/>
    <m/>
    <s v=""/>
    <x v="87"/>
    <x v="0"/>
    <s v="FHIR"/>
    <s v="4.0.1"/>
    <s v=""/>
    <x v="2"/>
    <s v="NA"/>
    <m/>
    <m/>
    <m/>
    <m/>
    <s v=""/>
    <m/>
    <x v="0"/>
    <s v=""/>
    <s v="Ready for testing"/>
    <x v="2"/>
    <m/>
    <s v=""/>
    <s v=""/>
    <m/>
    <s v=""/>
    <m/>
    <m/>
    <m/>
    <s v="No terminology code required"/>
    <s v=""/>
    <m/>
    <s v=""/>
    <s v=""/>
    <s v=""/>
    <s v=""/>
    <s v=""/>
    <s v=""/>
    <m/>
    <m/>
    <m/>
    <x v="2"/>
    <s v=""/>
    <x v="3"/>
    <x v="12"/>
    <n v="1"/>
    <n v="0"/>
    <n v="1"/>
    <n v="1"/>
    <n v="1"/>
    <n v="0"/>
    <n v="0"/>
  </r>
  <r>
    <n v="2279"/>
    <s v="Unit of measure"/>
    <n v="2279"/>
    <n v="0"/>
    <n v="0"/>
    <x v="0"/>
    <n v="15"/>
    <s v=""/>
    <m/>
    <m/>
    <s v="FP.5. Dispensing"/>
    <x v="13"/>
    <m/>
    <s v="Dispensing"/>
    <s v="ST.DE.459"/>
    <m/>
    <m/>
    <s v="Unit of measure"/>
    <m/>
    <s v="Coding"/>
    <m/>
    <m/>
    <m/>
    <m/>
    <m/>
    <m/>
    <m/>
    <m/>
    <m/>
    <m/>
    <m/>
    <m/>
    <m/>
    <m/>
    <m/>
    <s v=""/>
    <x v="87"/>
    <x v="0"/>
    <s v="FHIR"/>
    <s v="4.0.1"/>
    <s v=""/>
    <x v="2"/>
    <s v="NA"/>
    <s v="http://unitsofmeasure.org/"/>
    <m/>
    <m/>
    <m/>
    <s v=""/>
    <m/>
    <x v="0"/>
    <s v="&quot;0&quot;-&gt;&quot;Unit of measure&quot;"/>
    <s v="Ready for testing"/>
    <x v="2"/>
    <m/>
    <s v=""/>
    <s v="x"/>
    <m/>
    <s v=""/>
    <m/>
    <m/>
    <m/>
    <s v="No terminology code required"/>
    <m/>
    <m/>
    <s v="default to UCUM terminology"/>
    <s v=""/>
    <s v=""/>
    <s v=""/>
    <s v=""/>
    <s v=""/>
    <m/>
    <m/>
    <m/>
    <x v="2"/>
    <s v=""/>
    <x v="3"/>
    <x v="12"/>
    <n v="1"/>
    <n v="1"/>
    <n v="1"/>
    <n v="1"/>
    <n v="1"/>
    <n v="0"/>
    <n v="0"/>
  </r>
  <r>
    <n v="2280"/>
    <s v="Batch"/>
    <n v="2280"/>
    <n v="0"/>
    <n v="0"/>
    <x v="0"/>
    <n v="5"/>
    <s v=""/>
    <m/>
    <m/>
    <s v="FP.5. Dispensing"/>
    <x v="13"/>
    <m/>
    <s v="Dispensing"/>
    <s v="ST.DE.460"/>
    <m/>
    <m/>
    <s v="Batch"/>
    <m/>
    <s v="String"/>
    <m/>
    <m/>
    <m/>
    <m/>
    <m/>
    <m/>
    <m/>
    <m/>
    <m/>
    <m/>
    <m/>
    <m/>
    <m/>
    <m/>
    <m/>
    <s v=""/>
    <x v="88"/>
    <x v="0"/>
    <s v="FHIR"/>
    <s v="4.0.1"/>
    <s v=""/>
    <x v="2"/>
    <s v="NA"/>
    <m/>
    <m/>
    <m/>
    <m/>
    <s v=""/>
    <m/>
    <x v="0"/>
    <s v="&quot;0&quot;-&gt;&quot;Batch&quot;"/>
    <s v="Ready for testing"/>
    <x v="2"/>
    <m/>
    <s v=""/>
    <s v=""/>
    <m/>
    <s v=""/>
    <m/>
    <m/>
    <m/>
    <s v="No terminology code required"/>
    <s v=""/>
    <m/>
    <s v=""/>
    <s v=""/>
    <s v=""/>
    <s v=""/>
    <s v=""/>
    <s v=""/>
    <m/>
    <m/>
    <m/>
    <x v="2"/>
    <s v=""/>
    <x v="3"/>
    <x v="12"/>
    <n v="1"/>
    <n v="0"/>
    <n v="1"/>
    <n v="1"/>
    <n v="1"/>
    <n v="0"/>
    <n v="0"/>
  </r>
  <r>
    <n v="2281"/>
    <s v="Frequency"/>
    <n v="2281"/>
    <s v="Frequency"/>
    <s v="Frequency"/>
    <x v="0"/>
    <n v="9"/>
    <s v=""/>
    <m/>
    <m/>
    <s v="FP.5. Dispensing, ST.3. Service Provision"/>
    <x v="13"/>
    <m/>
    <s v="Dispensing, 3.3 Provide treatment"/>
    <s v="ST.DE.461"/>
    <m/>
    <s v="Frequency"/>
    <s v="Frequency"/>
    <m/>
    <s v="Time"/>
    <m/>
    <m/>
    <m/>
    <m/>
    <m/>
    <s v="Yes"/>
    <s v="O"/>
    <m/>
    <m/>
    <m/>
    <m/>
    <m/>
    <s v="DL Treatment Recs"/>
    <m/>
    <m/>
    <s v=""/>
    <x v="89"/>
    <x v="12"/>
    <s v="FHIR"/>
    <s v="4.0.1"/>
    <s v=""/>
    <x v="2"/>
    <s v="NA"/>
    <m/>
    <m/>
    <m/>
    <m/>
    <s v=""/>
    <m/>
    <x v="0"/>
    <s v=""/>
    <s v="Ready for testing"/>
    <x v="2"/>
    <m/>
    <s v=""/>
    <s v="x"/>
    <m/>
    <s v=""/>
    <m/>
    <m/>
    <m/>
    <s v="No terminology code required"/>
    <m/>
    <m/>
    <s v="NCI code; how often C118873"/>
    <s v=""/>
    <s v=""/>
    <s v=""/>
    <s v=""/>
    <s v=""/>
    <m/>
    <m/>
    <m/>
    <x v="2"/>
    <s v=""/>
    <x v="3"/>
    <x v="12"/>
    <n v="1"/>
    <n v="0"/>
    <n v="1"/>
    <n v="1"/>
    <n v="1"/>
    <n v="0"/>
    <n v="0"/>
  </r>
  <r>
    <n v="2282"/>
    <s v="Drug name"/>
    <n v="2282"/>
    <s v="Drug name"/>
    <s v="Drug name"/>
    <x v="0"/>
    <n v="9"/>
    <s v=""/>
    <m/>
    <m/>
    <s v="FP.5. Dispensing"/>
    <x v="13"/>
    <m/>
    <s v="Dispensing"/>
    <s v="ST.DE.462"/>
    <m/>
    <s v="Drug name"/>
    <s v="Medication"/>
    <m/>
    <s v="Coding"/>
    <m/>
    <m/>
    <m/>
    <m/>
    <m/>
    <m/>
    <m/>
    <m/>
    <m/>
    <m/>
    <m/>
    <m/>
    <s v="MEC. Included in MEC app conditions.csv"/>
    <m/>
    <m/>
    <s v=""/>
    <x v="90"/>
    <x v="0"/>
    <s v="FHIR"/>
    <s v="4.0.1"/>
    <s v=""/>
    <x v="2"/>
    <s v="NA"/>
    <m/>
    <m/>
    <m/>
    <m/>
    <s v=""/>
    <m/>
    <x v="0"/>
    <s v=""/>
    <s v="Ready for testing"/>
    <x v="2"/>
    <m/>
    <s v=""/>
    <s v=""/>
    <m/>
    <s v=""/>
    <m/>
    <m/>
    <m/>
    <s v="No terminology code required"/>
    <s v=""/>
    <m/>
    <s v=""/>
    <s v=""/>
    <s v=""/>
    <s v=""/>
    <s v=""/>
    <s v=""/>
    <m/>
    <m/>
    <m/>
    <x v="2"/>
    <s v=""/>
    <x v="3"/>
    <x v="12"/>
    <n v="1"/>
    <n v="0"/>
    <n v="1"/>
    <n v="1"/>
    <n v="1"/>
    <n v="0"/>
    <n v="0"/>
  </r>
  <r>
    <n v="2283"/>
    <s v="Partner communication consent"/>
    <n v="2283"/>
    <s v="Partner communication consent"/>
    <s v="Partner communication consent"/>
    <x v="0"/>
    <n v="29"/>
    <s v=""/>
    <m/>
    <m/>
    <s v="ST.7 Partner Management"/>
    <x v="19"/>
    <m/>
    <s v="7.8 Willing to let facility staff notify?"/>
    <s v="ST.DE.083"/>
    <m/>
    <s v="Partner communication consent"/>
    <m/>
    <s v="Agreement by client to record and communicate with past or current partners"/>
    <s v="Boolean"/>
    <m/>
    <s v="True/False"/>
    <m/>
    <m/>
    <m/>
    <m/>
    <s v="C"/>
    <m/>
    <m/>
    <m/>
    <m/>
    <m/>
    <m/>
    <m/>
    <m/>
    <s v=""/>
    <x v="91"/>
    <x v="4"/>
    <s v="Extension Needed"/>
    <s v="4.0.1"/>
    <s v=""/>
    <x v="103"/>
    <s v="JA"/>
    <m/>
    <m/>
    <m/>
    <m/>
    <s v=""/>
    <m/>
    <x v="2"/>
    <s v=""/>
    <m/>
    <x v="1"/>
    <m/>
    <s v=""/>
    <s v=""/>
    <m/>
    <s v=""/>
    <m/>
    <m/>
    <m/>
    <s v="No terminology code required"/>
    <s v=""/>
    <m/>
    <s v=""/>
    <s v=""/>
    <s v=""/>
    <s v=""/>
    <s v=""/>
    <s v=""/>
    <m/>
    <m/>
    <m/>
    <x v="0"/>
    <s v=""/>
    <x v="0"/>
    <x v="104"/>
    <n v="1"/>
    <n v="0"/>
    <n v="0"/>
    <n v="0"/>
    <n v="0"/>
    <n v="0"/>
    <n v="1"/>
  </r>
  <r>
    <n v="2284"/>
    <s v="Partner name"/>
    <n v="2284"/>
    <s v="Partner name"/>
    <s v="Partner name"/>
    <x v="0"/>
    <n v="12"/>
    <s v=""/>
    <m/>
    <m/>
    <s v="ST.7 Partner Management"/>
    <x v="19"/>
    <m/>
    <s v="7.8 Willing to let facility staff notify?"/>
    <s v="ST.DE.084"/>
    <m/>
    <s v="Partner name"/>
    <m/>
    <s v="Name of each partner client consents to sharing for potential follow-up "/>
    <s v="Name"/>
    <m/>
    <m/>
    <m/>
    <m/>
    <m/>
    <m/>
    <s v="O"/>
    <m/>
    <m/>
    <m/>
    <m/>
    <m/>
    <m/>
    <m/>
    <m/>
    <s v=""/>
    <x v="92"/>
    <x v="0"/>
    <s v="FHIR"/>
    <s v="4.0.1"/>
    <s v=""/>
    <x v="104"/>
    <s v="JA"/>
    <m/>
    <m/>
    <m/>
    <m/>
    <s v=""/>
    <m/>
    <x v="2"/>
    <s v=""/>
    <m/>
    <x v="1"/>
    <m/>
    <s v=""/>
    <s v=""/>
    <m/>
    <s v=""/>
    <m/>
    <m/>
    <m/>
    <s v="No terminology code required"/>
    <s v=""/>
    <m/>
    <s v=""/>
    <s v=""/>
    <s v=""/>
    <s v=""/>
    <s v=""/>
    <s v=""/>
    <m/>
    <m/>
    <m/>
    <x v="18"/>
    <s v=""/>
    <x v="19"/>
    <x v="105"/>
    <n v="1"/>
    <n v="0"/>
    <n v="1"/>
    <n v="1"/>
    <n v="1"/>
    <n v="0"/>
    <n v="0"/>
  </r>
  <r>
    <n v="2285"/>
    <s v="Need to contact partner"/>
    <n v="2285"/>
    <s v="Contacting of partner"/>
    <s v="Contacting of partner"/>
    <x v="0"/>
    <n v="23"/>
    <s v=""/>
    <m/>
    <m/>
    <s v="ST.7 Partner Management"/>
    <x v="19"/>
    <m/>
    <s v="7.8 Willing to let facility staff notify?"/>
    <s v="ST.DE.085"/>
    <m/>
    <s v="Contacting of partner"/>
    <m/>
    <s v="Whether partner needs to be contacted"/>
    <s v="Boolean"/>
    <m/>
    <s v="True/False"/>
    <m/>
    <m/>
    <m/>
    <m/>
    <s v="CE"/>
    <m/>
    <m/>
    <m/>
    <m/>
    <m/>
    <m/>
    <m/>
    <m/>
    <s v=""/>
    <x v="93"/>
    <x v="4"/>
    <s v="Extension Needed"/>
    <s v="4.0.1"/>
    <s v=""/>
    <x v="103"/>
    <s v="JA"/>
    <m/>
    <m/>
    <m/>
    <m/>
    <s v=""/>
    <m/>
    <x v="2"/>
    <s v="&quot;Contacting of partner&quot;-&gt;&quot;Need to contact partner&quot;"/>
    <m/>
    <x v="1"/>
    <m/>
    <s v=""/>
    <s v="Partial ?"/>
    <m/>
    <s v=""/>
    <s v="408565001"/>
    <m/>
    <m/>
    <s v=""/>
    <s v=""/>
    <m/>
    <s v="requires communication with partner"/>
    <s v=""/>
    <s v=""/>
    <s v=""/>
    <s v=""/>
    <s v=""/>
    <m/>
    <m/>
    <m/>
    <x v="0"/>
    <s v=""/>
    <x v="0"/>
    <x v="104"/>
    <n v="1"/>
    <n v="0"/>
    <n v="0"/>
    <n v="0"/>
    <n v="0"/>
    <n v="0"/>
    <n v="1"/>
  </r>
  <r>
    <n v="2286"/>
    <s v="Partner Communication method"/>
    <n v="2286"/>
    <s v="Communication method"/>
    <s v="Communication method"/>
    <x v="0"/>
    <n v="28"/>
    <s v=""/>
    <m/>
    <m/>
    <s v="ST.7 Partner Management"/>
    <x v="19"/>
    <m/>
    <s v="7.11 Attempt to notify partner"/>
    <s v="ST.DE.086"/>
    <m/>
    <s v="Communication method"/>
    <m/>
    <s v="Mode of communication"/>
    <s v="Coding"/>
    <m/>
    <m/>
    <m/>
    <m/>
    <m/>
    <m/>
    <s v="CE"/>
    <m/>
    <m/>
    <m/>
    <m/>
    <m/>
    <m/>
    <m/>
    <m/>
    <s v=""/>
    <x v="94"/>
    <x v="0"/>
    <s v="FHIR"/>
    <s v="4.0.1"/>
    <s v=""/>
    <x v="104"/>
    <s v="JA"/>
    <s v="http://terminology.hl7.org/ValueSet/v3-ParticipationMode_x000a_"/>
    <m/>
    <m/>
    <m/>
    <s v=""/>
    <m/>
    <x v="2"/>
    <s v="&quot;Communication method&quot;-&gt;&quot;Partner Communication method&quot;"/>
    <m/>
    <x v="1"/>
    <m/>
    <s v=""/>
    <s v=""/>
    <m/>
    <s v=""/>
    <m/>
    <m/>
    <m/>
    <s v="No terminology code required"/>
    <s v=""/>
    <m/>
    <s v=""/>
    <s v=""/>
    <s v=""/>
    <s v=""/>
    <s v=""/>
    <s v=""/>
    <m/>
    <m/>
    <m/>
    <x v="18"/>
    <s v=""/>
    <x v="19"/>
    <x v="105"/>
    <n v="1"/>
    <n v="1"/>
    <n v="1"/>
    <n v="1"/>
    <n v="1"/>
    <n v="0"/>
    <n v="0"/>
  </r>
  <r>
    <n v="2287"/>
    <s v="Partner Communication dateTime"/>
    <n v="2287"/>
    <s v="Communication date"/>
    <s v="Communication date"/>
    <x v="0"/>
    <n v="30"/>
    <s v=""/>
    <m/>
    <m/>
    <s v="ST.7 Partner Management"/>
    <x v="19"/>
    <m/>
    <s v="7.11 Attempt to notify partner"/>
    <s v="ST.DE.087"/>
    <m/>
    <s v="Communication date"/>
    <m/>
    <s v="Date and time when communication was made"/>
    <s v="DateTime"/>
    <m/>
    <m/>
    <m/>
    <m/>
    <m/>
    <m/>
    <s v="CE"/>
    <m/>
    <m/>
    <m/>
    <m/>
    <m/>
    <m/>
    <m/>
    <m/>
    <s v=""/>
    <x v="95"/>
    <x v="0"/>
    <s v="FHIR"/>
    <s v="4.0.1"/>
    <s v=""/>
    <x v="104"/>
    <s v="JA"/>
    <m/>
    <m/>
    <m/>
    <m/>
    <s v=""/>
    <m/>
    <x v="2"/>
    <s v="&quot;Communication date&quot;-&gt;&quot;Partner Communication dateTime&quot;"/>
    <m/>
    <x v="1"/>
    <m/>
    <m/>
    <s v=""/>
    <m/>
    <s v=""/>
    <m/>
    <m/>
    <m/>
    <s v="No terminology code required"/>
    <s v=""/>
    <m/>
    <s v=""/>
    <s v=""/>
    <s v=""/>
    <s v=""/>
    <s v=""/>
    <s v=""/>
    <m/>
    <m/>
    <m/>
    <x v="18"/>
    <s v=""/>
    <x v="19"/>
    <x v="105"/>
    <n v="1"/>
    <n v="0"/>
    <n v="1"/>
    <n v="1"/>
    <n v="1"/>
    <n v="0"/>
    <n v="0"/>
  </r>
  <r>
    <n v="2290"/>
    <s v="Contact with partner by the facility staff"/>
    <n v="2290"/>
    <s v="Contact with partner by the facility staff"/>
    <s v="Contact with partner by the facility staff"/>
    <x v="0"/>
    <n v="42"/>
    <s v=""/>
    <m/>
    <m/>
    <s v="ST.7 Partner Management"/>
    <x v="19"/>
    <m/>
    <s v="7.11 Attempt to notify partner"/>
    <s v="ST.DE.090"/>
    <m/>
    <s v="Contact with partner by the facility staff"/>
    <m/>
    <s v="Whether contact with the partner was made"/>
    <s v="Boolean"/>
    <m/>
    <s v="True/False"/>
    <m/>
    <m/>
    <m/>
    <m/>
    <m/>
    <m/>
    <m/>
    <m/>
    <m/>
    <m/>
    <m/>
    <m/>
    <m/>
    <s v=""/>
    <x v="96"/>
    <x v="0"/>
    <s v="FHIR"/>
    <s v="4.0.1"/>
    <m/>
    <x v="104"/>
    <s v="JA"/>
    <m/>
    <m/>
    <m/>
    <s v="Communication sent"/>
    <s v="Changed"/>
    <m/>
    <x v="2"/>
    <s v=""/>
    <m/>
    <x v="1"/>
    <m/>
    <m/>
    <m/>
    <m/>
    <s v=""/>
    <m/>
    <m/>
    <m/>
    <s v="No terminology code required"/>
    <s v=""/>
    <m/>
    <s v="notification pf partner; MSH D016358"/>
    <s v=""/>
    <s v=""/>
    <s v=""/>
    <s v=""/>
    <s v=""/>
    <m/>
    <m/>
    <m/>
    <x v="18"/>
    <s v=""/>
    <x v="19"/>
    <x v="105"/>
    <n v="1"/>
    <n v="0"/>
    <n v="1"/>
    <n v="1"/>
    <n v="1"/>
    <n v="0"/>
    <n v="0"/>
  </r>
  <r>
    <n v="2291"/>
    <s v="Reason contact not made"/>
    <n v="2291"/>
    <s v="Reason contact not made"/>
    <s v="Reason contact not made"/>
    <x v="0"/>
    <n v="23"/>
    <s v=""/>
    <m/>
    <m/>
    <s v="ST.7 Partner Management"/>
    <x v="19"/>
    <m/>
    <s v="7.11 Attempt to notify partner"/>
    <s v="ST.DE.091"/>
    <m/>
    <s v="Reason contact not made"/>
    <m/>
    <s v="Reason client was not contacted if client had given consent to be contacted"/>
    <s v="Coding"/>
    <m/>
    <m/>
    <m/>
    <m/>
    <m/>
    <m/>
    <m/>
    <m/>
    <m/>
    <m/>
    <m/>
    <m/>
    <m/>
    <m/>
    <m/>
    <s v=""/>
    <x v="97"/>
    <x v="0"/>
    <s v="FHIR"/>
    <s v="4.0.1"/>
    <s v=""/>
    <x v="104"/>
    <s v="JA"/>
    <s v="http://hl7.org/fhir/ValueSet/communication-not-done-reason"/>
    <m/>
    <m/>
    <m/>
    <s v=""/>
    <m/>
    <x v="2"/>
    <s v=""/>
    <m/>
    <x v="1"/>
    <m/>
    <s v=""/>
    <s v=""/>
    <m/>
    <s v=""/>
    <m/>
    <m/>
    <m/>
    <s v="No terminology code required"/>
    <s v=""/>
    <m/>
    <s v=""/>
    <s v="https://github.com/who-int/Data-Dictionary-Mapping/issues/61"/>
    <s v=""/>
    <s v=""/>
    <s v=""/>
    <s v=""/>
    <m/>
    <m/>
    <m/>
    <x v="18"/>
    <s v=""/>
    <x v="19"/>
    <x v="105"/>
    <n v="1"/>
    <n v="1"/>
    <n v="1"/>
    <n v="1"/>
    <n v="1"/>
    <n v="0"/>
    <n v="0"/>
  </r>
  <r>
    <n v="2292"/>
    <s v="Contact notes"/>
    <n v="2292"/>
    <s v="Contact notes"/>
    <s v="Contact notes"/>
    <x v="0"/>
    <n v="13"/>
    <s v=""/>
    <m/>
    <m/>
    <s v="ST.7 Partner Management"/>
    <x v="19"/>
    <m/>
    <s v="7.11 Attempt to notify partner"/>
    <s v="ST.DE.471"/>
    <m/>
    <s v="Contact notes"/>
    <m/>
    <s v="Notes on the partner contact"/>
    <m/>
    <m/>
    <m/>
    <m/>
    <m/>
    <m/>
    <m/>
    <s v="O"/>
    <m/>
    <m/>
    <m/>
    <m/>
    <m/>
    <m/>
    <m/>
    <m/>
    <s v=""/>
    <x v="98"/>
    <x v="0"/>
    <s v="FHIR"/>
    <s v="4.0.1"/>
    <s v=""/>
    <x v="104"/>
    <s v="JA"/>
    <m/>
    <m/>
    <m/>
    <m/>
    <s v=""/>
    <m/>
    <x v="2"/>
    <s v=""/>
    <m/>
    <x v="1"/>
    <m/>
    <s v=""/>
    <s v=""/>
    <m/>
    <s v=""/>
    <m/>
    <m/>
    <m/>
    <s v="No terminology code required"/>
    <s v=""/>
    <m/>
    <s v=""/>
    <s v=""/>
    <s v=""/>
    <s v=""/>
    <s v=""/>
    <s v=""/>
    <m/>
    <m/>
    <m/>
    <x v="18"/>
    <s v=""/>
    <x v="19"/>
    <x v="105"/>
    <n v="1"/>
    <n v="0"/>
    <n v="1"/>
    <n v="1"/>
    <n v="1"/>
    <n v="0"/>
    <n v="0"/>
  </r>
  <r>
    <n v="1802"/>
    <s v="Contact client"/>
    <n v="1802"/>
    <s v="Contact client"/>
    <s v="Contact client"/>
    <x v="2"/>
    <n v="14"/>
    <s v=""/>
    <m/>
    <m/>
    <s v="8. Follow up tracking"/>
    <x v="14"/>
    <m/>
    <s v="8.5. Contact client? "/>
    <m/>
    <m/>
    <s v="Contact client"/>
    <m/>
    <m/>
    <s v="Boolean"/>
    <m/>
    <s v="True/False"/>
    <m/>
    <m/>
    <m/>
    <m/>
    <m/>
    <m/>
    <m/>
    <m/>
    <m/>
    <m/>
    <m/>
    <m/>
    <m/>
    <m/>
    <x v="3"/>
    <x v="0"/>
    <m/>
    <m/>
    <m/>
    <x v="2"/>
    <s v="NA"/>
    <m/>
    <m/>
    <m/>
    <s v="Contact client"/>
    <s v="Same"/>
    <m/>
    <x v="0"/>
    <s v=""/>
    <s v="Ready for testing"/>
    <x v="2"/>
    <m/>
    <m/>
    <m/>
    <m/>
    <m/>
    <m/>
    <m/>
    <m/>
    <s v="No terminology code required"/>
    <m/>
    <m/>
    <m/>
    <m/>
    <m/>
    <m/>
    <m/>
    <m/>
    <m/>
    <m/>
    <m/>
    <x v="2"/>
    <s v=""/>
    <x v="3"/>
    <x v="2"/>
    <n v="1"/>
    <s v=""/>
    <n v="1"/>
    <n v="1"/>
    <n v="1"/>
    <n v="0"/>
    <n v="0"/>
  </r>
  <r>
    <n v="1803"/>
    <s v="Communication made"/>
    <n v="1803"/>
    <s v="Communication made"/>
    <s v="Communication made"/>
    <x v="0"/>
    <n v="18"/>
    <s v=""/>
    <m/>
    <m/>
    <s v="8. Follow up tracking"/>
    <x v="14"/>
    <m/>
    <s v="8.6. Send follow up reminder"/>
    <m/>
    <m/>
    <s v="Communication made"/>
    <s v="Communication sent"/>
    <m/>
    <s v="Boolean"/>
    <m/>
    <s v="True/False"/>
    <m/>
    <m/>
    <m/>
    <m/>
    <m/>
    <m/>
    <m/>
    <m/>
    <m/>
    <m/>
    <m/>
    <m/>
    <m/>
    <m/>
    <x v="96"/>
    <x v="0"/>
    <s v="FHIR"/>
    <s v="4.0.1"/>
    <m/>
    <x v="2"/>
    <s v="NA"/>
    <m/>
    <m/>
    <m/>
    <s v="Communication made"/>
    <s v="Same"/>
    <m/>
    <x v="0"/>
    <s v=""/>
    <s v="Ready for testing"/>
    <x v="2"/>
    <m/>
    <m/>
    <m/>
    <m/>
    <m/>
    <m/>
    <m/>
    <m/>
    <s v="No terminology code required"/>
    <m/>
    <m/>
    <m/>
    <m/>
    <m/>
    <m/>
    <m/>
    <m/>
    <m/>
    <m/>
    <m/>
    <x v="2"/>
    <s v=""/>
    <x v="3"/>
    <x v="12"/>
    <n v="1"/>
    <n v="0"/>
    <n v="1"/>
    <n v="1"/>
    <n v="1"/>
    <n v="0"/>
    <n v="0"/>
  </r>
  <r>
    <n v="1804"/>
    <s v="Communication method"/>
    <n v="1804"/>
    <s v="Communication method"/>
    <s v="Communication method"/>
    <x v="0"/>
    <n v="20"/>
    <s v=""/>
    <m/>
    <m/>
    <s v="8. Follow up tracking"/>
    <x v="14"/>
    <m/>
    <s v="8.6. Send follow up reminder"/>
    <m/>
    <m/>
    <s v="Communication method"/>
    <s v="Mode of communication"/>
    <m/>
    <m/>
    <m/>
    <m/>
    <m/>
    <m/>
    <m/>
    <m/>
    <m/>
    <m/>
    <m/>
    <m/>
    <m/>
    <m/>
    <m/>
    <m/>
    <m/>
    <m/>
    <x v="94"/>
    <x v="0"/>
    <s v="FHIR"/>
    <s v="4.0.1"/>
    <m/>
    <x v="2"/>
    <s v="NA"/>
    <s v="http://terminology.hl7.org/ValueSet/v3-ParticipationMode"/>
    <m/>
    <m/>
    <s v="Communication method"/>
    <s v="Same"/>
    <m/>
    <x v="0"/>
    <s v=""/>
    <s v="Ready for testing"/>
    <x v="2"/>
    <m/>
    <m/>
    <m/>
    <m/>
    <m/>
    <m/>
    <m/>
    <m/>
    <s v="No terminology code required"/>
    <m/>
    <m/>
    <m/>
    <m/>
    <m/>
    <m/>
    <m/>
    <m/>
    <m/>
    <m/>
    <m/>
    <x v="2"/>
    <s v=""/>
    <x v="3"/>
    <x v="12"/>
    <n v="1"/>
    <n v="1"/>
    <n v="1"/>
    <n v="1"/>
    <n v="1"/>
    <n v="0"/>
    <n v="0"/>
  </r>
  <r>
    <n v="1808"/>
    <s v="Communication dateTime"/>
    <n v="1808"/>
    <s v="Communication dateTime"/>
    <s v="Communication dateTime"/>
    <x v="0"/>
    <n v="22"/>
    <s v=""/>
    <m/>
    <m/>
    <s v="8. Follow up tracking"/>
    <x v="14"/>
    <m/>
    <s v="8.6. Send follow up reminder"/>
    <m/>
    <m/>
    <s v="Communication dateTime"/>
    <m/>
    <m/>
    <s v="DateTime"/>
    <m/>
    <m/>
    <m/>
    <m/>
    <m/>
    <m/>
    <m/>
    <m/>
    <m/>
    <m/>
    <m/>
    <m/>
    <m/>
    <m/>
    <m/>
    <m/>
    <x v="95"/>
    <x v="0"/>
    <s v="FHIR"/>
    <s v="4.0.1"/>
    <m/>
    <x v="2"/>
    <s v="NA"/>
    <m/>
    <m/>
    <m/>
    <s v="Communication dateTime"/>
    <s v="Same"/>
    <m/>
    <x v="0"/>
    <s v=""/>
    <s v="Ready for testing"/>
    <x v="2"/>
    <m/>
    <m/>
    <m/>
    <m/>
    <m/>
    <m/>
    <m/>
    <m/>
    <s v="No terminology code required"/>
    <m/>
    <m/>
    <m/>
    <m/>
    <m/>
    <m/>
    <m/>
    <m/>
    <m/>
    <m/>
    <m/>
    <x v="2"/>
    <s v=""/>
    <x v="3"/>
    <x v="12"/>
    <n v="1"/>
    <n v="0"/>
    <n v="1"/>
    <n v="1"/>
    <n v="1"/>
    <n v="0"/>
    <n v="0"/>
  </r>
  <r>
    <n v="1812"/>
    <s v="Reason for removal from list"/>
    <n v="1812"/>
    <s v="Reason for removal from list"/>
    <s v="Reason for removal from list"/>
    <x v="0"/>
    <n v="28"/>
    <s v=""/>
    <m/>
    <m/>
    <s v="8. Follow up tracking"/>
    <x v="14"/>
    <m/>
    <s v="8.6. Send follow up reminder"/>
    <m/>
    <m/>
    <s v="Reason for removal from list"/>
    <s v="Reason for removal from list"/>
    <m/>
    <s v="Reason for removal from list"/>
    <m/>
    <m/>
    <m/>
    <m/>
    <m/>
    <m/>
    <m/>
    <m/>
    <m/>
    <m/>
    <m/>
    <m/>
    <m/>
    <m/>
    <m/>
    <m/>
    <x v="97"/>
    <x v="0"/>
    <s v="FHIR"/>
    <s v="4.0.1"/>
    <m/>
    <x v="2"/>
    <s v="NA"/>
    <m/>
    <m/>
    <m/>
    <s v="Reason for removal from list"/>
    <s v="Same"/>
    <m/>
    <x v="0"/>
    <s v=""/>
    <s v="Ready for testing"/>
    <x v="2"/>
    <m/>
    <m/>
    <m/>
    <m/>
    <m/>
    <m/>
    <m/>
    <m/>
    <s v="No terminology code required"/>
    <m/>
    <m/>
    <m/>
    <m/>
    <m/>
    <m/>
    <m/>
    <m/>
    <m/>
    <m/>
    <m/>
    <x v="2"/>
    <s v=""/>
    <x v="3"/>
    <x v="12"/>
    <n v="1"/>
    <n v="0"/>
    <n v="1"/>
    <n v="1"/>
    <n v="1"/>
    <n v="0"/>
    <n v="0"/>
  </r>
  <r>
    <n v="1813"/>
    <s v="Informed patient is deceased."/>
    <n v="1813"/>
    <n v="0"/>
    <n v="0"/>
    <x v="2"/>
    <n v="29"/>
    <s v=""/>
    <m/>
    <m/>
    <s v="8. Follow up tracking"/>
    <x v="14"/>
    <m/>
    <s v="8.6. Send follow up reminder"/>
    <m/>
    <m/>
    <m/>
    <s v="Informed patient is deceased."/>
    <m/>
    <m/>
    <m/>
    <m/>
    <m/>
    <m/>
    <m/>
    <m/>
    <m/>
    <m/>
    <m/>
    <m/>
    <m/>
    <m/>
    <m/>
    <m/>
    <m/>
    <m/>
    <x v="99"/>
    <x v="0"/>
    <s v="FHIR"/>
    <s v="4.0.1"/>
    <m/>
    <x v="0"/>
    <s v="NA"/>
    <m/>
    <m/>
    <m/>
    <s v="Informed patient is deceased."/>
    <s v="Same"/>
    <m/>
    <x v="0"/>
    <s v="&quot;0&quot;-&gt;&quot;Informed patient is deceased.&quot;"/>
    <s v="Ready for testing"/>
    <x v="2"/>
    <m/>
    <m/>
    <s v="partial?"/>
    <m/>
    <m/>
    <m/>
    <m/>
    <m/>
    <s v="No terminology code required"/>
    <m/>
    <m/>
    <s v="DEC HL7V3.0 plus informed"/>
    <m/>
    <m/>
    <m/>
    <m/>
    <m/>
    <m/>
    <m/>
    <m/>
    <x v="2"/>
    <s v=""/>
    <x v="3"/>
    <x v="2"/>
    <n v="1"/>
    <s v=""/>
    <n v="1"/>
    <n v="1"/>
    <n v="1"/>
    <n v="0"/>
    <n v="0"/>
  </r>
  <r>
    <n v="1814"/>
    <s v="Communication sent"/>
    <n v="1814"/>
    <s v="Communication sent"/>
    <s v="Communication sent"/>
    <x v="0"/>
    <n v="18"/>
    <s v=""/>
    <m/>
    <m/>
    <s v="8. Follow up tracking"/>
    <x v="14"/>
    <m/>
    <s v="8.7. Reach out to client"/>
    <s v="ST.DE.074"/>
    <s v="FP.DE.097"/>
    <s v="Communication sent"/>
    <m/>
    <s v="Indicates a communication was sent to the client."/>
    <m/>
    <m/>
    <m/>
    <m/>
    <m/>
    <m/>
    <m/>
    <m/>
    <m/>
    <m/>
    <m/>
    <m/>
    <m/>
    <m/>
    <m/>
    <m/>
    <m/>
    <x v="96"/>
    <x v="0"/>
    <s v="FHIR"/>
    <s v="4.0.1"/>
    <s v="Communication.status = 'completed'"/>
    <x v="2"/>
    <s v="NA"/>
    <m/>
    <m/>
    <m/>
    <s v="Communication sent"/>
    <s v="Same"/>
    <m/>
    <x v="0"/>
    <s v=""/>
    <m/>
    <x v="2"/>
    <m/>
    <m/>
    <m/>
    <m/>
    <m/>
    <m/>
    <m/>
    <m/>
    <m/>
    <m/>
    <m/>
    <s v="49941 MEDCIN"/>
    <m/>
    <m/>
    <m/>
    <m/>
    <m/>
    <m/>
    <m/>
    <m/>
    <x v="2"/>
    <s v=""/>
    <x v="3"/>
    <x v="12"/>
    <n v="1"/>
    <n v="0"/>
    <n v="0"/>
    <n v="1"/>
    <n v="0"/>
    <n v="1"/>
    <n v="0"/>
  </r>
  <r>
    <n v="1817"/>
    <s v="Message received on error"/>
    <n v="1817"/>
    <n v="0"/>
    <n v="0"/>
    <x v="0"/>
    <n v="25"/>
    <s v=""/>
    <m/>
    <m/>
    <s v="8. Follow up tracking"/>
    <x v="14"/>
    <m/>
    <s v="8.7. Reach out to client"/>
    <m/>
    <m/>
    <m/>
    <s v="Message received on error"/>
    <m/>
    <m/>
    <m/>
    <m/>
    <m/>
    <m/>
    <m/>
    <m/>
    <m/>
    <m/>
    <m/>
    <m/>
    <m/>
    <m/>
    <m/>
    <m/>
    <m/>
    <m/>
    <x v="100"/>
    <x v="6"/>
    <s v="FHIR"/>
    <s v="4.0.1"/>
    <m/>
    <x v="2"/>
    <s v="NA"/>
    <m/>
    <m/>
    <m/>
    <s v="Message received on error"/>
    <s v="Same"/>
    <m/>
    <x v="0"/>
    <s v="&quot;0&quot;-&gt;&quot;Message received on error&quot;"/>
    <s v="Ready for testing"/>
    <x v="2"/>
    <m/>
    <m/>
    <m/>
    <m/>
    <m/>
    <m/>
    <m/>
    <m/>
    <s v="No terminology code required"/>
    <m/>
    <m/>
    <m/>
    <m/>
    <m/>
    <m/>
    <m/>
    <m/>
    <m/>
    <m/>
    <m/>
    <x v="2"/>
    <s v=""/>
    <x v="3"/>
    <x v="12"/>
    <n v="1"/>
    <n v="0"/>
    <n v="1"/>
    <n v="1"/>
    <n v="1"/>
    <n v="0"/>
    <n v="0"/>
  </r>
  <r>
    <n v="1819"/>
    <s v="Reason not contacted if client gave consent to be contacted"/>
    <n v="1819"/>
    <n v="0"/>
    <n v="0"/>
    <x v="0"/>
    <n v="59"/>
    <s v=""/>
    <m/>
    <m/>
    <s v="8. Follow up tracking"/>
    <x v="14"/>
    <m/>
    <s v="8.7. Reach out to client"/>
    <m/>
    <m/>
    <m/>
    <s v="Reason not contacted if client had given consent to be contacted"/>
    <m/>
    <m/>
    <m/>
    <m/>
    <m/>
    <m/>
    <m/>
    <m/>
    <m/>
    <m/>
    <m/>
    <m/>
    <m/>
    <m/>
    <m/>
    <m/>
    <m/>
    <m/>
    <x v="97"/>
    <x v="0"/>
    <s v="FHIR"/>
    <s v="4.0.1"/>
    <m/>
    <x v="2"/>
    <s v="NA"/>
    <s v="http://hl7.org/fhir/ValueSet/communication-not-done-reason"/>
    <m/>
    <m/>
    <s v="Reason not contacted if client had given consent to be contacted"/>
    <s v="Changed"/>
    <m/>
    <x v="0"/>
    <s v="&quot;0&quot;-&gt;&quot;Reason not contacted if client gave consent to be contacted&quot;"/>
    <s v="Ready for testing"/>
    <x v="2"/>
    <m/>
    <m/>
    <m/>
    <m/>
    <m/>
    <m/>
    <m/>
    <m/>
    <s v="No terminology code required"/>
    <m/>
    <m/>
    <m/>
    <m/>
    <m/>
    <m/>
    <m/>
    <m/>
    <m/>
    <m/>
    <m/>
    <x v="2"/>
    <s v=""/>
    <x v="3"/>
    <x v="12"/>
    <n v="1"/>
    <n v="1"/>
    <n v="1"/>
    <n v="1"/>
    <n v="1"/>
    <n v="0"/>
    <n v="0"/>
  </r>
  <r>
    <n v="1826"/>
    <s v="       Contact information is no longer valid"/>
    <n v="1826"/>
    <e v="#NAME?"/>
    <n v="0"/>
    <x v="1"/>
    <n v="45"/>
    <s v="Reason not contacted if client gave consent to be contacted"/>
    <m/>
    <m/>
    <s v="8. Follow up tracking"/>
    <x v="14"/>
    <m/>
    <s v="8.7. Reach out to client"/>
    <m/>
    <m/>
    <m/>
    <s v="Contact information is no longer valid"/>
    <m/>
    <m/>
    <m/>
    <m/>
    <m/>
    <m/>
    <m/>
    <m/>
    <m/>
    <m/>
    <m/>
    <m/>
    <m/>
    <m/>
    <m/>
    <m/>
    <m/>
    <m/>
    <x v="3"/>
    <x v="0"/>
    <m/>
    <m/>
    <m/>
    <x v="2"/>
    <s v="NA"/>
    <m/>
    <m/>
    <m/>
    <s v="       Contact information is no longer valid"/>
    <s v="Same"/>
    <m/>
    <x v="0"/>
    <e v="#NAME?"/>
    <s v="Ready for testing"/>
    <x v="2"/>
    <s v="http://who.int/cg/CodeSystem/extended-content"/>
    <s v="Invalid Address"/>
    <m/>
    <m/>
    <m/>
    <m/>
    <m/>
    <m/>
    <s v="No FHIR valueset code available"/>
    <m/>
    <m/>
    <m/>
    <m/>
    <m/>
    <m/>
    <m/>
    <m/>
    <m/>
    <m/>
    <m/>
    <x v="2"/>
    <n v="0"/>
    <x v="2"/>
    <x v="12"/>
    <n v="1"/>
    <s v=""/>
    <n v="1"/>
    <n v="1"/>
    <n v="1"/>
    <n v="0"/>
    <n v="0"/>
  </r>
  <r>
    <n v="1827"/>
    <s v="       Client has moved from the service area"/>
    <n v="1827"/>
    <e v="#NAME?"/>
    <n v="0"/>
    <x v="1"/>
    <n v="45"/>
    <s v="Reason not contacted if client gave consent to be contacted"/>
    <m/>
    <m/>
    <s v="8. Follow up tracking"/>
    <x v="14"/>
    <m/>
    <s v="8.7. Reach out to client"/>
    <m/>
    <m/>
    <m/>
    <s v="Client has moved from the service area"/>
    <m/>
    <m/>
    <m/>
    <m/>
    <m/>
    <m/>
    <m/>
    <m/>
    <m/>
    <m/>
    <m/>
    <m/>
    <m/>
    <m/>
    <m/>
    <m/>
    <m/>
    <m/>
    <x v="3"/>
    <x v="0"/>
    <m/>
    <m/>
    <m/>
    <x v="2"/>
    <s v="NA"/>
    <m/>
    <m/>
    <m/>
    <s v="       Client has moved from the service area"/>
    <s v="Same"/>
    <m/>
    <x v="0"/>
    <e v="#NAME?"/>
    <s v="Ready for testing"/>
    <x v="2"/>
    <s v="http://who.int/cg/CodeSystem/extended-content"/>
    <s v="No longer in the service area"/>
    <s v="x"/>
    <m/>
    <m/>
    <m/>
    <m/>
    <m/>
    <s v="No FHIR valueset code available"/>
    <m/>
    <m/>
    <s v="snomed 184081008 for moved; LA6431-6 moved form Service area (not a good code even though in UMLS) "/>
    <m/>
    <m/>
    <m/>
    <m/>
    <m/>
    <m/>
    <m/>
    <m/>
    <x v="2"/>
    <n v="0"/>
    <x v="2"/>
    <x v="12"/>
    <n v="1"/>
    <s v=""/>
    <n v="1"/>
    <n v="1"/>
    <n v="1"/>
    <n v="0"/>
    <n v="0"/>
  </r>
  <r>
    <n v="1828"/>
    <s v="       Client asks to not be contacted again."/>
    <n v="1828"/>
    <e v="#NAME?"/>
    <n v="0"/>
    <x v="1"/>
    <n v="45"/>
    <s v="Reason not contacted if client gave consent to be contacted"/>
    <m/>
    <m/>
    <s v="8. Follow up tracking"/>
    <x v="14"/>
    <m/>
    <s v="8.7. Reach out to client"/>
    <m/>
    <m/>
    <m/>
    <s v="Client asks to not be contacted again."/>
    <m/>
    <m/>
    <m/>
    <m/>
    <m/>
    <m/>
    <m/>
    <m/>
    <m/>
    <m/>
    <m/>
    <m/>
    <m/>
    <m/>
    <m/>
    <m/>
    <m/>
    <m/>
    <x v="3"/>
    <x v="0"/>
    <m/>
    <m/>
    <m/>
    <x v="2"/>
    <s v="NA"/>
    <m/>
    <m/>
    <m/>
    <s v="       Client asks to not be contacted again."/>
    <s v="Same"/>
    <m/>
    <x v="0"/>
    <e v="#NAME?"/>
    <s v="Ready for testing"/>
    <x v="2"/>
    <s v="http://hl7.org/fhir/ValueSet/communication-not-done-reason"/>
    <s v="patient-objection"/>
    <m/>
    <m/>
    <m/>
    <m/>
    <m/>
    <m/>
    <m/>
    <m/>
    <m/>
    <m/>
    <m/>
    <m/>
    <m/>
    <m/>
    <m/>
    <m/>
    <m/>
    <m/>
    <x v="2"/>
    <n v="0"/>
    <x v="2"/>
    <x v="12"/>
    <n v="1"/>
    <s v=""/>
    <n v="1"/>
    <n v="1"/>
    <n v="1"/>
    <n v="0"/>
    <n v="0"/>
  </r>
  <r>
    <n v="1829"/>
    <s v="       Client deceased. "/>
    <n v="1829"/>
    <e v="#NAME?"/>
    <n v="0"/>
    <x v="1"/>
    <n v="24"/>
    <s v="Reason not contacted if client gave consent to be contacted"/>
    <m/>
    <m/>
    <s v="8. Follow up tracking"/>
    <x v="14"/>
    <m/>
    <s v="8.7. Reach out to client"/>
    <m/>
    <m/>
    <m/>
    <s v="Client deceased. "/>
    <m/>
    <m/>
    <m/>
    <m/>
    <m/>
    <m/>
    <m/>
    <m/>
    <m/>
    <m/>
    <m/>
    <m/>
    <m/>
    <m/>
    <m/>
    <m/>
    <m/>
    <m/>
    <x v="3"/>
    <x v="0"/>
    <m/>
    <m/>
    <m/>
    <x v="2"/>
    <s v="NA"/>
    <m/>
    <m/>
    <m/>
    <s v="       Client deceased. "/>
    <s v="Same"/>
    <m/>
    <x v="0"/>
    <e v="#NAME?"/>
    <s v="Ready for testing"/>
    <x v="2"/>
    <s v="http://who.int/cg/CodeSystem/extended-content"/>
    <s v="Deceased"/>
    <s v="x"/>
    <m/>
    <m/>
    <m/>
    <m/>
    <m/>
    <s v="No FHIR valueset code available"/>
    <m/>
    <m/>
    <s v="DEC hl7.3"/>
    <m/>
    <m/>
    <m/>
    <m/>
    <m/>
    <m/>
    <m/>
    <m/>
    <x v="2"/>
    <n v="0"/>
    <x v="2"/>
    <x v="12"/>
    <n v="1"/>
    <s v=""/>
    <n v="1"/>
    <n v="1"/>
    <n v="1"/>
    <n v="0"/>
    <n v="0"/>
  </r>
  <r>
    <n v="1830"/>
    <s v="Deceased"/>
    <n v="1830"/>
    <s v="Deceased"/>
    <s v="Deceased"/>
    <x v="0"/>
    <n v="8"/>
    <s v=""/>
    <m/>
    <m/>
    <s v="8. Follow up tracking"/>
    <x v="14"/>
    <m/>
    <s v="8.7. Reach out to client"/>
    <s v="ST.DE.081"/>
    <s v="FP.DE.104"/>
    <s v="Deceased"/>
    <s v="Deceased"/>
    <s v="Indicates if the individual is deceased or not"/>
    <s v="Boolean"/>
    <m/>
    <s v="True/False"/>
    <m/>
    <m/>
    <m/>
    <m/>
    <m/>
    <m/>
    <m/>
    <m/>
    <m/>
    <m/>
    <m/>
    <m/>
    <m/>
    <m/>
    <x v="99"/>
    <x v="4"/>
    <s v="FHIR"/>
    <s v="4.0.1"/>
    <m/>
    <x v="0"/>
    <s v="NA"/>
    <m/>
    <m/>
    <m/>
    <s v="Deceased"/>
    <s v="Same"/>
    <m/>
    <x v="0"/>
    <s v=""/>
    <s v="Ready for testing"/>
    <x v="2"/>
    <m/>
    <m/>
    <s v="x"/>
    <s v="R69"/>
    <s v="MG48"/>
    <s v="397709008"/>
    <m/>
    <m/>
    <m/>
    <m/>
    <m/>
    <m/>
    <m/>
    <n v="159"/>
    <m/>
    <m/>
    <m/>
    <m/>
    <m/>
    <m/>
    <x v="2"/>
    <s v=""/>
    <x v="3"/>
    <x v="0"/>
    <n v="1"/>
    <n v="0"/>
    <n v="1"/>
    <n v="1"/>
    <n v="1"/>
    <n v="0"/>
    <n v="0"/>
  </r>
  <r>
    <n v="1831"/>
    <s v="Date_of_Death"/>
    <n v="1831"/>
    <s v="Date_of_Death"/>
    <s v="Date_of_Death"/>
    <x v="0"/>
    <n v="13"/>
    <s v=""/>
    <m/>
    <m/>
    <s v="8. Follow up tracking"/>
    <x v="14"/>
    <m/>
    <s v="8.7. Reach out to client"/>
    <m/>
    <m/>
    <s v="Date_of_Death"/>
    <s v="Date of death"/>
    <s v="The date that the client died"/>
    <s v="Date"/>
    <m/>
    <m/>
    <m/>
    <s v="Yes"/>
    <s v="Date &lt;= Current Date and (date &gt;= date of birth if date of birth is not null)"/>
    <m/>
    <s v="CE"/>
    <s v="Include if patient status = deceased"/>
    <m/>
    <m/>
    <m/>
    <m/>
    <m/>
    <m/>
    <m/>
    <m/>
    <x v="99"/>
    <x v="8"/>
    <s v="FHIR"/>
    <s v="4.0.1"/>
    <m/>
    <x v="0"/>
    <s v="NA"/>
    <m/>
    <m/>
    <m/>
    <s v="Date_of_Death"/>
    <s v="Same"/>
    <m/>
    <x v="0"/>
    <s v=""/>
    <s v="Ready for testing"/>
    <x v="2"/>
    <m/>
    <m/>
    <s v="x"/>
    <m/>
    <m/>
    <s v="399753006"/>
    <m/>
    <m/>
    <m/>
    <m/>
    <m/>
    <m/>
    <m/>
    <m/>
    <m/>
    <m/>
    <m/>
    <m/>
    <m/>
    <m/>
    <x v="2"/>
    <s v=""/>
    <x v="3"/>
    <x v="0"/>
    <n v="1"/>
    <n v="0"/>
    <n v="1"/>
    <n v="1"/>
    <n v="1"/>
    <n v="0"/>
    <n v="0"/>
  </r>
  <r>
    <n v="1832"/>
    <s v="Cause_Death"/>
    <n v="1832"/>
    <s v="Cause_Death"/>
    <s v="Cause_Death"/>
    <x v="0"/>
    <n v="11"/>
    <s v=""/>
    <m/>
    <m/>
    <s v="8. Follow up tracking"/>
    <x v="14"/>
    <m/>
    <s v="8.7. Reach out to client"/>
    <s v="ST.DE.082"/>
    <s v="FP.DE.105"/>
    <s v="Cause_Death"/>
    <s v="Suspected cause of death"/>
    <s v="Cause of death, if known. "/>
    <s v="Text"/>
    <m/>
    <m/>
    <m/>
    <m/>
    <m/>
    <m/>
    <s v="CE"/>
    <s v="Include if patient status = deceased"/>
    <m/>
    <m/>
    <m/>
    <m/>
    <m/>
    <m/>
    <m/>
    <m/>
    <x v="101"/>
    <x v="6"/>
    <s v="Extension Needed"/>
    <s v="4.0.1"/>
    <m/>
    <x v="0"/>
    <s v="NA"/>
    <m/>
    <m/>
    <m/>
    <s v="Cause_Death"/>
    <s v="Same"/>
    <m/>
    <x v="0"/>
    <s v=""/>
    <m/>
    <x v="2"/>
    <m/>
    <m/>
    <s v="x"/>
    <m/>
    <m/>
    <s v="184305005"/>
    <s v="544112-8"/>
    <m/>
    <m/>
    <m/>
    <m/>
    <m/>
    <m/>
    <n v="1599"/>
    <m/>
    <m/>
    <m/>
    <m/>
    <m/>
    <m/>
    <x v="2"/>
    <s v=""/>
    <x v="3"/>
    <x v="0"/>
    <n v="1"/>
    <n v="0"/>
    <n v="0"/>
    <n v="0"/>
    <n v="0"/>
    <n v="0"/>
    <n v="1"/>
  </r>
  <r>
    <n v="2293"/>
    <s v="Location - Services provided"/>
    <n v="2293"/>
    <n v="0"/>
    <n v="0"/>
    <x v="0"/>
    <n v="28"/>
    <s v=""/>
    <m/>
    <m/>
    <s v="Location Master Data"/>
    <x v="20"/>
    <m/>
    <s v="Location"/>
    <m/>
    <m/>
    <m/>
    <s v="Services provided"/>
    <s v="Services provided at the facility"/>
    <s v="Coding"/>
    <m/>
    <m/>
    <m/>
    <m/>
    <m/>
    <m/>
    <m/>
    <m/>
    <m/>
    <m/>
    <m/>
    <m/>
    <m/>
    <m/>
    <m/>
    <s v=""/>
    <x v="27"/>
    <x v="0"/>
    <s v="FHIR"/>
    <s v="4.0.1"/>
    <s v=""/>
    <x v="2"/>
    <s v="NA"/>
    <s v="http://terminology.hl7.org/CodeSystem/service-category"/>
    <m/>
    <m/>
    <m/>
    <s v=""/>
    <m/>
    <x v="0"/>
    <s v="&quot;0&quot;-&gt;&quot;Location - Services provided&quot;"/>
    <s v="Ready for testing"/>
    <x v="2"/>
    <m/>
    <s v=""/>
    <s v=""/>
    <m/>
    <s v=""/>
    <m/>
    <m/>
    <m/>
    <s v="No terminology code required"/>
    <s v=""/>
    <m/>
    <s v=""/>
    <s v=""/>
    <s v=""/>
    <s v=""/>
    <s v=""/>
    <s v=""/>
    <m/>
    <m/>
    <m/>
    <x v="2"/>
    <s v=""/>
    <x v="3"/>
    <x v="12"/>
    <n v="1"/>
    <n v="1"/>
    <n v="1"/>
    <n v="1"/>
    <n v="1"/>
    <n v="0"/>
    <n v="0"/>
  </r>
  <r>
    <n v="2294"/>
    <s v="Location - Contraception Methods provided"/>
    <n v="2294"/>
    <n v="0"/>
    <n v="0"/>
    <x v="0"/>
    <n v="41"/>
    <s v=""/>
    <m/>
    <m/>
    <s v="Location Master Data"/>
    <x v="20"/>
    <m/>
    <s v="Location"/>
    <m/>
    <m/>
    <m/>
    <s v="Methods provided"/>
    <s v="Methods provided at the facility"/>
    <s v="Coding"/>
    <m/>
    <m/>
    <m/>
    <m/>
    <m/>
    <m/>
    <m/>
    <m/>
    <m/>
    <m/>
    <m/>
    <m/>
    <m/>
    <m/>
    <m/>
    <s v=""/>
    <x v="27"/>
    <x v="0"/>
    <s v="FHIR"/>
    <s v="4.0.1"/>
    <s v=""/>
    <x v="2"/>
    <s v="NA"/>
    <m/>
    <m/>
    <m/>
    <m/>
    <s v=""/>
    <m/>
    <x v="0"/>
    <s v="&quot;0&quot;-&gt;&quot;Location - Contraception Methods provided&quot;"/>
    <s v="Ready for testing"/>
    <x v="2"/>
    <m/>
    <s v=""/>
    <s v=""/>
    <m/>
    <s v=""/>
    <m/>
    <m/>
    <m/>
    <s v="No terminology code required"/>
    <s v=""/>
    <m/>
    <s v=""/>
    <s v=""/>
    <s v=""/>
    <s v=""/>
    <s v=""/>
    <s v=""/>
    <m/>
    <m/>
    <m/>
    <x v="2"/>
    <s v=""/>
    <x v="3"/>
    <x v="12"/>
    <n v="1"/>
    <n v="0"/>
    <n v="1"/>
    <n v="1"/>
    <n v="1"/>
    <n v="0"/>
    <n v="0"/>
  </r>
  <r>
    <n v="2295"/>
    <s v="Location - Facility Identifier "/>
    <n v="2295"/>
    <n v="0"/>
    <n v="0"/>
    <x v="0"/>
    <n v="31"/>
    <s v=""/>
    <m/>
    <m/>
    <s v="Location Master Data"/>
    <x v="20"/>
    <m/>
    <s v="Location"/>
    <m/>
    <m/>
    <m/>
    <s v="Facility Identifier "/>
    <s v="Unique identifier of the facility. A reference to a facility registry or a reporting system of record (e.g., DHIS2), should be included where possible. "/>
    <m/>
    <m/>
    <m/>
    <m/>
    <m/>
    <m/>
    <m/>
    <m/>
    <m/>
    <m/>
    <m/>
    <m/>
    <m/>
    <m/>
    <m/>
    <m/>
    <s v=""/>
    <x v="102"/>
    <x v="0"/>
    <s v="FHIR"/>
    <s v="4.0.1"/>
    <s v=""/>
    <x v="2"/>
    <s v="NA"/>
    <m/>
    <m/>
    <m/>
    <m/>
    <s v=""/>
    <m/>
    <x v="0"/>
    <s v="&quot;0&quot;-&gt;&quot;Location - Facility Identifier &quot;"/>
    <s v="Ready for testing"/>
    <x v="2"/>
    <m/>
    <s v=""/>
    <s v=""/>
    <m/>
    <s v=""/>
    <m/>
    <m/>
    <m/>
    <s v="No terminology code required"/>
    <s v=""/>
    <m/>
    <s v=""/>
    <s v=""/>
    <s v=""/>
    <s v=""/>
    <s v=""/>
    <s v=""/>
    <m/>
    <m/>
    <m/>
    <x v="2"/>
    <s v=""/>
    <x v="3"/>
    <x v="12"/>
    <n v="1"/>
    <n v="0"/>
    <n v="1"/>
    <n v="1"/>
    <n v="1"/>
    <n v="0"/>
    <n v="0"/>
  </r>
  <r>
    <n v="2296"/>
    <s v="Location - Facility name"/>
    <n v="2296"/>
    <n v="0"/>
    <n v="0"/>
    <x v="0"/>
    <n v="24"/>
    <s v=""/>
    <m/>
    <m/>
    <s v="Location Master Data"/>
    <x v="20"/>
    <m/>
    <s v="Location"/>
    <m/>
    <m/>
    <m/>
    <s v="Facility name"/>
    <s v="Name of the facility, based "/>
    <m/>
    <m/>
    <m/>
    <m/>
    <m/>
    <m/>
    <m/>
    <m/>
    <m/>
    <m/>
    <m/>
    <m/>
    <m/>
    <m/>
    <m/>
    <m/>
    <s v=""/>
    <x v="103"/>
    <x v="0"/>
    <s v="FHIR"/>
    <s v="4.0.1"/>
    <s v=""/>
    <x v="2"/>
    <s v="NA"/>
    <m/>
    <m/>
    <m/>
    <m/>
    <s v=""/>
    <m/>
    <x v="0"/>
    <s v="&quot;0&quot;-&gt;&quot;Location - Facility name&quot;"/>
    <s v="Ready for testing"/>
    <x v="2"/>
    <m/>
    <s v=""/>
    <s v=""/>
    <m/>
    <s v=""/>
    <m/>
    <m/>
    <m/>
    <s v="No terminology code required"/>
    <s v=""/>
    <m/>
    <s v=""/>
    <s v=""/>
    <s v=""/>
    <s v=""/>
    <s v=""/>
    <s v=""/>
    <m/>
    <m/>
    <m/>
    <x v="2"/>
    <s v=""/>
    <x v="3"/>
    <x v="12"/>
    <n v="1"/>
    <n v="0"/>
    <n v="1"/>
    <n v="1"/>
    <n v="1"/>
    <n v="0"/>
    <n v="0"/>
  </r>
  <r>
    <n v="2297"/>
    <s v="Location - Facility open date"/>
    <n v="2297"/>
    <n v="0"/>
    <n v="0"/>
    <x v="0"/>
    <n v="29"/>
    <s v=""/>
    <m/>
    <m/>
    <s v="Location Master Data"/>
    <x v="20"/>
    <m/>
    <s v="Location"/>
    <m/>
    <m/>
    <m/>
    <s v="Facility open date"/>
    <m/>
    <m/>
    <m/>
    <m/>
    <m/>
    <m/>
    <m/>
    <m/>
    <m/>
    <m/>
    <m/>
    <m/>
    <m/>
    <m/>
    <m/>
    <m/>
    <m/>
    <s v=""/>
    <x v="104"/>
    <x v="0"/>
    <s v="Extension Needed"/>
    <s v="4.0.1"/>
    <s v=""/>
    <x v="2"/>
    <s v="NA"/>
    <m/>
    <m/>
    <m/>
    <m/>
    <s v=""/>
    <m/>
    <x v="0"/>
    <s v="&quot;0&quot;-&gt;&quot;Location - Facility open date&quot;"/>
    <m/>
    <x v="2"/>
    <m/>
    <s v=""/>
    <s v=""/>
    <m/>
    <s v=""/>
    <m/>
    <m/>
    <m/>
    <s v="No terminology code required"/>
    <s v=""/>
    <m/>
    <s v=""/>
    <s v=""/>
    <s v=""/>
    <s v=""/>
    <s v=""/>
    <s v=""/>
    <m/>
    <m/>
    <m/>
    <x v="2"/>
    <s v=""/>
    <x v="3"/>
    <x v="12"/>
    <n v="1"/>
    <n v="0"/>
    <n v="0"/>
    <n v="0"/>
    <n v="0"/>
    <n v="0"/>
    <n v="1"/>
  </r>
  <r>
    <n v="2298"/>
    <s v="Location - Ownership"/>
    <n v="2298"/>
    <n v="0"/>
    <n v="0"/>
    <x v="0"/>
    <n v="20"/>
    <s v=""/>
    <m/>
    <m/>
    <s v="Location Master Data"/>
    <x v="20"/>
    <m/>
    <s v="Location"/>
    <m/>
    <m/>
    <m/>
    <s v="Ownership"/>
    <s v="Public or private facility"/>
    <m/>
    <m/>
    <m/>
    <m/>
    <m/>
    <m/>
    <m/>
    <m/>
    <m/>
    <m/>
    <m/>
    <m/>
    <m/>
    <m/>
    <m/>
    <m/>
    <s v=""/>
    <x v="105"/>
    <x v="0"/>
    <s v="FHIR"/>
    <s v="4.0.1"/>
    <s v=""/>
    <x v="2"/>
    <s v="NA"/>
    <m/>
    <m/>
    <m/>
    <m/>
    <s v=""/>
    <m/>
    <x v="0"/>
    <s v="&quot;0&quot;-&gt;&quot;Location - Ownership&quot;"/>
    <s v="Ready for testing"/>
    <x v="2"/>
    <m/>
    <s v=""/>
    <s v=""/>
    <m/>
    <s v=""/>
    <m/>
    <m/>
    <m/>
    <s v="No terminology code required"/>
    <s v=""/>
    <m/>
    <s v=""/>
    <s v=""/>
    <s v=""/>
    <s v=""/>
    <s v=""/>
    <s v=""/>
    <m/>
    <m/>
    <m/>
    <x v="2"/>
    <s v=""/>
    <x v="3"/>
    <x v="12"/>
    <n v="1"/>
    <n v="0"/>
    <n v="1"/>
    <n v="1"/>
    <n v="1"/>
    <n v="0"/>
    <n v="0"/>
  </r>
  <r>
    <n v="2299"/>
    <s v="Location - fac_type"/>
    <n v="2299"/>
    <n v="0"/>
    <n v="0"/>
    <x v="0"/>
    <n v="19"/>
    <s v=""/>
    <m/>
    <m/>
    <s v="Location Master Data"/>
    <x v="20"/>
    <m/>
    <s v="Location"/>
    <m/>
    <m/>
    <m/>
    <s v="fac_type"/>
    <s v="Type of facility, based on country terminology (e.g., health center, dispensary, hospital)"/>
    <m/>
    <m/>
    <m/>
    <m/>
    <m/>
    <m/>
    <m/>
    <m/>
    <m/>
    <m/>
    <m/>
    <m/>
    <m/>
    <m/>
    <m/>
    <m/>
    <s v=""/>
    <x v="106"/>
    <x v="0"/>
    <s v="FHIR"/>
    <s v="4.0.1"/>
    <s v=""/>
    <x v="2"/>
    <s v="NA"/>
    <m/>
    <m/>
    <m/>
    <m/>
    <s v=""/>
    <m/>
    <x v="0"/>
    <s v="&quot;0&quot;-&gt;&quot;Location - fac_type&quot;"/>
    <s v="Ready for testing"/>
    <x v="2"/>
    <m/>
    <s v=""/>
    <s v=""/>
    <m/>
    <s v=""/>
    <m/>
    <m/>
    <m/>
    <s v="No terminology code required"/>
    <s v=""/>
    <m/>
    <s v=""/>
    <s v=""/>
    <s v=""/>
    <s v=""/>
    <s v=""/>
    <s v=""/>
    <m/>
    <m/>
    <m/>
    <x v="2"/>
    <s v=""/>
    <x v="3"/>
    <x v="12"/>
    <n v="1"/>
    <n v="0"/>
    <n v="1"/>
    <n v="1"/>
    <n v="1"/>
    <n v="0"/>
    <n v="0"/>
  </r>
  <r>
    <n v="2300"/>
    <s v="Location - Latitude"/>
    <n v="2300"/>
    <n v="0"/>
    <n v="0"/>
    <x v="0"/>
    <n v="19"/>
    <s v=""/>
    <m/>
    <m/>
    <s v="Location Master Data"/>
    <x v="20"/>
    <m/>
    <s v="Location"/>
    <m/>
    <m/>
    <m/>
    <s v="Latitude"/>
    <m/>
    <m/>
    <m/>
    <m/>
    <m/>
    <m/>
    <m/>
    <m/>
    <m/>
    <m/>
    <m/>
    <m/>
    <m/>
    <m/>
    <m/>
    <m/>
    <m/>
    <s v=""/>
    <x v="107"/>
    <x v="0"/>
    <s v="FHIR"/>
    <s v="4.0.1"/>
    <s v=""/>
    <x v="2"/>
    <s v="NA"/>
    <m/>
    <m/>
    <m/>
    <m/>
    <s v=""/>
    <m/>
    <x v="0"/>
    <s v="&quot;0&quot;-&gt;&quot;Location - Latitude&quot;"/>
    <s v="Ready for testing"/>
    <x v="2"/>
    <m/>
    <s v=""/>
    <s v=""/>
    <m/>
    <s v=""/>
    <m/>
    <m/>
    <m/>
    <s v="No terminology code required"/>
    <s v=""/>
    <m/>
    <s v=""/>
    <s v=""/>
    <s v=""/>
    <s v=""/>
    <s v=""/>
    <s v=""/>
    <m/>
    <m/>
    <m/>
    <x v="2"/>
    <s v=""/>
    <x v="3"/>
    <x v="12"/>
    <n v="1"/>
    <n v="0"/>
    <n v="1"/>
    <n v="1"/>
    <n v="1"/>
    <n v="0"/>
    <n v="0"/>
  </r>
  <r>
    <n v="2301"/>
    <s v="Location - Longitude"/>
    <n v="2301"/>
    <n v="0"/>
    <n v="0"/>
    <x v="0"/>
    <n v="20"/>
    <s v=""/>
    <m/>
    <m/>
    <s v="Location Master Data"/>
    <x v="20"/>
    <m/>
    <s v="Location"/>
    <m/>
    <m/>
    <m/>
    <s v="Longitude"/>
    <m/>
    <m/>
    <m/>
    <m/>
    <m/>
    <m/>
    <m/>
    <m/>
    <m/>
    <m/>
    <m/>
    <m/>
    <m/>
    <m/>
    <m/>
    <m/>
    <m/>
    <s v=""/>
    <x v="108"/>
    <x v="0"/>
    <s v="FHIR"/>
    <s v="4.0.1"/>
    <s v=""/>
    <x v="2"/>
    <s v="NA"/>
    <m/>
    <m/>
    <m/>
    <m/>
    <s v=""/>
    <m/>
    <x v="0"/>
    <s v="&quot;0&quot;-&gt;&quot;Location - Longitude&quot;"/>
    <s v="Ready for testing"/>
    <x v="2"/>
    <m/>
    <s v=""/>
    <s v=""/>
    <m/>
    <s v=""/>
    <m/>
    <m/>
    <m/>
    <s v="No terminology code required"/>
    <s v=""/>
    <m/>
    <s v=""/>
    <s v=""/>
    <s v=""/>
    <s v=""/>
    <s v=""/>
    <s v=""/>
    <m/>
    <m/>
    <m/>
    <x v="2"/>
    <s v=""/>
    <x v="3"/>
    <x v="12"/>
    <n v="1"/>
    <n v="0"/>
    <n v="1"/>
    <n v="1"/>
    <n v="1"/>
    <n v="0"/>
    <n v="0"/>
  </r>
  <r>
    <n v="2302"/>
    <s v="Location - System rollout date"/>
    <n v="2302"/>
    <n v="0"/>
    <n v="0"/>
    <x v="0"/>
    <n v="30"/>
    <s v=""/>
    <m/>
    <m/>
    <s v="Location Master Data"/>
    <x v="20"/>
    <m/>
    <s v="Location"/>
    <m/>
    <m/>
    <m/>
    <s v="System rollout date"/>
    <s v="Date that the digital system was rolled out at the facility. "/>
    <m/>
    <m/>
    <m/>
    <m/>
    <m/>
    <m/>
    <m/>
    <m/>
    <m/>
    <m/>
    <m/>
    <m/>
    <m/>
    <m/>
    <m/>
    <m/>
    <s v=""/>
    <x v="109"/>
    <x v="0"/>
    <s v="Extension Needed"/>
    <s v="4.0.1"/>
    <s v=""/>
    <x v="2"/>
    <s v="NA"/>
    <m/>
    <m/>
    <m/>
    <m/>
    <s v=""/>
    <m/>
    <x v="0"/>
    <s v="&quot;0&quot;-&gt;&quot;Location - System rollout date&quot;"/>
    <m/>
    <x v="2"/>
    <m/>
    <s v=""/>
    <s v=""/>
    <m/>
    <s v=""/>
    <m/>
    <m/>
    <m/>
    <s v="No terminology code required"/>
    <s v=""/>
    <m/>
    <s v=""/>
    <s v=""/>
    <s v=""/>
    <s v=""/>
    <s v=""/>
    <s v=""/>
    <m/>
    <m/>
    <m/>
    <x v="2"/>
    <s v=""/>
    <x v="3"/>
    <x v="12"/>
    <n v="1"/>
    <n v="0"/>
    <n v="0"/>
    <n v="0"/>
    <n v="0"/>
    <n v="0"/>
    <n v="1"/>
  </r>
  <r>
    <n v="2303"/>
    <s v="Location - Administrative area 1 "/>
    <n v="2303"/>
    <n v="0"/>
    <n v="0"/>
    <x v="0"/>
    <n v="33"/>
    <s v=""/>
    <m/>
    <m/>
    <s v="Location Master Data"/>
    <x v="20"/>
    <m/>
    <s v="Location"/>
    <m/>
    <m/>
    <m/>
    <s v="Administrative area 1 "/>
    <m/>
    <m/>
    <m/>
    <m/>
    <m/>
    <m/>
    <m/>
    <m/>
    <m/>
    <m/>
    <m/>
    <m/>
    <m/>
    <m/>
    <m/>
    <m/>
    <m/>
    <s v=""/>
    <x v="110"/>
    <x v="0"/>
    <s v="FHIR"/>
    <s v="4.0.1"/>
    <s v=""/>
    <x v="2"/>
    <s v="NA"/>
    <m/>
    <m/>
    <m/>
    <m/>
    <s v=""/>
    <m/>
    <x v="0"/>
    <s v="&quot;0&quot;-&gt;&quot;Location - Administrative area 1 &quot;"/>
    <s v="Ready for testing"/>
    <x v="2"/>
    <m/>
    <s v=""/>
    <s v=""/>
    <m/>
    <s v=""/>
    <m/>
    <m/>
    <m/>
    <s v="No terminology code required"/>
    <s v=""/>
    <m/>
    <s v=""/>
    <s v=""/>
    <s v=""/>
    <s v=""/>
    <s v=""/>
    <s v=""/>
    <m/>
    <m/>
    <m/>
    <x v="2"/>
    <s v=""/>
    <x v="3"/>
    <x v="12"/>
    <n v="1"/>
    <n v="0"/>
    <n v="1"/>
    <n v="1"/>
    <n v="1"/>
    <n v="0"/>
    <n v="0"/>
  </r>
  <r>
    <n v="2304"/>
    <s v="Location - Catchment population"/>
    <n v="2304"/>
    <n v="0"/>
    <n v="0"/>
    <x v="0"/>
    <n v="31"/>
    <s v=""/>
    <m/>
    <m/>
    <s v="Location Master Data"/>
    <x v="20"/>
    <m/>
    <s v="Location"/>
    <m/>
    <m/>
    <m/>
    <s v="Catchment population"/>
    <m/>
    <m/>
    <m/>
    <m/>
    <m/>
    <m/>
    <m/>
    <m/>
    <m/>
    <m/>
    <m/>
    <m/>
    <m/>
    <m/>
    <m/>
    <m/>
    <m/>
    <s v=""/>
    <x v="111"/>
    <x v="0"/>
    <s v="Extension Needed"/>
    <s v="4.0.1"/>
    <s v=""/>
    <x v="2"/>
    <s v="NA"/>
    <m/>
    <m/>
    <m/>
    <m/>
    <s v=""/>
    <m/>
    <x v="0"/>
    <s v="&quot;0&quot;-&gt;&quot;Location - Catchment population&quot;"/>
    <m/>
    <x v="2"/>
    <m/>
    <s v=""/>
    <s v=""/>
    <m/>
    <s v=""/>
    <m/>
    <m/>
    <m/>
    <s v="No terminology code required"/>
    <s v=""/>
    <m/>
    <s v=""/>
    <s v=""/>
    <s v=""/>
    <s v=""/>
    <s v=""/>
    <s v=""/>
    <m/>
    <m/>
    <m/>
    <x v="2"/>
    <s v=""/>
    <x v="3"/>
    <x v="12"/>
    <n v="1"/>
    <n v="0"/>
    <n v="0"/>
    <n v="0"/>
    <n v="0"/>
    <n v="0"/>
    <n v="1"/>
  </r>
  <r>
    <n v="2305"/>
    <s v="Location - Rapid diagnostic test"/>
    <n v="2305"/>
    <n v="0"/>
    <n v="0"/>
    <x v="0"/>
    <n v="32"/>
    <s v=""/>
    <m/>
    <m/>
    <s v="Location Master Data"/>
    <x v="20"/>
    <m/>
    <s v="Location"/>
    <m/>
    <m/>
    <m/>
    <s v="Rapid diagnostic test"/>
    <m/>
    <m/>
    <m/>
    <m/>
    <m/>
    <m/>
    <m/>
    <m/>
    <m/>
    <m/>
    <m/>
    <m/>
    <m/>
    <m/>
    <m/>
    <m/>
    <m/>
    <s v=""/>
    <x v="27"/>
    <x v="0"/>
    <s v="FHIR"/>
    <s v="4.0.1"/>
    <s v=""/>
    <x v="2"/>
    <s v="NA"/>
    <m/>
    <m/>
    <m/>
    <m/>
    <s v=""/>
    <m/>
    <x v="0"/>
    <s v="&quot;0&quot;-&gt;&quot;Location - Rapid diagnostic test&quot;"/>
    <m/>
    <x v="2"/>
    <m/>
    <s v=""/>
    <s v=""/>
    <m/>
    <s v=""/>
    <m/>
    <m/>
    <m/>
    <s v=""/>
    <s v=""/>
    <m/>
    <s v=""/>
    <s v=""/>
    <s v=""/>
    <s v=""/>
    <s v=""/>
    <s v=""/>
    <m/>
    <m/>
    <m/>
    <x v="2"/>
    <s v=""/>
    <x v="3"/>
    <x v="12"/>
    <n v="1"/>
    <n v="0"/>
    <n v="0"/>
    <n v="1"/>
    <n v="0"/>
    <n v="1"/>
    <n v="0"/>
  </r>
  <r>
    <n v="2306"/>
    <s v="Location - Lab tests available"/>
    <n v="2306"/>
    <n v="0"/>
    <n v="0"/>
    <x v="0"/>
    <n v="30"/>
    <s v=""/>
    <m/>
    <m/>
    <s v="Location Master Data"/>
    <x v="20"/>
    <m/>
    <s v="Location"/>
    <m/>
    <m/>
    <m/>
    <s v="Lab tests available"/>
    <m/>
    <m/>
    <m/>
    <m/>
    <m/>
    <m/>
    <m/>
    <m/>
    <m/>
    <m/>
    <m/>
    <m/>
    <m/>
    <m/>
    <m/>
    <m/>
    <m/>
    <s v=""/>
    <x v="27"/>
    <x v="0"/>
    <s v="FHIR"/>
    <s v="4.0.1"/>
    <s v=""/>
    <x v="2"/>
    <s v="NA"/>
    <m/>
    <m/>
    <m/>
    <m/>
    <s v=""/>
    <m/>
    <x v="0"/>
    <s v="&quot;0&quot;-&gt;&quot;Location - Lab tests available&quot;"/>
    <m/>
    <x v="2"/>
    <m/>
    <s v=""/>
    <s v=""/>
    <m/>
    <s v=""/>
    <m/>
    <m/>
    <m/>
    <s v=""/>
    <s v=""/>
    <m/>
    <s v=""/>
    <s v=""/>
    <s v=""/>
    <s v=""/>
    <s v=""/>
    <s v=""/>
    <m/>
    <m/>
    <m/>
    <x v="2"/>
    <s v=""/>
    <x v="3"/>
    <x v="12"/>
    <n v="1"/>
    <n v="0"/>
    <n v="0"/>
    <n v="1"/>
    <n v="0"/>
    <n v="1"/>
    <n v="0"/>
  </r>
  <r>
    <n v="2307"/>
    <s v="Location - Prevalence of gonococcal and chlamydial infections"/>
    <n v="2307"/>
    <n v="0"/>
    <n v="0"/>
    <x v="0"/>
    <n v="61"/>
    <s v=""/>
    <m/>
    <m/>
    <s v="Location Master Data"/>
    <x v="20"/>
    <m/>
    <s v="Location"/>
    <m/>
    <m/>
    <m/>
    <s v="Prevalence of cervical gonococcal and chlamydial infections"/>
    <s v="high prevalence of cervical gonococcal and chlamydial infections in area"/>
    <m/>
    <m/>
    <m/>
    <m/>
    <m/>
    <m/>
    <m/>
    <m/>
    <m/>
    <m/>
    <m/>
    <m/>
    <m/>
    <m/>
    <m/>
    <m/>
    <s v=""/>
    <x v="112"/>
    <x v="0"/>
    <s v="Extension Needed"/>
    <s v="4.0.1"/>
    <s v=""/>
    <x v="2"/>
    <s v="NA"/>
    <m/>
    <m/>
    <m/>
    <m/>
    <s v=""/>
    <m/>
    <x v="0"/>
    <s v="&quot;0&quot;-&gt;&quot;Location - Prevalence of gonococcal and chlamydial infections&quot;"/>
    <m/>
    <x v="2"/>
    <m/>
    <s v=""/>
    <s v="calculated (prevalence)"/>
    <m/>
    <s v=""/>
    <m/>
    <m/>
    <m/>
    <s v=""/>
    <m/>
    <m/>
    <s v="none"/>
    <s v=""/>
    <s v=""/>
    <s v=""/>
    <s v=""/>
    <s v=""/>
    <m/>
    <m/>
    <m/>
    <x v="2"/>
    <s v=""/>
    <x v="3"/>
    <x v="12"/>
    <n v="1"/>
    <n v="0"/>
    <n v="0"/>
    <n v="0"/>
    <n v="0"/>
    <n v="0"/>
    <n v="1"/>
  </r>
  <r>
    <n v="2308"/>
    <s v="Location - Limited STI screening"/>
    <n v="2308"/>
    <n v="0"/>
    <n v="0"/>
    <x v="0"/>
    <n v="32"/>
    <s v=""/>
    <m/>
    <m/>
    <s v="Location Master Data"/>
    <x v="20"/>
    <m/>
    <s v="Location"/>
    <m/>
    <m/>
    <m/>
    <s v="Limited STI screening"/>
    <s v="Limited STI screening in area"/>
    <m/>
    <m/>
    <m/>
    <m/>
    <m/>
    <m/>
    <m/>
    <m/>
    <m/>
    <m/>
    <m/>
    <m/>
    <m/>
    <m/>
    <m/>
    <m/>
    <s v=""/>
    <x v="27"/>
    <x v="0"/>
    <s v="FHIR"/>
    <s v="4.0.1"/>
    <s v=""/>
    <x v="2"/>
    <s v="NA"/>
    <m/>
    <m/>
    <m/>
    <m/>
    <s v=""/>
    <m/>
    <x v="0"/>
    <s v="&quot;0&quot;-&gt;&quot;Location - Limited STI screening&quot;"/>
    <m/>
    <x v="2"/>
    <m/>
    <s v=""/>
    <s v=""/>
    <m/>
    <s v=""/>
    <m/>
    <m/>
    <m/>
    <s v=""/>
    <s v=""/>
    <m/>
    <s v=""/>
    <s v=""/>
    <s v=""/>
    <s v=""/>
    <s v=""/>
    <s v=""/>
    <m/>
    <m/>
    <m/>
    <x v="2"/>
    <s v=""/>
    <x v="3"/>
    <x v="12"/>
    <n v="1"/>
    <n v="0"/>
    <n v="0"/>
    <n v="1"/>
    <n v="0"/>
    <n v="1"/>
    <n v="0"/>
  </r>
  <r>
    <n v="2309"/>
    <s v="Counseling provided"/>
    <n v="2309"/>
    <s v="HIV"/>
    <s v="HIV"/>
    <x v="0"/>
    <n v="19"/>
    <s v=""/>
    <m/>
    <m/>
    <s v="Location Master Data"/>
    <x v="20"/>
    <s v="Clarify with WHO"/>
    <s v="Location"/>
    <m/>
    <m/>
    <m/>
    <s v="Counseling provided"/>
    <m/>
    <m/>
    <m/>
    <s v="HIV"/>
    <m/>
    <m/>
    <m/>
    <m/>
    <m/>
    <m/>
    <m/>
    <m/>
    <m/>
    <m/>
    <m/>
    <m/>
    <m/>
    <s v=""/>
    <x v="27"/>
    <x v="0"/>
    <s v="FHIR"/>
    <s v="4.0.1"/>
    <s v=""/>
    <x v="2"/>
    <s v="NA"/>
    <m/>
    <m/>
    <m/>
    <m/>
    <s v=""/>
    <m/>
    <x v="0"/>
    <s v="&quot;HIV&quot;-&gt;&quot;Counseling provided&quot;"/>
    <s v="Ready for testing"/>
    <x v="2"/>
    <m/>
    <s v=""/>
    <s v="HIV"/>
    <s v="Z71.7"/>
    <s v=""/>
    <m/>
    <m/>
    <m/>
    <s v=""/>
    <s v=""/>
    <m/>
    <s v=""/>
    <s v=""/>
    <s v=""/>
    <s v=""/>
    <s v=""/>
    <s v=""/>
    <m/>
    <m/>
    <m/>
    <x v="2"/>
    <s v=""/>
    <x v="3"/>
    <x v="12"/>
    <n v="1"/>
    <n v="0"/>
    <n v="1"/>
    <n v="1"/>
    <n v="1"/>
    <n v="0"/>
    <n v="0"/>
  </r>
  <r>
    <n v="2310"/>
    <s v="Provides HIV counseling"/>
    <n v="2310"/>
    <s v="True/False"/>
    <s v="True/False"/>
    <x v="0"/>
    <n v="23"/>
    <s v=""/>
    <m/>
    <m/>
    <s v="Location Master Data"/>
    <x v="20"/>
    <s v="Clarify with WHO"/>
    <s v="Location"/>
    <m/>
    <m/>
    <m/>
    <s v="Provides HIV counseling"/>
    <s v="Facility provides HIV counseling"/>
    <s v="Boolean"/>
    <m/>
    <s v="True/False"/>
    <m/>
    <m/>
    <m/>
    <m/>
    <m/>
    <m/>
    <m/>
    <m/>
    <m/>
    <m/>
    <m/>
    <m/>
    <m/>
    <s v=""/>
    <x v="27"/>
    <x v="0"/>
    <s v="FHIR"/>
    <s v="4.0.1"/>
    <s v=""/>
    <x v="2"/>
    <s v="NA"/>
    <m/>
    <m/>
    <m/>
    <m/>
    <s v=""/>
    <m/>
    <x v="0"/>
    <s v="&quot;True/False&quot;-&gt;&quot;Provides HIV counseling&quot;"/>
    <m/>
    <x v="2"/>
    <m/>
    <s v=""/>
    <s v="??"/>
    <s v="Z71.7"/>
    <s v=""/>
    <m/>
    <m/>
    <m/>
    <s v=""/>
    <m/>
    <m/>
    <s v="would be z71.7 and available at facility"/>
    <s v=""/>
    <s v=""/>
    <s v=""/>
    <s v=""/>
    <s v=""/>
    <m/>
    <m/>
    <m/>
    <x v="2"/>
    <s v=""/>
    <x v="3"/>
    <x v="12"/>
    <n v="1"/>
    <n v="0"/>
    <n v="1"/>
    <n v="1"/>
    <n v="1"/>
    <n v="0"/>
    <n v="0"/>
  </r>
  <r>
    <n v="2311"/>
    <s v="Provides GBV counseling"/>
    <n v="2311"/>
    <s v="GBV"/>
    <s v="GBV"/>
    <x v="0"/>
    <n v="23"/>
    <s v=""/>
    <m/>
    <m/>
    <s v="Location Master Data"/>
    <x v="20"/>
    <s v="Clarify with WHO"/>
    <s v="Location"/>
    <m/>
    <m/>
    <m/>
    <m/>
    <m/>
    <m/>
    <m/>
    <s v="GBV"/>
    <m/>
    <m/>
    <m/>
    <m/>
    <m/>
    <m/>
    <m/>
    <m/>
    <m/>
    <m/>
    <m/>
    <m/>
    <m/>
    <s v=""/>
    <x v="27"/>
    <x v="0"/>
    <s v="FHIR"/>
    <s v="4.0.1"/>
    <s v=""/>
    <x v="2"/>
    <s v="NA"/>
    <m/>
    <m/>
    <m/>
    <m/>
    <s v=""/>
    <m/>
    <x v="0"/>
    <s v="&quot;GBV&quot;-&gt;&quot;Provides GBV counseling&quot;"/>
    <m/>
    <x v="2"/>
    <m/>
    <s v=""/>
    <s v="??"/>
    <m/>
    <s v=""/>
    <m/>
    <m/>
    <m/>
    <s v=""/>
    <m/>
    <m/>
    <s v="? same as 2311?"/>
    <s v=""/>
    <s v=""/>
    <s v=""/>
    <s v=""/>
    <s v=""/>
    <m/>
    <m/>
    <m/>
    <x v="2"/>
    <s v=""/>
    <x v="3"/>
    <x v="12"/>
    <n v="1"/>
    <n v="0"/>
    <n v="0"/>
    <n v="1"/>
    <n v="0"/>
    <n v="1"/>
    <n v="0"/>
  </r>
  <r>
    <n v="2312"/>
    <s v="Antimicrobial resistance"/>
    <n v="2312"/>
    <n v="0"/>
    <n v="0"/>
    <x v="0"/>
    <n v="24"/>
    <s v=""/>
    <m/>
    <m/>
    <s v="Location Master Data"/>
    <x v="20"/>
    <m/>
    <s v="Location"/>
    <m/>
    <m/>
    <m/>
    <s v="Antimicrobial resistance"/>
    <m/>
    <m/>
    <m/>
    <m/>
    <m/>
    <m/>
    <m/>
    <m/>
    <m/>
    <m/>
    <m/>
    <m/>
    <m/>
    <m/>
    <m/>
    <m/>
    <m/>
    <s v=""/>
    <x v="113"/>
    <x v="0"/>
    <s v="Extension Needed"/>
    <s v="4.0.1"/>
    <s v=""/>
    <x v="2"/>
    <s v="NA"/>
    <m/>
    <m/>
    <m/>
    <m/>
    <s v=""/>
    <m/>
    <x v="0"/>
    <s v="&quot;0&quot;-&gt;&quot;Antimicrobial resistance&quot;"/>
    <m/>
    <x v="2"/>
    <m/>
    <s v=""/>
    <s v="x"/>
    <s v="Z16"/>
    <s v=""/>
    <m/>
    <m/>
    <m/>
    <s v=""/>
    <s v=""/>
    <m/>
    <s v=""/>
    <s v=""/>
    <s v=""/>
    <s v=""/>
    <s v=""/>
    <s v=""/>
    <m/>
    <m/>
    <m/>
    <x v="2"/>
    <s v=""/>
    <x v="3"/>
    <x v="12"/>
    <n v="1"/>
    <n v="0"/>
    <n v="0"/>
    <n v="0"/>
    <n v="0"/>
    <n v="0"/>
    <n v="1"/>
  </r>
  <r>
    <n v="1722"/>
    <s v="Client address city"/>
    <n v="1722"/>
    <s v="Client address city"/>
    <s v="Client address city"/>
    <x v="0"/>
    <n v="19"/>
    <s v=""/>
    <m/>
    <m/>
    <s v="1. Registration-optional"/>
    <x v="0"/>
    <m/>
    <s v="1.6 Validate client details / 1.7 Create client record"/>
    <m/>
    <m/>
    <s v="Client address city"/>
    <s v="Patient.address.city"/>
    <m/>
    <m/>
    <m/>
    <m/>
    <m/>
    <m/>
    <m/>
    <m/>
    <m/>
    <m/>
    <m/>
    <m/>
    <m/>
    <m/>
    <m/>
    <m/>
    <m/>
    <m/>
    <x v="114"/>
    <x v="0"/>
    <s v="FHIR"/>
    <s v="4.0.1"/>
    <m/>
    <x v="0"/>
    <s v="NA"/>
    <m/>
    <m/>
    <m/>
    <s v="Client address city"/>
    <s v="Same"/>
    <m/>
    <x v="0"/>
    <s v=""/>
    <s v="Ready for testing"/>
    <x v="2"/>
    <m/>
    <m/>
    <s v="address"/>
    <m/>
    <m/>
    <m/>
    <m/>
    <m/>
    <s v="No terminology code required"/>
    <m/>
    <m/>
    <s v="SNOMED code 397635003"/>
    <m/>
    <m/>
    <m/>
    <m/>
    <m/>
    <m/>
    <m/>
    <m/>
    <x v="2"/>
    <s v=""/>
    <x v="3"/>
    <x v="0"/>
    <n v="1"/>
    <n v="0"/>
    <n v="1"/>
    <n v="1"/>
    <n v="1"/>
    <n v="0"/>
    <n v="0"/>
  </r>
  <r>
    <n v="1723"/>
    <s v="Client address country"/>
    <n v="1723"/>
    <s v="Client address country"/>
    <s v="Client address country"/>
    <x v="0"/>
    <n v="22"/>
    <s v=""/>
    <m/>
    <m/>
    <s v="1. Registration-optional"/>
    <x v="0"/>
    <m/>
    <s v="1.6 Validate client details / 1.7 Create client record"/>
    <m/>
    <m/>
    <s v="Client address country"/>
    <s v="Patient.address.country"/>
    <m/>
    <m/>
    <m/>
    <m/>
    <m/>
    <m/>
    <m/>
    <m/>
    <m/>
    <m/>
    <m/>
    <m/>
    <m/>
    <m/>
    <m/>
    <m/>
    <m/>
    <m/>
    <x v="115"/>
    <x v="0"/>
    <s v="FHIR"/>
    <s v="4.0.1"/>
    <m/>
    <x v="0"/>
    <s v="NA"/>
    <m/>
    <m/>
    <m/>
    <s v="Client address country"/>
    <s v="Same"/>
    <m/>
    <x v="0"/>
    <s v=""/>
    <s v="Ready for testing"/>
    <x v="2"/>
    <m/>
    <m/>
    <s v="see 1722"/>
    <m/>
    <m/>
    <m/>
    <m/>
    <m/>
    <s v="No terminology code required"/>
    <m/>
    <m/>
    <m/>
    <m/>
    <m/>
    <m/>
    <m/>
    <m/>
    <m/>
    <m/>
    <m/>
    <x v="2"/>
    <s v=""/>
    <x v="3"/>
    <x v="0"/>
    <n v="1"/>
    <n v="0"/>
    <n v="1"/>
    <n v="1"/>
    <n v="1"/>
    <n v="0"/>
    <n v="0"/>
  </r>
  <r>
    <n v="1724"/>
    <s v="Client address postal code"/>
    <n v="1724"/>
    <s v="Client address postal code"/>
    <s v="Client address postal code"/>
    <x v="0"/>
    <n v="26"/>
    <s v=""/>
    <m/>
    <m/>
    <s v="1. Registration-optional"/>
    <x v="0"/>
    <m/>
    <s v="1.6 Validate client details / 1.7 Create client record"/>
    <m/>
    <m/>
    <s v="Client address postal code"/>
    <s v="Patient.address.postalCode"/>
    <m/>
    <m/>
    <m/>
    <m/>
    <m/>
    <m/>
    <m/>
    <m/>
    <m/>
    <m/>
    <m/>
    <m/>
    <m/>
    <m/>
    <m/>
    <m/>
    <m/>
    <m/>
    <x v="116"/>
    <x v="0"/>
    <s v="FHIR"/>
    <s v="4.0.1"/>
    <m/>
    <x v="0"/>
    <s v="NA"/>
    <m/>
    <m/>
    <m/>
    <s v="Client address postal code"/>
    <s v="Same"/>
    <m/>
    <x v="0"/>
    <s v=""/>
    <s v="Ready for testing"/>
    <x v="2"/>
    <m/>
    <m/>
    <s v="see 1722"/>
    <m/>
    <m/>
    <m/>
    <m/>
    <m/>
    <s v="No terminology code required"/>
    <m/>
    <m/>
    <s v="WIll be specific to a country, therefore codes would most likely be local?"/>
    <s v="8 (Closed)"/>
    <m/>
    <m/>
    <m/>
    <m/>
    <m/>
    <m/>
    <m/>
    <x v="2"/>
    <s v=""/>
    <x v="3"/>
    <x v="0"/>
    <n v="1"/>
    <n v="0"/>
    <n v="1"/>
    <n v="1"/>
    <n v="1"/>
    <n v="0"/>
    <n v="0"/>
  </r>
  <r>
    <n v="1725"/>
    <s v="Client address state"/>
    <n v="1725"/>
    <s v="Client address state"/>
    <s v="Client address state"/>
    <x v="0"/>
    <n v="20"/>
    <s v=""/>
    <m/>
    <m/>
    <s v="1. Registration-optional"/>
    <x v="0"/>
    <m/>
    <s v="1.6 Validate client details / 1.7 Create client record"/>
    <m/>
    <m/>
    <s v="Client address state"/>
    <s v="Patient.address.state"/>
    <m/>
    <s v="Text"/>
    <m/>
    <m/>
    <m/>
    <m/>
    <m/>
    <m/>
    <m/>
    <m/>
    <m/>
    <m/>
    <m/>
    <m/>
    <m/>
    <m/>
    <m/>
    <m/>
    <x v="117"/>
    <x v="0"/>
    <s v="FHIR"/>
    <s v="4.0.1"/>
    <m/>
    <x v="0"/>
    <s v="NA"/>
    <m/>
    <m/>
    <m/>
    <s v="Client address state"/>
    <s v="Same"/>
    <m/>
    <x v="0"/>
    <s v=""/>
    <s v="Ready for testing"/>
    <x v="2"/>
    <m/>
    <m/>
    <s v="see 1722"/>
    <m/>
    <m/>
    <m/>
    <m/>
    <m/>
    <s v="No terminology code required"/>
    <m/>
    <m/>
    <s v="WIll be specific to a country, therefore codes would most likely be local?"/>
    <s v="8 (Closed)"/>
    <m/>
    <m/>
    <m/>
    <m/>
    <m/>
    <m/>
    <m/>
    <x v="2"/>
    <s v=""/>
    <x v="3"/>
    <x v="0"/>
    <n v="1"/>
    <n v="0"/>
    <n v="1"/>
    <n v="1"/>
    <n v="1"/>
    <n v="0"/>
    <n v="0"/>
  </r>
  <r>
    <n v="1726"/>
    <s v="Client address use"/>
    <n v="1726"/>
    <s v="Client address use"/>
    <s v="Client address use"/>
    <x v="0"/>
    <n v="18"/>
    <s v=""/>
    <m/>
    <m/>
    <s v="1. Registration-optional"/>
    <x v="0"/>
    <m/>
    <s v="1.6 Validate client details / 1.7 Create client record"/>
    <m/>
    <m/>
    <s v="Client address use"/>
    <s v="Patient.address.use"/>
    <m/>
    <m/>
    <m/>
    <m/>
    <m/>
    <m/>
    <m/>
    <m/>
    <m/>
    <m/>
    <m/>
    <m/>
    <m/>
    <m/>
    <m/>
    <m/>
    <m/>
    <m/>
    <x v="118"/>
    <x v="0"/>
    <s v="FHIR"/>
    <s v="4.0.1"/>
    <m/>
    <x v="0"/>
    <s v="NA"/>
    <s v="http://hl7.org/fhir/address-use"/>
    <m/>
    <m/>
    <s v="Client address use"/>
    <s v="Same"/>
    <m/>
    <x v="0"/>
    <s v=""/>
    <s v="Ready for testing"/>
    <x v="2"/>
    <m/>
    <m/>
    <s v="see 1722"/>
    <m/>
    <m/>
    <m/>
    <m/>
    <m/>
    <s v="No terminology code required"/>
    <m/>
    <m/>
    <m/>
    <m/>
    <m/>
    <m/>
    <m/>
    <m/>
    <m/>
    <m/>
    <m/>
    <x v="2"/>
    <s v=""/>
    <x v="3"/>
    <x v="0"/>
    <n v="1"/>
    <n v="1"/>
    <n v="1"/>
    <n v="1"/>
    <n v="1"/>
    <n v="0"/>
    <n v="0"/>
  </r>
  <r>
    <n v="1834"/>
    <s v="Telecom1"/>
    <n v="1834"/>
    <m/>
    <m/>
    <x v="4"/>
    <n v="8"/>
    <s v=""/>
    <m/>
    <m/>
    <m/>
    <x v="0"/>
    <m/>
    <m/>
    <m/>
    <m/>
    <m/>
    <m/>
    <m/>
    <m/>
    <m/>
    <m/>
    <m/>
    <m/>
    <m/>
    <m/>
    <m/>
    <m/>
    <m/>
    <m/>
    <m/>
    <m/>
    <m/>
    <m/>
    <m/>
    <s v="Telecom1"/>
    <x v="119"/>
    <x v="0"/>
    <s v="FHIR"/>
    <s v="4.0.1"/>
    <s v="Patient.telecom.rank = 1"/>
    <x v="0"/>
    <s v="NA"/>
    <m/>
    <m/>
    <m/>
    <s v="Telecom1"/>
    <s v="Same"/>
    <m/>
    <x v="0"/>
    <m/>
    <s v="Ready for testing"/>
    <x v="2"/>
    <m/>
    <m/>
    <m/>
    <m/>
    <m/>
    <m/>
    <m/>
    <m/>
    <s v="No terminology code required"/>
    <m/>
    <m/>
    <m/>
    <m/>
    <m/>
    <m/>
    <m/>
    <m/>
    <m/>
    <m/>
    <m/>
    <x v="2"/>
    <s v=""/>
    <x v="3"/>
    <x v="2"/>
    <n v="1"/>
    <s v=""/>
    <n v="1"/>
    <n v="1"/>
    <n v="1"/>
    <n v="0"/>
    <n v="0"/>
  </r>
  <r>
    <n v="1727"/>
    <s v="Client Telephone number"/>
    <n v="1727"/>
    <s v="Telephone number"/>
    <s v="Telephone number"/>
    <x v="0"/>
    <n v="23"/>
    <s v=""/>
    <m/>
    <m/>
    <s v="1. Registration-optional"/>
    <x v="0"/>
    <m/>
    <s v="1.6 Validate client details / 1.7 Create client record"/>
    <m/>
    <m/>
    <s v="Telephone number"/>
    <m/>
    <m/>
    <s v="Integer"/>
    <m/>
    <m/>
    <m/>
    <s v="Must be a minimum of 'x' number of digits"/>
    <m/>
    <s v="Must be 10 digits and must start with 0."/>
    <m/>
    <m/>
    <m/>
    <m/>
    <m/>
    <m/>
    <m/>
    <m/>
    <m/>
    <m/>
    <x v="120"/>
    <x v="0"/>
    <s v="FHIR"/>
    <s v="4.0.1"/>
    <m/>
    <x v="0"/>
    <s v="JA"/>
    <m/>
    <m/>
    <m/>
    <s v="Client Telephone number"/>
    <s v="Same"/>
    <m/>
    <x v="0"/>
    <s v="&quot;Telephone number&quot;-&gt;&quot;Client Telephone number&quot;"/>
    <s v="Ready for testing"/>
    <x v="0"/>
    <m/>
    <m/>
    <s v="x"/>
    <m/>
    <m/>
    <m/>
    <m/>
    <m/>
    <s v="No terminology code required"/>
    <m/>
    <m/>
    <s v="snomed 184103008"/>
    <m/>
    <m/>
    <m/>
    <s v="concept"/>
    <s v="159635AAAAAAAAAAAAAAAAAAAAAAAAAAAAAA"/>
    <m/>
    <m/>
    <m/>
    <x v="0"/>
    <s v=""/>
    <x v="0"/>
    <x v="0"/>
    <n v="1"/>
    <n v="0"/>
    <n v="1"/>
    <n v="1"/>
    <n v="1"/>
    <n v="0"/>
    <n v="0"/>
  </r>
  <r>
    <n v="1835"/>
    <s v="Telecom2"/>
    <n v="1835"/>
    <m/>
    <m/>
    <x v="4"/>
    <n v="8"/>
    <s v=""/>
    <m/>
    <m/>
    <m/>
    <x v="0"/>
    <m/>
    <m/>
    <m/>
    <m/>
    <m/>
    <m/>
    <m/>
    <m/>
    <m/>
    <m/>
    <m/>
    <m/>
    <m/>
    <m/>
    <m/>
    <m/>
    <m/>
    <m/>
    <m/>
    <m/>
    <m/>
    <m/>
    <m/>
    <s v="Telecom2_x000a_"/>
    <x v="119"/>
    <x v="0"/>
    <s v="FHIR"/>
    <s v="4.0.1"/>
    <s v="Patient.telecom.rank = 2"/>
    <x v="0"/>
    <s v="NA"/>
    <m/>
    <m/>
    <m/>
    <s v="Telecom2"/>
    <s v="Same"/>
    <m/>
    <x v="0"/>
    <m/>
    <s v="Ready for testing"/>
    <x v="2"/>
    <m/>
    <m/>
    <m/>
    <m/>
    <m/>
    <m/>
    <m/>
    <m/>
    <s v="No terminology code required"/>
    <m/>
    <m/>
    <m/>
    <m/>
    <m/>
    <m/>
    <m/>
    <m/>
    <m/>
    <m/>
    <m/>
    <x v="2"/>
    <s v=""/>
    <x v="3"/>
    <x v="2"/>
    <n v="1"/>
    <s v=""/>
    <n v="1"/>
    <n v="1"/>
    <n v="1"/>
    <n v="0"/>
    <n v="0"/>
  </r>
  <r>
    <n v="1728"/>
    <s v="Telephone number -2"/>
    <n v="1728"/>
    <s v="Telephone number -2"/>
    <s v="Telephone number -2"/>
    <x v="0"/>
    <n v="19"/>
    <s v=""/>
    <m/>
    <m/>
    <s v="1. Registration-optional"/>
    <x v="0"/>
    <m/>
    <s v="1.6 Validate client details / 1.7 Create client record"/>
    <m/>
    <m/>
    <s v="Telephone number -2"/>
    <m/>
    <m/>
    <m/>
    <m/>
    <m/>
    <m/>
    <m/>
    <m/>
    <s v="Must be 10 digits and must start with 0."/>
    <m/>
    <m/>
    <m/>
    <m/>
    <m/>
    <m/>
    <m/>
    <m/>
    <m/>
    <s v="Telecom2.value"/>
    <x v="120"/>
    <x v="0"/>
    <s v="FHIR"/>
    <s v="4.0.1"/>
    <m/>
    <x v="0"/>
    <s v="NA"/>
    <m/>
    <m/>
    <m/>
    <s v="Telephone number -2"/>
    <s v="Same"/>
    <m/>
    <x v="0"/>
    <s v=""/>
    <s v="Ready for testing"/>
    <x v="2"/>
    <m/>
    <m/>
    <m/>
    <m/>
    <m/>
    <m/>
    <m/>
    <m/>
    <s v="No terminology code required"/>
    <m/>
    <m/>
    <m/>
    <s v="7 (Closed)"/>
    <m/>
    <s v="159635AAAAAAAAAAAAAAAAAAAAAAAAAAAAAA"/>
    <s v="concept"/>
    <s v="5622AAAAAAAAAAAAAAAAAAAAAAAAAAAAAAAA"/>
    <m/>
    <m/>
    <m/>
    <x v="2"/>
    <s v=""/>
    <x v="3"/>
    <x v="0"/>
    <n v="1"/>
    <n v="0"/>
    <n v="1"/>
    <n v="1"/>
    <n v="1"/>
    <n v="0"/>
    <n v="0"/>
  </r>
  <r>
    <n v="1735"/>
    <s v="Alternate contact name  - Name of next Of Kin "/>
    <n v="1735"/>
    <s v="Alternate contact name _x000a__x000a_Name of next Of Kin "/>
    <s v="Alternate contact name _x000a__x000a_Name of next Of Kin "/>
    <x v="0"/>
    <n v="46"/>
    <s v=""/>
    <m/>
    <m/>
    <s v="1. Registration-optional"/>
    <x v="0"/>
    <m/>
    <s v="1.6 Validate client details / 1.7 Create client record"/>
    <m/>
    <m/>
    <s v="Alternate contact name _x000a__x000a_Name of next Of Kin "/>
    <s v="patient.contact.name"/>
    <s v="Name of an alternate contact or next of kin (e.g. partner, husband, mother, etc)._x000a__x000a_Who can we contact in case need arises?"/>
    <s v="Text"/>
    <m/>
    <m/>
    <s v="Yes"/>
    <s v="No"/>
    <m/>
    <m/>
    <m/>
    <m/>
    <m/>
    <m/>
    <m/>
    <m/>
    <m/>
    <m/>
    <m/>
    <m/>
    <x v="121"/>
    <x v="0"/>
    <s v="FHIR"/>
    <s v="4.0.1"/>
    <m/>
    <x v="0"/>
    <s v="JA"/>
    <m/>
    <m/>
    <m/>
    <s v="Alternate contact name _x000a__x000a_Name of next Of Kin "/>
    <s v="Changed"/>
    <m/>
    <x v="0"/>
    <s v="&quot;Alternate contact name _x000a__x000a_Name of next Of Kin &quot;-&gt;&quot;Alternate contact name  - Name of next Of Kin &quot;"/>
    <s v="Ready for testing"/>
    <x v="0"/>
    <m/>
    <m/>
    <s v="x"/>
    <m/>
    <m/>
    <m/>
    <m/>
    <m/>
    <s v="No terminology code required"/>
    <m/>
    <m/>
    <s v="HL&amp;3.0 NOK"/>
    <m/>
    <m/>
    <s v="NA"/>
    <s v="163258AAAAAAAAAAAAAAAAAAAAAAAAAAAAAA"/>
    <s v="Concept - Name of contact person"/>
    <m/>
    <m/>
    <m/>
    <x v="0"/>
    <s v=""/>
    <x v="0"/>
    <x v="0"/>
    <n v="1"/>
    <n v="0"/>
    <n v="1"/>
    <n v="1"/>
    <n v="1"/>
    <n v="0"/>
    <n v="0"/>
  </r>
  <r>
    <n v="1736"/>
    <s v="Alternate contact phone number - Contact of next of Kin"/>
    <n v="1736"/>
    <s v="Alternate contact phone number_x000a_Contact of next of Kin"/>
    <s v="Alternate contact phone number_x000a_Contact of next of Kin"/>
    <x v="0"/>
    <n v="55"/>
    <s v=""/>
    <m/>
    <m/>
    <s v="1. Registration-optional"/>
    <x v="0"/>
    <m/>
    <s v="1.6 Validate client details / 1.7 Create client record"/>
    <m/>
    <m/>
    <s v="Alternate contact phone number_x000a_Contact of next of Kin"/>
    <s v="patient.contact.telecom"/>
    <s v="Phone number of the alternate contact."/>
    <s v="Integer"/>
    <m/>
    <m/>
    <s v="Yes"/>
    <s v="No_x000a_Must be a minimum of 'x' number of digits"/>
    <m/>
    <m/>
    <m/>
    <m/>
    <m/>
    <m/>
    <m/>
    <m/>
    <m/>
    <m/>
    <m/>
    <m/>
    <x v="122"/>
    <x v="0"/>
    <s v="FHIR"/>
    <s v="4.0.1"/>
    <m/>
    <x v="0"/>
    <s v="JA"/>
    <m/>
    <m/>
    <m/>
    <s v="Alternate contact phone number_x000a_Contact of next of Kin"/>
    <s v="Changed"/>
    <m/>
    <x v="0"/>
    <s v="&quot;Alternate contact phone number_x000a_Contact of next of Kin&quot;-&gt;&quot;Alternate contact phone number - Contact of next of Kin&quot;"/>
    <s v="Ready for testing"/>
    <x v="0"/>
    <m/>
    <m/>
    <m/>
    <m/>
    <m/>
    <m/>
    <m/>
    <m/>
    <s v="No terminology code required"/>
    <m/>
    <m/>
    <m/>
    <m/>
    <m/>
    <s v="Name of contact person - 163258AAAAAAAAAAAAAAAAAAAAAAAAAAAAAA"/>
    <s v="159635AAAAAAAAAAAAAAAAAAAAAAAAAAAAAA"/>
    <s v="Concept - Contact phone number"/>
    <m/>
    <m/>
    <m/>
    <x v="0"/>
    <s v=""/>
    <x v="0"/>
    <x v="0"/>
    <n v="1"/>
    <n v="0"/>
    <n v="1"/>
    <n v="1"/>
    <n v="1"/>
    <n v="0"/>
    <n v="0"/>
  </r>
  <r>
    <n v="1737"/>
    <s v="Alternate contact address"/>
    <n v="1737"/>
    <s v="Alternate contact address"/>
    <s v="Alternate contact address"/>
    <x v="0"/>
    <n v="25"/>
    <s v=""/>
    <m/>
    <m/>
    <s v="1. Registration-optional"/>
    <x v="0"/>
    <m/>
    <s v="1.6 Validate client details / 1.7 Create client record"/>
    <m/>
    <m/>
    <s v="Alternate contact address"/>
    <s v="patient.contact.address"/>
    <m/>
    <s v="Text"/>
    <m/>
    <m/>
    <m/>
    <m/>
    <m/>
    <m/>
    <m/>
    <m/>
    <m/>
    <m/>
    <m/>
    <m/>
    <m/>
    <m/>
    <m/>
    <m/>
    <x v="123"/>
    <x v="0"/>
    <s v="FHIR"/>
    <s v="4.0.1"/>
    <m/>
    <x v="0"/>
    <s v="JA"/>
    <m/>
    <m/>
    <m/>
    <s v="Alternate contact address"/>
    <s v="Same"/>
    <m/>
    <x v="0"/>
    <s v=""/>
    <s v="Ready for testing"/>
    <x v="0"/>
    <m/>
    <m/>
    <m/>
    <m/>
    <m/>
    <m/>
    <m/>
    <m/>
    <s v="No terminology code required"/>
    <m/>
    <m/>
    <m/>
    <m/>
    <m/>
    <m/>
    <m/>
    <m/>
    <m/>
    <m/>
    <m/>
    <x v="0"/>
    <s v=""/>
    <x v="0"/>
    <x v="0"/>
    <n v="1"/>
    <n v="0"/>
    <n v="1"/>
    <n v="1"/>
    <n v="1"/>
    <n v="0"/>
    <n v="0"/>
  </r>
  <r>
    <n v="1738"/>
    <s v="Alternate contact relationship"/>
    <n v="1738"/>
    <s v="Alternate contact relationship"/>
    <s v="Alternate contact relationship"/>
    <x v="0"/>
    <n v="30"/>
    <s v=""/>
    <m/>
    <m/>
    <s v="1. Registration-optional"/>
    <x v="0"/>
    <m/>
    <s v="1.6 Validate client details / 1.7 Create client record"/>
    <m/>
    <m/>
    <s v="Alternate contact relationship"/>
    <m/>
    <m/>
    <s v="Text"/>
    <m/>
    <m/>
    <m/>
    <m/>
    <m/>
    <m/>
    <m/>
    <m/>
    <m/>
    <m/>
    <m/>
    <m/>
    <m/>
    <m/>
    <m/>
    <m/>
    <x v="124"/>
    <x v="0"/>
    <s v="FHIR"/>
    <s v="4.0.1"/>
    <m/>
    <x v="0"/>
    <s v="JA"/>
    <m/>
    <m/>
    <m/>
    <s v="Alternate contact relationship"/>
    <s v="Same"/>
    <m/>
    <x v="0"/>
    <s v=""/>
    <s v="Ready for testing"/>
    <x v="0"/>
    <m/>
    <m/>
    <m/>
    <m/>
    <m/>
    <m/>
    <m/>
    <m/>
    <s v="No terminology code required"/>
    <m/>
    <m/>
    <m/>
    <m/>
    <m/>
    <m/>
    <m/>
    <m/>
    <m/>
    <m/>
    <m/>
    <x v="0"/>
    <s v=""/>
    <x v="0"/>
    <x v="0"/>
    <n v="1"/>
    <n v="0"/>
    <n v="1"/>
    <n v="1"/>
    <n v="1"/>
    <n v="0"/>
    <n v="0"/>
  </r>
  <r>
    <n v="1833"/>
    <s v="Caretaker"/>
    <n v="1833"/>
    <m/>
    <m/>
    <x v="4"/>
    <n v="9"/>
    <s v=""/>
    <m/>
    <m/>
    <m/>
    <x v="0"/>
    <m/>
    <m/>
    <m/>
    <m/>
    <m/>
    <m/>
    <m/>
    <m/>
    <m/>
    <m/>
    <m/>
    <m/>
    <m/>
    <m/>
    <m/>
    <m/>
    <m/>
    <m/>
    <m/>
    <m/>
    <m/>
    <m/>
    <m/>
    <s v="Caretaker"/>
    <x v="125"/>
    <x v="0"/>
    <s v="FHIR"/>
    <s v="4.0.1"/>
    <s v="Patient.contact.relationship = 'T'"/>
    <x v="0"/>
    <s v="NA"/>
    <m/>
    <m/>
    <m/>
    <s v="Caretaker"/>
    <s v="Same"/>
    <m/>
    <x v="0"/>
    <m/>
    <s v="Ready for testing"/>
    <x v="2"/>
    <m/>
    <m/>
    <s v="x"/>
    <m/>
    <m/>
    <m/>
    <m/>
    <m/>
    <s v="No terminology code required"/>
    <m/>
    <m/>
    <s v="lp75420-7"/>
    <m/>
    <m/>
    <m/>
    <m/>
    <m/>
    <m/>
    <m/>
    <m/>
    <x v="2"/>
    <s v=""/>
    <x v="3"/>
    <x v="2"/>
    <n v="1"/>
    <s v=""/>
    <n v="1"/>
    <n v="1"/>
    <n v="1"/>
    <n v="0"/>
    <n v="0"/>
  </r>
  <r>
    <n v="1739"/>
    <s v="Name of caretaker"/>
    <n v="1739"/>
    <s v="Name of caretaker"/>
    <s v="Name of caretaker"/>
    <x v="0"/>
    <n v="17"/>
    <s v=""/>
    <m/>
    <m/>
    <s v="1. Registration-optional"/>
    <x v="0"/>
    <m/>
    <s v="1.6 Validate client details / 1.7 Create client record"/>
    <m/>
    <m/>
    <s v="Name of caretaker"/>
    <m/>
    <s v="If a minor or has a disability, the name (first and family name) of a primary caretaker, if not the client."/>
    <s v="Text"/>
    <m/>
    <m/>
    <m/>
    <m/>
    <s v="Only letters and special character &quot;-&quot;"/>
    <m/>
    <s v="C"/>
    <s v="Include if  client is a dependent."/>
    <m/>
    <m/>
    <m/>
    <m/>
    <m/>
    <m/>
    <m/>
    <s v="Caretaker.name"/>
    <x v="121"/>
    <x v="0"/>
    <s v="FHIR"/>
    <s v="4.0.1"/>
    <m/>
    <x v="0"/>
    <s v="NA"/>
    <m/>
    <m/>
    <m/>
    <s v="Name of caretaker"/>
    <s v="Same"/>
    <m/>
    <x v="0"/>
    <s v=""/>
    <s v="Ready for testing"/>
    <x v="2"/>
    <m/>
    <m/>
    <m/>
    <m/>
    <m/>
    <m/>
    <m/>
    <m/>
    <s v="No terminology code required"/>
    <m/>
    <m/>
    <m/>
    <m/>
    <m/>
    <s v="person_attribute"/>
    <s v="caretaker_name"/>
    <s v="Stored as an OBS (https://github.com/METS-Programme/openmrs-module-aijar/blob/ecbbe10323b86d02a352bf6cd5976f07800e18f1/omod/src/main/webapp/resources/htmlforms/055b-HCTClientCard.xml#L211)"/>
    <m/>
    <m/>
    <m/>
    <x v="2"/>
    <s v=""/>
    <x v="3"/>
    <x v="0"/>
    <n v="1"/>
    <n v="0"/>
    <n v="1"/>
    <n v="1"/>
    <n v="1"/>
    <n v="0"/>
    <n v="0"/>
  </r>
  <r>
    <n v="1740"/>
    <s v="Phone number of caretaker"/>
    <n v="1740"/>
    <s v="Phone number of caretaker"/>
    <s v="Phone number of caretaker"/>
    <x v="0"/>
    <n v="25"/>
    <s v=""/>
    <m/>
    <m/>
    <s v="1. Registration-optional"/>
    <x v="0"/>
    <m/>
    <s v="1.6 Validate client details / 1.7 Create client record"/>
    <m/>
    <m/>
    <s v="Phone number of caretaker"/>
    <m/>
    <s v="The phone number of the caretaker, if not the client.  "/>
    <s v="Integer"/>
    <m/>
    <m/>
    <m/>
    <s v="10 digits total, must start with 0"/>
    <m/>
    <m/>
    <s v="C"/>
    <s v="Include if  client is a dependent."/>
    <m/>
    <m/>
    <m/>
    <m/>
    <m/>
    <m/>
    <m/>
    <s v="Caretaker.telecom.value"/>
    <x v="122"/>
    <x v="0"/>
    <s v="FHIR"/>
    <s v="4.0.1"/>
    <m/>
    <x v="0"/>
    <s v="NA"/>
    <m/>
    <m/>
    <m/>
    <s v="Phone number of caretaker"/>
    <s v="Same"/>
    <m/>
    <x v="0"/>
    <s v=""/>
    <s v="Ready for testing"/>
    <x v="2"/>
    <m/>
    <m/>
    <s v="caregiver plus phone number"/>
    <m/>
    <m/>
    <m/>
    <m/>
    <m/>
    <s v="No terminology code required"/>
    <m/>
    <m/>
    <s v="408400006snomed"/>
    <m/>
    <m/>
    <s v="person_attribute"/>
    <s v="caretaker_phone"/>
    <m/>
    <m/>
    <m/>
    <m/>
    <x v="2"/>
    <s v=""/>
    <x v="3"/>
    <x v="0"/>
    <n v="1"/>
    <n v="0"/>
    <n v="1"/>
    <n v="1"/>
    <n v="1"/>
    <n v="0"/>
    <n v="0"/>
  </r>
  <r>
    <n v="1746"/>
    <s v="Highest level of education achieved"/>
    <n v="1746"/>
    <s v="Highest level of education achieved"/>
    <s v="Highest level of education achieved"/>
    <x v="0"/>
    <n v="35"/>
    <s v=""/>
    <m/>
    <m/>
    <s v="1. Registration-optional"/>
    <x v="0"/>
    <m/>
    <s v="1.6 Validate client details / 1.7 Create client record"/>
    <m/>
    <m/>
    <s v="Highest level of education achieved"/>
    <s v="EducationLevel"/>
    <s v="The highest level of school the client has reached."/>
    <s v="Coding"/>
    <m/>
    <s v="Tertiary education_x000a__x000a__x000a_"/>
    <m/>
    <m/>
    <m/>
    <m/>
    <s v="O"/>
    <m/>
    <m/>
    <m/>
    <m/>
    <m/>
    <m/>
    <m/>
    <m/>
    <s v=" "/>
    <x v="126"/>
    <x v="5"/>
    <s v="Extension Needed"/>
    <s v="4.0.1"/>
    <m/>
    <x v="0"/>
    <s v="JS"/>
    <m/>
    <m/>
    <m/>
    <s v="Highest level of education achieved"/>
    <s v="Same"/>
    <m/>
    <x v="0"/>
    <s v=""/>
    <s v="Ready for testing"/>
    <x v="0"/>
    <m/>
    <m/>
    <s v="x"/>
    <m/>
    <m/>
    <m/>
    <m/>
    <m/>
    <s v="No terminology code required"/>
    <m/>
    <m/>
    <s v="LOINCLL836-8; 80913-7"/>
    <m/>
    <m/>
    <m/>
    <m/>
    <m/>
    <m/>
    <m/>
    <m/>
    <x v="0"/>
    <s v=""/>
    <x v="0"/>
    <x v="0"/>
    <n v="1"/>
    <n v="1"/>
    <n v="0"/>
    <n v="0"/>
    <n v="0"/>
    <n v="0"/>
    <n v="1"/>
  </r>
  <r>
    <n v="1747"/>
    <s v="       High School"/>
    <n v="1747"/>
    <e v="#NAME?"/>
    <s v="High School"/>
    <x v="1"/>
    <n v="18"/>
    <s v="Highest level of education achieved"/>
    <m/>
    <m/>
    <s v="1. Registration-optional"/>
    <x v="0"/>
    <m/>
    <s v="1.6 Validate client details / 1.7 Create client record"/>
    <m/>
    <m/>
    <m/>
    <m/>
    <m/>
    <m/>
    <m/>
    <s v="High School"/>
    <m/>
    <m/>
    <m/>
    <m/>
    <m/>
    <m/>
    <m/>
    <m/>
    <m/>
    <m/>
    <m/>
    <m/>
    <m/>
    <m/>
    <x v="3"/>
    <x v="9"/>
    <m/>
    <m/>
    <m/>
    <x v="2"/>
    <s v="NA"/>
    <m/>
    <m/>
    <m/>
    <s v="       High School"/>
    <s v="Same"/>
    <m/>
    <x v="0"/>
    <e v="#NAME?"/>
    <s v="Ready for testing"/>
    <x v="0"/>
    <s v="http://terminology.hl7.org/CodeSystem/v3-EducationLevel"/>
    <s v="HS"/>
    <s v="x"/>
    <m/>
    <m/>
    <m/>
    <m/>
    <m/>
    <m/>
    <m/>
    <m/>
    <s v="LA12457-0_x000a_"/>
    <m/>
    <m/>
    <m/>
    <m/>
    <m/>
    <m/>
    <m/>
    <m/>
    <x v="2"/>
    <n v="0"/>
    <x v="2"/>
    <x v="0"/>
    <n v="1"/>
    <s v=""/>
    <n v="1"/>
    <n v="1"/>
    <n v="1"/>
    <n v="0"/>
    <n v="0"/>
  </r>
  <r>
    <n v="1748"/>
    <s v="       Elementary education"/>
    <n v="1748"/>
    <e v="#NAME?"/>
    <s v="Elementary education"/>
    <x v="1"/>
    <n v="27"/>
    <s v="Highest level of education achieved"/>
    <m/>
    <m/>
    <s v="1. Registration-optional"/>
    <x v="0"/>
    <m/>
    <s v="1.6 Validate client details / 1.7 Create client record"/>
    <m/>
    <m/>
    <m/>
    <m/>
    <m/>
    <m/>
    <m/>
    <s v="Elementary education"/>
    <m/>
    <m/>
    <m/>
    <m/>
    <m/>
    <m/>
    <m/>
    <m/>
    <m/>
    <m/>
    <m/>
    <m/>
    <m/>
    <m/>
    <x v="3"/>
    <x v="9"/>
    <m/>
    <m/>
    <m/>
    <x v="2"/>
    <s v="NA"/>
    <m/>
    <m/>
    <m/>
    <s v="       Elementary education"/>
    <s v="Same"/>
    <m/>
    <x v="0"/>
    <e v="#NAME?"/>
    <s v="Ready for testing"/>
    <x v="0"/>
    <s v="http://terminology.hl7.org/CodeSystem/v3-EducationLevel"/>
    <s v="ELEM"/>
    <s v="x"/>
    <m/>
    <m/>
    <m/>
    <m/>
    <m/>
    <m/>
    <m/>
    <m/>
    <s v="LA 36-9"/>
    <m/>
    <m/>
    <m/>
    <m/>
    <m/>
    <m/>
    <m/>
    <m/>
    <x v="2"/>
    <n v="0"/>
    <x v="2"/>
    <x v="0"/>
    <n v="1"/>
    <s v=""/>
    <n v="1"/>
    <n v="1"/>
    <n v="1"/>
    <n v="0"/>
    <n v="0"/>
  </r>
  <r>
    <n v="1749"/>
    <s v="       No education"/>
    <n v="1749"/>
    <e v="#NAME?"/>
    <s v="No education"/>
    <x v="1"/>
    <n v="19"/>
    <s v="Highest level of education achieved"/>
    <m/>
    <m/>
    <s v="1. Registration-optional"/>
    <x v="0"/>
    <m/>
    <s v="1.6 Validate client details / 1.7 Create client record"/>
    <m/>
    <m/>
    <m/>
    <m/>
    <m/>
    <m/>
    <m/>
    <s v="No education"/>
    <m/>
    <m/>
    <m/>
    <m/>
    <m/>
    <m/>
    <m/>
    <m/>
    <m/>
    <m/>
    <m/>
    <m/>
    <m/>
    <m/>
    <x v="3"/>
    <x v="9"/>
    <m/>
    <m/>
    <m/>
    <x v="2"/>
    <s v="JA"/>
    <m/>
    <m/>
    <m/>
    <s v="       No education"/>
    <s v="Same"/>
    <m/>
    <x v="0"/>
    <e v="#NAME?"/>
    <s v="Ready for testing"/>
    <x v="0"/>
    <s v="http://who.int/cg/CodeSystem/extended-content"/>
    <s v="NONE"/>
    <s v="x"/>
    <m/>
    <m/>
    <m/>
    <m/>
    <m/>
    <s v="No FHIR valueset code available"/>
    <m/>
    <m/>
    <s v="snomed 224294005"/>
    <m/>
    <m/>
    <m/>
    <m/>
    <m/>
    <m/>
    <m/>
    <m/>
    <x v="2"/>
    <n v="0"/>
    <x v="2"/>
    <x v="0"/>
    <n v="1"/>
    <s v=""/>
    <n v="1"/>
    <n v="1"/>
    <n v="1"/>
    <n v="0"/>
    <n v="0"/>
  </r>
  <r>
    <n v="1750"/>
    <s v="Occupation"/>
    <n v="1750"/>
    <s v="Occupation"/>
    <s v="Occupation"/>
    <x v="0"/>
    <n v="10"/>
    <s v=""/>
    <m/>
    <m/>
    <s v="1. Registration-optional"/>
    <x v="0"/>
    <m/>
    <s v="1.6 Validate client details / 1.7 Create client record"/>
    <m/>
    <m/>
    <s v="Occupation"/>
    <s v="WorkClassificationODH"/>
    <m/>
    <s v="Coding"/>
    <m/>
    <s v="Student"/>
    <m/>
    <m/>
    <m/>
    <m/>
    <s v="O"/>
    <m/>
    <m/>
    <m/>
    <m/>
    <m/>
    <m/>
    <m/>
    <m/>
    <m/>
    <x v="127"/>
    <x v="5"/>
    <s v="Extension Needed"/>
    <s v="4.0.1"/>
    <m/>
    <x v="0"/>
    <s v="JS"/>
    <m/>
    <s v="Extensible"/>
    <m/>
    <s v="Occupation"/>
    <s v="Same"/>
    <m/>
    <x v="0"/>
    <s v=""/>
    <s v="Ready for testing"/>
    <x v="0"/>
    <m/>
    <m/>
    <s v="x"/>
    <m/>
    <m/>
    <s v="14679004"/>
    <m/>
    <m/>
    <m/>
    <m/>
    <m/>
    <s v="job"/>
    <m/>
    <m/>
    <m/>
    <m/>
    <m/>
    <m/>
    <m/>
    <m/>
    <x v="0"/>
    <s v=""/>
    <x v="0"/>
    <x v="0"/>
    <n v="1"/>
    <n v="1"/>
    <n v="0"/>
    <n v="0"/>
    <n v="0"/>
    <n v="0"/>
    <n v="1"/>
  </r>
  <r>
    <n v="1751"/>
    <s v="       Unemployed"/>
    <n v="1751"/>
    <e v="#NAME?"/>
    <s v="Unemployed"/>
    <x v="1"/>
    <n v="17"/>
    <s v="Occupation"/>
    <m/>
    <m/>
    <s v="1. Registration-optional"/>
    <x v="0"/>
    <m/>
    <s v="1.6 Validate client details / 1.7 Create client record"/>
    <m/>
    <m/>
    <m/>
    <m/>
    <m/>
    <m/>
    <m/>
    <s v="Unemployed"/>
    <m/>
    <m/>
    <m/>
    <m/>
    <m/>
    <m/>
    <m/>
    <m/>
    <m/>
    <m/>
    <m/>
    <m/>
    <m/>
    <m/>
    <x v="3"/>
    <x v="0"/>
    <m/>
    <m/>
    <m/>
    <x v="2"/>
    <s v="JS"/>
    <m/>
    <m/>
    <m/>
    <s v="       Unemployed"/>
    <s v="Same"/>
    <m/>
    <x v="0"/>
    <e v="#NAME?"/>
    <s v="Ready for testing"/>
    <x v="0"/>
    <m/>
    <m/>
    <s v="x"/>
    <m/>
    <m/>
    <s v="73438004"/>
    <m/>
    <m/>
    <m/>
    <m/>
    <m/>
    <m/>
    <m/>
    <m/>
    <m/>
    <m/>
    <m/>
    <m/>
    <m/>
    <m/>
    <x v="2"/>
    <n v="0"/>
    <x v="2"/>
    <x v="0"/>
    <n v="1"/>
    <s v=""/>
    <n v="1"/>
    <n v="1"/>
    <n v="1"/>
    <n v="0"/>
    <n v="0"/>
  </r>
  <r>
    <n v="1752"/>
    <s v="       Formal employment"/>
    <n v="1752"/>
    <e v="#NAME?"/>
    <s v="Formal employment"/>
    <x v="1"/>
    <n v="24"/>
    <s v="Occupation"/>
    <m/>
    <m/>
    <s v="1. Registration-optional"/>
    <x v="0"/>
    <m/>
    <s v="1.6 Validate client details / 1.7 Create client record"/>
    <m/>
    <m/>
    <m/>
    <m/>
    <m/>
    <m/>
    <m/>
    <s v="Formal employment"/>
    <m/>
    <m/>
    <m/>
    <m/>
    <m/>
    <m/>
    <m/>
    <m/>
    <m/>
    <m/>
    <m/>
    <m/>
    <m/>
    <m/>
    <x v="3"/>
    <x v="0"/>
    <m/>
    <m/>
    <m/>
    <x v="2"/>
    <s v="JS"/>
    <m/>
    <m/>
    <m/>
    <s v="       Formal employment"/>
    <s v="Same"/>
    <m/>
    <x v="0"/>
    <e v="#NAME?"/>
    <s v="Ready for testing"/>
    <x v="0"/>
    <m/>
    <m/>
    <s v="x"/>
    <m/>
    <m/>
    <s v="224363007"/>
    <m/>
    <m/>
    <m/>
    <m/>
    <m/>
    <m/>
    <m/>
    <m/>
    <m/>
    <m/>
    <m/>
    <m/>
    <m/>
    <m/>
    <x v="2"/>
    <n v="0"/>
    <x v="2"/>
    <x v="0"/>
    <n v="1"/>
    <s v=""/>
    <n v="1"/>
    <n v="1"/>
    <n v="1"/>
    <n v="0"/>
    <n v="0"/>
  </r>
  <r>
    <n v="1753"/>
    <s v="       Informal employment (sex worker)"/>
    <n v="1753"/>
    <e v="#NAME?"/>
    <s v="Informal employment (sex worker)"/>
    <x v="1"/>
    <n v="39"/>
    <s v="Occupation"/>
    <m/>
    <m/>
    <s v="1. Registration-optional"/>
    <x v="0"/>
    <m/>
    <s v="1.6 Validate client details / 1.7 Create client record"/>
    <m/>
    <m/>
    <m/>
    <m/>
    <m/>
    <m/>
    <m/>
    <s v="Informal employment (sex worker)"/>
    <m/>
    <m/>
    <m/>
    <m/>
    <m/>
    <m/>
    <m/>
    <m/>
    <m/>
    <m/>
    <m/>
    <m/>
    <m/>
    <m/>
    <x v="3"/>
    <x v="0"/>
    <m/>
    <m/>
    <m/>
    <x v="2"/>
    <s v="NA"/>
    <m/>
    <m/>
    <m/>
    <s v="       Informal employment (sex worker)"/>
    <s v="Same"/>
    <m/>
    <x v="0"/>
    <e v="#NAME?"/>
    <m/>
    <x v="2"/>
    <s v="http://who.int/cg/CodeSystem/extended-content"/>
    <s v="Sex Worker"/>
    <s v="x"/>
    <m/>
    <m/>
    <m/>
    <m/>
    <m/>
    <s v="No FHIR valueset code available"/>
    <m/>
    <m/>
    <s v="159798008 (prostitute); sex worker 449344001 SNOMED; sex worker (occupation) 449344001"/>
    <m/>
    <m/>
    <m/>
    <m/>
    <m/>
    <m/>
    <m/>
    <m/>
    <x v="2"/>
    <n v="0"/>
    <x v="2"/>
    <x v="0"/>
    <n v="1"/>
    <s v=""/>
    <n v="1"/>
    <n v="1"/>
    <n v="1"/>
    <n v="0"/>
    <n v="0"/>
  </r>
  <r>
    <n v="1754"/>
    <s v="       Other (specify)"/>
    <n v="1754"/>
    <e v="#NAME?"/>
    <s v="Other (specify)"/>
    <x v="1"/>
    <n v="22"/>
    <s v="Occupation"/>
    <m/>
    <m/>
    <s v="1. Registration-optional"/>
    <x v="0"/>
    <m/>
    <s v="1.6 Validate client details / 1.7 Create client record"/>
    <m/>
    <m/>
    <m/>
    <m/>
    <m/>
    <m/>
    <m/>
    <s v="Other (specify)"/>
    <m/>
    <m/>
    <m/>
    <m/>
    <m/>
    <m/>
    <m/>
    <m/>
    <m/>
    <m/>
    <m/>
    <m/>
    <m/>
    <m/>
    <x v="3"/>
    <x v="0"/>
    <m/>
    <m/>
    <m/>
    <x v="2"/>
    <s v="JA"/>
    <m/>
    <m/>
    <m/>
    <s v="       Other (specify)"/>
    <s v="Same"/>
    <m/>
    <x v="0"/>
    <e v="#NAME?"/>
    <s v="Ready for testing"/>
    <x v="0"/>
    <s v="http://who.int/cg/CodeSystem/extended-content"/>
    <s v="Other"/>
    <s v="x"/>
    <m/>
    <m/>
    <m/>
    <m/>
    <m/>
    <m/>
    <m/>
    <m/>
    <m/>
    <m/>
    <m/>
    <m/>
    <m/>
    <m/>
    <m/>
    <m/>
    <m/>
    <x v="2"/>
    <n v="0"/>
    <x v="2"/>
    <x v="0"/>
    <n v="1"/>
    <s v=""/>
    <n v="1"/>
    <n v="1"/>
    <n v="1"/>
    <n v="0"/>
    <n v="0"/>
  </r>
  <r>
    <n v="1755"/>
    <s v="Insurance coverage"/>
    <n v="1755"/>
    <s v="Insurance coverage"/>
    <s v="Insurance coverage"/>
    <x v="0"/>
    <n v="18"/>
    <s v=""/>
    <m/>
    <m/>
    <s v="1. Registration-optional"/>
    <x v="0"/>
    <m/>
    <s v="1.9 Billing "/>
    <m/>
    <m/>
    <s v="Insurance coverage"/>
    <m/>
    <s v="Does the client have insurance coverage?"/>
    <s v="Boolean"/>
    <m/>
    <s v="True/False_x000a_"/>
    <m/>
    <m/>
    <m/>
    <m/>
    <s v="RE"/>
    <m/>
    <m/>
    <m/>
    <m/>
    <m/>
    <m/>
    <m/>
    <m/>
    <m/>
    <x v="128"/>
    <x v="4"/>
    <s v="Extension Needed"/>
    <s v="4.0.1"/>
    <m/>
    <x v="0"/>
    <s v="JA"/>
    <m/>
    <m/>
    <m/>
    <s v="Insurance coverage"/>
    <s v="Same"/>
    <m/>
    <x v="0"/>
    <s v=""/>
    <m/>
    <x v="0"/>
    <m/>
    <m/>
    <s v="x"/>
    <m/>
    <m/>
    <m/>
    <m/>
    <m/>
    <m/>
    <m/>
    <m/>
    <s v="0000031845 CHV;_x000a_63066-5        PhenX - health insurance coverage protocol 011501                        _x000a_ Indent_x000a_63513-6        Are you covered by health insurance or some other kind of health care plan?                        _x000a_ Indent_x000a_63514-4        What"/>
    <m/>
    <m/>
    <m/>
    <m/>
    <m/>
    <m/>
    <m/>
    <m/>
    <x v="0"/>
    <s v=""/>
    <x v="0"/>
    <x v="0"/>
    <n v="1"/>
    <n v="0"/>
    <n v="0"/>
    <n v="0"/>
    <n v="0"/>
    <n v="0"/>
    <n v="1"/>
  </r>
  <r>
    <n v="1756"/>
    <s v="Insurance status"/>
    <n v="1756"/>
    <s v="Insurance status"/>
    <s v="Insurance status"/>
    <x v="0"/>
    <n v="16"/>
    <s v=""/>
    <m/>
    <m/>
    <s v="1. Registration-optional"/>
    <x v="0"/>
    <m/>
    <s v="1.9 Billing "/>
    <m/>
    <m/>
    <s v="Insurance status"/>
    <s v="Coverage.status"/>
    <m/>
    <s v="Coding"/>
    <m/>
    <m/>
    <m/>
    <m/>
    <m/>
    <m/>
    <s v="O"/>
    <m/>
    <m/>
    <m/>
    <m/>
    <m/>
    <m/>
    <m/>
    <m/>
    <m/>
    <x v="129"/>
    <x v="0"/>
    <s v="FHIR"/>
    <s v="4.0.1"/>
    <m/>
    <x v="105"/>
    <s v="JA"/>
    <s v="http://hl7.org/fhir/fm-status"/>
    <m/>
    <m/>
    <s v="Insurance status"/>
    <s v="Same"/>
    <m/>
    <x v="0"/>
    <s v=""/>
    <s v="Ready for testing"/>
    <x v="0"/>
    <m/>
    <m/>
    <s v="x"/>
    <m/>
    <m/>
    <m/>
    <m/>
    <m/>
    <s v="No terminology code required"/>
    <m/>
    <m/>
    <s v="see 1755 "/>
    <m/>
    <m/>
    <m/>
    <m/>
    <m/>
    <m/>
    <m/>
    <m/>
    <x v="19"/>
    <s v=""/>
    <x v="20"/>
    <x v="106"/>
    <n v="1"/>
    <n v="1"/>
    <n v="1"/>
    <n v="1"/>
    <n v="1"/>
    <n v="0"/>
    <n v="0"/>
  </r>
  <r>
    <n v="1757"/>
    <s v="Insurance type "/>
    <n v="1757"/>
    <s v="Insurance type "/>
    <s v="Insurance type "/>
    <x v="0"/>
    <n v="15"/>
    <s v=""/>
    <m/>
    <m/>
    <s v="1. Registration-optional"/>
    <x v="0"/>
    <m/>
    <s v="1.9 Billing "/>
    <m/>
    <m/>
    <s v="Insurance type "/>
    <s v="Coverage.type"/>
    <m/>
    <s v="Coding"/>
    <m/>
    <m/>
    <m/>
    <m/>
    <m/>
    <m/>
    <s v="O"/>
    <m/>
    <m/>
    <m/>
    <m/>
    <m/>
    <m/>
    <m/>
    <m/>
    <m/>
    <x v="130"/>
    <x v="0"/>
    <s v="FHIR"/>
    <s v="4.0.1"/>
    <m/>
    <x v="105"/>
    <s v="JA"/>
    <s v="http://terminology.hl7.org/ValueSet/v3-ActCoverageTypeCode"/>
    <m/>
    <m/>
    <s v="Insurance type "/>
    <s v="Same"/>
    <m/>
    <x v="0"/>
    <s v=""/>
    <s v="Ready for testing"/>
    <x v="0"/>
    <m/>
    <m/>
    <s v="x"/>
    <m/>
    <m/>
    <m/>
    <m/>
    <m/>
    <s v="No terminology code required"/>
    <m/>
    <m/>
    <n v="43356"/>
    <m/>
    <m/>
    <m/>
    <m/>
    <m/>
    <m/>
    <m/>
    <m/>
    <x v="19"/>
    <s v=""/>
    <x v="20"/>
    <x v="106"/>
    <n v="1"/>
    <n v="1"/>
    <n v="1"/>
    <n v="1"/>
    <n v="1"/>
    <n v="0"/>
    <n v="0"/>
  </r>
  <r>
    <n v="1758"/>
    <s v="Insurance ID"/>
    <n v="1758"/>
    <s v="Insurance ID"/>
    <s v="Insurance ID"/>
    <x v="0"/>
    <n v="12"/>
    <s v=""/>
    <m/>
    <m/>
    <s v="1. Registration-optional"/>
    <x v="0"/>
    <m/>
    <s v="1.9 Billing "/>
    <m/>
    <m/>
    <s v="Insurance ID"/>
    <s v="Coverage.subscriberID"/>
    <m/>
    <s v="Integer"/>
    <m/>
    <m/>
    <m/>
    <m/>
    <m/>
    <m/>
    <s v="O"/>
    <m/>
    <m/>
    <m/>
    <m/>
    <s v="Member's ID or plan ID? "/>
    <m/>
    <m/>
    <m/>
    <m/>
    <x v="131"/>
    <x v="0"/>
    <s v="FHIR"/>
    <s v="4.0.1"/>
    <m/>
    <x v="105"/>
    <s v="JA"/>
    <m/>
    <m/>
    <m/>
    <s v="Insurance ID"/>
    <s v="Same"/>
    <m/>
    <x v="0"/>
    <s v=""/>
    <s v="Ready for testing"/>
    <x v="0"/>
    <m/>
    <m/>
    <s v="x"/>
    <m/>
    <m/>
    <m/>
    <m/>
    <m/>
    <s v="No terminology code required"/>
    <m/>
    <m/>
    <n v="72"/>
    <m/>
    <m/>
    <m/>
    <m/>
    <m/>
    <m/>
    <m/>
    <m/>
    <x v="19"/>
    <s v=""/>
    <x v="20"/>
    <x v="106"/>
    <n v="1"/>
    <n v="0"/>
    <n v="1"/>
    <n v="1"/>
    <n v="1"/>
    <n v="0"/>
    <n v="0"/>
  </r>
  <r>
    <n v="1759"/>
    <s v="Payment method"/>
    <n v="1759"/>
    <s v="Payment method"/>
    <s v="Payment method"/>
    <x v="0"/>
    <n v="14"/>
    <s v=""/>
    <m/>
    <m/>
    <s v="1. Registration-optional"/>
    <x v="0"/>
    <m/>
    <s v="1.9 Billing "/>
    <m/>
    <m/>
    <s v="Payment method"/>
    <m/>
    <m/>
    <s v="Coding (Select all that apply"/>
    <m/>
    <s v="Self-pay"/>
    <m/>
    <m/>
    <m/>
    <m/>
    <s v="RE"/>
    <m/>
    <m/>
    <m/>
    <m/>
    <s v="Look up if there's a FHIR LOV here"/>
    <m/>
    <m/>
    <m/>
    <m/>
    <x v="132"/>
    <x v="5"/>
    <s v="Extension Needed"/>
    <s v="4.0.1"/>
    <m/>
    <x v="105"/>
    <s v="JA"/>
    <m/>
    <m/>
    <m/>
    <s v="Payment method"/>
    <s v="Same"/>
    <m/>
    <x v="0"/>
    <s v=""/>
    <m/>
    <x v="0"/>
    <m/>
    <m/>
    <s v="x"/>
    <m/>
    <m/>
    <m/>
    <m/>
    <m/>
    <m/>
    <m/>
    <m/>
    <s v="C93619; pyament sources LOINC code -52556-8; answer list LL544-8 with multiple answer codes"/>
    <m/>
    <m/>
    <m/>
    <m/>
    <m/>
    <m/>
    <m/>
    <m/>
    <x v="19"/>
    <s v=""/>
    <x v="20"/>
    <x v="106"/>
    <n v="1"/>
    <n v="1"/>
    <n v="0"/>
    <n v="0"/>
    <n v="0"/>
    <n v="0"/>
    <n v="1"/>
  </r>
  <r>
    <n v="1760"/>
    <s v="       Government"/>
    <n v="1760"/>
    <e v="#NAME?"/>
    <s v="Government"/>
    <x v="1"/>
    <n v="17"/>
    <s v="Payment method"/>
    <m/>
    <m/>
    <s v="1. Registration-optional"/>
    <x v="0"/>
    <m/>
    <s v="1.9 Billing "/>
    <m/>
    <m/>
    <m/>
    <m/>
    <m/>
    <m/>
    <m/>
    <s v="Government"/>
    <m/>
    <m/>
    <m/>
    <m/>
    <m/>
    <m/>
    <m/>
    <m/>
    <m/>
    <m/>
    <m/>
    <m/>
    <m/>
    <m/>
    <x v="3"/>
    <x v="0"/>
    <s v="Extension Needed"/>
    <s v="4.0.1"/>
    <m/>
    <x v="2"/>
    <s v="JA"/>
    <m/>
    <m/>
    <m/>
    <s v="       Government"/>
    <s v="Same"/>
    <m/>
    <x v="0"/>
    <e v="#NAME?"/>
    <m/>
    <x v="0"/>
    <s v="http://who.int/cg/CodeSystem/extended-content"/>
    <s v="G"/>
    <s v="x"/>
    <m/>
    <m/>
    <m/>
    <m/>
    <m/>
    <m/>
    <m/>
    <m/>
    <s v="use ll544-9"/>
    <m/>
    <m/>
    <m/>
    <m/>
    <m/>
    <m/>
    <m/>
    <m/>
    <x v="2"/>
    <n v="0"/>
    <x v="2"/>
    <x v="106"/>
    <n v="1"/>
    <s v=""/>
    <n v="0"/>
    <n v="0"/>
    <n v="0"/>
    <n v="0"/>
    <n v="1"/>
  </r>
  <r>
    <n v="1761"/>
    <s v="       Insurance"/>
    <n v="1761"/>
    <e v="#NAME?"/>
    <s v="Insurance"/>
    <x v="1"/>
    <n v="16"/>
    <s v="Payment method"/>
    <m/>
    <m/>
    <s v="1. Registration-optional"/>
    <x v="0"/>
    <m/>
    <s v="1.9 Billing "/>
    <m/>
    <m/>
    <m/>
    <m/>
    <m/>
    <m/>
    <m/>
    <s v="Insurance"/>
    <m/>
    <m/>
    <m/>
    <m/>
    <m/>
    <m/>
    <m/>
    <m/>
    <m/>
    <m/>
    <m/>
    <m/>
    <m/>
    <m/>
    <x v="3"/>
    <x v="0"/>
    <s v="Extension Needed"/>
    <s v="4.0.1"/>
    <m/>
    <x v="2"/>
    <s v="JA"/>
    <m/>
    <m/>
    <m/>
    <s v="       Insurance"/>
    <s v="Same"/>
    <m/>
    <x v="0"/>
    <e v="#NAME?"/>
    <m/>
    <x v="0"/>
    <s v="http://who.int/cg/CodeSystem/extended-content"/>
    <s v="I"/>
    <s v="x"/>
    <m/>
    <m/>
    <m/>
    <m/>
    <m/>
    <m/>
    <m/>
    <m/>
    <s v="use ll544-8"/>
    <m/>
    <m/>
    <m/>
    <m/>
    <m/>
    <m/>
    <m/>
    <m/>
    <x v="2"/>
    <n v="0"/>
    <x v="2"/>
    <x v="106"/>
    <n v="1"/>
    <s v=""/>
    <n v="0"/>
    <n v="0"/>
    <n v="0"/>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rofile" cacheId="39" applyNumberFormats="0" applyBorderFormats="0" applyFontFormats="0" applyPatternFormats="0" applyAlignmentFormats="0" applyWidthHeightFormats="0" dataCaption="" updatedVersion="6" rowGrandTotals="0" compact="0" compactData="0">
  <location ref="A4:F187" firstHeaderRow="1" firstDataRow="1" firstDataCol="5"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x="0"/>
        <item h="1" x="1"/>
        <item h="1" x="2"/>
        <item x="3"/>
        <item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axis="axisRow" compact="0" outline="0" multipleItemSelectionAllowed="1" showAll="0" sortType="ascending" defaultSubtotal="0">
      <items count="133">
        <item x="46"/>
        <item x="47"/>
        <item x="2"/>
        <item x="74"/>
        <item x="4"/>
        <item x="56"/>
        <item x="24"/>
        <item x="38"/>
        <item x="41"/>
        <item x="59"/>
        <item x="60"/>
        <item x="42"/>
        <item x="67"/>
        <item x="94"/>
        <item x="98"/>
        <item x="100"/>
        <item x="92"/>
        <item x="95"/>
        <item x="96"/>
        <item x="97"/>
        <item x="45"/>
        <item x="31"/>
        <item x="44"/>
        <item x="57"/>
        <item x="55"/>
        <item x="51"/>
        <item x="37"/>
        <item x="36"/>
        <item x="132"/>
        <item x="129"/>
        <item x="131"/>
        <item x="130"/>
        <item x="18"/>
        <item x="19"/>
        <item x="76"/>
        <item x="16"/>
        <item x="28"/>
        <item x="27"/>
        <item x="110"/>
        <item x="113"/>
        <item x="111"/>
        <item x="102"/>
        <item x="112"/>
        <item x="105"/>
        <item x="103"/>
        <item x="104"/>
        <item x="107"/>
        <item x="108"/>
        <item x="109"/>
        <item x="106"/>
        <item x="88"/>
        <item x="82"/>
        <item x="84"/>
        <item x="86"/>
        <item x="62"/>
        <item x="83"/>
        <item x="87"/>
        <item x="85"/>
        <item x="64"/>
        <item x="65"/>
        <item x="63"/>
        <item x="81"/>
        <item x="66"/>
        <item x="90"/>
        <item x="89"/>
        <item x="80"/>
        <item x="29"/>
        <item x="48"/>
        <item x="21"/>
        <item x="20"/>
        <item x="43"/>
        <item x="61"/>
        <item x="25"/>
        <item x="52"/>
        <item x="54"/>
        <item x="30"/>
        <item x="35"/>
        <item x="40"/>
        <item x="26"/>
        <item x="58"/>
        <item x="17"/>
        <item x="114"/>
        <item x="115"/>
        <item x="11"/>
        <item x="12"/>
        <item x="116"/>
        <item x="117"/>
        <item x="118"/>
        <item x="7"/>
        <item x="15"/>
        <item x="14"/>
        <item x="13"/>
        <item x="125"/>
        <item x="123"/>
        <item x="91"/>
        <item x="93"/>
        <item x="121"/>
        <item x="124"/>
        <item x="122"/>
        <item x="101"/>
        <item x="99"/>
        <item x="126"/>
        <item x="8"/>
        <item x="9"/>
        <item x="6"/>
        <item x="128"/>
        <item x="10"/>
        <item x="1"/>
        <item x="0"/>
        <item x="127"/>
        <item x="119"/>
        <item x="120"/>
        <item x="78"/>
        <item x="39"/>
        <item x="22"/>
        <item x="49"/>
        <item x="34"/>
        <item x="33"/>
        <item x="50"/>
        <item x="23"/>
        <item x="32"/>
        <item x="75"/>
        <item x="68"/>
        <item x="71"/>
        <item x="73"/>
        <item x="79"/>
        <item x="72"/>
        <item x="70"/>
        <item x="77"/>
        <item x="69"/>
        <item x="5"/>
        <item x="53"/>
        <item x="3"/>
      </items>
    </pivotField>
    <pivotField name="HL7 FHIR R4 - Resource Type" axis="axisRow" compact="0" outline="0" multipleItemSelectionAllowed="1" showAll="0" sortType="ascending">
      <items count="14">
        <item x="1"/>
        <item x="9"/>
        <item x="4"/>
        <item x="5"/>
        <item x="2"/>
        <item x="8"/>
        <item x="12"/>
        <item x="3"/>
        <item x="11"/>
        <item x="7"/>
        <item x="6"/>
        <item x="10"/>
        <item x="0"/>
        <item t="default"/>
      </items>
    </pivotField>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axis="axisRow" compact="0" outline="0" multipleItemSelectionAllowed="1" showAll="0" sortType="ascending" defaultSubtotal="0">
      <items count="106">
        <item x="102"/>
        <item x="79"/>
        <item x="65"/>
        <item x="1"/>
        <item x="66"/>
        <item x="16"/>
        <item x="21"/>
        <item x="105"/>
        <item x="13"/>
        <item x="18"/>
        <item x="14"/>
        <item x="74"/>
        <item x="19"/>
        <item x="49"/>
        <item x="7"/>
        <item x="8"/>
        <item x="22"/>
        <item x="39"/>
        <item x="24"/>
        <item x="34"/>
        <item x="37"/>
        <item x="36"/>
        <item x="80"/>
        <item x="52"/>
        <item x="51"/>
        <item x="55"/>
        <item x="28"/>
        <item x="27"/>
        <item x="12"/>
        <item x="9"/>
        <item x="10"/>
        <item x="26"/>
        <item x="31"/>
        <item x="81"/>
        <item x="17"/>
        <item x="33"/>
        <item x="11"/>
        <item x="38"/>
        <item x="72"/>
        <item x="68"/>
        <item x="25"/>
        <item x="0"/>
        <item x="63"/>
        <item x="15"/>
        <item x="20"/>
        <item x="3"/>
        <item x="67"/>
        <item x="62"/>
        <item x="54"/>
        <item x="44"/>
        <item x="48"/>
        <item x="57"/>
        <item x="58"/>
        <item x="41"/>
        <item x="4"/>
        <item x="40"/>
        <item x="35"/>
        <item x="53"/>
        <item x="59"/>
        <item x="42"/>
        <item x="23"/>
        <item x="30"/>
        <item x="32"/>
        <item x="45"/>
        <item x="46"/>
        <item x="47"/>
        <item x="29"/>
        <item x="6"/>
        <item x="64"/>
        <item x="5"/>
        <item x="50"/>
        <item x="56"/>
        <item x="60"/>
        <item x="43"/>
        <item x="61"/>
        <item x="82"/>
        <item x="104"/>
        <item x="96"/>
        <item x="94"/>
        <item x="77"/>
        <item x="100"/>
        <item x="101"/>
        <item x="99"/>
        <item x="78"/>
        <item x="75"/>
        <item x="86"/>
        <item x="89"/>
        <item x="73"/>
        <item x="87"/>
        <item x="95"/>
        <item x="85"/>
        <item x="76"/>
        <item x="83"/>
        <item x="98"/>
        <item x="84"/>
        <item x="71"/>
        <item x="69"/>
        <item x="70"/>
        <item x="90"/>
        <item x="92"/>
        <item x="97"/>
        <item x="91"/>
        <item x="103"/>
        <item x="88"/>
        <item x="93"/>
        <item x="2"/>
      </items>
    </pivotField>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axis="axisRow" compact="0" outline="0" multipleItemSelectionAllowed="1" showAll="0" sortType="ascending" defaultSubtotal="0">
      <items count="3">
        <item x="0"/>
        <item x="1"/>
        <item x="2"/>
      </items>
    </pivotField>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compact="0" outline="0" multipleItemSelectionAllowed="1" showAll="0"/>
    <pivotField name="ICD-11" compact="0" numFmtId="49" outline="0" multipleItemSelectionAllowed="1" showAll="0"/>
    <pivotField name="SNOMED-CT" compact="0" numFmtId="49" outline="0" multipleItemSelectionAllowed="1" showAll="0"/>
    <pivotField name="LOINC" compact="0" numFmtId="49" outline="0" multipleItemSelectionAllowed="1" showAll="0"/>
    <pivotField name="RxNorm"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axis="axisRow" compact="0" outline="0" multipleItemSelectionAllowed="1" showAll="0" sortType="ascending" defaultSubtotal="0">
      <items count="20">
        <item x="2"/>
        <item x="14"/>
        <item x="1"/>
        <item x="9"/>
        <item x="18"/>
        <item x="11"/>
        <item x="12"/>
        <item x="19"/>
        <item x="6"/>
        <item x="4"/>
        <item x="10"/>
        <item x="16"/>
        <item x="17"/>
        <item x="7"/>
        <item x="5"/>
        <item x="0"/>
        <item x="13"/>
        <item x="8"/>
        <item x="3"/>
        <item x="15"/>
      </items>
    </pivotField>
    <pivotField name="Data Element Base Resource" compact="0" outline="0" multipleItemSelectionAllowed="1" showAll="0"/>
    <pivotField name="Base or DE Resource" compact="0" outline="0" multipleItemSelectionAllowed="1" showAll="0"/>
    <pivotField name="Base or DE Profile" compact="0" outline="0" multipleItemSelectionAllowed="1" showAll="0"/>
    <pivotField name="Total" dataField="1"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5">
    <field x="73"/>
    <field x="41"/>
    <field x="49"/>
    <field x="36"/>
    <field x="37"/>
  </rowFields>
  <rowItems count="183">
    <i>
      <x v="1"/>
      <x/>
      <x/>
      <x/>
      <x v="12"/>
    </i>
    <i r="1">
      <x v="1"/>
      <x/>
      <x/>
      <x v="12"/>
    </i>
    <i r="3">
      <x v="1"/>
      <x v="12"/>
    </i>
    <i>
      <x v="2"/>
      <x v="2"/>
      <x/>
      <x v="4"/>
      <x v="12"/>
    </i>
    <i r="1">
      <x v="3"/>
      <x/>
      <x v="2"/>
      <x v="12"/>
    </i>
    <i r="3">
      <x v="4"/>
      <x v="12"/>
    </i>
    <i>
      <x v="3"/>
      <x v="4"/>
      <x/>
      <x v="8"/>
      <x v="12"/>
    </i>
    <i r="3">
      <x v="11"/>
      <x v="11"/>
    </i>
    <i r="1">
      <x v="5"/>
      <x/>
      <x v="6"/>
      <x v="12"/>
    </i>
    <i r="1">
      <x v="6"/>
      <x/>
      <x v="6"/>
      <x v="12"/>
    </i>
    <i r="1">
      <x v="46"/>
      <x v="1"/>
      <x v="6"/>
      <x v="12"/>
    </i>
    <i r="1">
      <x v="47"/>
      <x v="1"/>
      <x v="6"/>
      <x v="12"/>
    </i>
    <i r="3">
      <x v="7"/>
      <x v="12"/>
    </i>
    <i r="1">
      <x v="48"/>
      <x v="1"/>
      <x v="6"/>
      <x v="12"/>
    </i>
    <i r="1">
      <x v="49"/>
      <x v="1"/>
      <x v="6"/>
      <x v="12"/>
    </i>
    <i r="1">
      <x v="75"/>
      <x v="2"/>
      <x v="5"/>
      <x v="4"/>
    </i>
    <i r="3">
      <x v="6"/>
      <x v="12"/>
    </i>
    <i r="3">
      <x v="9"/>
      <x v="4"/>
    </i>
    <i r="3">
      <x v="10"/>
      <x v="4"/>
    </i>
    <i r="3">
      <x v="12"/>
      <x v="12"/>
    </i>
    <i>
      <x v="4"/>
      <x v="76"/>
      <x v="2"/>
      <x v="13"/>
      <x v="12"/>
    </i>
    <i r="3">
      <x v="14"/>
      <x v="12"/>
    </i>
    <i r="3">
      <x v="16"/>
      <x v="12"/>
    </i>
    <i r="3">
      <x v="17"/>
      <x v="12"/>
    </i>
    <i r="3">
      <x v="18"/>
      <x v="12"/>
    </i>
    <i r="3">
      <x v="19"/>
      <x v="12"/>
    </i>
    <i>
      <x v="5"/>
      <x v="50"/>
      <x v="1"/>
      <x v="21"/>
      <x v="12"/>
    </i>
    <i r="1">
      <x v="77"/>
      <x v="2"/>
      <x v="21"/>
      <x v="12"/>
    </i>
    <i r="3">
      <x v="22"/>
      <x v="12"/>
    </i>
    <i r="3">
      <x v="23"/>
      <x/>
    </i>
    <i r="1">
      <x v="78"/>
      <x v="2"/>
      <x v="21"/>
      <x v="12"/>
    </i>
    <i r="3">
      <x v="24"/>
      <x v="5"/>
    </i>
    <i r="1">
      <x v="79"/>
      <x v="2"/>
      <x v="20"/>
      <x v="12"/>
    </i>
    <i r="3">
      <x v="21"/>
      <x v="12"/>
    </i>
    <i r="3">
      <x v="22"/>
      <x v="12"/>
    </i>
    <i r="3">
      <x v="25"/>
      <x v="3"/>
    </i>
    <i>
      <x v="6"/>
      <x v="51"/>
      <x v="1"/>
      <x v="27"/>
      <x v="12"/>
    </i>
    <i>
      <x v="7"/>
      <x v="7"/>
      <x/>
      <x v="28"/>
      <x v="3"/>
    </i>
    <i r="3">
      <x v="29"/>
      <x v="12"/>
    </i>
    <i r="3">
      <x v="30"/>
      <x v="12"/>
    </i>
    <i r="3">
      <x v="31"/>
      <x v="12"/>
    </i>
    <i>
      <x v="8"/>
      <x v="8"/>
      <x/>
      <x v="32"/>
      <x v="12"/>
    </i>
    <i r="3">
      <x v="33"/>
      <x v="5"/>
    </i>
    <i r="1">
      <x v="9"/>
      <x/>
      <x v="32"/>
      <x v="12"/>
    </i>
    <i r="1">
      <x v="52"/>
      <x v="1"/>
      <x v="32"/>
      <x v="12"/>
    </i>
    <i r="1">
      <x v="53"/>
      <x v="1"/>
      <x v="32"/>
      <x v="12"/>
    </i>
    <i>
      <x v="9"/>
      <x v="54"/>
      <x v="1"/>
      <x v="35"/>
      <x v="12"/>
    </i>
    <i r="3">
      <x v="36"/>
      <x v="12"/>
    </i>
    <i r="1">
      <x v="55"/>
      <x v="1"/>
      <x v="35"/>
      <x v="12"/>
    </i>
    <i>
      <x v="10"/>
      <x v="56"/>
      <x v="1"/>
      <x v="37"/>
      <x v="12"/>
    </i>
    <i>
      <x v="11"/>
      <x v="80"/>
      <x v="2"/>
      <x v="54"/>
      <x v="12"/>
    </i>
    <i r="3">
      <x v="58"/>
      <x v="4"/>
    </i>
    <i>
      <x v="12"/>
      <x v="81"/>
      <x v="2"/>
      <x v="59"/>
      <x v="12"/>
    </i>
    <i r="3">
      <x v="60"/>
      <x v="12"/>
    </i>
    <i r="3">
      <x v="62"/>
      <x v="5"/>
    </i>
    <i>
      <x v="13"/>
      <x v="10"/>
      <x/>
      <x v="68"/>
      <x v="5"/>
    </i>
    <i r="3">
      <x v="69"/>
      <x v="4"/>
    </i>
    <i r="1">
      <x v="11"/>
      <x/>
      <x v="67"/>
      <x v="12"/>
    </i>
    <i r="3">
      <x v="68"/>
      <x v="5"/>
    </i>
    <i r="3">
      <x v="69"/>
      <x v="4"/>
    </i>
    <i r="3">
      <x v="70"/>
      <x v="10"/>
    </i>
    <i r="1">
      <x v="12"/>
      <x/>
      <x v="69"/>
      <x v="4"/>
    </i>
    <i r="1">
      <x v="57"/>
      <x v="1"/>
      <x v="69"/>
      <x v="4"/>
    </i>
    <i r="1">
      <x v="58"/>
      <x v="1"/>
      <x v="69"/>
      <x v="4"/>
    </i>
    <i r="1">
      <x v="59"/>
      <x v="1"/>
      <x v="69"/>
      <x v="4"/>
    </i>
    <i r="1">
      <x v="82"/>
      <x v="2"/>
      <x v="69"/>
      <x v="4"/>
    </i>
    <i r="3">
      <x v="71"/>
      <x v="3"/>
    </i>
    <i r="1">
      <x v="83"/>
      <x v="2"/>
      <x v="69"/>
      <x v="4"/>
    </i>
    <i r="3">
      <x v="70"/>
      <x v="10"/>
    </i>
    <i>
      <x v="14"/>
      <x v="13"/>
      <x/>
      <x v="80"/>
      <x v="9"/>
    </i>
    <i r="1">
      <x v="14"/>
      <x/>
      <x v="80"/>
      <x v="9"/>
    </i>
    <i r="1">
      <x v="15"/>
      <x/>
      <x v="80"/>
      <x v="9"/>
    </i>
    <i r="1">
      <x v="16"/>
      <x/>
      <x v="80"/>
      <x v="2"/>
    </i>
    <i r="1">
      <x v="17"/>
      <x/>
      <x v="72"/>
      <x v="12"/>
    </i>
    <i r="1">
      <x v="18"/>
      <x/>
      <x v="80"/>
      <x v="5"/>
    </i>
    <i r="1">
      <x v="19"/>
      <x/>
      <x v="80"/>
      <x v="5"/>
    </i>
    <i r="1">
      <x v="20"/>
      <x/>
      <x v="80"/>
      <x v="4"/>
    </i>
    <i r="1">
      <x v="21"/>
      <x/>
      <x v="80"/>
      <x v="2"/>
    </i>
    <i r="1">
      <x v="22"/>
      <x/>
      <x v="75"/>
      <x v="5"/>
    </i>
    <i r="1">
      <x v="23"/>
      <x/>
      <x v="80"/>
      <x v="4"/>
    </i>
    <i r="1">
      <x v="24"/>
      <x/>
      <x v="80"/>
      <x v="4"/>
    </i>
    <i r="1">
      <x v="25"/>
      <x/>
      <x v="75"/>
      <x v="5"/>
    </i>
    <i r="3">
      <x v="76"/>
      <x v="4"/>
    </i>
    <i r="3">
      <x v="80"/>
      <x v="4"/>
    </i>
    <i r="1">
      <x v="26"/>
      <x/>
      <x v="80"/>
      <x v="5"/>
    </i>
    <i r="1">
      <x v="27"/>
      <x/>
      <x v="72"/>
      <x v="12"/>
    </i>
    <i r="3">
      <x v="78"/>
      <x v="4"/>
    </i>
    <i r="3">
      <x v="80"/>
      <x v="5"/>
    </i>
    <i r="1">
      <x v="28"/>
      <x/>
      <x v="80"/>
      <x v="2"/>
    </i>
    <i r="1">
      <x v="29"/>
      <x/>
      <x v="80"/>
      <x v="7"/>
    </i>
    <i r="1">
      <x v="30"/>
      <x/>
      <x v="80"/>
      <x v="7"/>
    </i>
    <i r="1">
      <x v="31"/>
      <x/>
      <x v="80"/>
      <x v="2"/>
    </i>
    <i r="1">
      <x v="32"/>
      <x/>
      <x v="80"/>
      <x v="4"/>
    </i>
    <i r="1">
      <x v="33"/>
      <x/>
      <x v="80"/>
      <x v="4"/>
    </i>
    <i r="1">
      <x v="34"/>
      <x/>
      <x v="80"/>
      <x v="4"/>
    </i>
    <i r="1">
      <x v="35"/>
      <x/>
      <x v="80"/>
      <x v="2"/>
    </i>
    <i r="1">
      <x v="36"/>
      <x/>
      <x v="80"/>
      <x v="2"/>
    </i>
    <i r="1">
      <x v="37"/>
      <x/>
      <x v="80"/>
      <x v="2"/>
    </i>
    <i r="1">
      <x v="38"/>
      <x/>
      <x v="80"/>
      <x v="4"/>
    </i>
    <i r="1">
      <x v="39"/>
      <x/>
      <x v="80"/>
      <x v="9"/>
    </i>
    <i r="1">
      <x v="40"/>
      <x/>
      <x v="80"/>
      <x v="9"/>
    </i>
    <i r="1">
      <x v="60"/>
      <x v="1"/>
      <x v="80"/>
      <x v="4"/>
    </i>
    <i r="1">
      <x v="61"/>
      <x v="1"/>
      <x v="80"/>
      <x v="7"/>
    </i>
    <i r="1">
      <x v="62"/>
      <x v="1"/>
      <x v="80"/>
      <x v="2"/>
    </i>
    <i r="1">
      <x v="63"/>
      <x v="1"/>
      <x v="80"/>
      <x v="7"/>
    </i>
    <i r="1">
      <x v="64"/>
      <x v="1"/>
      <x v="80"/>
      <x v="7"/>
    </i>
    <i r="1">
      <x v="65"/>
      <x v="1"/>
      <x v="72"/>
      <x v="12"/>
    </i>
    <i r="1">
      <x v="66"/>
      <x v="1"/>
      <x v="80"/>
      <x v="2"/>
    </i>
    <i r="1">
      <x v="67"/>
      <x v="1"/>
      <x v="80"/>
      <x v="4"/>
    </i>
    <i r="1">
      <x v="68"/>
      <x v="1"/>
      <x v="80"/>
      <x v="4"/>
    </i>
    <i r="1">
      <x v="69"/>
      <x v="1"/>
      <x v="80"/>
      <x v="4"/>
    </i>
    <i r="4">
      <x v="10"/>
    </i>
    <i r="1">
      <x v="70"/>
      <x v="1"/>
      <x v="80"/>
      <x v="4"/>
    </i>
    <i r="1">
      <x v="71"/>
      <x v="1"/>
      <x v="80"/>
      <x v="4"/>
    </i>
    <i r="1">
      <x v="84"/>
      <x v="2"/>
      <x v="80"/>
      <x v="2"/>
    </i>
    <i r="1">
      <x v="85"/>
      <x v="2"/>
      <x v="80"/>
      <x v="2"/>
    </i>
    <i r="1">
      <x v="86"/>
      <x v="2"/>
      <x v="80"/>
      <x v="4"/>
    </i>
    <i r="4">
      <x v="10"/>
    </i>
    <i r="1">
      <x v="87"/>
      <x v="2"/>
      <x v="80"/>
      <x v="2"/>
    </i>
    <i r="1">
      <x v="88"/>
      <x v="2"/>
      <x v="80"/>
      <x v="2"/>
    </i>
    <i r="1">
      <x v="89"/>
      <x v="2"/>
      <x v="80"/>
      <x v="4"/>
    </i>
    <i r="1">
      <x v="90"/>
      <x v="2"/>
      <x v="80"/>
      <x v="2"/>
    </i>
    <i r="1">
      <x v="91"/>
      <x v="2"/>
      <x v="80"/>
      <x v="2"/>
    </i>
    <i r="4">
      <x v="5"/>
    </i>
    <i r="1">
      <x v="92"/>
      <x v="2"/>
      <x v="80"/>
      <x v="2"/>
    </i>
    <i r="1">
      <x v="93"/>
      <x v="2"/>
      <x v="80"/>
      <x v="4"/>
    </i>
    <i r="1">
      <x v="94"/>
      <x v="2"/>
      <x v="80"/>
      <x v="4"/>
    </i>
    <i r="4">
      <x v="10"/>
    </i>
    <i r="1">
      <x v="95"/>
      <x v="2"/>
      <x v="80"/>
      <x v="2"/>
    </i>
    <i r="1">
      <x v="96"/>
      <x v="2"/>
      <x v="72"/>
      <x v="12"/>
    </i>
    <i r="1">
      <x v="97"/>
      <x v="2"/>
      <x v="72"/>
      <x v="12"/>
    </i>
    <i r="1">
      <x v="98"/>
      <x v="2"/>
      <x v="80"/>
      <x v="4"/>
    </i>
    <i r="4">
      <x v="10"/>
    </i>
    <i r="1">
      <x v="99"/>
      <x v="2"/>
      <x v="72"/>
      <x v="12"/>
    </i>
    <i r="3">
      <x v="73"/>
      <x v="12"/>
    </i>
    <i r="3">
      <x v="74"/>
      <x/>
    </i>
    <i r="3">
      <x v="75"/>
      <x v="5"/>
    </i>
    <i r="3">
      <x v="79"/>
      <x v="12"/>
    </i>
    <i r="3">
      <x v="80"/>
      <x v="4"/>
    </i>
    <i r="1">
      <x v="100"/>
      <x v="2"/>
      <x v="80"/>
      <x v="4"/>
    </i>
    <i r="1">
      <x v="101"/>
      <x v="2"/>
      <x v="80"/>
      <x v="2"/>
    </i>
    <i>
      <x v="15"/>
      <x v="41"/>
      <x/>
      <x v="83"/>
      <x v="12"/>
    </i>
    <i r="3">
      <x v="84"/>
      <x v="12"/>
    </i>
    <i r="3">
      <x v="88"/>
      <x v="12"/>
    </i>
    <i r="3">
      <x v="89"/>
      <x v="3"/>
    </i>
    <i r="3">
      <x v="90"/>
      <x v="2"/>
    </i>
    <i r="3">
      <x v="91"/>
      <x v="2"/>
    </i>
    <i r="3">
      <x v="93"/>
      <x v="12"/>
    </i>
    <i r="3">
      <x v="96"/>
      <x v="12"/>
    </i>
    <i r="3">
      <x v="97"/>
      <x v="12"/>
    </i>
    <i r="3">
      <x v="98"/>
      <x v="12"/>
    </i>
    <i r="3">
      <x v="101"/>
      <x v="3"/>
    </i>
    <i r="3">
      <x v="102"/>
      <x v="7"/>
    </i>
    <i r="3">
      <x v="103"/>
      <x v="12"/>
    </i>
    <i r="3">
      <x v="104"/>
      <x v="12"/>
    </i>
    <i r="3">
      <x v="105"/>
      <x v="2"/>
    </i>
    <i r="3">
      <x v="106"/>
      <x v="12"/>
    </i>
    <i r="3">
      <x v="107"/>
      <x v="12"/>
    </i>
    <i r="3">
      <x v="108"/>
      <x v="12"/>
    </i>
    <i r="3">
      <x v="109"/>
      <x v="3"/>
    </i>
    <i r="3">
      <x v="111"/>
      <x v="12"/>
    </i>
    <i r="1">
      <x v="102"/>
      <x v="2"/>
      <x v="94"/>
      <x v="2"/>
    </i>
    <i r="3">
      <x v="95"/>
      <x v="2"/>
    </i>
    <i>
      <x v="16"/>
      <x v="42"/>
      <x/>
      <x v="112"/>
      <x v="12"/>
    </i>
    <i r="3">
      <x v="113"/>
      <x v="12"/>
    </i>
    <i>
      <x v="17"/>
      <x v="43"/>
      <x/>
      <x v="114"/>
      <x v="12"/>
    </i>
    <i r="3">
      <x v="119"/>
      <x v="5"/>
    </i>
    <i r="1">
      <x v="44"/>
      <x/>
      <x v="114"/>
      <x v="12"/>
    </i>
    <i r="1">
      <x v="72"/>
      <x v="1"/>
      <x v="114"/>
      <x v="12"/>
    </i>
    <i r="1">
      <x v="73"/>
      <x v="1"/>
      <x v="114"/>
      <x v="12"/>
    </i>
    <i r="1">
      <x v="74"/>
      <x v="1"/>
      <x v="114"/>
      <x v="12"/>
    </i>
    <i r="3">
      <x v="120"/>
      <x v="12"/>
    </i>
    <i r="1">
      <x v="103"/>
      <x v="2"/>
      <x v="114"/>
      <x v="12"/>
    </i>
    <i r="3">
      <x v="115"/>
      <x v="12"/>
    </i>
    <i r="3">
      <x v="117"/>
      <x v="12"/>
    </i>
    <i r="3">
      <x v="118"/>
      <x v="12"/>
    </i>
    <i>
      <x v="18"/>
      <x v="45"/>
      <x/>
      <x v="121"/>
      <x v="12"/>
    </i>
    <i r="3">
      <x v="122"/>
      <x v="12"/>
    </i>
    <i r="3">
      <x v="123"/>
      <x v="12"/>
    </i>
    <i r="3">
      <x v="124"/>
      <x v="12"/>
    </i>
    <i r="3">
      <x v="126"/>
      <x v="5"/>
    </i>
    <i r="3">
      <x v="130"/>
      <x v="4"/>
    </i>
    <i>
      <x v="19"/>
      <x v="104"/>
      <x v="2"/>
      <x v="131"/>
      <x v="12"/>
    </i>
  </rowItems>
  <colItems count="1">
    <i/>
  </colItems>
  <pageFields count="2">
    <pageField fld="5" hier="0"/>
    <pageField fld="52" hier="0"/>
  </pageFields>
  <dataFields count="1">
    <dataField name="SUM of Total" fld="77"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Status Tracking " cacheId="39" applyNumberFormats="0" applyBorderFormats="0" applyFontFormats="0" applyPatternFormats="0" applyAlignmentFormats="0" applyWidthHeightFormats="0" dataCaption="" updatedVersion="6" compact="0" compactData="0">
  <location ref="A25:G48" firstHeaderRow="1" firstDataRow="2" firstDataCol="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compact="0" outline="0" multipleItemSelectionAllowed="1" showAll="0"/>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axis="axisRow" compact="0" outline="0" multipleItemSelectionAllowed="1" showAll="0" sortType="ascending">
      <items count="22">
        <item x="8"/>
        <item x="0"/>
        <item x="18"/>
        <item x="20"/>
        <item x="5"/>
        <item x="14"/>
        <item x="3"/>
        <item x="12"/>
        <item x="11"/>
        <item x="16"/>
        <item x="17"/>
        <item x="13"/>
        <item x="10"/>
        <item x="6"/>
        <item x="2"/>
        <item x="1"/>
        <item x="7"/>
        <item x="15"/>
        <item x="19"/>
        <item x="4"/>
        <item x="9"/>
        <item t="default"/>
      </items>
    </pivotField>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compact="0" outline="0" multipleItemSelectionAllowed="1" showAll="0"/>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compact="0" outline="0" multipleItemSelectionAllowed="1" showAll="0"/>
    <pivotField name="ICD-11" compact="0" numFmtId="49" outline="0" multipleItemSelectionAllowed="1" showAll="0"/>
    <pivotField name="SNOMED-CT" compact="0" numFmtId="49" outline="0" multipleItemSelectionAllowed="1" showAll="0"/>
    <pivotField name="LOINC" compact="0" numFmtId="49" outline="0" multipleItemSelectionAllowed="1" showAll="0"/>
    <pivotField name="RxNorm"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compact="0" outline="0" multipleItemSelectionAllowed="1" showAll="0"/>
    <pivotField name="Base or DE Profile" compact="0" outline="0" multipleItemSelectionAllowed="1" showAll="0"/>
    <pivotField name="Total" dataField="1" compact="0" outline="0" multipleItemSelectionAllowed="1" showAll="0"/>
    <pivotField name="Has Input Options" compact="0" outline="0" multipleItemSelectionAllowed="1" showAll="0"/>
    <pivotField name="Completed" dataField="1" compact="0" outline="0" multipleItemSelectionAllowed="1" showAll="0"/>
    <pivotField name="FHIR Mapping Completed" dataField="1" compact="0" outline="0" multipleItemSelectionAllowed="1" showAll="0"/>
    <pivotField name="Terminology Mapping Completed" dataField="1" compact="0" outline="0" multipleItemSelectionAllowed="1" showAll="0"/>
    <pivotField name="Open" dataField="1" compact="0" outline="0" multipleItemSelectionAllowed="1" showAll="0"/>
    <pivotField name="Extension Needed" dataField="1" compact="0" outline="0" multipleItemSelectionAllowed="1" showAll="0"/>
  </pivotFields>
  <rowFields count="1">
    <field x="11"/>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6">
    <i>
      <x/>
    </i>
    <i i="1">
      <x v="1"/>
    </i>
    <i i="2">
      <x v="2"/>
    </i>
    <i i="3">
      <x v="3"/>
    </i>
    <i i="4">
      <x v="4"/>
    </i>
    <i i="5">
      <x v="5"/>
    </i>
  </colItems>
  <dataFields count="6">
    <dataField name="Entirely Completed" fld="79" baseField="0"/>
    <dataField name="FHIR Mapping Completed" fld="80" baseField="0"/>
    <dataField name="Terminology Mapping Completed" fld="81" baseField="0"/>
    <dataField name="Open" fld="82" baseField="0"/>
    <dataField name="Extension Needed" fld="83" baseField="0"/>
    <dataField name="Total" fld="77"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erminology Prioritization Info 2" cacheId="39" applyNumberFormats="0" applyBorderFormats="0" applyFontFormats="0" applyPatternFormats="0" applyAlignmentFormats="0" applyWidthHeightFormats="0" dataCaption="" updatedVersion="6" compact="0" compactData="0">
  <location ref="A48:E93" firstHeaderRow="1" firstDataRow="2" firstDataCol="1"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h="1" x="0"/>
        <item x="1"/>
        <item h="1" x="2"/>
        <item h="1" x="3"/>
        <item h="1"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dataField="1" compact="0" outline="0" multipleItemSelectionAllowed="1" showAll="0"/>
    <pivotField name="ICD-11" compact="0" numFmtId="49" outline="0" multipleItemSelectionAllowed="1" showAll="0"/>
    <pivotField name="SNOMED-CT" dataField="1" compact="0" numFmtId="49" outline="0" multipleItemSelectionAllowed="1" showAll="0"/>
    <pivotField name="LOINC" dataField="1" compact="0" numFmtId="49" outline="0" multipleItemSelectionAllowed="1" showAll="0"/>
    <pivotField name="RxNorm" dataField="1"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compact="0" outline="0" multipleItemSelectionAllowed="1" showAll="0"/>
    <pivotField name="Base or DE Profile" axis="axisRow" compact="0" outline="0" multipleItemSelectionAllowed="1" showAll="0" sortType="ascending">
      <items count="108">
        <item x="12"/>
        <item x="2"/>
        <item x="103"/>
        <item x="80"/>
        <item x="66"/>
        <item x="1"/>
        <item x="67"/>
        <item x="17"/>
        <item x="22"/>
        <item x="106"/>
        <item x="14"/>
        <item x="19"/>
        <item x="15"/>
        <item x="75"/>
        <item x="20"/>
        <item x="50"/>
        <item x="7"/>
        <item x="8"/>
        <item x="23"/>
        <item x="40"/>
        <item x="25"/>
        <item x="35"/>
        <item x="38"/>
        <item x="37"/>
        <item x="81"/>
        <item x="53"/>
        <item x="52"/>
        <item x="56"/>
        <item x="29"/>
        <item x="28"/>
        <item x="13"/>
        <item x="9"/>
        <item x="10"/>
        <item x="27"/>
        <item x="32"/>
        <item x="82"/>
        <item x="18"/>
        <item x="34"/>
        <item x="11"/>
        <item x="39"/>
        <item x="73"/>
        <item x="69"/>
        <item x="26"/>
        <item x="0"/>
        <item x="64"/>
        <item x="16"/>
        <item x="21"/>
        <item x="3"/>
        <item x="68"/>
        <item x="63"/>
        <item x="55"/>
        <item x="45"/>
        <item x="49"/>
        <item x="58"/>
        <item x="59"/>
        <item x="42"/>
        <item x="4"/>
        <item x="41"/>
        <item x="36"/>
        <item x="54"/>
        <item x="60"/>
        <item x="43"/>
        <item x="24"/>
        <item x="31"/>
        <item x="33"/>
        <item x="46"/>
        <item x="47"/>
        <item x="48"/>
        <item x="30"/>
        <item x="6"/>
        <item x="65"/>
        <item x="5"/>
        <item x="51"/>
        <item x="57"/>
        <item x="61"/>
        <item x="44"/>
        <item x="62"/>
        <item x="83"/>
        <item x="105"/>
        <item x="97"/>
        <item x="95"/>
        <item x="78"/>
        <item x="101"/>
        <item x="102"/>
        <item x="100"/>
        <item x="79"/>
        <item x="76"/>
        <item x="87"/>
        <item x="90"/>
        <item x="74"/>
        <item x="88"/>
        <item x="96"/>
        <item x="86"/>
        <item x="77"/>
        <item x="84"/>
        <item x="99"/>
        <item x="85"/>
        <item x="72"/>
        <item x="70"/>
        <item x="71"/>
        <item x="91"/>
        <item x="93"/>
        <item x="98"/>
        <item x="92"/>
        <item x="104"/>
        <item x="89"/>
        <item x="94"/>
        <item t="default"/>
      </items>
    </pivotField>
    <pivotField name="Total"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1">
    <field x="76"/>
  </rowFields>
  <rowItems count="44">
    <i>
      <x v="3"/>
    </i>
    <i>
      <x v="5"/>
    </i>
    <i>
      <x v="7"/>
    </i>
    <i>
      <x v="9"/>
    </i>
    <i>
      <x v="10"/>
    </i>
    <i>
      <x v="12"/>
    </i>
    <i>
      <x v="25"/>
    </i>
    <i>
      <x v="27"/>
    </i>
    <i>
      <x v="29"/>
    </i>
    <i>
      <x v="34"/>
    </i>
    <i>
      <x v="36"/>
    </i>
    <i>
      <x v="40"/>
    </i>
    <i>
      <x v="43"/>
    </i>
    <i>
      <x v="45"/>
    </i>
    <i>
      <x v="47"/>
    </i>
    <i>
      <x v="48"/>
    </i>
    <i>
      <x v="49"/>
    </i>
    <i>
      <x v="50"/>
    </i>
    <i>
      <x v="52"/>
    </i>
    <i>
      <x v="56"/>
    </i>
    <i>
      <x v="57"/>
    </i>
    <i>
      <x v="59"/>
    </i>
    <i>
      <x v="62"/>
    </i>
    <i>
      <x v="65"/>
    </i>
    <i>
      <x v="66"/>
    </i>
    <i>
      <x v="67"/>
    </i>
    <i>
      <x v="69"/>
    </i>
    <i>
      <x v="70"/>
    </i>
    <i>
      <x v="72"/>
    </i>
    <i>
      <x v="76"/>
    </i>
    <i>
      <x v="77"/>
    </i>
    <i>
      <x v="79"/>
    </i>
    <i>
      <x v="81"/>
    </i>
    <i>
      <x v="82"/>
    </i>
    <i>
      <x v="83"/>
    </i>
    <i>
      <x v="84"/>
    </i>
    <i>
      <x v="88"/>
    </i>
    <i>
      <x v="91"/>
    </i>
    <i>
      <x v="96"/>
    </i>
    <i>
      <x v="100"/>
    </i>
    <i>
      <x v="101"/>
    </i>
    <i>
      <x v="102"/>
    </i>
    <i>
      <x v="105"/>
    </i>
    <i t="grand">
      <x/>
    </i>
  </rowItems>
  <colFields count="1">
    <field x="-2"/>
  </colFields>
  <colItems count="4">
    <i>
      <x/>
    </i>
    <i i="1">
      <x v="1"/>
    </i>
    <i i="2">
      <x v="2"/>
    </i>
    <i i="3">
      <x v="3"/>
    </i>
  </colItems>
  <pageFields count="2">
    <pageField fld="5" hier="0"/>
    <pageField fld="52" hier="0"/>
  </pageFields>
  <dataFields count="4">
    <dataField name=" ICD-10-WHO" fld="56" subtotal="count" baseField="0"/>
    <dataField name="SNOMED-CT" fld="58" subtotal="count" baseField="0"/>
    <dataField name="LOINC" fld="59" subtotal="count" baseField="0"/>
    <dataField name="RxNorm" fld="6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erminology Prioritization Info" cacheId="39" applyNumberFormats="0" applyBorderFormats="0" applyFontFormats="0" applyPatternFormats="0" applyAlignmentFormats="0" applyWidthHeightFormats="0" dataCaption="" updatedVersion="6" rowGrandTotals="0" compact="0" compactData="0">
  <location ref="A26:E28" firstHeaderRow="1" firstDataRow="2" firstDataCol="1"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h="1" x="0"/>
        <item x="1"/>
        <item h="1" x="2"/>
        <item h="1" x="3"/>
        <item h="1"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dataField="1" compact="0" outline="0" multipleItemSelectionAllowed="1" showAll="0"/>
    <pivotField name="ICD-11" compact="0" numFmtId="49" outline="0" multipleItemSelectionAllowed="1" showAll="0"/>
    <pivotField name="SNOMED-CT" dataField="1" compact="0" numFmtId="49" outline="0" multipleItemSelectionAllowed="1" showAll="0"/>
    <pivotField name="LOINC" dataField="1" compact="0" numFmtId="49" outline="0" multipleItemSelectionAllowed="1" showAll="0"/>
    <pivotField name="RxNorm" dataField="1"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axis="axisRow" compact="0" outline="0" multipleItemSelectionAllowed="1" showAll="0" sortType="ascending">
      <items count="22">
        <item x="2"/>
        <item x="3"/>
        <item x="15"/>
        <item x="1"/>
        <item x="10"/>
        <item x="19"/>
        <item x="12"/>
        <item x="13"/>
        <item x="20"/>
        <item x="7"/>
        <item x="5"/>
        <item x="11"/>
        <item x="17"/>
        <item x="18"/>
        <item x="8"/>
        <item x="6"/>
        <item x="0"/>
        <item x="14"/>
        <item x="9"/>
        <item x="4"/>
        <item x="16"/>
        <item t="default"/>
      </items>
    </pivotField>
    <pivotField name="Base or DE Profile" compact="0" outline="0" multipleItemSelectionAllowed="1" showAll="0"/>
    <pivotField name="Total"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1">
    <field x="75"/>
  </rowFields>
  <rowItems count="1">
    <i>
      <x/>
    </i>
  </rowItems>
  <colFields count="1">
    <field x="-2"/>
  </colFields>
  <colItems count="4">
    <i>
      <x/>
    </i>
    <i i="1">
      <x v="1"/>
    </i>
    <i i="2">
      <x v="2"/>
    </i>
    <i i="3">
      <x v="3"/>
    </i>
  </colItems>
  <pageFields count="2">
    <pageField fld="5" hier="0"/>
    <pageField fld="52" hier="0"/>
  </pageFields>
  <dataFields count="4">
    <dataField name=" ICD-10-WHO" fld="56" subtotal="count" baseField="0"/>
    <dataField name="SNOMED-CT" fld="58" subtotal="count" baseField="0"/>
    <dataField name="LOINC" fld="59" subtotal="count" baseField="0"/>
    <dataField name="RxNorm" fld="6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H680:AI680" headerRowCount="0">
  <tableColumns count="2">
    <tableColumn id="1" xr3:uid="{00000000-0010-0000-0000-000001000000}" name="Column1"/>
    <tableColumn id="2" xr3:uid="{00000000-0010-0000-0000-000002000000}" name="Column2"/>
  </tableColumns>
  <tableStyleInfo name="Master 0.1-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G1148:AI1148" headerRowCount="0">
  <tableColumns count="3">
    <tableColumn id="1" xr3:uid="{00000000-0010-0000-0900-000001000000}" name="Column1"/>
    <tableColumn id="2" xr3:uid="{00000000-0010-0000-0900-000002000000}" name="Column2"/>
    <tableColumn id="3" xr3:uid="{00000000-0010-0000-0900-000003000000}" name="Column3"/>
  </tableColumns>
  <tableStyleInfo name="Master 0.1-style 10"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AH721:AI721" headerRowCount="0">
  <tableColumns count="2">
    <tableColumn id="1" xr3:uid="{00000000-0010-0000-6300-000001000000}" name="Column1"/>
    <tableColumn id="2" xr3:uid="{00000000-0010-0000-6300-000002000000}" name="Column2"/>
  </tableColumns>
  <tableStyleInfo name="Master 0.1-style 100"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G668:AI676" headerRowCount="0">
  <tableColumns count="3">
    <tableColumn id="1" xr3:uid="{00000000-0010-0000-6400-000001000000}" name="Column1"/>
    <tableColumn id="2" xr3:uid="{00000000-0010-0000-6400-000002000000}" name="Column2"/>
    <tableColumn id="3" xr3:uid="{00000000-0010-0000-6400-000003000000}" name="Column3"/>
  </tableColumns>
  <tableStyleInfo name="Master 0.1-style 101"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G866:AI868" headerRowCount="0">
  <tableColumns count="3">
    <tableColumn id="1" xr3:uid="{00000000-0010-0000-6500-000001000000}" name="Column1"/>
    <tableColumn id="2" xr3:uid="{00000000-0010-0000-6500-000002000000}" name="Column2"/>
    <tableColumn id="3" xr3:uid="{00000000-0010-0000-6500-000003000000}" name="Column3"/>
  </tableColumns>
  <tableStyleInfo name="Master 0.1-style 102"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AH793:AI793" headerRowCount="0">
  <tableColumns count="2">
    <tableColumn id="1" xr3:uid="{00000000-0010-0000-6600-000001000000}" name="Column1"/>
    <tableColumn id="2" xr3:uid="{00000000-0010-0000-6600-000002000000}" name="Column2"/>
  </tableColumns>
  <tableStyleInfo name="Master 0.1-style 103"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G683:AI683" headerRowCount="0">
  <tableColumns count="3">
    <tableColumn id="1" xr3:uid="{00000000-0010-0000-6700-000001000000}" name="Column1"/>
    <tableColumn id="2" xr3:uid="{00000000-0010-0000-6700-000002000000}" name="Column2"/>
    <tableColumn id="3" xr3:uid="{00000000-0010-0000-6700-000003000000}" name="Column3"/>
  </tableColumns>
  <tableStyleInfo name="Master 0.1-style 104"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H677:AI677" headerRowCount="0">
  <tableColumns count="2">
    <tableColumn id="1" xr3:uid="{00000000-0010-0000-6800-000001000000}" name="Column1"/>
    <tableColumn id="2" xr3:uid="{00000000-0010-0000-6800-000002000000}" name="Column2"/>
  </tableColumns>
  <tableStyleInfo name="Master 0.1-style 105"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N712:P712" headerRowCount="0">
  <tableColumns count="3">
    <tableColumn id="1" xr3:uid="{00000000-0010-0000-6900-000001000000}" name="Column1"/>
    <tableColumn id="2" xr3:uid="{00000000-0010-0000-6900-000002000000}" name="Column2"/>
    <tableColumn id="3" xr3:uid="{00000000-0010-0000-6900-000003000000}" name="Column3"/>
  </tableColumns>
  <tableStyleInfo name="Master 0.1-style 106"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V753:V757" headerRowCount="0">
  <tableColumns count="1">
    <tableColumn id="1" xr3:uid="{00000000-0010-0000-6A00-000001000000}" name="Column1"/>
  </tableColumns>
  <tableStyleInfo name="Master 0.1-style 107"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S722" headerRowCount="0">
  <tableColumns count="1">
    <tableColumn id="1" xr3:uid="{00000000-0010-0000-6B00-000001000000}" name="Column1"/>
  </tableColumns>
  <tableStyleInfo name="Master 0.1-style 108"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N718:N720" headerRowCount="0">
  <tableColumns count="1">
    <tableColumn id="1" xr3:uid="{00000000-0010-0000-6C00-000001000000}" name="Column1"/>
  </tableColumns>
  <tableStyleInfo name="Master 0.1-style 109"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H1138:AI1138" headerRowCount="0">
  <tableColumns count="2">
    <tableColumn id="1" xr3:uid="{00000000-0010-0000-0A00-000001000000}" name="Column1"/>
    <tableColumn id="2" xr3:uid="{00000000-0010-0000-0A00-000002000000}" name="Column2"/>
  </tableColumns>
  <tableStyleInfo name="Master 0.1-style 11"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J722:K722" headerRowCount="0">
  <tableColumns count="2">
    <tableColumn id="1" xr3:uid="{00000000-0010-0000-6D00-000001000000}" name="Column1"/>
    <tableColumn id="2" xr3:uid="{00000000-0010-0000-6D00-000002000000}" name="Column2"/>
  </tableColumns>
  <tableStyleInfo name="Master 0.1-style 110"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H473:AI473" headerRowCount="0">
  <tableColumns count="2">
    <tableColumn id="1" xr3:uid="{00000000-0010-0000-6E00-000001000000}" name="Column1"/>
    <tableColumn id="2" xr3:uid="{00000000-0010-0000-6E00-000002000000}" name="Column2"/>
  </tableColumns>
  <tableStyleInfo name="Master 0.1-style 111"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AG419:AI425" headerRowCount="0">
  <tableColumns count="3">
    <tableColumn id="1" xr3:uid="{00000000-0010-0000-6F00-000001000000}" name="Column1"/>
    <tableColumn id="2" xr3:uid="{00000000-0010-0000-6F00-000002000000}" name="Column2"/>
    <tableColumn id="3" xr3:uid="{00000000-0010-0000-6F00-000003000000}" name="Column3"/>
  </tableColumns>
  <tableStyleInfo name="Master 0.1-style 112"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G426:AI426" headerRowCount="0">
  <tableColumns count="3">
    <tableColumn id="1" xr3:uid="{00000000-0010-0000-7000-000001000000}" name="Column1"/>
    <tableColumn id="2" xr3:uid="{00000000-0010-0000-7000-000002000000}" name="Column2"/>
    <tableColumn id="3" xr3:uid="{00000000-0010-0000-7000-000003000000}" name="Column3"/>
  </tableColumns>
  <tableStyleInfo name="Master 0.1-style 113"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G459:AI459" headerRowCount="0">
  <tableColumns count="3">
    <tableColumn id="1" xr3:uid="{00000000-0010-0000-7100-000001000000}" name="Column1"/>
    <tableColumn id="2" xr3:uid="{00000000-0010-0000-7100-000002000000}" name="Column2"/>
    <tableColumn id="3" xr3:uid="{00000000-0010-0000-7100-000003000000}" name="Column3"/>
  </tableColumns>
  <tableStyleInfo name="Master 0.1-style 114"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AG518:AI518" headerRowCount="0">
  <tableColumns count="3">
    <tableColumn id="1" xr3:uid="{00000000-0010-0000-7200-000001000000}" name="Column1"/>
    <tableColumn id="2" xr3:uid="{00000000-0010-0000-7200-000002000000}" name="Column2"/>
    <tableColumn id="3" xr3:uid="{00000000-0010-0000-7200-000003000000}" name="Column3"/>
  </tableColumns>
  <tableStyleInfo name="Master 0.1-style 115"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H486:AI486" headerRowCount="0">
  <tableColumns count="2">
    <tableColumn id="1" xr3:uid="{00000000-0010-0000-7300-000001000000}" name="Column1"/>
    <tableColumn id="2" xr3:uid="{00000000-0010-0000-7300-000002000000}" name="Column2"/>
  </tableColumns>
  <tableStyleInfo name="Master 0.1-style 116"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G498:AI498" headerRowCount="0">
  <tableColumns count="3">
    <tableColumn id="1" xr3:uid="{00000000-0010-0000-7400-000001000000}" name="Column1"/>
    <tableColumn id="2" xr3:uid="{00000000-0010-0000-7400-000002000000}" name="Column2"/>
    <tableColumn id="3" xr3:uid="{00000000-0010-0000-7400-000003000000}" name="Column3"/>
  </tableColumns>
  <tableStyleInfo name="Master 0.1-style 117"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AH517:AI517" headerRowCount="0">
  <tableColumns count="2">
    <tableColumn id="1" xr3:uid="{00000000-0010-0000-7500-000001000000}" name="Column1"/>
    <tableColumn id="2" xr3:uid="{00000000-0010-0000-7500-000002000000}" name="Column2"/>
  </tableColumns>
  <tableStyleInfo name="Master 0.1-style 118"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J688:P694" headerRowCount="0">
  <tableColumns count="7">
    <tableColumn id="1" xr3:uid="{00000000-0010-0000-7600-000001000000}" name="Column1"/>
    <tableColumn id="2" xr3:uid="{00000000-0010-0000-7600-000002000000}" name="Column2"/>
    <tableColumn id="3" xr3:uid="{00000000-0010-0000-7600-000003000000}" name="Column3"/>
    <tableColumn id="4" xr3:uid="{00000000-0010-0000-7600-000004000000}" name="Column4"/>
    <tableColumn id="5" xr3:uid="{00000000-0010-0000-7600-000005000000}" name="Column5"/>
    <tableColumn id="6" xr3:uid="{00000000-0010-0000-7600-000006000000}" name="Column6"/>
    <tableColumn id="7" xr3:uid="{00000000-0010-0000-7600-000007000000}" name="Column7"/>
  </tableColumns>
  <tableStyleInfo name="Master 0.1-style 119"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H1026:AI1035" headerRowCount="0">
  <tableColumns count="2">
    <tableColumn id="1" xr3:uid="{00000000-0010-0000-0B00-000001000000}" name="Column1"/>
    <tableColumn id="2" xr3:uid="{00000000-0010-0000-0B00-000002000000}" name="Column2"/>
  </tableColumns>
  <tableStyleInfo name="Master 0.1-style 12"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S688:S694" headerRowCount="0">
  <tableColumns count="1">
    <tableColumn id="1" xr3:uid="{00000000-0010-0000-7700-000001000000}" name="Column1"/>
  </tableColumns>
  <tableStyleInfo name="Master 0.1-style 120"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J474:P474" headerRowCount="0">
  <tableColumns count="7">
    <tableColumn id="1" xr3:uid="{00000000-0010-0000-7800-000001000000}" name="Column1"/>
    <tableColumn id="2" xr3:uid="{00000000-0010-0000-7800-000002000000}" name="Column2"/>
    <tableColumn id="3" xr3:uid="{00000000-0010-0000-7800-000003000000}" name="Column3"/>
    <tableColumn id="4" xr3:uid="{00000000-0010-0000-7800-000004000000}" name="Column4"/>
    <tableColumn id="5" xr3:uid="{00000000-0010-0000-7800-000005000000}" name="Column5"/>
    <tableColumn id="6" xr3:uid="{00000000-0010-0000-7800-000006000000}" name="Column6"/>
    <tableColumn id="7" xr3:uid="{00000000-0010-0000-7800-000007000000}" name="Column7"/>
  </tableColumns>
  <tableStyleInfo name="Master 0.1-style 121"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J518:P518" headerRowCount="0">
  <tableColumns count="7">
    <tableColumn id="1" xr3:uid="{00000000-0010-0000-7900-000001000000}" name="Column1"/>
    <tableColumn id="2" xr3:uid="{00000000-0010-0000-7900-000002000000}" name="Column2"/>
    <tableColumn id="3" xr3:uid="{00000000-0010-0000-7900-000003000000}" name="Column3"/>
    <tableColumn id="4" xr3:uid="{00000000-0010-0000-7900-000004000000}" name="Column4"/>
    <tableColumn id="5" xr3:uid="{00000000-0010-0000-7900-000005000000}" name="Column5"/>
    <tableColumn id="6" xr3:uid="{00000000-0010-0000-7900-000006000000}" name="Column6"/>
    <tableColumn id="7" xr3:uid="{00000000-0010-0000-7900-000007000000}" name="Column7"/>
  </tableColumns>
  <tableStyleInfo name="Master 0.1-style 122"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L635:P635" headerRowCount="0">
  <tableColumns count="5">
    <tableColumn id="1" xr3:uid="{00000000-0010-0000-7A00-000001000000}" name="Column1"/>
    <tableColumn id="2" xr3:uid="{00000000-0010-0000-7A00-000002000000}" name="Column2"/>
    <tableColumn id="3" xr3:uid="{00000000-0010-0000-7A00-000003000000}" name="Column3"/>
    <tableColumn id="4" xr3:uid="{00000000-0010-0000-7A00-000004000000}" name="Column4"/>
    <tableColumn id="5" xr3:uid="{00000000-0010-0000-7A00-000005000000}" name="Column5"/>
  </tableColumns>
  <tableStyleInfo name="Master 0.1-style 123"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J459:P459" headerRowCount="0">
  <tableColumns count="7">
    <tableColumn id="1" xr3:uid="{00000000-0010-0000-7B00-000001000000}" name="Column1"/>
    <tableColumn id="2" xr3:uid="{00000000-0010-0000-7B00-000002000000}" name="Column2"/>
    <tableColumn id="3" xr3:uid="{00000000-0010-0000-7B00-000003000000}" name="Column3"/>
    <tableColumn id="4" xr3:uid="{00000000-0010-0000-7B00-000004000000}" name="Column4"/>
    <tableColumn id="5" xr3:uid="{00000000-0010-0000-7B00-000005000000}" name="Column5"/>
    <tableColumn id="6" xr3:uid="{00000000-0010-0000-7B00-000006000000}" name="Column6"/>
    <tableColumn id="7" xr3:uid="{00000000-0010-0000-7B00-000007000000}" name="Column7"/>
  </tableColumns>
  <tableStyleInfo name="Master 0.1-style 124"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G643:AI647" headerRowCount="0">
  <tableColumns count="3">
    <tableColumn id="1" xr3:uid="{00000000-0010-0000-7C00-000001000000}" name="Column1"/>
    <tableColumn id="2" xr3:uid="{00000000-0010-0000-7C00-000002000000}" name="Column2"/>
    <tableColumn id="3" xr3:uid="{00000000-0010-0000-7C00-000003000000}" name="Column3"/>
  </tableColumns>
  <tableStyleInfo name="Master 0.1-style 125"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S641:S645" headerRowCount="0">
  <tableColumns count="1">
    <tableColumn id="1" xr3:uid="{00000000-0010-0000-7D00-000001000000}" name="Column1"/>
  </tableColumns>
  <tableStyleInfo name="Master 0.1-style 126"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S603:S605" headerRowCount="0">
  <tableColumns count="1">
    <tableColumn id="1" xr3:uid="{00000000-0010-0000-7E00-000001000000}" name="Column1"/>
  </tableColumns>
  <tableStyleInfo name="Master 0.1-style 127"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S623" headerRowCount="0">
  <tableColumns count="1">
    <tableColumn id="1" xr3:uid="{00000000-0010-0000-7F00-000001000000}" name="Column1"/>
  </tableColumns>
  <tableStyleInfo name="Master 0.1-style 128"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S611:S615" headerRowCount="0">
  <tableColumns count="1">
    <tableColumn id="1" xr3:uid="{00000000-0010-0000-8000-000001000000}" name="Column1"/>
  </tableColumns>
  <tableStyleInfo name="Master 0.1-style 129"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G887:AI889" headerRowCount="0">
  <tableColumns count="3">
    <tableColumn id="1" xr3:uid="{00000000-0010-0000-0C00-000001000000}" name="Column1"/>
    <tableColumn id="2" xr3:uid="{00000000-0010-0000-0C00-000002000000}" name="Column2"/>
    <tableColumn id="3" xr3:uid="{00000000-0010-0000-0C00-000003000000}" name="Column3"/>
  </tableColumns>
  <tableStyleInfo name="Master 0.1-style 13"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S592:S596" headerRowCount="0">
  <tableColumns count="1">
    <tableColumn id="1" xr3:uid="{00000000-0010-0000-8100-000001000000}" name="Column1"/>
  </tableColumns>
  <tableStyleInfo name="Master 0.1-style 130"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S634" headerRowCount="0">
  <tableColumns count="1">
    <tableColumn id="1" xr3:uid="{00000000-0010-0000-8200-000001000000}" name="Column1"/>
  </tableColumns>
  <tableStyleInfo name="Master 0.1-style 131"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G612:AI616" headerRowCount="0">
  <tableColumns count="3">
    <tableColumn id="1" xr3:uid="{00000000-0010-0000-8300-000001000000}" name="Column1"/>
    <tableColumn id="2" xr3:uid="{00000000-0010-0000-8300-000002000000}" name="Column2"/>
    <tableColumn id="3" xr3:uid="{00000000-0010-0000-8300-000003000000}" name="Column3"/>
  </tableColumns>
  <tableStyleInfo name="Master 0.1-style 132"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S441" headerRowCount="0">
  <tableColumns count="1">
    <tableColumn id="1" xr3:uid="{00000000-0010-0000-8400-000001000000}" name="Column1"/>
  </tableColumns>
  <tableStyleInfo name="Master 0.1-style 133"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V441" headerRowCount="0">
  <tableColumns count="1">
    <tableColumn id="1" xr3:uid="{00000000-0010-0000-8500-000001000000}" name="Column1"/>
  </tableColumns>
  <tableStyleInfo name="Master 0.1-style 134"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J441:P441" headerRowCount="0">
  <tableColumns count="7">
    <tableColumn id="1" xr3:uid="{00000000-0010-0000-8600-000001000000}" name="Column1"/>
    <tableColumn id="2" xr3:uid="{00000000-0010-0000-8600-000002000000}" name="Column2"/>
    <tableColumn id="3" xr3:uid="{00000000-0010-0000-8600-000003000000}" name="Column3"/>
    <tableColumn id="4" xr3:uid="{00000000-0010-0000-8600-000004000000}" name="Column4"/>
    <tableColumn id="5" xr3:uid="{00000000-0010-0000-8600-000005000000}" name="Column5"/>
    <tableColumn id="6" xr3:uid="{00000000-0010-0000-8600-000006000000}" name="Column6"/>
    <tableColumn id="7" xr3:uid="{00000000-0010-0000-8600-000007000000}" name="Column7"/>
  </tableColumns>
  <tableStyleInfo name="Master 0.1-style 135"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N786:P789" headerRowCount="0">
  <tableColumns count="3">
    <tableColumn id="1" xr3:uid="{00000000-0010-0000-8700-000001000000}" name="Column1"/>
    <tableColumn id="2" xr3:uid="{00000000-0010-0000-8700-000002000000}" name="Column2"/>
    <tableColumn id="3" xr3:uid="{00000000-0010-0000-8700-000003000000}" name="Column3"/>
  </tableColumns>
  <tableStyleInfo name="Master 0.1-style 136"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J782:J790" headerRowCount="0">
  <tableColumns count="1">
    <tableColumn id="1" xr3:uid="{00000000-0010-0000-8800-000001000000}" name="Column1"/>
  </tableColumns>
  <tableStyleInfo name="Master 0.1-style 137"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L805:P814" headerRowCount="0">
  <tableColumns count="5">
    <tableColumn id="1" xr3:uid="{00000000-0010-0000-8900-000001000000}" name="Column1"/>
    <tableColumn id="2" xr3:uid="{00000000-0010-0000-8900-000002000000}" name="Column2"/>
    <tableColumn id="3" xr3:uid="{00000000-0010-0000-8900-000003000000}" name="Column3"/>
    <tableColumn id="4" xr3:uid="{00000000-0010-0000-8900-000004000000}" name="Column4"/>
    <tableColumn id="5" xr3:uid="{00000000-0010-0000-8900-000005000000}" name="Column5"/>
  </tableColumns>
  <tableStyleInfo name="Master 0.1-style 138"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V782:V790" headerRowCount="0">
  <tableColumns count="1">
    <tableColumn id="1" xr3:uid="{00000000-0010-0000-8A00-000001000000}" name="Column1"/>
  </tableColumns>
  <tableStyleInfo name="Master 0.1-style 139"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G894:AI896" headerRowCount="0">
  <tableColumns count="3">
    <tableColumn id="1" xr3:uid="{00000000-0010-0000-0D00-000001000000}" name="Column1"/>
    <tableColumn id="2" xr3:uid="{00000000-0010-0000-0D00-000002000000}" name="Column2"/>
    <tableColumn id="3" xr3:uid="{00000000-0010-0000-0D00-000003000000}" name="Column3"/>
  </tableColumns>
  <tableStyleInfo name="Master 0.1-style 14"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V791:V797" headerRowCount="0">
  <tableColumns count="1">
    <tableColumn id="1" xr3:uid="{00000000-0010-0000-8B00-000001000000}" name="Column1"/>
  </tableColumns>
  <tableStyleInfo name="Master 0.1-style 140"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N800:N803" headerRowCount="0">
  <tableColumns count="1">
    <tableColumn id="1" xr3:uid="{00000000-0010-0000-8C00-000001000000}" name="Column1"/>
  </tableColumns>
  <tableStyleInfo name="Master 0.1-style 141"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S791:S797" headerRowCount="0">
  <tableColumns count="1">
    <tableColumn id="1" xr3:uid="{00000000-0010-0000-8D00-000001000000}" name="Column1"/>
  </tableColumns>
  <tableStyleInfo name="Master 0.1-style 142"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K805:K814" headerRowCount="0">
  <tableColumns count="1">
    <tableColumn id="1" xr3:uid="{00000000-0010-0000-8E00-000001000000}" name="Column1"/>
  </tableColumns>
  <tableStyleInfo name="Master 0.1-style 143"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S782:S790" headerRowCount="0">
  <tableColumns count="1">
    <tableColumn id="1" xr3:uid="{00000000-0010-0000-8F00-000001000000}" name="Column1"/>
  </tableColumns>
  <tableStyleInfo name="Master 0.1-style 144"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V518" headerRowCount="0">
  <tableColumns count="1">
    <tableColumn id="1" xr3:uid="{00000000-0010-0000-9000-000001000000}" name="Column1"/>
  </tableColumns>
  <tableStyleInfo name="Master 0.1-style 145"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V592:V596" headerRowCount="0">
  <tableColumns count="1">
    <tableColumn id="1" xr3:uid="{00000000-0010-0000-9100-000001000000}" name="Column1"/>
  </tableColumns>
  <tableStyleInfo name="Master 0.1-style 146"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V459" headerRowCount="0">
  <tableColumns count="1">
    <tableColumn id="1" xr3:uid="{00000000-0010-0000-9200-000001000000}" name="Column1"/>
  </tableColumns>
  <tableStyleInfo name="Master 0.1-style 147"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S518" headerRowCount="0">
  <tableColumns count="1">
    <tableColumn id="1" xr3:uid="{00000000-0010-0000-9300-000001000000}" name="Column1"/>
  </tableColumns>
  <tableStyleInfo name="Master 0.1-style 148"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S474" headerRowCount="0">
  <tableColumns count="1">
    <tableColumn id="1" xr3:uid="{00000000-0010-0000-9400-000001000000}" name="Column1"/>
  </tableColumns>
  <tableStyleInfo name="Master 0.1-style 149"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G623:AI623" headerRowCount="0">
  <tableColumns count="3">
    <tableColumn id="1" xr3:uid="{00000000-0010-0000-0E00-000001000000}" name="Column1"/>
    <tableColumn id="2" xr3:uid="{00000000-0010-0000-0E00-000002000000}" name="Column2"/>
    <tableColumn id="3" xr3:uid="{00000000-0010-0000-0E00-000003000000}" name="Column3"/>
  </tableColumns>
  <tableStyleInfo name="Master 0.1-style 15"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S459" headerRowCount="0">
  <tableColumns count="1">
    <tableColumn id="1" xr3:uid="{00000000-0010-0000-9500-000001000000}" name="Column1"/>
  </tableColumns>
  <tableStyleInfo name="Master 0.1-style 150"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S714" headerRowCount="0">
  <tableColumns count="1">
    <tableColumn id="1" xr3:uid="{00000000-0010-0000-9600-000001000000}" name="Column1"/>
  </tableColumns>
  <tableStyleInfo name="Master 0.1-style 151"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S635" headerRowCount="0">
  <tableColumns count="1">
    <tableColumn id="1" xr3:uid="{00000000-0010-0000-9700-000001000000}" name="Column1"/>
  </tableColumns>
  <tableStyleInfo name="Master 0.1-style 152"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V603:V605" headerRowCount="0">
  <tableColumns count="1">
    <tableColumn id="1" xr3:uid="{00000000-0010-0000-9800-000001000000}" name="Column1"/>
  </tableColumns>
  <tableStyleInfo name="Master 0.1-style 153"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V641:V645" headerRowCount="0">
  <tableColumns count="1">
    <tableColumn id="1" xr3:uid="{00000000-0010-0000-9900-000001000000}" name="Column1"/>
  </tableColumns>
  <tableStyleInfo name="Master 0.1-style 154"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V635" headerRowCount="0">
  <tableColumns count="1">
    <tableColumn id="1" xr3:uid="{00000000-0010-0000-9A00-000001000000}" name="Column1"/>
  </tableColumns>
  <tableStyleInfo name="Master 0.1-style 155"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S487" headerRowCount="0">
  <tableColumns count="1">
    <tableColumn id="1" xr3:uid="{00000000-0010-0000-9B00-000001000000}" name="Column1"/>
  </tableColumns>
  <tableStyleInfo name="Master 0.1-style 156"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S498" headerRowCount="0">
  <tableColumns count="1">
    <tableColumn id="1" xr3:uid="{00000000-0010-0000-9C00-000001000000}" name="Column1"/>
  </tableColumns>
  <tableStyleInfo name="Master 0.1-style 157"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V838:V840" headerRowCount="0">
  <tableColumns count="1">
    <tableColumn id="1" xr3:uid="{00000000-0010-0000-9D00-000001000000}" name="Column1"/>
  </tableColumns>
  <tableStyleInfo name="Master 0.1-style 158"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S838:S840" headerRowCount="0">
  <tableColumns count="1">
    <tableColumn id="1" xr3:uid="{00000000-0010-0000-9E00-000001000000}" name="Column1"/>
  </tableColumns>
  <tableStyleInfo name="Master 0.1-style 159"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G622:AI622" headerRowCount="0">
  <tableColumns count="3">
    <tableColumn id="1" xr3:uid="{00000000-0010-0000-0F00-000001000000}" name="Column1"/>
    <tableColumn id="2" xr3:uid="{00000000-0010-0000-0F00-000002000000}" name="Column2"/>
    <tableColumn id="3" xr3:uid="{00000000-0010-0000-0F00-000003000000}" name="Column3"/>
  </tableColumns>
  <tableStyleInfo name="Master 0.1-style 16"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V805:V814" headerRowCount="0">
  <tableColumns count="1">
    <tableColumn id="1" xr3:uid="{00000000-0010-0000-9F00-000001000000}" name="Column1"/>
  </tableColumns>
  <tableStyleInfo name="Master 0.1-style 160"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S621" headerRowCount="0">
  <tableColumns count="1">
    <tableColumn id="1" xr3:uid="{00000000-0010-0000-A000-000001000000}" name="Column1"/>
  </tableColumns>
  <tableStyleInfo name="Master 0.1-style 161"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S622" headerRowCount="0">
  <tableColumns count="1">
    <tableColumn id="1" xr3:uid="{00000000-0010-0000-A100-000001000000}" name="Column1"/>
  </tableColumns>
  <tableStyleInfo name="Master 0.1-style 162"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V866:V868" headerRowCount="0">
  <tableColumns count="1">
    <tableColumn id="1" xr3:uid="{00000000-0010-0000-A200-000001000000}" name="Column1"/>
  </tableColumns>
  <tableStyleInfo name="Master 0.1-style 163"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S866:S868" headerRowCount="0">
  <tableColumns count="1">
    <tableColumn id="1" xr3:uid="{00000000-0010-0000-A300-000001000000}" name="Column1"/>
  </tableColumns>
  <tableStyleInfo name="Master 0.1-style 164"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_165" displayName="Table_165" ref="V634" headerRowCount="0">
  <tableColumns count="1">
    <tableColumn id="1" xr3:uid="{00000000-0010-0000-A400-000001000000}" name="Column1"/>
  </tableColumns>
  <tableStyleInfo name="Master 0.1-style 165"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_166" displayName="Table_166" ref="V621" headerRowCount="0">
  <tableColumns count="1">
    <tableColumn id="1" xr3:uid="{00000000-0010-0000-A500-000001000000}" name="Column1"/>
  </tableColumns>
  <tableStyleInfo name="Master 0.1-style 166"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_167" displayName="Table_167" ref="V622" headerRowCount="0">
  <tableColumns count="1">
    <tableColumn id="1" xr3:uid="{00000000-0010-0000-A600-000001000000}" name="Column1"/>
  </tableColumns>
  <tableStyleInfo name="Master 0.1-style 167"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_168" displayName="Table_168" ref="V623" headerRowCount="0">
  <tableColumns count="1">
    <tableColumn id="1" xr3:uid="{00000000-0010-0000-A700-000001000000}" name="Column1"/>
  </tableColumns>
  <tableStyleInfo name="Master 0.1-style 168"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_169" displayName="Table_169" ref="S760:S764" headerRowCount="0">
  <tableColumns count="1">
    <tableColumn id="1" xr3:uid="{00000000-0010-0000-A800-000001000000}" name="Column1"/>
  </tableColumns>
  <tableStyleInfo name="Master 0.1-style 169"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G838:AI840" headerRowCount="0">
  <tableColumns count="3">
    <tableColumn id="1" xr3:uid="{00000000-0010-0000-1000-000001000000}" name="Column1"/>
    <tableColumn id="2" xr3:uid="{00000000-0010-0000-1000-000002000000}" name="Column2"/>
    <tableColumn id="3" xr3:uid="{00000000-0010-0000-1000-000003000000}" name="Column3"/>
  </tableColumns>
  <tableStyleInfo name="Master 0.1-style 17"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_170" displayName="Table_170" ref="V771:V775" headerRowCount="0">
  <tableColumns count="1">
    <tableColumn id="1" xr3:uid="{00000000-0010-0000-A900-000001000000}" name="Column1"/>
  </tableColumns>
  <tableStyleInfo name="Master 0.1-style 170"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_171" displayName="Table_171" ref="A1:C10">
  <tableColumns count="3">
    <tableColumn id="1" xr3:uid="{00000000-0010-0000-AA00-000001000000}" name="Sort"/>
    <tableColumn id="2" xr3:uid="{00000000-0010-0000-AA00-000002000000}" name="Activity Group"/>
    <tableColumn id="3" xr3:uid="{00000000-0010-0000-AA00-000003000000}" name="Step"/>
  </tableColumns>
  <tableStyleInfo name="Process-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G854:AI854" headerRowCount="0">
  <tableColumns count="3">
    <tableColumn id="1" xr3:uid="{00000000-0010-0000-1100-000001000000}" name="Column1"/>
    <tableColumn id="2" xr3:uid="{00000000-0010-0000-1100-000002000000}" name="Column2"/>
    <tableColumn id="3" xr3:uid="{00000000-0010-0000-1100-000003000000}" name="Column3"/>
  </tableColumns>
  <tableStyleInfo name="Master 0.1-style 18"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H497:AI497" headerRowCount="0">
  <tableColumns count="2">
    <tableColumn id="1" xr3:uid="{00000000-0010-0000-1200-000001000000}" name="Column1"/>
    <tableColumn id="2" xr3:uid="{00000000-0010-0000-1200-000002000000}" name="Column2"/>
  </tableColumns>
  <tableStyleInfo name="Master 0.1-style 1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G722:AI722" headerRowCount="0">
  <tableColumns count="3">
    <tableColumn id="1" xr3:uid="{00000000-0010-0000-0100-000001000000}" name="Column1"/>
    <tableColumn id="2" xr3:uid="{00000000-0010-0000-0100-000002000000}" name="Column2"/>
    <tableColumn id="3" xr3:uid="{00000000-0010-0000-0100-000003000000}" name="Column3"/>
  </tableColumns>
  <tableStyleInfo name="Master 0.1-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G955:AI955" headerRowCount="0">
  <tableColumns count="3">
    <tableColumn id="1" xr3:uid="{00000000-0010-0000-1300-000001000000}" name="Column1"/>
    <tableColumn id="2" xr3:uid="{00000000-0010-0000-1300-000002000000}" name="Column2"/>
    <tableColumn id="3" xr3:uid="{00000000-0010-0000-1300-000003000000}" name="Column3"/>
  </tableColumns>
  <tableStyleInfo name="Master 0.1-style 20"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H832:AI832" headerRowCount="0">
  <tableColumns count="2">
    <tableColumn id="1" xr3:uid="{00000000-0010-0000-1400-000001000000}" name="Column1"/>
    <tableColumn id="2" xr3:uid="{00000000-0010-0000-1400-000002000000}" name="Column2"/>
  </tableColumns>
  <tableStyleInfo name="Master 0.1-style 21"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G946:AI948" headerRowCount="0">
  <tableColumns count="3">
    <tableColumn id="1" xr3:uid="{00000000-0010-0000-1500-000001000000}" name="Column1"/>
    <tableColumn id="2" xr3:uid="{00000000-0010-0000-1500-000002000000}" name="Column2"/>
    <tableColumn id="3" xr3:uid="{00000000-0010-0000-1500-000003000000}" name="Column3"/>
  </tableColumns>
  <tableStyleInfo name="Master 0.1-style 2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G962:AI962" headerRowCount="0">
  <tableColumns count="3">
    <tableColumn id="1" xr3:uid="{00000000-0010-0000-1600-000001000000}" name="Column1"/>
    <tableColumn id="2" xr3:uid="{00000000-0010-0000-1600-000002000000}" name="Column2"/>
    <tableColumn id="3" xr3:uid="{00000000-0010-0000-1600-000003000000}" name="Column3"/>
  </tableColumns>
  <tableStyleInfo name="Master 0.1-style 2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G604:AI605" headerRowCount="0">
  <tableColumns count="3">
    <tableColumn id="1" xr3:uid="{00000000-0010-0000-1700-000001000000}" name="Column1"/>
    <tableColumn id="2" xr3:uid="{00000000-0010-0000-1700-000002000000}" name="Column2"/>
    <tableColumn id="3" xr3:uid="{00000000-0010-0000-1700-000003000000}" name="Column3"/>
  </tableColumns>
  <tableStyleInfo name="Master 0.1-style 24"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H629:AI629" headerRowCount="0">
  <tableColumns count="2">
    <tableColumn id="1" xr3:uid="{00000000-0010-0000-1800-000001000000}" name="Column1"/>
    <tableColumn id="2" xr3:uid="{00000000-0010-0000-1800-000002000000}" name="Column2"/>
  </tableColumns>
  <tableStyleInfo name="Master 0.1-style 2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G760:AI764" headerRowCount="0">
  <tableColumns count="3">
    <tableColumn id="1" xr3:uid="{00000000-0010-0000-1900-000001000000}" name="Column1"/>
    <tableColumn id="2" xr3:uid="{00000000-0010-0000-1900-000002000000}" name="Column2"/>
    <tableColumn id="3" xr3:uid="{00000000-0010-0000-1900-000003000000}" name="Column3"/>
  </tableColumns>
  <tableStyleInfo name="Master 0.1-style 26"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G908:AI910" headerRowCount="0">
  <tableColumns count="3">
    <tableColumn id="1" xr3:uid="{00000000-0010-0000-1A00-000001000000}" name="Column1"/>
    <tableColumn id="2" xr3:uid="{00000000-0010-0000-1A00-000002000000}" name="Column2"/>
    <tableColumn id="3" xr3:uid="{00000000-0010-0000-1A00-000003000000}" name="Column3"/>
  </tableColumns>
  <tableStyleInfo name="Master 0.1-style 27"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G873:AI875" headerRowCount="0">
  <tableColumns count="3">
    <tableColumn id="1" xr3:uid="{00000000-0010-0000-1B00-000001000000}" name="Column1"/>
    <tableColumn id="2" xr3:uid="{00000000-0010-0000-1B00-000002000000}" name="Column2"/>
    <tableColumn id="3" xr3:uid="{00000000-0010-0000-1B00-000003000000}" name="Column3"/>
  </tableColumns>
  <tableStyleInfo name="Master 0.1-style 28"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H145:AI145" headerRowCount="0">
  <tableColumns count="2">
    <tableColumn id="1" xr3:uid="{00000000-0010-0000-1C00-000001000000}" name="Column1"/>
    <tableColumn id="2" xr3:uid="{00000000-0010-0000-1C00-000002000000}" name="Column2"/>
  </tableColumns>
  <tableStyleInfo name="Master 0.1-style 29"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G693:AI701" headerRowCount="0">
  <tableColumns count="3">
    <tableColumn id="1" xr3:uid="{00000000-0010-0000-0200-000001000000}" name="Column1"/>
    <tableColumn id="2" xr3:uid="{00000000-0010-0000-0200-000002000000}" name="Column2"/>
    <tableColumn id="3" xr3:uid="{00000000-0010-0000-0200-000003000000}" name="Column3"/>
  </tableColumns>
  <tableStyleInfo name="Master 0.1-style 3"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H146:AI146" headerRowCount="0">
  <tableColumns count="2">
    <tableColumn id="1" xr3:uid="{00000000-0010-0000-1D00-000001000000}" name="Column1"/>
    <tableColumn id="2" xr3:uid="{00000000-0010-0000-1D00-000002000000}" name="Column2"/>
  </tableColumns>
  <tableStyleInfo name="Master 0.1-style 30"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H31:AI31" headerRowCount="0">
  <tableColumns count="2">
    <tableColumn id="1" xr3:uid="{00000000-0010-0000-1E00-000001000000}" name="Column1"/>
    <tableColumn id="2" xr3:uid="{00000000-0010-0000-1E00-000002000000}" name="Column2"/>
  </tableColumns>
  <tableStyleInfo name="Master 0.1-style 31"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H792:AI792" headerRowCount="0">
  <tableColumns count="2">
    <tableColumn id="1" xr3:uid="{00000000-0010-0000-1F00-000001000000}" name="Column1"/>
    <tableColumn id="2" xr3:uid="{00000000-0010-0000-1F00-000002000000}" name="Column2"/>
  </tableColumns>
  <tableStyleInfo name="Master 0.1-style 32"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G782:AI790" headerRowCount="0">
  <tableColumns count="3">
    <tableColumn id="1" xr3:uid="{00000000-0010-0000-2000-000001000000}" name="Column1"/>
    <tableColumn id="2" xr3:uid="{00000000-0010-0000-2000-000002000000}" name="Column2"/>
    <tableColumn id="3" xr3:uid="{00000000-0010-0000-2000-000003000000}" name="Column3"/>
  </tableColumns>
  <tableStyleInfo name="Master 0.1-style 33"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G805:AI814" headerRowCount="0">
  <tableColumns count="3">
    <tableColumn id="1" xr3:uid="{00000000-0010-0000-2100-000001000000}" name="Column1"/>
    <tableColumn id="2" xr3:uid="{00000000-0010-0000-2100-000002000000}" name="Column2"/>
    <tableColumn id="3" xr3:uid="{00000000-0010-0000-2100-000003000000}" name="Column3"/>
  </tableColumns>
  <tableStyleInfo name="Master 0.1-style 34"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H816:AI817" headerRowCount="0">
  <tableColumns count="2">
    <tableColumn id="1" xr3:uid="{00000000-0010-0000-2200-000001000000}" name="Column1"/>
    <tableColumn id="2" xr3:uid="{00000000-0010-0000-2200-000002000000}" name="Column2"/>
  </tableColumns>
  <tableStyleInfo name="Master 0.1-style 35"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G636:AI636" headerRowCount="0">
  <tableColumns count="3">
    <tableColumn id="1" xr3:uid="{00000000-0010-0000-2300-000001000000}" name="Column1"/>
    <tableColumn id="2" xr3:uid="{00000000-0010-0000-2300-000002000000}" name="Column2"/>
    <tableColumn id="3" xr3:uid="{00000000-0010-0000-2300-000003000000}" name="Column3"/>
  </tableColumns>
  <tableStyleInfo name="Master 0.1-style 36"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G635:AI635" headerRowCount="0">
  <tableColumns count="3">
    <tableColumn id="1" xr3:uid="{00000000-0010-0000-2400-000001000000}" name="Column1"/>
    <tableColumn id="2" xr3:uid="{00000000-0010-0000-2400-000002000000}" name="Column2"/>
    <tableColumn id="3" xr3:uid="{00000000-0010-0000-2400-000003000000}" name="Column3"/>
  </tableColumns>
  <tableStyleInfo name="Master 0.1-style 37"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G593:AI597" headerRowCount="0">
  <tableColumns count="3">
    <tableColumn id="1" xr3:uid="{00000000-0010-0000-2500-000001000000}" name="Column1"/>
    <tableColumn id="2" xr3:uid="{00000000-0010-0000-2500-000002000000}" name="Column2"/>
    <tableColumn id="3" xr3:uid="{00000000-0010-0000-2500-000003000000}" name="Column3"/>
  </tableColumns>
  <tableStyleInfo name="Master 0.1-style 38"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H561:AI561" headerRowCount="0">
  <tableColumns count="2">
    <tableColumn id="1" xr3:uid="{00000000-0010-0000-2600-000001000000}" name="Column1"/>
    <tableColumn id="2" xr3:uid="{00000000-0010-0000-2600-000002000000}" name="Column2"/>
  </tableColumns>
  <tableStyleInfo name="Master 0.1-style 39"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G705:AI705" headerRowCount="0">
  <tableColumns count="3">
    <tableColumn id="1" xr3:uid="{00000000-0010-0000-0300-000001000000}" name="Column1"/>
    <tableColumn id="2" xr3:uid="{00000000-0010-0000-0300-000002000000}" name="Column2"/>
    <tableColumn id="3" xr3:uid="{00000000-0010-0000-0300-000003000000}" name="Column3"/>
  </tableColumns>
  <tableStyleInfo name="Master 0.1-style 4"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H562:AI564" headerRowCount="0">
  <tableColumns count="2">
    <tableColumn id="1" xr3:uid="{00000000-0010-0000-2700-000001000000}" name="Column1"/>
    <tableColumn id="2" xr3:uid="{00000000-0010-0000-2700-000002000000}" name="Column2"/>
  </tableColumns>
  <tableStyleInfo name="Master 0.1-style 40"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H458:AI458" headerRowCount="0">
  <tableColumns count="2">
    <tableColumn id="1" xr3:uid="{00000000-0010-0000-2800-000001000000}" name="Column1"/>
    <tableColumn id="2" xr3:uid="{00000000-0010-0000-2800-000002000000}" name="Column2"/>
  </tableColumns>
  <tableStyleInfo name="Master 0.1-style 41"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G441:AI441" headerRowCount="0">
  <tableColumns count="3">
    <tableColumn id="1" xr3:uid="{00000000-0010-0000-2900-000001000000}" name="Column1"/>
    <tableColumn id="2" xr3:uid="{00000000-0010-0000-2900-000002000000}" name="Column2"/>
    <tableColumn id="3" xr3:uid="{00000000-0010-0000-2900-000003000000}" name="Column3"/>
  </tableColumns>
  <tableStyleInfo name="Master 0.1-style 42"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S664:S672" headerRowCount="0">
  <tableColumns count="1">
    <tableColumn id="1" xr3:uid="{00000000-0010-0000-2A00-000001000000}" name="Column1"/>
  </tableColumns>
  <tableStyleInfo name="Master 0.1-style 43"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J664:P672" headerRowCount="0">
  <tableColumns count="7">
    <tableColumn id="1" xr3:uid="{00000000-0010-0000-2B00-000001000000}" name="Column1"/>
    <tableColumn id="2" xr3:uid="{00000000-0010-0000-2B00-000002000000}" name="Column2"/>
    <tableColumn id="3" xr3:uid="{00000000-0010-0000-2B00-000003000000}" name="Column3"/>
    <tableColumn id="4" xr3:uid="{00000000-0010-0000-2B00-000004000000}" name="Column4"/>
    <tableColumn id="5" xr3:uid="{00000000-0010-0000-2B00-000005000000}" name="Column5"/>
    <tableColumn id="6" xr3:uid="{00000000-0010-0000-2B00-000006000000}" name="Column6"/>
    <tableColumn id="7" xr3:uid="{00000000-0010-0000-2B00-000007000000}" name="Column7"/>
  </tableColumns>
  <tableStyleInfo name="Master 0.1-style 44"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S753:S757" headerRowCount="0">
  <tableColumns count="1">
    <tableColumn id="1" xr3:uid="{00000000-0010-0000-2C00-000001000000}" name="Column1"/>
  </tableColumns>
  <tableStyleInfo name="Master 0.1-style 45"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J753:P757" headerRowCount="0">
  <tableColumns count="7">
    <tableColumn id="1" xr3:uid="{00000000-0010-0000-2D00-000001000000}" name="Column1"/>
    <tableColumn id="2" xr3:uid="{00000000-0010-0000-2D00-000002000000}" name="Column2"/>
    <tableColumn id="3" xr3:uid="{00000000-0010-0000-2D00-000003000000}" name="Column3"/>
    <tableColumn id="4" xr3:uid="{00000000-0010-0000-2D00-000004000000}" name="Column4"/>
    <tableColumn id="5" xr3:uid="{00000000-0010-0000-2D00-000005000000}" name="Column5"/>
    <tableColumn id="6" xr3:uid="{00000000-0010-0000-2D00-000006000000}" name="Column6"/>
    <tableColumn id="7" xr3:uid="{00000000-0010-0000-2D00-000007000000}" name="Column7"/>
  </tableColumns>
  <tableStyleInfo name="Master 0.1-style 46"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J621:P621" headerRowCount="0">
  <tableColumns count="7">
    <tableColumn id="1" xr3:uid="{00000000-0010-0000-2E00-000001000000}" name="Column1"/>
    <tableColumn id="2" xr3:uid="{00000000-0010-0000-2E00-000002000000}" name="Column2"/>
    <tableColumn id="3" xr3:uid="{00000000-0010-0000-2E00-000003000000}" name="Column3"/>
    <tableColumn id="4" xr3:uid="{00000000-0010-0000-2E00-000004000000}" name="Column4"/>
    <tableColumn id="5" xr3:uid="{00000000-0010-0000-2E00-000005000000}" name="Column5"/>
    <tableColumn id="6" xr3:uid="{00000000-0010-0000-2E00-000006000000}" name="Column6"/>
    <tableColumn id="7" xr3:uid="{00000000-0010-0000-2E00-000007000000}" name="Column7"/>
  </tableColumns>
  <tableStyleInfo name="Master 0.1-style 47"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J611:P615" headerRowCount="0">
  <tableColumns count="7">
    <tableColumn id="1" xr3:uid="{00000000-0010-0000-2F00-000001000000}" name="Column1"/>
    <tableColumn id="2" xr3:uid="{00000000-0010-0000-2F00-000002000000}" name="Column2"/>
    <tableColumn id="3" xr3:uid="{00000000-0010-0000-2F00-000003000000}" name="Column3"/>
    <tableColumn id="4" xr3:uid="{00000000-0010-0000-2F00-000004000000}" name="Column4"/>
    <tableColumn id="5" xr3:uid="{00000000-0010-0000-2F00-000005000000}" name="Column5"/>
    <tableColumn id="6" xr3:uid="{00000000-0010-0000-2F00-000006000000}" name="Column6"/>
    <tableColumn id="7" xr3:uid="{00000000-0010-0000-2F00-000007000000}" name="Column7"/>
  </tableColumns>
  <tableStyleInfo name="Master 0.1-style 48"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J760:J764" headerRowCount="0">
  <tableColumns count="1">
    <tableColumn id="1" xr3:uid="{00000000-0010-0000-3000-000001000000}" name="Column1"/>
  </tableColumns>
  <tableStyleInfo name="Master 0.1-style 49"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G936:AI938" headerRowCount="0">
  <tableColumns count="3">
    <tableColumn id="1" xr3:uid="{00000000-0010-0000-0400-000001000000}" name="Column1"/>
    <tableColumn id="2" xr3:uid="{00000000-0010-0000-0400-000002000000}" name="Column2"/>
    <tableColumn id="3" xr3:uid="{00000000-0010-0000-0400-000003000000}" name="Column3"/>
  </tableColumns>
  <tableStyleInfo name="Master 0.1-style 5"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K760:K764" headerRowCount="0">
  <tableColumns count="1">
    <tableColumn id="1" xr3:uid="{00000000-0010-0000-3100-000001000000}" name="Column1"/>
  </tableColumns>
  <tableStyleInfo name="Master 0.1-style 50"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J641:P645" headerRowCount="0">
  <tableColumns count="7">
    <tableColumn id="1" xr3:uid="{00000000-0010-0000-3200-000001000000}" name="Column1"/>
    <tableColumn id="2" xr3:uid="{00000000-0010-0000-3200-000002000000}" name="Column2"/>
    <tableColumn id="3" xr3:uid="{00000000-0010-0000-3200-000003000000}" name="Column3"/>
    <tableColumn id="4" xr3:uid="{00000000-0010-0000-3200-000004000000}" name="Column4"/>
    <tableColumn id="5" xr3:uid="{00000000-0010-0000-3200-000005000000}" name="Column5"/>
    <tableColumn id="6" xr3:uid="{00000000-0010-0000-3200-000006000000}" name="Column6"/>
    <tableColumn id="7" xr3:uid="{00000000-0010-0000-3200-000007000000}" name="Column7"/>
  </tableColumns>
  <tableStyleInfo name="Master 0.1-style 51"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J714:P714" headerRowCount="0">
  <tableColumns count="7">
    <tableColumn id="1" xr3:uid="{00000000-0010-0000-3300-000001000000}" name="Column1"/>
    <tableColumn id="2" xr3:uid="{00000000-0010-0000-3300-000002000000}" name="Column2"/>
    <tableColumn id="3" xr3:uid="{00000000-0010-0000-3300-000003000000}" name="Column3"/>
    <tableColumn id="4" xr3:uid="{00000000-0010-0000-3300-000004000000}" name="Column4"/>
    <tableColumn id="5" xr3:uid="{00000000-0010-0000-3300-000005000000}" name="Column5"/>
    <tableColumn id="6" xr3:uid="{00000000-0010-0000-3300-000006000000}" name="Column6"/>
    <tableColumn id="7" xr3:uid="{00000000-0010-0000-3300-000007000000}" name="Column7"/>
  </tableColumns>
  <tableStyleInfo name="Master 0.1-style 52"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L760:P764" headerRowCount="0">
  <tableColumns count="5">
    <tableColumn id="1" xr3:uid="{00000000-0010-0000-3400-000001000000}" name="Column1"/>
    <tableColumn id="2" xr3:uid="{00000000-0010-0000-3400-000002000000}" name="Column2"/>
    <tableColumn id="3" xr3:uid="{00000000-0010-0000-3400-000003000000}" name="Column3"/>
    <tableColumn id="4" xr3:uid="{00000000-0010-0000-3400-000004000000}" name="Column4"/>
    <tableColumn id="5" xr3:uid="{00000000-0010-0000-3400-000005000000}" name="Column5"/>
  </tableColumns>
  <tableStyleInfo name="Master 0.1-style 53"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J603:P605" headerRowCount="0">
  <tableColumns count="7">
    <tableColumn id="1" xr3:uid="{00000000-0010-0000-3500-000001000000}" name="Column1"/>
    <tableColumn id="2" xr3:uid="{00000000-0010-0000-3500-000002000000}" name="Column2"/>
    <tableColumn id="3" xr3:uid="{00000000-0010-0000-3500-000003000000}" name="Column3"/>
    <tableColumn id="4" xr3:uid="{00000000-0010-0000-3500-000004000000}" name="Column4"/>
    <tableColumn id="5" xr3:uid="{00000000-0010-0000-3500-000005000000}" name="Column5"/>
    <tableColumn id="6" xr3:uid="{00000000-0010-0000-3500-000006000000}" name="Column6"/>
    <tableColumn id="7" xr3:uid="{00000000-0010-0000-3500-000007000000}" name="Column7"/>
  </tableColumns>
  <tableStyleInfo name="Master 0.1-style 54"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K635" headerRowCount="0">
  <tableColumns count="1">
    <tableColumn id="1" xr3:uid="{00000000-0010-0000-3600-000001000000}" name="Column1"/>
  </tableColumns>
  <tableStyleInfo name="Master 0.1-style 55"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J635" headerRowCount="0">
  <tableColumns count="1">
    <tableColumn id="1" xr3:uid="{00000000-0010-0000-3700-000001000000}" name="Column1"/>
  </tableColumns>
  <tableStyleInfo name="Master 0.1-style 56"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L722:P722" headerRowCount="0">
  <tableColumns count="5">
    <tableColumn id="1" xr3:uid="{00000000-0010-0000-3800-000001000000}" name="Column1"/>
    <tableColumn id="2" xr3:uid="{00000000-0010-0000-3800-000002000000}" name="Column2"/>
    <tableColumn id="3" xr3:uid="{00000000-0010-0000-3800-000003000000}" name="Column3"/>
    <tableColumn id="4" xr3:uid="{00000000-0010-0000-3800-000004000000}" name="Column4"/>
    <tableColumn id="5" xr3:uid="{00000000-0010-0000-3800-000005000000}" name="Column5"/>
  </tableColumns>
  <tableStyleInfo name="Master 0.1-style 57"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J634:P634" headerRowCount="0">
  <tableColumns count="7">
    <tableColumn id="1" xr3:uid="{00000000-0010-0000-3900-000001000000}" name="Column1"/>
    <tableColumn id="2" xr3:uid="{00000000-0010-0000-3900-000002000000}" name="Column2"/>
    <tableColumn id="3" xr3:uid="{00000000-0010-0000-3900-000003000000}" name="Column3"/>
    <tableColumn id="4" xr3:uid="{00000000-0010-0000-3900-000004000000}" name="Column4"/>
    <tableColumn id="5" xr3:uid="{00000000-0010-0000-3900-000005000000}" name="Column5"/>
    <tableColumn id="6" xr3:uid="{00000000-0010-0000-3900-000006000000}" name="Column6"/>
    <tableColumn id="7" xr3:uid="{00000000-0010-0000-3900-000007000000}" name="Column7"/>
  </tableColumns>
  <tableStyleInfo name="Master 0.1-style 58"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J498:P498" headerRowCount="0">
  <tableColumns count="7">
    <tableColumn id="1" xr3:uid="{00000000-0010-0000-3A00-000001000000}" name="Column1"/>
    <tableColumn id="2" xr3:uid="{00000000-0010-0000-3A00-000002000000}" name="Column2"/>
    <tableColumn id="3" xr3:uid="{00000000-0010-0000-3A00-000003000000}" name="Column3"/>
    <tableColumn id="4" xr3:uid="{00000000-0010-0000-3A00-000004000000}" name="Column4"/>
    <tableColumn id="5" xr3:uid="{00000000-0010-0000-3A00-000005000000}" name="Column5"/>
    <tableColumn id="6" xr3:uid="{00000000-0010-0000-3A00-000006000000}" name="Column6"/>
    <tableColumn id="7" xr3:uid="{00000000-0010-0000-3A00-000007000000}" name="Column7"/>
  </tableColumns>
  <tableStyleInfo name="Master 0.1-style 59"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G915:AI917" headerRowCount="0">
  <tableColumns count="3">
    <tableColumn id="1" xr3:uid="{00000000-0010-0000-0500-000001000000}" name="Column1"/>
    <tableColumn id="2" xr3:uid="{00000000-0010-0000-0500-000002000000}" name="Column2"/>
    <tableColumn id="3" xr3:uid="{00000000-0010-0000-0500-000003000000}" name="Column3"/>
  </tableColumns>
  <tableStyleInfo name="Master 0.1-style 6"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V559:V562" headerRowCount="0">
  <tableColumns count="1">
    <tableColumn id="1" xr3:uid="{00000000-0010-0000-3B00-000001000000}" name="Column1"/>
  </tableColumns>
  <tableStyleInfo name="Master 0.1-style 60"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V498" headerRowCount="0">
  <tableColumns count="1">
    <tableColumn id="1" xr3:uid="{00000000-0010-0000-3C00-000001000000}" name="Column1"/>
  </tableColumns>
  <tableStyleInfo name="Master 0.1-style 61"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J487:P487" headerRowCount="0">
  <tableColumns count="7">
    <tableColumn id="1" xr3:uid="{00000000-0010-0000-3D00-000001000000}" name="Column1"/>
    <tableColumn id="2" xr3:uid="{00000000-0010-0000-3D00-000002000000}" name="Column2"/>
    <tableColumn id="3" xr3:uid="{00000000-0010-0000-3D00-000003000000}" name="Column3"/>
    <tableColumn id="4" xr3:uid="{00000000-0010-0000-3D00-000004000000}" name="Column4"/>
    <tableColumn id="5" xr3:uid="{00000000-0010-0000-3D00-000005000000}" name="Column5"/>
    <tableColumn id="6" xr3:uid="{00000000-0010-0000-3D00-000006000000}" name="Column6"/>
    <tableColumn id="7" xr3:uid="{00000000-0010-0000-3D00-000007000000}" name="Column7"/>
  </tableColumns>
  <tableStyleInfo name="Master 0.1-style 62"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J962:K962" headerRowCount="0">
  <tableColumns count="2">
    <tableColumn id="1" xr3:uid="{00000000-0010-0000-3E00-000001000000}" name="Column1"/>
    <tableColumn id="2" xr3:uid="{00000000-0010-0000-3E00-000002000000}" name="Column2"/>
  </tableColumns>
  <tableStyleInfo name="Master 0.1-style 63"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J805:J814" headerRowCount="0">
  <tableColumns count="1">
    <tableColumn id="1" xr3:uid="{00000000-0010-0000-3F00-000001000000}" name="Column1"/>
  </tableColumns>
  <tableStyleInfo name="Master 0.1-style 64"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J838:K840" headerRowCount="0">
  <tableColumns count="2">
    <tableColumn id="1" xr3:uid="{00000000-0010-0000-4000-000001000000}" name="Column1"/>
    <tableColumn id="2" xr3:uid="{00000000-0010-0000-4000-000002000000}" name="Column2"/>
  </tableColumns>
  <tableStyleInfo name="Master 0.1-style 65"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K782:K790" headerRowCount="0">
  <tableColumns count="1">
    <tableColumn id="1" xr3:uid="{00000000-0010-0000-4100-000001000000}" name="Column1"/>
  </tableColumns>
  <tableStyleInfo name="Master 0.1-style 66"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J955:K955" headerRowCount="0">
  <tableColumns count="2">
    <tableColumn id="1" xr3:uid="{00000000-0010-0000-4200-000001000000}" name="Column1"/>
    <tableColumn id="2" xr3:uid="{00000000-0010-0000-4200-000002000000}" name="Column2"/>
  </tableColumns>
  <tableStyleInfo name="Master 0.1-style 67"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J866:K868" headerRowCount="0">
  <tableColumns count="2">
    <tableColumn id="1" xr3:uid="{00000000-0010-0000-4300-000001000000}" name="Column1"/>
    <tableColumn id="2" xr3:uid="{00000000-0010-0000-4300-000002000000}" name="Column2"/>
  </tableColumns>
  <tableStyleInfo name="Master 0.1-style 68"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V487" headerRowCount="0">
  <tableColumns count="1">
    <tableColumn id="1" xr3:uid="{00000000-0010-0000-4400-000001000000}" name="Column1"/>
  </tableColumns>
  <tableStyleInfo name="Master 0.1-style 69"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G922:AI924" headerRowCount="0">
  <tableColumns count="3">
    <tableColumn id="1" xr3:uid="{00000000-0010-0000-0600-000001000000}" name="Column1"/>
    <tableColumn id="2" xr3:uid="{00000000-0010-0000-0600-000002000000}" name="Column2"/>
    <tableColumn id="3" xr3:uid="{00000000-0010-0000-0600-000003000000}" name="Column3"/>
  </tableColumns>
  <tableStyleInfo name="Master 0.1-style 7"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G474:AI474" headerRowCount="0">
  <tableColumns count="3">
    <tableColumn id="1" xr3:uid="{00000000-0010-0000-4500-000001000000}" name="Column1"/>
    <tableColumn id="2" xr3:uid="{00000000-0010-0000-4500-000002000000}" name="Column2"/>
    <tableColumn id="3" xr3:uid="{00000000-0010-0000-4500-000003000000}" name="Column3"/>
  </tableColumns>
  <tableStyleInfo name="Master 0.1-style 70"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V474" headerRowCount="0">
  <tableColumns count="1">
    <tableColumn id="1" xr3:uid="{00000000-0010-0000-4600-000001000000}" name="Column1"/>
  </tableColumns>
  <tableStyleInfo name="Master 0.1-style 71"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G487:AI487" headerRowCount="0">
  <tableColumns count="3">
    <tableColumn id="1" xr3:uid="{00000000-0010-0000-4700-000001000000}" name="Column1"/>
    <tableColumn id="2" xr3:uid="{00000000-0010-0000-4700-000002000000}" name="Column2"/>
    <tableColumn id="3" xr3:uid="{00000000-0010-0000-4700-000003000000}" name="Column3"/>
  </tableColumns>
  <tableStyleInfo name="Master 0.1-style 72"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G845:AI847" headerRowCount="0">
  <tableColumns count="3">
    <tableColumn id="1" xr3:uid="{00000000-0010-0000-4800-000001000000}" name="Column1"/>
    <tableColumn id="2" xr3:uid="{00000000-0010-0000-4800-000002000000}" name="Column2"/>
    <tableColumn id="3" xr3:uid="{00000000-0010-0000-4800-000003000000}" name="Column3"/>
  </tableColumns>
  <tableStyleInfo name="Master 0.1-style 73"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G880:AI882" headerRowCount="0">
  <tableColumns count="3">
    <tableColumn id="1" xr3:uid="{00000000-0010-0000-4900-000001000000}" name="Column1"/>
    <tableColumn id="2" xr3:uid="{00000000-0010-0000-4900-000002000000}" name="Column2"/>
    <tableColumn id="3" xr3:uid="{00000000-0010-0000-4900-000003000000}" name="Column3"/>
  </tableColumns>
  <tableStyleInfo name="Master 0.1-style 74"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S805:S814" headerRowCount="0">
  <tableColumns count="1">
    <tableColumn id="1" xr3:uid="{00000000-0010-0000-4A00-000001000000}" name="Column1"/>
  </tableColumns>
  <tableStyleInfo name="Master 0.1-style 75"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H852:AI853" headerRowCount="0">
  <tableColumns count="2">
    <tableColumn id="1" xr3:uid="{00000000-0010-0000-4B00-000001000000}" name="Column1"/>
    <tableColumn id="2" xr3:uid="{00000000-0010-0000-4B00-000002000000}" name="Column2"/>
  </tableColumns>
  <tableStyleInfo name="Master 0.1-style 76"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H833:AI833" headerRowCount="0">
  <tableColumns count="2">
    <tableColumn id="1" xr3:uid="{00000000-0010-0000-4C00-000001000000}" name="Column1"/>
    <tableColumn id="2" xr3:uid="{00000000-0010-0000-4C00-000002000000}" name="Column2"/>
  </tableColumns>
  <tableStyleInfo name="Master 0.1-style 77"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J791:Q797" headerRowCount="0">
  <tableColumns count="8">
    <tableColumn id="1" xr3:uid="{00000000-0010-0000-4D00-000001000000}" name="Column1"/>
    <tableColumn id="2" xr3:uid="{00000000-0010-0000-4D00-000002000000}" name="Column2"/>
    <tableColumn id="3" xr3:uid="{00000000-0010-0000-4D00-000003000000}" name="Column3"/>
    <tableColumn id="4" xr3:uid="{00000000-0010-0000-4D00-000004000000}" name="Column4"/>
    <tableColumn id="5" xr3:uid="{00000000-0010-0000-4D00-000005000000}" name="Column5"/>
    <tableColumn id="6" xr3:uid="{00000000-0010-0000-4D00-000006000000}" name="Column6"/>
    <tableColumn id="7" xr3:uid="{00000000-0010-0000-4D00-000007000000}" name="Column7"/>
    <tableColumn id="8" xr3:uid="{00000000-0010-0000-4D00-000008000000}" name="Column8"/>
  </tableColumns>
  <tableStyleInfo name="Master 0.1-style 78"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N777:N780" headerRowCount="0">
  <tableColumns count="1">
    <tableColumn id="1" xr3:uid="{00000000-0010-0000-4E00-000001000000}" name="Column1"/>
  </tableColumns>
  <tableStyleInfo name="Master 0.1-style 79"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H1084:AI1085" headerRowCount="0">
  <tableColumns count="2">
    <tableColumn id="1" xr3:uid="{00000000-0010-0000-0700-000001000000}" name="Column1"/>
    <tableColumn id="2" xr3:uid="{00000000-0010-0000-0700-000002000000}" name="Column2"/>
  </tableColumns>
  <tableStyleInfo name="Master 0.1-style 8"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G901:AI903" headerRowCount="0">
  <tableColumns count="3">
    <tableColumn id="1" xr3:uid="{00000000-0010-0000-4F00-000001000000}" name="Column1"/>
    <tableColumn id="2" xr3:uid="{00000000-0010-0000-4F00-000002000000}" name="Column2"/>
    <tableColumn id="3" xr3:uid="{00000000-0010-0000-4F00-000003000000}" name="Column3"/>
  </tableColumns>
  <tableStyleInfo name="Master 0.1-style 80"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G929:AI931" headerRowCount="0">
  <tableColumns count="3">
    <tableColumn id="1" xr3:uid="{00000000-0010-0000-5000-000001000000}" name="Column1"/>
    <tableColumn id="2" xr3:uid="{00000000-0010-0000-5000-000002000000}" name="Column2"/>
    <tableColumn id="3" xr3:uid="{00000000-0010-0000-5000-000003000000}" name="Column3"/>
  </tableColumns>
  <tableStyleInfo name="Master 0.1-style 81"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S955" headerRowCount="0">
  <tableColumns count="1">
    <tableColumn id="1" xr3:uid="{00000000-0010-0000-5100-000001000000}" name="Column1"/>
  </tableColumns>
  <tableStyleInfo name="Master 0.1-style 82"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S962" headerRowCount="0">
  <tableColumns count="1">
    <tableColumn id="1" xr3:uid="{00000000-0010-0000-5200-000001000000}" name="Column1"/>
  </tableColumns>
  <tableStyleInfo name="Master 0.1-style 83"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J622:P622" headerRowCount="0">
  <tableColumns count="7">
    <tableColumn id="1" xr3:uid="{00000000-0010-0000-5300-000001000000}" name="Column1"/>
    <tableColumn id="2" xr3:uid="{00000000-0010-0000-5300-000002000000}" name="Column2"/>
    <tableColumn id="3" xr3:uid="{00000000-0010-0000-5300-000003000000}" name="Column3"/>
    <tableColumn id="4" xr3:uid="{00000000-0010-0000-5300-000004000000}" name="Column4"/>
    <tableColumn id="5" xr3:uid="{00000000-0010-0000-5300-000005000000}" name="Column5"/>
    <tableColumn id="6" xr3:uid="{00000000-0010-0000-5300-000006000000}" name="Column6"/>
    <tableColumn id="7" xr3:uid="{00000000-0010-0000-5300-000007000000}" name="Column7"/>
  </tableColumns>
  <tableStyleInfo name="Master 0.1-style 84"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J623:P623" headerRowCount="0">
  <tableColumns count="7">
    <tableColumn id="1" xr3:uid="{00000000-0010-0000-5400-000001000000}" name="Column1"/>
    <tableColumn id="2" xr3:uid="{00000000-0010-0000-5400-000002000000}" name="Column2"/>
    <tableColumn id="3" xr3:uid="{00000000-0010-0000-5400-000003000000}" name="Column3"/>
    <tableColumn id="4" xr3:uid="{00000000-0010-0000-5400-000004000000}" name="Column4"/>
    <tableColumn id="5" xr3:uid="{00000000-0010-0000-5400-000005000000}" name="Column5"/>
    <tableColumn id="6" xr3:uid="{00000000-0010-0000-5400-000006000000}" name="Column6"/>
    <tableColumn id="7" xr3:uid="{00000000-0010-0000-5400-000007000000}" name="Column7"/>
  </tableColumns>
  <tableStyleInfo name="Master 0.1-style 85"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J592:P596" headerRowCount="0">
  <tableColumns count="7">
    <tableColumn id="1" xr3:uid="{00000000-0010-0000-5500-000001000000}" name="Column1"/>
    <tableColumn id="2" xr3:uid="{00000000-0010-0000-5500-000002000000}" name="Column2"/>
    <tableColumn id="3" xr3:uid="{00000000-0010-0000-5500-000003000000}" name="Column3"/>
    <tableColumn id="4" xr3:uid="{00000000-0010-0000-5500-000004000000}" name="Column4"/>
    <tableColumn id="5" xr3:uid="{00000000-0010-0000-5500-000005000000}" name="Column5"/>
    <tableColumn id="6" xr3:uid="{00000000-0010-0000-5500-000006000000}" name="Column6"/>
    <tableColumn id="7" xr3:uid="{00000000-0010-0000-5500-000007000000}" name="Column7"/>
  </tableColumns>
  <tableStyleInfo name="Master 0.1-style 86"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V845:V861" headerRowCount="0">
  <tableColumns count="1">
    <tableColumn id="1" xr3:uid="{00000000-0010-0000-5600-000001000000}" name="Column1"/>
  </tableColumns>
  <tableStyleInfo name="Master 0.1-style 87"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V873:V938" headerRowCount="0">
  <tableColumns count="1">
    <tableColumn id="1" xr3:uid="{00000000-0010-0000-5700-000001000000}" name="Column1"/>
  </tableColumns>
  <tableStyleInfo name="Master 0.1-style 88"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V722" headerRowCount="0">
  <tableColumns count="1">
    <tableColumn id="1" xr3:uid="{00000000-0010-0000-5800-000001000000}" name="Column1"/>
  </tableColumns>
  <tableStyleInfo name="Master 0.1-style 89"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H1140:AI1141" headerRowCount="0">
  <tableColumns count="2">
    <tableColumn id="1" xr3:uid="{00000000-0010-0000-0800-000001000000}" name="Column1"/>
    <tableColumn id="2" xr3:uid="{00000000-0010-0000-0800-000002000000}" name="Column2"/>
  </tableColumns>
  <tableStyleInfo name="Master 0.1-style 9"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V611:V615" headerRowCount="0">
  <tableColumns count="1">
    <tableColumn id="1" xr3:uid="{00000000-0010-0000-5900-000001000000}" name="Column1"/>
  </tableColumns>
  <tableStyleInfo name="Master 0.1-style 90"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V688:V694" headerRowCount="0">
  <tableColumns count="1">
    <tableColumn id="1" xr3:uid="{00000000-0010-0000-5A00-000001000000}" name="Column1"/>
  </tableColumns>
  <tableStyleInfo name="Master 0.1-style 91"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V760:V764" headerRowCount="0">
  <tableColumns count="1">
    <tableColumn id="1" xr3:uid="{00000000-0010-0000-5B00-000001000000}" name="Column1"/>
  </tableColumns>
  <tableStyleInfo name="Master 0.1-style 92"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V955" headerRowCount="0">
  <tableColumns count="1">
    <tableColumn id="1" xr3:uid="{00000000-0010-0000-5C00-000001000000}" name="Column1"/>
  </tableColumns>
  <tableStyleInfo name="Master 0.1-style 93"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V962" headerRowCount="0">
  <tableColumns count="1">
    <tableColumn id="1" xr3:uid="{00000000-0010-0000-5D00-000001000000}" name="Column1"/>
  </tableColumns>
  <tableStyleInfo name="Master 0.1-style 94"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V664:V672" headerRowCount="0">
  <tableColumns count="1">
    <tableColumn id="1" xr3:uid="{00000000-0010-0000-5E00-000001000000}" name="Column1"/>
  </tableColumns>
  <tableStyleInfo name="Master 0.1-style 95"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V714" headerRowCount="0">
  <tableColumns count="1">
    <tableColumn id="1" xr3:uid="{00000000-0010-0000-5F00-000001000000}" name="Column1"/>
  </tableColumns>
  <tableStyleInfo name="Master 0.1-style 96"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AH859:AI860" headerRowCount="0">
  <tableColumns count="2">
    <tableColumn id="1" xr3:uid="{00000000-0010-0000-6000-000001000000}" name="Column1"/>
    <tableColumn id="2" xr3:uid="{00000000-0010-0000-6000-000002000000}" name="Column2"/>
  </tableColumns>
  <tableStyleInfo name="Master 0.1-style 97"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G861:AI861" headerRowCount="0">
  <tableColumns count="3">
    <tableColumn id="1" xr3:uid="{00000000-0010-0000-6100-000001000000}" name="Column1"/>
    <tableColumn id="2" xr3:uid="{00000000-0010-0000-6100-000002000000}" name="Column2"/>
    <tableColumn id="3" xr3:uid="{00000000-0010-0000-6100-000003000000}" name="Column3"/>
  </tableColumns>
  <tableStyleInfo name="Master 0.1-style 98"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G702:AI702" headerRowCount="0">
  <tableColumns count="3">
    <tableColumn id="1" xr3:uid="{00000000-0010-0000-6200-000001000000}" name="Column1"/>
    <tableColumn id="2" xr3:uid="{00000000-0010-0000-6200-000002000000}" name="Column2"/>
    <tableColumn id="3" xr3:uid="{00000000-0010-0000-6200-000003000000}" name="Column3"/>
  </tableColumns>
  <tableStyleInfo name="Master 0.1-style 9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table" Target="../tables/table116.xml"/><Relationship Id="rId21" Type="http://schemas.openxmlformats.org/officeDocument/2006/relationships/table" Target="../tables/table20.xml"/><Relationship Id="rId42" Type="http://schemas.openxmlformats.org/officeDocument/2006/relationships/table" Target="../tables/table41.xml"/><Relationship Id="rId63" Type="http://schemas.openxmlformats.org/officeDocument/2006/relationships/table" Target="../tables/table62.xml"/><Relationship Id="rId84" Type="http://schemas.openxmlformats.org/officeDocument/2006/relationships/table" Target="../tables/table83.xml"/><Relationship Id="rId138" Type="http://schemas.openxmlformats.org/officeDocument/2006/relationships/table" Target="../tables/table137.xml"/><Relationship Id="rId159" Type="http://schemas.openxmlformats.org/officeDocument/2006/relationships/table" Target="../tables/table158.xml"/><Relationship Id="rId170" Type="http://schemas.openxmlformats.org/officeDocument/2006/relationships/table" Target="../tables/table169.xml"/><Relationship Id="rId107" Type="http://schemas.openxmlformats.org/officeDocument/2006/relationships/table" Target="../tables/table106.xml"/><Relationship Id="rId11" Type="http://schemas.openxmlformats.org/officeDocument/2006/relationships/table" Target="../tables/table10.xml"/><Relationship Id="rId32" Type="http://schemas.openxmlformats.org/officeDocument/2006/relationships/table" Target="../tables/table31.xml"/><Relationship Id="rId53" Type="http://schemas.openxmlformats.org/officeDocument/2006/relationships/table" Target="../tables/table52.xml"/><Relationship Id="rId74" Type="http://schemas.openxmlformats.org/officeDocument/2006/relationships/table" Target="../tables/table73.xml"/><Relationship Id="rId128" Type="http://schemas.openxmlformats.org/officeDocument/2006/relationships/table" Target="../tables/table127.xml"/><Relationship Id="rId149" Type="http://schemas.openxmlformats.org/officeDocument/2006/relationships/table" Target="../tables/table148.xml"/><Relationship Id="rId5" Type="http://schemas.openxmlformats.org/officeDocument/2006/relationships/table" Target="../tables/table4.xml"/><Relationship Id="rId95" Type="http://schemas.openxmlformats.org/officeDocument/2006/relationships/table" Target="../tables/table94.xml"/><Relationship Id="rId160" Type="http://schemas.openxmlformats.org/officeDocument/2006/relationships/table" Target="../tables/table159.xml"/><Relationship Id="rId22" Type="http://schemas.openxmlformats.org/officeDocument/2006/relationships/table" Target="../tables/table21.xml"/><Relationship Id="rId43" Type="http://schemas.openxmlformats.org/officeDocument/2006/relationships/table" Target="../tables/table42.xml"/><Relationship Id="rId64" Type="http://schemas.openxmlformats.org/officeDocument/2006/relationships/table" Target="../tables/table63.xml"/><Relationship Id="rId118" Type="http://schemas.openxmlformats.org/officeDocument/2006/relationships/table" Target="../tables/table117.xml"/><Relationship Id="rId139" Type="http://schemas.openxmlformats.org/officeDocument/2006/relationships/table" Target="../tables/table138.xml"/><Relationship Id="rId85" Type="http://schemas.openxmlformats.org/officeDocument/2006/relationships/table" Target="../tables/table84.xml"/><Relationship Id="rId150" Type="http://schemas.openxmlformats.org/officeDocument/2006/relationships/table" Target="../tables/table149.xml"/><Relationship Id="rId171" Type="http://schemas.openxmlformats.org/officeDocument/2006/relationships/table" Target="../tables/table170.xml"/><Relationship Id="rId12" Type="http://schemas.openxmlformats.org/officeDocument/2006/relationships/table" Target="../tables/table11.xml"/><Relationship Id="rId33" Type="http://schemas.openxmlformats.org/officeDocument/2006/relationships/table" Target="../tables/table32.xml"/><Relationship Id="rId108" Type="http://schemas.openxmlformats.org/officeDocument/2006/relationships/table" Target="../tables/table107.xml"/><Relationship Id="rId129" Type="http://schemas.openxmlformats.org/officeDocument/2006/relationships/table" Target="../tables/table128.xml"/><Relationship Id="rId54" Type="http://schemas.openxmlformats.org/officeDocument/2006/relationships/table" Target="../tables/table53.xml"/><Relationship Id="rId70" Type="http://schemas.openxmlformats.org/officeDocument/2006/relationships/table" Target="../tables/table69.xml"/><Relationship Id="rId75" Type="http://schemas.openxmlformats.org/officeDocument/2006/relationships/table" Target="../tables/table74.xml"/><Relationship Id="rId91" Type="http://schemas.openxmlformats.org/officeDocument/2006/relationships/table" Target="../tables/table90.xml"/><Relationship Id="rId96" Type="http://schemas.openxmlformats.org/officeDocument/2006/relationships/table" Target="../tables/table95.xml"/><Relationship Id="rId140" Type="http://schemas.openxmlformats.org/officeDocument/2006/relationships/table" Target="../tables/table139.xml"/><Relationship Id="rId145" Type="http://schemas.openxmlformats.org/officeDocument/2006/relationships/table" Target="../tables/table144.xml"/><Relationship Id="rId161" Type="http://schemas.openxmlformats.org/officeDocument/2006/relationships/table" Target="../tables/table160.xml"/><Relationship Id="rId166" Type="http://schemas.openxmlformats.org/officeDocument/2006/relationships/table" Target="../tables/table165.xml"/><Relationship Id="rId1" Type="http://schemas.openxmlformats.org/officeDocument/2006/relationships/drawing" Target="../drawings/drawing1.xml"/><Relationship Id="rId6" Type="http://schemas.openxmlformats.org/officeDocument/2006/relationships/table" Target="../tables/table5.xml"/><Relationship Id="rId23" Type="http://schemas.openxmlformats.org/officeDocument/2006/relationships/table" Target="../tables/table22.xml"/><Relationship Id="rId28" Type="http://schemas.openxmlformats.org/officeDocument/2006/relationships/table" Target="../tables/table27.xml"/><Relationship Id="rId49" Type="http://schemas.openxmlformats.org/officeDocument/2006/relationships/table" Target="../tables/table48.xml"/><Relationship Id="rId114" Type="http://schemas.openxmlformats.org/officeDocument/2006/relationships/table" Target="../tables/table113.xml"/><Relationship Id="rId119" Type="http://schemas.openxmlformats.org/officeDocument/2006/relationships/table" Target="../tables/table118.xml"/><Relationship Id="rId44" Type="http://schemas.openxmlformats.org/officeDocument/2006/relationships/table" Target="../tables/table43.xml"/><Relationship Id="rId60" Type="http://schemas.openxmlformats.org/officeDocument/2006/relationships/table" Target="../tables/table59.xml"/><Relationship Id="rId65" Type="http://schemas.openxmlformats.org/officeDocument/2006/relationships/table" Target="../tables/table64.xml"/><Relationship Id="rId81" Type="http://schemas.openxmlformats.org/officeDocument/2006/relationships/table" Target="../tables/table80.xml"/><Relationship Id="rId86" Type="http://schemas.openxmlformats.org/officeDocument/2006/relationships/table" Target="../tables/table85.xml"/><Relationship Id="rId130" Type="http://schemas.openxmlformats.org/officeDocument/2006/relationships/table" Target="../tables/table129.xml"/><Relationship Id="rId135" Type="http://schemas.openxmlformats.org/officeDocument/2006/relationships/table" Target="../tables/table134.xml"/><Relationship Id="rId151" Type="http://schemas.openxmlformats.org/officeDocument/2006/relationships/table" Target="../tables/table150.xml"/><Relationship Id="rId156" Type="http://schemas.openxmlformats.org/officeDocument/2006/relationships/table" Target="../tables/table155.xml"/><Relationship Id="rId13" Type="http://schemas.openxmlformats.org/officeDocument/2006/relationships/table" Target="../tables/table12.xml"/><Relationship Id="rId18" Type="http://schemas.openxmlformats.org/officeDocument/2006/relationships/table" Target="../tables/table17.xml"/><Relationship Id="rId39" Type="http://schemas.openxmlformats.org/officeDocument/2006/relationships/table" Target="../tables/table38.xml"/><Relationship Id="rId109" Type="http://schemas.openxmlformats.org/officeDocument/2006/relationships/table" Target="../tables/table108.xml"/><Relationship Id="rId34" Type="http://schemas.openxmlformats.org/officeDocument/2006/relationships/table" Target="../tables/table33.xml"/><Relationship Id="rId50" Type="http://schemas.openxmlformats.org/officeDocument/2006/relationships/table" Target="../tables/table49.xml"/><Relationship Id="rId55" Type="http://schemas.openxmlformats.org/officeDocument/2006/relationships/table" Target="../tables/table54.xml"/><Relationship Id="rId76" Type="http://schemas.openxmlformats.org/officeDocument/2006/relationships/table" Target="../tables/table75.xml"/><Relationship Id="rId97" Type="http://schemas.openxmlformats.org/officeDocument/2006/relationships/table" Target="../tables/table96.xml"/><Relationship Id="rId104" Type="http://schemas.openxmlformats.org/officeDocument/2006/relationships/table" Target="../tables/table103.xml"/><Relationship Id="rId120" Type="http://schemas.openxmlformats.org/officeDocument/2006/relationships/table" Target="../tables/table119.xml"/><Relationship Id="rId125" Type="http://schemas.openxmlformats.org/officeDocument/2006/relationships/table" Target="../tables/table124.xml"/><Relationship Id="rId141" Type="http://schemas.openxmlformats.org/officeDocument/2006/relationships/table" Target="../tables/table140.xml"/><Relationship Id="rId146" Type="http://schemas.openxmlformats.org/officeDocument/2006/relationships/table" Target="../tables/table145.xml"/><Relationship Id="rId167" Type="http://schemas.openxmlformats.org/officeDocument/2006/relationships/table" Target="../tables/table166.xml"/><Relationship Id="rId7" Type="http://schemas.openxmlformats.org/officeDocument/2006/relationships/table" Target="../tables/table6.xml"/><Relationship Id="rId71" Type="http://schemas.openxmlformats.org/officeDocument/2006/relationships/table" Target="../tables/table70.xml"/><Relationship Id="rId92" Type="http://schemas.openxmlformats.org/officeDocument/2006/relationships/table" Target="../tables/table91.xml"/><Relationship Id="rId162" Type="http://schemas.openxmlformats.org/officeDocument/2006/relationships/table" Target="../tables/table161.xml"/><Relationship Id="rId2" Type="http://schemas.openxmlformats.org/officeDocument/2006/relationships/table" Target="../tables/table1.xml"/><Relationship Id="rId29" Type="http://schemas.openxmlformats.org/officeDocument/2006/relationships/table" Target="../tables/table28.xml"/><Relationship Id="rId24" Type="http://schemas.openxmlformats.org/officeDocument/2006/relationships/table" Target="../tables/table23.xml"/><Relationship Id="rId40" Type="http://schemas.openxmlformats.org/officeDocument/2006/relationships/table" Target="../tables/table39.xml"/><Relationship Id="rId45" Type="http://schemas.openxmlformats.org/officeDocument/2006/relationships/table" Target="../tables/table44.xml"/><Relationship Id="rId66" Type="http://schemas.openxmlformats.org/officeDocument/2006/relationships/table" Target="../tables/table65.xml"/><Relationship Id="rId87" Type="http://schemas.openxmlformats.org/officeDocument/2006/relationships/table" Target="../tables/table86.xml"/><Relationship Id="rId110" Type="http://schemas.openxmlformats.org/officeDocument/2006/relationships/table" Target="../tables/table109.xml"/><Relationship Id="rId115" Type="http://schemas.openxmlformats.org/officeDocument/2006/relationships/table" Target="../tables/table114.xml"/><Relationship Id="rId131" Type="http://schemas.openxmlformats.org/officeDocument/2006/relationships/table" Target="../tables/table130.xml"/><Relationship Id="rId136" Type="http://schemas.openxmlformats.org/officeDocument/2006/relationships/table" Target="../tables/table135.xml"/><Relationship Id="rId157" Type="http://schemas.openxmlformats.org/officeDocument/2006/relationships/table" Target="../tables/table156.xml"/><Relationship Id="rId61" Type="http://schemas.openxmlformats.org/officeDocument/2006/relationships/table" Target="../tables/table60.xml"/><Relationship Id="rId82" Type="http://schemas.openxmlformats.org/officeDocument/2006/relationships/table" Target="../tables/table81.xml"/><Relationship Id="rId152" Type="http://schemas.openxmlformats.org/officeDocument/2006/relationships/table" Target="../tables/table151.xml"/><Relationship Id="rId19" Type="http://schemas.openxmlformats.org/officeDocument/2006/relationships/table" Target="../tables/table18.xml"/><Relationship Id="rId14" Type="http://schemas.openxmlformats.org/officeDocument/2006/relationships/table" Target="../tables/table13.xml"/><Relationship Id="rId30" Type="http://schemas.openxmlformats.org/officeDocument/2006/relationships/table" Target="../tables/table29.xml"/><Relationship Id="rId35" Type="http://schemas.openxmlformats.org/officeDocument/2006/relationships/table" Target="../tables/table34.xml"/><Relationship Id="rId56" Type="http://schemas.openxmlformats.org/officeDocument/2006/relationships/table" Target="../tables/table55.xml"/><Relationship Id="rId77" Type="http://schemas.openxmlformats.org/officeDocument/2006/relationships/table" Target="../tables/table76.xml"/><Relationship Id="rId100" Type="http://schemas.openxmlformats.org/officeDocument/2006/relationships/table" Target="../tables/table99.xml"/><Relationship Id="rId105" Type="http://schemas.openxmlformats.org/officeDocument/2006/relationships/table" Target="../tables/table104.xml"/><Relationship Id="rId126" Type="http://schemas.openxmlformats.org/officeDocument/2006/relationships/table" Target="../tables/table125.xml"/><Relationship Id="rId147" Type="http://schemas.openxmlformats.org/officeDocument/2006/relationships/table" Target="../tables/table146.xml"/><Relationship Id="rId168" Type="http://schemas.openxmlformats.org/officeDocument/2006/relationships/table" Target="../tables/table167.xml"/><Relationship Id="rId8" Type="http://schemas.openxmlformats.org/officeDocument/2006/relationships/table" Target="../tables/table7.xml"/><Relationship Id="rId51" Type="http://schemas.openxmlformats.org/officeDocument/2006/relationships/table" Target="../tables/table50.xml"/><Relationship Id="rId72" Type="http://schemas.openxmlformats.org/officeDocument/2006/relationships/table" Target="../tables/table71.xml"/><Relationship Id="rId93" Type="http://schemas.openxmlformats.org/officeDocument/2006/relationships/table" Target="../tables/table92.xml"/><Relationship Id="rId98" Type="http://schemas.openxmlformats.org/officeDocument/2006/relationships/table" Target="../tables/table97.xml"/><Relationship Id="rId121" Type="http://schemas.openxmlformats.org/officeDocument/2006/relationships/table" Target="../tables/table120.xml"/><Relationship Id="rId142" Type="http://schemas.openxmlformats.org/officeDocument/2006/relationships/table" Target="../tables/table141.xml"/><Relationship Id="rId163" Type="http://schemas.openxmlformats.org/officeDocument/2006/relationships/table" Target="../tables/table162.xml"/><Relationship Id="rId3" Type="http://schemas.openxmlformats.org/officeDocument/2006/relationships/table" Target="../tables/table2.xml"/><Relationship Id="rId25" Type="http://schemas.openxmlformats.org/officeDocument/2006/relationships/table" Target="../tables/table24.xml"/><Relationship Id="rId46" Type="http://schemas.openxmlformats.org/officeDocument/2006/relationships/table" Target="../tables/table45.xml"/><Relationship Id="rId67" Type="http://schemas.openxmlformats.org/officeDocument/2006/relationships/table" Target="../tables/table66.xml"/><Relationship Id="rId116" Type="http://schemas.openxmlformats.org/officeDocument/2006/relationships/table" Target="../tables/table115.xml"/><Relationship Id="rId137" Type="http://schemas.openxmlformats.org/officeDocument/2006/relationships/table" Target="../tables/table136.xml"/><Relationship Id="rId158" Type="http://schemas.openxmlformats.org/officeDocument/2006/relationships/table" Target="../tables/table157.xml"/><Relationship Id="rId20" Type="http://schemas.openxmlformats.org/officeDocument/2006/relationships/table" Target="../tables/table19.xml"/><Relationship Id="rId41" Type="http://schemas.openxmlformats.org/officeDocument/2006/relationships/table" Target="../tables/table40.xml"/><Relationship Id="rId62" Type="http://schemas.openxmlformats.org/officeDocument/2006/relationships/table" Target="../tables/table61.xml"/><Relationship Id="rId83" Type="http://schemas.openxmlformats.org/officeDocument/2006/relationships/table" Target="../tables/table82.xml"/><Relationship Id="rId88" Type="http://schemas.openxmlformats.org/officeDocument/2006/relationships/table" Target="../tables/table87.xml"/><Relationship Id="rId111" Type="http://schemas.openxmlformats.org/officeDocument/2006/relationships/table" Target="../tables/table110.xml"/><Relationship Id="rId132" Type="http://schemas.openxmlformats.org/officeDocument/2006/relationships/table" Target="../tables/table131.xml"/><Relationship Id="rId153" Type="http://schemas.openxmlformats.org/officeDocument/2006/relationships/table" Target="../tables/table152.xml"/><Relationship Id="rId15" Type="http://schemas.openxmlformats.org/officeDocument/2006/relationships/table" Target="../tables/table14.xml"/><Relationship Id="rId36" Type="http://schemas.openxmlformats.org/officeDocument/2006/relationships/table" Target="../tables/table35.xml"/><Relationship Id="rId57" Type="http://schemas.openxmlformats.org/officeDocument/2006/relationships/table" Target="../tables/table56.xml"/><Relationship Id="rId106" Type="http://schemas.openxmlformats.org/officeDocument/2006/relationships/table" Target="../tables/table105.xml"/><Relationship Id="rId127" Type="http://schemas.openxmlformats.org/officeDocument/2006/relationships/table" Target="../tables/table126.xml"/><Relationship Id="rId10" Type="http://schemas.openxmlformats.org/officeDocument/2006/relationships/table" Target="../tables/table9.xml"/><Relationship Id="rId31" Type="http://schemas.openxmlformats.org/officeDocument/2006/relationships/table" Target="../tables/table30.xml"/><Relationship Id="rId52" Type="http://schemas.openxmlformats.org/officeDocument/2006/relationships/table" Target="../tables/table51.xml"/><Relationship Id="rId73" Type="http://schemas.openxmlformats.org/officeDocument/2006/relationships/table" Target="../tables/table72.xml"/><Relationship Id="rId78" Type="http://schemas.openxmlformats.org/officeDocument/2006/relationships/table" Target="../tables/table77.xml"/><Relationship Id="rId94" Type="http://schemas.openxmlformats.org/officeDocument/2006/relationships/table" Target="../tables/table93.xml"/><Relationship Id="rId99" Type="http://schemas.openxmlformats.org/officeDocument/2006/relationships/table" Target="../tables/table98.xml"/><Relationship Id="rId101" Type="http://schemas.openxmlformats.org/officeDocument/2006/relationships/table" Target="../tables/table100.xml"/><Relationship Id="rId122" Type="http://schemas.openxmlformats.org/officeDocument/2006/relationships/table" Target="../tables/table121.xml"/><Relationship Id="rId143" Type="http://schemas.openxmlformats.org/officeDocument/2006/relationships/table" Target="../tables/table142.xml"/><Relationship Id="rId148" Type="http://schemas.openxmlformats.org/officeDocument/2006/relationships/table" Target="../tables/table147.xml"/><Relationship Id="rId164" Type="http://schemas.openxmlformats.org/officeDocument/2006/relationships/table" Target="../tables/table163.xml"/><Relationship Id="rId169" Type="http://schemas.openxmlformats.org/officeDocument/2006/relationships/table" Target="../tables/table168.xml"/><Relationship Id="rId4" Type="http://schemas.openxmlformats.org/officeDocument/2006/relationships/table" Target="../tables/table3.xml"/><Relationship Id="rId9" Type="http://schemas.openxmlformats.org/officeDocument/2006/relationships/table" Target="../tables/table8.xml"/><Relationship Id="rId26" Type="http://schemas.openxmlformats.org/officeDocument/2006/relationships/table" Target="../tables/table25.xml"/><Relationship Id="rId47" Type="http://schemas.openxmlformats.org/officeDocument/2006/relationships/table" Target="../tables/table46.xml"/><Relationship Id="rId68" Type="http://schemas.openxmlformats.org/officeDocument/2006/relationships/table" Target="../tables/table67.xml"/><Relationship Id="rId89" Type="http://schemas.openxmlformats.org/officeDocument/2006/relationships/table" Target="../tables/table88.xml"/><Relationship Id="rId112" Type="http://schemas.openxmlformats.org/officeDocument/2006/relationships/table" Target="../tables/table111.xml"/><Relationship Id="rId133" Type="http://schemas.openxmlformats.org/officeDocument/2006/relationships/table" Target="../tables/table132.xml"/><Relationship Id="rId154" Type="http://schemas.openxmlformats.org/officeDocument/2006/relationships/table" Target="../tables/table153.xml"/><Relationship Id="rId16" Type="http://schemas.openxmlformats.org/officeDocument/2006/relationships/table" Target="../tables/table15.xml"/><Relationship Id="rId37" Type="http://schemas.openxmlformats.org/officeDocument/2006/relationships/table" Target="../tables/table36.xml"/><Relationship Id="rId58" Type="http://schemas.openxmlformats.org/officeDocument/2006/relationships/table" Target="../tables/table57.xml"/><Relationship Id="rId79" Type="http://schemas.openxmlformats.org/officeDocument/2006/relationships/table" Target="../tables/table78.xml"/><Relationship Id="rId102" Type="http://schemas.openxmlformats.org/officeDocument/2006/relationships/table" Target="../tables/table101.xml"/><Relationship Id="rId123" Type="http://schemas.openxmlformats.org/officeDocument/2006/relationships/table" Target="../tables/table122.xml"/><Relationship Id="rId144" Type="http://schemas.openxmlformats.org/officeDocument/2006/relationships/table" Target="../tables/table143.xml"/><Relationship Id="rId90" Type="http://schemas.openxmlformats.org/officeDocument/2006/relationships/table" Target="../tables/table89.xml"/><Relationship Id="rId165" Type="http://schemas.openxmlformats.org/officeDocument/2006/relationships/table" Target="../tables/table164.xml"/><Relationship Id="rId27" Type="http://schemas.openxmlformats.org/officeDocument/2006/relationships/table" Target="../tables/table26.xml"/><Relationship Id="rId48" Type="http://schemas.openxmlformats.org/officeDocument/2006/relationships/table" Target="../tables/table47.xml"/><Relationship Id="rId69" Type="http://schemas.openxmlformats.org/officeDocument/2006/relationships/table" Target="../tables/table68.xml"/><Relationship Id="rId113" Type="http://schemas.openxmlformats.org/officeDocument/2006/relationships/table" Target="../tables/table112.xml"/><Relationship Id="rId134" Type="http://schemas.openxmlformats.org/officeDocument/2006/relationships/table" Target="../tables/table133.xml"/><Relationship Id="rId80" Type="http://schemas.openxmlformats.org/officeDocument/2006/relationships/table" Target="../tables/table79.xml"/><Relationship Id="rId155" Type="http://schemas.openxmlformats.org/officeDocument/2006/relationships/table" Target="../tables/table154.xml"/><Relationship Id="rId17" Type="http://schemas.openxmlformats.org/officeDocument/2006/relationships/table" Target="../tables/table16.xml"/><Relationship Id="rId38" Type="http://schemas.openxmlformats.org/officeDocument/2006/relationships/table" Target="../tables/table37.xml"/><Relationship Id="rId59" Type="http://schemas.openxmlformats.org/officeDocument/2006/relationships/table" Target="../tables/table58.xml"/><Relationship Id="rId103" Type="http://schemas.openxmlformats.org/officeDocument/2006/relationships/table" Target="../tables/table102.xml"/><Relationship Id="rId124" Type="http://schemas.openxmlformats.org/officeDocument/2006/relationships/table" Target="../tables/table12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3" Type="http://schemas.openxmlformats.org/officeDocument/2006/relationships/hyperlink" Target="http://who.int/cg/CodeSystem/extended-content" TargetMode="External"/><Relationship Id="rId18" Type="http://schemas.openxmlformats.org/officeDocument/2006/relationships/hyperlink" Target="http://who.int/cg/CodeSystem/extended-content" TargetMode="External"/><Relationship Id="rId26" Type="http://schemas.openxmlformats.org/officeDocument/2006/relationships/hyperlink" Target="http://who.int/cg/CodeSystem/extended-content" TargetMode="External"/><Relationship Id="rId3" Type="http://schemas.openxmlformats.org/officeDocument/2006/relationships/hyperlink" Target="http://who.int/cg/CodeSystem/extended-content" TargetMode="External"/><Relationship Id="rId21" Type="http://schemas.openxmlformats.org/officeDocument/2006/relationships/hyperlink" Target="http://who.int/cg/CodeSystem/extended-content" TargetMode="External"/><Relationship Id="rId34" Type="http://schemas.openxmlformats.org/officeDocument/2006/relationships/hyperlink" Target="http://who.int/cg/CodeSystem/extended-content" TargetMode="External"/><Relationship Id="rId7" Type="http://schemas.openxmlformats.org/officeDocument/2006/relationships/hyperlink" Target="http://who.int/cg/CodeSystem/extended-content" TargetMode="External"/><Relationship Id="rId12" Type="http://schemas.openxmlformats.org/officeDocument/2006/relationships/hyperlink" Target="http://who.int/cg/CodeSystem/extended-content" TargetMode="External"/><Relationship Id="rId17" Type="http://schemas.openxmlformats.org/officeDocument/2006/relationships/hyperlink" Target="http://who.int/cg/CodeSystem/extended-content" TargetMode="External"/><Relationship Id="rId25" Type="http://schemas.openxmlformats.org/officeDocument/2006/relationships/hyperlink" Target="http://who.int/cg/CodeSystem/extended-content" TargetMode="External"/><Relationship Id="rId33" Type="http://schemas.openxmlformats.org/officeDocument/2006/relationships/hyperlink" Target="http://who.int/cg/CodeSystem/extended-content" TargetMode="External"/><Relationship Id="rId2" Type="http://schemas.openxmlformats.org/officeDocument/2006/relationships/pivotTable" Target="../pivotTables/pivotTable4.xml"/><Relationship Id="rId16" Type="http://schemas.openxmlformats.org/officeDocument/2006/relationships/hyperlink" Target="http://who.int/cg/CodeSystem/extended-content" TargetMode="External"/><Relationship Id="rId20" Type="http://schemas.openxmlformats.org/officeDocument/2006/relationships/hyperlink" Target="http://who.int/cg/CodeSystem/extended-content" TargetMode="External"/><Relationship Id="rId29" Type="http://schemas.openxmlformats.org/officeDocument/2006/relationships/hyperlink" Target="http://who.int/cg/CodeSystem/extended-content" TargetMode="External"/><Relationship Id="rId1" Type="http://schemas.openxmlformats.org/officeDocument/2006/relationships/pivotTable" Target="../pivotTables/pivotTable3.xml"/><Relationship Id="rId6" Type="http://schemas.openxmlformats.org/officeDocument/2006/relationships/hyperlink" Target="http://who.int/cg/CodeSystem/extended-content" TargetMode="External"/><Relationship Id="rId11" Type="http://schemas.openxmlformats.org/officeDocument/2006/relationships/hyperlink" Target="http://who.int/cg/CodeSystem/extended-content" TargetMode="External"/><Relationship Id="rId24" Type="http://schemas.openxmlformats.org/officeDocument/2006/relationships/hyperlink" Target="http://who.int/cg/CodeSystem/extended-content" TargetMode="External"/><Relationship Id="rId32" Type="http://schemas.openxmlformats.org/officeDocument/2006/relationships/hyperlink" Target="http://who.int/cg/CodeSystem/extended-content" TargetMode="External"/><Relationship Id="rId5" Type="http://schemas.openxmlformats.org/officeDocument/2006/relationships/hyperlink" Target="http://who.int/cg/CodeSystem/extended-content" TargetMode="External"/><Relationship Id="rId15" Type="http://schemas.openxmlformats.org/officeDocument/2006/relationships/hyperlink" Target="http://who.int/cg/CodeSystem/extended-content" TargetMode="External"/><Relationship Id="rId23" Type="http://schemas.openxmlformats.org/officeDocument/2006/relationships/hyperlink" Target="http://who.int/cg/CodeSystem/extended-content" TargetMode="External"/><Relationship Id="rId28" Type="http://schemas.openxmlformats.org/officeDocument/2006/relationships/hyperlink" Target="http://who.int/cg/CodeSystem/extended-content" TargetMode="External"/><Relationship Id="rId10" Type="http://schemas.openxmlformats.org/officeDocument/2006/relationships/hyperlink" Target="http://who.int/cg/CodeSystem/extended-content" TargetMode="External"/><Relationship Id="rId19" Type="http://schemas.openxmlformats.org/officeDocument/2006/relationships/hyperlink" Target="http://who.int/cg/CodeSystem/extended-content" TargetMode="External"/><Relationship Id="rId31" Type="http://schemas.openxmlformats.org/officeDocument/2006/relationships/hyperlink" Target="http://who.int/cg/CodeSystem/extended-content" TargetMode="External"/><Relationship Id="rId4" Type="http://schemas.openxmlformats.org/officeDocument/2006/relationships/hyperlink" Target="http://who.int/cg/CodeSystem/extended-content" TargetMode="External"/><Relationship Id="rId9" Type="http://schemas.openxmlformats.org/officeDocument/2006/relationships/hyperlink" Target="http://who.int/cg/CodeSystem/extended-content" TargetMode="External"/><Relationship Id="rId14" Type="http://schemas.openxmlformats.org/officeDocument/2006/relationships/hyperlink" Target="http://who.int/cg/CodeSystem/extended-content" TargetMode="External"/><Relationship Id="rId22" Type="http://schemas.openxmlformats.org/officeDocument/2006/relationships/hyperlink" Target="http://who.int/cg/CodeSystem/extended-content" TargetMode="External"/><Relationship Id="rId27" Type="http://schemas.openxmlformats.org/officeDocument/2006/relationships/hyperlink" Target="http://who.int/cg/CodeSystem/extended-content" TargetMode="External"/><Relationship Id="rId30" Type="http://schemas.openxmlformats.org/officeDocument/2006/relationships/hyperlink" Target="http://who.int/cg/CodeSystem/extended-content" TargetMode="External"/><Relationship Id="rId35" Type="http://schemas.openxmlformats.org/officeDocument/2006/relationships/hyperlink" Target="http://who.int/cg/CodeSystem/extended-content" TargetMode="External"/><Relationship Id="rId8" Type="http://schemas.openxmlformats.org/officeDocument/2006/relationships/hyperlink" Target="http://who.int/cg/CodeSystem/extended-conten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terminology.hl7.org/CodeSystem/v3-MaritalStatus" TargetMode="External"/><Relationship Id="rId13" Type="http://schemas.openxmlformats.org/officeDocument/2006/relationships/hyperlink" Target="http://hl7.org/fhir/StructureDefinition/bp" TargetMode="External"/><Relationship Id="rId18" Type="http://schemas.openxmlformats.org/officeDocument/2006/relationships/hyperlink" Target="https://www.hl7.org/fhir/codesystem-address-use.html" TargetMode="External"/><Relationship Id="rId3" Type="http://schemas.openxmlformats.org/officeDocument/2006/relationships/hyperlink" Target="https://www.hl7.org/fhir/codesystem-administrative-gender.html" TargetMode="External"/><Relationship Id="rId21" Type="http://schemas.openxmlformats.org/officeDocument/2006/relationships/hyperlink" Target="http://terminology.hl7.org/CodeSystem/v3-EducationLevel" TargetMode="External"/><Relationship Id="rId7" Type="http://schemas.openxmlformats.org/officeDocument/2006/relationships/hyperlink" Target="http://terminology.hl7.org/CodeSystem/v3-MaritalStatus" TargetMode="External"/><Relationship Id="rId12" Type="http://schemas.openxmlformats.org/officeDocument/2006/relationships/hyperlink" Target="http://hl7.org/fhir/StructureDefinition/bodyweight" TargetMode="External"/><Relationship Id="rId17" Type="http://schemas.openxmlformats.org/officeDocument/2006/relationships/hyperlink" Target="http://hl7.org/fhir/ValueSet/medication-codes" TargetMode="External"/><Relationship Id="rId25" Type="http://schemas.openxmlformats.org/officeDocument/2006/relationships/comments" Target="../comments1.xml"/><Relationship Id="rId2" Type="http://schemas.openxmlformats.org/officeDocument/2006/relationships/hyperlink" Target="https://www.hl7.org/fhir/codesystem-administrative-gender.html" TargetMode="External"/><Relationship Id="rId16" Type="http://schemas.openxmlformats.org/officeDocument/2006/relationships/hyperlink" Target="https://phinvads.cdc.gov/vads/ViewCodeSystemConcept.action?oid=2.16.840.1.113883.6.96&amp;code=68566005" TargetMode="External"/><Relationship Id="rId20" Type="http://schemas.openxmlformats.org/officeDocument/2006/relationships/hyperlink" Target="http://terminology.hl7.org/CodeSystem/v3-EducationLevel" TargetMode="External"/><Relationship Id="rId1" Type="http://schemas.openxmlformats.org/officeDocument/2006/relationships/hyperlink" Target="https://loinc.org/76427-4" TargetMode="External"/><Relationship Id="rId6" Type="http://schemas.openxmlformats.org/officeDocument/2006/relationships/hyperlink" Target="http://terminology.hl7.org/CodeSystem/v3-MaritalStatus" TargetMode="External"/><Relationship Id="rId11" Type="http://schemas.openxmlformats.org/officeDocument/2006/relationships/hyperlink" Target="http://hl7.org/fhir/StructureDefinition/bodyheight" TargetMode="External"/><Relationship Id="rId24" Type="http://schemas.openxmlformats.org/officeDocument/2006/relationships/vmlDrawing" Target="../drawings/vmlDrawing1.vml"/><Relationship Id="rId5" Type="http://schemas.openxmlformats.org/officeDocument/2006/relationships/hyperlink" Target="https://www.hl7.org/fhir/codesystem-administrative-gender.html" TargetMode="External"/><Relationship Id="rId15" Type="http://schemas.openxmlformats.org/officeDocument/2006/relationships/hyperlink" Target="http://snomed.info/sct" TargetMode="External"/><Relationship Id="rId23" Type="http://schemas.openxmlformats.org/officeDocument/2006/relationships/hyperlink" Target="https://www.hl7.org/fhir/v3/ActCoverageTypeCode/vs.html" TargetMode="External"/><Relationship Id="rId10" Type="http://schemas.openxmlformats.org/officeDocument/2006/relationships/hyperlink" Target="http://terminology.hl7.org/CodeSystem/v3-MaritalStatus" TargetMode="External"/><Relationship Id="rId19" Type="http://schemas.openxmlformats.org/officeDocument/2006/relationships/hyperlink" Target="http://terminology.hl7.org/CodeSystem/v3-EducationLevel" TargetMode="External"/><Relationship Id="rId4" Type="http://schemas.openxmlformats.org/officeDocument/2006/relationships/hyperlink" Target="https://www.hl7.org/fhir/codesystem-administrative-gender.html" TargetMode="External"/><Relationship Id="rId9" Type="http://schemas.openxmlformats.org/officeDocument/2006/relationships/hyperlink" Target="http://terminology.hl7.org/CodeSystem/v3-MaritalStatus" TargetMode="External"/><Relationship Id="rId14" Type="http://schemas.openxmlformats.org/officeDocument/2006/relationships/hyperlink" Target="http://hl7.org/fhir/StructureDefinition/bp" TargetMode="External"/><Relationship Id="rId22" Type="http://schemas.openxmlformats.org/officeDocument/2006/relationships/hyperlink" Target="https://www.hl7.org/fhir/codesystem-fm-status.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ho.int/cg/CodeSystem/extended-content" TargetMode="External"/><Relationship Id="rId21" Type="http://schemas.openxmlformats.org/officeDocument/2006/relationships/hyperlink" Target="http://hl7.org/fhir/who-int/core/ImplementationGuide/core/ValueSet/devicebirthcontrolmethods-values" TargetMode="External"/><Relationship Id="rId42" Type="http://schemas.openxmlformats.org/officeDocument/2006/relationships/hyperlink" Target="http://who.int/cg/CodeSystem/extended-content" TargetMode="External"/><Relationship Id="rId63" Type="http://schemas.openxmlformats.org/officeDocument/2006/relationships/hyperlink" Target="http://terminology.hl7.org/CodeSystem/condition-clinical" TargetMode="External"/><Relationship Id="rId84" Type="http://schemas.openxmlformats.org/officeDocument/2006/relationships/hyperlink" Target="http://who.int/cg/CodeSystem/extended-content" TargetMode="External"/><Relationship Id="rId16" Type="http://schemas.openxmlformats.org/officeDocument/2006/relationships/hyperlink" Target="http://who.int/cg/CodeSystem/extended-content" TargetMode="External"/><Relationship Id="rId107" Type="http://schemas.openxmlformats.org/officeDocument/2006/relationships/hyperlink" Target="http://www.hl7.org/fhir/codesystem-observation-status.html" TargetMode="External"/><Relationship Id="rId11" Type="http://schemas.openxmlformats.org/officeDocument/2006/relationships/hyperlink" Target="http://hl7.org/fhir/administrative-gender" TargetMode="External"/><Relationship Id="rId32" Type="http://schemas.openxmlformats.org/officeDocument/2006/relationships/hyperlink" Target="http://who.int/cg/CodeSystem/extended-content" TargetMode="External"/><Relationship Id="rId37" Type="http://schemas.openxmlformats.org/officeDocument/2006/relationships/hyperlink" Target="http://who.int/cg/CodeSystem/extended-content" TargetMode="External"/><Relationship Id="rId53" Type="http://schemas.openxmlformats.org/officeDocument/2006/relationships/hyperlink" Target="http://hl7.org/fhir/event-status" TargetMode="External"/><Relationship Id="rId58" Type="http://schemas.openxmlformats.org/officeDocument/2006/relationships/hyperlink" Target="http://who.int/cg/CodeSystem/extended-content" TargetMode="External"/><Relationship Id="rId74" Type="http://schemas.openxmlformats.org/officeDocument/2006/relationships/hyperlink" Target="http://who.int/cg/CodeSystem/extended-content" TargetMode="External"/><Relationship Id="rId79" Type="http://schemas.openxmlformats.org/officeDocument/2006/relationships/hyperlink" Target="http://who.int/cg/CodeSystem/extended-content" TargetMode="External"/><Relationship Id="rId102" Type="http://schemas.openxmlformats.org/officeDocument/2006/relationships/hyperlink" Target="https://www.hl7.org/fhir/codesystem-observation-status.html" TargetMode="External"/><Relationship Id="rId123" Type="http://schemas.openxmlformats.org/officeDocument/2006/relationships/hyperlink" Target="http://hl7.org/fhir/ValueSet/communication-not-done-reason" TargetMode="External"/><Relationship Id="rId128" Type="http://schemas.openxmlformats.org/officeDocument/2006/relationships/hyperlink" Target="http://hl7.org/fhir/ValueSet/communication-not-done-reason" TargetMode="External"/><Relationship Id="rId5" Type="http://schemas.openxmlformats.org/officeDocument/2006/relationships/hyperlink" Target="http://who.int/cg/CodeSystem/extended-content" TargetMode="External"/><Relationship Id="rId90" Type="http://schemas.openxmlformats.org/officeDocument/2006/relationships/hyperlink" Target="http://who.int/cg/CodeSystem/extended-content" TargetMode="External"/><Relationship Id="rId95" Type="http://schemas.openxmlformats.org/officeDocument/2006/relationships/hyperlink" Target="http://who.int/cg/CodeSystem/extended-content" TargetMode="External"/><Relationship Id="rId22" Type="http://schemas.openxmlformats.org/officeDocument/2006/relationships/hyperlink" Target="http://hl7.org/fhir/who-int/core/ImplementationGuide/core/ValueSet/medicationbirthcontrolmethods-values" TargetMode="External"/><Relationship Id="rId27" Type="http://schemas.openxmlformats.org/officeDocument/2006/relationships/hyperlink" Target="http://who.int/cg/CodeSystem/extended-content" TargetMode="External"/><Relationship Id="rId43" Type="http://schemas.openxmlformats.org/officeDocument/2006/relationships/hyperlink" Target="http://who.int/cg/CodeSystem/extended-content" TargetMode="External"/><Relationship Id="rId48" Type="http://schemas.openxmlformats.org/officeDocument/2006/relationships/hyperlink" Target="http://hl7.org/fhir/who-int/core/ImplementationGuide/core/ValueSet/devicebirthcontrolmethods-values" TargetMode="External"/><Relationship Id="rId64" Type="http://schemas.openxmlformats.org/officeDocument/2006/relationships/hyperlink" Target="http://terminology.hl7.org/CodeSystem/condition-clinical" TargetMode="External"/><Relationship Id="rId69" Type="http://schemas.openxmlformats.org/officeDocument/2006/relationships/hyperlink" Target="http://who.int/cg/CodeSystem/extended-content" TargetMode="External"/><Relationship Id="rId113" Type="http://schemas.openxmlformats.org/officeDocument/2006/relationships/hyperlink" Target="http://who.int/cg/CodeSystem/extended-content" TargetMode="External"/><Relationship Id="rId118" Type="http://schemas.openxmlformats.org/officeDocument/2006/relationships/hyperlink" Target="http://who.int/cg/CodeSystem/extended-content" TargetMode="External"/><Relationship Id="rId134" Type="http://schemas.openxmlformats.org/officeDocument/2006/relationships/hyperlink" Target="http://who.int/cg/CodeSystem/extended-content" TargetMode="External"/><Relationship Id="rId80" Type="http://schemas.openxmlformats.org/officeDocument/2006/relationships/hyperlink" Target="http://who.int/cg/CodeSystem/extended-content" TargetMode="External"/><Relationship Id="rId85" Type="http://schemas.openxmlformats.org/officeDocument/2006/relationships/hyperlink" Target="http://who.int/cg/CodeSystem/extended-content" TargetMode="External"/><Relationship Id="rId12" Type="http://schemas.openxmlformats.org/officeDocument/2006/relationships/hyperlink" Target="http://hl7.org/fhir/who-int/core/ImplementationGuide/core/ValueSet/nobirthcontrolmethods-values" TargetMode="External"/><Relationship Id="rId17" Type="http://schemas.openxmlformats.org/officeDocument/2006/relationships/hyperlink" Target="https://phinvads.cdc.gov/vads/ViewCodeSystemConcept.action?oid=2.16.840.1.113883.6.96&amp;code=68566005" TargetMode="External"/><Relationship Id="rId33" Type="http://schemas.openxmlformats.org/officeDocument/2006/relationships/hyperlink" Target="http://who.int/cg/CodeSystem/extended-content" TargetMode="External"/><Relationship Id="rId38" Type="http://schemas.openxmlformats.org/officeDocument/2006/relationships/hyperlink" Target="http://who.int/cg/CodeSystem/extended-content" TargetMode="External"/><Relationship Id="rId59" Type="http://schemas.openxmlformats.org/officeDocument/2006/relationships/hyperlink" Target="http://who.int/cg/CodeSystem/extended-content" TargetMode="External"/><Relationship Id="rId103" Type="http://schemas.openxmlformats.org/officeDocument/2006/relationships/hyperlink" Target="http://www.hl7.org/fhir/codesystem-observation-status.html" TargetMode="External"/><Relationship Id="rId108" Type="http://schemas.openxmlformats.org/officeDocument/2006/relationships/hyperlink" Target="http://who.int/cg/CodeSystem/extended-content" TargetMode="External"/><Relationship Id="rId124" Type="http://schemas.openxmlformats.org/officeDocument/2006/relationships/hyperlink" Target="https://github.com/who-int/Data-Dictionary-Mapping/issues/61" TargetMode="External"/><Relationship Id="rId129" Type="http://schemas.openxmlformats.org/officeDocument/2006/relationships/hyperlink" Target="http://who.int/cg/CodeSystem/extended-content" TargetMode="External"/><Relationship Id="rId54" Type="http://schemas.openxmlformats.org/officeDocument/2006/relationships/hyperlink" Target="http://hl7.org/fhir/who-int/core/ImplementationGuide/core/ValueSet/careplanbirthcontrolmethods-values" TargetMode="External"/><Relationship Id="rId70" Type="http://schemas.openxmlformats.org/officeDocument/2006/relationships/hyperlink" Target="https://github.com/who-int/Data-Dictionary-Mapping/issues/100" TargetMode="External"/><Relationship Id="rId75" Type="http://schemas.openxmlformats.org/officeDocument/2006/relationships/hyperlink" Target="http://who.int/cg/CodeSystem/extended-content" TargetMode="External"/><Relationship Id="rId91" Type="http://schemas.openxmlformats.org/officeDocument/2006/relationships/hyperlink" Target="http://who.int/cg/CodeSystem/extended-content" TargetMode="External"/><Relationship Id="rId96" Type="http://schemas.openxmlformats.org/officeDocument/2006/relationships/hyperlink" Target="http://who.int/cg/CodeSystem/extended-content" TargetMode="External"/><Relationship Id="rId1" Type="http://schemas.openxmlformats.org/officeDocument/2006/relationships/hyperlink" Target="http://who.int/cg/CodeSystem/extended-content" TargetMode="External"/><Relationship Id="rId6" Type="http://schemas.openxmlformats.org/officeDocument/2006/relationships/hyperlink" Target="http://who.int/cg/CodeSystem/extended-content" TargetMode="External"/><Relationship Id="rId23" Type="http://schemas.openxmlformats.org/officeDocument/2006/relationships/hyperlink" Target="http://hl7.org/fhir/who-int/core/ImplementationGuide/core/ValueSet/procedurebirthcontrolmethods-values" TargetMode="External"/><Relationship Id="rId28" Type="http://schemas.openxmlformats.org/officeDocument/2006/relationships/hyperlink" Target="http://who.int/cg/CodeSystem/extended-content" TargetMode="External"/><Relationship Id="rId49" Type="http://schemas.openxmlformats.org/officeDocument/2006/relationships/hyperlink" Target="http://hl7.org/fhir/who-int/core/ImplementationGuide/core/ValueSet/medicationbirthcontrolmethods-values" TargetMode="External"/><Relationship Id="rId114" Type="http://schemas.openxmlformats.org/officeDocument/2006/relationships/hyperlink" Target="http://who.int/cg/CodeSystem/extended-content" TargetMode="External"/><Relationship Id="rId119" Type="http://schemas.openxmlformats.org/officeDocument/2006/relationships/hyperlink" Target="http://who.int/cg/CodeSystem/extended-content" TargetMode="External"/><Relationship Id="rId44" Type="http://schemas.openxmlformats.org/officeDocument/2006/relationships/hyperlink" Target="http://who.int/cg/CodeSystem/extended-content" TargetMode="External"/><Relationship Id="rId60" Type="http://schemas.openxmlformats.org/officeDocument/2006/relationships/hyperlink" Target="http://who.int/cg/CodeSystem/extended-content" TargetMode="External"/><Relationship Id="rId65" Type="http://schemas.openxmlformats.org/officeDocument/2006/relationships/hyperlink" Target="http://terminology.hl7.org/CodeSystem/condition-clinical" TargetMode="External"/><Relationship Id="rId81" Type="http://schemas.openxmlformats.org/officeDocument/2006/relationships/hyperlink" Target="http://who.int/cg/CodeSystem/extended-content" TargetMode="External"/><Relationship Id="rId86" Type="http://schemas.openxmlformats.org/officeDocument/2006/relationships/hyperlink" Target="http://who.int/cg/CodeSystem/extended-content" TargetMode="External"/><Relationship Id="rId130" Type="http://schemas.openxmlformats.org/officeDocument/2006/relationships/hyperlink" Target="http://who.int/cg/CodeSystem/extended-content" TargetMode="External"/><Relationship Id="rId13" Type="http://schemas.openxmlformats.org/officeDocument/2006/relationships/hyperlink" Target="http://hl7.org/fhir/StructureDefinition/bodyheight" TargetMode="External"/><Relationship Id="rId18" Type="http://schemas.openxmlformats.org/officeDocument/2006/relationships/hyperlink" Target="http://who.int/cg/CodeSystem/extended-content" TargetMode="External"/><Relationship Id="rId39" Type="http://schemas.openxmlformats.org/officeDocument/2006/relationships/hyperlink" Target="http://who.int/cg/CodeSystem/extended-content" TargetMode="External"/><Relationship Id="rId109" Type="http://schemas.openxmlformats.org/officeDocument/2006/relationships/hyperlink" Target="http://who.int/cg/CodeSystem/extended-content" TargetMode="External"/><Relationship Id="rId34" Type="http://schemas.openxmlformats.org/officeDocument/2006/relationships/hyperlink" Target="http://who.int/cg/CodeSystem/extended-content" TargetMode="External"/><Relationship Id="rId50" Type="http://schemas.openxmlformats.org/officeDocument/2006/relationships/hyperlink" Target="http://hl7.org/fhir/who-int/core/ImplementationGuide/core/ValueSet/procedurebirthcontrolmethods-values" TargetMode="External"/><Relationship Id="rId55" Type="http://schemas.openxmlformats.org/officeDocument/2006/relationships/hyperlink" Target="http://hl7.org/fhir/resource-types" TargetMode="External"/><Relationship Id="rId76" Type="http://schemas.openxmlformats.org/officeDocument/2006/relationships/hyperlink" Target="http://who.int/cg/CodeSystem/extended-content" TargetMode="External"/><Relationship Id="rId97" Type="http://schemas.openxmlformats.org/officeDocument/2006/relationships/hyperlink" Target="http://who.int/cg/CodeSystem/extended-content" TargetMode="External"/><Relationship Id="rId104" Type="http://schemas.openxmlformats.org/officeDocument/2006/relationships/hyperlink" Target="https://www.hl7.org/fhir/codesystem-observation-status.html" TargetMode="External"/><Relationship Id="rId120" Type="http://schemas.openxmlformats.org/officeDocument/2006/relationships/hyperlink" Target="http://who.int/cg/CodeSystem/extended-content" TargetMode="External"/><Relationship Id="rId125" Type="http://schemas.openxmlformats.org/officeDocument/2006/relationships/hyperlink" Target="http://terminology.hl7.org/ValueSet/v3-ParticipationMode" TargetMode="External"/><Relationship Id="rId7" Type="http://schemas.openxmlformats.org/officeDocument/2006/relationships/hyperlink" Target="http://who.int/cg/CodeSystem/extended-content" TargetMode="External"/><Relationship Id="rId71" Type="http://schemas.openxmlformats.org/officeDocument/2006/relationships/hyperlink" Target="http://who.int/cg/CodeSystem/extended-content" TargetMode="External"/><Relationship Id="rId92" Type="http://schemas.openxmlformats.org/officeDocument/2006/relationships/hyperlink" Target="http://who.int/cg/CodeSystem/extended-content" TargetMode="External"/><Relationship Id="rId2" Type="http://schemas.openxmlformats.org/officeDocument/2006/relationships/hyperlink" Target="http://terminology.hl7.org/CodeSystem/v2-0276" TargetMode="External"/><Relationship Id="rId29" Type="http://schemas.openxmlformats.org/officeDocument/2006/relationships/hyperlink" Target="http://who.int/cg/CodeSystem/extended-content" TargetMode="External"/><Relationship Id="rId24" Type="http://schemas.openxmlformats.org/officeDocument/2006/relationships/hyperlink" Target="http://hl7.org/fhir/who-int/core/ImplementationGuide/core/ValueSet/careplanbirthcontrolmethods-values" TargetMode="External"/><Relationship Id="rId40" Type="http://schemas.openxmlformats.org/officeDocument/2006/relationships/hyperlink" Target="http://who.int/cg/CodeSystem/extended-content" TargetMode="External"/><Relationship Id="rId45" Type="http://schemas.openxmlformats.org/officeDocument/2006/relationships/hyperlink" Target="http://hl7.org/fhir/event-status" TargetMode="External"/><Relationship Id="rId66" Type="http://schemas.openxmlformats.org/officeDocument/2006/relationships/hyperlink" Target="http://terminology.hl7.org/CodeSystem/condition-clinical" TargetMode="External"/><Relationship Id="rId87" Type="http://schemas.openxmlformats.org/officeDocument/2006/relationships/hyperlink" Target="http://who.int/cg/CodeSystem/extended-content" TargetMode="External"/><Relationship Id="rId110" Type="http://schemas.openxmlformats.org/officeDocument/2006/relationships/hyperlink" Target="http://who.int/cg/CodeSystem/extended-content" TargetMode="External"/><Relationship Id="rId115" Type="http://schemas.openxmlformats.org/officeDocument/2006/relationships/hyperlink" Target="http://who.int/cg/CodeSystem/extended-content" TargetMode="External"/><Relationship Id="rId131" Type="http://schemas.openxmlformats.org/officeDocument/2006/relationships/hyperlink" Target="http://who.int/cg/CodeSystem/extended-content" TargetMode="External"/><Relationship Id="rId61" Type="http://schemas.openxmlformats.org/officeDocument/2006/relationships/hyperlink" Target="http://who.int/cg/CodeSystem/extended-content" TargetMode="External"/><Relationship Id="rId82" Type="http://schemas.openxmlformats.org/officeDocument/2006/relationships/hyperlink" Target="http://who.int/cg/CodeSystem/extended-content" TargetMode="External"/><Relationship Id="rId19" Type="http://schemas.openxmlformats.org/officeDocument/2006/relationships/hyperlink" Target="http://who.int/cg/CodeSystem/extended-content" TargetMode="External"/><Relationship Id="rId14" Type="http://schemas.openxmlformats.org/officeDocument/2006/relationships/hyperlink" Target="http://hl7.org/fhir/StructureDefinition/bodyweight" TargetMode="External"/><Relationship Id="rId30" Type="http://schemas.openxmlformats.org/officeDocument/2006/relationships/hyperlink" Target="http://who.int/cg/CodeSystem/extended-content" TargetMode="External"/><Relationship Id="rId35" Type="http://schemas.openxmlformats.org/officeDocument/2006/relationships/hyperlink" Target="http://who.int/cg/CodeSystem/extended-content" TargetMode="External"/><Relationship Id="rId56" Type="http://schemas.openxmlformats.org/officeDocument/2006/relationships/hyperlink" Target="http://who.int/cg/CodeSystem/extended-content" TargetMode="External"/><Relationship Id="rId77" Type="http://schemas.openxmlformats.org/officeDocument/2006/relationships/hyperlink" Target="http://who.int/cg/CodeSystem/extended-content" TargetMode="External"/><Relationship Id="rId100" Type="http://schemas.openxmlformats.org/officeDocument/2006/relationships/hyperlink" Target="http://who.int/cg/CodeSystem/extended-content" TargetMode="External"/><Relationship Id="rId105" Type="http://schemas.openxmlformats.org/officeDocument/2006/relationships/hyperlink" Target="http://www.hl7.org/fhir/codesystem-observation-status.html" TargetMode="External"/><Relationship Id="rId126" Type="http://schemas.openxmlformats.org/officeDocument/2006/relationships/hyperlink" Target="http://who.int/cg/CodeSystem/extended-content" TargetMode="External"/><Relationship Id="rId8" Type="http://schemas.openxmlformats.org/officeDocument/2006/relationships/hyperlink" Target="http://who.int/cg/CodeSystem/extended-content" TargetMode="External"/><Relationship Id="rId51" Type="http://schemas.openxmlformats.org/officeDocument/2006/relationships/hyperlink" Target="https://docs.google.com/document/d/1a9c1WPbC8DSWL7M6zDaryaYKkVRGik6txCbQc23MAyI/edit" TargetMode="External"/><Relationship Id="rId72" Type="http://schemas.openxmlformats.org/officeDocument/2006/relationships/hyperlink" Target="http://who.int/cg/CodeSystem/extended-content" TargetMode="External"/><Relationship Id="rId93" Type="http://schemas.openxmlformats.org/officeDocument/2006/relationships/hyperlink" Target="http://who.int/cg/CodeSystem/extended-content" TargetMode="External"/><Relationship Id="rId98" Type="http://schemas.openxmlformats.org/officeDocument/2006/relationships/hyperlink" Target="http://hl7.org/fhir/request-status" TargetMode="External"/><Relationship Id="rId121" Type="http://schemas.openxmlformats.org/officeDocument/2006/relationships/hyperlink" Target="http://hl7.org/fhir/ValueSet/procedure-code" TargetMode="External"/><Relationship Id="rId3" Type="http://schemas.openxmlformats.org/officeDocument/2006/relationships/hyperlink" Target="http://who.int/cg/CodeSystem/extended-content" TargetMode="External"/><Relationship Id="rId25" Type="http://schemas.openxmlformats.org/officeDocument/2006/relationships/hyperlink" Target="http://who.int/cg/CodeSystem/extended-content" TargetMode="External"/><Relationship Id="rId46" Type="http://schemas.openxmlformats.org/officeDocument/2006/relationships/hyperlink" Target="http://hl7.org/fhir/event-status" TargetMode="External"/><Relationship Id="rId67" Type="http://schemas.openxmlformats.org/officeDocument/2006/relationships/hyperlink" Target="http://terminology.hl7.org/CodeSystem/condition-clinical" TargetMode="External"/><Relationship Id="rId116" Type="http://schemas.openxmlformats.org/officeDocument/2006/relationships/hyperlink" Target="http://who.int/cg/CodeSystem/extended-content" TargetMode="External"/><Relationship Id="rId20" Type="http://schemas.openxmlformats.org/officeDocument/2006/relationships/hyperlink" Target="http://who.int/cg/CodeSystem/extended-content" TargetMode="External"/><Relationship Id="rId41" Type="http://schemas.openxmlformats.org/officeDocument/2006/relationships/hyperlink" Target="http://who.int/cg/CodeSystem/extended-content" TargetMode="External"/><Relationship Id="rId62" Type="http://schemas.openxmlformats.org/officeDocument/2006/relationships/hyperlink" Target="http://terminology.hl7.org/CodeSystem/condition-clinical" TargetMode="External"/><Relationship Id="rId83" Type="http://schemas.openxmlformats.org/officeDocument/2006/relationships/hyperlink" Target="http://who.int/cg/CodeSystem/extended-content" TargetMode="External"/><Relationship Id="rId88" Type="http://schemas.openxmlformats.org/officeDocument/2006/relationships/hyperlink" Target="http://who.int/cg/CodeSystem/extended-content" TargetMode="External"/><Relationship Id="rId111" Type="http://schemas.openxmlformats.org/officeDocument/2006/relationships/hyperlink" Target="http://who.int/cg/CodeSystem/extended-content" TargetMode="External"/><Relationship Id="rId132" Type="http://schemas.openxmlformats.org/officeDocument/2006/relationships/hyperlink" Target="http://who.int/cg/CodeSystem/extended-content" TargetMode="External"/><Relationship Id="rId15" Type="http://schemas.openxmlformats.org/officeDocument/2006/relationships/hyperlink" Target="http://who.int/cg/CodeSystem/extended-content" TargetMode="External"/><Relationship Id="rId36" Type="http://schemas.openxmlformats.org/officeDocument/2006/relationships/hyperlink" Target="http://who.int/cg/CodeSystem/extended-content" TargetMode="External"/><Relationship Id="rId57" Type="http://schemas.openxmlformats.org/officeDocument/2006/relationships/hyperlink" Target="http://who.int/cg/CodeSystem/extended-content" TargetMode="External"/><Relationship Id="rId106" Type="http://schemas.openxmlformats.org/officeDocument/2006/relationships/hyperlink" Target="https://www.hl7.org/fhir/codesystem-observation-status.html" TargetMode="External"/><Relationship Id="rId127" Type="http://schemas.openxmlformats.org/officeDocument/2006/relationships/hyperlink" Target="http://who.int/cg/CodeSystem/extended-content" TargetMode="External"/><Relationship Id="rId10" Type="http://schemas.openxmlformats.org/officeDocument/2006/relationships/hyperlink" Target="http://hl7.org/fhir/administrative-gender" TargetMode="External"/><Relationship Id="rId31" Type="http://schemas.openxmlformats.org/officeDocument/2006/relationships/hyperlink" Target="http://who.int/cg/CodeSystem/extended-content" TargetMode="External"/><Relationship Id="rId52" Type="http://schemas.openxmlformats.org/officeDocument/2006/relationships/hyperlink" Target="http://hl7.org/fhir/event-status" TargetMode="External"/><Relationship Id="rId73" Type="http://schemas.openxmlformats.org/officeDocument/2006/relationships/hyperlink" Target="http://who.int/cg/CodeSystem/extended-content" TargetMode="External"/><Relationship Id="rId78" Type="http://schemas.openxmlformats.org/officeDocument/2006/relationships/hyperlink" Target="http://who.int/cg/CodeSystem/extended-content" TargetMode="External"/><Relationship Id="rId94" Type="http://schemas.openxmlformats.org/officeDocument/2006/relationships/hyperlink" Target="http://who.int/cg/CodeSystem/extended-content" TargetMode="External"/><Relationship Id="rId99" Type="http://schemas.openxmlformats.org/officeDocument/2006/relationships/hyperlink" Target="http://who.int/cg/CodeSystem/extended-content" TargetMode="External"/><Relationship Id="rId101" Type="http://schemas.openxmlformats.org/officeDocument/2006/relationships/hyperlink" Target="http://who.int/cg/CodeSystem/extended-content" TargetMode="External"/><Relationship Id="rId122" Type="http://schemas.openxmlformats.org/officeDocument/2006/relationships/hyperlink" Target="http://terminology.hl7.org/ValueSet/v3-ParticipationMode" TargetMode="External"/><Relationship Id="rId4" Type="http://schemas.openxmlformats.org/officeDocument/2006/relationships/hyperlink" Target="http://who.int/cg/CodeSystem/extended-content" TargetMode="External"/><Relationship Id="rId9" Type="http://schemas.openxmlformats.org/officeDocument/2006/relationships/hyperlink" Target="http://hl7.org/fhir/administrative-gender" TargetMode="External"/><Relationship Id="rId26" Type="http://schemas.openxmlformats.org/officeDocument/2006/relationships/hyperlink" Target="http://who.int/cg/CodeSystem/extended-content" TargetMode="External"/><Relationship Id="rId47" Type="http://schemas.openxmlformats.org/officeDocument/2006/relationships/hyperlink" Target="http://who.int/cg/CodeSystem/extended-content" TargetMode="External"/><Relationship Id="rId68" Type="http://schemas.openxmlformats.org/officeDocument/2006/relationships/hyperlink" Target="http://who.int/cg/CodeSystem/extended-content" TargetMode="External"/><Relationship Id="rId89" Type="http://schemas.openxmlformats.org/officeDocument/2006/relationships/hyperlink" Target="http://who.int/cg/CodeSystem/extended-content" TargetMode="External"/><Relationship Id="rId112" Type="http://schemas.openxmlformats.org/officeDocument/2006/relationships/hyperlink" Target="http://who.int/cg/CodeSystem/extended-content" TargetMode="External"/><Relationship Id="rId133" Type="http://schemas.openxmlformats.org/officeDocument/2006/relationships/hyperlink" Target="http://who.int/cg/CodeSystem/extended-content"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N123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5" defaultRowHeight="15" customHeight="1"/>
  <cols>
    <col min="1" max="1" width="9.83203125" customWidth="1"/>
    <col min="2" max="2" width="33.83203125" customWidth="1"/>
    <col min="3" max="4" width="17.1640625" customWidth="1"/>
    <col min="5" max="5" width="17" customWidth="1"/>
    <col min="6" max="6" width="14.5" customWidth="1"/>
    <col min="7" max="7" width="14" customWidth="1"/>
    <col min="8" max="8" width="17" customWidth="1"/>
    <col min="9" max="9" width="21.5" customWidth="1"/>
    <col min="10" max="10" width="20.6640625" customWidth="1"/>
    <col min="11" max="11" width="21.33203125" customWidth="1"/>
    <col min="12" max="12" width="22.33203125" customWidth="1"/>
    <col min="13" max="16" width="14.83203125" customWidth="1"/>
    <col min="17" max="17" width="18.5" customWidth="1"/>
    <col min="18" max="23" width="14.83203125" customWidth="1"/>
    <col min="24" max="24" width="30.1640625" customWidth="1"/>
    <col min="25" max="25" width="14.83203125" customWidth="1"/>
    <col min="26" max="26" width="22.6640625" customWidth="1"/>
    <col min="27" max="35" width="14.83203125" customWidth="1"/>
    <col min="36" max="36" width="19.33203125" customWidth="1"/>
    <col min="37" max="37" width="17" customWidth="1"/>
    <col min="38" max="38" width="40.83203125" customWidth="1"/>
  </cols>
  <sheetData>
    <row r="1" spans="1:38" ht="56.25" customHeight="1">
      <c r="A1" s="1" t="s">
        <v>0</v>
      </c>
      <c r="B1" s="1" t="s">
        <v>1</v>
      </c>
      <c r="C1" s="1" t="s">
        <v>2</v>
      </c>
      <c r="D1" s="1" t="s">
        <v>3</v>
      </c>
      <c r="E1" s="1" t="s">
        <v>4</v>
      </c>
      <c r="F1" s="1" t="s">
        <v>5</v>
      </c>
      <c r="G1" s="1" t="s">
        <v>6</v>
      </c>
      <c r="H1" s="1" t="s">
        <v>8</v>
      </c>
      <c r="I1" s="3" t="s">
        <v>10</v>
      </c>
      <c r="J1" s="3" t="s">
        <v>15</v>
      </c>
      <c r="K1" s="3" t="s">
        <v>16</v>
      </c>
      <c r="L1" s="3" t="s">
        <v>17</v>
      </c>
      <c r="M1" s="3" t="s">
        <v>18</v>
      </c>
      <c r="N1" s="3" t="s">
        <v>19</v>
      </c>
      <c r="O1" s="3" t="s">
        <v>20</v>
      </c>
      <c r="P1" s="3" t="s">
        <v>21</v>
      </c>
      <c r="Q1" s="3" t="s">
        <v>22</v>
      </c>
      <c r="R1" s="3" t="s">
        <v>23</v>
      </c>
      <c r="S1" s="3" t="s">
        <v>24</v>
      </c>
      <c r="T1" s="3" t="s">
        <v>26</v>
      </c>
      <c r="U1" s="3" t="s">
        <v>27</v>
      </c>
      <c r="V1" s="3"/>
      <c r="W1" s="3" t="s">
        <v>28</v>
      </c>
      <c r="X1" s="3" t="s">
        <v>29</v>
      </c>
      <c r="Y1" s="3" t="s">
        <v>30</v>
      </c>
      <c r="Z1" s="3" t="s">
        <v>31</v>
      </c>
      <c r="AA1" s="3" t="s">
        <v>32</v>
      </c>
      <c r="AB1" s="3" t="s">
        <v>33</v>
      </c>
      <c r="AC1" s="6" t="s">
        <v>34</v>
      </c>
      <c r="AD1" s="6" t="s">
        <v>34</v>
      </c>
      <c r="AE1" s="7" t="s">
        <v>133</v>
      </c>
      <c r="AF1" s="7" t="s">
        <v>134</v>
      </c>
      <c r="AG1" s="8"/>
      <c r="AH1" s="8"/>
      <c r="AI1" s="8"/>
      <c r="AJ1" s="7" t="s">
        <v>37</v>
      </c>
      <c r="AK1" s="7" t="s">
        <v>38</v>
      </c>
      <c r="AL1" s="7" t="s">
        <v>39</v>
      </c>
    </row>
    <row r="2" spans="1:38" ht="12.75" customHeight="1">
      <c r="A2" s="9" t="s">
        <v>40</v>
      </c>
      <c r="B2" s="9" t="s">
        <v>41</v>
      </c>
      <c r="C2" s="9" t="s">
        <v>42</v>
      </c>
      <c r="D2" s="9" t="s">
        <v>43</v>
      </c>
      <c r="E2" s="9" t="s">
        <v>44</v>
      </c>
      <c r="F2" s="9" t="s">
        <v>45</v>
      </c>
      <c r="G2" s="9" t="s">
        <v>47</v>
      </c>
      <c r="H2" s="11" t="s">
        <v>50</v>
      </c>
      <c r="I2" s="12" t="s">
        <v>52</v>
      </c>
      <c r="J2" s="13" t="s">
        <v>59</v>
      </c>
      <c r="K2" s="12" t="s">
        <v>61</v>
      </c>
      <c r="L2" s="12" t="s">
        <v>62</v>
      </c>
      <c r="M2" s="12" t="s">
        <v>63</v>
      </c>
      <c r="N2" s="15" t="s">
        <v>64</v>
      </c>
      <c r="O2" s="12" t="s">
        <v>65</v>
      </c>
      <c r="P2" s="12" t="s">
        <v>66</v>
      </c>
      <c r="Q2" s="15" t="s">
        <v>67</v>
      </c>
      <c r="R2" s="12" t="s">
        <v>68</v>
      </c>
      <c r="S2" s="12" t="s">
        <v>69</v>
      </c>
      <c r="T2" s="15" t="s">
        <v>70</v>
      </c>
      <c r="U2" s="12" t="s">
        <v>71</v>
      </c>
      <c r="V2" s="12" t="s">
        <v>72</v>
      </c>
      <c r="W2" s="12" t="s">
        <v>73</v>
      </c>
      <c r="X2" s="15" t="s">
        <v>74</v>
      </c>
      <c r="Y2" s="12" t="s">
        <v>75</v>
      </c>
      <c r="Z2" s="13" t="s">
        <v>76</v>
      </c>
      <c r="AA2" s="12" t="s">
        <v>77</v>
      </c>
      <c r="AB2" s="12" t="s">
        <v>78</v>
      </c>
      <c r="AC2" s="19" t="s">
        <v>79</v>
      </c>
      <c r="AD2" s="19" t="s">
        <v>81</v>
      </c>
      <c r="AE2" s="19" t="s">
        <v>82</v>
      </c>
      <c r="AF2" s="19" t="s">
        <v>83</v>
      </c>
      <c r="AG2" s="21" t="s">
        <v>84</v>
      </c>
      <c r="AH2" s="21" t="s">
        <v>86</v>
      </c>
      <c r="AI2" s="21" t="s">
        <v>87</v>
      </c>
      <c r="AJ2" s="19" t="s">
        <v>89</v>
      </c>
      <c r="AK2" s="19" t="s">
        <v>90</v>
      </c>
      <c r="AL2" s="19" t="s">
        <v>91</v>
      </c>
    </row>
    <row r="3" spans="1:38" ht="12.75" customHeight="1">
      <c r="A3" s="22">
        <v>1</v>
      </c>
      <c r="B3" s="22" t="s">
        <v>95</v>
      </c>
      <c r="C3" s="22" t="s">
        <v>96</v>
      </c>
      <c r="D3" s="22"/>
      <c r="E3" s="22"/>
      <c r="F3" s="24">
        <v>1</v>
      </c>
      <c r="G3" s="24" t="s">
        <v>99</v>
      </c>
      <c r="H3" s="22" t="s">
        <v>100</v>
      </c>
      <c r="I3" s="25"/>
      <c r="J3" s="27" t="s">
        <v>95</v>
      </c>
      <c r="K3" s="25" t="s">
        <v>101</v>
      </c>
      <c r="L3" s="27" t="s">
        <v>102</v>
      </c>
      <c r="M3" s="27" t="s">
        <v>103</v>
      </c>
      <c r="N3" s="28"/>
      <c r="O3" s="25"/>
      <c r="P3" s="29"/>
      <c r="Q3" s="27" t="s">
        <v>104</v>
      </c>
      <c r="R3" s="28"/>
      <c r="S3" s="28"/>
      <c r="T3" s="28"/>
      <c r="U3" s="28"/>
      <c r="V3" s="28"/>
      <c r="W3" s="28"/>
      <c r="X3" s="25"/>
      <c r="Y3" s="25"/>
      <c r="Z3" s="28"/>
      <c r="AA3" s="25"/>
      <c r="AB3" s="25"/>
      <c r="AC3" s="27"/>
      <c r="AD3" s="27"/>
      <c r="AE3" s="27"/>
      <c r="AF3" s="27"/>
      <c r="AG3" s="25"/>
      <c r="AH3" s="27" t="s">
        <v>105</v>
      </c>
      <c r="AI3" s="27"/>
      <c r="AJ3" s="27" t="s">
        <v>106</v>
      </c>
      <c r="AK3" s="27"/>
      <c r="AL3" s="27"/>
    </row>
    <row r="4" spans="1:38" ht="12.75" customHeight="1">
      <c r="A4" s="22">
        <v>2</v>
      </c>
      <c r="B4" s="22" t="s">
        <v>108</v>
      </c>
      <c r="C4" s="22" t="s">
        <v>96</v>
      </c>
      <c r="D4" s="22"/>
      <c r="E4" s="22"/>
      <c r="F4" s="24">
        <v>1</v>
      </c>
      <c r="G4" s="24" t="s">
        <v>99</v>
      </c>
      <c r="H4" s="22" t="s">
        <v>100</v>
      </c>
      <c r="I4" s="25"/>
      <c r="J4" s="27" t="s">
        <v>108</v>
      </c>
      <c r="K4" s="27" t="s">
        <v>109</v>
      </c>
      <c r="L4" s="27" t="s">
        <v>110</v>
      </c>
      <c r="M4" s="27" t="s">
        <v>111</v>
      </c>
      <c r="N4" s="29"/>
      <c r="O4" s="29"/>
      <c r="P4" s="29"/>
      <c r="Q4" s="27" t="s">
        <v>112</v>
      </c>
      <c r="R4" s="27" t="s">
        <v>113</v>
      </c>
      <c r="S4" s="27" t="s">
        <v>113</v>
      </c>
      <c r="T4" s="28"/>
      <c r="U4" s="28"/>
      <c r="V4" s="28"/>
      <c r="W4" s="28"/>
      <c r="X4" s="25"/>
      <c r="Y4" s="25"/>
      <c r="Z4" s="28"/>
      <c r="AA4" s="25"/>
      <c r="AB4" s="25"/>
      <c r="AC4" s="27"/>
      <c r="AD4" s="27"/>
      <c r="AE4" s="27"/>
      <c r="AF4" s="27"/>
      <c r="AG4" s="32" t="s">
        <v>115</v>
      </c>
      <c r="AH4" s="32" t="s">
        <v>118</v>
      </c>
      <c r="AI4" s="32" t="s">
        <v>109</v>
      </c>
      <c r="AJ4" s="34" t="s">
        <v>121</v>
      </c>
      <c r="AK4" s="27"/>
      <c r="AL4" s="27"/>
    </row>
    <row r="5" spans="1:38" ht="12.75" customHeight="1">
      <c r="A5" s="22">
        <v>3</v>
      </c>
      <c r="B5" s="22" t="s">
        <v>123</v>
      </c>
      <c r="C5" s="22" t="s">
        <v>96</v>
      </c>
      <c r="D5" s="22"/>
      <c r="E5" s="22"/>
      <c r="F5" s="24">
        <v>1</v>
      </c>
      <c r="G5" s="24" t="s">
        <v>99</v>
      </c>
      <c r="H5" s="22" t="s">
        <v>100</v>
      </c>
      <c r="I5" s="25"/>
      <c r="J5" s="27" t="s">
        <v>123</v>
      </c>
      <c r="K5" s="27" t="s">
        <v>125</v>
      </c>
      <c r="L5" s="27" t="s">
        <v>127</v>
      </c>
      <c r="M5" s="27" t="s">
        <v>111</v>
      </c>
      <c r="N5" s="29"/>
      <c r="O5" s="29"/>
      <c r="P5" s="29"/>
      <c r="Q5" s="27" t="s">
        <v>112</v>
      </c>
      <c r="R5" s="27" t="s">
        <v>113</v>
      </c>
      <c r="S5" s="27" t="s">
        <v>113</v>
      </c>
      <c r="T5" s="25"/>
      <c r="U5" s="37"/>
      <c r="V5" s="37"/>
      <c r="W5" s="37"/>
      <c r="X5" s="37"/>
      <c r="Y5" s="25"/>
      <c r="Z5" s="28"/>
      <c r="AA5" s="25"/>
      <c r="AB5" s="25"/>
      <c r="AC5" s="27"/>
      <c r="AD5" s="27"/>
      <c r="AE5" s="27"/>
      <c r="AF5" s="27"/>
      <c r="AG5" s="32" t="s">
        <v>115</v>
      </c>
      <c r="AH5" s="32" t="s">
        <v>118</v>
      </c>
      <c r="AI5" s="32" t="s">
        <v>125</v>
      </c>
      <c r="AJ5" s="27" t="s">
        <v>136</v>
      </c>
      <c r="AK5" s="27"/>
      <c r="AL5" s="27"/>
    </row>
    <row r="6" spans="1:38" ht="12.75" customHeight="1">
      <c r="A6" s="22">
        <v>4</v>
      </c>
      <c r="B6" s="22" t="s">
        <v>137</v>
      </c>
      <c r="C6" s="22" t="s">
        <v>96</v>
      </c>
      <c r="D6" s="22"/>
      <c r="E6" s="22"/>
      <c r="F6" s="24">
        <v>1</v>
      </c>
      <c r="G6" s="24" t="s">
        <v>99</v>
      </c>
      <c r="H6" s="22" t="s">
        <v>100</v>
      </c>
      <c r="I6" s="25"/>
      <c r="J6" s="27" t="s">
        <v>137</v>
      </c>
      <c r="K6" s="27" t="s">
        <v>138</v>
      </c>
      <c r="L6" s="27" t="s">
        <v>139</v>
      </c>
      <c r="M6" s="27" t="s">
        <v>140</v>
      </c>
      <c r="N6" s="29"/>
      <c r="O6" s="29"/>
      <c r="P6" s="29"/>
      <c r="Q6" s="27" t="s">
        <v>141</v>
      </c>
      <c r="R6" s="27" t="s">
        <v>113</v>
      </c>
      <c r="S6" s="27" t="s">
        <v>142</v>
      </c>
      <c r="T6" s="25"/>
      <c r="U6" s="37"/>
      <c r="V6" s="37"/>
      <c r="W6" s="37"/>
      <c r="X6" s="37"/>
      <c r="Y6" s="25"/>
      <c r="Z6" s="28"/>
      <c r="AA6" s="25"/>
      <c r="AB6" s="25"/>
      <c r="AC6" s="27"/>
      <c r="AD6" s="27"/>
      <c r="AE6" s="27"/>
      <c r="AF6" s="27"/>
      <c r="AG6" s="32" t="s">
        <v>115</v>
      </c>
      <c r="AH6" s="32" t="s">
        <v>118</v>
      </c>
      <c r="AI6" s="32" t="s">
        <v>144</v>
      </c>
      <c r="AJ6" s="27" t="s">
        <v>145</v>
      </c>
      <c r="AK6" s="27"/>
      <c r="AL6" s="27"/>
    </row>
    <row r="7" spans="1:38" ht="12.75" customHeight="1">
      <c r="A7" s="22">
        <v>5</v>
      </c>
      <c r="B7" s="22" t="s">
        <v>146</v>
      </c>
      <c r="C7" s="22" t="s">
        <v>180</v>
      </c>
      <c r="D7" s="22" t="s">
        <v>137</v>
      </c>
      <c r="E7" s="22"/>
      <c r="F7" s="24">
        <v>1</v>
      </c>
      <c r="G7" s="24" t="s">
        <v>99</v>
      </c>
      <c r="H7" s="22" t="s">
        <v>100</v>
      </c>
      <c r="I7" s="25"/>
      <c r="J7" s="27" t="s">
        <v>149</v>
      </c>
      <c r="K7" s="27" t="s">
        <v>150</v>
      </c>
      <c r="L7" s="27" t="s">
        <v>151</v>
      </c>
      <c r="M7" s="27" t="s">
        <v>153</v>
      </c>
      <c r="N7" s="29"/>
      <c r="O7" s="29"/>
      <c r="P7" s="29"/>
      <c r="Q7" s="29"/>
      <c r="R7" s="27" t="s">
        <v>113</v>
      </c>
      <c r="S7" s="27" t="s">
        <v>142</v>
      </c>
      <c r="T7" s="27"/>
      <c r="U7" s="27"/>
      <c r="V7" s="27"/>
      <c r="W7" s="28"/>
      <c r="X7" s="25"/>
      <c r="Y7" s="25"/>
      <c r="Z7" s="28"/>
      <c r="AA7" s="25"/>
      <c r="AB7" s="25"/>
      <c r="AC7" s="27"/>
      <c r="AD7" s="27"/>
      <c r="AE7" s="27"/>
      <c r="AF7" s="27"/>
      <c r="AG7" s="32" t="s">
        <v>156</v>
      </c>
      <c r="AH7" s="32" t="s">
        <v>156</v>
      </c>
      <c r="AI7" s="32" t="s">
        <v>156</v>
      </c>
      <c r="AJ7" s="27"/>
      <c r="AK7" s="27"/>
      <c r="AL7" s="27"/>
    </row>
    <row r="8" spans="1:38" ht="12.75" customHeight="1">
      <c r="A8" s="22">
        <v>6</v>
      </c>
      <c r="B8" s="22" t="s">
        <v>157</v>
      </c>
      <c r="C8" s="22" t="s">
        <v>65</v>
      </c>
      <c r="D8" s="22"/>
      <c r="E8" s="22"/>
      <c r="F8" s="24">
        <v>1</v>
      </c>
      <c r="G8" s="24" t="s">
        <v>99</v>
      </c>
      <c r="H8" s="22" t="s">
        <v>100</v>
      </c>
      <c r="I8" s="25"/>
      <c r="J8" s="27" t="s">
        <v>115</v>
      </c>
      <c r="K8" s="27" t="s">
        <v>158</v>
      </c>
      <c r="L8" s="27" t="s">
        <v>159</v>
      </c>
      <c r="M8" s="27" t="s">
        <v>65</v>
      </c>
      <c r="N8" s="29"/>
      <c r="O8" s="27" t="s">
        <v>160</v>
      </c>
      <c r="P8" s="29"/>
      <c r="Q8" s="29"/>
      <c r="R8" s="27" t="s">
        <v>115</v>
      </c>
      <c r="S8" s="27" t="s">
        <v>115</v>
      </c>
      <c r="T8" s="27"/>
      <c r="U8" s="28"/>
      <c r="V8" s="28"/>
      <c r="W8" s="28"/>
      <c r="X8" s="25"/>
      <c r="Y8" s="25"/>
      <c r="Z8" s="28"/>
      <c r="AA8" s="25"/>
      <c r="AB8" s="25"/>
      <c r="AC8" s="27"/>
      <c r="AD8" s="27"/>
      <c r="AE8" s="27"/>
      <c r="AF8" s="27"/>
      <c r="AG8" s="32" t="s">
        <v>156</v>
      </c>
      <c r="AH8" s="32" t="s">
        <v>156</v>
      </c>
      <c r="AI8" s="32" t="s">
        <v>156</v>
      </c>
      <c r="AJ8" s="27"/>
      <c r="AK8" s="27"/>
      <c r="AL8" s="27"/>
    </row>
    <row r="9" spans="1:38" ht="12.75" customHeight="1">
      <c r="A9" s="22">
        <v>7</v>
      </c>
      <c r="B9" s="22" t="s">
        <v>161</v>
      </c>
      <c r="C9" s="22" t="s">
        <v>96</v>
      </c>
      <c r="D9" s="22"/>
      <c r="E9" s="22"/>
      <c r="F9" s="24">
        <v>1</v>
      </c>
      <c r="G9" s="24" t="s">
        <v>99</v>
      </c>
      <c r="H9" s="22" t="s">
        <v>100</v>
      </c>
      <c r="I9" s="25"/>
      <c r="J9" s="27" t="s">
        <v>162</v>
      </c>
      <c r="K9" s="27" t="s">
        <v>115</v>
      </c>
      <c r="L9" s="27" t="s">
        <v>163</v>
      </c>
      <c r="M9" s="27" t="s">
        <v>164</v>
      </c>
      <c r="N9" s="29"/>
      <c r="O9" s="29"/>
      <c r="P9" s="29"/>
      <c r="Q9" s="29"/>
      <c r="R9" s="27" t="s">
        <v>115</v>
      </c>
      <c r="S9" s="27" t="s">
        <v>115</v>
      </c>
      <c r="T9" s="25"/>
      <c r="U9" s="37"/>
      <c r="V9" s="37"/>
      <c r="W9" s="37"/>
      <c r="X9" s="37"/>
      <c r="Y9" s="25"/>
      <c r="Z9" s="28"/>
      <c r="AA9" s="25"/>
      <c r="AB9" s="25"/>
      <c r="AC9" s="27"/>
      <c r="AD9" s="27"/>
      <c r="AE9" s="27"/>
      <c r="AF9" s="27"/>
      <c r="AG9" s="32" t="s">
        <v>156</v>
      </c>
      <c r="AH9" s="32" t="s">
        <v>156</v>
      </c>
      <c r="AI9" s="32" t="s">
        <v>156</v>
      </c>
      <c r="AJ9" s="27"/>
      <c r="AK9" s="27"/>
      <c r="AL9" s="27"/>
    </row>
    <row r="10" spans="1:38" ht="12.75" customHeight="1">
      <c r="A10" s="22">
        <v>8</v>
      </c>
      <c r="B10" s="22" t="s">
        <v>165</v>
      </c>
      <c r="C10" s="22" t="s">
        <v>96</v>
      </c>
      <c r="D10" s="22"/>
      <c r="E10" s="22"/>
      <c r="F10" s="24">
        <v>1</v>
      </c>
      <c r="G10" s="24" t="s">
        <v>99</v>
      </c>
      <c r="H10" s="22" t="s">
        <v>100</v>
      </c>
      <c r="I10" s="25"/>
      <c r="J10" s="27" t="s">
        <v>165</v>
      </c>
      <c r="K10" s="27" t="s">
        <v>166</v>
      </c>
      <c r="L10" s="27" t="s">
        <v>167</v>
      </c>
      <c r="M10" s="27" t="s">
        <v>168</v>
      </c>
      <c r="N10" s="29"/>
      <c r="O10" s="29"/>
      <c r="P10" s="29"/>
      <c r="Q10" s="27" t="s">
        <v>141</v>
      </c>
      <c r="R10" s="27" t="s">
        <v>113</v>
      </c>
      <c r="S10" s="27" t="s">
        <v>169</v>
      </c>
      <c r="T10" s="25"/>
      <c r="U10" s="37"/>
      <c r="V10" s="37"/>
      <c r="W10" s="37"/>
      <c r="X10" s="28"/>
      <c r="Y10" s="25"/>
      <c r="Z10" s="28"/>
      <c r="AA10" s="25"/>
      <c r="AB10" s="25"/>
      <c r="AC10" s="27"/>
      <c r="AD10" s="27"/>
      <c r="AE10" s="27"/>
      <c r="AF10" s="27"/>
      <c r="AG10" s="32" t="s">
        <v>115</v>
      </c>
      <c r="AH10" s="32" t="s">
        <v>118</v>
      </c>
      <c r="AI10" s="32" t="s">
        <v>170</v>
      </c>
      <c r="AJ10" s="27"/>
      <c r="AK10" s="27"/>
      <c r="AL10" s="27"/>
    </row>
    <row r="11" spans="1:38" ht="12.75" customHeight="1">
      <c r="A11" s="22">
        <v>9</v>
      </c>
      <c r="B11" s="22" t="s">
        <v>171</v>
      </c>
      <c r="C11" s="22" t="s">
        <v>96</v>
      </c>
      <c r="D11" s="22"/>
      <c r="E11" s="22"/>
      <c r="F11" s="24">
        <v>1</v>
      </c>
      <c r="G11" s="24" t="s">
        <v>99</v>
      </c>
      <c r="H11" s="22" t="s">
        <v>100</v>
      </c>
      <c r="I11" s="25"/>
      <c r="J11" s="27" t="s">
        <v>172</v>
      </c>
      <c r="K11" s="27" t="s">
        <v>173</v>
      </c>
      <c r="L11" s="27" t="s">
        <v>174</v>
      </c>
      <c r="M11" s="27" t="s">
        <v>65</v>
      </c>
      <c r="N11" s="29"/>
      <c r="O11" s="27" t="s">
        <v>175</v>
      </c>
      <c r="P11" s="29"/>
      <c r="Q11" s="29"/>
      <c r="R11" s="27" t="s">
        <v>115</v>
      </c>
      <c r="S11" s="27" t="s">
        <v>115</v>
      </c>
      <c r="T11" s="25"/>
      <c r="U11" s="37"/>
      <c r="V11" s="37"/>
      <c r="W11" s="37"/>
      <c r="X11" s="37"/>
      <c r="Y11" s="25"/>
      <c r="Z11" s="28"/>
      <c r="AA11" s="25"/>
      <c r="AB11" s="25"/>
      <c r="AC11" s="27"/>
      <c r="AD11" s="27"/>
      <c r="AE11" s="27"/>
      <c r="AF11" s="27"/>
      <c r="AG11" s="32" t="s">
        <v>156</v>
      </c>
      <c r="AH11" s="32" t="s">
        <v>156</v>
      </c>
      <c r="AI11" s="32" t="s">
        <v>156</v>
      </c>
      <c r="AJ11" s="27"/>
      <c r="AK11" s="27"/>
      <c r="AL11" s="27"/>
    </row>
    <row r="12" spans="1:38" ht="12.75" customHeight="1">
      <c r="A12" s="22">
        <v>10</v>
      </c>
      <c r="B12" s="22" t="s">
        <v>176</v>
      </c>
      <c r="C12" s="22" t="s">
        <v>96</v>
      </c>
      <c r="D12" s="22"/>
      <c r="E12" s="22"/>
      <c r="F12" s="24">
        <v>1</v>
      </c>
      <c r="G12" s="24" t="s">
        <v>99</v>
      </c>
      <c r="H12" s="22" t="s">
        <v>100</v>
      </c>
      <c r="I12" s="25"/>
      <c r="J12" s="27" t="s">
        <v>177</v>
      </c>
      <c r="K12" s="27" t="s">
        <v>115</v>
      </c>
      <c r="L12" s="27" t="s">
        <v>178</v>
      </c>
      <c r="M12" s="27"/>
      <c r="N12" s="29"/>
      <c r="O12" s="27"/>
      <c r="P12" s="29"/>
      <c r="Q12" s="29"/>
      <c r="R12" s="27" t="s">
        <v>115</v>
      </c>
      <c r="S12" s="27" t="s">
        <v>115</v>
      </c>
      <c r="T12" s="28"/>
      <c r="U12" s="28"/>
      <c r="V12" s="28"/>
      <c r="W12" s="28"/>
      <c r="X12" s="25"/>
      <c r="Y12" s="25"/>
      <c r="Z12" s="28"/>
      <c r="AA12" s="25"/>
      <c r="AB12" s="25"/>
      <c r="AC12" s="27"/>
      <c r="AD12" s="27"/>
      <c r="AE12" s="27"/>
      <c r="AF12" s="27"/>
      <c r="AG12" s="32" t="s">
        <v>179</v>
      </c>
      <c r="AH12" s="32" t="s">
        <v>156</v>
      </c>
      <c r="AI12" s="32" t="s">
        <v>156</v>
      </c>
      <c r="AJ12" s="27"/>
      <c r="AK12" s="27"/>
      <c r="AL12" s="27"/>
    </row>
    <row r="13" spans="1:38" ht="12.75" customHeight="1">
      <c r="A13" s="22">
        <v>11</v>
      </c>
      <c r="B13" s="22" t="s">
        <v>181</v>
      </c>
      <c r="C13" s="22" t="s">
        <v>65</v>
      </c>
      <c r="D13" s="22"/>
      <c r="E13" s="22"/>
      <c r="F13" s="24">
        <v>1</v>
      </c>
      <c r="G13" s="24" t="s">
        <v>99</v>
      </c>
      <c r="H13" s="22" t="s">
        <v>100</v>
      </c>
      <c r="I13" s="25"/>
      <c r="J13" s="27" t="s">
        <v>115</v>
      </c>
      <c r="K13" s="27" t="s">
        <v>182</v>
      </c>
      <c r="L13" s="27" t="s">
        <v>183</v>
      </c>
      <c r="M13" s="27" t="s">
        <v>65</v>
      </c>
      <c r="N13" s="29"/>
      <c r="O13" s="27" t="s">
        <v>184</v>
      </c>
      <c r="P13" s="29"/>
      <c r="Q13" s="27"/>
      <c r="R13" s="27" t="s">
        <v>115</v>
      </c>
      <c r="S13" s="27" t="s">
        <v>115</v>
      </c>
      <c r="T13" s="28"/>
      <c r="U13" s="28"/>
      <c r="V13" s="28"/>
      <c r="W13" s="28"/>
      <c r="X13" s="25"/>
      <c r="Y13" s="25"/>
      <c r="Z13" s="28"/>
      <c r="AA13" s="25"/>
      <c r="AB13" s="25"/>
      <c r="AC13" s="28"/>
      <c r="AD13" s="28"/>
      <c r="AE13" s="28"/>
      <c r="AF13" s="28"/>
      <c r="AG13" s="32" t="s">
        <v>156</v>
      </c>
      <c r="AH13" s="32" t="s">
        <v>156</v>
      </c>
      <c r="AI13" s="32" t="s">
        <v>156</v>
      </c>
      <c r="AJ13" s="28"/>
      <c r="AK13" s="28"/>
      <c r="AL13" s="28"/>
    </row>
    <row r="14" spans="1:38" ht="12.75" customHeight="1">
      <c r="A14" s="22">
        <v>12</v>
      </c>
      <c r="B14" s="22" t="s">
        <v>185</v>
      </c>
      <c r="C14" s="22" t="s">
        <v>65</v>
      </c>
      <c r="D14" s="22"/>
      <c r="E14" s="22"/>
      <c r="F14" s="24">
        <v>1</v>
      </c>
      <c r="G14" s="24" t="s">
        <v>99</v>
      </c>
      <c r="H14" s="22" t="s">
        <v>100</v>
      </c>
      <c r="I14" s="25"/>
      <c r="J14" s="27" t="s">
        <v>115</v>
      </c>
      <c r="K14" s="27" t="s">
        <v>170</v>
      </c>
      <c r="L14" s="27" t="s">
        <v>186</v>
      </c>
      <c r="M14" s="27" t="s">
        <v>65</v>
      </c>
      <c r="N14" s="29"/>
      <c r="O14" s="27" t="s">
        <v>187</v>
      </c>
      <c r="P14" s="29"/>
      <c r="Q14" s="27"/>
      <c r="R14" s="27" t="s">
        <v>115</v>
      </c>
      <c r="S14" s="27" t="s">
        <v>115</v>
      </c>
      <c r="T14" s="28"/>
      <c r="U14" s="28"/>
      <c r="V14" s="28"/>
      <c r="W14" s="28"/>
      <c r="X14" s="25"/>
      <c r="Y14" s="25"/>
      <c r="Z14" s="28"/>
      <c r="AA14" s="25"/>
      <c r="AB14" s="25"/>
      <c r="AC14" s="27"/>
      <c r="AD14" s="27"/>
      <c r="AE14" s="27"/>
      <c r="AF14" s="27"/>
      <c r="AG14" s="32" t="s">
        <v>156</v>
      </c>
      <c r="AH14" s="32" t="s">
        <v>156</v>
      </c>
      <c r="AI14" s="32" t="s">
        <v>156</v>
      </c>
      <c r="AJ14" s="27"/>
      <c r="AK14" s="27"/>
      <c r="AL14" s="27"/>
    </row>
    <row r="15" spans="1:38" ht="12.75" customHeight="1">
      <c r="A15" s="22">
        <v>13</v>
      </c>
      <c r="B15" s="22" t="s">
        <v>188</v>
      </c>
      <c r="C15" s="22" t="s">
        <v>96</v>
      </c>
      <c r="D15" s="22"/>
      <c r="E15" s="22"/>
      <c r="F15" s="24">
        <v>1</v>
      </c>
      <c r="G15" s="24" t="s">
        <v>99</v>
      </c>
      <c r="H15" s="22" t="s">
        <v>100</v>
      </c>
      <c r="I15" s="25"/>
      <c r="J15" s="27" t="s">
        <v>188</v>
      </c>
      <c r="K15" s="27" t="s">
        <v>189</v>
      </c>
      <c r="L15" s="29" t="s">
        <v>190</v>
      </c>
      <c r="M15" s="27" t="s">
        <v>111</v>
      </c>
      <c r="N15" s="29"/>
      <c r="O15" s="29"/>
      <c r="P15" s="29"/>
      <c r="Q15" s="29"/>
      <c r="R15" s="27" t="s">
        <v>113</v>
      </c>
      <c r="S15" s="27" t="s">
        <v>113</v>
      </c>
      <c r="T15" s="28"/>
      <c r="U15" s="28"/>
      <c r="V15" s="28"/>
      <c r="W15" s="28"/>
      <c r="X15" s="28"/>
      <c r="Y15" s="25"/>
      <c r="Z15" s="28" t="s">
        <v>191</v>
      </c>
      <c r="AA15" s="25"/>
      <c r="AB15" s="25"/>
      <c r="AC15" s="27"/>
      <c r="AD15" s="27"/>
      <c r="AE15" s="27"/>
      <c r="AF15" s="27"/>
      <c r="AG15" s="32" t="s">
        <v>115</v>
      </c>
      <c r="AH15" s="32" t="s">
        <v>192</v>
      </c>
      <c r="AI15" s="32" t="s">
        <v>193</v>
      </c>
      <c r="AJ15" s="27"/>
      <c r="AK15" s="27"/>
      <c r="AL15" s="27"/>
    </row>
    <row r="16" spans="1:38" ht="12.75" customHeight="1">
      <c r="A16" s="22">
        <v>14</v>
      </c>
      <c r="B16" s="22" t="s">
        <v>194</v>
      </c>
      <c r="C16" s="22" t="s">
        <v>96</v>
      </c>
      <c r="D16" s="22"/>
      <c r="E16" s="22"/>
      <c r="F16" s="24">
        <v>1</v>
      </c>
      <c r="G16" s="24" t="s">
        <v>99</v>
      </c>
      <c r="H16" s="22" t="s">
        <v>100</v>
      </c>
      <c r="I16" s="25"/>
      <c r="J16" s="27" t="s">
        <v>194</v>
      </c>
      <c r="K16" s="27" t="s">
        <v>195</v>
      </c>
      <c r="L16" s="27" t="s">
        <v>196</v>
      </c>
      <c r="M16" s="27" t="s">
        <v>168</v>
      </c>
      <c r="N16" s="29"/>
      <c r="O16" s="29"/>
      <c r="P16" s="29"/>
      <c r="Q16" s="29"/>
      <c r="R16" s="27" t="s">
        <v>113</v>
      </c>
      <c r="S16" s="27" t="s">
        <v>113</v>
      </c>
      <c r="T16" s="28"/>
      <c r="U16" s="28"/>
      <c r="V16" s="28"/>
      <c r="W16" s="28"/>
      <c r="X16" s="25"/>
      <c r="Y16" s="25"/>
      <c r="Z16" s="28"/>
      <c r="AA16" s="25"/>
      <c r="AB16" s="25"/>
      <c r="AC16" s="27"/>
      <c r="AD16" s="27"/>
      <c r="AE16" s="27">
        <v>184103008</v>
      </c>
      <c r="AF16" s="27"/>
      <c r="AG16" s="32" t="s">
        <v>115</v>
      </c>
      <c r="AH16" s="32" t="s">
        <v>197</v>
      </c>
      <c r="AI16" s="50" t="s">
        <v>198</v>
      </c>
      <c r="AJ16" s="27"/>
      <c r="AK16" s="27"/>
      <c r="AL16" s="27"/>
    </row>
    <row r="17" spans="1:38" ht="12.75" customHeight="1">
      <c r="A17" s="22">
        <v>15</v>
      </c>
      <c r="B17" s="22" t="s">
        <v>199</v>
      </c>
      <c r="C17" s="22" t="s">
        <v>96</v>
      </c>
      <c r="D17" s="22"/>
      <c r="E17" s="22"/>
      <c r="F17" s="24">
        <v>1</v>
      </c>
      <c r="G17" s="24" t="s">
        <v>99</v>
      </c>
      <c r="H17" s="22" t="s">
        <v>100</v>
      </c>
      <c r="I17" s="25"/>
      <c r="J17" s="27" t="s">
        <v>199</v>
      </c>
      <c r="K17" s="27" t="s">
        <v>200</v>
      </c>
      <c r="L17" s="27" t="s">
        <v>201</v>
      </c>
      <c r="M17" s="27" t="s">
        <v>202</v>
      </c>
      <c r="N17" s="29"/>
      <c r="O17" s="29"/>
      <c r="P17" s="29"/>
      <c r="Q17" s="27"/>
      <c r="R17" s="27" t="s">
        <v>113</v>
      </c>
      <c r="S17" s="27" t="s">
        <v>113</v>
      </c>
      <c r="T17" s="28"/>
      <c r="U17" s="28"/>
      <c r="V17" s="28"/>
      <c r="W17" s="28"/>
      <c r="X17" s="25"/>
      <c r="Y17" s="25"/>
      <c r="Z17" s="28"/>
      <c r="AA17" s="25"/>
      <c r="AB17" s="25"/>
      <c r="AC17" s="27" t="s">
        <v>203</v>
      </c>
      <c r="AD17" s="27" t="s">
        <v>203</v>
      </c>
      <c r="AE17" s="27" t="s">
        <v>203</v>
      </c>
      <c r="AF17" s="27"/>
      <c r="AG17" s="32" t="s">
        <v>115</v>
      </c>
      <c r="AH17" s="51" t="s">
        <v>204</v>
      </c>
      <c r="AI17" s="50" t="s">
        <v>205</v>
      </c>
      <c r="AJ17" s="27"/>
      <c r="AK17" s="27"/>
      <c r="AL17" s="27"/>
    </row>
    <row r="18" spans="1:38" ht="12.75" customHeight="1">
      <c r="A18" s="22">
        <v>16</v>
      </c>
      <c r="B18" s="22" t="s">
        <v>113</v>
      </c>
      <c r="C18" s="22" t="s">
        <v>180</v>
      </c>
      <c r="D18" s="22" t="s">
        <v>199</v>
      </c>
      <c r="E18" s="22"/>
      <c r="F18" s="24">
        <v>1</v>
      </c>
      <c r="G18" s="24" t="s">
        <v>99</v>
      </c>
      <c r="H18" s="22" t="s">
        <v>100</v>
      </c>
      <c r="I18" s="25"/>
      <c r="J18" s="27"/>
      <c r="K18" s="27"/>
      <c r="L18" s="27"/>
      <c r="M18" s="27"/>
      <c r="N18" s="29" t="s">
        <v>113</v>
      </c>
      <c r="O18" s="29"/>
      <c r="P18" s="29"/>
      <c r="Q18" s="27"/>
      <c r="R18" s="27"/>
      <c r="S18" s="27"/>
      <c r="T18" s="28"/>
      <c r="U18" s="28"/>
      <c r="V18" s="28"/>
      <c r="W18" s="28"/>
      <c r="X18" s="25"/>
      <c r="Y18" s="25"/>
      <c r="Z18" s="28"/>
      <c r="AA18" s="25"/>
      <c r="AB18" s="25"/>
      <c r="AC18" s="27"/>
      <c r="AD18" s="27"/>
      <c r="AE18" s="53">
        <v>373066001</v>
      </c>
      <c r="AF18" s="27"/>
      <c r="AG18" s="32" t="s">
        <v>115</v>
      </c>
      <c r="AH18" s="32" t="s">
        <v>206</v>
      </c>
      <c r="AI18" s="32" t="s">
        <v>207</v>
      </c>
      <c r="AJ18" s="27"/>
      <c r="AK18" s="27"/>
      <c r="AL18" s="27"/>
    </row>
    <row r="19" spans="1:38" ht="12.75" customHeight="1">
      <c r="A19" s="22">
        <v>17</v>
      </c>
      <c r="B19" s="22" t="s">
        <v>208</v>
      </c>
      <c r="C19" s="22" t="s">
        <v>180</v>
      </c>
      <c r="D19" s="22" t="s">
        <v>199</v>
      </c>
      <c r="E19" s="22"/>
      <c r="F19" s="24">
        <v>1</v>
      </c>
      <c r="G19" s="24" t="s">
        <v>99</v>
      </c>
      <c r="H19" s="22" t="s">
        <v>100</v>
      </c>
      <c r="I19" s="25"/>
      <c r="J19" s="27"/>
      <c r="K19" s="27"/>
      <c r="L19" s="27"/>
      <c r="M19" s="27"/>
      <c r="N19" s="29" t="s">
        <v>208</v>
      </c>
      <c r="O19" s="29"/>
      <c r="P19" s="29"/>
      <c r="Q19" s="27"/>
      <c r="R19" s="27"/>
      <c r="S19" s="27"/>
      <c r="T19" s="25"/>
      <c r="U19" s="37"/>
      <c r="V19" s="37"/>
      <c r="W19" s="37"/>
      <c r="X19" s="37"/>
      <c r="Y19" s="25"/>
      <c r="Z19" s="28"/>
      <c r="AA19" s="25"/>
      <c r="AB19" s="25"/>
      <c r="AC19" s="27"/>
      <c r="AD19" s="27"/>
      <c r="AE19" s="54">
        <v>373067005</v>
      </c>
      <c r="AF19" s="27"/>
      <c r="AG19" s="32" t="s">
        <v>115</v>
      </c>
      <c r="AH19" s="32" t="s">
        <v>209</v>
      </c>
      <c r="AI19" s="32" t="s">
        <v>210</v>
      </c>
      <c r="AJ19" s="27"/>
      <c r="AK19" s="27"/>
      <c r="AL19" s="27"/>
    </row>
    <row r="20" spans="1:38" ht="12.75" customHeight="1">
      <c r="A20" s="22">
        <v>18</v>
      </c>
      <c r="B20" s="22" t="s">
        <v>211</v>
      </c>
      <c r="C20" s="22" t="s">
        <v>96</v>
      </c>
      <c r="D20" s="22"/>
      <c r="E20" s="22"/>
      <c r="F20" s="24">
        <v>1</v>
      </c>
      <c r="G20" s="24" t="s">
        <v>99</v>
      </c>
      <c r="H20" s="22" t="s">
        <v>100</v>
      </c>
      <c r="I20" s="25"/>
      <c r="J20" s="28" t="s">
        <v>211</v>
      </c>
      <c r="K20" s="27" t="s">
        <v>212</v>
      </c>
      <c r="L20" s="27" t="s">
        <v>213</v>
      </c>
      <c r="M20" s="27" t="s">
        <v>111</v>
      </c>
      <c r="N20" s="29"/>
      <c r="O20" s="29"/>
      <c r="P20" s="29"/>
      <c r="Q20" s="27" t="s">
        <v>112</v>
      </c>
      <c r="R20" s="27" t="s">
        <v>113</v>
      </c>
      <c r="S20" s="27" t="s">
        <v>208</v>
      </c>
      <c r="T20" s="28"/>
      <c r="U20" s="28"/>
      <c r="V20" s="28"/>
      <c r="W20" s="28"/>
      <c r="X20" s="25"/>
      <c r="Y20" s="25"/>
      <c r="Z20" s="28"/>
      <c r="AA20" s="25"/>
      <c r="AB20" s="25"/>
      <c r="AC20" s="27"/>
      <c r="AD20" s="27"/>
      <c r="AE20" s="27">
        <v>70862002</v>
      </c>
      <c r="AF20" s="27"/>
      <c r="AG20" s="32" t="s">
        <v>214</v>
      </c>
      <c r="AH20" s="32" t="s">
        <v>215</v>
      </c>
      <c r="AI20" s="32" t="s">
        <v>216</v>
      </c>
      <c r="AJ20" s="27"/>
      <c r="AK20" s="27"/>
      <c r="AL20" s="27"/>
    </row>
    <row r="21" spans="1:38" ht="12.75" customHeight="1">
      <c r="A21" s="22">
        <v>19</v>
      </c>
      <c r="B21" s="22" t="s">
        <v>217</v>
      </c>
      <c r="C21" s="22" t="s">
        <v>96</v>
      </c>
      <c r="D21" s="22"/>
      <c r="E21" s="22"/>
      <c r="F21" s="24">
        <v>1</v>
      </c>
      <c r="G21" s="24" t="s">
        <v>99</v>
      </c>
      <c r="H21" s="22" t="s">
        <v>100</v>
      </c>
      <c r="I21" s="25"/>
      <c r="J21" s="28" t="s">
        <v>217</v>
      </c>
      <c r="K21" s="27" t="s">
        <v>218</v>
      </c>
      <c r="L21" s="27" t="s">
        <v>219</v>
      </c>
      <c r="M21" s="27" t="s">
        <v>168</v>
      </c>
      <c r="N21" s="29"/>
      <c r="O21" s="29"/>
      <c r="P21" s="29"/>
      <c r="Q21" s="29"/>
      <c r="R21" s="27" t="s">
        <v>113</v>
      </c>
      <c r="S21" s="27" t="s">
        <v>208</v>
      </c>
      <c r="T21" s="28"/>
      <c r="U21" s="28"/>
      <c r="V21" s="28"/>
      <c r="W21" s="28"/>
      <c r="X21" s="25"/>
      <c r="Y21" s="25"/>
      <c r="Z21" s="28"/>
      <c r="AA21" s="25"/>
      <c r="AB21" s="25"/>
      <c r="AC21" s="28"/>
      <c r="AD21" s="28"/>
      <c r="AE21" s="54">
        <v>184103008</v>
      </c>
      <c r="AF21" s="22"/>
      <c r="AG21" s="32" t="s">
        <v>115</v>
      </c>
      <c r="AH21" s="32" t="s">
        <v>197</v>
      </c>
      <c r="AI21" s="50" t="s">
        <v>198</v>
      </c>
      <c r="AJ21" s="22"/>
      <c r="AK21" s="22"/>
      <c r="AL21" s="22"/>
    </row>
    <row r="22" spans="1:38" ht="12.75" customHeight="1">
      <c r="A22" s="22">
        <v>20</v>
      </c>
      <c r="B22" s="55" t="s">
        <v>220</v>
      </c>
      <c r="C22" s="22" t="s">
        <v>96</v>
      </c>
      <c r="D22" s="22"/>
      <c r="E22" s="22"/>
      <c r="F22" s="24">
        <v>1</v>
      </c>
      <c r="G22" s="24" t="s">
        <v>221</v>
      </c>
      <c r="H22" s="22"/>
      <c r="I22" s="24"/>
      <c r="J22" s="55" t="s">
        <v>220</v>
      </c>
      <c r="K22" s="55" t="s">
        <v>222</v>
      </c>
      <c r="L22" s="55" t="s">
        <v>223</v>
      </c>
      <c r="M22" s="27" t="s">
        <v>202</v>
      </c>
      <c r="N22" s="56"/>
      <c r="O22" s="56"/>
      <c r="P22" s="25"/>
      <c r="Q22" s="25"/>
      <c r="R22" s="55" t="s">
        <v>113</v>
      </c>
      <c r="S22" s="55" t="s">
        <v>208</v>
      </c>
      <c r="T22" s="25"/>
      <c r="U22" s="25"/>
      <c r="V22" s="25"/>
      <c r="W22" s="25"/>
      <c r="X22" s="25"/>
      <c r="Y22" s="25"/>
      <c r="Z22" s="24"/>
      <c r="AA22" s="24"/>
      <c r="AB22" s="24"/>
      <c r="AC22" s="25"/>
      <c r="AD22" s="25"/>
      <c r="AE22" s="53">
        <v>410666004</v>
      </c>
      <c r="AF22" s="25"/>
      <c r="AG22" s="57" t="s">
        <v>115</v>
      </c>
      <c r="AH22" s="57" t="s">
        <v>224</v>
      </c>
      <c r="AI22" s="57" t="s">
        <v>225</v>
      </c>
      <c r="AJ22" s="24"/>
      <c r="AK22" s="24"/>
      <c r="AL22" s="22"/>
    </row>
    <row r="23" spans="1:38" ht="12.75" customHeight="1">
      <c r="A23" s="22">
        <v>21</v>
      </c>
      <c r="B23" s="56" t="s">
        <v>226</v>
      </c>
      <c r="C23" s="22" t="s">
        <v>180</v>
      </c>
      <c r="D23" s="22" t="s">
        <v>220</v>
      </c>
      <c r="E23" s="22"/>
      <c r="F23" s="24">
        <v>1</v>
      </c>
      <c r="G23" s="24" t="s">
        <v>221</v>
      </c>
      <c r="H23" s="22"/>
      <c r="I23" s="24"/>
      <c r="J23" s="29"/>
      <c r="K23" s="29"/>
      <c r="L23" s="29"/>
      <c r="M23" s="29"/>
      <c r="N23" s="56" t="s">
        <v>226</v>
      </c>
      <c r="O23" s="56"/>
      <c r="P23" s="25"/>
      <c r="Q23" s="25"/>
      <c r="R23" s="29"/>
      <c r="S23" s="29"/>
      <c r="T23" s="25"/>
      <c r="U23" s="25"/>
      <c r="V23" s="25"/>
      <c r="W23" s="25"/>
      <c r="X23" s="25"/>
      <c r="Y23" s="25"/>
      <c r="Z23" s="24"/>
      <c r="AA23" s="24"/>
      <c r="AB23" s="24"/>
      <c r="AC23" s="25"/>
      <c r="AD23" s="25"/>
      <c r="AE23" s="25">
        <v>103324002</v>
      </c>
      <c r="AF23" s="25"/>
      <c r="AG23" s="57" t="s">
        <v>115</v>
      </c>
      <c r="AH23" s="58" t="s">
        <v>227</v>
      </c>
      <c r="AI23" s="59" t="s">
        <v>228</v>
      </c>
      <c r="AJ23" s="24"/>
      <c r="AK23" s="24"/>
      <c r="AL23" s="22"/>
    </row>
    <row r="24" spans="1:38" ht="12.75" customHeight="1">
      <c r="A24" s="22">
        <v>22</v>
      </c>
      <c r="B24" s="27" t="s">
        <v>229</v>
      </c>
      <c r="C24" s="22" t="s">
        <v>180</v>
      </c>
      <c r="D24" s="22" t="s">
        <v>220</v>
      </c>
      <c r="E24" s="22"/>
      <c r="F24" s="24">
        <v>1</v>
      </c>
      <c r="G24" s="24" t="s">
        <v>221</v>
      </c>
      <c r="H24" s="22"/>
      <c r="I24" s="24"/>
      <c r="J24" s="29"/>
      <c r="K24" s="29"/>
      <c r="L24" s="29"/>
      <c r="M24" s="29"/>
      <c r="N24" s="27" t="s">
        <v>229</v>
      </c>
      <c r="O24" s="27"/>
      <c r="P24" s="25"/>
      <c r="Q24" s="25"/>
      <c r="R24" s="29"/>
      <c r="S24" s="29"/>
      <c r="T24" s="25"/>
      <c r="U24" s="25"/>
      <c r="V24" s="25"/>
      <c r="W24" s="25"/>
      <c r="X24" s="25"/>
      <c r="Y24" s="25"/>
      <c r="Z24" s="24"/>
      <c r="AA24" s="24"/>
      <c r="AB24" s="24"/>
      <c r="AC24" s="25"/>
      <c r="AD24" s="25"/>
      <c r="AE24" s="25">
        <v>416151008</v>
      </c>
      <c r="AF24" s="25"/>
      <c r="AG24" s="57" t="s">
        <v>115</v>
      </c>
      <c r="AH24" s="57" t="s">
        <v>230</v>
      </c>
      <c r="AI24" s="57" t="s">
        <v>231</v>
      </c>
      <c r="AJ24" s="24"/>
      <c r="AK24" s="24"/>
      <c r="AL24" s="22"/>
    </row>
    <row r="25" spans="1:38" ht="12.75" customHeight="1">
      <c r="A25" s="22">
        <v>23</v>
      </c>
      <c r="B25" s="56" t="s">
        <v>232</v>
      </c>
      <c r="C25" s="22" t="s">
        <v>180</v>
      </c>
      <c r="D25" s="22" t="s">
        <v>220</v>
      </c>
      <c r="E25" s="22"/>
      <c r="F25" s="24">
        <v>1</v>
      </c>
      <c r="G25" s="24" t="s">
        <v>221</v>
      </c>
      <c r="H25" s="22"/>
      <c r="I25" s="24"/>
      <c r="J25" s="55"/>
      <c r="K25" s="55"/>
      <c r="L25" s="55"/>
      <c r="M25" s="29"/>
      <c r="N25" s="56" t="s">
        <v>232</v>
      </c>
      <c r="O25" s="56"/>
      <c r="P25" s="25"/>
      <c r="Q25" s="25"/>
      <c r="R25" s="55"/>
      <c r="S25" s="55"/>
      <c r="T25" s="25"/>
      <c r="U25" s="25"/>
      <c r="V25" s="25"/>
      <c r="W25" s="25"/>
      <c r="X25" s="25"/>
      <c r="Y25" s="25"/>
      <c r="Z25" s="24"/>
      <c r="AA25" s="24"/>
      <c r="AB25" s="24"/>
      <c r="AC25" s="25"/>
      <c r="AD25" s="25"/>
      <c r="AE25" s="25">
        <v>33962009</v>
      </c>
      <c r="AF25" s="25"/>
      <c r="AG25" s="58" t="s">
        <v>115</v>
      </c>
      <c r="AH25" s="58" t="s">
        <v>233</v>
      </c>
      <c r="AI25" s="58" t="s">
        <v>234</v>
      </c>
      <c r="AJ25" s="24"/>
      <c r="AK25" s="24"/>
      <c r="AL25" s="22"/>
    </row>
    <row r="26" spans="1:38" ht="12.75" customHeight="1">
      <c r="A26" s="22">
        <v>24</v>
      </c>
      <c r="B26" s="55" t="s">
        <v>235</v>
      </c>
      <c r="C26" s="22" t="s">
        <v>96</v>
      </c>
      <c r="D26" s="22"/>
      <c r="E26" s="22"/>
      <c r="F26" s="24">
        <v>1</v>
      </c>
      <c r="G26" s="24" t="s">
        <v>221</v>
      </c>
      <c r="H26" s="22"/>
      <c r="I26" s="24"/>
      <c r="J26" s="55" t="s">
        <v>235</v>
      </c>
      <c r="K26" s="55" t="s">
        <v>236</v>
      </c>
      <c r="L26" s="55" t="s">
        <v>237</v>
      </c>
      <c r="M26" s="55" t="s">
        <v>238</v>
      </c>
      <c r="N26" s="56"/>
      <c r="O26" s="56"/>
      <c r="P26" s="25"/>
      <c r="Q26" s="25"/>
      <c r="R26" s="55" t="s">
        <v>113</v>
      </c>
      <c r="S26" s="55" t="s">
        <v>208</v>
      </c>
      <c r="T26" s="25"/>
      <c r="U26" s="25"/>
      <c r="V26" s="25"/>
      <c r="W26" s="25"/>
      <c r="X26" s="25"/>
      <c r="Y26" s="25"/>
      <c r="Z26" s="24"/>
      <c r="AA26" s="24"/>
      <c r="AB26" s="24"/>
      <c r="AC26" s="25"/>
      <c r="AD26" s="25"/>
      <c r="AE26" s="25">
        <v>33962009</v>
      </c>
      <c r="AF26" s="25"/>
      <c r="AG26" s="58" t="s">
        <v>115</v>
      </c>
      <c r="AH26" s="58" t="s">
        <v>233</v>
      </c>
      <c r="AI26" s="58" t="s">
        <v>234</v>
      </c>
      <c r="AJ26" s="24"/>
      <c r="AK26" s="24"/>
      <c r="AL26" s="22"/>
    </row>
    <row r="27" spans="1:38" ht="12.75" customHeight="1">
      <c r="A27" s="22">
        <v>25</v>
      </c>
      <c r="B27" s="56" t="s">
        <v>239</v>
      </c>
      <c r="C27" s="22" t="s">
        <v>180</v>
      </c>
      <c r="D27" s="55" t="s">
        <v>235</v>
      </c>
      <c r="E27" s="22"/>
      <c r="F27" s="24">
        <v>1</v>
      </c>
      <c r="G27" s="24" t="s">
        <v>221</v>
      </c>
      <c r="H27" s="22"/>
      <c r="I27" s="24"/>
      <c r="J27" s="55"/>
      <c r="K27" s="55"/>
      <c r="L27" s="55"/>
      <c r="M27" s="29"/>
      <c r="N27" s="56" t="s">
        <v>239</v>
      </c>
      <c r="O27" s="56"/>
      <c r="P27" s="25"/>
      <c r="Q27" s="25"/>
      <c r="R27" s="55"/>
      <c r="S27" s="55"/>
      <c r="T27" s="25"/>
      <c r="U27" s="25"/>
      <c r="V27" s="25"/>
      <c r="W27" s="25"/>
      <c r="X27" s="25"/>
      <c r="Y27" s="25"/>
      <c r="Z27" s="24"/>
      <c r="AA27" s="24"/>
      <c r="AB27" s="24"/>
      <c r="AC27" s="25"/>
      <c r="AD27" s="25"/>
      <c r="AE27" s="54">
        <v>289567003</v>
      </c>
      <c r="AF27" s="25"/>
      <c r="AG27" s="57" t="s">
        <v>115</v>
      </c>
      <c r="AH27" s="57" t="s">
        <v>240</v>
      </c>
      <c r="AI27" s="57" t="s">
        <v>241</v>
      </c>
      <c r="AJ27" s="24"/>
      <c r="AK27" s="24"/>
      <c r="AL27" s="22"/>
    </row>
    <row r="28" spans="1:38" ht="12.75" customHeight="1">
      <c r="A28" s="22">
        <v>26</v>
      </c>
      <c r="B28" s="27" t="s">
        <v>242</v>
      </c>
      <c r="C28" s="22" t="s">
        <v>180</v>
      </c>
      <c r="D28" s="55" t="s">
        <v>235</v>
      </c>
      <c r="E28" s="22"/>
      <c r="F28" s="24">
        <v>1</v>
      </c>
      <c r="G28" s="24" t="s">
        <v>221</v>
      </c>
      <c r="H28" s="22"/>
      <c r="I28" s="22"/>
      <c r="J28" s="55"/>
      <c r="K28" s="55"/>
      <c r="L28" s="55"/>
      <c r="M28" s="29"/>
      <c r="N28" s="27" t="s">
        <v>242</v>
      </c>
      <c r="O28" s="27"/>
      <c r="P28" s="25"/>
      <c r="Q28" s="25"/>
      <c r="R28" s="55"/>
      <c r="S28" s="55"/>
      <c r="T28" s="25"/>
      <c r="U28" s="25"/>
      <c r="V28" s="25"/>
      <c r="W28" s="25"/>
      <c r="X28" s="25"/>
      <c r="Y28" s="25"/>
      <c r="Z28" s="24"/>
      <c r="AA28" s="24"/>
      <c r="AB28" s="24"/>
      <c r="AC28" s="25"/>
      <c r="AD28" s="25"/>
      <c r="AE28" s="25">
        <v>18165001</v>
      </c>
      <c r="AF28" s="25"/>
      <c r="AG28" s="44"/>
      <c r="AH28" s="58" t="s">
        <v>243</v>
      </c>
      <c r="AI28" s="57" t="s">
        <v>244</v>
      </c>
      <c r="AJ28" s="24"/>
      <c r="AK28" s="24"/>
      <c r="AL28" s="22"/>
    </row>
    <row r="29" spans="1:38" ht="12.75" customHeight="1">
      <c r="A29" s="22">
        <v>27</v>
      </c>
      <c r="B29" s="56" t="s">
        <v>245</v>
      </c>
      <c r="C29" s="22" t="s">
        <v>180</v>
      </c>
      <c r="D29" s="55" t="s">
        <v>235</v>
      </c>
      <c r="E29" s="22"/>
      <c r="F29" s="24">
        <v>1</v>
      </c>
      <c r="G29" s="24" t="s">
        <v>221</v>
      </c>
      <c r="H29" s="22"/>
      <c r="I29" s="22"/>
      <c r="J29" s="55"/>
      <c r="K29" s="55"/>
      <c r="L29" s="55"/>
      <c r="M29" s="29"/>
      <c r="N29" s="56" t="s">
        <v>245</v>
      </c>
      <c r="O29" s="56"/>
      <c r="P29" s="25"/>
      <c r="Q29" s="25"/>
      <c r="R29" s="55"/>
      <c r="S29" s="55"/>
      <c r="T29" s="25"/>
      <c r="U29" s="25"/>
      <c r="V29" s="25"/>
      <c r="W29" s="25"/>
      <c r="X29" s="25"/>
      <c r="Y29" s="25"/>
      <c r="Z29" s="24"/>
      <c r="AA29" s="24"/>
      <c r="AB29" s="24"/>
      <c r="AC29" s="61" t="s">
        <v>246</v>
      </c>
      <c r="AD29" s="25"/>
      <c r="AE29" s="54">
        <v>129899009</v>
      </c>
      <c r="AF29" s="25"/>
      <c r="AG29" s="57" t="s">
        <v>115</v>
      </c>
      <c r="AH29" s="62" t="s">
        <v>247</v>
      </c>
      <c r="AI29" s="58" t="s">
        <v>248</v>
      </c>
      <c r="AJ29" s="24"/>
      <c r="AK29" s="24"/>
      <c r="AL29" s="22"/>
    </row>
    <row r="30" spans="1:38" ht="12.75" customHeight="1">
      <c r="A30" s="22">
        <v>28</v>
      </c>
      <c r="B30" s="56" t="s">
        <v>249</v>
      </c>
      <c r="C30" s="22" t="s">
        <v>180</v>
      </c>
      <c r="D30" s="55" t="s">
        <v>235</v>
      </c>
      <c r="E30" s="22"/>
      <c r="F30" s="24">
        <v>1</v>
      </c>
      <c r="G30" s="24" t="s">
        <v>221</v>
      </c>
      <c r="H30" s="22"/>
      <c r="I30" s="22"/>
      <c r="J30" s="55"/>
      <c r="K30" s="55"/>
      <c r="L30" s="55"/>
      <c r="M30" s="29"/>
      <c r="N30" s="56" t="s">
        <v>249</v>
      </c>
      <c r="O30" s="56"/>
      <c r="P30" s="25"/>
      <c r="Q30" s="25"/>
      <c r="R30" s="55"/>
      <c r="S30" s="55"/>
      <c r="T30" s="25"/>
      <c r="U30" s="25"/>
      <c r="V30" s="25"/>
      <c r="W30" s="25"/>
      <c r="X30" s="25"/>
      <c r="Y30" s="25"/>
      <c r="Z30" s="24"/>
      <c r="AA30" s="24"/>
      <c r="AB30" s="24"/>
      <c r="AC30" s="54" t="s">
        <v>251</v>
      </c>
      <c r="AD30" s="25"/>
      <c r="AE30" s="53">
        <v>14760008</v>
      </c>
      <c r="AF30" s="25"/>
      <c r="AG30" s="57" t="s">
        <v>115</v>
      </c>
      <c r="AH30" s="57" t="s">
        <v>252</v>
      </c>
      <c r="AI30" s="57" t="s">
        <v>253</v>
      </c>
      <c r="AJ30" s="24"/>
      <c r="AK30" s="24"/>
      <c r="AL30" s="22"/>
    </row>
    <row r="31" spans="1:38" ht="12.75" customHeight="1">
      <c r="A31" s="22">
        <v>29</v>
      </c>
      <c r="B31" s="56" t="s">
        <v>254</v>
      </c>
      <c r="C31" s="22" t="s">
        <v>180</v>
      </c>
      <c r="D31" s="55" t="s">
        <v>235</v>
      </c>
      <c r="E31" s="22"/>
      <c r="F31" s="24">
        <v>1</v>
      </c>
      <c r="G31" s="24" t="s">
        <v>221</v>
      </c>
      <c r="H31" s="22"/>
      <c r="I31" s="22"/>
      <c r="J31" s="55"/>
      <c r="K31" s="55"/>
      <c r="L31" s="55"/>
      <c r="M31" s="29"/>
      <c r="N31" s="56" t="s">
        <v>254</v>
      </c>
      <c r="O31" s="56"/>
      <c r="P31" s="25"/>
      <c r="Q31" s="25"/>
      <c r="R31" s="55"/>
      <c r="S31" s="55"/>
      <c r="T31" s="25"/>
      <c r="U31" s="25"/>
      <c r="V31" s="25"/>
      <c r="W31" s="25"/>
      <c r="X31" s="25"/>
      <c r="Y31" s="25"/>
      <c r="Z31" s="24"/>
      <c r="AA31" s="24"/>
      <c r="AB31" s="24"/>
      <c r="AC31" s="25"/>
      <c r="AD31" s="25"/>
      <c r="AE31" s="53">
        <v>289741005</v>
      </c>
      <c r="AF31" s="25"/>
      <c r="AG31" s="57" t="s">
        <v>115</v>
      </c>
      <c r="AH31" s="68" t="s">
        <v>256</v>
      </c>
      <c r="AI31" s="68" t="s">
        <v>257</v>
      </c>
      <c r="AJ31" s="24"/>
      <c r="AK31" s="24"/>
      <c r="AL31" s="22"/>
    </row>
    <row r="32" spans="1:38" ht="12.75" customHeight="1">
      <c r="A32" s="22">
        <v>30</v>
      </c>
      <c r="B32" s="56" t="s">
        <v>258</v>
      </c>
      <c r="C32" s="22" t="s">
        <v>180</v>
      </c>
      <c r="D32" s="55" t="s">
        <v>235</v>
      </c>
      <c r="E32" s="22"/>
      <c r="F32" s="24">
        <v>1</v>
      </c>
      <c r="G32" s="24" t="s">
        <v>221</v>
      </c>
      <c r="H32" s="22"/>
      <c r="I32" s="22"/>
      <c r="J32" s="55"/>
      <c r="K32" s="55"/>
      <c r="L32" s="55"/>
      <c r="M32" s="29"/>
      <c r="N32" s="56" t="s">
        <v>258</v>
      </c>
      <c r="O32" s="56"/>
      <c r="P32" s="25"/>
      <c r="Q32" s="25"/>
      <c r="R32" s="55"/>
      <c r="S32" s="55"/>
      <c r="T32" s="25"/>
      <c r="U32" s="25"/>
      <c r="V32" s="25"/>
      <c r="W32" s="25"/>
      <c r="X32" s="25"/>
      <c r="Y32" s="25"/>
      <c r="Z32" s="24"/>
      <c r="AA32" s="24"/>
      <c r="AB32" s="24"/>
      <c r="AC32" s="54" t="s">
        <v>259</v>
      </c>
      <c r="AD32" s="25"/>
      <c r="AE32" s="25">
        <v>49727002</v>
      </c>
      <c r="AF32" s="25"/>
      <c r="AG32" s="57" t="s">
        <v>115</v>
      </c>
      <c r="AH32" s="58" t="s">
        <v>260</v>
      </c>
      <c r="AI32" s="57" t="s">
        <v>261</v>
      </c>
      <c r="AJ32" s="24"/>
      <c r="AK32" s="24"/>
      <c r="AL32" s="22"/>
    </row>
    <row r="33" spans="1:38" ht="12.75" customHeight="1">
      <c r="A33" s="22">
        <v>31</v>
      </c>
      <c r="B33" s="27" t="s">
        <v>262</v>
      </c>
      <c r="C33" s="22" t="s">
        <v>180</v>
      </c>
      <c r="D33" s="55" t="s">
        <v>235</v>
      </c>
      <c r="E33" s="22"/>
      <c r="F33" s="24">
        <v>1</v>
      </c>
      <c r="G33" s="24" t="s">
        <v>221</v>
      </c>
      <c r="H33" s="22"/>
      <c r="I33" s="22"/>
      <c r="J33" s="55"/>
      <c r="K33" s="55"/>
      <c r="L33" s="55"/>
      <c r="M33" s="29"/>
      <c r="N33" s="27" t="s">
        <v>262</v>
      </c>
      <c r="O33" s="27"/>
      <c r="P33" s="25"/>
      <c r="Q33" s="25"/>
      <c r="R33" s="55"/>
      <c r="S33" s="55"/>
      <c r="T33" s="25"/>
      <c r="U33" s="25"/>
      <c r="V33" s="25"/>
      <c r="W33" s="25"/>
      <c r="X33" s="25"/>
      <c r="Y33" s="25"/>
      <c r="Z33" s="24"/>
      <c r="AA33" s="24"/>
      <c r="AB33" s="24"/>
      <c r="AC33" s="54" t="s">
        <v>263</v>
      </c>
      <c r="AD33" s="25"/>
      <c r="AE33" s="53">
        <v>35489007</v>
      </c>
      <c r="AF33" s="25"/>
      <c r="AG33" s="58" t="s">
        <v>115</v>
      </c>
      <c r="AH33" s="58" t="s">
        <v>264</v>
      </c>
      <c r="AI33" s="58" t="s">
        <v>265</v>
      </c>
      <c r="AJ33" s="24"/>
      <c r="AK33" s="24"/>
      <c r="AL33" s="22"/>
    </row>
    <row r="34" spans="1:38" ht="12.75" customHeight="1">
      <c r="A34" s="22">
        <v>32</v>
      </c>
      <c r="B34" s="27" t="s">
        <v>266</v>
      </c>
      <c r="C34" s="22" t="s">
        <v>180</v>
      </c>
      <c r="D34" s="55" t="s">
        <v>235</v>
      </c>
      <c r="E34" s="22"/>
      <c r="F34" s="24">
        <v>1</v>
      </c>
      <c r="G34" s="24" t="s">
        <v>221</v>
      </c>
      <c r="H34" s="22"/>
      <c r="I34" s="22"/>
      <c r="J34" s="55"/>
      <c r="K34" s="55"/>
      <c r="L34" s="55"/>
      <c r="M34" s="29"/>
      <c r="N34" s="27" t="s">
        <v>266</v>
      </c>
      <c r="O34" s="27"/>
      <c r="P34" s="25"/>
      <c r="Q34" s="25"/>
      <c r="R34" s="55"/>
      <c r="S34" s="55"/>
      <c r="T34" s="25"/>
      <c r="U34" s="25"/>
      <c r="V34" s="25"/>
      <c r="W34" s="25"/>
      <c r="X34" s="25"/>
      <c r="Y34" s="25"/>
      <c r="Z34" s="24"/>
      <c r="AA34" s="24"/>
      <c r="AB34" s="24"/>
      <c r="AC34" s="54" t="s">
        <v>267</v>
      </c>
      <c r="AD34" s="25"/>
      <c r="AE34" s="53">
        <v>48694002</v>
      </c>
      <c r="AF34" s="25"/>
      <c r="AG34" s="58" t="s">
        <v>115</v>
      </c>
      <c r="AH34" s="58" t="s">
        <v>268</v>
      </c>
      <c r="AI34" s="58" t="s">
        <v>269</v>
      </c>
      <c r="AJ34" s="24"/>
      <c r="AK34" s="24"/>
      <c r="AL34" s="22"/>
    </row>
    <row r="35" spans="1:38" ht="12.75" customHeight="1">
      <c r="A35" s="22">
        <v>33</v>
      </c>
      <c r="B35" s="56" t="s">
        <v>270</v>
      </c>
      <c r="C35" s="22" t="s">
        <v>180</v>
      </c>
      <c r="D35" s="55" t="s">
        <v>235</v>
      </c>
      <c r="E35" s="22"/>
      <c r="F35" s="24">
        <v>1</v>
      </c>
      <c r="G35" s="24" t="s">
        <v>221</v>
      </c>
      <c r="H35" s="22"/>
      <c r="I35" s="22"/>
      <c r="J35" s="55"/>
      <c r="K35" s="55"/>
      <c r="L35" s="55"/>
      <c r="M35" s="29"/>
      <c r="N35" s="56" t="s">
        <v>270</v>
      </c>
      <c r="O35" s="56"/>
      <c r="P35" s="25"/>
      <c r="Q35" s="25"/>
      <c r="R35" s="55"/>
      <c r="S35" s="55"/>
      <c r="T35" s="25"/>
      <c r="U35" s="25"/>
      <c r="V35" s="25"/>
      <c r="W35" s="25"/>
      <c r="X35" s="25"/>
      <c r="Y35" s="25"/>
      <c r="Z35" s="24"/>
      <c r="AA35" s="24"/>
      <c r="AB35" s="24"/>
      <c r="AC35" s="61" t="s">
        <v>271</v>
      </c>
      <c r="AD35" s="25"/>
      <c r="AE35" s="54">
        <v>315018008</v>
      </c>
      <c r="AF35" s="25"/>
      <c r="AG35" s="58" t="s">
        <v>115</v>
      </c>
      <c r="AH35" s="58" t="s">
        <v>272</v>
      </c>
      <c r="AI35" s="71" t="s">
        <v>273</v>
      </c>
      <c r="AJ35" s="24"/>
      <c r="AK35" s="24"/>
      <c r="AL35" s="22"/>
    </row>
    <row r="36" spans="1:38" ht="12.75" customHeight="1">
      <c r="A36" s="22">
        <v>34</v>
      </c>
      <c r="B36" s="56" t="s">
        <v>274</v>
      </c>
      <c r="C36" s="22" t="s">
        <v>180</v>
      </c>
      <c r="D36" s="55" t="s">
        <v>235</v>
      </c>
      <c r="E36" s="22"/>
      <c r="F36" s="24">
        <v>1</v>
      </c>
      <c r="G36" s="24" t="s">
        <v>221</v>
      </c>
      <c r="H36" s="22"/>
      <c r="I36" s="22"/>
      <c r="J36" s="55"/>
      <c r="K36" s="55"/>
      <c r="L36" s="55"/>
      <c r="M36" s="29"/>
      <c r="N36" s="56" t="s">
        <v>274</v>
      </c>
      <c r="O36" s="56"/>
      <c r="P36" s="25"/>
      <c r="Q36" s="25"/>
      <c r="R36" s="55"/>
      <c r="S36" s="55"/>
      <c r="T36" s="25"/>
      <c r="U36" s="25"/>
      <c r="V36" s="25"/>
      <c r="W36" s="25"/>
      <c r="X36" s="25"/>
      <c r="Y36" s="25"/>
      <c r="Z36" s="24"/>
      <c r="AA36" s="24"/>
      <c r="AB36" s="24"/>
      <c r="AC36" s="61" t="s">
        <v>275</v>
      </c>
      <c r="AD36" s="25"/>
      <c r="AE36" s="53">
        <v>404189009</v>
      </c>
      <c r="AF36" s="25"/>
      <c r="AG36" s="57" t="s">
        <v>115</v>
      </c>
      <c r="AH36" s="57" t="s">
        <v>276</v>
      </c>
      <c r="AI36" s="57" t="s">
        <v>277</v>
      </c>
      <c r="AJ36" s="24"/>
      <c r="AK36" s="24"/>
      <c r="AL36" s="22"/>
    </row>
    <row r="37" spans="1:38" ht="12.75" customHeight="1">
      <c r="A37" s="22">
        <v>35</v>
      </c>
      <c r="B37" s="56" t="s">
        <v>278</v>
      </c>
      <c r="C37" s="22" t="s">
        <v>180</v>
      </c>
      <c r="D37" s="55" t="s">
        <v>235</v>
      </c>
      <c r="E37" s="22"/>
      <c r="F37" s="24">
        <v>1</v>
      </c>
      <c r="G37" s="24" t="s">
        <v>221</v>
      </c>
      <c r="H37" s="22"/>
      <c r="I37" s="22"/>
      <c r="J37" s="55"/>
      <c r="K37" s="55"/>
      <c r="L37" s="55"/>
      <c r="M37" s="29"/>
      <c r="N37" s="56" t="s">
        <v>278</v>
      </c>
      <c r="O37" s="56"/>
      <c r="P37" s="25"/>
      <c r="Q37" s="25"/>
      <c r="R37" s="55"/>
      <c r="S37" s="55"/>
      <c r="T37" s="25"/>
      <c r="U37" s="25"/>
      <c r="V37" s="25"/>
      <c r="W37" s="25"/>
      <c r="X37" s="25"/>
      <c r="Y37" s="25"/>
      <c r="Z37" s="24"/>
      <c r="AA37" s="24"/>
      <c r="AB37" s="24"/>
      <c r="AC37" s="76"/>
      <c r="AD37" s="76"/>
      <c r="AE37" s="76"/>
      <c r="AF37" s="25"/>
      <c r="AG37" s="57" t="s">
        <v>115</v>
      </c>
      <c r="AH37" s="58" t="s">
        <v>279</v>
      </c>
      <c r="AI37" s="78" t="s">
        <v>280</v>
      </c>
      <c r="AJ37" s="24"/>
      <c r="AK37" s="24"/>
      <c r="AL37" s="22"/>
    </row>
    <row r="38" spans="1:38" ht="12.75" customHeight="1">
      <c r="A38" s="22">
        <v>36</v>
      </c>
      <c r="B38" s="56" t="s">
        <v>281</v>
      </c>
      <c r="C38" s="22" t="s">
        <v>180</v>
      </c>
      <c r="D38" s="55" t="s">
        <v>235</v>
      </c>
      <c r="E38" s="22"/>
      <c r="F38" s="24">
        <v>1</v>
      </c>
      <c r="G38" s="24" t="s">
        <v>221</v>
      </c>
      <c r="H38" s="22"/>
      <c r="I38" s="22"/>
      <c r="J38" s="55"/>
      <c r="K38" s="55"/>
      <c r="L38" s="55"/>
      <c r="M38" s="29"/>
      <c r="N38" s="56" t="s">
        <v>281</v>
      </c>
      <c r="O38" s="56"/>
      <c r="P38" s="25"/>
      <c r="Q38" s="25"/>
      <c r="R38" s="55"/>
      <c r="S38" s="55"/>
      <c r="T38" s="25"/>
      <c r="U38" s="25"/>
      <c r="V38" s="25"/>
      <c r="W38" s="25"/>
      <c r="X38" s="25"/>
      <c r="Y38" s="25"/>
      <c r="Z38" s="24"/>
      <c r="AA38" s="24"/>
      <c r="AB38" s="24"/>
      <c r="AC38" s="53" t="s">
        <v>283</v>
      </c>
      <c r="AD38" s="25"/>
      <c r="AE38" s="54">
        <v>386661006</v>
      </c>
      <c r="AF38" s="25"/>
      <c r="AG38" s="57" t="s">
        <v>115</v>
      </c>
      <c r="AH38" s="57" t="s">
        <v>284</v>
      </c>
      <c r="AI38" s="57" t="s">
        <v>285</v>
      </c>
      <c r="AJ38" s="24"/>
      <c r="AK38" s="24"/>
      <c r="AL38" s="22"/>
    </row>
    <row r="39" spans="1:38" ht="12.75" customHeight="1">
      <c r="A39" s="22">
        <v>37</v>
      </c>
      <c r="B39" s="56" t="s">
        <v>286</v>
      </c>
      <c r="C39" s="22" t="s">
        <v>180</v>
      </c>
      <c r="D39" s="55" t="s">
        <v>235</v>
      </c>
      <c r="E39" s="22"/>
      <c r="F39" s="24">
        <v>1</v>
      </c>
      <c r="G39" s="24" t="s">
        <v>221</v>
      </c>
      <c r="H39" s="22"/>
      <c r="I39" s="22"/>
      <c r="J39" s="55"/>
      <c r="K39" s="55"/>
      <c r="L39" s="55"/>
      <c r="M39" s="29"/>
      <c r="N39" s="56" t="s">
        <v>286</v>
      </c>
      <c r="O39" s="56"/>
      <c r="P39" s="25"/>
      <c r="Q39" s="25"/>
      <c r="R39" s="55"/>
      <c r="S39" s="55"/>
      <c r="T39" s="25"/>
      <c r="U39" s="25"/>
      <c r="V39" s="25"/>
      <c r="W39" s="25"/>
      <c r="X39" s="25"/>
      <c r="Y39" s="25"/>
      <c r="Z39" s="24"/>
      <c r="AA39" s="24"/>
      <c r="AB39" s="24"/>
      <c r="AC39" s="61" t="s">
        <v>287</v>
      </c>
      <c r="AD39" s="25"/>
      <c r="AE39" s="54">
        <v>102614006</v>
      </c>
      <c r="AF39" s="25"/>
      <c r="AG39" s="57" t="s">
        <v>115</v>
      </c>
      <c r="AH39" s="57" t="s">
        <v>288</v>
      </c>
      <c r="AI39" s="57" t="s">
        <v>289</v>
      </c>
      <c r="AJ39" s="24"/>
      <c r="AK39" s="24"/>
      <c r="AL39" s="22"/>
    </row>
    <row r="40" spans="1:38" ht="12.75" customHeight="1">
      <c r="A40" s="22">
        <v>38</v>
      </c>
      <c r="B40" s="56" t="s">
        <v>291</v>
      </c>
      <c r="C40" s="22" t="s">
        <v>180</v>
      </c>
      <c r="D40" s="55" t="s">
        <v>235</v>
      </c>
      <c r="E40" s="22"/>
      <c r="F40" s="24">
        <v>1</v>
      </c>
      <c r="G40" s="24" t="s">
        <v>221</v>
      </c>
      <c r="H40" s="22"/>
      <c r="I40" s="22"/>
      <c r="J40" s="55"/>
      <c r="K40" s="55"/>
      <c r="L40" s="55"/>
      <c r="M40" s="29"/>
      <c r="N40" s="56" t="s">
        <v>291</v>
      </c>
      <c r="O40" s="56"/>
      <c r="P40" s="25"/>
      <c r="Q40" s="25"/>
      <c r="R40" s="55"/>
      <c r="S40" s="55"/>
      <c r="T40" s="25"/>
      <c r="U40" s="25"/>
      <c r="V40" s="25"/>
      <c r="W40" s="25"/>
      <c r="X40" s="25"/>
      <c r="Y40" s="25"/>
      <c r="Z40" s="24"/>
      <c r="AA40" s="24"/>
      <c r="AB40" s="24"/>
      <c r="AC40" s="25"/>
      <c r="AD40" s="25"/>
      <c r="AE40" s="53">
        <v>315642008</v>
      </c>
      <c r="AF40" s="25"/>
      <c r="AG40" s="57" t="s">
        <v>115</v>
      </c>
      <c r="AH40" s="57" t="s">
        <v>292</v>
      </c>
      <c r="AI40" s="57" t="s">
        <v>293</v>
      </c>
      <c r="AJ40" s="24"/>
      <c r="AK40" s="24"/>
      <c r="AL40" s="22"/>
    </row>
    <row r="41" spans="1:38" ht="12.75" customHeight="1">
      <c r="A41" s="22">
        <v>39</v>
      </c>
      <c r="B41" s="56" t="s">
        <v>294</v>
      </c>
      <c r="C41" s="22" t="s">
        <v>180</v>
      </c>
      <c r="D41" s="55" t="s">
        <v>235</v>
      </c>
      <c r="E41" s="22"/>
      <c r="F41" s="24">
        <v>1</v>
      </c>
      <c r="G41" s="24" t="s">
        <v>221</v>
      </c>
      <c r="H41" s="22"/>
      <c r="I41" s="22"/>
      <c r="J41" s="55"/>
      <c r="K41" s="55"/>
      <c r="L41" s="55"/>
      <c r="M41" s="29"/>
      <c r="N41" s="56" t="s">
        <v>294</v>
      </c>
      <c r="O41" s="56"/>
      <c r="P41" s="25"/>
      <c r="Q41" s="25"/>
      <c r="R41" s="55"/>
      <c r="S41" s="55"/>
      <c r="T41" s="25"/>
      <c r="U41" s="25"/>
      <c r="V41" s="25"/>
      <c r="W41" s="25"/>
      <c r="X41" s="25"/>
      <c r="Y41" s="25"/>
      <c r="Z41" s="24"/>
      <c r="AA41" s="24"/>
      <c r="AB41" s="24"/>
      <c r="AC41" s="25"/>
      <c r="AD41" s="25"/>
      <c r="AE41" s="54">
        <v>371380006</v>
      </c>
      <c r="AF41" s="25"/>
      <c r="AG41" s="57" t="s">
        <v>115</v>
      </c>
      <c r="AH41" s="58" t="s">
        <v>296</v>
      </c>
      <c r="AI41" s="57" t="s">
        <v>297</v>
      </c>
      <c r="AJ41" s="24"/>
      <c r="AK41" s="24"/>
      <c r="AL41" s="22"/>
    </row>
    <row r="42" spans="1:38" ht="12.75" customHeight="1">
      <c r="A42" s="22">
        <v>40</v>
      </c>
      <c r="B42" s="56" t="s">
        <v>298</v>
      </c>
      <c r="C42" s="22" t="s">
        <v>180</v>
      </c>
      <c r="D42" s="55" t="s">
        <v>235</v>
      </c>
      <c r="E42" s="22"/>
      <c r="F42" s="24">
        <v>1</v>
      </c>
      <c r="G42" s="24" t="s">
        <v>221</v>
      </c>
      <c r="H42" s="22"/>
      <c r="I42" s="22"/>
      <c r="J42" s="55"/>
      <c r="K42" s="55"/>
      <c r="L42" s="55"/>
      <c r="M42" s="29"/>
      <c r="N42" s="56" t="s">
        <v>298</v>
      </c>
      <c r="O42" s="56"/>
      <c r="P42" s="25"/>
      <c r="Q42" s="25"/>
      <c r="R42" s="55"/>
      <c r="S42" s="55"/>
      <c r="T42" s="25"/>
      <c r="U42" s="25"/>
      <c r="V42" s="25"/>
      <c r="W42" s="25"/>
      <c r="X42" s="25"/>
      <c r="Y42" s="25"/>
      <c r="Z42" s="24"/>
      <c r="AA42" s="24"/>
      <c r="AB42" s="24"/>
      <c r="AC42" s="54" t="s">
        <v>299</v>
      </c>
      <c r="AD42" s="25"/>
      <c r="AE42" s="53">
        <v>25064002</v>
      </c>
      <c r="AF42" s="25"/>
      <c r="AG42" s="57" t="s">
        <v>115</v>
      </c>
      <c r="AH42" s="57" t="s">
        <v>300</v>
      </c>
      <c r="AI42" s="57" t="s">
        <v>301</v>
      </c>
      <c r="AJ42" s="24"/>
      <c r="AK42" s="24"/>
      <c r="AL42" s="22"/>
    </row>
    <row r="43" spans="1:38" ht="12.75" customHeight="1">
      <c r="A43" s="22">
        <v>41</v>
      </c>
      <c r="B43" s="56" t="s">
        <v>302</v>
      </c>
      <c r="C43" s="22" t="s">
        <v>180</v>
      </c>
      <c r="D43" s="55" t="s">
        <v>235</v>
      </c>
      <c r="E43" s="22"/>
      <c r="F43" s="24">
        <v>1</v>
      </c>
      <c r="G43" s="24" t="s">
        <v>221</v>
      </c>
      <c r="H43" s="22"/>
      <c r="I43" s="22"/>
      <c r="J43" s="55"/>
      <c r="K43" s="55"/>
      <c r="L43" s="55"/>
      <c r="M43" s="29"/>
      <c r="N43" s="56" t="s">
        <v>302</v>
      </c>
      <c r="O43" s="56"/>
      <c r="P43" s="25"/>
      <c r="Q43" s="25"/>
      <c r="R43" s="55"/>
      <c r="S43" s="55"/>
      <c r="T43" s="25"/>
      <c r="U43" s="25"/>
      <c r="V43" s="25"/>
      <c r="W43" s="25"/>
      <c r="X43" s="25"/>
      <c r="Y43" s="25"/>
      <c r="Z43" s="24"/>
      <c r="AA43" s="24"/>
      <c r="AB43" s="24"/>
      <c r="AC43" s="54" t="s">
        <v>303</v>
      </c>
      <c r="AD43" s="25"/>
      <c r="AE43" s="53">
        <v>16331000</v>
      </c>
      <c r="AF43" s="25"/>
      <c r="AG43" s="57" t="s">
        <v>115</v>
      </c>
      <c r="AH43" s="57" t="s">
        <v>305</v>
      </c>
      <c r="AI43" s="83" t="s">
        <v>306</v>
      </c>
      <c r="AJ43" s="24"/>
      <c r="AK43" s="24"/>
      <c r="AL43" s="22"/>
    </row>
    <row r="44" spans="1:38" ht="12.75" customHeight="1">
      <c r="A44" s="22">
        <v>42</v>
      </c>
      <c r="B44" s="56" t="s">
        <v>307</v>
      </c>
      <c r="C44" s="22" t="s">
        <v>180</v>
      </c>
      <c r="D44" s="55" t="s">
        <v>235</v>
      </c>
      <c r="E44" s="22"/>
      <c r="F44" s="24">
        <v>1</v>
      </c>
      <c r="G44" s="24" t="s">
        <v>221</v>
      </c>
      <c r="H44" s="22"/>
      <c r="I44" s="22"/>
      <c r="J44" s="55"/>
      <c r="K44" s="55"/>
      <c r="L44" s="55"/>
      <c r="M44" s="29"/>
      <c r="N44" s="56" t="s">
        <v>307</v>
      </c>
      <c r="O44" s="56"/>
      <c r="P44" s="25"/>
      <c r="Q44" s="25"/>
      <c r="R44" s="55"/>
      <c r="S44" s="55"/>
      <c r="T44" s="25"/>
      <c r="U44" s="25"/>
      <c r="V44" s="25"/>
      <c r="W44" s="25"/>
      <c r="X44" s="25"/>
      <c r="Y44" s="25"/>
      <c r="Z44" s="24"/>
      <c r="AA44" s="24"/>
      <c r="AB44" s="24"/>
      <c r="AC44" s="61" t="s">
        <v>309</v>
      </c>
      <c r="AD44" s="25"/>
      <c r="AE44" s="54">
        <v>449917004</v>
      </c>
      <c r="AF44" s="25"/>
      <c r="AG44" s="58" t="s">
        <v>115</v>
      </c>
      <c r="AH44" s="58" t="s">
        <v>310</v>
      </c>
      <c r="AI44" s="83" t="s">
        <v>311</v>
      </c>
      <c r="AJ44" s="24"/>
      <c r="AK44" s="24"/>
      <c r="AL44" s="22"/>
    </row>
    <row r="45" spans="1:38" ht="12.75" customHeight="1">
      <c r="A45" s="22">
        <v>43</v>
      </c>
      <c r="B45" s="56" t="s">
        <v>312</v>
      </c>
      <c r="C45" s="22" t="s">
        <v>180</v>
      </c>
      <c r="D45" s="55" t="s">
        <v>235</v>
      </c>
      <c r="E45" s="22"/>
      <c r="F45" s="24">
        <v>1</v>
      </c>
      <c r="G45" s="24" t="s">
        <v>221</v>
      </c>
      <c r="H45" s="22"/>
      <c r="I45" s="22"/>
      <c r="J45" s="55"/>
      <c r="K45" s="55"/>
      <c r="L45" s="55"/>
      <c r="M45" s="29"/>
      <c r="N45" s="56" t="s">
        <v>312</v>
      </c>
      <c r="O45" s="56"/>
      <c r="P45" s="25"/>
      <c r="Q45" s="25"/>
      <c r="R45" s="55"/>
      <c r="S45" s="55"/>
      <c r="T45" s="25"/>
      <c r="U45" s="25"/>
      <c r="V45" s="25"/>
      <c r="W45" s="25"/>
      <c r="X45" s="25"/>
      <c r="Y45" s="25"/>
      <c r="Z45" s="24"/>
      <c r="AA45" s="24"/>
      <c r="AB45" s="24"/>
      <c r="AC45" s="61" t="s">
        <v>314</v>
      </c>
      <c r="AD45" s="25"/>
      <c r="AE45" s="54">
        <v>10601006</v>
      </c>
      <c r="AF45" s="25"/>
      <c r="AG45" s="57" t="s">
        <v>115</v>
      </c>
      <c r="AH45" s="57" t="s">
        <v>315</v>
      </c>
      <c r="AI45" s="57" t="s">
        <v>316</v>
      </c>
      <c r="AJ45" s="24"/>
      <c r="AK45" s="24"/>
      <c r="AL45" s="22"/>
    </row>
    <row r="46" spans="1:38" ht="12.75" customHeight="1">
      <c r="A46" s="22">
        <v>44</v>
      </c>
      <c r="B46" s="56" t="s">
        <v>317</v>
      </c>
      <c r="C46" s="22" t="s">
        <v>180</v>
      </c>
      <c r="D46" s="55" t="s">
        <v>235</v>
      </c>
      <c r="E46" s="22"/>
      <c r="F46" s="24">
        <v>1</v>
      </c>
      <c r="G46" s="24" t="s">
        <v>221</v>
      </c>
      <c r="H46" s="22"/>
      <c r="I46" s="22"/>
      <c r="J46" s="55"/>
      <c r="K46" s="55"/>
      <c r="L46" s="55"/>
      <c r="M46" s="29"/>
      <c r="N46" s="56" t="s">
        <v>317</v>
      </c>
      <c r="O46" s="56"/>
      <c r="P46" s="25"/>
      <c r="Q46" s="25"/>
      <c r="R46" s="55"/>
      <c r="S46" s="55"/>
      <c r="T46" s="25"/>
      <c r="U46" s="25"/>
      <c r="V46" s="25"/>
      <c r="W46" s="25"/>
      <c r="X46" s="25"/>
      <c r="Y46" s="25"/>
      <c r="Z46" s="24"/>
      <c r="AA46" s="24"/>
      <c r="AB46" s="24"/>
      <c r="AC46" s="25"/>
      <c r="AD46" s="25"/>
      <c r="AE46" s="25"/>
      <c r="AF46" s="25"/>
      <c r="AG46" s="57" t="s">
        <v>115</v>
      </c>
      <c r="AH46" s="58" t="s">
        <v>318</v>
      </c>
      <c r="AI46" s="59" t="s">
        <v>319</v>
      </c>
      <c r="AJ46" s="24"/>
      <c r="AK46" s="24"/>
      <c r="AL46" s="22"/>
    </row>
    <row r="47" spans="1:38" ht="12.75" customHeight="1">
      <c r="A47" s="22">
        <v>45</v>
      </c>
      <c r="B47" s="27" t="s">
        <v>320</v>
      </c>
      <c r="C47" s="22" t="s">
        <v>180</v>
      </c>
      <c r="D47" s="55" t="s">
        <v>235</v>
      </c>
      <c r="E47" s="22"/>
      <c r="F47" s="24">
        <v>1</v>
      </c>
      <c r="G47" s="24" t="s">
        <v>221</v>
      </c>
      <c r="H47" s="22"/>
      <c r="I47" s="22"/>
      <c r="J47" s="55"/>
      <c r="K47" s="55"/>
      <c r="L47" s="55"/>
      <c r="M47" s="29"/>
      <c r="N47" s="27" t="s">
        <v>320</v>
      </c>
      <c r="O47" s="27"/>
      <c r="P47" s="25"/>
      <c r="Q47" s="25"/>
      <c r="R47" s="55"/>
      <c r="S47" s="55"/>
      <c r="T47" s="25"/>
      <c r="U47" s="25"/>
      <c r="V47" s="25"/>
      <c r="W47" s="25"/>
      <c r="X47" s="25"/>
      <c r="Y47" s="25"/>
      <c r="Z47" s="24"/>
      <c r="AA47" s="24"/>
      <c r="AB47" s="24"/>
      <c r="AC47" s="54" t="s">
        <v>322</v>
      </c>
      <c r="AD47" s="25"/>
      <c r="AE47" s="53">
        <v>279039007</v>
      </c>
      <c r="AF47" s="25"/>
      <c r="AG47" s="57" t="s">
        <v>115</v>
      </c>
      <c r="AH47" s="58" t="s">
        <v>323</v>
      </c>
      <c r="AI47" s="58" t="s">
        <v>324</v>
      </c>
      <c r="AJ47" s="24"/>
      <c r="AK47" s="24"/>
      <c r="AL47" s="22"/>
    </row>
    <row r="48" spans="1:38" ht="12.75" customHeight="1">
      <c r="A48" s="22">
        <v>46</v>
      </c>
      <c r="B48" s="27" t="s">
        <v>325</v>
      </c>
      <c r="C48" s="22" t="s">
        <v>180</v>
      </c>
      <c r="D48" s="55" t="s">
        <v>235</v>
      </c>
      <c r="E48" s="22"/>
      <c r="F48" s="24">
        <v>1</v>
      </c>
      <c r="G48" s="24" t="s">
        <v>221</v>
      </c>
      <c r="H48" s="22"/>
      <c r="I48" s="22"/>
      <c r="J48" s="55"/>
      <c r="K48" s="55"/>
      <c r="L48" s="55"/>
      <c r="M48" s="29"/>
      <c r="N48" s="27" t="s">
        <v>325</v>
      </c>
      <c r="O48" s="27"/>
      <c r="P48" s="25"/>
      <c r="Q48" s="25"/>
      <c r="R48" s="55"/>
      <c r="S48" s="55"/>
      <c r="T48" s="25"/>
      <c r="U48" s="25"/>
      <c r="V48" s="25"/>
      <c r="W48" s="25"/>
      <c r="X48" s="25"/>
      <c r="Y48" s="25"/>
      <c r="Z48" s="24"/>
      <c r="AA48" s="24"/>
      <c r="AB48" s="24"/>
      <c r="AC48" s="61" t="s">
        <v>326</v>
      </c>
      <c r="AD48" s="25"/>
      <c r="AE48" s="54">
        <v>30473006</v>
      </c>
      <c r="AF48" s="25"/>
      <c r="AG48" s="57" t="s">
        <v>115</v>
      </c>
      <c r="AH48" s="58" t="s">
        <v>328</v>
      </c>
      <c r="AI48" s="58" t="s">
        <v>329</v>
      </c>
      <c r="AJ48" s="24"/>
      <c r="AK48" s="24"/>
      <c r="AL48" s="22"/>
    </row>
    <row r="49" spans="1:38" ht="12.75" customHeight="1">
      <c r="A49" s="22">
        <v>47</v>
      </c>
      <c r="B49" s="56" t="s">
        <v>330</v>
      </c>
      <c r="C49" s="22" t="s">
        <v>180</v>
      </c>
      <c r="D49" s="55" t="s">
        <v>235</v>
      </c>
      <c r="E49" s="22"/>
      <c r="F49" s="24">
        <v>1</v>
      </c>
      <c r="G49" s="24" t="s">
        <v>221</v>
      </c>
      <c r="H49" s="22"/>
      <c r="I49" s="22"/>
      <c r="J49" s="55"/>
      <c r="K49" s="55"/>
      <c r="L49" s="55"/>
      <c r="M49" s="29"/>
      <c r="N49" s="56" t="s">
        <v>330</v>
      </c>
      <c r="O49" s="56"/>
      <c r="P49" s="25"/>
      <c r="Q49" s="25"/>
      <c r="R49" s="55"/>
      <c r="S49" s="55"/>
      <c r="T49" s="25"/>
      <c r="U49" s="25"/>
      <c r="V49" s="25"/>
      <c r="W49" s="25"/>
      <c r="X49" s="25"/>
      <c r="Y49" s="25"/>
      <c r="Z49" s="24"/>
      <c r="AA49" s="24"/>
      <c r="AB49" s="24"/>
      <c r="AC49" s="61" t="s">
        <v>331</v>
      </c>
      <c r="AD49" s="25"/>
      <c r="AE49" s="53">
        <v>2919008</v>
      </c>
      <c r="AF49" s="25"/>
      <c r="AG49" s="57" t="s">
        <v>115</v>
      </c>
      <c r="AH49" s="57" t="s">
        <v>333</v>
      </c>
      <c r="AI49" s="57" t="s">
        <v>334</v>
      </c>
      <c r="AJ49" s="24"/>
      <c r="AK49" s="24"/>
      <c r="AL49" s="22"/>
    </row>
    <row r="50" spans="1:38" ht="12.75" customHeight="1">
      <c r="A50" s="22">
        <v>48</v>
      </c>
      <c r="B50" s="56" t="s">
        <v>335</v>
      </c>
      <c r="C50" s="22" t="s">
        <v>180</v>
      </c>
      <c r="D50" s="55" t="s">
        <v>235</v>
      </c>
      <c r="E50" s="22"/>
      <c r="F50" s="24">
        <v>1</v>
      </c>
      <c r="G50" s="24" t="s">
        <v>221</v>
      </c>
      <c r="H50" s="22"/>
      <c r="I50" s="22"/>
      <c r="J50" s="55"/>
      <c r="K50" s="55"/>
      <c r="L50" s="55"/>
      <c r="M50" s="29"/>
      <c r="N50" s="56" t="s">
        <v>335</v>
      </c>
      <c r="O50" s="56"/>
      <c r="P50" s="25"/>
      <c r="Q50" s="25"/>
      <c r="R50" s="55"/>
      <c r="S50" s="55"/>
      <c r="T50" s="25"/>
      <c r="U50" s="25"/>
      <c r="V50" s="25"/>
      <c r="W50" s="25"/>
      <c r="X50" s="25"/>
      <c r="Y50" s="25"/>
      <c r="Z50" s="24"/>
      <c r="AA50" s="24"/>
      <c r="AB50" s="24"/>
      <c r="AC50" s="61" t="s">
        <v>336</v>
      </c>
      <c r="AD50" s="25"/>
      <c r="AE50" s="54">
        <v>289433006</v>
      </c>
      <c r="AF50" s="25"/>
      <c r="AG50" s="57" t="s">
        <v>115</v>
      </c>
      <c r="AH50" s="57" t="s">
        <v>338</v>
      </c>
      <c r="AI50" s="57" t="s">
        <v>339</v>
      </c>
      <c r="AJ50" s="24"/>
      <c r="AK50" s="24"/>
      <c r="AL50" s="22"/>
    </row>
    <row r="51" spans="1:38" ht="12.75" customHeight="1">
      <c r="A51" s="22">
        <v>49</v>
      </c>
      <c r="B51" s="56" t="s">
        <v>340</v>
      </c>
      <c r="C51" s="22" t="s">
        <v>180</v>
      </c>
      <c r="D51" s="55" t="s">
        <v>235</v>
      </c>
      <c r="E51" s="22"/>
      <c r="F51" s="24">
        <v>1</v>
      </c>
      <c r="G51" s="24" t="s">
        <v>221</v>
      </c>
      <c r="H51" s="22"/>
      <c r="I51" s="22"/>
      <c r="J51" s="55"/>
      <c r="K51" s="55"/>
      <c r="L51" s="55"/>
      <c r="M51" s="29"/>
      <c r="N51" s="56" t="s">
        <v>340</v>
      </c>
      <c r="O51" s="56"/>
      <c r="P51" s="25"/>
      <c r="Q51" s="25"/>
      <c r="R51" s="55"/>
      <c r="S51" s="55"/>
      <c r="T51" s="25"/>
      <c r="U51" s="25"/>
      <c r="V51" s="25"/>
      <c r="W51" s="25"/>
      <c r="X51" s="25"/>
      <c r="Y51" s="25"/>
      <c r="Z51" s="24"/>
      <c r="AA51" s="24"/>
      <c r="AB51" s="24"/>
      <c r="AC51" s="61" t="s">
        <v>342</v>
      </c>
      <c r="AD51" s="25"/>
      <c r="AE51" s="53">
        <v>267038008</v>
      </c>
      <c r="AF51" s="25"/>
      <c r="AG51" s="57" t="s">
        <v>115</v>
      </c>
      <c r="AH51" s="57" t="s">
        <v>343</v>
      </c>
      <c r="AI51" s="57" t="s">
        <v>344</v>
      </c>
      <c r="AJ51" s="24"/>
      <c r="AK51" s="24"/>
      <c r="AL51" s="22"/>
    </row>
    <row r="52" spans="1:38" ht="12.75" customHeight="1">
      <c r="A52" s="22">
        <v>50</v>
      </c>
      <c r="B52" s="56" t="s">
        <v>345</v>
      </c>
      <c r="C52" s="22" t="s">
        <v>180</v>
      </c>
      <c r="D52" s="55" t="s">
        <v>235</v>
      </c>
      <c r="E52" s="22"/>
      <c r="F52" s="24">
        <v>1</v>
      </c>
      <c r="G52" s="24" t="s">
        <v>221</v>
      </c>
      <c r="H52" s="22"/>
      <c r="I52" s="22"/>
      <c r="J52" s="55"/>
      <c r="K52" s="55"/>
      <c r="L52" s="55"/>
      <c r="M52" s="29"/>
      <c r="N52" s="56" t="s">
        <v>345</v>
      </c>
      <c r="O52" s="56"/>
      <c r="P52" s="25"/>
      <c r="Q52" s="25"/>
      <c r="R52" s="55"/>
      <c r="S52" s="55"/>
      <c r="T52" s="25"/>
      <c r="U52" s="25"/>
      <c r="V52" s="25"/>
      <c r="W52" s="25"/>
      <c r="X52" s="25"/>
      <c r="Y52" s="25"/>
      <c r="Z52" s="24"/>
      <c r="AA52" s="24"/>
      <c r="AB52" s="24"/>
      <c r="AC52" s="61" t="s">
        <v>346</v>
      </c>
      <c r="AD52" s="25"/>
      <c r="AE52" s="54">
        <v>131148009</v>
      </c>
      <c r="AF52" s="25"/>
      <c r="AG52" s="57" t="s">
        <v>115</v>
      </c>
      <c r="AH52" s="58" t="s">
        <v>348</v>
      </c>
      <c r="AI52" s="58" t="s">
        <v>349</v>
      </c>
      <c r="AJ52" s="24"/>
      <c r="AK52" s="24"/>
      <c r="AL52" s="22"/>
    </row>
    <row r="53" spans="1:38" ht="12.75" customHeight="1">
      <c r="A53" s="22">
        <v>51</v>
      </c>
      <c r="B53" s="56" t="s">
        <v>350</v>
      </c>
      <c r="C53" s="22" t="s">
        <v>180</v>
      </c>
      <c r="D53" s="55" t="s">
        <v>235</v>
      </c>
      <c r="E53" s="22"/>
      <c r="F53" s="24">
        <v>1</v>
      </c>
      <c r="G53" s="24" t="s">
        <v>221</v>
      </c>
      <c r="H53" s="22"/>
      <c r="I53" s="22"/>
      <c r="J53" s="55"/>
      <c r="K53" s="55"/>
      <c r="L53" s="55"/>
      <c r="M53" s="29"/>
      <c r="N53" s="56" t="s">
        <v>350</v>
      </c>
      <c r="O53" s="56"/>
      <c r="P53" s="25"/>
      <c r="Q53" s="25"/>
      <c r="R53" s="55"/>
      <c r="S53" s="55"/>
      <c r="T53" s="25"/>
      <c r="U53" s="25"/>
      <c r="V53" s="25"/>
      <c r="W53" s="25"/>
      <c r="X53" s="25"/>
      <c r="Y53" s="25"/>
      <c r="Z53" s="24"/>
      <c r="AA53" s="24"/>
      <c r="AB53" s="24"/>
      <c r="AC53" s="54" t="s">
        <v>351</v>
      </c>
      <c r="AD53" s="25"/>
      <c r="AE53" s="53">
        <v>22253000</v>
      </c>
      <c r="AF53" s="25"/>
      <c r="AG53" s="57" t="s">
        <v>115</v>
      </c>
      <c r="AH53" s="58" t="s">
        <v>352</v>
      </c>
      <c r="AI53" s="58" t="s">
        <v>353</v>
      </c>
      <c r="AJ53" s="24"/>
      <c r="AK53" s="24"/>
      <c r="AL53" s="22"/>
    </row>
    <row r="54" spans="1:38" ht="12.75" customHeight="1">
      <c r="A54" s="22">
        <v>52</v>
      </c>
      <c r="B54" s="56" t="s">
        <v>354</v>
      </c>
      <c r="C54" s="22" t="s">
        <v>180</v>
      </c>
      <c r="D54" s="55" t="s">
        <v>235</v>
      </c>
      <c r="E54" s="22"/>
      <c r="F54" s="24">
        <v>1</v>
      </c>
      <c r="G54" s="24" t="s">
        <v>221</v>
      </c>
      <c r="H54" s="22"/>
      <c r="I54" s="22"/>
      <c r="J54" s="55"/>
      <c r="K54" s="55"/>
      <c r="L54" s="55"/>
      <c r="M54" s="29"/>
      <c r="N54" s="56" t="s">
        <v>354</v>
      </c>
      <c r="O54" s="56"/>
      <c r="P54" s="25"/>
      <c r="Q54" s="25"/>
      <c r="R54" s="55"/>
      <c r="S54" s="55"/>
      <c r="T54" s="25"/>
      <c r="U54" s="25"/>
      <c r="V54" s="25"/>
      <c r="W54" s="25"/>
      <c r="X54" s="25"/>
      <c r="Y54" s="25"/>
      <c r="Z54" s="24"/>
      <c r="AA54" s="24"/>
      <c r="AB54" s="24"/>
      <c r="AC54" s="92" t="s">
        <v>355</v>
      </c>
      <c r="AD54" s="93"/>
      <c r="AE54" s="61">
        <v>74732009</v>
      </c>
      <c r="AF54" s="25"/>
      <c r="AG54" s="57" t="s">
        <v>115</v>
      </c>
      <c r="AH54" s="57" t="s">
        <v>357</v>
      </c>
      <c r="AI54" s="57" t="s">
        <v>358</v>
      </c>
      <c r="AJ54" s="24"/>
      <c r="AK54" s="24"/>
      <c r="AL54" s="22"/>
    </row>
    <row r="55" spans="1:38" ht="12.75" customHeight="1">
      <c r="A55" s="22">
        <v>53</v>
      </c>
      <c r="B55" s="56" t="s">
        <v>359</v>
      </c>
      <c r="C55" s="22" t="s">
        <v>180</v>
      </c>
      <c r="D55" s="55" t="s">
        <v>235</v>
      </c>
      <c r="E55" s="22"/>
      <c r="F55" s="24">
        <v>1</v>
      </c>
      <c r="G55" s="24" t="s">
        <v>221</v>
      </c>
      <c r="H55" s="22"/>
      <c r="I55" s="22"/>
      <c r="J55" s="55"/>
      <c r="K55" s="55"/>
      <c r="L55" s="55"/>
      <c r="M55" s="29"/>
      <c r="N55" s="56" t="s">
        <v>359</v>
      </c>
      <c r="O55" s="56"/>
      <c r="P55" s="25"/>
      <c r="Q55" s="25"/>
      <c r="R55" s="55"/>
      <c r="S55" s="55"/>
      <c r="T55" s="25"/>
      <c r="U55" s="25"/>
      <c r="V55" s="25"/>
      <c r="W55" s="25"/>
      <c r="X55" s="25"/>
      <c r="Y55" s="25"/>
      <c r="Z55" s="24"/>
      <c r="AA55" s="24"/>
      <c r="AB55" s="24"/>
      <c r="AC55" s="61" t="s">
        <v>361</v>
      </c>
      <c r="AD55" s="25"/>
      <c r="AE55" s="54">
        <v>95320005</v>
      </c>
      <c r="AF55" s="25"/>
      <c r="AG55" s="57" t="s">
        <v>115</v>
      </c>
      <c r="AH55" s="58" t="s">
        <v>362</v>
      </c>
      <c r="AI55" s="58" t="s">
        <v>363</v>
      </c>
      <c r="AJ55" s="24"/>
      <c r="AK55" s="24"/>
      <c r="AL55" s="22"/>
    </row>
    <row r="56" spans="1:38" ht="12.75" customHeight="1">
      <c r="A56" s="22">
        <v>54</v>
      </c>
      <c r="B56" s="56" t="s">
        <v>364</v>
      </c>
      <c r="C56" s="22" t="s">
        <v>180</v>
      </c>
      <c r="D56" s="55" t="s">
        <v>235</v>
      </c>
      <c r="E56" s="22"/>
      <c r="F56" s="24">
        <v>1</v>
      </c>
      <c r="G56" s="24" t="s">
        <v>221</v>
      </c>
      <c r="H56" s="22"/>
      <c r="I56" s="22"/>
      <c r="J56" s="55"/>
      <c r="K56" s="55"/>
      <c r="L56" s="55"/>
      <c r="M56" s="29"/>
      <c r="N56" s="56" t="s">
        <v>364</v>
      </c>
      <c r="O56" s="56"/>
      <c r="P56" s="25"/>
      <c r="Q56" s="25"/>
      <c r="R56" s="55"/>
      <c r="S56" s="55"/>
      <c r="T56" s="25"/>
      <c r="U56" s="25"/>
      <c r="V56" s="25"/>
      <c r="W56" s="25"/>
      <c r="X56" s="25"/>
      <c r="Y56" s="25"/>
      <c r="Z56" s="24"/>
      <c r="AA56" s="24"/>
      <c r="AB56" s="24"/>
      <c r="AC56" s="54" t="s">
        <v>365</v>
      </c>
      <c r="AD56" s="25"/>
      <c r="AE56" s="53">
        <v>248004009</v>
      </c>
      <c r="AF56" s="25"/>
      <c r="AG56" s="57" t="s">
        <v>115</v>
      </c>
      <c r="AH56" s="58" t="s">
        <v>366</v>
      </c>
      <c r="AI56" s="58" t="s">
        <v>368</v>
      </c>
      <c r="AJ56" s="24"/>
      <c r="AK56" s="24"/>
      <c r="AL56" s="22"/>
    </row>
    <row r="57" spans="1:38" ht="12.75" customHeight="1">
      <c r="A57" s="22">
        <v>55</v>
      </c>
      <c r="B57" s="27" t="s">
        <v>369</v>
      </c>
      <c r="C57" s="22" t="s">
        <v>180</v>
      </c>
      <c r="D57" s="55" t="s">
        <v>235</v>
      </c>
      <c r="E57" s="22"/>
      <c r="F57" s="24">
        <v>1</v>
      </c>
      <c r="G57" s="24" t="s">
        <v>221</v>
      </c>
      <c r="H57" s="22"/>
      <c r="I57" s="22"/>
      <c r="J57" s="55"/>
      <c r="K57" s="55"/>
      <c r="L57" s="55"/>
      <c r="M57" s="29"/>
      <c r="N57" s="27" t="s">
        <v>369</v>
      </c>
      <c r="O57" s="27"/>
      <c r="P57" s="25"/>
      <c r="Q57" s="25"/>
      <c r="R57" s="55"/>
      <c r="S57" s="55"/>
      <c r="T57" s="25"/>
      <c r="U57" s="25"/>
      <c r="V57" s="25"/>
      <c r="W57" s="25"/>
      <c r="X57" s="25"/>
      <c r="Y57" s="25"/>
      <c r="Z57" s="24"/>
      <c r="AA57" s="24"/>
      <c r="AB57" s="24"/>
      <c r="AC57" s="54" t="s">
        <v>370</v>
      </c>
      <c r="AD57" s="25"/>
      <c r="AE57" s="53">
        <v>49650001</v>
      </c>
      <c r="AF57" s="25"/>
      <c r="AG57" s="57" t="s">
        <v>115</v>
      </c>
      <c r="AH57" s="57" t="s">
        <v>371</v>
      </c>
      <c r="AI57" s="57" t="s">
        <v>372</v>
      </c>
      <c r="AJ57" s="24"/>
      <c r="AK57" s="24"/>
      <c r="AL57" s="22"/>
    </row>
    <row r="58" spans="1:38" ht="12.75" customHeight="1">
      <c r="A58" s="22">
        <v>56</v>
      </c>
      <c r="B58" s="56" t="s">
        <v>373</v>
      </c>
      <c r="C58" s="22" t="s">
        <v>180</v>
      </c>
      <c r="D58" s="55" t="s">
        <v>235</v>
      </c>
      <c r="E58" s="22"/>
      <c r="F58" s="24">
        <v>1</v>
      </c>
      <c r="G58" s="24" t="s">
        <v>221</v>
      </c>
      <c r="H58" s="22"/>
      <c r="I58" s="22"/>
      <c r="J58" s="55"/>
      <c r="K58" s="55"/>
      <c r="L58" s="55"/>
      <c r="M58" s="29"/>
      <c r="N58" s="56" t="s">
        <v>373</v>
      </c>
      <c r="O58" s="56"/>
      <c r="P58" s="25"/>
      <c r="Q58" s="25"/>
      <c r="R58" s="55"/>
      <c r="S58" s="55"/>
      <c r="T58" s="25"/>
      <c r="U58" s="25"/>
      <c r="V58" s="25"/>
      <c r="W58" s="25"/>
      <c r="X58" s="25"/>
      <c r="Y58" s="25"/>
      <c r="Z58" s="24"/>
      <c r="AA58" s="24"/>
      <c r="AB58" s="24"/>
      <c r="AC58" s="53" t="s">
        <v>374</v>
      </c>
      <c r="AD58" s="25"/>
      <c r="AE58" s="54">
        <v>279333002</v>
      </c>
      <c r="AF58" s="25"/>
      <c r="AG58" s="57" t="s">
        <v>115</v>
      </c>
      <c r="AH58" s="57" t="s">
        <v>376</v>
      </c>
      <c r="AI58" s="57" t="s">
        <v>377</v>
      </c>
      <c r="AJ58" s="24"/>
      <c r="AK58" s="24"/>
      <c r="AL58" s="22"/>
    </row>
    <row r="59" spans="1:38" ht="12.75" customHeight="1">
      <c r="A59" s="22">
        <v>57</v>
      </c>
      <c r="B59" s="56" t="s">
        <v>378</v>
      </c>
      <c r="C59" s="22" t="s">
        <v>180</v>
      </c>
      <c r="D59" s="55" t="s">
        <v>235</v>
      </c>
      <c r="E59" s="22"/>
      <c r="F59" s="24">
        <v>1</v>
      </c>
      <c r="G59" s="24" t="s">
        <v>221</v>
      </c>
      <c r="H59" s="22"/>
      <c r="I59" s="22"/>
      <c r="J59" s="55"/>
      <c r="K59" s="55"/>
      <c r="L59" s="55"/>
      <c r="M59" s="29"/>
      <c r="N59" s="56" t="s">
        <v>378</v>
      </c>
      <c r="O59" s="56"/>
      <c r="P59" s="25"/>
      <c r="Q59" s="25"/>
      <c r="R59" s="55"/>
      <c r="S59" s="55"/>
      <c r="T59" s="25"/>
      <c r="U59" s="25"/>
      <c r="V59" s="25"/>
      <c r="W59" s="25"/>
      <c r="X59" s="25"/>
      <c r="Y59" s="25"/>
      <c r="Z59" s="24"/>
      <c r="AA59" s="24"/>
      <c r="AB59" s="24"/>
      <c r="AC59" s="92" t="s">
        <v>336</v>
      </c>
      <c r="AD59" s="25"/>
      <c r="AE59" s="53">
        <v>276369006</v>
      </c>
      <c r="AF59" s="25"/>
      <c r="AG59" s="57" t="s">
        <v>115</v>
      </c>
      <c r="AH59" s="58" t="s">
        <v>379</v>
      </c>
      <c r="AI59" s="57" t="s">
        <v>380</v>
      </c>
      <c r="AJ59" s="24"/>
      <c r="AK59" s="24"/>
      <c r="AL59" s="22"/>
    </row>
    <row r="60" spans="1:38" ht="12.75" customHeight="1">
      <c r="A60" s="22">
        <v>58</v>
      </c>
      <c r="B60" s="56" t="s">
        <v>381</v>
      </c>
      <c r="C60" s="22" t="s">
        <v>180</v>
      </c>
      <c r="D60" s="55" t="s">
        <v>235</v>
      </c>
      <c r="E60" s="22"/>
      <c r="F60" s="24">
        <v>1</v>
      </c>
      <c r="G60" s="24" t="s">
        <v>221</v>
      </c>
      <c r="H60" s="22"/>
      <c r="I60" s="22"/>
      <c r="J60" s="55"/>
      <c r="K60" s="55"/>
      <c r="L60" s="55"/>
      <c r="M60" s="29"/>
      <c r="N60" s="56" t="s">
        <v>381</v>
      </c>
      <c r="O60" s="56"/>
      <c r="P60" s="25"/>
      <c r="Q60" s="25"/>
      <c r="R60" s="55"/>
      <c r="S60" s="55"/>
      <c r="T60" s="25"/>
      <c r="U60" s="25"/>
      <c r="V60" s="25"/>
      <c r="W60" s="25"/>
      <c r="X60" s="25"/>
      <c r="Y60" s="25"/>
      <c r="Z60" s="24"/>
      <c r="AA60" s="24"/>
      <c r="AB60" s="24"/>
      <c r="AC60" s="54" t="s">
        <v>383</v>
      </c>
      <c r="AD60" s="25"/>
      <c r="AE60" s="53">
        <v>267036007</v>
      </c>
      <c r="AF60" s="25"/>
      <c r="AG60" s="57" t="s">
        <v>115</v>
      </c>
      <c r="AH60" s="57" t="s">
        <v>384</v>
      </c>
      <c r="AI60" s="58" t="s">
        <v>385</v>
      </c>
      <c r="AJ60" s="24"/>
      <c r="AK60" s="24"/>
      <c r="AL60" s="22"/>
    </row>
    <row r="61" spans="1:38" ht="12.75" customHeight="1">
      <c r="A61" s="22">
        <v>59</v>
      </c>
      <c r="B61" s="56" t="s">
        <v>386</v>
      </c>
      <c r="C61" s="22" t="s">
        <v>180</v>
      </c>
      <c r="D61" s="55" t="s">
        <v>235</v>
      </c>
      <c r="E61" s="22"/>
      <c r="F61" s="24">
        <v>1</v>
      </c>
      <c r="G61" s="24" t="s">
        <v>221</v>
      </c>
      <c r="H61" s="22"/>
      <c r="I61" s="22"/>
      <c r="J61" s="55"/>
      <c r="K61" s="55"/>
      <c r="L61" s="55"/>
      <c r="M61" s="29"/>
      <c r="N61" s="56" t="s">
        <v>386</v>
      </c>
      <c r="O61" s="56"/>
      <c r="P61" s="25"/>
      <c r="Q61" s="25"/>
      <c r="R61" s="55"/>
      <c r="S61" s="55"/>
      <c r="T61" s="25"/>
      <c r="U61" s="25"/>
      <c r="V61" s="25"/>
      <c r="W61" s="25"/>
      <c r="X61" s="25"/>
      <c r="Y61" s="25"/>
      <c r="Z61" s="24"/>
      <c r="AA61" s="24"/>
      <c r="AB61" s="24"/>
      <c r="AC61" s="61" t="s">
        <v>387</v>
      </c>
      <c r="AD61" s="25"/>
      <c r="AE61" s="54">
        <v>224960004</v>
      </c>
      <c r="AF61" s="25"/>
      <c r="AG61" s="57" t="s">
        <v>115</v>
      </c>
      <c r="AH61" s="57" t="s">
        <v>389</v>
      </c>
      <c r="AI61" s="57" t="s">
        <v>390</v>
      </c>
      <c r="AJ61" s="24"/>
      <c r="AK61" s="24"/>
      <c r="AL61" s="22"/>
    </row>
    <row r="62" spans="1:38" ht="12.75" customHeight="1">
      <c r="A62" s="22">
        <v>60</v>
      </c>
      <c r="B62" s="56" t="s">
        <v>391</v>
      </c>
      <c r="C62" s="22" t="s">
        <v>180</v>
      </c>
      <c r="D62" s="55" t="s">
        <v>235</v>
      </c>
      <c r="E62" s="22"/>
      <c r="F62" s="24">
        <v>1</v>
      </c>
      <c r="G62" s="24" t="s">
        <v>221</v>
      </c>
      <c r="H62" s="22"/>
      <c r="I62" s="22"/>
      <c r="J62" s="55"/>
      <c r="K62" s="55"/>
      <c r="L62" s="55"/>
      <c r="M62" s="29"/>
      <c r="N62" s="56" t="s">
        <v>391</v>
      </c>
      <c r="O62" s="56"/>
      <c r="P62" s="25"/>
      <c r="Q62" s="25"/>
      <c r="R62" s="55"/>
      <c r="S62" s="55"/>
      <c r="T62" s="25"/>
      <c r="U62" s="25"/>
      <c r="V62" s="25"/>
      <c r="W62" s="25"/>
      <c r="X62" s="25"/>
      <c r="Y62" s="25"/>
      <c r="Z62" s="24"/>
      <c r="AA62" s="24"/>
      <c r="AB62" s="24"/>
      <c r="AC62" s="54" t="s">
        <v>392</v>
      </c>
      <c r="AD62" s="25"/>
      <c r="AE62" s="53">
        <v>417746004</v>
      </c>
      <c r="AF62" s="25"/>
      <c r="AG62" s="57" t="s">
        <v>115</v>
      </c>
      <c r="AH62" s="57" t="s">
        <v>394</v>
      </c>
      <c r="AI62" s="57" t="s">
        <v>395</v>
      </c>
      <c r="AJ62" s="24"/>
      <c r="AK62" s="24"/>
      <c r="AL62" s="22"/>
    </row>
    <row r="63" spans="1:38" ht="12.75" customHeight="1">
      <c r="A63" s="22">
        <v>61</v>
      </c>
      <c r="B63" s="56" t="s">
        <v>396</v>
      </c>
      <c r="C63" s="22" t="s">
        <v>180</v>
      </c>
      <c r="D63" s="55" t="s">
        <v>235</v>
      </c>
      <c r="E63" s="22"/>
      <c r="F63" s="24">
        <v>1</v>
      </c>
      <c r="G63" s="24" t="s">
        <v>221</v>
      </c>
      <c r="H63" s="22"/>
      <c r="I63" s="22"/>
      <c r="J63" s="55"/>
      <c r="K63" s="55"/>
      <c r="L63" s="55"/>
      <c r="M63" s="29"/>
      <c r="N63" s="56" t="s">
        <v>396</v>
      </c>
      <c r="O63" s="56"/>
      <c r="P63" s="25"/>
      <c r="Q63" s="25"/>
      <c r="R63" s="55"/>
      <c r="S63" s="55"/>
      <c r="T63" s="25"/>
      <c r="U63" s="25"/>
      <c r="V63" s="25"/>
      <c r="W63" s="25"/>
      <c r="X63" s="25"/>
      <c r="Y63" s="25"/>
      <c r="Z63" s="24"/>
      <c r="AA63" s="24"/>
      <c r="AB63" s="24"/>
      <c r="AC63" s="92" t="s">
        <v>397</v>
      </c>
      <c r="AD63" s="25"/>
      <c r="AE63" s="54">
        <v>289530006</v>
      </c>
      <c r="AF63" s="25"/>
      <c r="AG63" s="57" t="s">
        <v>115</v>
      </c>
      <c r="AH63" s="57" t="s">
        <v>398</v>
      </c>
      <c r="AI63" s="57" t="s">
        <v>399</v>
      </c>
      <c r="AJ63" s="24"/>
      <c r="AK63" s="24"/>
      <c r="AL63" s="22"/>
    </row>
    <row r="64" spans="1:38" ht="12.75" customHeight="1">
      <c r="A64" s="22">
        <v>62</v>
      </c>
      <c r="B64" s="56" t="s">
        <v>400</v>
      </c>
      <c r="C64" s="22" t="s">
        <v>180</v>
      </c>
      <c r="D64" s="55" t="s">
        <v>235</v>
      </c>
      <c r="E64" s="22"/>
      <c r="F64" s="24">
        <v>1</v>
      </c>
      <c r="G64" s="24" t="s">
        <v>221</v>
      </c>
      <c r="H64" s="22"/>
      <c r="I64" s="22"/>
      <c r="J64" s="55"/>
      <c r="K64" s="55"/>
      <c r="L64" s="55"/>
      <c r="M64" s="29"/>
      <c r="N64" s="56" t="s">
        <v>400</v>
      </c>
      <c r="O64" s="56"/>
      <c r="P64" s="25"/>
      <c r="Q64" s="25"/>
      <c r="R64" s="55"/>
      <c r="S64" s="55"/>
      <c r="T64" s="25"/>
      <c r="U64" s="25"/>
      <c r="V64" s="25"/>
      <c r="W64" s="25"/>
      <c r="X64" s="25"/>
      <c r="Y64" s="25"/>
      <c r="Z64" s="24"/>
      <c r="AA64" s="24"/>
      <c r="AB64" s="24"/>
      <c r="AC64" s="61" t="s">
        <v>402</v>
      </c>
      <c r="AD64" s="25"/>
      <c r="AE64" s="54">
        <v>63102001</v>
      </c>
      <c r="AF64" s="25"/>
      <c r="AG64" s="57" t="s">
        <v>115</v>
      </c>
      <c r="AH64" s="57" t="s">
        <v>403</v>
      </c>
      <c r="AI64" s="57" t="s">
        <v>404</v>
      </c>
      <c r="AJ64" s="24"/>
      <c r="AK64" s="24"/>
      <c r="AL64" s="22"/>
    </row>
    <row r="65" spans="1:38" ht="12.75" customHeight="1">
      <c r="A65" s="22">
        <v>63</v>
      </c>
      <c r="B65" s="56" t="s">
        <v>405</v>
      </c>
      <c r="C65" s="22" t="s">
        <v>180</v>
      </c>
      <c r="D65" s="55" t="s">
        <v>235</v>
      </c>
      <c r="E65" s="22"/>
      <c r="F65" s="24">
        <v>1</v>
      </c>
      <c r="G65" s="24" t="s">
        <v>221</v>
      </c>
      <c r="H65" s="22"/>
      <c r="I65" s="22"/>
      <c r="J65" s="55"/>
      <c r="K65" s="55"/>
      <c r="L65" s="55"/>
      <c r="M65" s="29"/>
      <c r="N65" s="56" t="s">
        <v>405</v>
      </c>
      <c r="O65" s="56"/>
      <c r="P65" s="25"/>
      <c r="Q65" s="25"/>
      <c r="R65" s="55"/>
      <c r="S65" s="55"/>
      <c r="T65" s="25"/>
      <c r="U65" s="25"/>
      <c r="V65" s="25"/>
      <c r="W65" s="25"/>
      <c r="X65" s="25"/>
      <c r="Y65" s="25"/>
      <c r="Z65" s="24"/>
      <c r="AA65" s="24"/>
      <c r="AB65" s="24"/>
      <c r="AC65" s="25"/>
      <c r="AD65" s="25"/>
      <c r="AE65" s="100"/>
      <c r="AF65" s="25"/>
      <c r="AG65" s="57" t="s">
        <v>115</v>
      </c>
      <c r="AH65" s="57" t="s">
        <v>406</v>
      </c>
      <c r="AI65" s="57" t="s">
        <v>407</v>
      </c>
      <c r="AJ65" s="24"/>
      <c r="AK65" s="24"/>
      <c r="AL65" s="22"/>
    </row>
    <row r="66" spans="1:38" ht="12.75" customHeight="1">
      <c r="A66" s="22">
        <v>64</v>
      </c>
      <c r="B66" s="55" t="s">
        <v>408</v>
      </c>
      <c r="C66" s="22" t="s">
        <v>180</v>
      </c>
      <c r="D66" s="55" t="s">
        <v>235</v>
      </c>
      <c r="E66" s="22"/>
      <c r="F66" s="24">
        <v>1</v>
      </c>
      <c r="G66" s="24" t="s">
        <v>221</v>
      </c>
      <c r="H66" s="22"/>
      <c r="I66" s="22"/>
      <c r="J66" s="55" t="s">
        <v>409</v>
      </c>
      <c r="K66" s="55" t="s">
        <v>410</v>
      </c>
      <c r="L66" s="55" t="s">
        <v>412</v>
      </c>
      <c r="M66" s="55" t="s">
        <v>111</v>
      </c>
      <c r="N66" s="56"/>
      <c r="O66" s="56"/>
      <c r="P66" s="25"/>
      <c r="Q66" s="25"/>
      <c r="R66" s="55" t="s">
        <v>208</v>
      </c>
      <c r="S66" s="55" t="s">
        <v>208</v>
      </c>
      <c r="T66" s="25"/>
      <c r="U66" s="25"/>
      <c r="V66" s="25"/>
      <c r="W66" s="25"/>
      <c r="X66" s="25"/>
      <c r="Y66" s="25"/>
      <c r="Z66" s="24"/>
      <c r="AA66" s="24"/>
      <c r="AB66" s="24"/>
      <c r="AC66" s="25"/>
      <c r="AD66" s="25"/>
      <c r="AE66" s="25"/>
      <c r="AF66" s="53" t="s">
        <v>413</v>
      </c>
      <c r="AG66" s="58" t="s">
        <v>414</v>
      </c>
      <c r="AH66" s="58" t="s">
        <v>415</v>
      </c>
      <c r="AI66" s="58" t="s">
        <v>416</v>
      </c>
      <c r="AJ66" s="24"/>
      <c r="AK66" s="24"/>
      <c r="AL66" s="22"/>
    </row>
    <row r="67" spans="1:38" ht="12.75" customHeight="1">
      <c r="A67" s="22">
        <v>65</v>
      </c>
      <c r="B67" s="27" t="s">
        <v>417</v>
      </c>
      <c r="C67" s="22" t="s">
        <v>96</v>
      </c>
      <c r="D67" s="22"/>
      <c r="E67" s="22"/>
      <c r="F67" s="24">
        <v>1</v>
      </c>
      <c r="G67" s="24" t="s">
        <v>221</v>
      </c>
      <c r="H67" s="22"/>
      <c r="I67" s="22"/>
      <c r="J67" s="27" t="s">
        <v>417</v>
      </c>
      <c r="K67" s="27" t="s">
        <v>418</v>
      </c>
      <c r="L67" s="27" t="s">
        <v>419</v>
      </c>
      <c r="M67" s="27" t="s">
        <v>238</v>
      </c>
      <c r="N67" s="56"/>
      <c r="O67" s="56"/>
      <c r="P67" s="25"/>
      <c r="Q67" s="25"/>
      <c r="R67" s="27" t="s">
        <v>113</v>
      </c>
      <c r="S67" s="55" t="s">
        <v>208</v>
      </c>
      <c r="T67" s="25"/>
      <c r="U67" s="25"/>
      <c r="V67" s="25"/>
      <c r="W67" s="25"/>
      <c r="X67" s="25"/>
      <c r="Y67" s="25"/>
      <c r="Z67" s="24"/>
      <c r="AA67" s="24"/>
      <c r="AB67" s="24"/>
      <c r="AC67" s="25"/>
      <c r="AD67" s="25"/>
      <c r="AE67" s="53">
        <v>406523004</v>
      </c>
      <c r="AF67" s="54"/>
      <c r="AG67" s="58" t="s">
        <v>115</v>
      </c>
      <c r="AH67" s="58" t="s">
        <v>421</v>
      </c>
      <c r="AI67" s="58" t="s">
        <v>422</v>
      </c>
      <c r="AJ67" s="24"/>
      <c r="AK67" s="24"/>
      <c r="AL67" s="22"/>
    </row>
    <row r="68" spans="1:38" ht="12.75" customHeight="1">
      <c r="A68" s="22">
        <v>66</v>
      </c>
      <c r="B68" s="56" t="s">
        <v>423</v>
      </c>
      <c r="C68" s="22" t="s">
        <v>180</v>
      </c>
      <c r="D68" s="27" t="s">
        <v>417</v>
      </c>
      <c r="E68" s="22"/>
      <c r="F68" s="24">
        <v>1</v>
      </c>
      <c r="G68" s="24" t="s">
        <v>221</v>
      </c>
      <c r="H68" s="22"/>
      <c r="I68" s="22"/>
      <c r="J68" s="29"/>
      <c r="K68" s="29"/>
      <c r="L68" s="29"/>
      <c r="M68" s="29"/>
      <c r="N68" s="56" t="s">
        <v>423</v>
      </c>
      <c r="O68" s="56"/>
      <c r="P68" s="25"/>
      <c r="Q68" s="25"/>
      <c r="R68" s="29"/>
      <c r="S68" s="29"/>
      <c r="T68" s="25"/>
      <c r="U68" s="25"/>
      <c r="V68" s="25"/>
      <c r="W68" s="25"/>
      <c r="X68" s="25"/>
      <c r="Y68" s="25"/>
      <c r="Z68" s="24"/>
      <c r="AA68" s="24"/>
      <c r="AB68" s="24"/>
      <c r="AC68" s="25"/>
      <c r="AD68" s="25"/>
      <c r="AE68" s="53">
        <v>260413007</v>
      </c>
      <c r="AF68" s="25"/>
      <c r="AG68" s="58" t="s">
        <v>115</v>
      </c>
      <c r="AH68" s="58" t="s">
        <v>424</v>
      </c>
      <c r="AI68" s="58" t="s">
        <v>425</v>
      </c>
      <c r="AJ68" s="24"/>
      <c r="AK68" s="24"/>
      <c r="AL68" s="22"/>
    </row>
    <row r="69" spans="1:38" ht="12.75" customHeight="1">
      <c r="A69" s="22">
        <v>67</v>
      </c>
      <c r="B69" s="27" t="s">
        <v>426</v>
      </c>
      <c r="C69" s="22" t="s">
        <v>180</v>
      </c>
      <c r="D69" s="27" t="s">
        <v>417</v>
      </c>
      <c r="E69" s="22"/>
      <c r="F69" s="24">
        <v>1</v>
      </c>
      <c r="G69" s="24" t="s">
        <v>221</v>
      </c>
      <c r="H69" s="22"/>
      <c r="I69" s="22"/>
      <c r="J69" s="29"/>
      <c r="K69" s="29"/>
      <c r="L69" s="29"/>
      <c r="M69" s="29"/>
      <c r="N69" s="27" t="s">
        <v>426</v>
      </c>
      <c r="O69" s="27"/>
      <c r="P69" s="25"/>
      <c r="Q69" s="25"/>
      <c r="R69" s="29"/>
      <c r="S69" s="29"/>
      <c r="T69" s="25"/>
      <c r="U69" s="25"/>
      <c r="V69" s="25"/>
      <c r="W69" s="25"/>
      <c r="X69" s="25"/>
      <c r="Y69" s="25"/>
      <c r="Z69" s="24"/>
      <c r="AA69" s="24"/>
      <c r="AB69" s="24"/>
      <c r="AC69" s="61" t="s">
        <v>428</v>
      </c>
      <c r="AD69" s="25"/>
      <c r="AE69" s="53">
        <v>301822002</v>
      </c>
      <c r="AF69" s="25"/>
      <c r="AG69" s="58" t="s">
        <v>115</v>
      </c>
      <c r="AH69" s="58" t="s">
        <v>429</v>
      </c>
      <c r="AI69" s="58" t="s">
        <v>430</v>
      </c>
      <c r="AJ69" s="24"/>
      <c r="AK69" s="24"/>
      <c r="AL69" s="22"/>
    </row>
    <row r="70" spans="1:38" ht="12.75" customHeight="1">
      <c r="A70" s="22">
        <v>68</v>
      </c>
      <c r="B70" s="27" t="s">
        <v>431</v>
      </c>
      <c r="C70" s="22" t="s">
        <v>180</v>
      </c>
      <c r="D70" s="27" t="s">
        <v>417</v>
      </c>
      <c r="E70" s="22"/>
      <c r="F70" s="24">
        <v>1</v>
      </c>
      <c r="G70" s="24" t="s">
        <v>221</v>
      </c>
      <c r="H70" s="22"/>
      <c r="I70" s="22"/>
      <c r="J70" s="29"/>
      <c r="K70" s="29"/>
      <c r="L70" s="29"/>
      <c r="M70" s="29"/>
      <c r="N70" s="27" t="s">
        <v>431</v>
      </c>
      <c r="O70" s="27"/>
      <c r="P70" s="25"/>
      <c r="Q70" s="25"/>
      <c r="R70" s="29"/>
      <c r="S70" s="29"/>
      <c r="T70" s="25"/>
      <c r="U70" s="25"/>
      <c r="V70" s="25"/>
      <c r="W70" s="25"/>
      <c r="X70" s="25"/>
      <c r="Y70" s="25"/>
      <c r="Z70" s="24"/>
      <c r="AA70" s="24"/>
      <c r="AB70" s="24"/>
      <c r="AC70" s="76"/>
      <c r="AD70" s="76"/>
      <c r="AE70" s="76"/>
      <c r="AF70" s="25"/>
      <c r="AG70" s="58" t="s">
        <v>115</v>
      </c>
      <c r="AH70" s="58" t="s">
        <v>432</v>
      </c>
      <c r="AI70" s="103" t="s">
        <v>433</v>
      </c>
      <c r="AJ70" s="24"/>
      <c r="AK70" s="24"/>
      <c r="AL70" s="22"/>
    </row>
    <row r="71" spans="1:38" ht="12.75" customHeight="1">
      <c r="A71" s="22">
        <v>69</v>
      </c>
      <c r="B71" s="27" t="s">
        <v>435</v>
      </c>
      <c r="C71" s="22" t="s">
        <v>180</v>
      </c>
      <c r="D71" s="27" t="s">
        <v>417</v>
      </c>
      <c r="E71" s="22"/>
      <c r="F71" s="24">
        <v>1</v>
      </c>
      <c r="G71" s="24" t="s">
        <v>221</v>
      </c>
      <c r="H71" s="22"/>
      <c r="I71" s="22"/>
      <c r="J71" s="29"/>
      <c r="K71" s="29"/>
      <c r="L71" s="29"/>
      <c r="M71" s="29"/>
      <c r="N71" s="27" t="s">
        <v>435</v>
      </c>
      <c r="O71" s="27"/>
      <c r="P71" s="25"/>
      <c r="Q71" s="25"/>
      <c r="R71" s="29"/>
      <c r="S71" s="29"/>
      <c r="T71" s="25"/>
      <c r="U71" s="25"/>
      <c r="V71" s="25"/>
      <c r="W71" s="25"/>
      <c r="X71" s="25"/>
      <c r="Y71" s="25"/>
      <c r="Z71" s="24"/>
      <c r="AA71" s="24"/>
      <c r="AB71" s="24"/>
      <c r="AC71" s="76"/>
      <c r="AD71" s="76"/>
      <c r="AE71" s="76"/>
      <c r="AF71" s="25"/>
      <c r="AG71" s="58" t="s">
        <v>115</v>
      </c>
      <c r="AH71" s="58" t="s">
        <v>436</v>
      </c>
      <c r="AI71" s="103" t="s">
        <v>437</v>
      </c>
      <c r="AJ71" s="24"/>
      <c r="AK71" s="24"/>
      <c r="AL71" s="22"/>
    </row>
    <row r="72" spans="1:38" ht="12.75" customHeight="1">
      <c r="A72" s="22">
        <v>70</v>
      </c>
      <c r="B72" s="27" t="s">
        <v>281</v>
      </c>
      <c r="C72" s="22" t="s">
        <v>180</v>
      </c>
      <c r="D72" s="27" t="s">
        <v>417</v>
      </c>
      <c r="E72" s="22"/>
      <c r="F72" s="24">
        <v>1</v>
      </c>
      <c r="G72" s="24" t="s">
        <v>221</v>
      </c>
      <c r="H72" s="22"/>
      <c r="I72" s="22"/>
      <c r="J72" s="29"/>
      <c r="K72" s="29"/>
      <c r="L72" s="29"/>
      <c r="M72" s="29"/>
      <c r="N72" s="27" t="s">
        <v>281</v>
      </c>
      <c r="O72" s="27"/>
      <c r="P72" s="25"/>
      <c r="Q72" s="25"/>
      <c r="R72" s="29"/>
      <c r="S72" s="29"/>
      <c r="T72" s="25"/>
      <c r="U72" s="25"/>
      <c r="V72" s="25"/>
      <c r="W72" s="25"/>
      <c r="X72" s="25"/>
      <c r="Y72" s="25"/>
      <c r="Z72" s="24"/>
      <c r="AA72" s="24"/>
      <c r="AB72" s="24"/>
      <c r="AC72" s="53" t="s">
        <v>283</v>
      </c>
      <c r="AD72" s="25"/>
      <c r="AE72" s="54">
        <v>386661006</v>
      </c>
      <c r="AF72" s="25"/>
      <c r="AG72" s="58" t="s">
        <v>115</v>
      </c>
      <c r="AH72" s="58" t="s">
        <v>284</v>
      </c>
      <c r="AI72" s="57" t="s">
        <v>285</v>
      </c>
      <c r="AJ72" s="24"/>
      <c r="AK72" s="24"/>
      <c r="AL72" s="22"/>
    </row>
    <row r="73" spans="1:38" ht="12.75" customHeight="1">
      <c r="A73" s="22">
        <v>71</v>
      </c>
      <c r="B73" s="27" t="s">
        <v>439</v>
      </c>
      <c r="C73" s="22" t="s">
        <v>180</v>
      </c>
      <c r="D73" s="27" t="s">
        <v>417</v>
      </c>
      <c r="E73" s="22"/>
      <c r="F73" s="24">
        <v>1</v>
      </c>
      <c r="G73" s="24" t="s">
        <v>221</v>
      </c>
      <c r="H73" s="22"/>
      <c r="I73" s="22"/>
      <c r="J73" s="29"/>
      <c r="K73" s="29"/>
      <c r="L73" s="29"/>
      <c r="M73" s="29"/>
      <c r="N73" s="27" t="s">
        <v>439</v>
      </c>
      <c r="O73" s="27"/>
      <c r="P73" s="25"/>
      <c r="Q73" s="25"/>
      <c r="R73" s="29"/>
      <c r="S73" s="29"/>
      <c r="T73" s="25"/>
      <c r="U73" s="25"/>
      <c r="V73" s="25"/>
      <c r="W73" s="25"/>
      <c r="X73" s="25"/>
      <c r="Y73" s="25"/>
      <c r="Z73" s="24"/>
      <c r="AA73" s="24"/>
      <c r="AB73" s="24"/>
      <c r="AC73" s="61" t="s">
        <v>299</v>
      </c>
      <c r="AD73" s="25"/>
      <c r="AE73" s="25"/>
      <c r="AF73" s="25"/>
      <c r="AG73" s="58" t="s">
        <v>115</v>
      </c>
      <c r="AH73" s="58" t="s">
        <v>441</v>
      </c>
      <c r="AI73" s="58" t="s">
        <v>442</v>
      </c>
      <c r="AJ73" s="24"/>
      <c r="AK73" s="24"/>
      <c r="AL73" s="22"/>
    </row>
    <row r="74" spans="1:38" ht="12.75" customHeight="1">
      <c r="A74" s="22">
        <v>72</v>
      </c>
      <c r="B74" s="27" t="s">
        <v>400</v>
      </c>
      <c r="C74" s="22" t="s">
        <v>180</v>
      </c>
      <c r="D74" s="27" t="s">
        <v>417</v>
      </c>
      <c r="E74" s="22"/>
      <c r="F74" s="24">
        <v>1</v>
      </c>
      <c r="G74" s="24" t="s">
        <v>221</v>
      </c>
      <c r="H74" s="22"/>
      <c r="I74" s="22"/>
      <c r="J74" s="29"/>
      <c r="K74" s="29"/>
      <c r="L74" s="29"/>
      <c r="M74" s="29"/>
      <c r="N74" s="27" t="s">
        <v>400</v>
      </c>
      <c r="O74" s="27"/>
      <c r="P74" s="25"/>
      <c r="Q74" s="25"/>
      <c r="R74" s="29"/>
      <c r="S74" s="29"/>
      <c r="T74" s="25"/>
      <c r="U74" s="25"/>
      <c r="V74" s="25"/>
      <c r="W74" s="25"/>
      <c r="X74" s="25"/>
      <c r="Y74" s="25"/>
      <c r="Z74" s="24"/>
      <c r="AA74" s="24"/>
      <c r="AB74" s="24"/>
      <c r="AC74" s="61" t="s">
        <v>402</v>
      </c>
      <c r="AD74" s="25"/>
      <c r="AE74" s="54">
        <v>63102001</v>
      </c>
      <c r="AF74" s="25"/>
      <c r="AG74" s="58" t="s">
        <v>115</v>
      </c>
      <c r="AH74" s="58" t="s">
        <v>403</v>
      </c>
      <c r="AI74" s="58" t="s">
        <v>404</v>
      </c>
      <c r="AJ74" s="24"/>
      <c r="AK74" s="24"/>
      <c r="AL74" s="22"/>
    </row>
    <row r="75" spans="1:38" ht="12.75" customHeight="1">
      <c r="A75" s="22">
        <v>73</v>
      </c>
      <c r="B75" s="27" t="s">
        <v>443</v>
      </c>
      <c r="C75" s="22" t="s">
        <v>180</v>
      </c>
      <c r="D75" s="27" t="s">
        <v>417</v>
      </c>
      <c r="E75" s="22"/>
      <c r="F75" s="24">
        <v>1</v>
      </c>
      <c r="G75" s="24" t="s">
        <v>221</v>
      </c>
      <c r="H75" s="22"/>
      <c r="I75" s="22"/>
      <c r="J75" s="29"/>
      <c r="K75" s="29"/>
      <c r="L75" s="29"/>
      <c r="M75" s="29"/>
      <c r="N75" s="27" t="s">
        <v>443</v>
      </c>
      <c r="O75" s="27"/>
      <c r="P75" s="25"/>
      <c r="Q75" s="25"/>
      <c r="R75" s="29"/>
      <c r="S75" s="29"/>
      <c r="T75" s="25"/>
      <c r="U75" s="25"/>
      <c r="V75" s="25"/>
      <c r="W75" s="25"/>
      <c r="X75" s="25"/>
      <c r="Y75" s="25"/>
      <c r="Z75" s="24"/>
      <c r="AA75" s="24"/>
      <c r="AB75" s="24"/>
      <c r="AC75" s="92" t="s">
        <v>445</v>
      </c>
      <c r="AD75" s="93"/>
      <c r="AE75" s="61">
        <v>118215003</v>
      </c>
      <c r="AF75" s="25"/>
      <c r="AG75" s="58" t="s">
        <v>115</v>
      </c>
      <c r="AH75" s="58" t="s">
        <v>446</v>
      </c>
      <c r="AI75" s="57" t="s">
        <v>447</v>
      </c>
      <c r="AJ75" s="24"/>
      <c r="AK75" s="24"/>
      <c r="AL75" s="22"/>
    </row>
    <row r="76" spans="1:38" ht="12.75" customHeight="1">
      <c r="A76" s="22">
        <v>74</v>
      </c>
      <c r="B76" s="27" t="s">
        <v>448</v>
      </c>
      <c r="C76" s="22" t="s">
        <v>180</v>
      </c>
      <c r="D76" s="27" t="s">
        <v>417</v>
      </c>
      <c r="E76" s="22"/>
      <c r="F76" s="24">
        <v>1</v>
      </c>
      <c r="G76" s="24" t="s">
        <v>221</v>
      </c>
      <c r="H76" s="22"/>
      <c r="I76" s="22"/>
      <c r="J76" s="29"/>
      <c r="K76" s="29"/>
      <c r="L76" s="29"/>
      <c r="M76" s="29"/>
      <c r="N76" s="27" t="s">
        <v>448</v>
      </c>
      <c r="O76" s="27"/>
      <c r="P76" s="25"/>
      <c r="Q76" s="25"/>
      <c r="R76" s="29"/>
      <c r="S76" s="29"/>
      <c r="T76" s="25"/>
      <c r="U76" s="25"/>
      <c r="V76" s="25"/>
      <c r="W76" s="25"/>
      <c r="X76" s="25"/>
      <c r="Y76" s="25"/>
      <c r="Z76" s="24"/>
      <c r="AA76" s="24"/>
      <c r="AB76" s="24"/>
      <c r="AC76" s="25"/>
      <c r="AD76" s="25"/>
      <c r="AE76" s="104">
        <v>247412007</v>
      </c>
      <c r="AF76" s="25"/>
      <c r="AG76" s="58" t="s">
        <v>115</v>
      </c>
      <c r="AH76" s="58" t="s">
        <v>450</v>
      </c>
      <c r="AI76" s="58" t="s">
        <v>451</v>
      </c>
      <c r="AJ76" s="24"/>
      <c r="AK76" s="24"/>
      <c r="AL76" s="22"/>
    </row>
    <row r="77" spans="1:38" ht="12.75" customHeight="1">
      <c r="A77" s="22">
        <v>75</v>
      </c>
      <c r="B77" s="27" t="s">
        <v>452</v>
      </c>
      <c r="C77" s="22" t="s">
        <v>180</v>
      </c>
      <c r="D77" s="27" t="s">
        <v>417</v>
      </c>
      <c r="E77" s="22"/>
      <c r="F77" s="24">
        <v>1</v>
      </c>
      <c r="G77" s="24" t="s">
        <v>221</v>
      </c>
      <c r="H77" s="22"/>
      <c r="I77" s="22"/>
      <c r="J77" s="29"/>
      <c r="K77" s="29"/>
      <c r="L77" s="29"/>
      <c r="M77" s="29"/>
      <c r="N77" s="27" t="s">
        <v>452</v>
      </c>
      <c r="O77" s="27"/>
      <c r="P77" s="25"/>
      <c r="Q77" s="25"/>
      <c r="R77" s="29"/>
      <c r="S77" s="29"/>
      <c r="T77" s="25"/>
      <c r="U77" s="25"/>
      <c r="V77" s="25"/>
      <c r="W77" s="25"/>
      <c r="X77" s="25"/>
      <c r="Y77" s="25"/>
      <c r="Z77" s="24"/>
      <c r="AA77" s="24"/>
      <c r="AB77" s="24"/>
      <c r="AC77" s="25"/>
      <c r="AD77" s="25"/>
      <c r="AE77" s="104">
        <v>302772006</v>
      </c>
      <c r="AF77" s="25"/>
      <c r="AG77" s="58" t="s">
        <v>115</v>
      </c>
      <c r="AH77" s="58" t="s">
        <v>453</v>
      </c>
      <c r="AI77" s="58" t="s">
        <v>454</v>
      </c>
      <c r="AJ77" s="24"/>
      <c r="AK77" s="24"/>
      <c r="AL77" s="22"/>
    </row>
    <row r="78" spans="1:38" ht="12.75" customHeight="1">
      <c r="A78" s="22">
        <v>76</v>
      </c>
      <c r="B78" s="27" t="s">
        <v>455</v>
      </c>
      <c r="C78" s="22" t="s">
        <v>180</v>
      </c>
      <c r="D78" s="27" t="s">
        <v>417</v>
      </c>
      <c r="E78" s="22"/>
      <c r="F78" s="24">
        <v>1</v>
      </c>
      <c r="G78" s="24" t="s">
        <v>221</v>
      </c>
      <c r="H78" s="22"/>
      <c r="I78" s="22"/>
      <c r="J78" s="29"/>
      <c r="K78" s="29"/>
      <c r="L78" s="29"/>
      <c r="M78" s="29"/>
      <c r="N78" s="27" t="s">
        <v>455</v>
      </c>
      <c r="O78" s="27"/>
      <c r="P78" s="25"/>
      <c r="Q78" s="25"/>
      <c r="R78" s="29"/>
      <c r="S78" s="29"/>
      <c r="T78" s="25"/>
      <c r="U78" s="25"/>
      <c r="V78" s="25"/>
      <c r="W78" s="25"/>
      <c r="X78" s="25"/>
      <c r="Y78" s="25"/>
      <c r="Z78" s="24"/>
      <c r="AA78" s="24"/>
      <c r="AB78" s="24"/>
      <c r="AC78" s="105" t="s">
        <v>457</v>
      </c>
      <c r="AD78" s="25"/>
      <c r="AE78" s="106">
        <v>14094001</v>
      </c>
      <c r="AF78" s="25"/>
      <c r="AG78" s="58" t="s">
        <v>115</v>
      </c>
      <c r="AH78" s="58" t="s">
        <v>458</v>
      </c>
      <c r="AI78" s="58" t="s">
        <v>459</v>
      </c>
      <c r="AJ78" s="24"/>
      <c r="AK78" s="24"/>
      <c r="AL78" s="22"/>
    </row>
    <row r="79" spans="1:38" ht="12.75" customHeight="1">
      <c r="A79" s="22">
        <v>77</v>
      </c>
      <c r="B79" s="27" t="s">
        <v>460</v>
      </c>
      <c r="C79" s="22" t="s">
        <v>180</v>
      </c>
      <c r="D79" s="27" t="s">
        <v>417</v>
      </c>
      <c r="E79" s="22"/>
      <c r="F79" s="24">
        <v>1</v>
      </c>
      <c r="G79" s="24" t="s">
        <v>221</v>
      </c>
      <c r="H79" s="22"/>
      <c r="I79" s="22"/>
      <c r="J79" s="29"/>
      <c r="K79" s="29"/>
      <c r="L79" s="29"/>
      <c r="M79" s="29"/>
      <c r="N79" s="27" t="s">
        <v>460</v>
      </c>
      <c r="O79" s="27"/>
      <c r="P79" s="25"/>
      <c r="Q79" s="25"/>
      <c r="R79" s="29"/>
      <c r="S79" s="29"/>
      <c r="T79" s="25"/>
      <c r="U79" s="25"/>
      <c r="V79" s="25"/>
      <c r="W79" s="25"/>
      <c r="X79" s="25"/>
      <c r="Y79" s="25"/>
      <c r="Z79" s="24"/>
      <c r="AA79" s="24"/>
      <c r="AB79" s="24"/>
      <c r="AC79" s="105" t="s">
        <v>351</v>
      </c>
      <c r="AD79" s="25"/>
      <c r="AE79" s="104">
        <v>76948002</v>
      </c>
      <c r="AF79" s="25"/>
      <c r="AG79" s="58" t="s">
        <v>115</v>
      </c>
      <c r="AH79" s="58" t="s">
        <v>462</v>
      </c>
      <c r="AI79" s="58" t="s">
        <v>463</v>
      </c>
      <c r="AJ79" s="24"/>
      <c r="AK79" s="24"/>
      <c r="AL79" s="22"/>
    </row>
    <row r="80" spans="1:38" ht="12.75" customHeight="1">
      <c r="A80" s="22">
        <v>78</v>
      </c>
      <c r="B80" s="27" t="s">
        <v>464</v>
      </c>
      <c r="C80" s="22" t="s">
        <v>180</v>
      </c>
      <c r="D80" s="27" t="s">
        <v>417</v>
      </c>
      <c r="E80" s="22"/>
      <c r="F80" s="24">
        <v>1</v>
      </c>
      <c r="G80" s="24" t="s">
        <v>221</v>
      </c>
      <c r="H80" s="22"/>
      <c r="I80" s="22"/>
      <c r="J80" s="29"/>
      <c r="K80" s="29"/>
      <c r="L80" s="29"/>
      <c r="M80" s="29"/>
      <c r="N80" s="27" t="s">
        <v>464</v>
      </c>
      <c r="O80" s="27"/>
      <c r="P80" s="25"/>
      <c r="Q80" s="25"/>
      <c r="R80" s="29"/>
      <c r="S80" s="29"/>
      <c r="T80" s="25"/>
      <c r="U80" s="25"/>
      <c r="V80" s="25"/>
      <c r="W80" s="25"/>
      <c r="X80" s="25"/>
      <c r="Y80" s="25"/>
      <c r="Z80" s="24"/>
      <c r="AA80" s="24"/>
      <c r="AB80" s="24"/>
      <c r="AC80" s="76"/>
      <c r="AD80" s="76"/>
      <c r="AE80" s="76"/>
      <c r="AF80" s="25"/>
      <c r="AG80" s="58" t="s">
        <v>115</v>
      </c>
      <c r="AH80" s="58" t="s">
        <v>465</v>
      </c>
      <c r="AI80" s="78" t="s">
        <v>466</v>
      </c>
      <c r="AJ80" s="24"/>
      <c r="AK80" s="24"/>
      <c r="AL80" s="22"/>
    </row>
    <row r="81" spans="1:38" ht="12.75" customHeight="1">
      <c r="A81" s="22">
        <v>79</v>
      </c>
      <c r="B81" s="27" t="s">
        <v>467</v>
      </c>
      <c r="C81" s="22" t="s">
        <v>180</v>
      </c>
      <c r="D81" s="27" t="s">
        <v>417</v>
      </c>
      <c r="E81" s="22"/>
      <c r="F81" s="24">
        <v>1</v>
      </c>
      <c r="G81" s="24" t="s">
        <v>221</v>
      </c>
      <c r="H81" s="22"/>
      <c r="I81" s="22"/>
      <c r="J81" s="29"/>
      <c r="K81" s="29"/>
      <c r="L81" s="29"/>
      <c r="M81" s="29"/>
      <c r="N81" s="27" t="s">
        <v>467</v>
      </c>
      <c r="O81" s="27"/>
      <c r="P81" s="25"/>
      <c r="Q81" s="25"/>
      <c r="R81" s="29"/>
      <c r="S81" s="29"/>
      <c r="T81" s="25"/>
      <c r="U81" s="25"/>
      <c r="V81" s="25"/>
      <c r="W81" s="25"/>
      <c r="X81" s="25"/>
      <c r="Y81" s="25"/>
      <c r="Z81" s="24"/>
      <c r="AA81" s="24"/>
      <c r="AB81" s="24"/>
      <c r="AC81" s="105" t="s">
        <v>469</v>
      </c>
      <c r="AD81" s="25"/>
      <c r="AE81" s="106">
        <v>418107008</v>
      </c>
      <c r="AF81" s="25"/>
      <c r="AG81" s="58" t="s">
        <v>115</v>
      </c>
      <c r="AH81" s="58" t="s">
        <v>470</v>
      </c>
      <c r="AI81" s="58" t="s">
        <v>471</v>
      </c>
      <c r="AJ81" s="24"/>
      <c r="AK81" s="24"/>
      <c r="AL81" s="22"/>
    </row>
    <row r="82" spans="1:38" ht="12.75" customHeight="1">
      <c r="A82" s="22">
        <v>80</v>
      </c>
      <c r="B82" s="27" t="s">
        <v>472</v>
      </c>
      <c r="C82" s="22" t="s">
        <v>96</v>
      </c>
      <c r="D82" s="22"/>
      <c r="E82" s="22"/>
      <c r="F82" s="24">
        <v>1</v>
      </c>
      <c r="G82" s="24" t="s">
        <v>221</v>
      </c>
      <c r="H82" s="22"/>
      <c r="I82" s="22"/>
      <c r="J82" s="27" t="s">
        <v>472</v>
      </c>
      <c r="K82" s="27" t="s">
        <v>473</v>
      </c>
      <c r="L82" s="27" t="s">
        <v>474</v>
      </c>
      <c r="M82" s="27" t="s">
        <v>202</v>
      </c>
      <c r="N82" s="27"/>
      <c r="O82" s="27"/>
      <c r="P82" s="25"/>
      <c r="Q82" s="25"/>
      <c r="R82" s="27" t="s">
        <v>113</v>
      </c>
      <c r="S82" s="55" t="s">
        <v>208</v>
      </c>
      <c r="T82" s="25"/>
      <c r="U82" s="25"/>
      <c r="V82" s="25"/>
      <c r="W82" s="25"/>
      <c r="X82" s="25"/>
      <c r="Y82" s="25"/>
      <c r="Z82" s="24"/>
      <c r="AA82" s="24"/>
      <c r="AB82" s="24"/>
      <c r="AC82" s="25"/>
      <c r="AD82" s="25"/>
      <c r="AE82" s="105">
        <v>260870009</v>
      </c>
      <c r="AF82" s="25"/>
      <c r="AG82" s="58" t="s">
        <v>475</v>
      </c>
      <c r="AH82" s="58" t="s">
        <v>476</v>
      </c>
      <c r="AI82" s="58" t="s">
        <v>477</v>
      </c>
      <c r="AJ82" s="24"/>
      <c r="AK82" s="24"/>
      <c r="AL82" s="22"/>
    </row>
    <row r="83" spans="1:38" ht="12.75" customHeight="1">
      <c r="A83" s="22">
        <v>81</v>
      </c>
      <c r="B83" s="27" t="s">
        <v>478</v>
      </c>
      <c r="C83" s="22" t="s">
        <v>180</v>
      </c>
      <c r="D83" s="27" t="s">
        <v>472</v>
      </c>
      <c r="E83" s="22"/>
      <c r="F83" s="24">
        <v>1</v>
      </c>
      <c r="G83" s="24" t="s">
        <v>221</v>
      </c>
      <c r="H83" s="22"/>
      <c r="I83" s="22"/>
      <c r="J83" s="27"/>
      <c r="K83" s="27"/>
      <c r="L83" s="27"/>
      <c r="M83" s="29"/>
      <c r="N83" s="27" t="s">
        <v>478</v>
      </c>
      <c r="O83" s="27"/>
      <c r="P83" s="25"/>
      <c r="Q83" s="25"/>
      <c r="R83" s="27"/>
      <c r="S83" s="55"/>
      <c r="T83" s="25"/>
      <c r="U83" s="25"/>
      <c r="V83" s="25"/>
      <c r="W83" s="25"/>
      <c r="X83" s="25"/>
      <c r="Y83" s="25"/>
      <c r="Z83" s="24"/>
      <c r="AA83" s="24"/>
      <c r="AB83" s="24"/>
      <c r="AC83" s="25"/>
      <c r="AD83" s="25"/>
      <c r="AE83" s="104">
        <v>103391001</v>
      </c>
      <c r="AF83" s="25"/>
      <c r="AG83" s="58" t="s">
        <v>115</v>
      </c>
      <c r="AH83" s="58" t="s">
        <v>480</v>
      </c>
      <c r="AI83" s="58" t="s">
        <v>481</v>
      </c>
      <c r="AJ83" s="24"/>
      <c r="AK83" s="24"/>
      <c r="AL83" s="22"/>
    </row>
    <row r="84" spans="1:38" ht="12.75" customHeight="1">
      <c r="A84" s="22">
        <v>82</v>
      </c>
      <c r="B84" s="27" t="s">
        <v>482</v>
      </c>
      <c r="C84" s="22" t="s">
        <v>180</v>
      </c>
      <c r="D84" s="27" t="s">
        <v>472</v>
      </c>
      <c r="E84" s="22"/>
      <c r="F84" s="24">
        <v>1</v>
      </c>
      <c r="G84" s="24" t="s">
        <v>221</v>
      </c>
      <c r="H84" s="22"/>
      <c r="I84" s="22"/>
      <c r="J84" s="27"/>
      <c r="K84" s="27"/>
      <c r="L84" s="27"/>
      <c r="M84" s="29"/>
      <c r="N84" s="27" t="s">
        <v>482</v>
      </c>
      <c r="O84" s="27"/>
      <c r="P84" s="25"/>
      <c r="Q84" s="25"/>
      <c r="R84" s="27"/>
      <c r="S84" s="55"/>
      <c r="T84" s="25"/>
      <c r="U84" s="25"/>
      <c r="V84" s="25"/>
      <c r="W84" s="25"/>
      <c r="X84" s="25"/>
      <c r="Y84" s="25"/>
      <c r="Z84" s="24"/>
      <c r="AA84" s="24"/>
      <c r="AB84" s="24"/>
      <c r="AC84" s="76"/>
      <c r="AD84" s="76"/>
      <c r="AE84" s="76"/>
      <c r="AF84" s="25"/>
      <c r="AG84" s="58" t="s">
        <v>115</v>
      </c>
      <c r="AH84" s="58" t="s">
        <v>483</v>
      </c>
      <c r="AI84" s="103" t="s">
        <v>484</v>
      </c>
      <c r="AJ84" s="24"/>
      <c r="AK84" s="24"/>
      <c r="AL84" s="22"/>
    </row>
    <row r="85" spans="1:38" ht="12.75" customHeight="1">
      <c r="A85" s="22">
        <v>83</v>
      </c>
      <c r="B85" s="27" t="s">
        <v>485</v>
      </c>
      <c r="C85" s="22" t="s">
        <v>96</v>
      </c>
      <c r="D85" s="22"/>
      <c r="E85" s="22"/>
      <c r="F85" s="24">
        <v>1</v>
      </c>
      <c r="G85" s="24" t="s">
        <v>221</v>
      </c>
      <c r="H85" s="22"/>
      <c r="I85" s="22"/>
      <c r="J85" s="27" t="s">
        <v>485</v>
      </c>
      <c r="K85" s="27" t="s">
        <v>486</v>
      </c>
      <c r="L85" s="27" t="s">
        <v>487</v>
      </c>
      <c r="M85" s="27" t="s">
        <v>202</v>
      </c>
      <c r="N85" s="27"/>
      <c r="O85" s="27"/>
      <c r="P85" s="25"/>
      <c r="Q85" s="25"/>
      <c r="R85" s="27" t="s">
        <v>113</v>
      </c>
      <c r="S85" s="27" t="s">
        <v>208</v>
      </c>
      <c r="T85" s="25"/>
      <c r="U85" s="25"/>
      <c r="V85" s="25"/>
      <c r="W85" s="25"/>
      <c r="X85" s="25"/>
      <c r="Y85" s="25"/>
      <c r="Z85" s="24"/>
      <c r="AA85" s="24"/>
      <c r="AB85" s="24"/>
      <c r="AC85" s="76"/>
      <c r="AD85" s="76"/>
      <c r="AE85" s="76"/>
      <c r="AF85" s="25"/>
      <c r="AG85" s="58" t="s">
        <v>115</v>
      </c>
      <c r="AH85" s="58" t="s">
        <v>489</v>
      </c>
      <c r="AI85" s="103" t="s">
        <v>490</v>
      </c>
      <c r="AJ85" s="24"/>
      <c r="AK85" s="24"/>
      <c r="AL85" s="22"/>
    </row>
    <row r="86" spans="1:38" ht="12.75" customHeight="1">
      <c r="A86" s="22">
        <v>84</v>
      </c>
      <c r="B86" s="27" t="s">
        <v>113</v>
      </c>
      <c r="C86" s="22" t="s">
        <v>180</v>
      </c>
      <c r="D86" s="27" t="s">
        <v>485</v>
      </c>
      <c r="E86" s="22"/>
      <c r="F86" s="24">
        <v>1</v>
      </c>
      <c r="G86" s="24" t="s">
        <v>221</v>
      </c>
      <c r="H86" s="22"/>
      <c r="I86" s="22"/>
      <c r="J86" s="27"/>
      <c r="K86" s="27"/>
      <c r="L86" s="25"/>
      <c r="M86" s="29"/>
      <c r="N86" s="27" t="s">
        <v>113</v>
      </c>
      <c r="O86" s="27"/>
      <c r="P86" s="25"/>
      <c r="Q86" s="25"/>
      <c r="R86" s="27"/>
      <c r="S86" s="27"/>
      <c r="T86" s="25"/>
      <c r="U86" s="25"/>
      <c r="V86" s="25"/>
      <c r="W86" s="25"/>
      <c r="X86" s="25"/>
      <c r="Y86" s="25"/>
      <c r="Z86" s="24"/>
      <c r="AA86" s="24"/>
      <c r="AB86" s="24"/>
      <c r="AC86" s="25"/>
      <c r="AD86" s="25"/>
      <c r="AE86" s="53">
        <v>373066001</v>
      </c>
      <c r="AF86" s="25"/>
      <c r="AG86" s="58" t="s">
        <v>115</v>
      </c>
      <c r="AH86" s="58" t="s">
        <v>206</v>
      </c>
      <c r="AI86" s="58" t="s">
        <v>207</v>
      </c>
      <c r="AJ86" s="24"/>
      <c r="AK86" s="24"/>
      <c r="AL86" s="22"/>
    </row>
    <row r="87" spans="1:38" ht="12.75" customHeight="1">
      <c r="A87" s="22">
        <v>85</v>
      </c>
      <c r="B87" s="27" t="s">
        <v>208</v>
      </c>
      <c r="C87" s="22" t="s">
        <v>180</v>
      </c>
      <c r="D87" s="27" t="s">
        <v>485</v>
      </c>
      <c r="E87" s="22"/>
      <c r="F87" s="24">
        <v>1</v>
      </c>
      <c r="G87" s="24" t="s">
        <v>221</v>
      </c>
      <c r="H87" s="22"/>
      <c r="I87" s="22"/>
      <c r="J87" s="27"/>
      <c r="K87" s="27"/>
      <c r="L87" s="25"/>
      <c r="M87" s="29"/>
      <c r="N87" s="27" t="s">
        <v>208</v>
      </c>
      <c r="O87" s="27"/>
      <c r="P87" s="25"/>
      <c r="Q87" s="25"/>
      <c r="R87" s="27"/>
      <c r="S87" s="27"/>
      <c r="T87" s="25"/>
      <c r="U87" s="25"/>
      <c r="V87" s="25"/>
      <c r="W87" s="25"/>
      <c r="X87" s="25"/>
      <c r="Y87" s="25"/>
      <c r="Z87" s="24"/>
      <c r="AA87" s="24"/>
      <c r="AB87" s="24"/>
      <c r="AC87" s="25"/>
      <c r="AD87" s="25"/>
      <c r="AE87" s="54">
        <v>373067005</v>
      </c>
      <c r="AF87" s="25"/>
      <c r="AG87" s="58" t="s">
        <v>115</v>
      </c>
      <c r="AH87" s="58" t="s">
        <v>209</v>
      </c>
      <c r="AI87" s="58" t="s">
        <v>210</v>
      </c>
      <c r="AJ87" s="24"/>
      <c r="AK87" s="24"/>
      <c r="AL87" s="22"/>
    </row>
    <row r="88" spans="1:38" ht="12.75" customHeight="1">
      <c r="A88" s="22">
        <v>86</v>
      </c>
      <c r="B88" s="22" t="s">
        <v>492</v>
      </c>
      <c r="C88" s="22" t="s">
        <v>96</v>
      </c>
      <c r="D88" s="22"/>
      <c r="E88" s="22" t="s">
        <v>493</v>
      </c>
      <c r="F88" s="24">
        <v>1</v>
      </c>
      <c r="G88" s="24" t="s">
        <v>494</v>
      </c>
      <c r="H88" s="22"/>
      <c r="I88" s="22"/>
      <c r="J88" s="22" t="s">
        <v>492</v>
      </c>
      <c r="K88" s="22" t="s">
        <v>495</v>
      </c>
      <c r="L88" s="22" t="s">
        <v>496</v>
      </c>
      <c r="M88" s="22" t="s">
        <v>202</v>
      </c>
      <c r="N88" s="22"/>
      <c r="O88" s="22"/>
      <c r="P88" s="22"/>
      <c r="Q88" s="24"/>
      <c r="R88" s="24"/>
      <c r="S88" s="22" t="s">
        <v>113</v>
      </c>
      <c r="T88" s="24"/>
      <c r="U88" s="24"/>
      <c r="V88" s="24"/>
      <c r="W88" s="24"/>
      <c r="X88" s="24"/>
      <c r="Y88" s="24"/>
      <c r="Z88" s="22"/>
      <c r="AA88" s="24"/>
      <c r="AB88" s="24"/>
      <c r="AC88" s="111"/>
      <c r="AD88" s="112"/>
      <c r="AE88" s="113">
        <v>105421008</v>
      </c>
      <c r="AF88" s="114"/>
      <c r="AG88" s="115" t="s">
        <v>115</v>
      </c>
      <c r="AH88" s="115" t="s">
        <v>497</v>
      </c>
      <c r="AI88" s="115" t="s">
        <v>498</v>
      </c>
      <c r="AJ88" s="22"/>
      <c r="AK88" s="22"/>
      <c r="AL88" s="22"/>
    </row>
    <row r="89" spans="1:38" ht="12.75" customHeight="1">
      <c r="A89" s="22">
        <v>87</v>
      </c>
      <c r="B89" s="22" t="s">
        <v>423</v>
      </c>
      <c r="C89" s="22" t="s">
        <v>180</v>
      </c>
      <c r="D89" s="22"/>
      <c r="E89" s="22" t="s">
        <v>493</v>
      </c>
      <c r="F89" s="24">
        <v>1</v>
      </c>
      <c r="G89" s="24" t="s">
        <v>494</v>
      </c>
      <c r="H89" s="22"/>
      <c r="I89" s="22"/>
      <c r="J89" s="22"/>
      <c r="K89" s="22"/>
      <c r="L89" s="22"/>
      <c r="M89" s="22"/>
      <c r="N89" s="22" t="s">
        <v>423</v>
      </c>
      <c r="O89" s="22"/>
      <c r="P89" s="22"/>
      <c r="Q89" s="24"/>
      <c r="R89" s="24"/>
      <c r="S89" s="22"/>
      <c r="T89" s="24"/>
      <c r="U89" s="24"/>
      <c r="V89" s="24"/>
      <c r="W89" s="24"/>
      <c r="X89" s="24"/>
      <c r="Y89" s="24"/>
      <c r="Z89" s="22"/>
      <c r="AA89" s="24"/>
      <c r="AB89" s="24"/>
      <c r="AC89" s="111"/>
      <c r="AD89" s="112"/>
      <c r="AE89" s="113">
        <v>260413007</v>
      </c>
      <c r="AF89" s="114"/>
      <c r="AG89" s="115" t="s">
        <v>115</v>
      </c>
      <c r="AH89" s="115" t="s">
        <v>424</v>
      </c>
      <c r="AI89" s="115" t="s">
        <v>425</v>
      </c>
      <c r="AJ89" s="22"/>
      <c r="AK89" s="22"/>
      <c r="AL89" s="22"/>
    </row>
    <row r="90" spans="1:38" ht="12.75" customHeight="1">
      <c r="A90" s="22">
        <v>88</v>
      </c>
      <c r="B90" s="22" t="s">
        <v>500</v>
      </c>
      <c r="C90" s="22" t="s">
        <v>180</v>
      </c>
      <c r="D90" s="22"/>
      <c r="E90" s="22" t="s">
        <v>493</v>
      </c>
      <c r="F90" s="24">
        <v>1</v>
      </c>
      <c r="G90" s="24" t="s">
        <v>494</v>
      </c>
      <c r="H90" s="22"/>
      <c r="I90" s="22"/>
      <c r="J90" s="22"/>
      <c r="K90" s="22"/>
      <c r="L90" s="22"/>
      <c r="M90" s="22"/>
      <c r="N90" s="22" t="s">
        <v>500</v>
      </c>
      <c r="O90" s="22"/>
      <c r="P90" s="22"/>
      <c r="Q90" s="24"/>
      <c r="R90" s="24"/>
      <c r="S90" s="22"/>
      <c r="T90" s="24"/>
      <c r="U90" s="24"/>
      <c r="V90" s="24"/>
      <c r="W90" s="24"/>
      <c r="X90" s="24"/>
      <c r="Y90" s="24"/>
      <c r="Z90" s="22"/>
      <c r="AA90" s="24"/>
      <c r="AB90" s="24"/>
      <c r="AC90" s="111"/>
      <c r="AD90" s="112"/>
      <c r="AE90" s="113">
        <v>261665006</v>
      </c>
      <c r="AF90" s="114"/>
      <c r="AG90" s="115" t="s">
        <v>115</v>
      </c>
      <c r="AH90" s="115" t="s">
        <v>501</v>
      </c>
      <c r="AI90" s="115" t="s">
        <v>503</v>
      </c>
      <c r="AJ90" s="22"/>
      <c r="AK90" s="22"/>
      <c r="AL90" s="22"/>
    </row>
    <row r="91" spans="1:38" ht="12.75" customHeight="1">
      <c r="A91" s="22">
        <v>89</v>
      </c>
      <c r="B91" s="22" t="s">
        <v>504</v>
      </c>
      <c r="C91" s="22" t="s">
        <v>180</v>
      </c>
      <c r="D91" s="22"/>
      <c r="E91" s="22" t="s">
        <v>493</v>
      </c>
      <c r="F91" s="24">
        <v>1</v>
      </c>
      <c r="G91" s="24" t="s">
        <v>494</v>
      </c>
      <c r="H91" s="22"/>
      <c r="I91" s="22"/>
      <c r="J91" s="22"/>
      <c r="K91" s="22"/>
      <c r="L91" s="22"/>
      <c r="M91" s="22"/>
      <c r="N91" s="22" t="s">
        <v>504</v>
      </c>
      <c r="O91" s="22"/>
      <c r="P91" s="22"/>
      <c r="Q91" s="24"/>
      <c r="R91" s="24"/>
      <c r="S91" s="22"/>
      <c r="T91" s="24"/>
      <c r="U91" s="24"/>
      <c r="V91" s="24"/>
      <c r="W91" s="24"/>
      <c r="X91" s="24"/>
      <c r="Y91" s="24"/>
      <c r="Z91" s="22"/>
      <c r="AA91" s="24"/>
      <c r="AB91" s="24"/>
      <c r="AC91" s="111"/>
      <c r="AD91" s="112"/>
      <c r="AE91" s="113">
        <v>224295006</v>
      </c>
      <c r="AF91" s="114"/>
      <c r="AG91" s="115" t="s">
        <v>115</v>
      </c>
      <c r="AH91" s="115" t="s">
        <v>505</v>
      </c>
      <c r="AI91" s="115" t="s">
        <v>506</v>
      </c>
      <c r="AJ91" s="22"/>
      <c r="AK91" s="22"/>
      <c r="AL91" s="22"/>
    </row>
    <row r="92" spans="1:38" ht="12.75" customHeight="1">
      <c r="A92" s="22">
        <v>90</v>
      </c>
      <c r="B92" s="22" t="s">
        <v>507</v>
      </c>
      <c r="C92" s="22" t="s">
        <v>180</v>
      </c>
      <c r="D92" s="22"/>
      <c r="E92" s="22" t="s">
        <v>493</v>
      </c>
      <c r="F92" s="24">
        <v>1</v>
      </c>
      <c r="G92" s="24" t="s">
        <v>494</v>
      </c>
      <c r="H92" s="22"/>
      <c r="I92" s="22"/>
      <c r="J92" s="22"/>
      <c r="K92" s="22"/>
      <c r="L92" s="22"/>
      <c r="M92" s="22"/>
      <c r="N92" s="22" t="s">
        <v>507</v>
      </c>
      <c r="O92" s="22"/>
      <c r="P92" s="22"/>
      <c r="Q92" s="24"/>
      <c r="R92" s="24"/>
      <c r="S92" s="22"/>
      <c r="T92" s="24"/>
      <c r="U92" s="24"/>
      <c r="V92" s="24"/>
      <c r="W92" s="24"/>
      <c r="X92" s="24"/>
      <c r="Y92" s="24"/>
      <c r="Z92" s="22"/>
      <c r="AA92" s="24"/>
      <c r="AB92" s="24"/>
      <c r="AC92" s="111"/>
      <c r="AD92" s="112"/>
      <c r="AE92" s="25">
        <v>224297003</v>
      </c>
      <c r="AF92" s="114"/>
      <c r="AG92" s="115" t="s">
        <v>115</v>
      </c>
      <c r="AH92" s="115" t="s">
        <v>509</v>
      </c>
      <c r="AI92" s="115" t="s">
        <v>510</v>
      </c>
      <c r="AJ92" s="22"/>
      <c r="AK92" s="22"/>
      <c r="AL92" s="22"/>
    </row>
    <row r="93" spans="1:38" ht="12.75" customHeight="1">
      <c r="A93" s="22">
        <v>91</v>
      </c>
      <c r="B93" s="22" t="s">
        <v>511</v>
      </c>
      <c r="C93" s="22" t="s">
        <v>180</v>
      </c>
      <c r="D93" s="22"/>
      <c r="E93" s="22" t="s">
        <v>493</v>
      </c>
      <c r="F93" s="24">
        <v>1</v>
      </c>
      <c r="G93" s="24" t="s">
        <v>494</v>
      </c>
      <c r="H93" s="22"/>
      <c r="I93" s="22"/>
      <c r="J93" s="22"/>
      <c r="K93" s="22"/>
      <c r="L93" s="22"/>
      <c r="M93" s="22"/>
      <c r="N93" s="22" t="s">
        <v>511</v>
      </c>
      <c r="O93" s="22"/>
      <c r="P93" s="22"/>
      <c r="Q93" s="24"/>
      <c r="R93" s="24"/>
      <c r="S93" s="22"/>
      <c r="T93" s="24"/>
      <c r="U93" s="24"/>
      <c r="V93" s="24"/>
      <c r="W93" s="24"/>
      <c r="X93" s="24"/>
      <c r="Y93" s="24"/>
      <c r="Z93" s="22"/>
      <c r="AA93" s="24"/>
      <c r="AB93" s="24"/>
      <c r="AC93" s="111"/>
      <c r="AD93" s="112"/>
      <c r="AE93" s="25" t="s">
        <v>513</v>
      </c>
      <c r="AF93" s="114"/>
      <c r="AG93" s="115" t="s">
        <v>115</v>
      </c>
      <c r="AH93" s="115" t="s">
        <v>514</v>
      </c>
      <c r="AI93" s="115" t="s">
        <v>515</v>
      </c>
      <c r="AJ93" s="22"/>
      <c r="AK93" s="22"/>
      <c r="AL93" s="22"/>
    </row>
    <row r="94" spans="1:38" ht="12.75" customHeight="1">
      <c r="A94" s="22">
        <v>92</v>
      </c>
      <c r="B94" s="22" t="s">
        <v>516</v>
      </c>
      <c r="C94" s="22" t="s">
        <v>96</v>
      </c>
      <c r="D94" s="22"/>
      <c r="E94" s="22" t="s">
        <v>493</v>
      </c>
      <c r="F94" s="24">
        <v>1</v>
      </c>
      <c r="G94" s="24" t="s">
        <v>494</v>
      </c>
      <c r="H94" s="22"/>
      <c r="I94" s="22"/>
      <c r="J94" s="22" t="s">
        <v>516</v>
      </c>
      <c r="K94" s="22" t="s">
        <v>517</v>
      </c>
      <c r="L94" s="22" t="s">
        <v>518</v>
      </c>
      <c r="M94" s="22" t="s">
        <v>238</v>
      </c>
      <c r="N94" s="22"/>
      <c r="O94" s="22"/>
      <c r="P94" s="22"/>
      <c r="Q94" s="24"/>
      <c r="R94" s="24"/>
      <c r="S94" s="22" t="s">
        <v>113</v>
      </c>
      <c r="T94" s="24"/>
      <c r="U94" s="24"/>
      <c r="V94" s="24"/>
      <c r="W94" s="24"/>
      <c r="X94" s="24"/>
      <c r="Y94" s="24"/>
      <c r="Z94" s="22"/>
      <c r="AA94" s="24"/>
      <c r="AB94" s="24"/>
      <c r="AC94" s="111"/>
      <c r="AD94" s="112"/>
      <c r="AE94" s="113">
        <v>14679004</v>
      </c>
      <c r="AF94" s="114"/>
      <c r="AG94" s="115" t="s">
        <v>115</v>
      </c>
      <c r="AH94" s="116" t="s">
        <v>519</v>
      </c>
      <c r="AI94" s="115" t="s">
        <v>521</v>
      </c>
      <c r="AJ94" s="22"/>
      <c r="AK94" s="22"/>
      <c r="AL94" s="22"/>
    </row>
    <row r="95" spans="1:38" ht="12.75" customHeight="1">
      <c r="A95" s="22">
        <v>93</v>
      </c>
      <c r="B95" s="22" t="s">
        <v>522</v>
      </c>
      <c r="C95" s="22" t="s">
        <v>180</v>
      </c>
      <c r="D95" s="22"/>
      <c r="E95" s="22" t="s">
        <v>493</v>
      </c>
      <c r="F95" s="24">
        <v>1</v>
      </c>
      <c r="G95" s="24" t="s">
        <v>494</v>
      </c>
      <c r="H95" s="22"/>
      <c r="I95" s="22"/>
      <c r="J95" s="22"/>
      <c r="K95" s="22"/>
      <c r="L95" s="22"/>
      <c r="M95" s="22"/>
      <c r="N95" s="22" t="s">
        <v>522</v>
      </c>
      <c r="O95" s="22"/>
      <c r="P95" s="22"/>
      <c r="Q95" s="24"/>
      <c r="R95" s="24"/>
      <c r="S95" s="22"/>
      <c r="T95" s="24"/>
      <c r="U95" s="24"/>
      <c r="V95" s="24"/>
      <c r="W95" s="24"/>
      <c r="X95" s="24"/>
      <c r="Y95" s="24"/>
      <c r="Z95" s="22"/>
      <c r="AA95" s="24"/>
      <c r="AB95" s="24"/>
      <c r="AC95" s="117"/>
      <c r="AD95" s="112"/>
      <c r="AE95" s="118">
        <v>65853000</v>
      </c>
      <c r="AF95" s="114"/>
      <c r="AG95" s="115" t="s">
        <v>115</v>
      </c>
      <c r="AH95" s="116" t="s">
        <v>524</v>
      </c>
      <c r="AI95" s="115" t="s">
        <v>525</v>
      </c>
      <c r="AJ95" s="22"/>
      <c r="AK95" s="22"/>
      <c r="AL95" s="22"/>
    </row>
    <row r="96" spans="1:38" ht="12.75" customHeight="1">
      <c r="A96" s="22">
        <v>94</v>
      </c>
      <c r="B96" s="22" t="s">
        <v>526</v>
      </c>
      <c r="C96" s="22" t="s">
        <v>180</v>
      </c>
      <c r="D96" s="22"/>
      <c r="E96" s="22" t="s">
        <v>493</v>
      </c>
      <c r="F96" s="24">
        <v>1</v>
      </c>
      <c r="G96" s="24" t="s">
        <v>494</v>
      </c>
      <c r="H96" s="22"/>
      <c r="I96" s="22"/>
      <c r="J96" s="22"/>
      <c r="K96" s="22"/>
      <c r="L96" s="22"/>
      <c r="M96" s="22"/>
      <c r="N96" s="22" t="s">
        <v>526</v>
      </c>
      <c r="O96" s="22"/>
      <c r="P96" s="22"/>
      <c r="Q96" s="24"/>
      <c r="R96" s="24"/>
      <c r="S96" s="22"/>
      <c r="T96" s="24"/>
      <c r="U96" s="24"/>
      <c r="V96" s="24"/>
      <c r="W96" s="24"/>
      <c r="X96" s="24"/>
      <c r="Y96" s="24"/>
      <c r="Z96" s="22"/>
      <c r="AA96" s="24"/>
      <c r="AB96" s="24"/>
      <c r="AC96" s="117" t="s">
        <v>527</v>
      </c>
      <c r="AD96" s="112"/>
      <c r="AE96" s="118">
        <v>73438004</v>
      </c>
      <c r="AF96" s="111"/>
      <c r="AG96" s="115" t="s">
        <v>115</v>
      </c>
      <c r="AH96" s="116" t="s">
        <v>528</v>
      </c>
      <c r="AI96" s="115" t="s">
        <v>529</v>
      </c>
      <c r="AJ96" s="22"/>
      <c r="AK96" s="22"/>
      <c r="AL96" s="22"/>
    </row>
    <row r="97" spans="1:38" ht="12.75" customHeight="1">
      <c r="A97" s="22">
        <v>95</v>
      </c>
      <c r="B97" s="22" t="s">
        <v>530</v>
      </c>
      <c r="C97" s="22" t="s">
        <v>180</v>
      </c>
      <c r="D97" s="22"/>
      <c r="E97" s="22" t="s">
        <v>493</v>
      </c>
      <c r="F97" s="24">
        <v>1</v>
      </c>
      <c r="G97" s="24" t="s">
        <v>494</v>
      </c>
      <c r="H97" s="22"/>
      <c r="I97" s="22"/>
      <c r="J97" s="22"/>
      <c r="K97" s="22"/>
      <c r="L97" s="22"/>
      <c r="M97" s="22"/>
      <c r="N97" s="22" t="s">
        <v>530</v>
      </c>
      <c r="O97" s="22"/>
      <c r="P97" s="22"/>
      <c r="Q97" s="24"/>
      <c r="R97" s="24"/>
      <c r="S97" s="22"/>
      <c r="T97" s="24"/>
      <c r="U97" s="24"/>
      <c r="V97" s="24"/>
      <c r="W97" s="24"/>
      <c r="X97" s="24"/>
      <c r="Y97" s="24"/>
      <c r="Z97" s="22"/>
      <c r="AA97" s="24"/>
      <c r="AB97" s="24"/>
      <c r="AC97" s="119"/>
      <c r="AD97" s="119"/>
      <c r="AE97" s="120"/>
      <c r="AF97" s="111"/>
      <c r="AG97" s="115" t="s">
        <v>115</v>
      </c>
      <c r="AH97" s="115" t="s">
        <v>532</v>
      </c>
      <c r="AI97" s="115" t="s">
        <v>533</v>
      </c>
      <c r="AJ97" s="22"/>
      <c r="AK97" s="22"/>
      <c r="AL97" s="22"/>
    </row>
    <row r="98" spans="1:38" ht="12.75" customHeight="1">
      <c r="A98" s="22">
        <v>96</v>
      </c>
      <c r="B98" s="22" t="s">
        <v>534</v>
      </c>
      <c r="C98" s="22" t="s">
        <v>180</v>
      </c>
      <c r="D98" s="22"/>
      <c r="E98" s="22" t="s">
        <v>493</v>
      </c>
      <c r="F98" s="24">
        <v>1</v>
      </c>
      <c r="G98" s="24" t="s">
        <v>494</v>
      </c>
      <c r="H98" s="22"/>
      <c r="I98" s="22"/>
      <c r="J98" s="22"/>
      <c r="K98" s="22"/>
      <c r="L98" s="22"/>
      <c r="M98" s="22"/>
      <c r="N98" s="22" t="s">
        <v>534</v>
      </c>
      <c r="O98" s="22"/>
      <c r="P98" s="22"/>
      <c r="Q98" s="24"/>
      <c r="R98" s="24"/>
      <c r="S98" s="22"/>
      <c r="T98" s="24"/>
      <c r="U98" s="24"/>
      <c r="V98" s="24"/>
      <c r="W98" s="24"/>
      <c r="X98" s="24"/>
      <c r="Y98" s="24"/>
      <c r="Z98" s="22"/>
      <c r="AA98" s="24"/>
      <c r="AB98" s="24"/>
      <c r="AC98" s="112"/>
      <c r="AD98" s="112"/>
      <c r="AE98" s="121">
        <v>53713009</v>
      </c>
      <c r="AF98" s="111"/>
      <c r="AG98" s="115" t="s">
        <v>115</v>
      </c>
      <c r="AH98" s="116" t="s">
        <v>536</v>
      </c>
      <c r="AI98" s="115" t="s">
        <v>537</v>
      </c>
      <c r="AJ98" s="22"/>
      <c r="AK98" s="22"/>
      <c r="AL98" s="22"/>
    </row>
    <row r="99" spans="1:38" ht="12.75" customHeight="1">
      <c r="A99" s="22">
        <v>97</v>
      </c>
      <c r="B99" s="22" t="s">
        <v>538</v>
      </c>
      <c r="C99" s="22" t="s">
        <v>180</v>
      </c>
      <c r="D99" s="22"/>
      <c r="E99" s="22" t="s">
        <v>493</v>
      </c>
      <c r="F99" s="24">
        <v>1</v>
      </c>
      <c r="G99" s="24" t="s">
        <v>494</v>
      </c>
      <c r="H99" s="22"/>
      <c r="I99" s="22"/>
      <c r="J99" s="22"/>
      <c r="K99" s="22"/>
      <c r="L99" s="22"/>
      <c r="M99" s="22"/>
      <c r="N99" s="22" t="s">
        <v>538</v>
      </c>
      <c r="O99" s="22"/>
      <c r="P99" s="22"/>
      <c r="Q99" s="24"/>
      <c r="R99" s="24"/>
      <c r="S99" s="22"/>
      <c r="T99" s="24"/>
      <c r="U99" s="24"/>
      <c r="V99" s="24"/>
      <c r="W99" s="24"/>
      <c r="X99" s="24"/>
      <c r="Y99" s="24"/>
      <c r="Z99" s="22"/>
      <c r="AA99" s="24"/>
      <c r="AB99" s="24"/>
      <c r="AC99" s="112"/>
      <c r="AD99" s="112"/>
      <c r="AE99" s="25">
        <v>106540006</v>
      </c>
      <c r="AF99" s="111"/>
      <c r="AG99" s="115" t="s">
        <v>115</v>
      </c>
      <c r="AH99" s="115" t="s">
        <v>539</v>
      </c>
      <c r="AI99" s="115" t="s">
        <v>540</v>
      </c>
      <c r="AJ99" s="22"/>
      <c r="AK99" s="22"/>
      <c r="AL99" s="22"/>
    </row>
    <row r="100" spans="1:38" ht="12.75" customHeight="1">
      <c r="A100" s="22">
        <v>98</v>
      </c>
      <c r="B100" s="22" t="s">
        <v>405</v>
      </c>
      <c r="C100" s="22" t="s">
        <v>180</v>
      </c>
      <c r="D100" s="22"/>
      <c r="E100" s="22" t="s">
        <v>493</v>
      </c>
      <c r="F100" s="24">
        <v>1</v>
      </c>
      <c r="G100" s="24" t="s">
        <v>494</v>
      </c>
      <c r="H100" s="22"/>
      <c r="I100" s="22"/>
      <c r="J100" s="22"/>
      <c r="K100" s="22"/>
      <c r="L100" s="22"/>
      <c r="M100" s="22"/>
      <c r="N100" s="22" t="s">
        <v>405</v>
      </c>
      <c r="O100" s="22"/>
      <c r="P100" s="22"/>
      <c r="Q100" s="24"/>
      <c r="R100" s="24"/>
      <c r="S100" s="22"/>
      <c r="T100" s="24"/>
      <c r="U100" s="24"/>
      <c r="V100" s="24"/>
      <c r="W100" s="24"/>
      <c r="X100" s="24"/>
      <c r="Y100" s="24"/>
      <c r="Z100" s="22"/>
      <c r="AA100" s="24"/>
      <c r="AB100" s="24"/>
      <c r="AC100" s="112"/>
      <c r="AD100" s="112"/>
      <c r="AE100" s="93" t="s">
        <v>541</v>
      </c>
      <c r="AF100" s="111"/>
      <c r="AG100" s="115" t="s">
        <v>115</v>
      </c>
      <c r="AH100" s="115" t="s">
        <v>406</v>
      </c>
      <c r="AI100" s="115" t="s">
        <v>407</v>
      </c>
      <c r="AJ100" s="22"/>
      <c r="AK100" s="22"/>
      <c r="AL100" s="22"/>
    </row>
    <row r="101" spans="1:38" ht="12.75" customHeight="1">
      <c r="A101" s="22">
        <v>99</v>
      </c>
      <c r="B101" s="22" t="s">
        <v>542</v>
      </c>
      <c r="C101" s="22" t="s">
        <v>180</v>
      </c>
      <c r="D101" s="22"/>
      <c r="E101" s="22" t="s">
        <v>493</v>
      </c>
      <c r="F101" s="24">
        <v>1</v>
      </c>
      <c r="G101" s="24" t="s">
        <v>494</v>
      </c>
      <c r="H101" s="22"/>
      <c r="I101" s="22"/>
      <c r="J101" s="22" t="s">
        <v>409</v>
      </c>
      <c r="K101" s="22" t="s">
        <v>543</v>
      </c>
      <c r="L101" s="22" t="s">
        <v>544</v>
      </c>
      <c r="M101" s="22" t="s">
        <v>111</v>
      </c>
      <c r="N101" s="22"/>
      <c r="O101" s="22"/>
      <c r="P101" s="22"/>
      <c r="Q101" s="24"/>
      <c r="R101" s="24"/>
      <c r="S101" s="22" t="s">
        <v>208</v>
      </c>
      <c r="T101" s="24"/>
      <c r="U101" s="24"/>
      <c r="V101" s="24"/>
      <c r="W101" s="24"/>
      <c r="X101" s="24"/>
      <c r="Y101" s="24"/>
      <c r="Z101" s="22"/>
      <c r="AA101" s="24"/>
      <c r="AB101" s="24"/>
      <c r="AC101" s="119"/>
      <c r="AD101" s="119"/>
      <c r="AE101" s="120"/>
      <c r="AF101" s="111"/>
      <c r="AG101" s="115" t="s">
        <v>545</v>
      </c>
      <c r="AH101" s="115" t="s">
        <v>415</v>
      </c>
      <c r="AI101" s="115" t="s">
        <v>416</v>
      </c>
      <c r="AJ101" s="22"/>
      <c r="AK101" s="22"/>
      <c r="AL101" s="22"/>
    </row>
    <row r="102" spans="1:38" ht="12.75" customHeight="1">
      <c r="A102" s="22">
        <v>100</v>
      </c>
      <c r="B102" s="22" t="s">
        <v>546</v>
      </c>
      <c r="C102" s="22" t="s">
        <v>96</v>
      </c>
      <c r="D102" s="22"/>
      <c r="E102" s="22" t="s">
        <v>547</v>
      </c>
      <c r="F102" s="24">
        <v>1</v>
      </c>
      <c r="G102" s="24" t="s">
        <v>494</v>
      </c>
      <c r="H102" s="22"/>
      <c r="I102" s="22"/>
      <c r="J102" s="124" t="s">
        <v>548</v>
      </c>
      <c r="K102" s="124" t="s">
        <v>549</v>
      </c>
      <c r="L102" s="126" t="s">
        <v>550</v>
      </c>
      <c r="M102" s="124" t="s">
        <v>202</v>
      </c>
      <c r="N102" s="124"/>
      <c r="O102" s="126"/>
      <c r="P102" s="22"/>
      <c r="Q102" s="24"/>
      <c r="R102" s="22"/>
      <c r="S102" s="24" t="s">
        <v>113</v>
      </c>
      <c r="T102" s="24"/>
      <c r="U102" s="24"/>
      <c r="V102" s="24"/>
      <c r="W102" s="24"/>
      <c r="X102" s="24"/>
      <c r="Y102" s="24"/>
      <c r="Z102" s="22"/>
      <c r="AA102" s="24"/>
      <c r="AB102" s="24"/>
      <c r="AC102" s="119"/>
      <c r="AD102" s="119"/>
      <c r="AE102" s="120"/>
      <c r="AF102" s="127"/>
      <c r="AG102" s="115" t="s">
        <v>115</v>
      </c>
      <c r="AH102" s="115" t="s">
        <v>551</v>
      </c>
      <c r="AI102" s="115" t="s">
        <v>552</v>
      </c>
      <c r="AJ102" s="22"/>
      <c r="AK102" s="22"/>
      <c r="AL102" s="22"/>
    </row>
    <row r="103" spans="1:38" ht="12.75" customHeight="1">
      <c r="A103" s="22">
        <v>101</v>
      </c>
      <c r="B103" s="22" t="s">
        <v>113</v>
      </c>
      <c r="C103" s="22" t="s">
        <v>180</v>
      </c>
      <c r="D103" s="22" t="s">
        <v>546</v>
      </c>
      <c r="E103" s="22" t="s">
        <v>547</v>
      </c>
      <c r="F103" s="24">
        <v>1</v>
      </c>
      <c r="G103" s="24" t="s">
        <v>494</v>
      </c>
      <c r="H103" s="22"/>
      <c r="I103" s="22"/>
      <c r="J103" s="124"/>
      <c r="K103" s="126"/>
      <c r="L103" s="124"/>
      <c r="M103" s="124"/>
      <c r="N103" s="124" t="s">
        <v>113</v>
      </c>
      <c r="O103" s="126"/>
      <c r="P103" s="22"/>
      <c r="Q103" s="24"/>
      <c r="R103" s="22"/>
      <c r="S103" s="24"/>
      <c r="T103" s="24"/>
      <c r="U103" s="24"/>
      <c r="V103" s="24"/>
      <c r="W103" s="24"/>
      <c r="X103" s="24"/>
      <c r="Y103" s="24"/>
      <c r="Z103" s="22"/>
      <c r="AA103" s="24"/>
      <c r="AB103" s="24"/>
      <c r="AC103" s="112"/>
      <c r="AD103" s="112"/>
      <c r="AE103" s="118">
        <v>373067005</v>
      </c>
      <c r="AF103" s="111"/>
      <c r="AG103" s="115" t="s">
        <v>115</v>
      </c>
      <c r="AH103" s="115" t="s">
        <v>209</v>
      </c>
      <c r="AI103" s="115" t="s">
        <v>210</v>
      </c>
      <c r="AJ103" s="22"/>
      <c r="AK103" s="22"/>
      <c r="AL103" s="22"/>
    </row>
    <row r="104" spans="1:38" ht="12.75" customHeight="1">
      <c r="A104" s="22">
        <v>102</v>
      </c>
      <c r="B104" s="22" t="s">
        <v>208</v>
      </c>
      <c r="C104" s="22" t="s">
        <v>180</v>
      </c>
      <c r="D104" s="22" t="s">
        <v>546</v>
      </c>
      <c r="E104" s="22" t="s">
        <v>547</v>
      </c>
      <c r="F104" s="24">
        <v>1</v>
      </c>
      <c r="G104" s="24" t="s">
        <v>494</v>
      </c>
      <c r="H104" s="22"/>
      <c r="I104" s="22"/>
      <c r="J104" s="124"/>
      <c r="K104" s="126"/>
      <c r="L104" s="124"/>
      <c r="M104" s="124"/>
      <c r="N104" s="124" t="s">
        <v>208</v>
      </c>
      <c r="O104" s="126"/>
      <c r="P104" s="22"/>
      <c r="Q104" s="24"/>
      <c r="R104" s="22"/>
      <c r="S104" s="24"/>
      <c r="T104" s="24"/>
      <c r="U104" s="24"/>
      <c r="V104" s="24"/>
      <c r="W104" s="24"/>
      <c r="X104" s="24"/>
      <c r="Y104" s="24"/>
      <c r="Z104" s="22"/>
      <c r="AA104" s="24"/>
      <c r="AB104" s="24"/>
      <c r="AC104" s="112"/>
      <c r="AD104" s="112"/>
      <c r="AE104" s="118">
        <v>373066001</v>
      </c>
      <c r="AF104" s="111"/>
      <c r="AG104" s="115" t="s">
        <v>115</v>
      </c>
      <c r="AH104" s="115" t="s">
        <v>206</v>
      </c>
      <c r="AI104" s="115" t="s">
        <v>207</v>
      </c>
      <c r="AJ104" s="22"/>
      <c r="AK104" s="22"/>
      <c r="AL104" s="22"/>
    </row>
    <row r="105" spans="1:38" ht="12.75" customHeight="1">
      <c r="A105" s="22">
        <v>103</v>
      </c>
      <c r="B105" s="124" t="s">
        <v>555</v>
      </c>
      <c r="C105" s="22" t="s">
        <v>96</v>
      </c>
      <c r="D105" s="22" t="s">
        <v>546</v>
      </c>
      <c r="E105" s="22" t="s">
        <v>547</v>
      </c>
      <c r="F105" s="24">
        <v>1</v>
      </c>
      <c r="G105" s="24" t="s">
        <v>494</v>
      </c>
      <c r="H105" s="22"/>
      <c r="I105" s="22"/>
      <c r="J105" s="124" t="s">
        <v>555</v>
      </c>
      <c r="K105" s="126" t="s">
        <v>556</v>
      </c>
      <c r="L105" s="124" t="s">
        <v>557</v>
      </c>
      <c r="M105" s="124" t="s">
        <v>140</v>
      </c>
      <c r="N105" s="126"/>
      <c r="O105" s="126"/>
      <c r="P105" s="22"/>
      <c r="Q105" s="24" t="s">
        <v>558</v>
      </c>
      <c r="R105" s="22"/>
      <c r="S105" s="24" t="s">
        <v>113</v>
      </c>
      <c r="T105" s="24"/>
      <c r="U105" s="24"/>
      <c r="V105" s="24"/>
      <c r="W105" s="24"/>
      <c r="X105" s="24"/>
      <c r="Y105" s="24"/>
      <c r="Z105" s="22"/>
      <c r="AA105" s="24"/>
      <c r="AB105" s="24"/>
      <c r="AC105" s="112"/>
      <c r="AD105" s="112"/>
      <c r="AE105" s="121">
        <v>21840007</v>
      </c>
      <c r="AF105" s="111"/>
      <c r="AG105" s="115" t="s">
        <v>115</v>
      </c>
      <c r="AH105" s="116" t="s">
        <v>559</v>
      </c>
      <c r="AI105" s="115" t="s">
        <v>560</v>
      </c>
      <c r="AJ105" s="22"/>
      <c r="AK105" s="22"/>
      <c r="AL105" s="22"/>
    </row>
    <row r="106" spans="1:38" ht="12.75" customHeight="1">
      <c r="A106" s="22">
        <v>104</v>
      </c>
      <c r="B106" s="22" t="s">
        <v>561</v>
      </c>
      <c r="C106" s="22" t="s">
        <v>65</v>
      </c>
      <c r="D106" s="22"/>
      <c r="E106" s="22" t="s">
        <v>547</v>
      </c>
      <c r="F106" s="24">
        <v>1</v>
      </c>
      <c r="G106" s="24" t="s">
        <v>494</v>
      </c>
      <c r="H106" s="22"/>
      <c r="I106" s="22"/>
      <c r="J106" s="124" t="s">
        <v>115</v>
      </c>
      <c r="K106" s="124" t="s">
        <v>562</v>
      </c>
      <c r="L106" s="124" t="s">
        <v>563</v>
      </c>
      <c r="M106" s="124" t="s">
        <v>65</v>
      </c>
      <c r="N106" s="126"/>
      <c r="O106" s="124" t="s">
        <v>564</v>
      </c>
      <c r="P106" s="22"/>
      <c r="Q106" s="24"/>
      <c r="R106" s="22"/>
      <c r="S106" s="24" t="s">
        <v>115</v>
      </c>
      <c r="T106" s="24"/>
      <c r="U106" s="24"/>
      <c r="V106" s="24"/>
      <c r="W106" s="24"/>
      <c r="X106" s="24"/>
      <c r="Y106" s="24"/>
      <c r="Z106" s="22"/>
      <c r="AA106" s="24"/>
      <c r="AB106" s="24"/>
      <c r="AC106" s="112"/>
      <c r="AD106" s="112"/>
      <c r="AE106" s="25"/>
      <c r="AF106" s="111"/>
      <c r="AG106" s="115" t="s">
        <v>115</v>
      </c>
      <c r="AH106" s="115" t="s">
        <v>115</v>
      </c>
      <c r="AI106" s="115" t="s">
        <v>115</v>
      </c>
      <c r="AJ106" s="22"/>
      <c r="AK106" s="22"/>
      <c r="AL106" s="22"/>
    </row>
    <row r="107" spans="1:38" ht="12.75" customHeight="1">
      <c r="A107" s="22">
        <v>105</v>
      </c>
      <c r="B107" s="22" t="s">
        <v>566</v>
      </c>
      <c r="C107" s="22" t="s">
        <v>65</v>
      </c>
      <c r="D107" s="22"/>
      <c r="E107" s="22" t="s">
        <v>547</v>
      </c>
      <c r="F107" s="24">
        <v>1</v>
      </c>
      <c r="G107" s="24" t="s">
        <v>494</v>
      </c>
      <c r="H107" s="22"/>
      <c r="I107" s="22"/>
      <c r="J107" s="124" t="s">
        <v>115</v>
      </c>
      <c r="K107" s="124" t="s">
        <v>567</v>
      </c>
      <c r="L107" s="124" t="s">
        <v>568</v>
      </c>
      <c r="M107" s="124" t="s">
        <v>65</v>
      </c>
      <c r="N107" s="126"/>
      <c r="O107" s="124" t="s">
        <v>569</v>
      </c>
      <c r="P107" s="22"/>
      <c r="Q107" s="24"/>
      <c r="R107" s="22"/>
      <c r="S107" s="24" t="s">
        <v>115</v>
      </c>
      <c r="T107" s="24"/>
      <c r="U107" s="24"/>
      <c r="V107" s="24"/>
      <c r="W107" s="24"/>
      <c r="X107" s="24"/>
      <c r="Y107" s="24"/>
      <c r="Z107" s="22"/>
      <c r="AA107" s="24"/>
      <c r="AB107" s="24"/>
      <c r="AC107" s="112"/>
      <c r="AD107" s="112"/>
      <c r="AE107" s="25"/>
      <c r="AF107" s="111"/>
      <c r="AG107" s="115" t="s">
        <v>115</v>
      </c>
      <c r="AH107" s="115" t="s">
        <v>115</v>
      </c>
      <c r="AI107" s="115" t="s">
        <v>115</v>
      </c>
      <c r="AJ107" s="22"/>
      <c r="AK107" s="22"/>
      <c r="AL107" s="22"/>
    </row>
    <row r="108" spans="1:38" ht="12.75" customHeight="1">
      <c r="A108" s="22">
        <v>106</v>
      </c>
      <c r="B108" s="124" t="s">
        <v>571</v>
      </c>
      <c r="C108" s="22" t="s">
        <v>96</v>
      </c>
      <c r="D108" s="22"/>
      <c r="E108" s="22" t="s">
        <v>547</v>
      </c>
      <c r="F108" s="24">
        <v>1</v>
      </c>
      <c r="G108" s="24" t="s">
        <v>494</v>
      </c>
      <c r="H108" s="22"/>
      <c r="I108" s="22"/>
      <c r="J108" s="124" t="s">
        <v>571</v>
      </c>
      <c r="K108" s="124" t="s">
        <v>572</v>
      </c>
      <c r="L108" s="124" t="s">
        <v>573</v>
      </c>
      <c r="M108" s="124" t="s">
        <v>202</v>
      </c>
      <c r="N108" s="124"/>
      <c r="O108" s="126"/>
      <c r="P108" s="22"/>
      <c r="Q108" s="24"/>
      <c r="R108" s="22"/>
      <c r="S108" s="24" t="s">
        <v>113</v>
      </c>
      <c r="T108" s="24"/>
      <c r="U108" s="24"/>
      <c r="V108" s="24"/>
      <c r="W108" s="24"/>
      <c r="X108" s="24"/>
      <c r="Y108" s="24"/>
      <c r="Z108" s="22"/>
      <c r="AA108" s="24"/>
      <c r="AB108" s="24"/>
      <c r="AC108" s="112"/>
      <c r="AD108" s="112"/>
      <c r="AE108" s="129">
        <v>268445003</v>
      </c>
      <c r="AF108" s="111"/>
      <c r="AG108" s="115" t="s">
        <v>115</v>
      </c>
      <c r="AH108" s="116" t="s">
        <v>574</v>
      </c>
      <c r="AI108" s="116" t="s">
        <v>575</v>
      </c>
      <c r="AJ108" s="22"/>
      <c r="AK108" s="22"/>
      <c r="AL108" s="22"/>
    </row>
    <row r="109" spans="1:38" ht="12.75" customHeight="1">
      <c r="A109" s="22">
        <v>107</v>
      </c>
      <c r="B109" s="126" t="s">
        <v>113</v>
      </c>
      <c r="C109" s="22" t="s">
        <v>180</v>
      </c>
      <c r="D109" s="124" t="s">
        <v>571</v>
      </c>
      <c r="E109" s="22" t="s">
        <v>547</v>
      </c>
      <c r="F109" s="24">
        <v>1</v>
      </c>
      <c r="G109" s="24" t="s">
        <v>494</v>
      </c>
      <c r="H109" s="22"/>
      <c r="I109" s="22"/>
      <c r="J109" s="126"/>
      <c r="K109" s="126"/>
      <c r="L109" s="130"/>
      <c r="M109" s="130"/>
      <c r="N109" s="124" t="s">
        <v>113</v>
      </c>
      <c r="O109" s="126"/>
      <c r="P109" s="22"/>
      <c r="Q109" s="24"/>
      <c r="R109" s="22"/>
      <c r="S109" s="24"/>
      <c r="T109" s="24"/>
      <c r="U109" s="24"/>
      <c r="V109" s="24"/>
      <c r="W109" s="24"/>
      <c r="X109" s="24"/>
      <c r="Y109" s="24"/>
      <c r="Z109" s="22"/>
      <c r="AA109" s="24"/>
      <c r="AB109" s="24"/>
      <c r="AC109" s="112"/>
      <c r="AD109" s="112"/>
      <c r="AE109" s="118">
        <v>373066001</v>
      </c>
      <c r="AF109" s="111"/>
      <c r="AG109" s="115" t="s">
        <v>115</v>
      </c>
      <c r="AH109" s="115" t="s">
        <v>206</v>
      </c>
      <c r="AI109" s="115" t="s">
        <v>207</v>
      </c>
      <c r="AJ109" s="22"/>
      <c r="AK109" s="22"/>
      <c r="AL109" s="22"/>
    </row>
    <row r="110" spans="1:38" ht="12.75" customHeight="1">
      <c r="A110" s="22">
        <v>108</v>
      </c>
      <c r="B110" s="126" t="s">
        <v>208</v>
      </c>
      <c r="C110" s="22" t="s">
        <v>180</v>
      </c>
      <c r="D110" s="124" t="s">
        <v>571</v>
      </c>
      <c r="E110" s="22" t="s">
        <v>547</v>
      </c>
      <c r="F110" s="24">
        <v>1</v>
      </c>
      <c r="G110" s="24" t="s">
        <v>494</v>
      </c>
      <c r="H110" s="22"/>
      <c r="I110" s="22"/>
      <c r="J110" s="126"/>
      <c r="K110" s="126"/>
      <c r="L110" s="130"/>
      <c r="M110" s="130"/>
      <c r="N110" s="130" t="s">
        <v>208</v>
      </c>
      <c r="O110" s="126"/>
      <c r="P110" s="22"/>
      <c r="Q110" s="24"/>
      <c r="R110" s="22"/>
      <c r="S110" s="24"/>
      <c r="T110" s="24"/>
      <c r="U110" s="24"/>
      <c r="V110" s="24"/>
      <c r="W110" s="24"/>
      <c r="X110" s="24"/>
      <c r="Y110" s="24"/>
      <c r="Z110" s="22"/>
      <c r="AA110" s="24"/>
      <c r="AB110" s="24"/>
      <c r="AC110" s="112"/>
      <c r="AD110" s="112"/>
      <c r="AE110" s="25"/>
      <c r="AF110" s="111"/>
      <c r="AG110" s="115" t="s">
        <v>115</v>
      </c>
      <c r="AH110" s="115" t="s">
        <v>115</v>
      </c>
      <c r="AI110" s="115" t="s">
        <v>115</v>
      </c>
      <c r="AJ110" s="24"/>
      <c r="AK110" s="24"/>
      <c r="AL110" s="24"/>
    </row>
    <row r="111" spans="1:38" ht="12.75" customHeight="1">
      <c r="A111" s="22">
        <v>109</v>
      </c>
      <c r="B111" s="124" t="s">
        <v>576</v>
      </c>
      <c r="C111" s="22" t="s">
        <v>96</v>
      </c>
      <c r="D111" s="24"/>
      <c r="E111" s="22" t="s">
        <v>547</v>
      </c>
      <c r="F111" s="24">
        <v>1</v>
      </c>
      <c r="G111" s="24" t="s">
        <v>494</v>
      </c>
      <c r="H111" s="24"/>
      <c r="I111" s="24"/>
      <c r="J111" s="124" t="s">
        <v>576</v>
      </c>
      <c r="K111" s="124" t="s">
        <v>578</v>
      </c>
      <c r="L111" s="124" t="s">
        <v>579</v>
      </c>
      <c r="M111" s="124" t="s">
        <v>140</v>
      </c>
      <c r="N111" s="126"/>
      <c r="O111" s="126"/>
      <c r="P111" s="24"/>
      <c r="Q111" s="24" t="s">
        <v>580</v>
      </c>
      <c r="R111" s="24"/>
      <c r="S111" s="24" t="s">
        <v>113</v>
      </c>
      <c r="T111" s="24"/>
      <c r="U111" s="24"/>
      <c r="V111" s="24"/>
      <c r="W111" s="24"/>
      <c r="X111" s="24"/>
      <c r="Y111" s="24"/>
      <c r="Z111" s="22"/>
      <c r="AA111" s="24"/>
      <c r="AB111" s="24"/>
      <c r="AC111" s="112"/>
      <c r="AD111" s="112"/>
      <c r="AE111" s="93" t="s">
        <v>581</v>
      </c>
      <c r="AF111" s="111"/>
      <c r="AG111" s="115" t="s">
        <v>115</v>
      </c>
      <c r="AH111" s="115" t="s">
        <v>582</v>
      </c>
      <c r="AI111" s="115" t="s">
        <v>583</v>
      </c>
      <c r="AJ111" s="24"/>
      <c r="AK111" s="24"/>
      <c r="AL111" s="24"/>
    </row>
    <row r="112" spans="1:38" ht="12.75" customHeight="1">
      <c r="A112" s="22">
        <v>110</v>
      </c>
      <c r="B112" s="124" t="s">
        <v>584</v>
      </c>
      <c r="C112" s="22" t="s">
        <v>96</v>
      </c>
      <c r="D112" s="24"/>
      <c r="E112" s="22" t="s">
        <v>547</v>
      </c>
      <c r="F112" s="24">
        <v>1</v>
      </c>
      <c r="G112" s="24" t="s">
        <v>494</v>
      </c>
      <c r="H112" s="24"/>
      <c r="I112" s="24"/>
      <c r="J112" s="124" t="s">
        <v>584</v>
      </c>
      <c r="K112" s="124" t="s">
        <v>585</v>
      </c>
      <c r="L112" s="124" t="s">
        <v>586</v>
      </c>
      <c r="M112" s="124" t="s">
        <v>168</v>
      </c>
      <c r="N112" s="126"/>
      <c r="O112" s="126"/>
      <c r="P112" s="24"/>
      <c r="Q112" s="24" t="s">
        <v>587</v>
      </c>
      <c r="R112" s="24"/>
      <c r="S112" s="24" t="s">
        <v>113</v>
      </c>
      <c r="T112" s="24"/>
      <c r="U112" s="24"/>
      <c r="V112" s="24"/>
      <c r="W112" s="24"/>
      <c r="X112" s="24"/>
      <c r="Y112" s="24"/>
      <c r="Z112" s="22"/>
      <c r="AA112" s="24"/>
      <c r="AB112" s="24"/>
      <c r="AC112" s="112"/>
      <c r="AD112" s="112"/>
      <c r="AE112" s="25"/>
      <c r="AF112" s="111"/>
      <c r="AG112" s="115" t="s">
        <v>115</v>
      </c>
      <c r="AH112" s="115" t="s">
        <v>115</v>
      </c>
      <c r="AI112" s="115" t="s">
        <v>115</v>
      </c>
      <c r="AJ112" s="24"/>
      <c r="AK112" s="24"/>
      <c r="AL112" s="24"/>
    </row>
    <row r="113" spans="1:38" ht="12.75" customHeight="1">
      <c r="A113" s="22">
        <v>111</v>
      </c>
      <c r="B113" s="124" t="s">
        <v>588</v>
      </c>
      <c r="C113" s="22" t="s">
        <v>96</v>
      </c>
      <c r="D113" s="24"/>
      <c r="E113" s="22" t="s">
        <v>547</v>
      </c>
      <c r="F113" s="24">
        <v>1</v>
      </c>
      <c r="G113" s="24" t="s">
        <v>494</v>
      </c>
      <c r="H113" s="24"/>
      <c r="I113" s="24"/>
      <c r="J113" s="124" t="s">
        <v>588</v>
      </c>
      <c r="K113" s="124" t="s">
        <v>590</v>
      </c>
      <c r="L113" s="124" t="s">
        <v>591</v>
      </c>
      <c r="M113" s="124" t="s">
        <v>168</v>
      </c>
      <c r="N113" s="126"/>
      <c r="O113" s="126"/>
      <c r="P113" s="24"/>
      <c r="Q113" s="24" t="s">
        <v>592</v>
      </c>
      <c r="R113" s="24"/>
      <c r="S113" s="24" t="s">
        <v>208</v>
      </c>
      <c r="T113" s="24"/>
      <c r="U113" s="24"/>
      <c r="V113" s="24"/>
      <c r="W113" s="24"/>
      <c r="X113" s="24"/>
      <c r="Y113" s="24"/>
      <c r="Z113" s="22"/>
      <c r="AA113" s="24"/>
      <c r="AB113" s="24"/>
      <c r="AC113" s="112"/>
      <c r="AD113" s="112"/>
      <c r="AE113" s="25"/>
      <c r="AF113" s="111"/>
      <c r="AG113" s="115" t="s">
        <v>115</v>
      </c>
      <c r="AH113" s="115" t="s">
        <v>115</v>
      </c>
      <c r="AI113" s="115" t="s">
        <v>115</v>
      </c>
      <c r="AJ113" s="24"/>
      <c r="AK113" s="24"/>
      <c r="AL113" s="24"/>
    </row>
    <row r="114" spans="1:38" ht="12.75" customHeight="1">
      <c r="A114" s="22">
        <v>112</v>
      </c>
      <c r="B114" s="22" t="s">
        <v>593</v>
      </c>
      <c r="C114" s="22" t="s">
        <v>65</v>
      </c>
      <c r="D114" s="24"/>
      <c r="E114" s="22" t="s">
        <v>547</v>
      </c>
      <c r="F114" s="24">
        <v>1</v>
      </c>
      <c r="G114" s="24" t="s">
        <v>494</v>
      </c>
      <c r="H114" s="24"/>
      <c r="I114" s="24"/>
      <c r="J114" s="124" t="s">
        <v>115</v>
      </c>
      <c r="K114" s="124" t="s">
        <v>594</v>
      </c>
      <c r="L114" s="124" t="s">
        <v>595</v>
      </c>
      <c r="M114" s="124" t="s">
        <v>65</v>
      </c>
      <c r="N114" s="126"/>
      <c r="O114" s="124" t="s">
        <v>596</v>
      </c>
      <c r="P114" s="24"/>
      <c r="Q114" s="24"/>
      <c r="R114" s="24"/>
      <c r="S114" s="24" t="s">
        <v>115</v>
      </c>
      <c r="T114" s="24"/>
      <c r="U114" s="24"/>
      <c r="V114" s="24"/>
      <c r="W114" s="24"/>
      <c r="X114" s="24"/>
      <c r="Y114" s="24"/>
      <c r="Z114" s="22"/>
      <c r="AA114" s="24"/>
      <c r="AB114" s="24"/>
      <c r="AC114" s="119"/>
      <c r="AD114" s="119"/>
      <c r="AE114" s="120"/>
      <c r="AF114" s="127"/>
      <c r="AG114" s="115" t="s">
        <v>115</v>
      </c>
      <c r="AH114" s="115" t="s">
        <v>598</v>
      </c>
      <c r="AI114" s="115" t="s">
        <v>599</v>
      </c>
      <c r="AJ114" s="24"/>
      <c r="AK114" s="24"/>
      <c r="AL114" s="24"/>
    </row>
    <row r="115" spans="1:38" ht="12.75" customHeight="1">
      <c r="A115" s="22">
        <v>113</v>
      </c>
      <c r="B115" s="124" t="s">
        <v>600</v>
      </c>
      <c r="C115" s="22" t="s">
        <v>65</v>
      </c>
      <c r="D115" s="24"/>
      <c r="E115" s="22" t="s">
        <v>547</v>
      </c>
      <c r="F115" s="24">
        <v>1</v>
      </c>
      <c r="G115" s="24" t="s">
        <v>494</v>
      </c>
      <c r="H115" s="24"/>
      <c r="I115" s="24"/>
      <c r="J115" s="124" t="s">
        <v>115</v>
      </c>
      <c r="K115" s="124" t="s">
        <v>601</v>
      </c>
      <c r="L115" s="124" t="s">
        <v>602</v>
      </c>
      <c r="M115" s="124" t="s">
        <v>65</v>
      </c>
      <c r="N115" s="126"/>
      <c r="O115" s="124" t="s">
        <v>603</v>
      </c>
      <c r="P115" s="24"/>
      <c r="Q115" s="24"/>
      <c r="R115" s="24"/>
      <c r="S115" s="24" t="s">
        <v>115</v>
      </c>
      <c r="T115" s="24"/>
      <c r="U115" s="24"/>
      <c r="V115" s="24"/>
      <c r="W115" s="24"/>
      <c r="X115" s="24"/>
      <c r="Y115" s="24"/>
      <c r="Z115" s="22"/>
      <c r="AA115" s="24"/>
      <c r="AB115" s="24"/>
      <c r="AC115" s="112"/>
      <c r="AD115" s="112"/>
      <c r="AE115" s="25"/>
      <c r="AF115" s="111"/>
      <c r="AG115" s="115" t="s">
        <v>115</v>
      </c>
      <c r="AH115" s="115" t="s">
        <v>115</v>
      </c>
      <c r="AI115" s="115" t="s">
        <v>115</v>
      </c>
      <c r="AJ115" s="24"/>
      <c r="AK115" s="24"/>
      <c r="AL115" s="24"/>
    </row>
    <row r="116" spans="1:38" ht="12.75" customHeight="1">
      <c r="A116" s="22">
        <v>114</v>
      </c>
      <c r="B116" s="22" t="s">
        <v>605</v>
      </c>
      <c r="C116" s="22" t="s">
        <v>65</v>
      </c>
      <c r="D116" s="24"/>
      <c r="E116" s="22" t="s">
        <v>547</v>
      </c>
      <c r="F116" s="24">
        <v>1</v>
      </c>
      <c r="G116" s="24" t="s">
        <v>494</v>
      </c>
      <c r="H116" s="24"/>
      <c r="I116" s="24"/>
      <c r="J116" s="124" t="s">
        <v>115</v>
      </c>
      <c r="K116" s="124" t="s">
        <v>606</v>
      </c>
      <c r="L116" s="124" t="s">
        <v>607</v>
      </c>
      <c r="M116" s="124" t="s">
        <v>65</v>
      </c>
      <c r="N116" s="126"/>
      <c r="O116" s="124" t="s">
        <v>608</v>
      </c>
      <c r="P116" s="24"/>
      <c r="Q116" s="24"/>
      <c r="R116" s="24"/>
      <c r="S116" s="24" t="s">
        <v>115</v>
      </c>
      <c r="T116" s="24"/>
      <c r="U116" s="24"/>
      <c r="V116" s="24"/>
      <c r="W116" s="24"/>
      <c r="X116" s="24"/>
      <c r="Y116" s="24"/>
      <c r="Z116" s="22"/>
      <c r="AA116" s="24"/>
      <c r="AB116" s="24"/>
      <c r="AC116" s="112"/>
      <c r="AD116" s="112"/>
      <c r="AE116" s="25"/>
      <c r="AF116" s="111"/>
      <c r="AG116" s="115" t="s">
        <v>115</v>
      </c>
      <c r="AH116" s="115" t="s">
        <v>115</v>
      </c>
      <c r="AI116" s="115" t="s">
        <v>115</v>
      </c>
      <c r="AJ116" s="24"/>
      <c r="AK116" s="24"/>
      <c r="AL116" s="24"/>
    </row>
    <row r="117" spans="1:38" ht="12.75" customHeight="1">
      <c r="A117" s="22">
        <v>115</v>
      </c>
      <c r="B117" s="124" t="s">
        <v>609</v>
      </c>
      <c r="C117" s="24" t="s">
        <v>96</v>
      </c>
      <c r="D117" s="24"/>
      <c r="E117" s="22" t="s">
        <v>547</v>
      </c>
      <c r="F117" s="24">
        <v>1</v>
      </c>
      <c r="G117" s="24" t="s">
        <v>494</v>
      </c>
      <c r="H117" s="24"/>
      <c r="I117" s="24"/>
      <c r="J117" s="124" t="s">
        <v>609</v>
      </c>
      <c r="K117" s="124" t="s">
        <v>611</v>
      </c>
      <c r="L117" s="124" t="s">
        <v>612</v>
      </c>
      <c r="M117" s="124" t="s">
        <v>168</v>
      </c>
      <c r="N117" s="126"/>
      <c r="O117" s="126"/>
      <c r="P117" s="24"/>
      <c r="Q117" s="24" t="s">
        <v>587</v>
      </c>
      <c r="R117" s="24"/>
      <c r="S117" s="24" t="s">
        <v>113</v>
      </c>
      <c r="T117" s="24"/>
      <c r="U117" s="24"/>
      <c r="V117" s="24"/>
      <c r="W117" s="24"/>
      <c r="X117" s="24"/>
      <c r="Y117" s="24"/>
      <c r="Z117" s="22"/>
      <c r="AA117" s="24"/>
      <c r="AB117" s="24"/>
      <c r="AC117" s="112"/>
      <c r="AD117" s="112"/>
      <c r="AE117" s="121">
        <v>249016007</v>
      </c>
      <c r="AF117" s="111"/>
      <c r="AG117" s="115" t="s">
        <v>115</v>
      </c>
      <c r="AH117" s="115" t="s">
        <v>613</v>
      </c>
      <c r="AI117" s="115" t="s">
        <v>614</v>
      </c>
      <c r="AJ117" s="24"/>
      <c r="AK117" s="24"/>
      <c r="AL117" s="24"/>
    </row>
    <row r="118" spans="1:38" ht="12.75" customHeight="1">
      <c r="A118" s="22">
        <v>116</v>
      </c>
      <c r="B118" s="124" t="s">
        <v>615</v>
      </c>
      <c r="C118" s="24" t="s">
        <v>65</v>
      </c>
      <c r="D118" s="24"/>
      <c r="E118" s="22" t="s">
        <v>547</v>
      </c>
      <c r="F118" s="24">
        <v>1</v>
      </c>
      <c r="G118" s="24" t="s">
        <v>494</v>
      </c>
      <c r="H118" s="24"/>
      <c r="I118" s="24"/>
      <c r="J118" s="124" t="s">
        <v>115</v>
      </c>
      <c r="K118" s="124" t="s">
        <v>616</v>
      </c>
      <c r="L118" s="124" t="s">
        <v>617</v>
      </c>
      <c r="M118" s="124" t="s">
        <v>65</v>
      </c>
      <c r="N118" s="126"/>
      <c r="O118" s="124" t="s">
        <v>618</v>
      </c>
      <c r="P118" s="24"/>
      <c r="Q118" s="24"/>
      <c r="R118" s="24"/>
      <c r="S118" s="24" t="s">
        <v>115</v>
      </c>
      <c r="T118" s="24"/>
      <c r="U118" s="24"/>
      <c r="V118" s="24"/>
      <c r="W118" s="24"/>
      <c r="X118" s="24"/>
      <c r="Y118" s="24"/>
      <c r="Z118" s="22"/>
      <c r="AA118" s="24"/>
      <c r="AB118" s="24"/>
      <c r="AC118" s="112"/>
      <c r="AD118" s="112"/>
      <c r="AE118" s="25"/>
      <c r="AF118" s="111"/>
      <c r="AG118" s="115" t="s">
        <v>115</v>
      </c>
      <c r="AH118" s="115" t="s">
        <v>115</v>
      </c>
      <c r="AI118" s="115" t="s">
        <v>115</v>
      </c>
      <c r="AJ118" s="24"/>
      <c r="AK118" s="24"/>
      <c r="AL118" s="24"/>
    </row>
    <row r="119" spans="1:38" ht="12.75" customHeight="1">
      <c r="A119" s="22">
        <v>117</v>
      </c>
      <c r="B119" s="124" t="s">
        <v>620</v>
      </c>
      <c r="C119" s="24" t="s">
        <v>96</v>
      </c>
      <c r="D119" s="24"/>
      <c r="E119" s="22" t="s">
        <v>547</v>
      </c>
      <c r="F119" s="24">
        <v>1</v>
      </c>
      <c r="G119" s="24" t="s">
        <v>494</v>
      </c>
      <c r="H119" s="24"/>
      <c r="I119" s="24"/>
      <c r="J119" s="124" t="s">
        <v>620</v>
      </c>
      <c r="K119" s="124" t="s">
        <v>621</v>
      </c>
      <c r="L119" s="124" t="s">
        <v>622</v>
      </c>
      <c r="M119" s="124" t="s">
        <v>202</v>
      </c>
      <c r="N119" s="126"/>
      <c r="O119" s="126"/>
      <c r="P119" s="24"/>
      <c r="Q119" s="24"/>
      <c r="R119" s="24"/>
      <c r="S119" s="24" t="s">
        <v>113</v>
      </c>
      <c r="T119" s="24"/>
      <c r="U119" s="24"/>
      <c r="V119" s="24"/>
      <c r="W119" s="24"/>
      <c r="X119" s="24"/>
      <c r="Y119" s="24"/>
      <c r="Z119" s="22"/>
      <c r="AA119" s="24"/>
      <c r="AB119" s="24"/>
      <c r="AC119" s="112"/>
      <c r="AD119" s="112"/>
      <c r="AE119" s="131" t="s">
        <v>624</v>
      </c>
      <c r="AF119" s="111"/>
      <c r="AG119" s="115" t="s">
        <v>115</v>
      </c>
      <c r="AH119" s="115" t="s">
        <v>625</v>
      </c>
      <c r="AI119" s="115" t="s">
        <v>626</v>
      </c>
      <c r="AJ119" s="24"/>
      <c r="AK119" s="24"/>
      <c r="AL119" s="24"/>
    </row>
    <row r="120" spans="1:38" ht="12.75" customHeight="1">
      <c r="A120" s="22">
        <v>118</v>
      </c>
      <c r="B120" s="124" t="s">
        <v>627</v>
      </c>
      <c r="C120" s="24" t="s">
        <v>180</v>
      </c>
      <c r="D120" s="124" t="s">
        <v>620</v>
      </c>
      <c r="E120" s="22" t="s">
        <v>547</v>
      </c>
      <c r="F120" s="24">
        <v>1</v>
      </c>
      <c r="G120" s="24" t="s">
        <v>494</v>
      </c>
      <c r="H120" s="24"/>
      <c r="I120" s="24"/>
      <c r="J120" s="124"/>
      <c r="K120" s="124"/>
      <c r="L120" s="124"/>
      <c r="M120" s="124"/>
      <c r="N120" s="124" t="s">
        <v>627</v>
      </c>
      <c r="O120" s="124"/>
      <c r="P120" s="24"/>
      <c r="Q120" s="24"/>
      <c r="R120" s="24"/>
      <c r="S120" s="24"/>
      <c r="T120" s="24"/>
      <c r="U120" s="24"/>
      <c r="V120" s="24"/>
      <c r="W120" s="24"/>
      <c r="X120" s="24"/>
      <c r="Y120" s="24"/>
      <c r="Z120" s="22"/>
      <c r="AA120" s="24"/>
      <c r="AB120" s="24"/>
      <c r="AC120" s="112"/>
      <c r="AD120" s="112"/>
      <c r="AE120" s="121">
        <v>21840007</v>
      </c>
      <c r="AF120" s="111"/>
      <c r="AG120" s="115" t="s">
        <v>115</v>
      </c>
      <c r="AH120" s="115" t="s">
        <v>559</v>
      </c>
      <c r="AI120" s="115" t="s">
        <v>560</v>
      </c>
      <c r="AJ120" s="24"/>
      <c r="AK120" s="24"/>
      <c r="AL120" s="24"/>
    </row>
    <row r="121" spans="1:38" ht="12.75" customHeight="1">
      <c r="A121" s="22">
        <v>119</v>
      </c>
      <c r="B121" s="124" t="s">
        <v>629</v>
      </c>
      <c r="C121" s="24" t="s">
        <v>180</v>
      </c>
      <c r="D121" s="124" t="s">
        <v>620</v>
      </c>
      <c r="E121" s="22" t="s">
        <v>547</v>
      </c>
      <c r="F121" s="24">
        <v>1</v>
      </c>
      <c r="G121" s="24" t="s">
        <v>494</v>
      </c>
      <c r="H121" s="24"/>
      <c r="I121" s="24"/>
      <c r="J121" s="124"/>
      <c r="K121" s="124"/>
      <c r="L121" s="124"/>
      <c r="M121" s="124"/>
      <c r="N121" s="124" t="s">
        <v>629</v>
      </c>
      <c r="O121" s="124"/>
      <c r="P121" s="24"/>
      <c r="Q121" s="24"/>
      <c r="R121" s="24"/>
      <c r="S121" s="24"/>
      <c r="T121" s="24"/>
      <c r="U121" s="24"/>
      <c r="V121" s="24"/>
      <c r="W121" s="24"/>
      <c r="X121" s="24"/>
      <c r="Y121" s="24"/>
      <c r="Z121" s="22"/>
      <c r="AA121" s="24"/>
      <c r="AB121" s="24"/>
      <c r="AC121" s="112"/>
      <c r="AD121" s="112"/>
      <c r="AE121" s="118">
        <v>268445003</v>
      </c>
      <c r="AF121" s="111"/>
      <c r="AG121" s="115" t="s">
        <v>115</v>
      </c>
      <c r="AH121" s="116" t="s">
        <v>630</v>
      </c>
      <c r="AI121" s="115" t="s">
        <v>631</v>
      </c>
      <c r="AJ121" s="24"/>
      <c r="AK121" s="24"/>
      <c r="AL121" s="24"/>
    </row>
    <row r="122" spans="1:38" ht="12.75" customHeight="1">
      <c r="A122" s="22">
        <v>120</v>
      </c>
      <c r="B122" s="124" t="s">
        <v>633</v>
      </c>
      <c r="C122" s="24" t="s">
        <v>180</v>
      </c>
      <c r="D122" s="124" t="s">
        <v>620</v>
      </c>
      <c r="E122" s="22" t="s">
        <v>547</v>
      </c>
      <c r="F122" s="24">
        <v>1</v>
      </c>
      <c r="G122" s="24" t="s">
        <v>494</v>
      </c>
      <c r="H122" s="24"/>
      <c r="I122" s="24"/>
      <c r="J122" s="124"/>
      <c r="K122" s="124"/>
      <c r="L122" s="124"/>
      <c r="M122" s="124"/>
      <c r="N122" s="124" t="s">
        <v>633</v>
      </c>
      <c r="O122" s="124"/>
      <c r="P122" s="24"/>
      <c r="Q122" s="24"/>
      <c r="R122" s="24"/>
      <c r="S122" s="24"/>
      <c r="T122" s="24"/>
      <c r="U122" s="24"/>
      <c r="V122" s="24"/>
      <c r="W122" s="24"/>
      <c r="X122" s="24"/>
      <c r="Y122" s="24"/>
      <c r="Z122" s="22"/>
      <c r="AA122" s="24"/>
      <c r="AB122" s="24"/>
      <c r="AC122" s="112"/>
      <c r="AD122" s="112"/>
      <c r="AE122" s="121">
        <v>249016007</v>
      </c>
      <c r="AF122" s="111"/>
      <c r="AG122" s="115" t="s">
        <v>115</v>
      </c>
      <c r="AH122" s="115" t="s">
        <v>613</v>
      </c>
      <c r="AI122" s="115" t="s">
        <v>614</v>
      </c>
      <c r="AJ122" s="24"/>
      <c r="AK122" s="24"/>
      <c r="AL122" s="24"/>
    </row>
    <row r="123" spans="1:38" ht="12.75" customHeight="1">
      <c r="A123" s="22">
        <v>121</v>
      </c>
      <c r="B123" s="124" t="s">
        <v>634</v>
      </c>
      <c r="C123" s="24" t="s">
        <v>65</v>
      </c>
      <c r="D123" s="24"/>
      <c r="E123" s="22" t="s">
        <v>547</v>
      </c>
      <c r="F123" s="24">
        <v>1</v>
      </c>
      <c r="G123" s="24" t="s">
        <v>494</v>
      </c>
      <c r="H123" s="24"/>
      <c r="I123" s="24"/>
      <c r="J123" s="124" t="s">
        <v>115</v>
      </c>
      <c r="K123" s="124" t="s">
        <v>636</v>
      </c>
      <c r="L123" s="124" t="s">
        <v>637</v>
      </c>
      <c r="M123" s="124" t="s">
        <v>65</v>
      </c>
      <c r="N123" s="124"/>
      <c r="O123" s="124" t="s">
        <v>634</v>
      </c>
      <c r="P123" s="24"/>
      <c r="Q123" s="24"/>
      <c r="R123" s="24"/>
      <c r="S123" s="24" t="s">
        <v>115</v>
      </c>
      <c r="T123" s="24"/>
      <c r="U123" s="24"/>
      <c r="V123" s="24"/>
      <c r="W123" s="24"/>
      <c r="X123" s="24"/>
      <c r="Y123" s="24"/>
      <c r="Z123" s="22"/>
      <c r="AA123" s="24"/>
      <c r="AB123" s="24"/>
      <c r="AC123" s="112"/>
      <c r="AD123" s="112"/>
      <c r="AE123" s="93" t="s">
        <v>638</v>
      </c>
      <c r="AF123" s="111"/>
      <c r="AG123" s="115" t="s">
        <v>115</v>
      </c>
      <c r="AH123" s="115" t="s">
        <v>639</v>
      </c>
      <c r="AI123" s="115" t="s">
        <v>640</v>
      </c>
      <c r="AJ123" s="24"/>
      <c r="AK123" s="24"/>
      <c r="AL123" s="24"/>
    </row>
    <row r="124" spans="1:38" ht="12.75" customHeight="1">
      <c r="A124" s="22">
        <v>122</v>
      </c>
      <c r="B124" s="124" t="s">
        <v>641</v>
      </c>
      <c r="C124" s="24" t="s">
        <v>65</v>
      </c>
      <c r="D124" s="24"/>
      <c r="E124" s="22" t="s">
        <v>547</v>
      </c>
      <c r="F124" s="24">
        <v>1</v>
      </c>
      <c r="G124" s="24" t="s">
        <v>494</v>
      </c>
      <c r="H124" s="24"/>
      <c r="I124" s="24"/>
      <c r="J124" s="124" t="s">
        <v>115</v>
      </c>
      <c r="K124" s="124" t="s">
        <v>642</v>
      </c>
      <c r="L124" s="124" t="s">
        <v>643</v>
      </c>
      <c r="M124" s="124" t="s">
        <v>65</v>
      </c>
      <c r="N124" s="124"/>
      <c r="O124" s="124" t="s">
        <v>641</v>
      </c>
      <c r="P124" s="24"/>
      <c r="Q124" s="24"/>
      <c r="R124" s="24"/>
      <c r="S124" s="24" t="s">
        <v>115</v>
      </c>
      <c r="T124" s="24"/>
      <c r="U124" s="24"/>
      <c r="V124" s="24"/>
      <c r="W124" s="24"/>
      <c r="X124" s="24"/>
      <c r="Y124" s="24"/>
      <c r="Z124" s="22"/>
      <c r="AA124" s="24"/>
      <c r="AB124" s="24"/>
      <c r="AC124" s="112"/>
      <c r="AD124" s="112"/>
      <c r="AE124" s="118">
        <v>366322004</v>
      </c>
      <c r="AF124" s="111"/>
      <c r="AG124" s="115" t="s">
        <v>115</v>
      </c>
      <c r="AH124" s="115" t="s">
        <v>644</v>
      </c>
      <c r="AI124" s="115" t="s">
        <v>645</v>
      </c>
      <c r="AJ124" s="24"/>
      <c r="AK124" s="24"/>
      <c r="AL124" s="24"/>
    </row>
    <row r="125" spans="1:38" ht="12.75" customHeight="1">
      <c r="A125" s="22">
        <v>123</v>
      </c>
      <c r="B125" s="130" t="s">
        <v>646</v>
      </c>
      <c r="C125" s="24" t="s">
        <v>96</v>
      </c>
      <c r="D125" s="24"/>
      <c r="E125" s="24" t="s">
        <v>647</v>
      </c>
      <c r="F125" s="24">
        <v>1</v>
      </c>
      <c r="G125" s="24" t="s">
        <v>494</v>
      </c>
      <c r="H125" s="24"/>
      <c r="I125" s="111"/>
      <c r="J125" s="130" t="s">
        <v>646</v>
      </c>
      <c r="K125" s="124" t="s">
        <v>648</v>
      </c>
      <c r="L125" s="124" t="s">
        <v>649</v>
      </c>
      <c r="M125" s="124" t="s">
        <v>168</v>
      </c>
      <c r="N125" s="126"/>
      <c r="O125" s="126"/>
      <c r="P125" s="124" t="s">
        <v>650</v>
      </c>
      <c r="Q125" s="111"/>
      <c r="R125" s="24"/>
      <c r="S125" s="124" t="s">
        <v>113</v>
      </c>
      <c r="T125" s="111"/>
      <c r="U125" s="111"/>
      <c r="V125" s="111"/>
      <c r="W125" s="24"/>
      <c r="X125" s="24"/>
      <c r="Y125" s="24"/>
      <c r="Z125" s="24"/>
      <c r="AA125" s="24"/>
      <c r="AB125" s="24"/>
      <c r="AC125" s="112"/>
      <c r="AD125" s="112"/>
      <c r="AE125" s="118">
        <v>161732006</v>
      </c>
      <c r="AF125" s="111"/>
      <c r="AG125" s="115" t="s">
        <v>115</v>
      </c>
      <c r="AH125" s="116" t="s">
        <v>651</v>
      </c>
      <c r="AI125" s="115" t="s">
        <v>652</v>
      </c>
      <c r="AJ125" s="24"/>
      <c r="AK125" s="24"/>
      <c r="AL125" s="24"/>
    </row>
    <row r="126" spans="1:38" ht="12.75" customHeight="1">
      <c r="A126" s="22">
        <v>124</v>
      </c>
      <c r="B126" s="130" t="s">
        <v>653</v>
      </c>
      <c r="C126" s="24" t="s">
        <v>65</v>
      </c>
      <c r="D126" s="24"/>
      <c r="E126" s="24" t="s">
        <v>647</v>
      </c>
      <c r="F126" s="24">
        <v>1</v>
      </c>
      <c r="G126" s="24" t="s">
        <v>494</v>
      </c>
      <c r="H126" s="24"/>
      <c r="I126" s="111"/>
      <c r="J126" s="130" t="s">
        <v>115</v>
      </c>
      <c r="K126" s="124" t="s">
        <v>654</v>
      </c>
      <c r="L126" s="124" t="s">
        <v>655</v>
      </c>
      <c r="M126" s="124" t="s">
        <v>65</v>
      </c>
      <c r="N126" s="126"/>
      <c r="O126" s="124" t="s">
        <v>656</v>
      </c>
      <c r="P126" s="126"/>
      <c r="Q126" s="111"/>
      <c r="R126" s="24"/>
      <c r="S126" s="124" t="s">
        <v>115</v>
      </c>
      <c r="T126" s="111"/>
      <c r="U126" s="111"/>
      <c r="V126" s="111"/>
      <c r="W126" s="24"/>
      <c r="X126" s="24"/>
      <c r="Y126" s="24"/>
      <c r="Z126" s="24"/>
      <c r="AA126" s="24"/>
      <c r="AB126" s="24"/>
      <c r="AC126" s="112"/>
      <c r="AD126" s="112"/>
      <c r="AE126" s="25"/>
      <c r="AF126" s="111"/>
      <c r="AG126" s="115" t="s">
        <v>115</v>
      </c>
      <c r="AH126" s="115" t="s">
        <v>115</v>
      </c>
      <c r="AI126" s="115" t="s">
        <v>115</v>
      </c>
      <c r="AJ126" s="24"/>
      <c r="AK126" s="24"/>
      <c r="AL126" s="24"/>
    </row>
    <row r="127" spans="1:38" ht="12.75" customHeight="1">
      <c r="A127" s="22">
        <v>125</v>
      </c>
      <c r="B127" s="130" t="s">
        <v>658</v>
      </c>
      <c r="C127" s="24" t="s">
        <v>96</v>
      </c>
      <c r="D127" s="24"/>
      <c r="E127" s="24" t="s">
        <v>647</v>
      </c>
      <c r="F127" s="24">
        <v>1</v>
      </c>
      <c r="G127" s="24" t="s">
        <v>494</v>
      </c>
      <c r="H127" s="24"/>
      <c r="I127" s="111"/>
      <c r="J127" s="130" t="s">
        <v>658</v>
      </c>
      <c r="K127" s="124" t="s">
        <v>659</v>
      </c>
      <c r="L127" s="124" t="s">
        <v>660</v>
      </c>
      <c r="M127" s="124" t="s">
        <v>168</v>
      </c>
      <c r="N127" s="126"/>
      <c r="O127" s="126"/>
      <c r="P127" s="124" t="s">
        <v>661</v>
      </c>
      <c r="Q127" s="111"/>
      <c r="R127" s="24"/>
      <c r="S127" s="124" t="s">
        <v>113</v>
      </c>
      <c r="T127" s="111"/>
      <c r="U127" s="111"/>
      <c r="V127" s="111"/>
      <c r="W127" s="24"/>
      <c r="X127" s="24"/>
      <c r="Y127" s="24"/>
      <c r="Z127" s="24"/>
      <c r="AA127" s="24"/>
      <c r="AB127" s="24"/>
      <c r="AC127" s="112"/>
      <c r="AD127" s="112"/>
      <c r="AE127" s="118">
        <v>252113007</v>
      </c>
      <c r="AF127" s="111"/>
      <c r="AG127" s="115" t="s">
        <v>115</v>
      </c>
      <c r="AH127" s="115" t="s">
        <v>662</v>
      </c>
      <c r="AI127" s="115" t="s">
        <v>663</v>
      </c>
      <c r="AJ127" s="24"/>
      <c r="AK127" s="24"/>
      <c r="AL127" s="24"/>
    </row>
    <row r="128" spans="1:38" ht="12.75" customHeight="1">
      <c r="A128" s="22">
        <v>126</v>
      </c>
      <c r="B128" s="130" t="s">
        <v>664</v>
      </c>
      <c r="C128" s="24" t="s">
        <v>96</v>
      </c>
      <c r="D128" s="24"/>
      <c r="E128" s="24" t="s">
        <v>647</v>
      </c>
      <c r="F128" s="24">
        <v>1</v>
      </c>
      <c r="G128" s="24" t="s">
        <v>494</v>
      </c>
      <c r="H128" s="24"/>
      <c r="I128" s="111"/>
      <c r="J128" s="130" t="s">
        <v>664</v>
      </c>
      <c r="K128" s="124" t="s">
        <v>665</v>
      </c>
      <c r="L128" s="124" t="s">
        <v>666</v>
      </c>
      <c r="M128" s="124" t="s">
        <v>168</v>
      </c>
      <c r="N128" s="126"/>
      <c r="O128" s="126"/>
      <c r="P128" s="124" t="s">
        <v>668</v>
      </c>
      <c r="Q128" s="111"/>
      <c r="R128" s="24"/>
      <c r="S128" s="124" t="s">
        <v>113</v>
      </c>
      <c r="T128" s="111"/>
      <c r="U128" s="111"/>
      <c r="V128" s="111"/>
      <c r="W128" s="24"/>
      <c r="X128" s="24"/>
      <c r="Y128" s="24"/>
      <c r="Z128" s="24"/>
      <c r="AA128" s="24"/>
      <c r="AB128" s="24"/>
      <c r="AC128" s="112"/>
      <c r="AD128" s="112"/>
      <c r="AE128" s="121">
        <v>248991006</v>
      </c>
      <c r="AF128" s="111"/>
      <c r="AG128" s="115" t="s">
        <v>115</v>
      </c>
      <c r="AH128" s="115" t="s">
        <v>669</v>
      </c>
      <c r="AI128" s="115" t="s">
        <v>670</v>
      </c>
      <c r="AJ128" s="24"/>
      <c r="AK128" s="24"/>
      <c r="AL128" s="24"/>
    </row>
    <row r="129" spans="1:38" ht="12.75" customHeight="1">
      <c r="A129" s="22">
        <v>127</v>
      </c>
      <c r="B129" s="130" t="s">
        <v>671</v>
      </c>
      <c r="C129" s="24" t="s">
        <v>96</v>
      </c>
      <c r="D129" s="24"/>
      <c r="E129" s="24" t="s">
        <v>647</v>
      </c>
      <c r="F129" s="24">
        <v>1</v>
      </c>
      <c r="G129" s="24" t="s">
        <v>494</v>
      </c>
      <c r="H129" s="24"/>
      <c r="I129" s="111"/>
      <c r="J129" s="130" t="s">
        <v>671</v>
      </c>
      <c r="K129" s="124" t="s">
        <v>672</v>
      </c>
      <c r="L129" s="124" t="s">
        <v>673</v>
      </c>
      <c r="M129" s="124" t="s">
        <v>202</v>
      </c>
      <c r="N129" s="126"/>
      <c r="O129" s="126"/>
      <c r="P129" s="124"/>
      <c r="Q129" s="111"/>
      <c r="R129" s="24"/>
      <c r="S129" s="124" t="s">
        <v>208</v>
      </c>
      <c r="T129" s="111"/>
      <c r="U129" s="111"/>
      <c r="V129" s="111"/>
      <c r="W129" s="24"/>
      <c r="X129" s="24"/>
      <c r="Y129" s="24"/>
      <c r="Z129" s="24"/>
      <c r="AA129" s="24"/>
      <c r="AB129" s="24"/>
      <c r="AC129" s="112"/>
      <c r="AD129" s="112"/>
      <c r="AE129" s="25"/>
      <c r="AF129" s="111"/>
      <c r="AG129" s="126"/>
      <c r="AH129" s="126"/>
      <c r="AI129" s="132"/>
      <c r="AJ129" s="24"/>
      <c r="AK129" s="24"/>
      <c r="AL129" s="24"/>
    </row>
    <row r="130" spans="1:38" ht="12.75" customHeight="1">
      <c r="A130" s="22">
        <v>128</v>
      </c>
      <c r="B130" s="130" t="s">
        <v>113</v>
      </c>
      <c r="C130" s="24" t="s">
        <v>180</v>
      </c>
      <c r="D130" s="130" t="s">
        <v>671</v>
      </c>
      <c r="E130" s="24" t="s">
        <v>647</v>
      </c>
      <c r="F130" s="24">
        <v>1</v>
      </c>
      <c r="G130" s="24" t="s">
        <v>494</v>
      </c>
      <c r="H130" s="24"/>
      <c r="I130" s="111"/>
      <c r="J130" s="130"/>
      <c r="K130" s="124"/>
      <c r="L130" s="124"/>
      <c r="M130" s="124"/>
      <c r="N130" s="124" t="s">
        <v>113</v>
      </c>
      <c r="O130" s="126"/>
      <c r="P130" s="124"/>
      <c r="Q130" s="111"/>
      <c r="R130" s="24"/>
      <c r="S130" s="124"/>
      <c r="T130" s="111"/>
      <c r="U130" s="111"/>
      <c r="V130" s="111"/>
      <c r="W130" s="24"/>
      <c r="X130" s="24"/>
      <c r="Y130" s="24"/>
      <c r="Z130" s="24"/>
      <c r="AA130" s="24"/>
      <c r="AB130" s="24"/>
      <c r="AC130" s="112"/>
      <c r="AD130" s="112"/>
      <c r="AE130" s="25"/>
      <c r="AF130" s="111"/>
      <c r="AG130" s="126"/>
      <c r="AH130" s="126"/>
      <c r="AI130" s="132"/>
      <c r="AJ130" s="24"/>
      <c r="AK130" s="24"/>
      <c r="AL130" s="24"/>
    </row>
    <row r="131" spans="1:38" ht="12.75" customHeight="1">
      <c r="A131" s="22">
        <v>129</v>
      </c>
      <c r="B131" s="130" t="s">
        <v>208</v>
      </c>
      <c r="C131" s="24" t="s">
        <v>180</v>
      </c>
      <c r="D131" s="130" t="s">
        <v>671</v>
      </c>
      <c r="E131" s="24" t="s">
        <v>647</v>
      </c>
      <c r="F131" s="24">
        <v>1</v>
      </c>
      <c r="G131" s="24" t="s">
        <v>494</v>
      </c>
      <c r="H131" s="24"/>
      <c r="I131" s="111"/>
      <c r="J131" s="130"/>
      <c r="K131" s="124"/>
      <c r="L131" s="124"/>
      <c r="M131" s="124"/>
      <c r="N131" s="124" t="s">
        <v>208</v>
      </c>
      <c r="O131" s="126"/>
      <c r="P131" s="124"/>
      <c r="Q131" s="111"/>
      <c r="R131" s="24"/>
      <c r="S131" s="124"/>
      <c r="T131" s="111"/>
      <c r="U131" s="111"/>
      <c r="V131" s="111"/>
      <c r="W131" s="24"/>
      <c r="X131" s="24"/>
      <c r="Y131" s="24"/>
      <c r="Z131" s="24"/>
      <c r="AA131" s="24"/>
      <c r="AB131" s="24"/>
      <c r="AC131" s="112"/>
      <c r="AD131" s="112"/>
      <c r="AE131" s="25"/>
      <c r="AF131" s="111"/>
      <c r="AG131" s="126"/>
      <c r="AH131" s="126"/>
      <c r="AI131" s="132"/>
      <c r="AJ131" s="24"/>
      <c r="AK131" s="24"/>
      <c r="AL131" s="24"/>
    </row>
    <row r="132" spans="1:38" ht="12.75" customHeight="1">
      <c r="A132" s="22">
        <v>130</v>
      </c>
      <c r="B132" s="130" t="s">
        <v>500</v>
      </c>
      <c r="C132" s="24" t="s">
        <v>180</v>
      </c>
      <c r="D132" s="130" t="s">
        <v>671</v>
      </c>
      <c r="E132" s="24" t="s">
        <v>647</v>
      </c>
      <c r="F132" s="24">
        <v>1</v>
      </c>
      <c r="G132" s="24" t="s">
        <v>494</v>
      </c>
      <c r="H132" s="24"/>
      <c r="I132" s="111"/>
      <c r="J132" s="130"/>
      <c r="K132" s="124"/>
      <c r="L132" s="124"/>
      <c r="M132" s="124"/>
      <c r="N132" s="124" t="s">
        <v>500</v>
      </c>
      <c r="O132" s="126"/>
      <c r="P132" s="124"/>
      <c r="Q132" s="111"/>
      <c r="R132" s="24"/>
      <c r="S132" s="124"/>
      <c r="T132" s="111"/>
      <c r="U132" s="111"/>
      <c r="V132" s="111"/>
      <c r="W132" s="24"/>
      <c r="X132" s="24"/>
      <c r="Y132" s="24"/>
      <c r="Z132" s="24"/>
      <c r="AA132" s="24"/>
      <c r="AB132" s="24"/>
      <c r="AC132" s="112"/>
      <c r="AD132" s="112"/>
      <c r="AE132" s="25"/>
      <c r="AF132" s="111"/>
      <c r="AG132" s="126"/>
      <c r="AH132" s="126"/>
      <c r="AI132" s="132"/>
      <c r="AJ132" s="24"/>
      <c r="AK132" s="24"/>
      <c r="AL132" s="24"/>
    </row>
    <row r="133" spans="1:38" ht="12.75" customHeight="1">
      <c r="A133" s="22">
        <v>131</v>
      </c>
      <c r="B133" s="130" t="s">
        <v>674</v>
      </c>
      <c r="C133" s="24" t="s">
        <v>96</v>
      </c>
      <c r="D133" s="24"/>
      <c r="E133" s="24" t="s">
        <v>647</v>
      </c>
      <c r="F133" s="24">
        <v>1</v>
      </c>
      <c r="G133" s="24" t="s">
        <v>494</v>
      </c>
      <c r="H133" s="24"/>
      <c r="I133" s="111"/>
      <c r="J133" s="130" t="s">
        <v>674</v>
      </c>
      <c r="K133" s="124" t="s">
        <v>675</v>
      </c>
      <c r="L133" s="124" t="s">
        <v>676</v>
      </c>
      <c r="M133" s="124" t="s">
        <v>168</v>
      </c>
      <c r="N133" s="126"/>
      <c r="O133" s="126"/>
      <c r="P133" s="124" t="s">
        <v>677</v>
      </c>
      <c r="Q133" s="111"/>
      <c r="R133" s="24"/>
      <c r="S133" s="124" t="s">
        <v>113</v>
      </c>
      <c r="T133" s="111"/>
      <c r="U133" s="111"/>
      <c r="V133" s="111"/>
      <c r="W133" s="24"/>
      <c r="X133" s="24"/>
      <c r="Y133" s="24"/>
      <c r="Z133" s="24"/>
      <c r="AA133" s="24"/>
      <c r="AB133" s="24"/>
      <c r="AC133" s="112"/>
      <c r="AD133" s="112"/>
      <c r="AE133" s="118">
        <v>252112002</v>
      </c>
      <c r="AF133" s="111"/>
      <c r="AG133" s="115" t="s">
        <v>115</v>
      </c>
      <c r="AH133" s="115" t="s">
        <v>678</v>
      </c>
      <c r="AI133" s="115" t="s">
        <v>679</v>
      </c>
      <c r="AJ133" s="24"/>
      <c r="AK133" s="24"/>
      <c r="AL133" s="24"/>
    </row>
    <row r="134" spans="1:38" ht="12.75" customHeight="1">
      <c r="A134" s="22">
        <v>132</v>
      </c>
      <c r="B134" s="130" t="s">
        <v>680</v>
      </c>
      <c r="C134" s="24" t="s">
        <v>65</v>
      </c>
      <c r="D134" s="24"/>
      <c r="E134" s="24" t="s">
        <v>647</v>
      </c>
      <c r="F134" s="24">
        <v>1</v>
      </c>
      <c r="G134" s="24" t="s">
        <v>494</v>
      </c>
      <c r="H134" s="24"/>
      <c r="I134" s="111"/>
      <c r="J134" s="130" t="s">
        <v>115</v>
      </c>
      <c r="K134" s="124" t="s">
        <v>681</v>
      </c>
      <c r="L134" s="124" t="s">
        <v>682</v>
      </c>
      <c r="M134" s="124" t="s">
        <v>65</v>
      </c>
      <c r="N134" s="126"/>
      <c r="O134" s="124" t="s">
        <v>683</v>
      </c>
      <c r="P134" s="126"/>
      <c r="Q134" s="111"/>
      <c r="R134" s="24"/>
      <c r="S134" s="124" t="s">
        <v>115</v>
      </c>
      <c r="T134" s="111"/>
      <c r="U134" s="111"/>
      <c r="V134" s="111"/>
      <c r="W134" s="24"/>
      <c r="X134" s="24"/>
      <c r="Y134" s="24"/>
      <c r="Z134" s="24"/>
      <c r="AA134" s="24"/>
      <c r="AB134" s="24"/>
      <c r="AC134" s="112"/>
      <c r="AD134" s="112"/>
      <c r="AE134" s="118">
        <v>364325004</v>
      </c>
      <c r="AF134" s="111"/>
      <c r="AG134" s="115" t="s">
        <v>115</v>
      </c>
      <c r="AH134" s="115" t="s">
        <v>684</v>
      </c>
      <c r="AI134" s="115" t="s">
        <v>685</v>
      </c>
      <c r="AJ134" s="24"/>
      <c r="AK134" s="24"/>
      <c r="AL134" s="24"/>
    </row>
    <row r="135" spans="1:38" ht="12.75" customHeight="1">
      <c r="A135" s="22">
        <v>133</v>
      </c>
      <c r="B135" s="124" t="s">
        <v>686</v>
      </c>
      <c r="C135" s="24" t="s">
        <v>96</v>
      </c>
      <c r="D135" s="24"/>
      <c r="E135" s="24" t="s">
        <v>647</v>
      </c>
      <c r="F135" s="24">
        <v>1</v>
      </c>
      <c r="G135" s="24" t="s">
        <v>494</v>
      </c>
      <c r="H135" s="24"/>
      <c r="I135" s="111"/>
      <c r="J135" s="124" t="s">
        <v>686</v>
      </c>
      <c r="K135" s="124" t="s">
        <v>687</v>
      </c>
      <c r="L135" s="124" t="s">
        <v>688</v>
      </c>
      <c r="M135" s="124" t="s">
        <v>168</v>
      </c>
      <c r="N135" s="124"/>
      <c r="O135" s="124"/>
      <c r="P135" s="124" t="s">
        <v>689</v>
      </c>
      <c r="Q135" s="111"/>
      <c r="R135" s="24"/>
      <c r="S135" s="124" t="s">
        <v>113</v>
      </c>
      <c r="T135" s="111"/>
      <c r="U135" s="111"/>
      <c r="V135" s="111"/>
      <c r="W135" s="24"/>
      <c r="X135" s="24"/>
      <c r="Y135" s="24"/>
      <c r="Z135" s="24"/>
      <c r="AA135" s="24"/>
      <c r="AB135" s="24"/>
      <c r="AC135" s="112"/>
      <c r="AD135" s="112"/>
      <c r="AE135" s="118">
        <v>252115000</v>
      </c>
      <c r="AF135" s="111"/>
      <c r="AG135" s="115" t="s">
        <v>115</v>
      </c>
      <c r="AH135" s="116" t="s">
        <v>690</v>
      </c>
      <c r="AI135" s="115" t="s">
        <v>691</v>
      </c>
      <c r="AJ135" s="24"/>
      <c r="AK135" s="24"/>
      <c r="AL135" s="24"/>
    </row>
    <row r="136" spans="1:38" ht="12.75" customHeight="1">
      <c r="A136" s="22">
        <v>134</v>
      </c>
      <c r="B136" s="124" t="s">
        <v>692</v>
      </c>
      <c r="C136" s="24" t="s">
        <v>96</v>
      </c>
      <c r="D136" s="24"/>
      <c r="E136" s="24" t="s">
        <v>647</v>
      </c>
      <c r="F136" s="24">
        <v>1</v>
      </c>
      <c r="G136" s="24" t="s">
        <v>494</v>
      </c>
      <c r="H136" s="24"/>
      <c r="I136" s="111"/>
      <c r="J136" s="124" t="s">
        <v>692</v>
      </c>
      <c r="K136" s="124" t="s">
        <v>693</v>
      </c>
      <c r="L136" s="124" t="s">
        <v>694</v>
      </c>
      <c r="M136" s="124" t="s">
        <v>238</v>
      </c>
      <c r="N136" s="130"/>
      <c r="O136" s="124"/>
      <c r="P136" s="124" t="s">
        <v>695</v>
      </c>
      <c r="Q136" s="111"/>
      <c r="R136" s="24"/>
      <c r="S136" s="124" t="s">
        <v>113</v>
      </c>
      <c r="T136" s="111"/>
      <c r="U136" s="111"/>
      <c r="V136" s="111"/>
      <c r="W136" s="24"/>
      <c r="X136" s="24"/>
      <c r="Y136" s="24"/>
      <c r="Z136" s="24"/>
      <c r="AA136" s="24"/>
      <c r="AB136" s="24"/>
      <c r="AC136" s="138" t="s">
        <v>696</v>
      </c>
      <c r="AD136" s="112"/>
      <c r="AE136" s="93" t="s">
        <v>697</v>
      </c>
      <c r="AF136" s="111"/>
      <c r="AG136" s="115" t="s">
        <v>115</v>
      </c>
      <c r="AH136" s="115" t="s">
        <v>698</v>
      </c>
      <c r="AI136" s="115" t="s">
        <v>699</v>
      </c>
      <c r="AJ136" s="24"/>
      <c r="AK136" s="24"/>
      <c r="AL136" s="24"/>
    </row>
    <row r="137" spans="1:38" ht="12.75" customHeight="1">
      <c r="A137" s="22">
        <v>135</v>
      </c>
      <c r="B137" s="130" t="s">
        <v>423</v>
      </c>
      <c r="C137" s="24" t="s">
        <v>180</v>
      </c>
      <c r="D137" s="124" t="s">
        <v>692</v>
      </c>
      <c r="E137" s="24" t="s">
        <v>647</v>
      </c>
      <c r="F137" s="24">
        <v>1</v>
      </c>
      <c r="G137" s="24" t="s">
        <v>494</v>
      </c>
      <c r="H137" s="24"/>
      <c r="I137" s="111"/>
      <c r="J137" s="124"/>
      <c r="K137" s="124"/>
      <c r="L137" s="124"/>
      <c r="M137" s="124"/>
      <c r="N137" s="130" t="s">
        <v>423</v>
      </c>
      <c r="O137" s="124"/>
      <c r="P137" s="126"/>
      <c r="Q137" s="111"/>
      <c r="R137" s="24"/>
      <c r="S137" s="124"/>
      <c r="T137" s="111"/>
      <c r="U137" s="111"/>
      <c r="V137" s="111"/>
      <c r="W137" s="24"/>
      <c r="X137" s="24"/>
      <c r="Y137" s="24"/>
      <c r="Z137" s="24"/>
      <c r="AA137" s="24"/>
      <c r="AB137" s="24"/>
      <c r="AC137" s="112"/>
      <c r="AD137" s="112"/>
      <c r="AE137" s="118">
        <v>260413007</v>
      </c>
      <c r="AF137" s="111"/>
      <c r="AG137" s="115" t="s">
        <v>115</v>
      </c>
      <c r="AH137" s="115" t="s">
        <v>424</v>
      </c>
      <c r="AI137" s="115" t="s">
        <v>425</v>
      </c>
      <c r="AJ137" s="24"/>
      <c r="AK137" s="24"/>
      <c r="AL137" s="24"/>
    </row>
    <row r="138" spans="1:38" ht="12.75" customHeight="1">
      <c r="A138" s="22">
        <v>136</v>
      </c>
      <c r="B138" s="124" t="s">
        <v>500</v>
      </c>
      <c r="C138" s="24" t="s">
        <v>180</v>
      </c>
      <c r="D138" s="124" t="s">
        <v>692</v>
      </c>
      <c r="E138" s="24" t="s">
        <v>647</v>
      </c>
      <c r="F138" s="24">
        <v>1</v>
      </c>
      <c r="G138" s="24" t="s">
        <v>494</v>
      </c>
      <c r="H138" s="24"/>
      <c r="I138" s="111"/>
      <c r="J138" s="124"/>
      <c r="K138" s="124"/>
      <c r="L138" s="124"/>
      <c r="M138" s="124"/>
      <c r="N138" s="124" t="s">
        <v>500</v>
      </c>
      <c r="O138" s="124"/>
      <c r="P138" s="126"/>
      <c r="Q138" s="111"/>
      <c r="R138" s="24"/>
      <c r="S138" s="124"/>
      <c r="T138" s="111"/>
      <c r="U138" s="111"/>
      <c r="V138" s="111"/>
      <c r="W138" s="24"/>
      <c r="X138" s="24"/>
      <c r="Y138" s="24"/>
      <c r="Z138" s="24"/>
      <c r="AA138" s="24"/>
      <c r="AB138" s="24"/>
      <c r="AC138" s="112"/>
      <c r="AD138" s="112"/>
      <c r="AE138" s="25">
        <v>261665006</v>
      </c>
      <c r="AF138" s="111"/>
      <c r="AG138" s="115" t="s">
        <v>115</v>
      </c>
      <c r="AH138" s="115" t="s">
        <v>501</v>
      </c>
      <c r="AI138" s="115" t="s">
        <v>503</v>
      </c>
      <c r="AJ138" s="24"/>
      <c r="AK138" s="24"/>
      <c r="AL138" s="24"/>
    </row>
    <row r="139" spans="1:38" ht="12.75" customHeight="1">
      <c r="A139" s="22">
        <v>137</v>
      </c>
      <c r="B139" s="124" t="s">
        <v>700</v>
      </c>
      <c r="C139" s="24" t="s">
        <v>180</v>
      </c>
      <c r="D139" s="124" t="s">
        <v>692</v>
      </c>
      <c r="E139" s="24" t="s">
        <v>647</v>
      </c>
      <c r="F139" s="24">
        <v>1</v>
      </c>
      <c r="G139" s="24" t="s">
        <v>494</v>
      </c>
      <c r="H139" s="24"/>
      <c r="I139" s="111"/>
      <c r="J139" s="124"/>
      <c r="K139" s="124"/>
      <c r="L139" s="124"/>
      <c r="M139" s="124"/>
      <c r="N139" s="124" t="s">
        <v>700</v>
      </c>
      <c r="O139" s="124"/>
      <c r="P139" s="126"/>
      <c r="Q139" s="111"/>
      <c r="R139" s="24"/>
      <c r="S139" s="124"/>
      <c r="T139" s="111"/>
      <c r="U139" s="111"/>
      <c r="V139" s="111"/>
      <c r="W139" s="24"/>
      <c r="X139" s="24"/>
      <c r="Y139" s="24"/>
      <c r="Z139" s="24"/>
      <c r="AA139" s="24"/>
      <c r="AB139" s="24"/>
      <c r="AC139" s="112"/>
      <c r="AD139" s="112"/>
      <c r="AE139" s="118">
        <v>398254007</v>
      </c>
      <c r="AF139" s="111"/>
      <c r="AG139" s="115" t="s">
        <v>115</v>
      </c>
      <c r="AH139" s="115" t="s">
        <v>702</v>
      </c>
      <c r="AI139" s="115" t="s">
        <v>703</v>
      </c>
      <c r="AJ139" s="24"/>
      <c r="AK139" s="24"/>
      <c r="AL139" s="24"/>
    </row>
    <row r="140" spans="1:38" ht="12.75" customHeight="1">
      <c r="A140" s="22">
        <v>138</v>
      </c>
      <c r="B140" s="124" t="s">
        <v>704</v>
      </c>
      <c r="C140" s="24" t="s">
        <v>180</v>
      </c>
      <c r="D140" s="124" t="s">
        <v>692</v>
      </c>
      <c r="E140" s="24" t="s">
        <v>647</v>
      </c>
      <c r="F140" s="24">
        <v>1</v>
      </c>
      <c r="G140" s="24" t="s">
        <v>494</v>
      </c>
      <c r="H140" s="24"/>
      <c r="I140" s="111"/>
      <c r="J140" s="124"/>
      <c r="K140" s="124"/>
      <c r="L140" s="124"/>
      <c r="M140" s="124"/>
      <c r="N140" s="124" t="s">
        <v>704</v>
      </c>
      <c r="O140" s="124"/>
      <c r="P140" s="126"/>
      <c r="Q140" s="111"/>
      <c r="R140" s="24"/>
      <c r="S140" s="124"/>
      <c r="T140" s="111"/>
      <c r="U140" s="111"/>
      <c r="V140" s="111"/>
      <c r="W140" s="24"/>
      <c r="X140" s="24"/>
      <c r="Y140" s="24"/>
      <c r="Z140" s="24"/>
      <c r="AA140" s="24"/>
      <c r="AB140" s="24"/>
      <c r="AC140" s="112"/>
      <c r="AD140" s="112"/>
      <c r="AE140" s="121">
        <v>15938005</v>
      </c>
      <c r="AF140" s="111"/>
      <c r="AG140" s="115" t="s">
        <v>115</v>
      </c>
      <c r="AH140" s="115" t="s">
        <v>706</v>
      </c>
      <c r="AI140" s="115" t="s">
        <v>707</v>
      </c>
      <c r="AJ140" s="24"/>
      <c r="AK140" s="24"/>
      <c r="AL140" s="24"/>
    </row>
    <row r="141" spans="1:38" ht="12.75" customHeight="1">
      <c r="A141" s="22">
        <v>139</v>
      </c>
      <c r="B141" s="124" t="s">
        <v>708</v>
      </c>
      <c r="C141" s="24" t="s">
        <v>180</v>
      </c>
      <c r="D141" s="124" t="s">
        <v>692</v>
      </c>
      <c r="E141" s="24" t="s">
        <v>647</v>
      </c>
      <c r="F141" s="24">
        <v>1</v>
      </c>
      <c r="G141" s="24" t="s">
        <v>494</v>
      </c>
      <c r="H141" s="24"/>
      <c r="I141" s="111"/>
      <c r="J141" s="124"/>
      <c r="K141" s="124"/>
      <c r="L141" s="124"/>
      <c r="M141" s="124"/>
      <c r="N141" s="124" t="s">
        <v>708</v>
      </c>
      <c r="O141" s="124"/>
      <c r="P141" s="126"/>
      <c r="Q141" s="111"/>
      <c r="R141" s="24"/>
      <c r="S141" s="124"/>
      <c r="T141" s="111"/>
      <c r="U141" s="111"/>
      <c r="V141" s="111"/>
      <c r="W141" s="24"/>
      <c r="X141" s="24"/>
      <c r="Y141" s="24"/>
      <c r="Z141" s="24"/>
      <c r="AA141" s="24"/>
      <c r="AB141" s="24"/>
      <c r="AC141" s="112"/>
      <c r="AD141" s="112"/>
      <c r="AE141" s="121">
        <v>91175000</v>
      </c>
      <c r="AF141" s="111"/>
      <c r="AG141" s="115" t="s">
        <v>115</v>
      </c>
      <c r="AH141" s="115" t="s">
        <v>709</v>
      </c>
      <c r="AI141" s="115" t="s">
        <v>710</v>
      </c>
      <c r="AJ141" s="24"/>
      <c r="AK141" s="24"/>
      <c r="AL141" s="24"/>
    </row>
    <row r="142" spans="1:38" ht="12.75" customHeight="1">
      <c r="A142" s="22">
        <v>140</v>
      </c>
      <c r="B142" s="124" t="s">
        <v>711</v>
      </c>
      <c r="C142" s="24" t="s">
        <v>180</v>
      </c>
      <c r="D142" s="124" t="s">
        <v>692</v>
      </c>
      <c r="E142" s="24" t="s">
        <v>647</v>
      </c>
      <c r="F142" s="24">
        <v>1</v>
      </c>
      <c r="G142" s="24" t="s">
        <v>494</v>
      </c>
      <c r="H142" s="24"/>
      <c r="I142" s="111"/>
      <c r="J142" s="124"/>
      <c r="K142" s="124"/>
      <c r="L142" s="124"/>
      <c r="M142" s="124"/>
      <c r="N142" s="124" t="s">
        <v>711</v>
      </c>
      <c r="O142" s="124"/>
      <c r="P142" s="126"/>
      <c r="Q142" s="111"/>
      <c r="R142" s="24"/>
      <c r="S142" s="124"/>
      <c r="T142" s="111"/>
      <c r="U142" s="111"/>
      <c r="V142" s="111"/>
      <c r="W142" s="24"/>
      <c r="X142" s="24"/>
      <c r="Y142" s="24"/>
      <c r="Z142" s="24"/>
      <c r="AA142" s="24"/>
      <c r="AB142" s="24"/>
      <c r="AC142" s="112"/>
      <c r="AD142" s="112"/>
      <c r="AE142" s="121">
        <v>110483000</v>
      </c>
      <c r="AF142" s="111"/>
      <c r="AG142" s="115" t="s">
        <v>115</v>
      </c>
      <c r="AH142" s="116" t="s">
        <v>713</v>
      </c>
      <c r="AI142" s="115" t="s">
        <v>714</v>
      </c>
      <c r="AJ142" s="24"/>
      <c r="AK142" s="24"/>
      <c r="AL142" s="24"/>
    </row>
    <row r="143" spans="1:38" ht="12.75" customHeight="1">
      <c r="A143" s="22">
        <v>141</v>
      </c>
      <c r="B143" s="124" t="s">
        <v>715</v>
      </c>
      <c r="C143" s="24" t="s">
        <v>180</v>
      </c>
      <c r="D143" s="124" t="s">
        <v>692</v>
      </c>
      <c r="E143" s="24" t="s">
        <v>647</v>
      </c>
      <c r="F143" s="24">
        <v>1</v>
      </c>
      <c r="G143" s="24" t="s">
        <v>494</v>
      </c>
      <c r="H143" s="24"/>
      <c r="I143" s="111"/>
      <c r="J143" s="124"/>
      <c r="K143" s="124"/>
      <c r="L143" s="124"/>
      <c r="M143" s="124"/>
      <c r="N143" s="124" t="s">
        <v>715</v>
      </c>
      <c r="O143" s="124"/>
      <c r="P143" s="126"/>
      <c r="Q143" s="111"/>
      <c r="R143" s="24"/>
      <c r="S143" s="124"/>
      <c r="T143" s="111"/>
      <c r="U143" s="111"/>
      <c r="V143" s="111"/>
      <c r="W143" s="24"/>
      <c r="X143" s="24"/>
      <c r="Y143" s="24"/>
      <c r="Z143" s="24"/>
      <c r="AA143" s="24"/>
      <c r="AB143" s="24"/>
      <c r="AC143" s="141" t="s">
        <v>717</v>
      </c>
      <c r="AD143" s="112"/>
      <c r="AE143" s="121">
        <v>110483000</v>
      </c>
      <c r="AF143" s="111"/>
      <c r="AG143" s="115" t="s">
        <v>115</v>
      </c>
      <c r="AH143" s="116" t="s">
        <v>718</v>
      </c>
      <c r="AI143" s="116" t="s">
        <v>719</v>
      </c>
      <c r="AJ143" s="24"/>
      <c r="AK143" s="24"/>
      <c r="AL143" s="24"/>
    </row>
    <row r="144" spans="1:38" ht="12.75" customHeight="1">
      <c r="A144" s="22">
        <v>142</v>
      </c>
      <c r="B144" s="124" t="s">
        <v>720</v>
      </c>
      <c r="C144" s="24" t="s">
        <v>180</v>
      </c>
      <c r="D144" s="124" t="s">
        <v>692</v>
      </c>
      <c r="E144" s="24" t="s">
        <v>647</v>
      </c>
      <c r="F144" s="24">
        <v>1</v>
      </c>
      <c r="G144" s="24" t="s">
        <v>494</v>
      </c>
      <c r="H144" s="24"/>
      <c r="I144" s="111"/>
      <c r="J144" s="124"/>
      <c r="K144" s="124"/>
      <c r="L144" s="124"/>
      <c r="M144" s="124"/>
      <c r="N144" s="124" t="s">
        <v>720</v>
      </c>
      <c r="O144" s="124"/>
      <c r="P144" s="126"/>
      <c r="Q144" s="111"/>
      <c r="R144" s="24"/>
      <c r="S144" s="124"/>
      <c r="T144" s="111"/>
      <c r="U144" s="111"/>
      <c r="V144" s="111"/>
      <c r="W144" s="24"/>
      <c r="X144" s="24"/>
      <c r="Y144" s="24"/>
      <c r="Z144" s="24"/>
      <c r="AA144" s="24"/>
      <c r="AB144" s="24"/>
      <c r="AC144" s="112"/>
      <c r="AD144" s="112"/>
      <c r="AE144" s="118">
        <v>219006</v>
      </c>
      <c r="AF144" s="111"/>
      <c r="AG144" s="115" t="s">
        <v>115</v>
      </c>
      <c r="AH144" s="115" t="s">
        <v>721</v>
      </c>
      <c r="AI144" s="115" t="s">
        <v>722</v>
      </c>
      <c r="AJ144" s="24"/>
      <c r="AK144" s="24"/>
      <c r="AL144" s="24"/>
    </row>
    <row r="145" spans="1:38" ht="12.75" customHeight="1">
      <c r="A145" s="22">
        <v>143</v>
      </c>
      <c r="B145" s="124" t="s">
        <v>723</v>
      </c>
      <c r="C145" s="24" t="s">
        <v>180</v>
      </c>
      <c r="D145" s="124" t="s">
        <v>692</v>
      </c>
      <c r="E145" s="24" t="s">
        <v>647</v>
      </c>
      <c r="F145" s="24">
        <v>1</v>
      </c>
      <c r="G145" s="24" t="s">
        <v>494</v>
      </c>
      <c r="H145" s="24"/>
      <c r="I145" s="111"/>
      <c r="J145" s="124"/>
      <c r="K145" s="124"/>
      <c r="L145" s="124"/>
      <c r="M145" s="124"/>
      <c r="N145" s="124" t="s">
        <v>723</v>
      </c>
      <c r="O145" s="124"/>
      <c r="P145" s="126"/>
      <c r="Q145" s="111"/>
      <c r="R145" s="24"/>
      <c r="S145" s="124"/>
      <c r="T145" s="111"/>
      <c r="U145" s="111"/>
      <c r="V145" s="111"/>
      <c r="W145" s="24"/>
      <c r="X145" s="24"/>
      <c r="Y145" s="24"/>
      <c r="Z145" s="24"/>
      <c r="AA145" s="24"/>
      <c r="AB145" s="24"/>
      <c r="AC145" s="112"/>
      <c r="AD145" s="112"/>
      <c r="AE145" s="118">
        <v>371422002</v>
      </c>
      <c r="AF145" s="111"/>
      <c r="AG145" s="115" t="s">
        <v>115</v>
      </c>
      <c r="AH145" s="144" t="s">
        <v>724</v>
      </c>
      <c r="AI145" s="144" t="s">
        <v>725</v>
      </c>
      <c r="AJ145" s="24"/>
      <c r="AK145" s="24"/>
      <c r="AL145" s="24"/>
    </row>
    <row r="146" spans="1:38" ht="12.75" customHeight="1">
      <c r="A146" s="22">
        <v>144</v>
      </c>
      <c r="B146" s="124" t="s">
        <v>726</v>
      </c>
      <c r="C146" s="24" t="s">
        <v>180</v>
      </c>
      <c r="D146" s="124" t="s">
        <v>692</v>
      </c>
      <c r="E146" s="24" t="s">
        <v>647</v>
      </c>
      <c r="F146" s="24">
        <v>1</v>
      </c>
      <c r="G146" s="24" t="s">
        <v>494</v>
      </c>
      <c r="H146" s="24"/>
      <c r="I146" s="111"/>
      <c r="J146" s="124"/>
      <c r="K146" s="124"/>
      <c r="L146" s="124"/>
      <c r="M146" s="124"/>
      <c r="N146" s="124" t="s">
        <v>726</v>
      </c>
      <c r="O146" s="124"/>
      <c r="P146" s="126"/>
      <c r="Q146" s="111"/>
      <c r="R146" s="24"/>
      <c r="S146" s="124"/>
      <c r="T146" s="111"/>
      <c r="U146" s="111"/>
      <c r="V146" s="111"/>
      <c r="W146" s="24"/>
      <c r="X146" s="24"/>
      <c r="Y146" s="24"/>
      <c r="Z146" s="24"/>
      <c r="AA146" s="24"/>
      <c r="AB146" s="24"/>
      <c r="AC146" s="141" t="s">
        <v>727</v>
      </c>
      <c r="AD146" s="112"/>
      <c r="AE146" s="118">
        <v>47821001</v>
      </c>
      <c r="AF146" s="111"/>
      <c r="AG146" s="115" t="s">
        <v>115</v>
      </c>
      <c r="AH146" s="146" t="s">
        <v>728</v>
      </c>
      <c r="AI146" s="146" t="s">
        <v>729</v>
      </c>
      <c r="AJ146" s="24"/>
      <c r="AK146" s="24"/>
      <c r="AL146" s="24"/>
    </row>
    <row r="147" spans="1:38" ht="12.75" customHeight="1">
      <c r="A147" s="22">
        <v>145</v>
      </c>
      <c r="B147" s="124" t="s">
        <v>731</v>
      </c>
      <c r="C147" s="24" t="s">
        <v>180</v>
      </c>
      <c r="D147" s="124" t="s">
        <v>692</v>
      </c>
      <c r="E147" s="24" t="s">
        <v>647</v>
      </c>
      <c r="F147" s="24">
        <v>1</v>
      </c>
      <c r="G147" s="24" t="s">
        <v>494</v>
      </c>
      <c r="H147" s="24"/>
      <c r="I147" s="111"/>
      <c r="J147" s="124"/>
      <c r="K147" s="124"/>
      <c r="L147" s="124"/>
      <c r="M147" s="124"/>
      <c r="N147" s="124" t="s">
        <v>731</v>
      </c>
      <c r="O147" s="124"/>
      <c r="P147" s="126"/>
      <c r="Q147" s="111"/>
      <c r="R147" s="24"/>
      <c r="S147" s="124"/>
      <c r="T147" s="111"/>
      <c r="U147" s="111"/>
      <c r="V147" s="111"/>
      <c r="W147" s="24"/>
      <c r="X147" s="24"/>
      <c r="Y147" s="24"/>
      <c r="Z147" s="24"/>
      <c r="AA147" s="24"/>
      <c r="AB147" s="24"/>
      <c r="AC147" s="119"/>
      <c r="AD147" s="119"/>
      <c r="AE147" s="120"/>
      <c r="AF147" s="127"/>
      <c r="AG147" s="115" t="s">
        <v>115</v>
      </c>
      <c r="AH147" s="115" t="s">
        <v>732</v>
      </c>
      <c r="AI147" s="115" t="s">
        <v>733</v>
      </c>
      <c r="AJ147" s="24"/>
      <c r="AK147" s="24"/>
      <c r="AL147" s="24"/>
    </row>
    <row r="148" spans="1:38" ht="12.75" customHeight="1">
      <c r="A148" s="22">
        <v>146</v>
      </c>
      <c r="B148" s="124" t="s">
        <v>734</v>
      </c>
      <c r="C148" s="24" t="s">
        <v>180</v>
      </c>
      <c r="D148" s="124" t="s">
        <v>692</v>
      </c>
      <c r="E148" s="24" t="s">
        <v>647</v>
      </c>
      <c r="F148" s="24">
        <v>1</v>
      </c>
      <c r="G148" s="24" t="s">
        <v>494</v>
      </c>
      <c r="H148" s="24"/>
      <c r="I148" s="111"/>
      <c r="J148" s="124"/>
      <c r="K148" s="124"/>
      <c r="L148" s="124"/>
      <c r="M148" s="124"/>
      <c r="N148" s="124" t="s">
        <v>734</v>
      </c>
      <c r="O148" s="124"/>
      <c r="P148" s="126"/>
      <c r="Q148" s="111"/>
      <c r="R148" s="24"/>
      <c r="S148" s="124"/>
      <c r="T148" s="111"/>
      <c r="U148" s="111"/>
      <c r="V148" s="111"/>
      <c r="W148" s="24"/>
      <c r="X148" s="24"/>
      <c r="Y148" s="24"/>
      <c r="Z148" s="24"/>
      <c r="AA148" s="24"/>
      <c r="AB148" s="24"/>
      <c r="AC148" s="112"/>
      <c r="AD148" s="112"/>
      <c r="AE148" s="118">
        <v>276613009</v>
      </c>
      <c r="AF148" s="111"/>
      <c r="AG148" s="115" t="s">
        <v>115</v>
      </c>
      <c r="AH148" s="116" t="s">
        <v>735</v>
      </c>
      <c r="AI148" s="115" t="s">
        <v>736</v>
      </c>
      <c r="AJ148" s="24"/>
      <c r="AK148" s="24"/>
      <c r="AL148" s="24"/>
    </row>
    <row r="149" spans="1:38" ht="12.75" customHeight="1">
      <c r="A149" s="22">
        <v>147</v>
      </c>
      <c r="B149" s="124" t="s">
        <v>737</v>
      </c>
      <c r="C149" s="24" t="s">
        <v>180</v>
      </c>
      <c r="D149" s="124" t="s">
        <v>692</v>
      </c>
      <c r="E149" s="24" t="s">
        <v>647</v>
      </c>
      <c r="F149" s="24">
        <v>1</v>
      </c>
      <c r="G149" s="24" t="s">
        <v>494</v>
      </c>
      <c r="H149" s="24"/>
      <c r="I149" s="111"/>
      <c r="J149" s="124"/>
      <c r="K149" s="124"/>
      <c r="L149" s="124"/>
      <c r="M149" s="124"/>
      <c r="N149" s="124" t="s">
        <v>737</v>
      </c>
      <c r="O149" s="124"/>
      <c r="P149" s="126"/>
      <c r="Q149" s="111"/>
      <c r="R149" s="24"/>
      <c r="S149" s="124"/>
      <c r="T149" s="111"/>
      <c r="U149" s="111"/>
      <c r="V149" s="111"/>
      <c r="W149" s="24"/>
      <c r="X149" s="24"/>
      <c r="Y149" s="24"/>
      <c r="Z149" s="24"/>
      <c r="AA149" s="24"/>
      <c r="AB149" s="24"/>
      <c r="AC149" s="112"/>
      <c r="AD149" s="112"/>
      <c r="AE149" s="118">
        <v>236974004</v>
      </c>
      <c r="AF149" s="111"/>
      <c r="AG149" s="115" t="s">
        <v>115</v>
      </c>
      <c r="AH149" s="115" t="s">
        <v>739</v>
      </c>
      <c r="AI149" s="115" t="s">
        <v>740</v>
      </c>
      <c r="AJ149" s="24"/>
      <c r="AK149" s="24"/>
      <c r="AL149" s="24"/>
    </row>
    <row r="150" spans="1:38" ht="12.75" customHeight="1">
      <c r="A150" s="22">
        <v>148</v>
      </c>
      <c r="B150" s="124" t="s">
        <v>741</v>
      </c>
      <c r="C150" s="24" t="s">
        <v>180</v>
      </c>
      <c r="D150" s="124" t="s">
        <v>692</v>
      </c>
      <c r="E150" s="24" t="s">
        <v>647</v>
      </c>
      <c r="F150" s="24">
        <v>1</v>
      </c>
      <c r="G150" s="24" t="s">
        <v>494</v>
      </c>
      <c r="H150" s="24"/>
      <c r="I150" s="111"/>
      <c r="J150" s="124"/>
      <c r="K150" s="124"/>
      <c r="L150" s="124"/>
      <c r="M150" s="124"/>
      <c r="N150" s="124" t="s">
        <v>741</v>
      </c>
      <c r="O150" s="124"/>
      <c r="P150" s="126"/>
      <c r="Q150" s="111"/>
      <c r="R150" s="24"/>
      <c r="S150" s="124"/>
      <c r="T150" s="111"/>
      <c r="U150" s="111"/>
      <c r="V150" s="111"/>
      <c r="W150" s="24"/>
      <c r="X150" s="24"/>
      <c r="Y150" s="24"/>
      <c r="Z150" s="24"/>
      <c r="AA150" s="24"/>
      <c r="AB150" s="24"/>
      <c r="AC150" s="112"/>
      <c r="AD150" s="112"/>
      <c r="AE150" s="121">
        <v>10217006</v>
      </c>
      <c r="AF150" s="111"/>
      <c r="AG150" s="115" t="s">
        <v>115</v>
      </c>
      <c r="AH150" s="116" t="s">
        <v>742</v>
      </c>
      <c r="AI150" s="115" t="s">
        <v>743</v>
      </c>
      <c r="AJ150" s="24"/>
      <c r="AK150" s="24"/>
      <c r="AL150" s="24"/>
    </row>
    <row r="151" spans="1:38" ht="12.75" customHeight="1">
      <c r="A151" s="22">
        <v>149</v>
      </c>
      <c r="B151" s="124" t="s">
        <v>405</v>
      </c>
      <c r="C151" s="24" t="s">
        <v>180</v>
      </c>
      <c r="D151" s="124" t="s">
        <v>692</v>
      </c>
      <c r="E151" s="24" t="s">
        <v>647</v>
      </c>
      <c r="F151" s="24">
        <v>1</v>
      </c>
      <c r="G151" s="24" t="s">
        <v>494</v>
      </c>
      <c r="H151" s="24"/>
      <c r="I151" s="111"/>
      <c r="J151" s="124"/>
      <c r="K151" s="124"/>
      <c r="L151" s="124"/>
      <c r="M151" s="124"/>
      <c r="N151" s="124" t="s">
        <v>405</v>
      </c>
      <c r="O151" s="124"/>
      <c r="P151" s="126"/>
      <c r="Q151" s="111"/>
      <c r="R151" s="24"/>
      <c r="S151" s="124"/>
      <c r="T151" s="111"/>
      <c r="U151" s="111"/>
      <c r="V151" s="111"/>
      <c r="W151" s="24"/>
      <c r="X151" s="24"/>
      <c r="Y151" s="24"/>
      <c r="Z151" s="24"/>
      <c r="AA151" s="24"/>
      <c r="AB151" s="24"/>
      <c r="AC151" s="112"/>
      <c r="AD151" s="112"/>
      <c r="AE151" s="25" t="s">
        <v>745</v>
      </c>
      <c r="AF151" s="111"/>
      <c r="AG151" s="115" t="s">
        <v>115</v>
      </c>
      <c r="AH151" s="115" t="s">
        <v>406</v>
      </c>
      <c r="AI151" s="115" t="s">
        <v>407</v>
      </c>
      <c r="AJ151" s="24"/>
      <c r="AK151" s="24"/>
      <c r="AL151" s="24"/>
    </row>
    <row r="152" spans="1:38" ht="12.75" customHeight="1">
      <c r="A152" s="22">
        <v>150</v>
      </c>
      <c r="B152" s="124" t="s">
        <v>746</v>
      </c>
      <c r="C152" s="24" t="s">
        <v>96</v>
      </c>
      <c r="D152" s="24"/>
      <c r="E152" s="24" t="s">
        <v>647</v>
      </c>
      <c r="F152" s="24">
        <v>1</v>
      </c>
      <c r="G152" s="24" t="s">
        <v>494</v>
      </c>
      <c r="H152" s="24"/>
      <c r="I152" s="111"/>
      <c r="J152" s="124" t="s">
        <v>409</v>
      </c>
      <c r="K152" s="124" t="s">
        <v>747</v>
      </c>
      <c r="L152" s="124" t="s">
        <v>748</v>
      </c>
      <c r="M152" s="124" t="s">
        <v>111</v>
      </c>
      <c r="N152" s="130"/>
      <c r="O152" s="124"/>
      <c r="P152" s="126"/>
      <c r="Q152" s="111"/>
      <c r="R152" s="24"/>
      <c r="S152" s="124" t="s">
        <v>208</v>
      </c>
      <c r="T152" s="111"/>
      <c r="U152" s="111"/>
      <c r="V152" s="111"/>
      <c r="W152" s="24"/>
      <c r="X152" s="24"/>
      <c r="Y152" s="24"/>
      <c r="Z152" s="24"/>
      <c r="AA152" s="24"/>
      <c r="AB152" s="24"/>
      <c r="AC152" s="112"/>
      <c r="AD152" s="112"/>
      <c r="AE152" s="25"/>
      <c r="AF152" s="141" t="s">
        <v>413</v>
      </c>
      <c r="AG152" s="115" t="s">
        <v>749</v>
      </c>
      <c r="AH152" s="115" t="s">
        <v>415</v>
      </c>
      <c r="AI152" s="115" t="s">
        <v>416</v>
      </c>
      <c r="AJ152" s="24"/>
      <c r="AK152" s="24"/>
      <c r="AL152" s="24"/>
    </row>
    <row r="153" spans="1:38" ht="12.75" customHeight="1">
      <c r="A153" s="22">
        <v>151</v>
      </c>
      <c r="B153" s="124" t="s">
        <v>750</v>
      </c>
      <c r="C153" s="24" t="s">
        <v>96</v>
      </c>
      <c r="D153" s="24"/>
      <c r="E153" s="24" t="s">
        <v>647</v>
      </c>
      <c r="F153" s="24">
        <v>1</v>
      </c>
      <c r="G153" s="24" t="s">
        <v>494</v>
      </c>
      <c r="H153" s="24"/>
      <c r="I153" s="111"/>
      <c r="J153" s="124" t="s">
        <v>750</v>
      </c>
      <c r="K153" s="124" t="s">
        <v>751</v>
      </c>
      <c r="L153" s="124" t="s">
        <v>752</v>
      </c>
      <c r="M153" s="124" t="s">
        <v>238</v>
      </c>
      <c r="N153" s="124"/>
      <c r="O153" s="126"/>
      <c r="P153" s="126"/>
      <c r="Q153" s="111"/>
      <c r="R153" s="24"/>
      <c r="S153" s="124" t="s">
        <v>208</v>
      </c>
      <c r="T153" s="111"/>
      <c r="U153" s="111"/>
      <c r="V153" s="111"/>
      <c r="W153" s="24"/>
      <c r="X153" s="24"/>
      <c r="Y153" s="24"/>
      <c r="Z153" s="24"/>
      <c r="AA153" s="24"/>
      <c r="AB153" s="24"/>
      <c r="AC153" s="119"/>
      <c r="AD153" s="119"/>
      <c r="AE153" s="120"/>
      <c r="AF153" s="127"/>
      <c r="AG153" s="115" t="s">
        <v>115</v>
      </c>
      <c r="AH153" s="115" t="s">
        <v>753</v>
      </c>
      <c r="AI153" s="115" t="s">
        <v>754</v>
      </c>
      <c r="AJ153" s="24"/>
      <c r="AK153" s="24"/>
      <c r="AL153" s="24"/>
    </row>
    <row r="154" spans="1:38" ht="12.75" customHeight="1">
      <c r="A154" s="22">
        <v>152</v>
      </c>
      <c r="B154" s="124" t="s">
        <v>755</v>
      </c>
      <c r="C154" s="24" t="s">
        <v>180</v>
      </c>
      <c r="D154" s="124" t="s">
        <v>750</v>
      </c>
      <c r="E154" s="24" t="s">
        <v>647</v>
      </c>
      <c r="F154" s="24">
        <v>1</v>
      </c>
      <c r="G154" s="24" t="s">
        <v>494</v>
      </c>
      <c r="H154" s="24"/>
      <c r="I154" s="111"/>
      <c r="J154" s="124"/>
      <c r="K154" s="124"/>
      <c r="L154" s="124"/>
      <c r="M154" s="124"/>
      <c r="N154" s="124" t="s">
        <v>755</v>
      </c>
      <c r="O154" s="126"/>
      <c r="P154" s="126"/>
      <c r="Q154" s="111"/>
      <c r="R154" s="24"/>
      <c r="S154" s="124"/>
      <c r="T154" s="111"/>
      <c r="U154" s="111"/>
      <c r="V154" s="111"/>
      <c r="W154" s="24"/>
      <c r="X154" s="24"/>
      <c r="Y154" s="24"/>
      <c r="Z154" s="24"/>
      <c r="AA154" s="24"/>
      <c r="AB154" s="24"/>
      <c r="AC154" s="112"/>
      <c r="AD154" s="112"/>
      <c r="AE154" s="25"/>
      <c r="AF154" s="111"/>
      <c r="AG154" s="115" t="s">
        <v>115</v>
      </c>
      <c r="AH154" s="115" t="s">
        <v>757</v>
      </c>
      <c r="AI154" s="115" t="s">
        <v>758</v>
      </c>
      <c r="AJ154" s="24"/>
      <c r="AK154" s="24"/>
      <c r="AL154" s="24"/>
    </row>
    <row r="155" spans="1:38" ht="12.75" customHeight="1">
      <c r="A155" s="22">
        <v>153</v>
      </c>
      <c r="B155" s="124" t="s">
        <v>759</v>
      </c>
      <c r="C155" s="24" t="s">
        <v>180</v>
      </c>
      <c r="D155" s="124" t="s">
        <v>750</v>
      </c>
      <c r="E155" s="24" t="s">
        <v>647</v>
      </c>
      <c r="F155" s="24">
        <v>1</v>
      </c>
      <c r="G155" s="24" t="s">
        <v>494</v>
      </c>
      <c r="H155" s="24"/>
      <c r="I155" s="111"/>
      <c r="J155" s="124"/>
      <c r="K155" s="124"/>
      <c r="L155" s="124"/>
      <c r="M155" s="124"/>
      <c r="N155" s="124" t="s">
        <v>759</v>
      </c>
      <c r="O155" s="126"/>
      <c r="P155" s="126"/>
      <c r="Q155" s="111"/>
      <c r="R155" s="24"/>
      <c r="S155" s="124"/>
      <c r="T155" s="111"/>
      <c r="U155" s="111"/>
      <c r="V155" s="111"/>
      <c r="W155" s="24"/>
      <c r="X155" s="24"/>
      <c r="Y155" s="24"/>
      <c r="Z155" s="24"/>
      <c r="AA155" s="24"/>
      <c r="AB155" s="24"/>
      <c r="AC155" s="155" t="s">
        <v>760</v>
      </c>
      <c r="AD155" s="112"/>
      <c r="AE155" s="121">
        <v>428493006</v>
      </c>
      <c r="AF155" s="111"/>
      <c r="AG155" s="115" t="s">
        <v>115</v>
      </c>
      <c r="AH155" s="116" t="s">
        <v>761</v>
      </c>
      <c r="AI155" s="115" t="s">
        <v>762</v>
      </c>
      <c r="AJ155" s="24"/>
      <c r="AK155" s="24"/>
      <c r="AL155" s="24"/>
    </row>
    <row r="156" spans="1:38" ht="12.75" customHeight="1">
      <c r="A156" s="22">
        <v>154</v>
      </c>
      <c r="B156" s="124" t="s">
        <v>763</v>
      </c>
      <c r="C156" s="24" t="s">
        <v>180</v>
      </c>
      <c r="D156" s="124" t="s">
        <v>750</v>
      </c>
      <c r="E156" s="24" t="s">
        <v>647</v>
      </c>
      <c r="F156" s="24">
        <v>1</v>
      </c>
      <c r="G156" s="24" t="s">
        <v>494</v>
      </c>
      <c r="H156" s="24"/>
      <c r="I156" s="111"/>
      <c r="J156" s="124"/>
      <c r="K156" s="124"/>
      <c r="L156" s="124"/>
      <c r="M156" s="124"/>
      <c r="N156" s="124" t="s">
        <v>763</v>
      </c>
      <c r="O156" s="126"/>
      <c r="P156" s="126"/>
      <c r="Q156" s="111"/>
      <c r="R156" s="24"/>
      <c r="S156" s="124"/>
      <c r="T156" s="111"/>
      <c r="U156" s="111"/>
      <c r="V156" s="111"/>
      <c r="W156" s="24"/>
      <c r="X156" s="24"/>
      <c r="Y156" s="24"/>
      <c r="Z156" s="24"/>
      <c r="AA156" s="24"/>
      <c r="AB156" s="24"/>
      <c r="AC156" s="158" t="s">
        <v>765</v>
      </c>
      <c r="AD156" s="112"/>
      <c r="AE156" s="121">
        <v>228388006</v>
      </c>
      <c r="AF156" s="111"/>
      <c r="AG156" s="115" t="s">
        <v>115</v>
      </c>
      <c r="AH156" s="116" t="s">
        <v>766</v>
      </c>
      <c r="AI156" s="115" t="s">
        <v>767</v>
      </c>
      <c r="AJ156" s="24"/>
      <c r="AK156" s="24"/>
      <c r="AL156" s="24"/>
    </row>
    <row r="157" spans="1:38" ht="12.75" customHeight="1">
      <c r="A157" s="22">
        <v>155</v>
      </c>
      <c r="B157" s="124" t="s">
        <v>405</v>
      </c>
      <c r="C157" s="24" t="s">
        <v>180</v>
      </c>
      <c r="D157" s="124" t="s">
        <v>750</v>
      </c>
      <c r="E157" s="24" t="s">
        <v>647</v>
      </c>
      <c r="F157" s="24">
        <v>1</v>
      </c>
      <c r="G157" s="24" t="s">
        <v>494</v>
      </c>
      <c r="H157" s="24"/>
      <c r="I157" s="111"/>
      <c r="J157" s="124"/>
      <c r="K157" s="124"/>
      <c r="L157" s="124"/>
      <c r="M157" s="124"/>
      <c r="N157" s="124" t="s">
        <v>405</v>
      </c>
      <c r="O157" s="126"/>
      <c r="P157" s="126"/>
      <c r="Q157" s="111"/>
      <c r="R157" s="24"/>
      <c r="S157" s="124"/>
      <c r="T157" s="111"/>
      <c r="U157" s="111"/>
      <c r="V157" s="111"/>
      <c r="W157" s="24"/>
      <c r="X157" s="24"/>
      <c r="Y157" s="24"/>
      <c r="Z157" s="24"/>
      <c r="AA157" s="24"/>
      <c r="AB157" s="24"/>
      <c r="AC157" s="112"/>
      <c r="AD157" s="112"/>
      <c r="AE157" s="131">
        <v>74964007</v>
      </c>
      <c r="AF157" s="111"/>
      <c r="AG157" s="115" t="s">
        <v>115</v>
      </c>
      <c r="AH157" s="115" t="s">
        <v>406</v>
      </c>
      <c r="AI157" s="115" t="s">
        <v>407</v>
      </c>
      <c r="AJ157" s="24"/>
      <c r="AK157" s="24"/>
      <c r="AL157" s="24"/>
    </row>
    <row r="158" spans="1:38" ht="12.75" customHeight="1">
      <c r="A158" s="22">
        <v>156</v>
      </c>
      <c r="B158" s="124" t="s">
        <v>768</v>
      </c>
      <c r="C158" s="24" t="s">
        <v>96</v>
      </c>
      <c r="D158" s="24"/>
      <c r="E158" s="24" t="s">
        <v>647</v>
      </c>
      <c r="F158" s="24">
        <v>1</v>
      </c>
      <c r="G158" s="24" t="s">
        <v>494</v>
      </c>
      <c r="H158" s="24"/>
      <c r="I158" s="111"/>
      <c r="J158" s="124" t="s">
        <v>409</v>
      </c>
      <c r="K158" s="124" t="s">
        <v>769</v>
      </c>
      <c r="L158" s="124" t="s">
        <v>770</v>
      </c>
      <c r="M158" s="124" t="s">
        <v>111</v>
      </c>
      <c r="N158" s="124"/>
      <c r="O158" s="126"/>
      <c r="P158" s="126"/>
      <c r="Q158" s="111"/>
      <c r="R158" s="24"/>
      <c r="S158" s="124" t="s">
        <v>208</v>
      </c>
      <c r="T158" s="111"/>
      <c r="U158" s="111"/>
      <c r="V158" s="111"/>
      <c r="W158" s="24"/>
      <c r="X158" s="24"/>
      <c r="Y158" s="24"/>
      <c r="Z158" s="24"/>
      <c r="AA158" s="24"/>
      <c r="AB158" s="24"/>
      <c r="AC158" s="112"/>
      <c r="AD158" s="112"/>
      <c r="AE158" s="25"/>
      <c r="AF158" s="111"/>
      <c r="AG158" s="115" t="s">
        <v>115</v>
      </c>
      <c r="AH158" s="115" t="s">
        <v>115</v>
      </c>
      <c r="AI158" s="115" t="s">
        <v>115</v>
      </c>
      <c r="AJ158" s="24"/>
      <c r="AK158" s="24"/>
      <c r="AL158" s="24"/>
    </row>
    <row r="159" spans="1:38" ht="12.75" customHeight="1">
      <c r="A159" s="22">
        <v>157</v>
      </c>
      <c r="B159" s="160" t="s">
        <v>771</v>
      </c>
      <c r="C159" s="24" t="s">
        <v>96</v>
      </c>
      <c r="D159" s="24"/>
      <c r="E159" s="24" t="s">
        <v>772</v>
      </c>
      <c r="F159" s="24">
        <v>1</v>
      </c>
      <c r="G159" s="24" t="s">
        <v>494</v>
      </c>
      <c r="H159" s="24"/>
      <c r="I159" s="111"/>
      <c r="J159" s="160" t="s">
        <v>771</v>
      </c>
      <c r="K159" s="124" t="s">
        <v>773</v>
      </c>
      <c r="L159" s="124" t="s">
        <v>774</v>
      </c>
      <c r="M159" s="124" t="s">
        <v>238</v>
      </c>
      <c r="N159" s="161"/>
      <c r="O159" s="126"/>
      <c r="P159" s="124" t="s">
        <v>695</v>
      </c>
      <c r="Q159" s="111"/>
      <c r="R159" s="24"/>
      <c r="S159" s="124" t="s">
        <v>208</v>
      </c>
      <c r="T159" s="111"/>
      <c r="U159" s="111"/>
      <c r="V159" s="111"/>
      <c r="W159" s="24"/>
      <c r="X159" s="24"/>
      <c r="Y159" s="24"/>
      <c r="Z159" s="24"/>
      <c r="AA159" s="24"/>
      <c r="AB159" s="24"/>
      <c r="AC159" s="112"/>
      <c r="AD159" s="112"/>
      <c r="AE159" s="118">
        <v>90260006</v>
      </c>
      <c r="AF159" s="111"/>
      <c r="AG159" s="115" t="s">
        <v>115</v>
      </c>
      <c r="AH159" s="115" t="s">
        <v>775</v>
      </c>
      <c r="AI159" s="115" t="s">
        <v>776</v>
      </c>
      <c r="AJ159" s="24"/>
      <c r="AK159" s="24"/>
      <c r="AL159" s="24"/>
    </row>
    <row r="160" spans="1:38" ht="12.75" customHeight="1">
      <c r="A160" s="22">
        <v>158</v>
      </c>
      <c r="B160" s="161" t="s">
        <v>423</v>
      </c>
      <c r="C160" s="24" t="s">
        <v>180</v>
      </c>
      <c r="D160" s="160" t="s">
        <v>771</v>
      </c>
      <c r="E160" s="24" t="s">
        <v>772</v>
      </c>
      <c r="F160" s="24">
        <v>1</v>
      </c>
      <c r="G160" s="24" t="s">
        <v>494</v>
      </c>
      <c r="H160" s="24"/>
      <c r="I160" s="111"/>
      <c r="J160" s="160"/>
      <c r="K160" s="124"/>
      <c r="L160" s="124"/>
      <c r="M160" s="124"/>
      <c r="N160" s="161" t="s">
        <v>423</v>
      </c>
      <c r="O160" s="126"/>
      <c r="P160" s="124"/>
      <c r="Q160" s="111"/>
      <c r="R160" s="24"/>
      <c r="S160" s="124"/>
      <c r="T160" s="111"/>
      <c r="U160" s="111"/>
      <c r="V160" s="111"/>
      <c r="W160" s="24"/>
      <c r="X160" s="24"/>
      <c r="Y160" s="24"/>
      <c r="Z160" s="24"/>
      <c r="AA160" s="24"/>
      <c r="AB160" s="24"/>
      <c r="AC160" s="112"/>
      <c r="AD160" s="112"/>
      <c r="AE160" s="118">
        <v>260413007</v>
      </c>
      <c r="AF160" s="111"/>
      <c r="AG160" s="115" t="s">
        <v>115</v>
      </c>
      <c r="AH160" s="115" t="s">
        <v>424</v>
      </c>
      <c r="AI160" s="115" t="s">
        <v>425</v>
      </c>
      <c r="AJ160" s="24"/>
      <c r="AK160" s="24"/>
      <c r="AL160" s="24"/>
    </row>
    <row r="161" spans="1:38" ht="12.75" customHeight="1">
      <c r="A161" s="22">
        <v>159</v>
      </c>
      <c r="B161" s="161" t="s">
        <v>500</v>
      </c>
      <c r="C161" s="24" t="s">
        <v>180</v>
      </c>
      <c r="D161" s="160" t="s">
        <v>771</v>
      </c>
      <c r="E161" s="24" t="s">
        <v>772</v>
      </c>
      <c r="F161" s="24">
        <v>1</v>
      </c>
      <c r="G161" s="24" t="s">
        <v>494</v>
      </c>
      <c r="H161" s="24"/>
      <c r="I161" s="111"/>
      <c r="J161" s="160"/>
      <c r="K161" s="124"/>
      <c r="L161" s="124"/>
      <c r="M161" s="124"/>
      <c r="N161" s="161" t="s">
        <v>500</v>
      </c>
      <c r="O161" s="126"/>
      <c r="P161" s="124"/>
      <c r="Q161" s="111"/>
      <c r="R161" s="24"/>
      <c r="S161" s="124"/>
      <c r="T161" s="111"/>
      <c r="U161" s="111"/>
      <c r="V161" s="111"/>
      <c r="W161" s="24"/>
      <c r="X161" s="24"/>
      <c r="Y161" s="24"/>
      <c r="Z161" s="24"/>
      <c r="AA161" s="24"/>
      <c r="AB161" s="24"/>
      <c r="AC161" s="112"/>
      <c r="AD161" s="112"/>
      <c r="AE161" s="25">
        <v>261665006</v>
      </c>
      <c r="AF161" s="111"/>
      <c r="AG161" s="115" t="s">
        <v>115</v>
      </c>
      <c r="AH161" s="115" t="s">
        <v>501</v>
      </c>
      <c r="AI161" s="115" t="s">
        <v>503</v>
      </c>
      <c r="AJ161" s="24"/>
      <c r="AK161" s="24"/>
      <c r="AL161" s="24"/>
    </row>
    <row r="162" spans="1:38" ht="12.75" customHeight="1">
      <c r="A162" s="22">
        <v>160</v>
      </c>
      <c r="B162" s="161" t="s">
        <v>777</v>
      </c>
      <c r="C162" s="24" t="s">
        <v>180</v>
      </c>
      <c r="D162" s="160" t="s">
        <v>771</v>
      </c>
      <c r="E162" s="24" t="s">
        <v>772</v>
      </c>
      <c r="F162" s="24">
        <v>1</v>
      </c>
      <c r="G162" s="24" t="s">
        <v>494</v>
      </c>
      <c r="H162" s="24"/>
      <c r="I162" s="111"/>
      <c r="J162" s="160"/>
      <c r="K162" s="124"/>
      <c r="L162" s="124"/>
      <c r="M162" s="124"/>
      <c r="N162" s="161" t="s">
        <v>777</v>
      </c>
      <c r="O162" s="126"/>
      <c r="P162" s="124"/>
      <c r="Q162" s="111"/>
      <c r="R162" s="24"/>
      <c r="S162" s="124"/>
      <c r="T162" s="111"/>
      <c r="U162" s="111"/>
      <c r="V162" s="111"/>
      <c r="W162" s="24"/>
      <c r="X162" s="24"/>
      <c r="Y162" s="24"/>
      <c r="Z162" s="24"/>
      <c r="AA162" s="24"/>
      <c r="AB162" s="24"/>
      <c r="AC162" s="112"/>
      <c r="AD162" s="112"/>
      <c r="AE162" s="118">
        <v>96119002</v>
      </c>
      <c r="AF162" s="111"/>
      <c r="AG162" s="115" t="s">
        <v>115</v>
      </c>
      <c r="AH162" s="116" t="s">
        <v>778</v>
      </c>
      <c r="AI162" s="115" t="s">
        <v>779</v>
      </c>
      <c r="AJ162" s="24"/>
      <c r="AK162" s="24"/>
      <c r="AL162" s="24"/>
    </row>
    <row r="163" spans="1:38" ht="12.75" customHeight="1">
      <c r="A163" s="22">
        <v>161</v>
      </c>
      <c r="B163" s="161" t="s">
        <v>780</v>
      </c>
      <c r="C163" s="24" t="s">
        <v>180</v>
      </c>
      <c r="D163" s="160" t="s">
        <v>771</v>
      </c>
      <c r="E163" s="24" t="s">
        <v>772</v>
      </c>
      <c r="F163" s="24">
        <v>1</v>
      </c>
      <c r="G163" s="24" t="s">
        <v>494</v>
      </c>
      <c r="H163" s="24"/>
      <c r="I163" s="111"/>
      <c r="J163" s="160"/>
      <c r="K163" s="124"/>
      <c r="L163" s="124"/>
      <c r="M163" s="124"/>
      <c r="N163" s="161" t="s">
        <v>780</v>
      </c>
      <c r="O163" s="126"/>
      <c r="P163" s="124"/>
      <c r="Q163" s="111"/>
      <c r="R163" s="24"/>
      <c r="S163" s="124"/>
      <c r="T163" s="111"/>
      <c r="U163" s="111"/>
      <c r="V163" s="111"/>
      <c r="W163" s="24"/>
      <c r="X163" s="24"/>
      <c r="Y163" s="24"/>
      <c r="Z163" s="24"/>
      <c r="AA163" s="24"/>
      <c r="AB163" s="24"/>
      <c r="AC163" s="112"/>
      <c r="AD163" s="112"/>
      <c r="AE163" s="121">
        <v>80399002</v>
      </c>
      <c r="AF163" s="111"/>
      <c r="AG163" s="115" t="s">
        <v>115</v>
      </c>
      <c r="AH163" s="115" t="s">
        <v>781</v>
      </c>
      <c r="AI163" s="115" t="s">
        <v>782</v>
      </c>
      <c r="AJ163" s="24"/>
      <c r="AK163" s="24"/>
      <c r="AL163" s="24"/>
    </row>
    <row r="164" spans="1:38" ht="12.75" customHeight="1">
      <c r="A164" s="22">
        <v>162</v>
      </c>
      <c r="B164" s="161" t="s">
        <v>783</v>
      </c>
      <c r="C164" s="24" t="s">
        <v>180</v>
      </c>
      <c r="D164" s="160" t="s">
        <v>771</v>
      </c>
      <c r="E164" s="24" t="s">
        <v>772</v>
      </c>
      <c r="F164" s="24">
        <v>1</v>
      </c>
      <c r="G164" s="24" t="s">
        <v>494</v>
      </c>
      <c r="H164" s="24"/>
      <c r="I164" s="111"/>
      <c r="J164" s="160"/>
      <c r="K164" s="124"/>
      <c r="L164" s="124"/>
      <c r="M164" s="124"/>
      <c r="N164" s="161" t="s">
        <v>783</v>
      </c>
      <c r="O164" s="126"/>
      <c r="P164" s="124"/>
      <c r="Q164" s="111"/>
      <c r="R164" s="24"/>
      <c r="S164" s="124"/>
      <c r="T164" s="111"/>
      <c r="U164" s="111"/>
      <c r="V164" s="111"/>
      <c r="W164" s="24"/>
      <c r="X164" s="24"/>
      <c r="Y164" s="24"/>
      <c r="Z164" s="24"/>
      <c r="AA164" s="24"/>
      <c r="AB164" s="24"/>
      <c r="AC164" s="112"/>
      <c r="AD164" s="112"/>
      <c r="AE164" s="121">
        <v>5540006</v>
      </c>
      <c r="AF164" s="111"/>
      <c r="AG164" s="115" t="s">
        <v>115</v>
      </c>
      <c r="AH164" s="116" t="s">
        <v>784</v>
      </c>
      <c r="AI164" s="115" t="s">
        <v>785</v>
      </c>
      <c r="AJ164" s="24"/>
      <c r="AK164" s="24"/>
      <c r="AL164" s="24"/>
    </row>
    <row r="165" spans="1:38" ht="12.75" customHeight="1">
      <c r="A165" s="22">
        <v>163</v>
      </c>
      <c r="B165" s="161" t="s">
        <v>786</v>
      </c>
      <c r="C165" s="24" t="s">
        <v>180</v>
      </c>
      <c r="D165" s="160" t="s">
        <v>771</v>
      </c>
      <c r="E165" s="24" t="s">
        <v>772</v>
      </c>
      <c r="F165" s="24">
        <v>1</v>
      </c>
      <c r="G165" s="24" t="s">
        <v>494</v>
      </c>
      <c r="H165" s="24"/>
      <c r="I165" s="111"/>
      <c r="J165" s="160"/>
      <c r="K165" s="124"/>
      <c r="L165" s="124"/>
      <c r="M165" s="124"/>
      <c r="N165" s="161" t="s">
        <v>786</v>
      </c>
      <c r="O165" s="126"/>
      <c r="P165" s="124"/>
      <c r="Q165" s="111"/>
      <c r="R165" s="24"/>
      <c r="S165" s="124"/>
      <c r="T165" s="111"/>
      <c r="U165" s="111"/>
      <c r="V165" s="111"/>
      <c r="W165" s="24"/>
      <c r="X165" s="24"/>
      <c r="Y165" s="24"/>
      <c r="Z165" s="24"/>
      <c r="AA165" s="24"/>
      <c r="AB165" s="24"/>
      <c r="AC165" s="112"/>
      <c r="AD165" s="112"/>
      <c r="AE165" s="121" t="s">
        <v>787</v>
      </c>
      <c r="AF165" s="111"/>
      <c r="AG165" s="115" t="s">
        <v>115</v>
      </c>
      <c r="AH165" s="115" t="s">
        <v>788</v>
      </c>
      <c r="AI165" s="115" t="s">
        <v>789</v>
      </c>
      <c r="AJ165" s="24"/>
      <c r="AK165" s="24"/>
      <c r="AL165" s="24"/>
    </row>
    <row r="166" spans="1:38" ht="12.75" customHeight="1">
      <c r="A166" s="22">
        <v>164</v>
      </c>
      <c r="B166" s="161" t="s">
        <v>790</v>
      </c>
      <c r="C166" s="24" t="s">
        <v>180</v>
      </c>
      <c r="D166" s="160" t="s">
        <v>771</v>
      </c>
      <c r="E166" s="24" t="s">
        <v>772</v>
      </c>
      <c r="F166" s="24">
        <v>1</v>
      </c>
      <c r="G166" s="24" t="s">
        <v>494</v>
      </c>
      <c r="H166" s="24"/>
      <c r="I166" s="111"/>
      <c r="J166" s="160"/>
      <c r="K166" s="124"/>
      <c r="L166" s="124"/>
      <c r="M166" s="124"/>
      <c r="N166" s="161" t="s">
        <v>790</v>
      </c>
      <c r="O166" s="126"/>
      <c r="P166" s="124"/>
      <c r="Q166" s="111"/>
      <c r="R166" s="24"/>
      <c r="S166" s="124"/>
      <c r="T166" s="111"/>
      <c r="U166" s="111"/>
      <c r="V166" s="111"/>
      <c r="W166" s="24"/>
      <c r="X166" s="24"/>
      <c r="Y166" s="24"/>
      <c r="Z166" s="24"/>
      <c r="AA166" s="24"/>
      <c r="AB166" s="24"/>
      <c r="AC166" s="112"/>
      <c r="AD166" s="112"/>
      <c r="AE166" s="118">
        <v>6247001</v>
      </c>
      <c r="AF166" s="111"/>
      <c r="AG166" s="115" t="s">
        <v>115</v>
      </c>
      <c r="AH166" s="116" t="s">
        <v>791</v>
      </c>
      <c r="AI166" s="115" t="s">
        <v>792</v>
      </c>
      <c r="AJ166" s="24"/>
      <c r="AK166" s="24"/>
      <c r="AL166" s="24"/>
    </row>
    <row r="167" spans="1:38" ht="12.75" customHeight="1">
      <c r="A167" s="22">
        <v>165</v>
      </c>
      <c r="B167" s="161" t="s">
        <v>793</v>
      </c>
      <c r="C167" s="24" t="s">
        <v>180</v>
      </c>
      <c r="D167" s="160" t="s">
        <v>771</v>
      </c>
      <c r="E167" s="24" t="s">
        <v>772</v>
      </c>
      <c r="F167" s="24">
        <v>1</v>
      </c>
      <c r="G167" s="24" t="s">
        <v>494</v>
      </c>
      <c r="H167" s="24"/>
      <c r="I167" s="111"/>
      <c r="J167" s="160"/>
      <c r="K167" s="124"/>
      <c r="L167" s="124"/>
      <c r="M167" s="124"/>
      <c r="N167" s="161" t="s">
        <v>793</v>
      </c>
      <c r="O167" s="126"/>
      <c r="P167" s="124"/>
      <c r="Q167" s="111"/>
      <c r="R167" s="24"/>
      <c r="S167" s="124"/>
      <c r="T167" s="111"/>
      <c r="U167" s="111"/>
      <c r="V167" s="111"/>
      <c r="W167" s="24"/>
      <c r="X167" s="24"/>
      <c r="Y167" s="24"/>
      <c r="Z167" s="24"/>
      <c r="AA167" s="24"/>
      <c r="AB167" s="24"/>
      <c r="AC167" s="112"/>
      <c r="AD167" s="112"/>
      <c r="AE167" s="93" t="s">
        <v>794</v>
      </c>
      <c r="AF167" s="111"/>
      <c r="AG167" s="115" t="s">
        <v>115</v>
      </c>
      <c r="AH167" s="115" t="s">
        <v>795</v>
      </c>
      <c r="AI167" s="115" t="s">
        <v>796</v>
      </c>
      <c r="AJ167" s="24"/>
      <c r="AK167" s="24"/>
      <c r="AL167" s="24"/>
    </row>
    <row r="168" spans="1:38" ht="12.75" customHeight="1">
      <c r="A168" s="22">
        <v>166</v>
      </c>
      <c r="B168" s="161" t="s">
        <v>797</v>
      </c>
      <c r="C168" s="24" t="s">
        <v>180</v>
      </c>
      <c r="D168" s="160" t="s">
        <v>771</v>
      </c>
      <c r="E168" s="24" t="s">
        <v>772</v>
      </c>
      <c r="F168" s="24">
        <v>1</v>
      </c>
      <c r="G168" s="24" t="s">
        <v>494</v>
      </c>
      <c r="H168" s="24"/>
      <c r="I168" s="111"/>
      <c r="J168" s="160"/>
      <c r="K168" s="124"/>
      <c r="L168" s="124"/>
      <c r="M168" s="124"/>
      <c r="N168" s="161" t="s">
        <v>797</v>
      </c>
      <c r="O168" s="126"/>
      <c r="P168" s="124"/>
      <c r="Q168" s="111"/>
      <c r="R168" s="24"/>
      <c r="S168" s="124"/>
      <c r="T168" s="111"/>
      <c r="U168" s="111"/>
      <c r="V168" s="111"/>
      <c r="W168" s="24"/>
      <c r="X168" s="24"/>
      <c r="Y168" s="24"/>
      <c r="Z168" s="24"/>
      <c r="AA168" s="24"/>
      <c r="AB168" s="24"/>
      <c r="AC168" s="112"/>
      <c r="AD168" s="112"/>
      <c r="AE168" s="118">
        <v>30729008</v>
      </c>
      <c r="AF168" s="111"/>
      <c r="AG168" s="115" t="s">
        <v>115</v>
      </c>
      <c r="AH168" s="116" t="s">
        <v>798</v>
      </c>
      <c r="AI168" s="115" t="s">
        <v>799</v>
      </c>
      <c r="AJ168" s="24"/>
      <c r="AK168" s="24"/>
      <c r="AL168" s="24"/>
    </row>
    <row r="169" spans="1:38" ht="12.75" customHeight="1">
      <c r="A169" s="22">
        <v>167</v>
      </c>
      <c r="B169" s="161" t="s">
        <v>800</v>
      </c>
      <c r="C169" s="24" t="s">
        <v>180</v>
      </c>
      <c r="D169" s="160" t="s">
        <v>771</v>
      </c>
      <c r="E169" s="24" t="s">
        <v>772</v>
      </c>
      <c r="F169" s="24">
        <v>1</v>
      </c>
      <c r="G169" s="24" t="s">
        <v>494</v>
      </c>
      <c r="H169" s="24"/>
      <c r="I169" s="111"/>
      <c r="J169" s="160"/>
      <c r="K169" s="124"/>
      <c r="L169" s="124"/>
      <c r="M169" s="124"/>
      <c r="N169" s="161" t="s">
        <v>800</v>
      </c>
      <c r="O169" s="126"/>
      <c r="P169" s="124"/>
      <c r="Q169" s="111"/>
      <c r="R169" s="24"/>
      <c r="S169" s="124"/>
      <c r="T169" s="111"/>
      <c r="U169" s="111"/>
      <c r="V169" s="111"/>
      <c r="W169" s="24"/>
      <c r="X169" s="24"/>
      <c r="Y169" s="24"/>
      <c r="Z169" s="24"/>
      <c r="AA169" s="24"/>
      <c r="AB169" s="24"/>
      <c r="AC169" s="112"/>
      <c r="AD169" s="112"/>
      <c r="AE169" s="121">
        <v>7168001</v>
      </c>
      <c r="AF169" s="111"/>
      <c r="AG169" s="115" t="s">
        <v>115</v>
      </c>
      <c r="AH169" s="115" t="s">
        <v>801</v>
      </c>
      <c r="AI169" s="115" t="s">
        <v>802</v>
      </c>
      <c r="AJ169" s="24"/>
      <c r="AK169" s="24"/>
      <c r="AL169" s="24"/>
    </row>
    <row r="170" spans="1:38" ht="12.75" customHeight="1">
      <c r="A170" s="22">
        <v>168</v>
      </c>
      <c r="B170" s="161" t="s">
        <v>803</v>
      </c>
      <c r="C170" s="24" t="s">
        <v>180</v>
      </c>
      <c r="D170" s="160" t="s">
        <v>771</v>
      </c>
      <c r="E170" s="24" t="s">
        <v>772</v>
      </c>
      <c r="F170" s="24">
        <v>1</v>
      </c>
      <c r="G170" s="24" t="s">
        <v>494</v>
      </c>
      <c r="H170" s="24"/>
      <c r="I170" s="111"/>
      <c r="J170" s="160"/>
      <c r="K170" s="124"/>
      <c r="L170" s="124"/>
      <c r="M170" s="124"/>
      <c r="N170" s="161" t="s">
        <v>803</v>
      </c>
      <c r="O170" s="126"/>
      <c r="P170" s="124"/>
      <c r="Q170" s="111"/>
      <c r="R170" s="24"/>
      <c r="S170" s="124"/>
      <c r="T170" s="111"/>
      <c r="U170" s="111"/>
      <c r="V170" s="111"/>
      <c r="W170" s="24"/>
      <c r="X170" s="24"/>
      <c r="Y170" s="24"/>
      <c r="Z170" s="24"/>
      <c r="AA170" s="24"/>
      <c r="AB170" s="24"/>
      <c r="AC170" s="112"/>
      <c r="AD170" s="112"/>
      <c r="AE170" s="121">
        <v>398770008</v>
      </c>
      <c r="AF170" s="111"/>
      <c r="AG170" s="115" t="s">
        <v>115</v>
      </c>
      <c r="AH170" s="116" t="s">
        <v>804</v>
      </c>
      <c r="AI170" s="115" t="s">
        <v>805</v>
      </c>
      <c r="AJ170" s="24"/>
      <c r="AK170" s="24"/>
      <c r="AL170" s="24"/>
    </row>
    <row r="171" spans="1:38" ht="12.75" customHeight="1">
      <c r="A171" s="22">
        <v>169</v>
      </c>
      <c r="B171" s="161" t="s">
        <v>806</v>
      </c>
      <c r="C171" s="24" t="s">
        <v>180</v>
      </c>
      <c r="D171" s="160" t="s">
        <v>771</v>
      </c>
      <c r="E171" s="24" t="s">
        <v>772</v>
      </c>
      <c r="F171" s="24">
        <v>1</v>
      </c>
      <c r="G171" s="24" t="s">
        <v>494</v>
      </c>
      <c r="H171" s="24"/>
      <c r="I171" s="111"/>
      <c r="J171" s="160"/>
      <c r="K171" s="124"/>
      <c r="L171" s="124"/>
      <c r="M171" s="124"/>
      <c r="N171" s="161" t="s">
        <v>806</v>
      </c>
      <c r="O171" s="126"/>
      <c r="P171" s="124"/>
      <c r="Q171" s="111"/>
      <c r="R171" s="24"/>
      <c r="S171" s="124"/>
      <c r="T171" s="111"/>
      <c r="U171" s="112"/>
      <c r="V171" s="112"/>
      <c r="W171" s="24"/>
      <c r="X171" s="24"/>
      <c r="Y171" s="24"/>
      <c r="Z171" s="24"/>
      <c r="AA171" s="24"/>
      <c r="AB171" s="24"/>
      <c r="AC171" s="112"/>
      <c r="AD171" s="112"/>
      <c r="AE171" s="121">
        <v>56059005</v>
      </c>
      <c r="AF171" s="111"/>
      <c r="AG171" s="115" t="s">
        <v>115</v>
      </c>
      <c r="AH171" s="116" t="s">
        <v>807</v>
      </c>
      <c r="AI171" s="115" t="s">
        <v>808</v>
      </c>
      <c r="AJ171" s="24"/>
      <c r="AK171" s="24"/>
      <c r="AL171" s="24"/>
    </row>
    <row r="172" spans="1:38" ht="12.75" customHeight="1">
      <c r="A172" s="22">
        <v>170</v>
      </c>
      <c r="B172" s="161" t="s">
        <v>809</v>
      </c>
      <c r="C172" s="24" t="s">
        <v>180</v>
      </c>
      <c r="D172" s="160" t="s">
        <v>771</v>
      </c>
      <c r="E172" s="24" t="s">
        <v>772</v>
      </c>
      <c r="F172" s="24">
        <v>1</v>
      </c>
      <c r="G172" s="24" t="s">
        <v>494</v>
      </c>
      <c r="H172" s="24"/>
      <c r="I172" s="111"/>
      <c r="J172" s="160"/>
      <c r="K172" s="124"/>
      <c r="L172" s="124"/>
      <c r="M172" s="124"/>
      <c r="N172" s="161" t="s">
        <v>809</v>
      </c>
      <c r="O172" s="126"/>
      <c r="P172" s="124"/>
      <c r="Q172" s="111"/>
      <c r="R172" s="24"/>
      <c r="S172" s="124"/>
      <c r="T172" s="111"/>
      <c r="U172" s="112"/>
      <c r="V172" s="112"/>
      <c r="W172" s="24"/>
      <c r="X172" s="24"/>
      <c r="Y172" s="24"/>
      <c r="Z172" s="24"/>
      <c r="AA172" s="24"/>
      <c r="AB172" s="24"/>
      <c r="AC172" s="112"/>
      <c r="AD172" s="112"/>
      <c r="AE172" s="118" t="s">
        <v>810</v>
      </c>
      <c r="AF172" s="111"/>
      <c r="AG172" s="115" t="s">
        <v>115</v>
      </c>
      <c r="AH172" s="116" t="s">
        <v>811</v>
      </c>
      <c r="AI172" s="115" t="s">
        <v>812</v>
      </c>
      <c r="AJ172" s="24"/>
      <c r="AK172" s="24"/>
      <c r="AL172" s="24"/>
    </row>
    <row r="173" spans="1:38" ht="12.75" customHeight="1">
      <c r="A173" s="22">
        <v>171</v>
      </c>
      <c r="B173" s="161" t="s">
        <v>813</v>
      </c>
      <c r="C173" s="24" t="s">
        <v>180</v>
      </c>
      <c r="D173" s="160" t="s">
        <v>771</v>
      </c>
      <c r="E173" s="24" t="s">
        <v>772</v>
      </c>
      <c r="F173" s="24">
        <v>1</v>
      </c>
      <c r="G173" s="24" t="s">
        <v>494</v>
      </c>
      <c r="H173" s="24"/>
      <c r="I173" s="111"/>
      <c r="J173" s="160"/>
      <c r="K173" s="124"/>
      <c r="L173" s="124"/>
      <c r="M173" s="124"/>
      <c r="N173" s="161" t="s">
        <v>813</v>
      </c>
      <c r="O173" s="126"/>
      <c r="P173" s="124"/>
      <c r="Q173" s="111"/>
      <c r="R173" s="24"/>
      <c r="S173" s="124"/>
      <c r="T173" s="111"/>
      <c r="U173" s="112"/>
      <c r="V173" s="112"/>
      <c r="W173" s="24"/>
      <c r="X173" s="24"/>
      <c r="Y173" s="24"/>
      <c r="Z173" s="24"/>
      <c r="AA173" s="24"/>
      <c r="AB173" s="24"/>
      <c r="AC173" s="112"/>
      <c r="AD173" s="112"/>
      <c r="AE173" s="25" t="s">
        <v>814</v>
      </c>
      <c r="AF173" s="111"/>
      <c r="AG173" s="115" t="s">
        <v>115</v>
      </c>
      <c r="AH173" s="116" t="s">
        <v>815</v>
      </c>
      <c r="AI173" s="115" t="s">
        <v>816</v>
      </c>
      <c r="AJ173" s="24"/>
      <c r="AK173" s="24"/>
      <c r="AL173" s="24"/>
    </row>
    <row r="174" spans="1:38" ht="12.75" customHeight="1">
      <c r="A174" s="22">
        <v>172</v>
      </c>
      <c r="B174" s="161" t="s">
        <v>405</v>
      </c>
      <c r="C174" s="24" t="s">
        <v>180</v>
      </c>
      <c r="D174" s="160" t="s">
        <v>771</v>
      </c>
      <c r="E174" s="24" t="s">
        <v>772</v>
      </c>
      <c r="F174" s="24">
        <v>1</v>
      </c>
      <c r="G174" s="24" t="s">
        <v>494</v>
      </c>
      <c r="H174" s="24"/>
      <c r="I174" s="111"/>
      <c r="J174" s="160"/>
      <c r="K174" s="124"/>
      <c r="L174" s="124"/>
      <c r="M174" s="124"/>
      <c r="N174" s="161" t="s">
        <v>405</v>
      </c>
      <c r="O174" s="126"/>
      <c r="P174" s="124"/>
      <c r="Q174" s="111"/>
      <c r="R174" s="24"/>
      <c r="S174" s="124"/>
      <c r="T174" s="111"/>
      <c r="U174" s="112"/>
      <c r="V174" s="112"/>
      <c r="W174" s="24"/>
      <c r="X174" s="24"/>
      <c r="Y174" s="24"/>
      <c r="Z174" s="24"/>
      <c r="AA174" s="24"/>
      <c r="AB174" s="24"/>
      <c r="AC174" s="112"/>
      <c r="AD174" s="112"/>
      <c r="AE174" s="25" t="s">
        <v>745</v>
      </c>
      <c r="AF174" s="111"/>
      <c r="AG174" s="115" t="s">
        <v>115</v>
      </c>
      <c r="AH174" s="115" t="s">
        <v>406</v>
      </c>
      <c r="AI174" s="115" t="s">
        <v>407</v>
      </c>
      <c r="AJ174" s="24"/>
      <c r="AK174" s="24"/>
      <c r="AL174" s="24"/>
    </row>
    <row r="175" spans="1:38" ht="12.75" customHeight="1">
      <c r="A175" s="22">
        <v>173</v>
      </c>
      <c r="B175" s="124" t="s">
        <v>817</v>
      </c>
      <c r="C175" s="24" t="s">
        <v>96</v>
      </c>
      <c r="D175" s="24"/>
      <c r="E175" s="24" t="s">
        <v>772</v>
      </c>
      <c r="F175" s="24">
        <v>1</v>
      </c>
      <c r="G175" s="24" t="s">
        <v>494</v>
      </c>
      <c r="H175" s="24"/>
      <c r="I175" s="111"/>
      <c r="J175" s="124" t="s">
        <v>409</v>
      </c>
      <c r="K175" s="124" t="s">
        <v>818</v>
      </c>
      <c r="L175" s="124" t="s">
        <v>819</v>
      </c>
      <c r="M175" s="124" t="s">
        <v>111</v>
      </c>
      <c r="N175" s="161"/>
      <c r="O175" s="126"/>
      <c r="P175" s="124"/>
      <c r="Q175" s="111"/>
      <c r="R175" s="24"/>
      <c r="S175" s="124" t="s">
        <v>208</v>
      </c>
      <c r="T175" s="111"/>
      <c r="U175" s="112"/>
      <c r="V175" s="112"/>
      <c r="W175" s="24"/>
      <c r="X175" s="24"/>
      <c r="Y175" s="24"/>
      <c r="Z175" s="24"/>
      <c r="AA175" s="24"/>
      <c r="AB175" s="24"/>
      <c r="AC175" s="119"/>
      <c r="AD175" s="119"/>
      <c r="AE175" s="120"/>
      <c r="AF175" s="127"/>
      <c r="AG175" s="115" t="s">
        <v>820</v>
      </c>
      <c r="AH175" s="115" t="s">
        <v>415</v>
      </c>
      <c r="AI175" s="115" t="s">
        <v>416</v>
      </c>
      <c r="AJ175" s="24"/>
      <c r="AK175" s="24"/>
      <c r="AL175" s="24"/>
    </row>
    <row r="176" spans="1:38" ht="12.75" customHeight="1">
      <c r="A176" s="22">
        <v>174</v>
      </c>
      <c r="B176" s="124" t="s">
        <v>821</v>
      </c>
      <c r="C176" s="24" t="s">
        <v>96</v>
      </c>
      <c r="D176" s="24"/>
      <c r="E176" s="24" t="s">
        <v>772</v>
      </c>
      <c r="F176" s="24">
        <v>1</v>
      </c>
      <c r="G176" s="24" t="s">
        <v>494</v>
      </c>
      <c r="H176" s="24"/>
      <c r="I176" s="111"/>
      <c r="J176" s="124" t="s">
        <v>821</v>
      </c>
      <c r="K176" s="124" t="s">
        <v>822</v>
      </c>
      <c r="L176" s="124" t="s">
        <v>823</v>
      </c>
      <c r="M176" s="124" t="s">
        <v>238</v>
      </c>
      <c r="N176" s="161"/>
      <c r="O176" s="126"/>
      <c r="P176" s="124" t="s">
        <v>695</v>
      </c>
      <c r="Q176" s="111"/>
      <c r="R176" s="24"/>
      <c r="S176" s="124" t="s">
        <v>208</v>
      </c>
      <c r="T176" s="111"/>
      <c r="U176" s="112"/>
      <c r="V176" s="112"/>
      <c r="W176" s="24"/>
      <c r="X176" s="24"/>
      <c r="Y176" s="24"/>
      <c r="Z176" s="24"/>
      <c r="AA176" s="24"/>
      <c r="AB176" s="24"/>
      <c r="AC176" s="112"/>
      <c r="AD176" s="112"/>
      <c r="AE176" s="93" t="s">
        <v>824</v>
      </c>
      <c r="AF176" s="111"/>
      <c r="AG176" s="115" t="s">
        <v>825</v>
      </c>
      <c r="AH176" s="115" t="s">
        <v>826</v>
      </c>
      <c r="AI176" s="115" t="s">
        <v>827</v>
      </c>
      <c r="AJ176" s="24"/>
      <c r="AK176" s="24"/>
      <c r="AL176" s="24"/>
    </row>
    <row r="177" spans="1:38" ht="12.75" customHeight="1">
      <c r="A177" s="22">
        <v>175</v>
      </c>
      <c r="B177" s="161" t="s">
        <v>423</v>
      </c>
      <c r="C177" s="24" t="s">
        <v>180</v>
      </c>
      <c r="D177" s="124" t="s">
        <v>821</v>
      </c>
      <c r="E177" s="24" t="s">
        <v>772</v>
      </c>
      <c r="F177" s="24">
        <v>1</v>
      </c>
      <c r="G177" s="24" t="s">
        <v>494</v>
      </c>
      <c r="H177" s="24"/>
      <c r="I177" s="111"/>
      <c r="J177" s="160"/>
      <c r="K177" s="124"/>
      <c r="L177" s="124"/>
      <c r="M177" s="124"/>
      <c r="N177" s="161" t="s">
        <v>423</v>
      </c>
      <c r="O177" s="126"/>
      <c r="P177" s="124"/>
      <c r="Q177" s="111"/>
      <c r="R177" s="24"/>
      <c r="S177" s="124"/>
      <c r="T177" s="111"/>
      <c r="U177" s="112"/>
      <c r="V177" s="112"/>
      <c r="W177" s="24"/>
      <c r="X177" s="24"/>
      <c r="Y177" s="24"/>
      <c r="Z177" s="24"/>
      <c r="AA177" s="24"/>
      <c r="AB177" s="24"/>
      <c r="AC177" s="112"/>
      <c r="AD177" s="112"/>
      <c r="AE177" s="118">
        <v>260413007</v>
      </c>
      <c r="AF177" s="111"/>
      <c r="AG177" s="115" t="s">
        <v>115</v>
      </c>
      <c r="AH177" s="115" t="s">
        <v>424</v>
      </c>
      <c r="AI177" s="115" t="s">
        <v>425</v>
      </c>
      <c r="AJ177" s="24"/>
      <c r="AK177" s="24"/>
      <c r="AL177" s="24"/>
    </row>
    <row r="178" spans="1:38" ht="12.75" customHeight="1">
      <c r="A178" s="22">
        <v>176</v>
      </c>
      <c r="B178" s="161" t="s">
        <v>500</v>
      </c>
      <c r="C178" s="24" t="s">
        <v>180</v>
      </c>
      <c r="D178" s="124" t="s">
        <v>821</v>
      </c>
      <c r="E178" s="24" t="s">
        <v>772</v>
      </c>
      <c r="F178" s="24">
        <v>1</v>
      </c>
      <c r="G178" s="24" t="s">
        <v>494</v>
      </c>
      <c r="H178" s="24"/>
      <c r="I178" s="111"/>
      <c r="J178" s="160"/>
      <c r="K178" s="124"/>
      <c r="L178" s="124"/>
      <c r="M178" s="124"/>
      <c r="N178" s="161" t="s">
        <v>500</v>
      </c>
      <c r="O178" s="126"/>
      <c r="P178" s="124"/>
      <c r="Q178" s="111"/>
      <c r="R178" s="24"/>
      <c r="S178" s="124"/>
      <c r="T178" s="111"/>
      <c r="U178" s="112"/>
      <c r="V178" s="112"/>
      <c r="W178" s="24"/>
      <c r="X178" s="24"/>
      <c r="Y178" s="24"/>
      <c r="Z178" s="24"/>
      <c r="AA178" s="24"/>
      <c r="AB178" s="24"/>
      <c r="AC178" s="112"/>
      <c r="AD178" s="112"/>
      <c r="AE178" s="118">
        <v>261665006</v>
      </c>
      <c r="AF178" s="111"/>
      <c r="AG178" s="115" t="s">
        <v>115</v>
      </c>
      <c r="AH178" s="115" t="s">
        <v>501</v>
      </c>
      <c r="AI178" s="115" t="s">
        <v>503</v>
      </c>
      <c r="AJ178" s="24"/>
      <c r="AK178" s="24"/>
      <c r="AL178" s="24"/>
    </row>
    <row r="179" spans="1:38" ht="12.75" customHeight="1">
      <c r="A179" s="22">
        <v>177</v>
      </c>
      <c r="B179" s="161" t="s">
        <v>828</v>
      </c>
      <c r="C179" s="24" t="s">
        <v>180</v>
      </c>
      <c r="D179" s="124" t="s">
        <v>821</v>
      </c>
      <c r="E179" s="24" t="s">
        <v>772</v>
      </c>
      <c r="F179" s="24">
        <v>1</v>
      </c>
      <c r="G179" s="24" t="s">
        <v>494</v>
      </c>
      <c r="H179" s="24"/>
      <c r="I179" s="111"/>
      <c r="J179" s="160"/>
      <c r="K179" s="124"/>
      <c r="L179" s="124"/>
      <c r="M179" s="124"/>
      <c r="N179" s="161" t="s">
        <v>828</v>
      </c>
      <c r="O179" s="126"/>
      <c r="P179" s="124"/>
      <c r="Q179" s="111"/>
      <c r="R179" s="24"/>
      <c r="S179" s="124"/>
      <c r="T179" s="111"/>
      <c r="U179" s="112"/>
      <c r="V179" s="112"/>
      <c r="W179" s="24"/>
      <c r="X179" s="24"/>
      <c r="Y179" s="24"/>
      <c r="Z179" s="24"/>
      <c r="AA179" s="24"/>
      <c r="AB179" s="24"/>
      <c r="AC179" s="112"/>
      <c r="AD179" s="112"/>
      <c r="AE179" s="118">
        <v>13091001</v>
      </c>
      <c r="AF179" s="111"/>
      <c r="AG179" s="115" t="s">
        <v>115</v>
      </c>
      <c r="AH179" s="116" t="s">
        <v>829</v>
      </c>
      <c r="AI179" s="115" t="s">
        <v>830</v>
      </c>
      <c r="AJ179" s="24"/>
      <c r="AK179" s="24"/>
      <c r="AL179" s="24"/>
    </row>
    <row r="180" spans="1:38" ht="12.75" customHeight="1">
      <c r="A180" s="22">
        <v>178</v>
      </c>
      <c r="B180" s="161" t="s">
        <v>831</v>
      </c>
      <c r="C180" s="24" t="s">
        <v>180</v>
      </c>
      <c r="D180" s="124" t="s">
        <v>821</v>
      </c>
      <c r="E180" s="24" t="s">
        <v>772</v>
      </c>
      <c r="F180" s="24">
        <v>1</v>
      </c>
      <c r="G180" s="24" t="s">
        <v>494</v>
      </c>
      <c r="H180" s="24"/>
      <c r="I180" s="111"/>
      <c r="J180" s="160"/>
      <c r="K180" s="124"/>
      <c r="L180" s="124"/>
      <c r="M180" s="124"/>
      <c r="N180" s="161" t="s">
        <v>831</v>
      </c>
      <c r="O180" s="126"/>
      <c r="P180" s="124"/>
      <c r="Q180" s="111"/>
      <c r="R180" s="24"/>
      <c r="S180" s="124"/>
      <c r="T180" s="111"/>
      <c r="U180" s="112"/>
      <c r="V180" s="112"/>
      <c r="W180" s="24"/>
      <c r="X180" s="24"/>
      <c r="Y180" s="24"/>
      <c r="Z180" s="24"/>
      <c r="AA180" s="24"/>
      <c r="AB180" s="24"/>
      <c r="AC180" s="112"/>
      <c r="AD180" s="112"/>
      <c r="AE180" s="118">
        <v>42010004</v>
      </c>
      <c r="AF180" s="111"/>
      <c r="AG180" s="115" t="s">
        <v>115</v>
      </c>
      <c r="AH180" s="116" t="s">
        <v>832</v>
      </c>
      <c r="AI180" s="115" t="s">
        <v>833</v>
      </c>
      <c r="AJ180" s="24"/>
      <c r="AK180" s="24"/>
      <c r="AL180" s="24"/>
    </row>
    <row r="181" spans="1:38" ht="12.75" customHeight="1">
      <c r="A181" s="22">
        <v>179</v>
      </c>
      <c r="B181" s="161" t="s">
        <v>834</v>
      </c>
      <c r="C181" s="24" t="s">
        <v>180</v>
      </c>
      <c r="D181" s="124" t="s">
        <v>821</v>
      </c>
      <c r="E181" s="24" t="s">
        <v>772</v>
      </c>
      <c r="F181" s="24">
        <v>1</v>
      </c>
      <c r="G181" s="24" t="s">
        <v>494</v>
      </c>
      <c r="H181" s="24"/>
      <c r="I181" s="111"/>
      <c r="J181" s="160"/>
      <c r="K181" s="124"/>
      <c r="L181" s="124"/>
      <c r="M181" s="124"/>
      <c r="N181" s="161" t="s">
        <v>834</v>
      </c>
      <c r="O181" s="126"/>
      <c r="P181" s="124"/>
      <c r="Q181" s="111"/>
      <c r="R181" s="24"/>
      <c r="S181" s="124"/>
      <c r="T181" s="111"/>
      <c r="U181" s="112"/>
      <c r="V181" s="112"/>
      <c r="W181" s="24"/>
      <c r="X181" s="24"/>
      <c r="Y181" s="24"/>
      <c r="Z181" s="24"/>
      <c r="AA181" s="24"/>
      <c r="AB181" s="24"/>
      <c r="AC181" s="119"/>
      <c r="AD181" s="119"/>
      <c r="AE181" s="120"/>
      <c r="AF181" s="127"/>
      <c r="AG181" s="115" t="s">
        <v>115</v>
      </c>
      <c r="AH181" s="115" t="s">
        <v>835</v>
      </c>
      <c r="AI181" s="115" t="s">
        <v>836</v>
      </c>
      <c r="AJ181" s="24"/>
      <c r="AK181" s="24"/>
      <c r="AL181" s="24"/>
    </row>
    <row r="182" spans="1:38" ht="12.75" customHeight="1">
      <c r="A182" s="22">
        <v>180</v>
      </c>
      <c r="B182" s="161" t="s">
        <v>837</v>
      </c>
      <c r="C182" s="24" t="s">
        <v>180</v>
      </c>
      <c r="D182" s="124" t="s">
        <v>821</v>
      </c>
      <c r="E182" s="24" t="s">
        <v>772</v>
      </c>
      <c r="F182" s="24">
        <v>1</v>
      </c>
      <c r="G182" s="24" t="s">
        <v>494</v>
      </c>
      <c r="H182" s="24"/>
      <c r="I182" s="111"/>
      <c r="J182" s="160"/>
      <c r="K182" s="124"/>
      <c r="L182" s="124"/>
      <c r="M182" s="124"/>
      <c r="N182" s="161" t="s">
        <v>837</v>
      </c>
      <c r="O182" s="126"/>
      <c r="P182" s="124"/>
      <c r="Q182" s="111"/>
      <c r="R182" s="24"/>
      <c r="S182" s="124"/>
      <c r="T182" s="111"/>
      <c r="U182" s="112"/>
      <c r="V182" s="112"/>
      <c r="W182" s="24"/>
      <c r="X182" s="24"/>
      <c r="Y182" s="24"/>
      <c r="Z182" s="24"/>
      <c r="AA182" s="24"/>
      <c r="AB182" s="24"/>
      <c r="AC182" s="112"/>
      <c r="AD182" s="112"/>
      <c r="AE182" s="118">
        <v>83152002</v>
      </c>
      <c r="AF182" s="111"/>
      <c r="AG182" s="115" t="s">
        <v>115</v>
      </c>
      <c r="AH182" s="115" t="s">
        <v>838</v>
      </c>
      <c r="AI182" s="115" t="s">
        <v>839</v>
      </c>
      <c r="AJ182" s="24"/>
      <c r="AK182" s="24"/>
      <c r="AL182" s="24"/>
    </row>
    <row r="183" spans="1:38" ht="12.75" customHeight="1">
      <c r="A183" s="22">
        <v>181</v>
      </c>
      <c r="B183" s="161" t="s">
        <v>840</v>
      </c>
      <c r="C183" s="24" t="s">
        <v>180</v>
      </c>
      <c r="D183" s="124" t="s">
        <v>821</v>
      </c>
      <c r="E183" s="24" t="s">
        <v>772</v>
      </c>
      <c r="F183" s="24">
        <v>1</v>
      </c>
      <c r="G183" s="24" t="s">
        <v>494</v>
      </c>
      <c r="H183" s="24"/>
      <c r="I183" s="111"/>
      <c r="J183" s="160"/>
      <c r="K183" s="124"/>
      <c r="L183" s="124"/>
      <c r="M183" s="124"/>
      <c r="N183" s="161" t="s">
        <v>840</v>
      </c>
      <c r="O183" s="126"/>
      <c r="P183" s="124"/>
      <c r="Q183" s="111"/>
      <c r="R183" s="24"/>
      <c r="S183" s="124"/>
      <c r="T183" s="111"/>
      <c r="U183" s="112"/>
      <c r="V183" s="112"/>
      <c r="W183" s="24"/>
      <c r="X183" s="24"/>
      <c r="Y183" s="24"/>
      <c r="Z183" s="24"/>
      <c r="AA183" s="24"/>
      <c r="AB183" s="24"/>
      <c r="AC183" s="112"/>
      <c r="AD183" s="112"/>
      <c r="AE183" s="118">
        <v>120053002</v>
      </c>
      <c r="AF183" s="111"/>
      <c r="AG183" s="115" t="s">
        <v>115</v>
      </c>
      <c r="AH183" s="116" t="s">
        <v>841</v>
      </c>
      <c r="AI183" s="115" t="s">
        <v>842</v>
      </c>
      <c r="AJ183" s="24"/>
      <c r="AK183" s="24"/>
      <c r="AL183" s="24"/>
    </row>
    <row r="184" spans="1:38" ht="12.75" customHeight="1">
      <c r="A184" s="22">
        <v>182</v>
      </c>
      <c r="B184" s="161" t="s">
        <v>843</v>
      </c>
      <c r="C184" s="24" t="s">
        <v>180</v>
      </c>
      <c r="D184" s="124" t="s">
        <v>821</v>
      </c>
      <c r="E184" s="24" t="s">
        <v>772</v>
      </c>
      <c r="F184" s="24">
        <v>1</v>
      </c>
      <c r="G184" s="24" t="s">
        <v>494</v>
      </c>
      <c r="H184" s="24"/>
      <c r="I184" s="111"/>
      <c r="J184" s="160"/>
      <c r="K184" s="124"/>
      <c r="L184" s="124"/>
      <c r="M184" s="124"/>
      <c r="N184" s="161" t="s">
        <v>843</v>
      </c>
      <c r="O184" s="126"/>
      <c r="P184" s="124"/>
      <c r="Q184" s="111"/>
      <c r="R184" s="24"/>
      <c r="S184" s="124"/>
      <c r="T184" s="111"/>
      <c r="U184" s="112"/>
      <c r="V184" s="112"/>
      <c r="W184" s="24"/>
      <c r="X184" s="24"/>
      <c r="Y184" s="24"/>
      <c r="Z184" s="24"/>
      <c r="AA184" s="24"/>
      <c r="AB184" s="24"/>
      <c r="AC184" s="112"/>
      <c r="AD184" s="112"/>
      <c r="AE184" s="118">
        <v>54535009</v>
      </c>
      <c r="AF184" s="111"/>
      <c r="AG184" s="115" t="s">
        <v>115</v>
      </c>
      <c r="AH184" s="115" t="s">
        <v>844</v>
      </c>
      <c r="AI184" s="115" t="s">
        <v>845</v>
      </c>
      <c r="AJ184" s="24"/>
      <c r="AK184" s="24"/>
      <c r="AL184" s="24"/>
    </row>
    <row r="185" spans="1:38" ht="12.75" customHeight="1">
      <c r="A185" s="22">
        <v>183</v>
      </c>
      <c r="B185" s="161" t="s">
        <v>846</v>
      </c>
      <c r="C185" s="24" t="s">
        <v>180</v>
      </c>
      <c r="D185" s="124" t="s">
        <v>821</v>
      </c>
      <c r="E185" s="24" t="s">
        <v>772</v>
      </c>
      <c r="F185" s="24">
        <v>1</v>
      </c>
      <c r="G185" s="24" t="s">
        <v>494</v>
      </c>
      <c r="H185" s="24"/>
      <c r="I185" s="111"/>
      <c r="J185" s="160"/>
      <c r="K185" s="124"/>
      <c r="L185" s="124"/>
      <c r="M185" s="124"/>
      <c r="N185" s="161" t="s">
        <v>846</v>
      </c>
      <c r="O185" s="126"/>
      <c r="P185" s="124"/>
      <c r="Q185" s="111"/>
      <c r="R185" s="24"/>
      <c r="S185" s="124"/>
      <c r="T185" s="111"/>
      <c r="U185" s="112"/>
      <c r="V185" s="112"/>
      <c r="W185" s="24"/>
      <c r="X185" s="24"/>
      <c r="Y185" s="24"/>
      <c r="Z185" s="24"/>
      <c r="AA185" s="24"/>
      <c r="AB185" s="24"/>
      <c r="AC185" s="119"/>
      <c r="AD185" s="119"/>
      <c r="AE185" s="120"/>
      <c r="AF185" s="127"/>
      <c r="AG185" s="115" t="s">
        <v>115</v>
      </c>
      <c r="AH185" s="115" t="s">
        <v>847</v>
      </c>
      <c r="AI185" s="115" t="s">
        <v>848</v>
      </c>
      <c r="AJ185" s="24"/>
      <c r="AK185" s="24"/>
      <c r="AL185" s="24"/>
    </row>
    <row r="186" spans="1:38" ht="12.75" customHeight="1">
      <c r="A186" s="22">
        <v>184</v>
      </c>
      <c r="B186" s="161" t="s">
        <v>849</v>
      </c>
      <c r="C186" s="24" t="s">
        <v>180</v>
      </c>
      <c r="D186" s="124" t="s">
        <v>821</v>
      </c>
      <c r="E186" s="24" t="s">
        <v>772</v>
      </c>
      <c r="F186" s="24">
        <v>1</v>
      </c>
      <c r="G186" s="24" t="s">
        <v>494</v>
      </c>
      <c r="H186" s="24"/>
      <c r="I186" s="111"/>
      <c r="J186" s="160"/>
      <c r="K186" s="124"/>
      <c r="L186" s="124"/>
      <c r="M186" s="124"/>
      <c r="N186" s="161" t="s">
        <v>849</v>
      </c>
      <c r="O186" s="126"/>
      <c r="P186" s="124"/>
      <c r="Q186" s="111"/>
      <c r="R186" s="24"/>
      <c r="S186" s="124"/>
      <c r="T186" s="111"/>
      <c r="U186" s="112"/>
      <c r="V186" s="112"/>
      <c r="W186" s="24"/>
      <c r="X186" s="24"/>
      <c r="Y186" s="24"/>
      <c r="Z186" s="24"/>
      <c r="AA186" s="24"/>
      <c r="AB186" s="24"/>
      <c r="AC186" s="112"/>
      <c r="AD186" s="112"/>
      <c r="AE186" s="93" t="s">
        <v>745</v>
      </c>
      <c r="AF186" s="111"/>
      <c r="AG186" s="115" t="s">
        <v>115</v>
      </c>
      <c r="AH186" s="115" t="s">
        <v>406</v>
      </c>
      <c r="AI186" s="115" t="s">
        <v>407</v>
      </c>
      <c r="AJ186" s="24"/>
      <c r="AK186" s="24"/>
      <c r="AL186" s="24"/>
    </row>
    <row r="187" spans="1:38" ht="12.75" customHeight="1">
      <c r="A187" s="22">
        <v>185</v>
      </c>
      <c r="B187" s="124" t="s">
        <v>850</v>
      </c>
      <c r="C187" s="24" t="s">
        <v>96</v>
      </c>
      <c r="D187" s="24"/>
      <c r="E187" s="24" t="s">
        <v>772</v>
      </c>
      <c r="F187" s="24">
        <v>1</v>
      </c>
      <c r="G187" s="24" t="s">
        <v>494</v>
      </c>
      <c r="H187" s="24"/>
      <c r="I187" s="111"/>
      <c r="J187" s="124" t="s">
        <v>850</v>
      </c>
      <c r="K187" s="124" t="s">
        <v>852</v>
      </c>
      <c r="L187" s="124" t="s">
        <v>853</v>
      </c>
      <c r="M187" s="124" t="s">
        <v>111</v>
      </c>
      <c r="N187" s="161"/>
      <c r="O187" s="126"/>
      <c r="P187" s="124"/>
      <c r="Q187" s="111"/>
      <c r="R187" s="24"/>
      <c r="S187" s="124" t="s">
        <v>208</v>
      </c>
      <c r="T187" s="111"/>
      <c r="U187" s="112"/>
      <c r="V187" s="112"/>
      <c r="W187" s="24"/>
      <c r="X187" s="24"/>
      <c r="Y187" s="24"/>
      <c r="Z187" s="24"/>
      <c r="AA187" s="24"/>
      <c r="AB187" s="24"/>
      <c r="AC187" s="119"/>
      <c r="AD187" s="119"/>
      <c r="AE187" s="120"/>
      <c r="AF187" s="127"/>
      <c r="AG187" s="115" t="s">
        <v>854</v>
      </c>
      <c r="AH187" s="115" t="s">
        <v>855</v>
      </c>
      <c r="AI187" s="115" t="s">
        <v>856</v>
      </c>
      <c r="AJ187" s="24"/>
      <c r="AK187" s="24"/>
      <c r="AL187" s="24"/>
    </row>
    <row r="188" spans="1:38" ht="12.75" customHeight="1">
      <c r="A188" s="22">
        <v>186</v>
      </c>
      <c r="B188" s="124" t="s">
        <v>857</v>
      </c>
      <c r="C188" s="24" t="s">
        <v>96</v>
      </c>
      <c r="D188" s="24"/>
      <c r="E188" s="24" t="s">
        <v>772</v>
      </c>
      <c r="F188" s="24">
        <v>1</v>
      </c>
      <c r="G188" s="24" t="s">
        <v>494</v>
      </c>
      <c r="H188" s="24"/>
      <c r="I188" s="111"/>
      <c r="J188" s="124" t="s">
        <v>857</v>
      </c>
      <c r="K188" s="124" t="s">
        <v>858</v>
      </c>
      <c r="L188" s="124" t="s">
        <v>859</v>
      </c>
      <c r="M188" s="124" t="s">
        <v>111</v>
      </c>
      <c r="N188" s="161"/>
      <c r="O188" s="126"/>
      <c r="P188" s="124"/>
      <c r="Q188" s="111"/>
      <c r="R188" s="24"/>
      <c r="S188" s="124" t="s">
        <v>208</v>
      </c>
      <c r="T188" s="111"/>
      <c r="U188" s="112"/>
      <c r="V188" s="112"/>
      <c r="W188" s="24"/>
      <c r="X188" s="24"/>
      <c r="Y188" s="24"/>
      <c r="Z188" s="24"/>
      <c r="AA188" s="24"/>
      <c r="AB188" s="24"/>
      <c r="AC188" s="112"/>
      <c r="AD188" s="112"/>
      <c r="AE188" s="25"/>
      <c r="AF188" s="174" t="s">
        <v>413</v>
      </c>
      <c r="AG188" s="115" t="s">
        <v>825</v>
      </c>
      <c r="AH188" s="115" t="s">
        <v>415</v>
      </c>
      <c r="AI188" s="115" t="s">
        <v>416</v>
      </c>
      <c r="AJ188" s="24"/>
      <c r="AK188" s="24"/>
      <c r="AL188" s="24"/>
    </row>
    <row r="189" spans="1:38" ht="12.75" customHeight="1">
      <c r="A189" s="22">
        <v>187</v>
      </c>
      <c r="B189" s="160" t="s">
        <v>861</v>
      </c>
      <c r="C189" s="24" t="s">
        <v>96</v>
      </c>
      <c r="D189" s="24"/>
      <c r="E189" s="24" t="s">
        <v>772</v>
      </c>
      <c r="F189" s="24">
        <v>1</v>
      </c>
      <c r="G189" s="24" t="s">
        <v>494</v>
      </c>
      <c r="H189" s="24"/>
      <c r="I189" s="111"/>
      <c r="J189" s="160" t="s">
        <v>861</v>
      </c>
      <c r="K189" s="124" t="s">
        <v>862</v>
      </c>
      <c r="L189" s="124" t="s">
        <v>863</v>
      </c>
      <c r="M189" s="124" t="s">
        <v>238</v>
      </c>
      <c r="N189" s="124"/>
      <c r="O189" s="126"/>
      <c r="P189" s="124" t="s">
        <v>695</v>
      </c>
      <c r="Q189" s="111"/>
      <c r="R189" s="24"/>
      <c r="S189" s="124" t="s">
        <v>208</v>
      </c>
      <c r="T189" s="111"/>
      <c r="U189" s="112"/>
      <c r="V189" s="112"/>
      <c r="W189" s="24"/>
      <c r="X189" s="24"/>
      <c r="Y189" s="24"/>
      <c r="Z189" s="24"/>
      <c r="AA189" s="24"/>
      <c r="AB189" s="24"/>
      <c r="AC189" s="112"/>
      <c r="AD189" s="112"/>
      <c r="AE189" s="175" t="s">
        <v>864</v>
      </c>
      <c r="AF189" s="176" t="s">
        <v>866</v>
      </c>
      <c r="AG189" s="115" t="s">
        <v>115</v>
      </c>
      <c r="AH189" s="116" t="s">
        <v>867</v>
      </c>
      <c r="AI189" s="115" t="s">
        <v>868</v>
      </c>
      <c r="AJ189" s="24"/>
      <c r="AK189" s="24"/>
      <c r="AL189" s="24"/>
    </row>
    <row r="190" spans="1:38" ht="12.75" customHeight="1">
      <c r="A190" s="22">
        <v>188</v>
      </c>
      <c r="B190" s="124" t="s">
        <v>423</v>
      </c>
      <c r="C190" s="24" t="s">
        <v>180</v>
      </c>
      <c r="D190" s="160" t="s">
        <v>861</v>
      </c>
      <c r="E190" s="24" t="s">
        <v>772</v>
      </c>
      <c r="F190" s="24">
        <v>1</v>
      </c>
      <c r="G190" s="24" t="s">
        <v>494</v>
      </c>
      <c r="H190" s="24"/>
      <c r="I190" s="111"/>
      <c r="J190" s="160"/>
      <c r="K190" s="124"/>
      <c r="L190" s="124"/>
      <c r="M190" s="124"/>
      <c r="N190" s="124" t="s">
        <v>423</v>
      </c>
      <c r="O190" s="126"/>
      <c r="P190" s="124"/>
      <c r="Q190" s="111"/>
      <c r="R190" s="24"/>
      <c r="S190" s="124"/>
      <c r="T190" s="111"/>
      <c r="U190" s="112"/>
      <c r="V190" s="112"/>
      <c r="W190" s="24"/>
      <c r="X190" s="24"/>
      <c r="Y190" s="24"/>
      <c r="Z190" s="24"/>
      <c r="AA190" s="24"/>
      <c r="AB190" s="24"/>
      <c r="AC190" s="112"/>
      <c r="AD190" s="112"/>
      <c r="AE190" s="113">
        <v>260413007</v>
      </c>
      <c r="AF190" s="177"/>
      <c r="AG190" s="115" t="s">
        <v>115</v>
      </c>
      <c r="AH190" s="115" t="s">
        <v>424</v>
      </c>
      <c r="AI190" s="115" t="s">
        <v>425</v>
      </c>
      <c r="AJ190" s="24"/>
      <c r="AK190" s="24"/>
      <c r="AL190" s="24"/>
    </row>
    <row r="191" spans="1:38" ht="12.75" customHeight="1">
      <c r="A191" s="22">
        <v>189</v>
      </c>
      <c r="B191" s="124" t="s">
        <v>500</v>
      </c>
      <c r="C191" s="24" t="s">
        <v>180</v>
      </c>
      <c r="D191" s="160" t="s">
        <v>861</v>
      </c>
      <c r="E191" s="24" t="s">
        <v>772</v>
      </c>
      <c r="F191" s="24">
        <v>1</v>
      </c>
      <c r="G191" s="24" t="s">
        <v>494</v>
      </c>
      <c r="H191" s="24"/>
      <c r="I191" s="111"/>
      <c r="J191" s="160"/>
      <c r="K191" s="124"/>
      <c r="L191" s="124"/>
      <c r="M191" s="124"/>
      <c r="N191" s="124" t="s">
        <v>500</v>
      </c>
      <c r="O191" s="126"/>
      <c r="P191" s="124"/>
      <c r="Q191" s="111"/>
      <c r="R191" s="24"/>
      <c r="S191" s="124"/>
      <c r="T191" s="111"/>
      <c r="U191" s="112"/>
      <c r="V191" s="112"/>
      <c r="W191" s="24"/>
      <c r="X191" s="24"/>
      <c r="Y191" s="24"/>
      <c r="Z191" s="24"/>
      <c r="AA191" s="24"/>
      <c r="AB191" s="24"/>
      <c r="AC191" s="112"/>
      <c r="AD191" s="112"/>
      <c r="AE191" s="113">
        <v>261665006</v>
      </c>
      <c r="AF191" s="111"/>
      <c r="AG191" s="115" t="s">
        <v>115</v>
      </c>
      <c r="AH191" s="115" t="s">
        <v>501</v>
      </c>
      <c r="AI191" s="115" t="s">
        <v>503</v>
      </c>
      <c r="AJ191" s="24"/>
      <c r="AK191" s="24"/>
      <c r="AL191" s="24"/>
    </row>
    <row r="192" spans="1:38" ht="12.75" customHeight="1">
      <c r="A192" s="22">
        <v>190</v>
      </c>
      <c r="B192" s="124" t="s">
        <v>869</v>
      </c>
      <c r="C192" s="24" t="s">
        <v>180</v>
      </c>
      <c r="D192" s="160" t="s">
        <v>861</v>
      </c>
      <c r="E192" s="24" t="s">
        <v>772</v>
      </c>
      <c r="F192" s="24">
        <v>1</v>
      </c>
      <c r="G192" s="24" t="s">
        <v>494</v>
      </c>
      <c r="H192" s="24"/>
      <c r="I192" s="111"/>
      <c r="J192" s="160"/>
      <c r="K192" s="124"/>
      <c r="L192" s="124"/>
      <c r="M192" s="124"/>
      <c r="N192" s="124" t="s">
        <v>869</v>
      </c>
      <c r="O192" s="126"/>
      <c r="P192" s="124"/>
      <c r="Q192" s="111"/>
      <c r="R192" s="24"/>
      <c r="S192" s="124"/>
      <c r="T192" s="111"/>
      <c r="U192" s="112"/>
      <c r="V192" s="112"/>
      <c r="W192" s="24"/>
      <c r="X192" s="24"/>
      <c r="Y192" s="24"/>
      <c r="Z192" s="24"/>
      <c r="AA192" s="24"/>
      <c r="AB192" s="24"/>
      <c r="AC192" s="112"/>
      <c r="AD192" s="112"/>
      <c r="AE192" s="121">
        <v>85828009</v>
      </c>
      <c r="AF192" s="111"/>
      <c r="AG192" s="115" t="s">
        <v>115</v>
      </c>
      <c r="AH192" s="115" t="s">
        <v>870</v>
      </c>
      <c r="AI192" s="116" t="s">
        <v>871</v>
      </c>
      <c r="AJ192" s="24"/>
      <c r="AK192" s="24"/>
      <c r="AL192" s="24"/>
    </row>
    <row r="193" spans="1:38" ht="12.75" customHeight="1">
      <c r="A193" s="22">
        <v>191</v>
      </c>
      <c r="B193" s="124" t="s">
        <v>872</v>
      </c>
      <c r="C193" s="24" t="s">
        <v>180</v>
      </c>
      <c r="D193" s="160" t="s">
        <v>861</v>
      </c>
      <c r="E193" s="24" t="s">
        <v>772</v>
      </c>
      <c r="F193" s="24">
        <v>1</v>
      </c>
      <c r="G193" s="24" t="s">
        <v>494</v>
      </c>
      <c r="H193" s="24"/>
      <c r="I193" s="111"/>
      <c r="J193" s="160"/>
      <c r="K193" s="124"/>
      <c r="L193" s="124"/>
      <c r="M193" s="124"/>
      <c r="N193" s="124" t="s">
        <v>872</v>
      </c>
      <c r="O193" s="126"/>
      <c r="P193" s="124"/>
      <c r="Q193" s="111"/>
      <c r="R193" s="24"/>
      <c r="S193" s="124"/>
      <c r="T193" s="111"/>
      <c r="U193" s="112"/>
      <c r="V193" s="112"/>
      <c r="W193" s="24"/>
      <c r="X193" s="24"/>
      <c r="Y193" s="24"/>
      <c r="Z193" s="24"/>
      <c r="AA193" s="24"/>
      <c r="AB193" s="24"/>
      <c r="AC193" s="119"/>
      <c r="AD193" s="119"/>
      <c r="AE193" s="120"/>
      <c r="AF193" s="127"/>
      <c r="AG193" s="115" t="s">
        <v>115</v>
      </c>
      <c r="AH193" s="115" t="s">
        <v>873</v>
      </c>
      <c r="AI193" s="116" t="s">
        <v>874</v>
      </c>
      <c r="AJ193" s="24"/>
      <c r="AK193" s="24"/>
      <c r="AL193" s="24"/>
    </row>
    <row r="194" spans="1:38" ht="12.75" customHeight="1">
      <c r="A194" s="22">
        <v>192</v>
      </c>
      <c r="B194" s="124" t="s">
        <v>875</v>
      </c>
      <c r="C194" s="24" t="s">
        <v>180</v>
      </c>
      <c r="D194" s="160" t="s">
        <v>861</v>
      </c>
      <c r="E194" s="24" t="s">
        <v>772</v>
      </c>
      <c r="F194" s="24">
        <v>1</v>
      </c>
      <c r="G194" s="24" t="s">
        <v>494</v>
      </c>
      <c r="H194" s="24"/>
      <c r="I194" s="111"/>
      <c r="J194" s="160"/>
      <c r="K194" s="124"/>
      <c r="L194" s="124"/>
      <c r="M194" s="124"/>
      <c r="N194" s="124" t="s">
        <v>875</v>
      </c>
      <c r="O194" s="126"/>
      <c r="P194" s="124"/>
      <c r="Q194" s="111"/>
      <c r="R194" s="24"/>
      <c r="S194" s="124"/>
      <c r="T194" s="111"/>
      <c r="U194" s="112"/>
      <c r="V194" s="112"/>
      <c r="W194" s="24"/>
      <c r="X194" s="24"/>
      <c r="Y194" s="24"/>
      <c r="Z194" s="24"/>
      <c r="AA194" s="24"/>
      <c r="AB194" s="24"/>
      <c r="AC194" s="180" t="s">
        <v>876</v>
      </c>
      <c r="AD194" s="112"/>
      <c r="AE194" s="121">
        <v>266987004</v>
      </c>
      <c r="AF194" s="111"/>
      <c r="AG194" s="115" t="s">
        <v>115</v>
      </c>
      <c r="AH194" s="115" t="s">
        <v>877</v>
      </c>
      <c r="AI194" s="115" t="s">
        <v>878</v>
      </c>
      <c r="AJ194" s="24"/>
      <c r="AK194" s="24"/>
      <c r="AL194" s="24"/>
    </row>
    <row r="195" spans="1:38" ht="12.75" customHeight="1">
      <c r="A195" s="22">
        <v>193</v>
      </c>
      <c r="B195" s="124" t="s">
        <v>879</v>
      </c>
      <c r="C195" s="24" t="s">
        <v>180</v>
      </c>
      <c r="D195" s="160" t="s">
        <v>861</v>
      </c>
      <c r="E195" s="24" t="s">
        <v>772</v>
      </c>
      <c r="F195" s="24">
        <v>1</v>
      </c>
      <c r="G195" s="24" t="s">
        <v>494</v>
      </c>
      <c r="H195" s="24"/>
      <c r="I195" s="111"/>
      <c r="J195" s="160"/>
      <c r="K195" s="124"/>
      <c r="L195" s="124"/>
      <c r="M195" s="124"/>
      <c r="N195" s="124" t="s">
        <v>879</v>
      </c>
      <c r="O195" s="126"/>
      <c r="P195" s="124"/>
      <c r="Q195" s="111"/>
      <c r="R195" s="24"/>
      <c r="S195" s="124"/>
      <c r="T195" s="111"/>
      <c r="U195" s="112"/>
      <c r="V195" s="112"/>
      <c r="W195" s="24"/>
      <c r="X195" s="24"/>
      <c r="Y195" s="24"/>
      <c r="Z195" s="24"/>
      <c r="AA195" s="24"/>
      <c r="AB195" s="24"/>
      <c r="AC195" s="181" t="s">
        <v>880</v>
      </c>
      <c r="AD195" s="112"/>
      <c r="AE195" s="113">
        <v>73211009</v>
      </c>
      <c r="AF195" s="111"/>
      <c r="AG195" s="115" t="s">
        <v>115</v>
      </c>
      <c r="AH195" s="115" t="s">
        <v>881</v>
      </c>
      <c r="AI195" s="115" t="s">
        <v>882</v>
      </c>
      <c r="AJ195" s="24"/>
      <c r="AK195" s="24"/>
      <c r="AL195" s="24"/>
    </row>
    <row r="196" spans="1:38" ht="12.75" customHeight="1">
      <c r="A196" s="22">
        <v>194</v>
      </c>
      <c r="B196" s="124" t="s">
        <v>883</v>
      </c>
      <c r="C196" s="24" t="s">
        <v>180</v>
      </c>
      <c r="D196" s="160" t="s">
        <v>861</v>
      </c>
      <c r="E196" s="24" t="s">
        <v>772</v>
      </c>
      <c r="F196" s="24">
        <v>1</v>
      </c>
      <c r="G196" s="24" t="s">
        <v>494</v>
      </c>
      <c r="H196" s="24"/>
      <c r="I196" s="111"/>
      <c r="J196" s="160"/>
      <c r="K196" s="124"/>
      <c r="L196" s="124"/>
      <c r="M196" s="124"/>
      <c r="N196" s="124" t="s">
        <v>883</v>
      </c>
      <c r="O196" s="126"/>
      <c r="P196" s="124"/>
      <c r="Q196" s="111"/>
      <c r="R196" s="24"/>
      <c r="S196" s="124"/>
      <c r="T196" s="111"/>
      <c r="U196" s="112"/>
      <c r="V196" s="112"/>
      <c r="W196" s="24"/>
      <c r="X196" s="24"/>
      <c r="Y196" s="24"/>
      <c r="Z196" s="24"/>
      <c r="AA196" s="24"/>
      <c r="AB196" s="24"/>
      <c r="AC196" s="177" t="s">
        <v>884</v>
      </c>
      <c r="AD196" s="112"/>
      <c r="AE196" s="113">
        <v>84757009</v>
      </c>
      <c r="AF196" s="111"/>
      <c r="AG196" s="115" t="s">
        <v>115</v>
      </c>
      <c r="AH196" s="115" t="s">
        <v>885</v>
      </c>
      <c r="AI196" s="115" t="s">
        <v>886</v>
      </c>
      <c r="AJ196" s="24"/>
      <c r="AK196" s="24"/>
      <c r="AL196" s="24"/>
    </row>
    <row r="197" spans="1:38" ht="12.75" customHeight="1">
      <c r="A197" s="22">
        <v>195</v>
      </c>
      <c r="B197" s="124" t="s">
        <v>887</v>
      </c>
      <c r="C197" s="24" t="s">
        <v>180</v>
      </c>
      <c r="D197" s="160" t="s">
        <v>861</v>
      </c>
      <c r="E197" s="24" t="s">
        <v>772</v>
      </c>
      <c r="F197" s="24">
        <v>1</v>
      </c>
      <c r="G197" s="24" t="s">
        <v>494</v>
      </c>
      <c r="H197" s="24"/>
      <c r="I197" s="111"/>
      <c r="J197" s="160"/>
      <c r="K197" s="124"/>
      <c r="L197" s="124"/>
      <c r="M197" s="124"/>
      <c r="N197" s="124" t="s">
        <v>887</v>
      </c>
      <c r="O197" s="126"/>
      <c r="P197" s="124"/>
      <c r="Q197" s="111"/>
      <c r="R197" s="24"/>
      <c r="S197" s="124"/>
      <c r="T197" s="111"/>
      <c r="U197" s="112"/>
      <c r="V197" s="112"/>
      <c r="W197" s="24"/>
      <c r="X197" s="24"/>
      <c r="Y197" s="24"/>
      <c r="Z197" s="24"/>
      <c r="AA197" s="24"/>
      <c r="AB197" s="24"/>
      <c r="AC197" s="112"/>
      <c r="AD197" s="112"/>
      <c r="AE197" s="113">
        <v>165816005</v>
      </c>
      <c r="AF197" s="111"/>
      <c r="AG197" s="115" t="s">
        <v>115</v>
      </c>
      <c r="AH197" s="115" t="s">
        <v>888</v>
      </c>
      <c r="AI197" s="115" t="s">
        <v>889</v>
      </c>
      <c r="AJ197" s="24"/>
      <c r="AK197" s="24"/>
      <c r="AL197" s="24"/>
    </row>
    <row r="198" spans="1:38" ht="12.75" customHeight="1">
      <c r="A198" s="22">
        <v>196</v>
      </c>
      <c r="B198" s="124" t="s">
        <v>890</v>
      </c>
      <c r="C198" s="24" t="s">
        <v>180</v>
      </c>
      <c r="D198" s="160" t="s">
        <v>861</v>
      </c>
      <c r="E198" s="24" t="s">
        <v>772</v>
      </c>
      <c r="F198" s="24">
        <v>1</v>
      </c>
      <c r="G198" s="24" t="s">
        <v>494</v>
      </c>
      <c r="H198" s="24"/>
      <c r="I198" s="111"/>
      <c r="J198" s="160"/>
      <c r="K198" s="124"/>
      <c r="L198" s="124"/>
      <c r="M198" s="124"/>
      <c r="N198" s="124" t="s">
        <v>890</v>
      </c>
      <c r="O198" s="126"/>
      <c r="P198" s="124"/>
      <c r="Q198" s="111"/>
      <c r="R198" s="24"/>
      <c r="S198" s="124"/>
      <c r="T198" s="111"/>
      <c r="U198" s="112"/>
      <c r="V198" s="112"/>
      <c r="W198" s="24"/>
      <c r="X198" s="24"/>
      <c r="Y198" s="24"/>
      <c r="Z198" s="24"/>
      <c r="AA198" s="24"/>
      <c r="AB198" s="24"/>
      <c r="AC198" s="138" t="s">
        <v>891</v>
      </c>
      <c r="AD198" s="112"/>
      <c r="AE198" s="113">
        <v>38341003</v>
      </c>
      <c r="AF198" s="111"/>
      <c r="AG198" s="115" t="s">
        <v>115</v>
      </c>
      <c r="AH198" s="116" t="s">
        <v>892</v>
      </c>
      <c r="AI198" s="115" t="s">
        <v>893</v>
      </c>
      <c r="AJ198" s="24"/>
      <c r="AK198" s="24"/>
      <c r="AL198" s="24"/>
    </row>
    <row r="199" spans="1:38" ht="12.75" customHeight="1">
      <c r="A199" s="22">
        <v>197</v>
      </c>
      <c r="B199" s="124" t="s">
        <v>894</v>
      </c>
      <c r="C199" s="24" t="s">
        <v>180</v>
      </c>
      <c r="D199" s="160" t="s">
        <v>861</v>
      </c>
      <c r="E199" s="24" t="s">
        <v>772</v>
      </c>
      <c r="F199" s="24">
        <v>1</v>
      </c>
      <c r="G199" s="24" t="s">
        <v>494</v>
      </c>
      <c r="H199" s="24"/>
      <c r="I199" s="111"/>
      <c r="J199" s="160"/>
      <c r="K199" s="124"/>
      <c r="L199" s="124"/>
      <c r="M199" s="124"/>
      <c r="N199" s="124" t="s">
        <v>894</v>
      </c>
      <c r="O199" s="126"/>
      <c r="P199" s="124"/>
      <c r="Q199" s="111"/>
      <c r="R199" s="24"/>
      <c r="S199" s="124"/>
      <c r="T199" s="111"/>
      <c r="U199" s="112"/>
      <c r="V199" s="112"/>
      <c r="W199" s="24"/>
      <c r="X199" s="24"/>
      <c r="Y199" s="24"/>
      <c r="Z199" s="24"/>
      <c r="AA199" s="24"/>
      <c r="AB199" s="24"/>
      <c r="AC199" s="180" t="s">
        <v>895</v>
      </c>
      <c r="AD199" s="112"/>
      <c r="AE199" s="113">
        <v>90708001</v>
      </c>
      <c r="AF199" s="111"/>
      <c r="AG199" s="115" t="s">
        <v>115</v>
      </c>
      <c r="AH199" s="115" t="s">
        <v>896</v>
      </c>
      <c r="AI199" s="115" t="s">
        <v>897</v>
      </c>
      <c r="AJ199" s="24"/>
      <c r="AK199" s="24"/>
      <c r="AL199" s="24"/>
    </row>
    <row r="200" spans="1:38" ht="12.75" customHeight="1">
      <c r="A200" s="22">
        <v>198</v>
      </c>
      <c r="B200" s="124" t="s">
        <v>405</v>
      </c>
      <c r="C200" s="24" t="s">
        <v>180</v>
      </c>
      <c r="D200" s="160" t="s">
        <v>861</v>
      </c>
      <c r="E200" s="24" t="s">
        <v>772</v>
      </c>
      <c r="F200" s="24">
        <v>1</v>
      </c>
      <c r="G200" s="24" t="s">
        <v>494</v>
      </c>
      <c r="H200" s="24"/>
      <c r="I200" s="111"/>
      <c r="J200" s="160"/>
      <c r="K200" s="124"/>
      <c r="L200" s="124"/>
      <c r="M200" s="124"/>
      <c r="N200" s="124" t="s">
        <v>405</v>
      </c>
      <c r="O200" s="126"/>
      <c r="P200" s="124"/>
      <c r="Q200" s="111"/>
      <c r="R200" s="24"/>
      <c r="S200" s="124"/>
      <c r="T200" s="111"/>
      <c r="U200" s="112"/>
      <c r="V200" s="112"/>
      <c r="W200" s="24"/>
      <c r="X200" s="24"/>
      <c r="Y200" s="24"/>
      <c r="Z200" s="24"/>
      <c r="AA200" s="24"/>
      <c r="AB200" s="24"/>
      <c r="AC200" s="112"/>
      <c r="AD200" s="112"/>
      <c r="AE200" s="93" t="s">
        <v>745</v>
      </c>
      <c r="AF200" s="111"/>
      <c r="AG200" s="115" t="s">
        <v>115</v>
      </c>
      <c r="AH200" s="115" t="s">
        <v>406</v>
      </c>
      <c r="AI200" s="115" t="s">
        <v>407</v>
      </c>
      <c r="AJ200" s="24"/>
      <c r="AK200" s="24"/>
      <c r="AL200" s="24"/>
    </row>
    <row r="201" spans="1:38" ht="12.75" customHeight="1">
      <c r="A201" s="22">
        <v>199</v>
      </c>
      <c r="B201" s="124" t="s">
        <v>898</v>
      </c>
      <c r="C201" s="24" t="s">
        <v>96</v>
      </c>
      <c r="D201" s="24"/>
      <c r="E201" s="24" t="s">
        <v>772</v>
      </c>
      <c r="F201" s="24">
        <v>1</v>
      </c>
      <c r="G201" s="24" t="s">
        <v>494</v>
      </c>
      <c r="H201" s="24"/>
      <c r="I201" s="111"/>
      <c r="J201" s="124" t="s">
        <v>409</v>
      </c>
      <c r="K201" s="124" t="s">
        <v>899</v>
      </c>
      <c r="L201" s="124" t="s">
        <v>900</v>
      </c>
      <c r="M201" s="124" t="s">
        <v>111</v>
      </c>
      <c r="N201" s="124"/>
      <c r="O201" s="126"/>
      <c r="P201" s="124"/>
      <c r="Q201" s="111"/>
      <c r="R201" s="24"/>
      <c r="S201" s="124" t="s">
        <v>208</v>
      </c>
      <c r="T201" s="111"/>
      <c r="U201" s="112"/>
      <c r="V201" s="112"/>
      <c r="W201" s="24"/>
      <c r="X201" s="24"/>
      <c r="Y201" s="24"/>
      <c r="Z201" s="24"/>
      <c r="AA201" s="24"/>
      <c r="AB201" s="24"/>
      <c r="AC201" s="112"/>
      <c r="AD201" s="112"/>
      <c r="AE201" s="182"/>
      <c r="AF201" s="111"/>
      <c r="AG201" s="115" t="s">
        <v>115</v>
      </c>
      <c r="AH201" s="115" t="s">
        <v>115</v>
      </c>
      <c r="AI201" s="115" t="s">
        <v>115</v>
      </c>
      <c r="AJ201" s="24"/>
      <c r="AK201" s="24"/>
      <c r="AL201" s="24"/>
    </row>
    <row r="202" spans="1:38" ht="12.75" customHeight="1">
      <c r="A202" s="22">
        <v>200</v>
      </c>
      <c r="B202" s="124" t="s">
        <v>901</v>
      </c>
      <c r="C202" s="24" t="s">
        <v>96</v>
      </c>
      <c r="D202" s="24"/>
      <c r="E202" s="24" t="s">
        <v>772</v>
      </c>
      <c r="F202" s="24">
        <v>1</v>
      </c>
      <c r="G202" s="24" t="s">
        <v>494</v>
      </c>
      <c r="H202" s="24"/>
      <c r="I202" s="111"/>
      <c r="J202" s="124" t="s">
        <v>901</v>
      </c>
      <c r="K202" s="124" t="s">
        <v>902</v>
      </c>
      <c r="L202" s="124" t="s">
        <v>903</v>
      </c>
      <c r="M202" s="124" t="s">
        <v>140</v>
      </c>
      <c r="N202" s="161"/>
      <c r="O202" s="126"/>
      <c r="P202" s="124" t="s">
        <v>904</v>
      </c>
      <c r="Q202" s="111"/>
      <c r="R202" s="24"/>
      <c r="S202" s="124" t="s">
        <v>905</v>
      </c>
      <c r="T202" s="111"/>
      <c r="U202" s="112"/>
      <c r="V202" s="112"/>
      <c r="W202" s="24"/>
      <c r="X202" s="24"/>
      <c r="Y202" s="24"/>
      <c r="Z202" s="24"/>
      <c r="AA202" s="24"/>
      <c r="AB202" s="24"/>
      <c r="AC202" s="112"/>
      <c r="AD202" s="112"/>
      <c r="AE202" s="93" t="s">
        <v>906</v>
      </c>
      <c r="AF202" s="111"/>
      <c r="AG202" s="115" t="s">
        <v>115</v>
      </c>
      <c r="AH202" s="115" t="s">
        <v>907</v>
      </c>
      <c r="AI202" s="115" t="s">
        <v>908</v>
      </c>
      <c r="AJ202" s="24"/>
      <c r="AK202" s="24"/>
      <c r="AL202" s="24"/>
    </row>
    <row r="203" spans="1:38" ht="12.75" customHeight="1">
      <c r="A203" s="22">
        <v>201</v>
      </c>
      <c r="B203" s="124" t="s">
        <v>909</v>
      </c>
      <c r="C203" s="24" t="s">
        <v>96</v>
      </c>
      <c r="D203" s="24"/>
      <c r="E203" s="24" t="s">
        <v>772</v>
      </c>
      <c r="F203" s="24">
        <v>1</v>
      </c>
      <c r="G203" s="24" t="s">
        <v>494</v>
      </c>
      <c r="H203" s="24"/>
      <c r="I203" s="111"/>
      <c r="J203" s="124" t="s">
        <v>909</v>
      </c>
      <c r="K203" s="124" t="s">
        <v>910</v>
      </c>
      <c r="L203" s="124" t="s">
        <v>911</v>
      </c>
      <c r="M203" s="124" t="s">
        <v>153</v>
      </c>
      <c r="N203" s="126"/>
      <c r="O203" s="126"/>
      <c r="P203" s="126"/>
      <c r="Q203" s="111"/>
      <c r="R203" s="24"/>
      <c r="S203" s="124" t="s">
        <v>912</v>
      </c>
      <c r="T203" s="111"/>
      <c r="U203" s="112"/>
      <c r="V203" s="112"/>
      <c r="W203" s="24"/>
      <c r="X203" s="24"/>
      <c r="Y203" s="24"/>
      <c r="Z203" s="24"/>
      <c r="AA203" s="24"/>
      <c r="AB203" s="24"/>
      <c r="AC203" s="119"/>
      <c r="AD203" s="119"/>
      <c r="AE203" s="120"/>
      <c r="AF203" s="127"/>
      <c r="AG203" s="115" t="s">
        <v>115</v>
      </c>
      <c r="AH203" s="115" t="s">
        <v>913</v>
      </c>
      <c r="AI203" s="115" t="s">
        <v>914</v>
      </c>
      <c r="AJ203" s="24"/>
      <c r="AK203" s="24"/>
      <c r="AL203" s="24"/>
    </row>
    <row r="204" spans="1:38" ht="12.75" customHeight="1">
      <c r="A204" s="22">
        <v>202</v>
      </c>
      <c r="B204" s="184" t="s">
        <v>915</v>
      </c>
      <c r="C204" s="24" t="s">
        <v>65</v>
      </c>
      <c r="D204" s="24"/>
      <c r="E204" s="24" t="s">
        <v>772</v>
      </c>
      <c r="F204" s="24">
        <v>1</v>
      </c>
      <c r="G204" s="24" t="s">
        <v>494</v>
      </c>
      <c r="H204" s="24"/>
      <c r="I204" s="111"/>
      <c r="J204" s="184" t="s">
        <v>115</v>
      </c>
      <c r="K204" s="184" t="s">
        <v>916</v>
      </c>
      <c r="L204" s="184" t="s">
        <v>917</v>
      </c>
      <c r="M204" s="184" t="s">
        <v>65</v>
      </c>
      <c r="N204" s="184"/>
      <c r="O204" s="184" t="s">
        <v>918</v>
      </c>
      <c r="P204" s="126"/>
      <c r="Q204" s="111"/>
      <c r="R204" s="24"/>
      <c r="S204" s="184" t="s">
        <v>115</v>
      </c>
      <c r="T204" s="111"/>
      <c r="U204" s="112"/>
      <c r="V204" s="112"/>
      <c r="W204" s="24"/>
      <c r="X204" s="24"/>
      <c r="Y204" s="24"/>
      <c r="Z204" s="24"/>
      <c r="AA204" s="24"/>
      <c r="AB204" s="24"/>
      <c r="AC204" s="180" t="s">
        <v>919</v>
      </c>
      <c r="AD204" s="112"/>
      <c r="AE204" s="121">
        <v>165816005</v>
      </c>
      <c r="AF204" s="111"/>
      <c r="AG204" s="115" t="s">
        <v>115</v>
      </c>
      <c r="AH204" s="115" t="s">
        <v>888</v>
      </c>
      <c r="AI204" s="115" t="s">
        <v>889</v>
      </c>
      <c r="AJ204" s="24"/>
      <c r="AK204" s="24"/>
      <c r="AL204" s="24"/>
    </row>
    <row r="205" spans="1:38" ht="12.75" customHeight="1">
      <c r="A205" s="22">
        <v>203</v>
      </c>
      <c r="B205" s="124" t="s">
        <v>920</v>
      </c>
      <c r="C205" s="24" t="s">
        <v>96</v>
      </c>
      <c r="D205" s="24"/>
      <c r="E205" s="24" t="s">
        <v>921</v>
      </c>
      <c r="F205" s="24">
        <v>1</v>
      </c>
      <c r="G205" s="24" t="s">
        <v>494</v>
      </c>
      <c r="H205" s="24"/>
      <c r="I205" s="111"/>
      <c r="J205" s="124" t="s">
        <v>920</v>
      </c>
      <c r="K205" s="124" t="s">
        <v>922</v>
      </c>
      <c r="L205" s="124" t="s">
        <v>923</v>
      </c>
      <c r="M205" s="124" t="s">
        <v>202</v>
      </c>
      <c r="N205" s="124"/>
      <c r="O205" s="126"/>
      <c r="P205" s="126"/>
      <c r="Q205" s="111"/>
      <c r="R205" s="24"/>
      <c r="S205" s="124" t="s">
        <v>113</v>
      </c>
      <c r="T205" s="111"/>
      <c r="U205" s="112"/>
      <c r="V205" s="112"/>
      <c r="W205" s="24"/>
      <c r="X205" s="24"/>
      <c r="Y205" s="24"/>
      <c r="Z205" s="24"/>
      <c r="AA205" s="24"/>
      <c r="AB205" s="24"/>
      <c r="AC205" s="119"/>
      <c r="AD205" s="119"/>
      <c r="AE205" s="120"/>
      <c r="AF205" s="127"/>
      <c r="AG205" s="115" t="s">
        <v>115</v>
      </c>
      <c r="AH205" s="115" t="s">
        <v>924</v>
      </c>
      <c r="AI205" s="115" t="s">
        <v>925</v>
      </c>
      <c r="AJ205" s="24"/>
      <c r="AK205" s="24"/>
      <c r="AL205" s="24"/>
    </row>
    <row r="206" spans="1:38" ht="12.75" customHeight="1">
      <c r="A206" s="22">
        <v>204</v>
      </c>
      <c r="B206" s="124" t="s">
        <v>926</v>
      </c>
      <c r="C206" s="24" t="s">
        <v>180</v>
      </c>
      <c r="D206" s="124" t="s">
        <v>920</v>
      </c>
      <c r="E206" s="24" t="s">
        <v>921</v>
      </c>
      <c r="F206" s="24">
        <v>1</v>
      </c>
      <c r="G206" s="24" t="s">
        <v>494</v>
      </c>
      <c r="H206" s="24"/>
      <c r="I206" s="111"/>
      <c r="J206" s="124"/>
      <c r="K206" s="124"/>
      <c r="L206" s="124"/>
      <c r="M206" s="124"/>
      <c r="N206" s="124" t="s">
        <v>926</v>
      </c>
      <c r="O206" s="126"/>
      <c r="P206" s="126"/>
      <c r="Q206" s="111"/>
      <c r="R206" s="24"/>
      <c r="S206" s="124"/>
      <c r="T206" s="111"/>
      <c r="U206" s="112"/>
      <c r="V206" s="112"/>
      <c r="W206" s="24"/>
      <c r="X206" s="24"/>
      <c r="Y206" s="24"/>
      <c r="Z206" s="24"/>
      <c r="AA206" s="24"/>
      <c r="AB206" s="24"/>
      <c r="AC206" s="112"/>
      <c r="AD206" s="112"/>
      <c r="AE206" s="93" t="s">
        <v>927</v>
      </c>
      <c r="AF206" s="111"/>
      <c r="AG206" s="115" t="s">
        <v>115</v>
      </c>
      <c r="AH206" s="115" t="s">
        <v>928</v>
      </c>
      <c r="AI206" s="115" t="s">
        <v>929</v>
      </c>
      <c r="AJ206" s="24"/>
      <c r="AK206" s="24"/>
      <c r="AL206" s="24"/>
    </row>
    <row r="207" spans="1:38" ht="12.75" customHeight="1">
      <c r="A207" s="22">
        <v>205</v>
      </c>
      <c r="B207" s="124" t="s">
        <v>930</v>
      </c>
      <c r="C207" s="24" t="s">
        <v>180</v>
      </c>
      <c r="D207" s="124" t="s">
        <v>920</v>
      </c>
      <c r="E207" s="24" t="s">
        <v>921</v>
      </c>
      <c r="F207" s="24">
        <v>1</v>
      </c>
      <c r="G207" s="24" t="s">
        <v>494</v>
      </c>
      <c r="H207" s="24"/>
      <c r="I207" s="111"/>
      <c r="J207" s="124"/>
      <c r="K207" s="124"/>
      <c r="L207" s="124"/>
      <c r="M207" s="124"/>
      <c r="N207" s="124" t="s">
        <v>930</v>
      </c>
      <c r="O207" s="126"/>
      <c r="P207" s="126"/>
      <c r="Q207" s="111"/>
      <c r="R207" s="24"/>
      <c r="S207" s="124"/>
      <c r="T207" s="111"/>
      <c r="U207" s="112"/>
      <c r="V207" s="112"/>
      <c r="W207" s="24"/>
      <c r="X207" s="24"/>
      <c r="Y207" s="24"/>
      <c r="Z207" s="24"/>
      <c r="AA207" s="24"/>
      <c r="AB207" s="24"/>
      <c r="AC207" s="119"/>
      <c r="AD207" s="119"/>
      <c r="AE207" s="120"/>
      <c r="AF207" s="127"/>
      <c r="AG207" s="115" t="s">
        <v>115</v>
      </c>
      <c r="AH207" s="115" t="s">
        <v>931</v>
      </c>
      <c r="AI207" s="115" t="s">
        <v>932</v>
      </c>
      <c r="AJ207" s="24"/>
      <c r="AK207" s="24"/>
      <c r="AL207" s="24"/>
    </row>
    <row r="208" spans="1:38" ht="12.75" customHeight="1">
      <c r="A208" s="22">
        <v>206</v>
      </c>
      <c r="B208" s="124" t="s">
        <v>933</v>
      </c>
      <c r="C208" s="24" t="s">
        <v>180</v>
      </c>
      <c r="D208" s="124" t="s">
        <v>920</v>
      </c>
      <c r="E208" s="24" t="s">
        <v>921</v>
      </c>
      <c r="F208" s="24">
        <v>1</v>
      </c>
      <c r="G208" s="24" t="s">
        <v>494</v>
      </c>
      <c r="H208" s="24"/>
      <c r="I208" s="111"/>
      <c r="J208" s="124"/>
      <c r="K208" s="124"/>
      <c r="L208" s="124"/>
      <c r="M208" s="124"/>
      <c r="N208" s="124" t="s">
        <v>933</v>
      </c>
      <c r="O208" s="126"/>
      <c r="P208" s="126"/>
      <c r="Q208" s="111"/>
      <c r="R208" s="24"/>
      <c r="S208" s="124"/>
      <c r="T208" s="111"/>
      <c r="U208" s="112"/>
      <c r="V208" s="112"/>
      <c r="W208" s="24"/>
      <c r="X208" s="24"/>
      <c r="Y208" s="24"/>
      <c r="Z208" s="24"/>
      <c r="AA208" s="24"/>
      <c r="AB208" s="24"/>
      <c r="AC208" s="119"/>
      <c r="AD208" s="119"/>
      <c r="AE208" s="120"/>
      <c r="AF208" s="127"/>
      <c r="AG208" s="115" t="s">
        <v>115</v>
      </c>
      <c r="AH208" s="115" t="s">
        <v>934</v>
      </c>
      <c r="AI208" s="115" t="s">
        <v>935</v>
      </c>
      <c r="AJ208" s="24"/>
      <c r="AK208" s="24"/>
      <c r="AL208" s="24"/>
    </row>
    <row r="209" spans="1:38" ht="12.75" customHeight="1">
      <c r="A209" s="22">
        <v>207</v>
      </c>
      <c r="B209" s="124" t="s">
        <v>936</v>
      </c>
      <c r="C209" s="24" t="s">
        <v>180</v>
      </c>
      <c r="D209" s="124" t="s">
        <v>920</v>
      </c>
      <c r="E209" s="24" t="s">
        <v>921</v>
      </c>
      <c r="F209" s="24">
        <v>1</v>
      </c>
      <c r="G209" s="24" t="s">
        <v>494</v>
      </c>
      <c r="H209" s="24"/>
      <c r="I209" s="111"/>
      <c r="J209" s="124"/>
      <c r="K209" s="124"/>
      <c r="L209" s="124"/>
      <c r="M209" s="124"/>
      <c r="N209" s="124" t="s">
        <v>936</v>
      </c>
      <c r="O209" s="126"/>
      <c r="P209" s="126"/>
      <c r="Q209" s="111"/>
      <c r="R209" s="24"/>
      <c r="S209" s="124"/>
      <c r="T209" s="111"/>
      <c r="U209" s="112"/>
      <c r="V209" s="112"/>
      <c r="W209" s="24"/>
      <c r="X209" s="24"/>
      <c r="Y209" s="24"/>
      <c r="Z209" s="24"/>
      <c r="AA209" s="24"/>
      <c r="AB209" s="24"/>
      <c r="AC209" s="119"/>
      <c r="AD209" s="119"/>
      <c r="AE209" s="120"/>
      <c r="AF209" s="127"/>
      <c r="AG209" s="115" t="s">
        <v>115</v>
      </c>
      <c r="AH209" s="115" t="s">
        <v>115</v>
      </c>
      <c r="AI209" s="115" t="s">
        <v>115</v>
      </c>
      <c r="AJ209" s="24"/>
      <c r="AK209" s="24"/>
      <c r="AL209" s="24"/>
    </row>
    <row r="210" spans="1:38" ht="12.75" customHeight="1">
      <c r="A210" s="22">
        <v>208</v>
      </c>
      <c r="B210" s="124" t="s">
        <v>937</v>
      </c>
      <c r="C210" s="24" t="s">
        <v>96</v>
      </c>
      <c r="D210" s="24"/>
      <c r="E210" s="24" t="s">
        <v>921</v>
      </c>
      <c r="F210" s="24">
        <v>1</v>
      </c>
      <c r="G210" s="24" t="s">
        <v>494</v>
      </c>
      <c r="H210" s="24"/>
      <c r="I210" s="111"/>
      <c r="J210" s="124" t="s">
        <v>937</v>
      </c>
      <c r="K210" s="124" t="s">
        <v>938</v>
      </c>
      <c r="L210" s="124" t="s">
        <v>939</v>
      </c>
      <c r="M210" s="124" t="s">
        <v>202</v>
      </c>
      <c r="N210" s="124"/>
      <c r="O210" s="126"/>
      <c r="P210" s="126"/>
      <c r="Q210" s="111"/>
      <c r="R210" s="24"/>
      <c r="S210" s="124" t="s">
        <v>113</v>
      </c>
      <c r="T210" s="111"/>
      <c r="U210" s="112"/>
      <c r="V210" s="112"/>
      <c r="W210" s="24"/>
      <c r="X210" s="24"/>
      <c r="Y210" s="24"/>
      <c r="Z210" s="24"/>
      <c r="AA210" s="24"/>
      <c r="AB210" s="24"/>
      <c r="AC210" s="119"/>
      <c r="AD210" s="119"/>
      <c r="AE210" s="120"/>
      <c r="AF210" s="127"/>
      <c r="AG210" s="115" t="s">
        <v>115</v>
      </c>
      <c r="AH210" s="115" t="s">
        <v>940</v>
      </c>
      <c r="AI210" s="115" t="s">
        <v>932</v>
      </c>
      <c r="AJ210" s="24"/>
      <c r="AK210" s="24"/>
      <c r="AL210" s="24"/>
    </row>
    <row r="211" spans="1:38" ht="12.75" customHeight="1">
      <c r="A211" s="22">
        <v>209</v>
      </c>
      <c r="B211" s="124" t="s">
        <v>941</v>
      </c>
      <c r="C211" s="24" t="s">
        <v>180</v>
      </c>
      <c r="D211" s="124" t="s">
        <v>937</v>
      </c>
      <c r="E211" s="24" t="s">
        <v>921</v>
      </c>
      <c r="F211" s="24">
        <v>1</v>
      </c>
      <c r="G211" s="24" t="s">
        <v>494</v>
      </c>
      <c r="H211" s="24"/>
      <c r="I211" s="111"/>
      <c r="J211" s="126"/>
      <c r="K211" s="126"/>
      <c r="L211" s="130"/>
      <c r="M211" s="130"/>
      <c r="N211" s="124" t="s">
        <v>941</v>
      </c>
      <c r="O211" s="126"/>
      <c r="P211" s="126"/>
      <c r="Q211" s="111"/>
      <c r="R211" s="24"/>
      <c r="S211" s="126"/>
      <c r="T211" s="111"/>
      <c r="U211" s="112"/>
      <c r="V211" s="112"/>
      <c r="W211" s="24"/>
      <c r="X211" s="24"/>
      <c r="Y211" s="24"/>
      <c r="Z211" s="24"/>
      <c r="AA211" s="24"/>
      <c r="AB211" s="24"/>
      <c r="AC211" s="112"/>
      <c r="AD211" s="112"/>
      <c r="AE211" s="113">
        <v>255594003</v>
      </c>
      <c r="AF211" s="111"/>
      <c r="AG211" s="115" t="s">
        <v>115</v>
      </c>
      <c r="AH211" s="115" t="s">
        <v>942</v>
      </c>
      <c r="AI211" s="115" t="s">
        <v>943</v>
      </c>
      <c r="AJ211" s="24"/>
      <c r="AK211" s="24"/>
      <c r="AL211" s="24"/>
    </row>
    <row r="212" spans="1:38" ht="12.75" customHeight="1">
      <c r="A212" s="22">
        <v>210</v>
      </c>
      <c r="B212" s="130" t="s">
        <v>944</v>
      </c>
      <c r="C212" s="24" t="s">
        <v>180</v>
      </c>
      <c r="D212" s="124" t="s">
        <v>937</v>
      </c>
      <c r="E212" s="24" t="s">
        <v>921</v>
      </c>
      <c r="F212" s="24">
        <v>1</v>
      </c>
      <c r="G212" s="24" t="s">
        <v>494</v>
      </c>
      <c r="H212" s="24"/>
      <c r="I212" s="111"/>
      <c r="J212" s="126"/>
      <c r="K212" s="126"/>
      <c r="L212" s="130"/>
      <c r="M212" s="130"/>
      <c r="N212" s="130" t="s">
        <v>944</v>
      </c>
      <c r="O212" s="126"/>
      <c r="P212" s="126"/>
      <c r="Q212" s="111"/>
      <c r="R212" s="24"/>
      <c r="S212" s="126"/>
      <c r="T212" s="111"/>
      <c r="U212" s="112"/>
      <c r="V212" s="112"/>
      <c r="W212" s="24"/>
      <c r="X212" s="24"/>
      <c r="Y212" s="24"/>
      <c r="Z212" s="24"/>
      <c r="AA212" s="24"/>
      <c r="AB212" s="24"/>
      <c r="AC212" s="112"/>
      <c r="AD212" s="112"/>
      <c r="AE212" s="113">
        <v>255599008</v>
      </c>
      <c r="AF212" s="111"/>
      <c r="AG212" s="115" t="s">
        <v>115</v>
      </c>
      <c r="AH212" s="115" t="s">
        <v>945</v>
      </c>
      <c r="AI212" s="115" t="s">
        <v>946</v>
      </c>
      <c r="AJ212" s="24"/>
      <c r="AK212" s="24"/>
      <c r="AL212" s="24"/>
    </row>
    <row r="213" spans="1:38" ht="12.75" customHeight="1">
      <c r="A213" s="22">
        <v>211</v>
      </c>
      <c r="B213" s="130" t="s">
        <v>947</v>
      </c>
      <c r="C213" s="24" t="s">
        <v>180</v>
      </c>
      <c r="D213" s="124" t="s">
        <v>937</v>
      </c>
      <c r="E213" s="24" t="s">
        <v>921</v>
      </c>
      <c r="F213" s="24">
        <v>1</v>
      </c>
      <c r="G213" s="24" t="s">
        <v>494</v>
      </c>
      <c r="H213" s="24"/>
      <c r="I213" s="111"/>
      <c r="J213" s="126"/>
      <c r="K213" s="126"/>
      <c r="L213" s="130"/>
      <c r="M213" s="130"/>
      <c r="N213" s="130" t="s">
        <v>947</v>
      </c>
      <c r="O213" s="126"/>
      <c r="P213" s="126"/>
      <c r="Q213" s="111"/>
      <c r="R213" s="24"/>
      <c r="S213" s="126"/>
      <c r="T213" s="111"/>
      <c r="U213" s="112"/>
      <c r="V213" s="112"/>
      <c r="W213" s="24"/>
      <c r="X213" s="24"/>
      <c r="Y213" s="24"/>
      <c r="Z213" s="24"/>
      <c r="AA213" s="24"/>
      <c r="AB213" s="24"/>
      <c r="AC213" s="112"/>
      <c r="AD213" s="112"/>
      <c r="AE213" s="113">
        <v>260413007</v>
      </c>
      <c r="AF213" s="111"/>
      <c r="AG213" s="115" t="s">
        <v>115</v>
      </c>
      <c r="AH213" s="115" t="s">
        <v>424</v>
      </c>
      <c r="AI213" s="115" t="s">
        <v>425</v>
      </c>
      <c r="AJ213" s="24"/>
      <c r="AK213" s="24"/>
      <c r="AL213" s="24"/>
    </row>
    <row r="214" spans="1:38" ht="12.75" customHeight="1">
      <c r="A214" s="22">
        <v>212</v>
      </c>
      <c r="B214" s="130" t="s">
        <v>936</v>
      </c>
      <c r="C214" s="24" t="s">
        <v>180</v>
      </c>
      <c r="D214" s="124" t="s">
        <v>937</v>
      </c>
      <c r="E214" s="24" t="s">
        <v>921</v>
      </c>
      <c r="F214" s="24">
        <v>1</v>
      </c>
      <c r="G214" s="24" t="s">
        <v>494</v>
      </c>
      <c r="H214" s="24"/>
      <c r="I214" s="111"/>
      <c r="J214" s="126"/>
      <c r="K214" s="126"/>
      <c r="L214" s="130"/>
      <c r="M214" s="130"/>
      <c r="N214" s="130" t="s">
        <v>936</v>
      </c>
      <c r="O214" s="126"/>
      <c r="P214" s="126"/>
      <c r="Q214" s="111"/>
      <c r="R214" s="24"/>
      <c r="S214" s="126"/>
      <c r="T214" s="111"/>
      <c r="U214" s="112"/>
      <c r="V214" s="112"/>
      <c r="W214" s="24"/>
      <c r="X214" s="24"/>
      <c r="Y214" s="24"/>
      <c r="Z214" s="24"/>
      <c r="AA214" s="24"/>
      <c r="AB214" s="24"/>
      <c r="AC214" s="112"/>
      <c r="AD214" s="112"/>
      <c r="AE214" s="25"/>
      <c r="AF214" s="111"/>
      <c r="AG214" s="115" t="s">
        <v>115</v>
      </c>
      <c r="AH214" s="115" t="s">
        <v>115</v>
      </c>
      <c r="AI214" s="115" t="s">
        <v>115</v>
      </c>
      <c r="AJ214" s="24"/>
      <c r="AK214" s="24"/>
      <c r="AL214" s="24"/>
    </row>
    <row r="215" spans="1:38" ht="12.75" customHeight="1">
      <c r="A215" s="22">
        <v>213</v>
      </c>
      <c r="B215" s="124" t="s">
        <v>948</v>
      </c>
      <c r="C215" s="24" t="s">
        <v>96</v>
      </c>
      <c r="D215" s="24"/>
      <c r="E215" s="24" t="s">
        <v>921</v>
      </c>
      <c r="F215" s="24">
        <v>1</v>
      </c>
      <c r="G215" s="24" t="s">
        <v>494</v>
      </c>
      <c r="H215" s="24"/>
      <c r="I215" s="111"/>
      <c r="J215" s="124" t="s">
        <v>948</v>
      </c>
      <c r="K215" s="124" t="s">
        <v>949</v>
      </c>
      <c r="L215" s="124" t="s">
        <v>950</v>
      </c>
      <c r="M215" s="124" t="s">
        <v>202</v>
      </c>
      <c r="N215" s="124"/>
      <c r="O215" s="126"/>
      <c r="P215" s="126"/>
      <c r="Q215" s="111"/>
      <c r="R215" s="24"/>
      <c r="S215" s="124" t="s">
        <v>113</v>
      </c>
      <c r="T215" s="111"/>
      <c r="U215" s="112"/>
      <c r="V215" s="112"/>
      <c r="W215" s="24"/>
      <c r="X215" s="24"/>
      <c r="Y215" s="24"/>
      <c r="Z215" s="24"/>
      <c r="AA215" s="24"/>
      <c r="AB215" s="24"/>
      <c r="AC215" s="119"/>
      <c r="AD215" s="119"/>
      <c r="AE215" s="120"/>
      <c r="AF215" s="127"/>
      <c r="AG215" s="115" t="s">
        <v>115</v>
      </c>
      <c r="AH215" s="115" t="s">
        <v>951</v>
      </c>
      <c r="AI215" s="115" t="s">
        <v>935</v>
      </c>
      <c r="AJ215" s="24"/>
      <c r="AK215" s="24"/>
      <c r="AL215" s="24"/>
    </row>
    <row r="216" spans="1:38" ht="12.75" customHeight="1">
      <c r="A216" s="22">
        <v>214</v>
      </c>
      <c r="B216" s="124" t="s">
        <v>952</v>
      </c>
      <c r="C216" s="24" t="s">
        <v>180</v>
      </c>
      <c r="D216" s="124" t="s">
        <v>948</v>
      </c>
      <c r="E216" s="24" t="s">
        <v>921</v>
      </c>
      <c r="F216" s="24">
        <v>1</v>
      </c>
      <c r="G216" s="24" t="s">
        <v>494</v>
      </c>
      <c r="H216" s="24"/>
      <c r="I216" s="111"/>
      <c r="J216" s="126"/>
      <c r="K216" s="126"/>
      <c r="L216" s="130"/>
      <c r="M216" s="130"/>
      <c r="N216" s="124" t="s">
        <v>952</v>
      </c>
      <c r="O216" s="126"/>
      <c r="P216" s="126"/>
      <c r="Q216" s="111"/>
      <c r="R216" s="24"/>
      <c r="S216" s="126"/>
      <c r="T216" s="111"/>
      <c r="U216" s="112"/>
      <c r="V216" s="112"/>
      <c r="W216" s="24"/>
      <c r="X216" s="24"/>
      <c r="Y216" s="24"/>
      <c r="Z216" s="24"/>
      <c r="AA216" s="24"/>
      <c r="AB216" s="24"/>
      <c r="AC216" s="119"/>
      <c r="AD216" s="119"/>
      <c r="AE216" s="120"/>
      <c r="AF216" s="127"/>
      <c r="AG216" s="115" t="s">
        <v>115</v>
      </c>
      <c r="AH216" s="115" t="s">
        <v>953</v>
      </c>
      <c r="AI216" s="115" t="s">
        <v>954</v>
      </c>
      <c r="AJ216" s="24"/>
      <c r="AK216" s="24"/>
      <c r="AL216" s="24"/>
    </row>
    <row r="217" spans="1:38" ht="12.75" customHeight="1">
      <c r="A217" s="22">
        <v>215</v>
      </c>
      <c r="B217" s="130" t="s">
        <v>955</v>
      </c>
      <c r="C217" s="24" t="s">
        <v>180</v>
      </c>
      <c r="D217" s="124" t="s">
        <v>948</v>
      </c>
      <c r="E217" s="24" t="s">
        <v>921</v>
      </c>
      <c r="F217" s="24">
        <v>1</v>
      </c>
      <c r="G217" s="24" t="s">
        <v>494</v>
      </c>
      <c r="H217" s="24"/>
      <c r="I217" s="111"/>
      <c r="J217" s="126"/>
      <c r="K217" s="126"/>
      <c r="L217" s="130"/>
      <c r="M217" s="130"/>
      <c r="N217" s="130" t="s">
        <v>955</v>
      </c>
      <c r="O217" s="126"/>
      <c r="P217" s="126"/>
      <c r="Q217" s="111"/>
      <c r="R217" s="24"/>
      <c r="S217" s="126"/>
      <c r="T217" s="111"/>
      <c r="U217" s="112"/>
      <c r="V217" s="112"/>
      <c r="W217" s="24"/>
      <c r="X217" s="24"/>
      <c r="Y217" s="24"/>
      <c r="Z217" s="24"/>
      <c r="AA217" s="24"/>
      <c r="AB217" s="24"/>
      <c r="AC217" s="119"/>
      <c r="AD217" s="119"/>
      <c r="AE217" s="120"/>
      <c r="AF217" s="127"/>
      <c r="AG217" s="115" t="s">
        <v>115</v>
      </c>
      <c r="AH217" s="115" t="s">
        <v>957</v>
      </c>
      <c r="AI217" s="115" t="s">
        <v>958</v>
      </c>
      <c r="AJ217" s="24"/>
      <c r="AK217" s="24"/>
      <c r="AL217" s="24"/>
    </row>
    <row r="218" spans="1:38" ht="12.75" customHeight="1">
      <c r="A218" s="22">
        <v>216</v>
      </c>
      <c r="B218" s="130" t="s">
        <v>936</v>
      </c>
      <c r="C218" s="24" t="s">
        <v>180</v>
      </c>
      <c r="D218" s="124" t="s">
        <v>948</v>
      </c>
      <c r="E218" s="24" t="s">
        <v>921</v>
      </c>
      <c r="F218" s="24">
        <v>1</v>
      </c>
      <c r="G218" s="24" t="s">
        <v>494</v>
      </c>
      <c r="H218" s="24"/>
      <c r="I218" s="111"/>
      <c r="J218" s="126"/>
      <c r="K218" s="126"/>
      <c r="L218" s="130"/>
      <c r="M218" s="130"/>
      <c r="N218" s="130" t="s">
        <v>936</v>
      </c>
      <c r="O218" s="126"/>
      <c r="P218" s="126"/>
      <c r="Q218" s="111"/>
      <c r="R218" s="24"/>
      <c r="S218" s="126"/>
      <c r="T218" s="111"/>
      <c r="U218" s="112"/>
      <c r="V218" s="112"/>
      <c r="W218" s="24"/>
      <c r="X218" s="24"/>
      <c r="Y218" s="24"/>
      <c r="Z218" s="24"/>
      <c r="AA218" s="24"/>
      <c r="AB218" s="24"/>
      <c r="AC218" s="112"/>
      <c r="AD218" s="112"/>
      <c r="AE218" s="25"/>
      <c r="AF218" s="111"/>
      <c r="AG218" s="115" t="s">
        <v>115</v>
      </c>
      <c r="AH218" s="115" t="s">
        <v>115</v>
      </c>
      <c r="AI218" s="115" t="s">
        <v>115</v>
      </c>
      <c r="AJ218" s="24"/>
      <c r="AK218" s="24"/>
      <c r="AL218" s="24"/>
    </row>
    <row r="219" spans="1:38" ht="12.75" customHeight="1">
      <c r="A219" s="22">
        <v>217</v>
      </c>
      <c r="B219" s="160" t="s">
        <v>960</v>
      </c>
      <c r="C219" s="24" t="s">
        <v>96</v>
      </c>
      <c r="D219" s="124"/>
      <c r="E219" s="24" t="s">
        <v>961</v>
      </c>
      <c r="F219" s="24">
        <v>1</v>
      </c>
      <c r="G219" s="24" t="s">
        <v>494</v>
      </c>
      <c r="H219" s="24"/>
      <c r="I219" s="111"/>
      <c r="J219" s="160" t="s">
        <v>960</v>
      </c>
      <c r="K219" s="160" t="s">
        <v>962</v>
      </c>
      <c r="L219" s="161" t="s">
        <v>963</v>
      </c>
      <c r="M219" s="161" t="s">
        <v>238</v>
      </c>
      <c r="N219" s="161"/>
      <c r="O219" s="161"/>
      <c r="P219" s="161" t="s">
        <v>964</v>
      </c>
      <c r="Q219" s="111"/>
      <c r="R219" s="24"/>
      <c r="S219" s="124" t="s">
        <v>113</v>
      </c>
      <c r="T219" s="111"/>
      <c r="U219" s="112"/>
      <c r="V219" s="112"/>
      <c r="W219" s="24"/>
      <c r="X219" s="24"/>
      <c r="Y219" s="24"/>
      <c r="Z219" s="24"/>
      <c r="AA219" s="24"/>
      <c r="AB219" s="24"/>
      <c r="AC219" s="112"/>
      <c r="AD219" s="112"/>
      <c r="AE219" s="113">
        <v>129019007</v>
      </c>
      <c r="AF219" s="111"/>
      <c r="AG219" s="116" t="s">
        <v>965</v>
      </c>
      <c r="AH219" s="116" t="s">
        <v>966</v>
      </c>
      <c r="AI219" s="116" t="s">
        <v>967</v>
      </c>
      <c r="AJ219" s="24"/>
      <c r="AK219" s="24"/>
      <c r="AL219" s="24"/>
    </row>
    <row r="220" spans="1:38" ht="12.75" customHeight="1">
      <c r="A220" s="22">
        <v>218</v>
      </c>
      <c r="B220" s="161" t="s">
        <v>423</v>
      </c>
      <c r="C220" s="24" t="s">
        <v>180</v>
      </c>
      <c r="D220" s="160" t="s">
        <v>960</v>
      </c>
      <c r="E220" s="24" t="s">
        <v>961</v>
      </c>
      <c r="F220" s="24">
        <v>1</v>
      </c>
      <c r="G220" s="24" t="s">
        <v>494</v>
      </c>
      <c r="H220" s="24"/>
      <c r="I220" s="111"/>
      <c r="J220" s="160"/>
      <c r="K220" s="111"/>
      <c r="L220" s="124"/>
      <c r="M220" s="161"/>
      <c r="N220" s="161" t="s">
        <v>423</v>
      </c>
      <c r="O220" s="161"/>
      <c r="P220" s="161"/>
      <c r="Q220" s="111"/>
      <c r="R220" s="24"/>
      <c r="S220" s="161"/>
      <c r="T220" s="111"/>
      <c r="U220" s="112"/>
      <c r="V220" s="112"/>
      <c r="W220" s="24"/>
      <c r="X220" s="24"/>
      <c r="Y220" s="24"/>
      <c r="Z220" s="24"/>
      <c r="AA220" s="24"/>
      <c r="AB220" s="24"/>
      <c r="AC220" s="112"/>
      <c r="AD220" s="112"/>
      <c r="AE220" s="113">
        <v>260413007</v>
      </c>
      <c r="AF220" s="111"/>
      <c r="AG220" s="115" t="s">
        <v>115</v>
      </c>
      <c r="AH220" s="115" t="s">
        <v>424</v>
      </c>
      <c r="AI220" s="115" t="s">
        <v>425</v>
      </c>
      <c r="AJ220" s="24"/>
      <c r="AK220" s="24"/>
      <c r="AL220" s="24"/>
    </row>
    <row r="221" spans="1:38" ht="12.75" customHeight="1">
      <c r="A221" s="22">
        <v>219</v>
      </c>
      <c r="B221" s="161" t="s">
        <v>500</v>
      </c>
      <c r="C221" s="24" t="s">
        <v>180</v>
      </c>
      <c r="D221" s="160" t="s">
        <v>960</v>
      </c>
      <c r="E221" s="24" t="s">
        <v>961</v>
      </c>
      <c r="F221" s="24">
        <v>1</v>
      </c>
      <c r="G221" s="24" t="s">
        <v>494</v>
      </c>
      <c r="H221" s="24"/>
      <c r="I221" s="111"/>
      <c r="J221" s="160"/>
      <c r="K221" s="111"/>
      <c r="L221" s="124"/>
      <c r="M221" s="161"/>
      <c r="N221" s="161" t="s">
        <v>500</v>
      </c>
      <c r="O221" s="161"/>
      <c r="P221" s="161"/>
      <c r="Q221" s="111"/>
      <c r="R221" s="24"/>
      <c r="S221" s="161"/>
      <c r="T221" s="111"/>
      <c r="U221" s="112"/>
      <c r="V221" s="112"/>
      <c r="W221" s="24"/>
      <c r="X221" s="24"/>
      <c r="Y221" s="24"/>
      <c r="Z221" s="24"/>
      <c r="AA221" s="24"/>
      <c r="AB221" s="24"/>
      <c r="AC221" s="112"/>
      <c r="AD221" s="112"/>
      <c r="AE221" s="113">
        <v>261665006</v>
      </c>
      <c r="AF221" s="111"/>
      <c r="AG221" s="115" t="s">
        <v>115</v>
      </c>
      <c r="AH221" s="115" t="s">
        <v>501</v>
      </c>
      <c r="AI221" s="115" t="s">
        <v>503</v>
      </c>
      <c r="AJ221" s="24"/>
      <c r="AK221" s="24"/>
      <c r="AL221" s="24"/>
    </row>
    <row r="222" spans="1:38" ht="12.75" customHeight="1">
      <c r="A222" s="22">
        <v>220</v>
      </c>
      <c r="B222" s="161" t="s">
        <v>970</v>
      </c>
      <c r="C222" s="24" t="s">
        <v>180</v>
      </c>
      <c r="D222" s="160" t="s">
        <v>960</v>
      </c>
      <c r="E222" s="24" t="s">
        <v>961</v>
      </c>
      <c r="F222" s="24">
        <v>1</v>
      </c>
      <c r="G222" s="24" t="s">
        <v>494</v>
      </c>
      <c r="H222" s="24"/>
      <c r="I222" s="111"/>
      <c r="J222" s="160"/>
      <c r="K222" s="111"/>
      <c r="L222" s="124"/>
      <c r="M222" s="161"/>
      <c r="N222" s="161" t="s">
        <v>970</v>
      </c>
      <c r="O222" s="161"/>
      <c r="P222" s="161"/>
      <c r="Q222" s="111"/>
      <c r="R222" s="24"/>
      <c r="S222" s="161"/>
      <c r="T222" s="111"/>
      <c r="U222" s="112"/>
      <c r="V222" s="112"/>
      <c r="W222" s="24"/>
      <c r="X222" s="24"/>
      <c r="Y222" s="24"/>
      <c r="Z222" s="24"/>
      <c r="AA222" s="24"/>
      <c r="AB222" s="24"/>
      <c r="AC222" s="112"/>
      <c r="AD222" s="112"/>
      <c r="AE222" s="113">
        <v>372794006</v>
      </c>
      <c r="AF222" s="111"/>
      <c r="AG222" s="115" t="s">
        <v>115</v>
      </c>
      <c r="AH222" s="116" t="s">
        <v>971</v>
      </c>
      <c r="AI222" s="116" t="s">
        <v>972</v>
      </c>
      <c r="AJ222" s="24"/>
      <c r="AK222" s="24"/>
      <c r="AL222" s="24"/>
    </row>
    <row r="223" spans="1:38" ht="12.75" customHeight="1">
      <c r="A223" s="22">
        <v>221</v>
      </c>
      <c r="B223" s="161" t="s">
        <v>973</v>
      </c>
      <c r="C223" s="24" t="s">
        <v>180</v>
      </c>
      <c r="D223" s="160" t="s">
        <v>960</v>
      </c>
      <c r="E223" s="24" t="s">
        <v>961</v>
      </c>
      <c r="F223" s="24">
        <v>1</v>
      </c>
      <c r="G223" s="24" t="s">
        <v>494</v>
      </c>
      <c r="H223" s="24"/>
      <c r="I223" s="111"/>
      <c r="J223" s="160"/>
      <c r="K223" s="111"/>
      <c r="L223" s="124"/>
      <c r="M223" s="161"/>
      <c r="N223" s="161" t="s">
        <v>973</v>
      </c>
      <c r="O223" s="161"/>
      <c r="P223" s="161"/>
      <c r="Q223" s="111"/>
      <c r="R223" s="24"/>
      <c r="S223" s="161"/>
      <c r="T223" s="111"/>
      <c r="U223" s="112"/>
      <c r="V223" s="112"/>
      <c r="W223" s="24"/>
      <c r="X223" s="24"/>
      <c r="Y223" s="24"/>
      <c r="Z223" s="24"/>
      <c r="AA223" s="24"/>
      <c r="AB223" s="24"/>
      <c r="AC223" s="112"/>
      <c r="AD223" s="112"/>
      <c r="AE223" s="113">
        <v>7947003</v>
      </c>
      <c r="AF223" s="111"/>
      <c r="AG223" s="115" t="s">
        <v>115</v>
      </c>
      <c r="AH223" s="116" t="s">
        <v>975</v>
      </c>
      <c r="AI223" s="116" t="s">
        <v>976</v>
      </c>
      <c r="AJ223" s="24"/>
      <c r="AK223" s="24"/>
      <c r="AL223" s="24"/>
    </row>
    <row r="224" spans="1:38" ht="12.75" customHeight="1">
      <c r="A224" s="22">
        <v>222</v>
      </c>
      <c r="B224" s="161" t="s">
        <v>783</v>
      </c>
      <c r="C224" s="24" t="s">
        <v>180</v>
      </c>
      <c r="D224" s="160" t="s">
        <v>960</v>
      </c>
      <c r="E224" s="24" t="s">
        <v>961</v>
      </c>
      <c r="F224" s="24">
        <v>1</v>
      </c>
      <c r="G224" s="24" t="s">
        <v>494</v>
      </c>
      <c r="H224" s="24"/>
      <c r="I224" s="111"/>
      <c r="J224" s="160"/>
      <c r="K224" s="111"/>
      <c r="L224" s="124"/>
      <c r="M224" s="161"/>
      <c r="N224" s="161" t="s">
        <v>783</v>
      </c>
      <c r="O224" s="161"/>
      <c r="P224" s="161"/>
      <c r="Q224" s="111"/>
      <c r="R224" s="24"/>
      <c r="S224" s="161"/>
      <c r="T224" s="111"/>
      <c r="U224" s="112"/>
      <c r="V224" s="112"/>
      <c r="W224" s="24"/>
      <c r="X224" s="24"/>
      <c r="Y224" s="24"/>
      <c r="Z224" s="24"/>
      <c r="AA224" s="24"/>
      <c r="AB224" s="24"/>
      <c r="AC224" s="112"/>
      <c r="AD224" s="112"/>
      <c r="AE224" s="113">
        <v>5540006</v>
      </c>
      <c r="AF224" s="111"/>
      <c r="AG224" s="115" t="s">
        <v>115</v>
      </c>
      <c r="AH224" s="116" t="s">
        <v>784</v>
      </c>
      <c r="AI224" s="116" t="s">
        <v>785</v>
      </c>
      <c r="AJ224" s="24"/>
      <c r="AK224" s="24"/>
      <c r="AL224" s="24"/>
    </row>
    <row r="225" spans="1:38" ht="12.75" customHeight="1">
      <c r="A225" s="22">
        <v>223</v>
      </c>
      <c r="B225" s="124" t="s">
        <v>978</v>
      </c>
      <c r="C225" s="24" t="s">
        <v>180</v>
      </c>
      <c r="D225" s="160" t="s">
        <v>960</v>
      </c>
      <c r="E225" s="24" t="s">
        <v>961</v>
      </c>
      <c r="F225" s="24">
        <v>1</v>
      </c>
      <c r="G225" s="24" t="s">
        <v>494</v>
      </c>
      <c r="H225" s="24"/>
      <c r="I225" s="111"/>
      <c r="J225" s="160"/>
      <c r="K225" s="111"/>
      <c r="L225" s="124"/>
      <c r="M225" s="161"/>
      <c r="N225" s="124" t="s">
        <v>978</v>
      </c>
      <c r="O225" s="161"/>
      <c r="P225" s="161"/>
      <c r="Q225" s="111"/>
      <c r="R225" s="24"/>
      <c r="S225" s="161"/>
      <c r="T225" s="111"/>
      <c r="U225" s="112"/>
      <c r="V225" s="112"/>
      <c r="W225" s="24"/>
      <c r="X225" s="24"/>
      <c r="Y225" s="24"/>
      <c r="Z225" s="24"/>
      <c r="AA225" s="24"/>
      <c r="AB225" s="24"/>
      <c r="AC225" s="112"/>
      <c r="AD225" s="112"/>
      <c r="AE225" s="113">
        <v>412380009</v>
      </c>
      <c r="AF225" s="111"/>
      <c r="AG225" s="115" t="s">
        <v>115</v>
      </c>
      <c r="AH225" s="116" t="s">
        <v>979</v>
      </c>
      <c r="AI225" s="116" t="s">
        <v>980</v>
      </c>
      <c r="AJ225" s="24"/>
      <c r="AK225" s="24"/>
      <c r="AL225" s="24"/>
    </row>
    <row r="226" spans="1:38" ht="12.75" customHeight="1">
      <c r="A226" s="22">
        <v>224</v>
      </c>
      <c r="B226" s="124" t="s">
        <v>790</v>
      </c>
      <c r="C226" s="24" t="s">
        <v>180</v>
      </c>
      <c r="D226" s="160" t="s">
        <v>960</v>
      </c>
      <c r="E226" s="24" t="s">
        <v>961</v>
      </c>
      <c r="F226" s="24">
        <v>1</v>
      </c>
      <c r="G226" s="24" t="s">
        <v>494</v>
      </c>
      <c r="H226" s="24"/>
      <c r="I226" s="111"/>
      <c r="J226" s="160"/>
      <c r="K226" s="111"/>
      <c r="L226" s="124"/>
      <c r="M226" s="161"/>
      <c r="N226" s="124" t="s">
        <v>790</v>
      </c>
      <c r="O226" s="161"/>
      <c r="P226" s="161"/>
      <c r="Q226" s="111"/>
      <c r="R226" s="24"/>
      <c r="S226" s="161"/>
      <c r="T226" s="111"/>
      <c r="U226" s="112"/>
      <c r="V226" s="112"/>
      <c r="W226" s="24"/>
      <c r="X226" s="24"/>
      <c r="Y226" s="24"/>
      <c r="Z226" s="24"/>
      <c r="AA226" s="24"/>
      <c r="AB226" s="24"/>
      <c r="AC226" s="112"/>
      <c r="AD226" s="112"/>
      <c r="AE226" s="113">
        <v>6247001</v>
      </c>
      <c r="AF226" s="111"/>
      <c r="AG226" s="115" t="s">
        <v>115</v>
      </c>
      <c r="AH226" s="116" t="s">
        <v>791</v>
      </c>
      <c r="AI226" s="116" t="s">
        <v>792</v>
      </c>
      <c r="AJ226" s="24"/>
      <c r="AK226" s="24"/>
      <c r="AL226" s="24"/>
    </row>
    <row r="227" spans="1:38" ht="12.75" customHeight="1">
      <c r="A227" s="22">
        <v>225</v>
      </c>
      <c r="B227" s="161" t="s">
        <v>797</v>
      </c>
      <c r="C227" s="24" t="s">
        <v>180</v>
      </c>
      <c r="D227" s="160" t="s">
        <v>960</v>
      </c>
      <c r="E227" s="24" t="s">
        <v>961</v>
      </c>
      <c r="F227" s="24">
        <v>1</v>
      </c>
      <c r="G227" s="24" t="s">
        <v>494</v>
      </c>
      <c r="H227" s="24"/>
      <c r="I227" s="111"/>
      <c r="J227" s="160"/>
      <c r="K227" s="111"/>
      <c r="L227" s="124"/>
      <c r="M227" s="161"/>
      <c r="N227" s="161" t="s">
        <v>797</v>
      </c>
      <c r="O227" s="161"/>
      <c r="P227" s="161"/>
      <c r="Q227" s="111"/>
      <c r="R227" s="24"/>
      <c r="S227" s="161"/>
      <c r="T227" s="111"/>
      <c r="U227" s="112"/>
      <c r="V227" s="112"/>
      <c r="W227" s="24"/>
      <c r="X227" s="24"/>
      <c r="Y227" s="24"/>
      <c r="Z227" s="24"/>
      <c r="AA227" s="24"/>
      <c r="AB227" s="24"/>
      <c r="AC227" s="112"/>
      <c r="AD227" s="112"/>
      <c r="AE227" s="113">
        <v>30729008</v>
      </c>
      <c r="AF227" s="111"/>
      <c r="AG227" s="115" t="s">
        <v>115</v>
      </c>
      <c r="AH227" s="116" t="s">
        <v>798</v>
      </c>
      <c r="AI227" s="116" t="s">
        <v>799</v>
      </c>
      <c r="AJ227" s="24"/>
      <c r="AK227" s="24"/>
      <c r="AL227" s="24"/>
    </row>
    <row r="228" spans="1:38" ht="12.75" customHeight="1">
      <c r="A228" s="22">
        <v>226</v>
      </c>
      <c r="B228" s="161" t="s">
        <v>983</v>
      </c>
      <c r="C228" s="24" t="s">
        <v>180</v>
      </c>
      <c r="D228" s="160" t="s">
        <v>960</v>
      </c>
      <c r="E228" s="24" t="s">
        <v>961</v>
      </c>
      <c r="F228" s="24">
        <v>1</v>
      </c>
      <c r="G228" s="24" t="s">
        <v>494</v>
      </c>
      <c r="H228" s="24"/>
      <c r="I228" s="111"/>
      <c r="J228" s="160"/>
      <c r="K228" s="111"/>
      <c r="L228" s="124"/>
      <c r="M228" s="161"/>
      <c r="N228" s="161" t="s">
        <v>983</v>
      </c>
      <c r="O228" s="161"/>
      <c r="P228" s="161"/>
      <c r="Q228" s="111"/>
      <c r="R228" s="24"/>
      <c r="S228" s="161"/>
      <c r="T228" s="111"/>
      <c r="U228" s="112"/>
      <c r="V228" s="112"/>
      <c r="W228" s="24"/>
      <c r="X228" s="24"/>
      <c r="Y228" s="24"/>
      <c r="Z228" s="24"/>
      <c r="AA228" s="24"/>
      <c r="AB228" s="24"/>
      <c r="AC228" s="112"/>
      <c r="AD228" s="112"/>
      <c r="AE228" s="113">
        <v>72717003</v>
      </c>
      <c r="AF228" s="111"/>
      <c r="AG228" s="115" t="s">
        <v>115</v>
      </c>
      <c r="AH228" s="116" t="s">
        <v>984</v>
      </c>
      <c r="AI228" s="116" t="s">
        <v>985</v>
      </c>
      <c r="AJ228" s="24"/>
      <c r="AK228" s="24"/>
      <c r="AL228" s="24"/>
    </row>
    <row r="229" spans="1:38" ht="12.75" customHeight="1">
      <c r="A229" s="22">
        <v>227</v>
      </c>
      <c r="B229" s="161" t="s">
        <v>986</v>
      </c>
      <c r="C229" s="24" t="s">
        <v>180</v>
      </c>
      <c r="D229" s="160" t="s">
        <v>960</v>
      </c>
      <c r="E229" s="24" t="s">
        <v>961</v>
      </c>
      <c r="F229" s="24">
        <v>1</v>
      </c>
      <c r="G229" s="24" t="s">
        <v>494</v>
      </c>
      <c r="H229" s="24"/>
      <c r="I229" s="111"/>
      <c r="J229" s="160"/>
      <c r="K229" s="111"/>
      <c r="L229" s="124"/>
      <c r="M229" s="161"/>
      <c r="N229" s="161" t="s">
        <v>986</v>
      </c>
      <c r="O229" s="161"/>
      <c r="P229" s="161"/>
      <c r="Q229" s="111"/>
      <c r="R229" s="24"/>
      <c r="S229" s="161"/>
      <c r="T229" s="111"/>
      <c r="U229" s="112"/>
      <c r="V229" s="112"/>
      <c r="W229" s="24"/>
      <c r="X229" s="24"/>
      <c r="Y229" s="24"/>
      <c r="Z229" s="24"/>
      <c r="AA229" s="24"/>
      <c r="AB229" s="24"/>
      <c r="AC229" s="112"/>
      <c r="AD229" s="112"/>
      <c r="AE229" s="113">
        <v>56549003</v>
      </c>
      <c r="AF229" s="111"/>
      <c r="AG229" s="115" t="s">
        <v>115</v>
      </c>
      <c r="AH229" s="116" t="s">
        <v>988</v>
      </c>
      <c r="AI229" s="116" t="s">
        <v>989</v>
      </c>
      <c r="AJ229" s="24"/>
      <c r="AK229" s="24"/>
      <c r="AL229" s="24"/>
    </row>
    <row r="230" spans="1:38" ht="12.75" customHeight="1">
      <c r="A230" s="22">
        <v>228</v>
      </c>
      <c r="B230" s="161" t="s">
        <v>990</v>
      </c>
      <c r="C230" s="24" t="s">
        <v>180</v>
      </c>
      <c r="D230" s="160" t="s">
        <v>960</v>
      </c>
      <c r="E230" s="24" t="s">
        <v>961</v>
      </c>
      <c r="F230" s="24">
        <v>1</v>
      </c>
      <c r="G230" s="24" t="s">
        <v>494</v>
      </c>
      <c r="H230" s="24"/>
      <c r="I230" s="111"/>
      <c r="J230" s="160"/>
      <c r="K230" s="111"/>
      <c r="L230" s="124"/>
      <c r="M230" s="161"/>
      <c r="N230" s="161" t="s">
        <v>990</v>
      </c>
      <c r="O230" s="161"/>
      <c r="P230" s="161"/>
      <c r="Q230" s="111"/>
      <c r="R230" s="24"/>
      <c r="S230" s="161"/>
      <c r="T230" s="111"/>
      <c r="U230" s="112"/>
      <c r="V230" s="112"/>
      <c r="W230" s="24"/>
      <c r="X230" s="24"/>
      <c r="Y230" s="24"/>
      <c r="Z230" s="24"/>
      <c r="AA230" s="24"/>
      <c r="AB230" s="24"/>
      <c r="AC230" s="112"/>
      <c r="AD230" s="112"/>
      <c r="AE230" s="113">
        <v>82156005</v>
      </c>
      <c r="AF230" s="111"/>
      <c r="AG230" s="115" t="s">
        <v>115</v>
      </c>
      <c r="AH230" s="116" t="s">
        <v>992</v>
      </c>
      <c r="AI230" s="116" t="s">
        <v>993</v>
      </c>
      <c r="AJ230" s="24"/>
      <c r="AK230" s="24"/>
      <c r="AL230" s="24"/>
    </row>
    <row r="231" spans="1:38" ht="12.75" customHeight="1">
      <c r="A231" s="22">
        <v>229</v>
      </c>
      <c r="B231" s="161" t="s">
        <v>994</v>
      </c>
      <c r="C231" s="24" t="s">
        <v>180</v>
      </c>
      <c r="D231" s="160" t="s">
        <v>960</v>
      </c>
      <c r="E231" s="24" t="s">
        <v>961</v>
      </c>
      <c r="F231" s="24">
        <v>1</v>
      </c>
      <c r="G231" s="24" t="s">
        <v>494</v>
      </c>
      <c r="H231" s="24"/>
      <c r="I231" s="111"/>
      <c r="J231" s="160"/>
      <c r="K231" s="111"/>
      <c r="L231" s="124"/>
      <c r="M231" s="161"/>
      <c r="N231" s="161" t="s">
        <v>994</v>
      </c>
      <c r="O231" s="161"/>
      <c r="P231" s="161"/>
      <c r="Q231" s="111"/>
      <c r="R231" s="24"/>
      <c r="S231" s="161"/>
      <c r="T231" s="111"/>
      <c r="U231" s="112"/>
      <c r="V231" s="112"/>
      <c r="W231" s="24"/>
      <c r="X231" s="24"/>
      <c r="Y231" s="24"/>
      <c r="Z231" s="24"/>
      <c r="AA231" s="24"/>
      <c r="AB231" s="24"/>
      <c r="AC231" s="119"/>
      <c r="AD231" s="119"/>
      <c r="AE231" s="120"/>
      <c r="AF231" s="127"/>
      <c r="AG231" s="115" t="s">
        <v>115</v>
      </c>
      <c r="AH231" s="116" t="s">
        <v>996</v>
      </c>
      <c r="AI231" s="116" t="s">
        <v>997</v>
      </c>
      <c r="AJ231" s="24"/>
      <c r="AK231" s="24"/>
      <c r="AL231" s="24"/>
    </row>
    <row r="232" spans="1:38" ht="12.75" customHeight="1">
      <c r="A232" s="22">
        <v>230</v>
      </c>
      <c r="B232" s="161" t="s">
        <v>998</v>
      </c>
      <c r="C232" s="24" t="s">
        <v>180</v>
      </c>
      <c r="D232" s="160" t="s">
        <v>960</v>
      </c>
      <c r="E232" s="24" t="s">
        <v>961</v>
      </c>
      <c r="F232" s="24">
        <v>1</v>
      </c>
      <c r="G232" s="24" t="s">
        <v>494</v>
      </c>
      <c r="H232" s="24"/>
      <c r="I232" s="111"/>
      <c r="J232" s="160"/>
      <c r="K232" s="111"/>
      <c r="L232" s="124"/>
      <c r="M232" s="161"/>
      <c r="N232" s="161" t="s">
        <v>998</v>
      </c>
      <c r="O232" s="161"/>
      <c r="P232" s="161"/>
      <c r="Q232" s="111"/>
      <c r="R232" s="24"/>
      <c r="S232" s="161"/>
      <c r="T232" s="111"/>
      <c r="U232" s="112"/>
      <c r="V232" s="112"/>
      <c r="W232" s="24"/>
      <c r="X232" s="24"/>
      <c r="Y232" s="24"/>
      <c r="Z232" s="24"/>
      <c r="AA232" s="24"/>
      <c r="AB232" s="24"/>
      <c r="AC232" s="119"/>
      <c r="AD232" s="119"/>
      <c r="AE232" s="120"/>
      <c r="AF232" s="127"/>
      <c r="AG232" s="115" t="s">
        <v>115</v>
      </c>
      <c r="AH232" s="116" t="s">
        <v>1000</v>
      </c>
      <c r="AI232" s="116" t="s">
        <v>1001</v>
      </c>
      <c r="AJ232" s="24"/>
      <c r="AK232" s="24"/>
      <c r="AL232" s="24"/>
    </row>
    <row r="233" spans="1:38" ht="12.75" customHeight="1">
      <c r="A233" s="22">
        <v>231</v>
      </c>
      <c r="B233" s="161" t="s">
        <v>1002</v>
      </c>
      <c r="C233" s="24" t="s">
        <v>180</v>
      </c>
      <c r="D233" s="160" t="s">
        <v>960</v>
      </c>
      <c r="E233" s="24" t="s">
        <v>961</v>
      </c>
      <c r="F233" s="24">
        <v>1</v>
      </c>
      <c r="G233" s="24" t="s">
        <v>494</v>
      </c>
      <c r="H233" s="24"/>
      <c r="I233" s="111"/>
      <c r="J233" s="160"/>
      <c r="K233" s="111"/>
      <c r="L233" s="124"/>
      <c r="M233" s="161"/>
      <c r="N233" s="161" t="s">
        <v>1002</v>
      </c>
      <c r="O233" s="161"/>
      <c r="P233" s="161"/>
      <c r="Q233" s="111"/>
      <c r="R233" s="24"/>
      <c r="S233" s="161"/>
      <c r="T233" s="111"/>
      <c r="U233" s="112"/>
      <c r="V233" s="112"/>
      <c r="W233" s="24"/>
      <c r="X233" s="24"/>
      <c r="Y233" s="24"/>
      <c r="Z233" s="24"/>
      <c r="AA233" s="24"/>
      <c r="AB233" s="24"/>
      <c r="AC233" s="112"/>
      <c r="AD233" s="112"/>
      <c r="AE233" s="93" t="s">
        <v>1003</v>
      </c>
      <c r="AF233" s="111"/>
      <c r="AG233" s="116" t="s">
        <v>115</v>
      </c>
      <c r="AH233" s="116" t="s">
        <v>1004</v>
      </c>
      <c r="AI233" s="116" t="s">
        <v>1005</v>
      </c>
      <c r="AJ233" s="24"/>
      <c r="AK233" s="24"/>
      <c r="AL233" s="24"/>
    </row>
    <row r="234" spans="1:38" ht="12.75" customHeight="1">
      <c r="A234" s="22">
        <v>232</v>
      </c>
      <c r="B234" s="161" t="s">
        <v>1006</v>
      </c>
      <c r="C234" s="24" t="s">
        <v>180</v>
      </c>
      <c r="D234" s="160" t="s">
        <v>960</v>
      </c>
      <c r="E234" s="24" t="s">
        <v>961</v>
      </c>
      <c r="F234" s="24">
        <v>1</v>
      </c>
      <c r="G234" s="24" t="s">
        <v>494</v>
      </c>
      <c r="H234" s="24"/>
      <c r="I234" s="111"/>
      <c r="J234" s="160"/>
      <c r="K234" s="111"/>
      <c r="L234" s="124"/>
      <c r="M234" s="161"/>
      <c r="N234" s="161" t="s">
        <v>1006</v>
      </c>
      <c r="O234" s="161"/>
      <c r="P234" s="161"/>
      <c r="Q234" s="111"/>
      <c r="R234" s="24"/>
      <c r="S234" s="161"/>
      <c r="T234" s="111"/>
      <c r="U234" s="112"/>
      <c r="V234" s="112"/>
      <c r="W234" s="24"/>
      <c r="X234" s="24"/>
      <c r="Y234" s="24"/>
      <c r="Z234" s="24"/>
      <c r="AA234" s="24"/>
      <c r="AB234" s="24"/>
      <c r="AC234" s="119"/>
      <c r="AD234" s="119"/>
      <c r="AE234" s="189"/>
      <c r="AF234" s="127"/>
      <c r="AG234" s="116" t="s">
        <v>115</v>
      </c>
      <c r="AH234" s="115" t="s">
        <v>1007</v>
      </c>
      <c r="AI234" s="116" t="s">
        <v>1008</v>
      </c>
      <c r="AJ234" s="24"/>
      <c r="AK234" s="24"/>
      <c r="AL234" s="24"/>
    </row>
    <row r="235" spans="1:38" ht="12.75" customHeight="1">
      <c r="A235" s="22">
        <v>233</v>
      </c>
      <c r="B235" s="161" t="s">
        <v>1009</v>
      </c>
      <c r="C235" s="24" t="s">
        <v>180</v>
      </c>
      <c r="D235" s="160" t="s">
        <v>960</v>
      </c>
      <c r="E235" s="24" t="s">
        <v>961</v>
      </c>
      <c r="F235" s="24">
        <v>1</v>
      </c>
      <c r="G235" s="24" t="s">
        <v>494</v>
      </c>
      <c r="H235" s="24"/>
      <c r="I235" s="111"/>
      <c r="J235" s="160"/>
      <c r="K235" s="111"/>
      <c r="L235" s="124"/>
      <c r="M235" s="161"/>
      <c r="N235" s="161" t="s">
        <v>1009</v>
      </c>
      <c r="O235" s="161"/>
      <c r="P235" s="161"/>
      <c r="Q235" s="111"/>
      <c r="R235" s="24"/>
      <c r="S235" s="161"/>
      <c r="T235" s="111"/>
      <c r="U235" s="112"/>
      <c r="V235" s="112"/>
      <c r="W235" s="24"/>
      <c r="X235" s="24"/>
      <c r="Y235" s="24"/>
      <c r="Z235" s="24"/>
      <c r="AA235" s="24"/>
      <c r="AB235" s="24"/>
      <c r="AC235" s="119"/>
      <c r="AD235" s="119"/>
      <c r="AE235" s="120"/>
      <c r="AF235" s="127"/>
      <c r="AG235" s="116" t="s">
        <v>115</v>
      </c>
      <c r="AH235" s="115" t="s">
        <v>1010</v>
      </c>
      <c r="AI235" s="116" t="s">
        <v>1011</v>
      </c>
      <c r="AJ235" s="24"/>
      <c r="AK235" s="24"/>
      <c r="AL235" s="24"/>
    </row>
    <row r="236" spans="1:38" ht="12.75" customHeight="1">
      <c r="A236" s="22">
        <v>234</v>
      </c>
      <c r="B236" s="161" t="s">
        <v>1012</v>
      </c>
      <c r="C236" s="24" t="s">
        <v>180</v>
      </c>
      <c r="D236" s="160" t="s">
        <v>960</v>
      </c>
      <c r="E236" s="24" t="s">
        <v>961</v>
      </c>
      <c r="F236" s="24">
        <v>1</v>
      </c>
      <c r="G236" s="24" t="s">
        <v>494</v>
      </c>
      <c r="H236" s="24"/>
      <c r="I236" s="111"/>
      <c r="J236" s="160"/>
      <c r="K236" s="111"/>
      <c r="L236" s="124"/>
      <c r="M236" s="161"/>
      <c r="N236" s="161" t="s">
        <v>1012</v>
      </c>
      <c r="O236" s="161"/>
      <c r="P236" s="161"/>
      <c r="Q236" s="111"/>
      <c r="R236" s="24"/>
      <c r="S236" s="161"/>
      <c r="T236" s="111"/>
      <c r="U236" s="112"/>
      <c r="V236" s="112"/>
      <c r="W236" s="24"/>
      <c r="X236" s="24"/>
      <c r="Y236" s="24"/>
      <c r="Z236" s="24"/>
      <c r="AA236" s="24"/>
      <c r="AB236" s="24"/>
      <c r="AC236" s="112"/>
      <c r="AD236" s="112"/>
      <c r="AE236" s="25" t="s">
        <v>1013</v>
      </c>
      <c r="AF236" s="111"/>
      <c r="AG236" s="116" t="s">
        <v>115</v>
      </c>
      <c r="AH236" s="116" t="s">
        <v>1014</v>
      </c>
      <c r="AI236" s="116" t="s">
        <v>1015</v>
      </c>
      <c r="AJ236" s="24"/>
      <c r="AK236" s="24"/>
      <c r="AL236" s="24"/>
    </row>
    <row r="237" spans="1:38" ht="12.75" customHeight="1">
      <c r="A237" s="22">
        <v>235</v>
      </c>
      <c r="B237" s="161" t="s">
        <v>1016</v>
      </c>
      <c r="C237" s="24" t="s">
        <v>180</v>
      </c>
      <c r="D237" s="160" t="s">
        <v>960</v>
      </c>
      <c r="E237" s="24" t="s">
        <v>961</v>
      </c>
      <c r="F237" s="24">
        <v>1</v>
      </c>
      <c r="G237" s="24" t="s">
        <v>494</v>
      </c>
      <c r="H237" s="24"/>
      <c r="I237" s="111"/>
      <c r="J237" s="160"/>
      <c r="K237" s="111"/>
      <c r="L237" s="124"/>
      <c r="M237" s="161"/>
      <c r="N237" s="161" t="s">
        <v>1016</v>
      </c>
      <c r="O237" s="161"/>
      <c r="P237" s="161"/>
      <c r="Q237" s="111"/>
      <c r="R237" s="24"/>
      <c r="S237" s="161"/>
      <c r="T237" s="111"/>
      <c r="U237" s="112"/>
      <c r="V237" s="112"/>
      <c r="W237" s="24"/>
      <c r="X237" s="24"/>
      <c r="Y237" s="24"/>
      <c r="Z237" s="24"/>
      <c r="AA237" s="24"/>
      <c r="AB237" s="24"/>
      <c r="AC237" s="119"/>
      <c r="AD237" s="119"/>
      <c r="AE237" s="120"/>
      <c r="AF237" s="127"/>
      <c r="AG237" s="116" t="s">
        <v>115</v>
      </c>
      <c r="AH237" s="115" t="s">
        <v>1018</v>
      </c>
      <c r="AI237" s="116" t="s">
        <v>1019</v>
      </c>
      <c r="AJ237" s="24"/>
      <c r="AK237" s="24"/>
      <c r="AL237" s="24"/>
    </row>
    <row r="238" spans="1:38" ht="12.75" customHeight="1">
      <c r="A238" s="22">
        <v>236</v>
      </c>
      <c r="B238" s="161" t="s">
        <v>1020</v>
      </c>
      <c r="C238" s="24" t="s">
        <v>180</v>
      </c>
      <c r="D238" s="160" t="s">
        <v>960</v>
      </c>
      <c r="E238" s="24" t="s">
        <v>961</v>
      </c>
      <c r="F238" s="24">
        <v>1</v>
      </c>
      <c r="G238" s="24" t="s">
        <v>494</v>
      </c>
      <c r="H238" s="24"/>
      <c r="I238" s="111"/>
      <c r="J238" s="160"/>
      <c r="K238" s="111"/>
      <c r="L238" s="124"/>
      <c r="M238" s="161"/>
      <c r="N238" s="161" t="s">
        <v>1020</v>
      </c>
      <c r="O238" s="161"/>
      <c r="P238" s="161"/>
      <c r="Q238" s="111"/>
      <c r="R238" s="24"/>
      <c r="S238" s="161"/>
      <c r="T238" s="111"/>
      <c r="U238" s="112"/>
      <c r="V238" s="112"/>
      <c r="W238" s="24"/>
      <c r="X238" s="24"/>
      <c r="Y238" s="24"/>
      <c r="Z238" s="24"/>
      <c r="AA238" s="24"/>
      <c r="AB238" s="24"/>
      <c r="AC238" s="112"/>
      <c r="AD238" s="112"/>
      <c r="AE238" s="129">
        <v>416234007</v>
      </c>
      <c r="AF238" s="111"/>
      <c r="AG238" s="116" t="s">
        <v>115</v>
      </c>
      <c r="AH238" s="116" t="s">
        <v>1022</v>
      </c>
      <c r="AI238" s="116" t="s">
        <v>1023</v>
      </c>
      <c r="AJ238" s="24"/>
      <c r="AK238" s="24"/>
      <c r="AL238" s="24"/>
    </row>
    <row r="239" spans="1:38" ht="12.75" customHeight="1">
      <c r="A239" s="22">
        <v>237</v>
      </c>
      <c r="B239" s="161" t="s">
        <v>1024</v>
      </c>
      <c r="C239" s="24" t="s">
        <v>180</v>
      </c>
      <c r="D239" s="160" t="s">
        <v>960</v>
      </c>
      <c r="E239" s="24" t="s">
        <v>961</v>
      </c>
      <c r="F239" s="24">
        <v>1</v>
      </c>
      <c r="G239" s="24" t="s">
        <v>494</v>
      </c>
      <c r="H239" s="24"/>
      <c r="I239" s="111"/>
      <c r="J239" s="160"/>
      <c r="K239" s="111"/>
      <c r="L239" s="124"/>
      <c r="M239" s="161"/>
      <c r="N239" s="161" t="s">
        <v>1024</v>
      </c>
      <c r="O239" s="161"/>
      <c r="P239" s="161"/>
      <c r="Q239" s="111"/>
      <c r="R239" s="24"/>
      <c r="S239" s="161"/>
      <c r="T239" s="111"/>
      <c r="U239" s="112"/>
      <c r="V239" s="112"/>
      <c r="W239" s="24"/>
      <c r="X239" s="24"/>
      <c r="Y239" s="24"/>
      <c r="Z239" s="24"/>
      <c r="AA239" s="24"/>
      <c r="AB239" s="24"/>
      <c r="AC239" s="119"/>
      <c r="AD239" s="119"/>
      <c r="AE239" s="120"/>
      <c r="AF239" s="127"/>
      <c r="AG239" s="116" t="s">
        <v>115</v>
      </c>
      <c r="AH239" s="115" t="s">
        <v>1025</v>
      </c>
      <c r="AI239" s="116" t="s">
        <v>1026</v>
      </c>
      <c r="AJ239" s="24"/>
      <c r="AK239" s="24"/>
      <c r="AL239" s="24"/>
    </row>
    <row r="240" spans="1:38" ht="12.75" customHeight="1">
      <c r="A240" s="22">
        <v>238</v>
      </c>
      <c r="B240" s="161" t="s">
        <v>1028</v>
      </c>
      <c r="C240" s="24" t="s">
        <v>180</v>
      </c>
      <c r="D240" s="160" t="s">
        <v>960</v>
      </c>
      <c r="E240" s="24" t="s">
        <v>961</v>
      </c>
      <c r="F240" s="24">
        <v>1</v>
      </c>
      <c r="G240" s="24" t="s">
        <v>494</v>
      </c>
      <c r="H240" s="24"/>
      <c r="I240" s="111"/>
      <c r="J240" s="160"/>
      <c r="K240" s="111"/>
      <c r="L240" s="124"/>
      <c r="M240" s="161"/>
      <c r="N240" s="161" t="s">
        <v>1028</v>
      </c>
      <c r="O240" s="161"/>
      <c r="P240" s="161"/>
      <c r="Q240" s="111"/>
      <c r="R240" s="24"/>
      <c r="S240" s="161"/>
      <c r="T240" s="111"/>
      <c r="U240" s="112"/>
      <c r="V240" s="112"/>
      <c r="W240" s="24"/>
      <c r="X240" s="24"/>
      <c r="Y240" s="24"/>
      <c r="Z240" s="24"/>
      <c r="AA240" s="24"/>
      <c r="AB240" s="24"/>
      <c r="AC240" s="119"/>
      <c r="AD240" s="119"/>
      <c r="AE240" s="120"/>
      <c r="AF240" s="127"/>
      <c r="AG240" s="116" t="s">
        <v>115</v>
      </c>
      <c r="AH240" s="115" t="s">
        <v>1029</v>
      </c>
      <c r="AI240" s="116" t="s">
        <v>1030</v>
      </c>
      <c r="AJ240" s="24"/>
      <c r="AK240" s="24"/>
      <c r="AL240" s="24"/>
    </row>
    <row r="241" spans="1:38" ht="12.75" customHeight="1">
      <c r="A241" s="22">
        <v>239</v>
      </c>
      <c r="B241" s="161" t="s">
        <v>1031</v>
      </c>
      <c r="C241" s="24" t="s">
        <v>180</v>
      </c>
      <c r="D241" s="160" t="s">
        <v>960</v>
      </c>
      <c r="E241" s="24" t="s">
        <v>961</v>
      </c>
      <c r="F241" s="24">
        <v>1</v>
      </c>
      <c r="G241" s="24" t="s">
        <v>494</v>
      </c>
      <c r="H241" s="24"/>
      <c r="I241" s="111"/>
      <c r="J241" s="160"/>
      <c r="K241" s="111"/>
      <c r="L241" s="124"/>
      <c r="M241" s="161"/>
      <c r="N241" s="161" t="s">
        <v>1031</v>
      </c>
      <c r="O241" s="161"/>
      <c r="P241" s="161"/>
      <c r="Q241" s="111"/>
      <c r="R241" s="24"/>
      <c r="S241" s="161"/>
      <c r="T241" s="111"/>
      <c r="U241" s="112"/>
      <c r="V241" s="112"/>
      <c r="W241" s="24"/>
      <c r="X241" s="24"/>
      <c r="Y241" s="24"/>
      <c r="Z241" s="24"/>
      <c r="AA241" s="24"/>
      <c r="AB241" s="24"/>
      <c r="AC241" s="112"/>
      <c r="AD241" s="112"/>
      <c r="AE241" s="118">
        <v>398731002</v>
      </c>
      <c r="AF241" s="111"/>
      <c r="AG241" s="116" t="s">
        <v>115</v>
      </c>
      <c r="AH241" s="115" t="s">
        <v>1032</v>
      </c>
      <c r="AI241" s="115" t="s">
        <v>1033</v>
      </c>
      <c r="AJ241" s="24"/>
      <c r="AK241" s="24"/>
      <c r="AL241" s="24"/>
    </row>
    <row r="242" spans="1:38" ht="12.75" customHeight="1">
      <c r="A242" s="22">
        <v>240</v>
      </c>
      <c r="B242" s="161" t="s">
        <v>1034</v>
      </c>
      <c r="C242" s="24" t="s">
        <v>180</v>
      </c>
      <c r="D242" s="160" t="s">
        <v>960</v>
      </c>
      <c r="E242" s="24" t="s">
        <v>961</v>
      </c>
      <c r="F242" s="24">
        <v>1</v>
      </c>
      <c r="G242" s="24" t="s">
        <v>494</v>
      </c>
      <c r="H242" s="24"/>
      <c r="I242" s="111"/>
      <c r="J242" s="160"/>
      <c r="K242" s="111"/>
      <c r="L242" s="124"/>
      <c r="M242" s="161"/>
      <c r="N242" s="161" t="s">
        <v>1034</v>
      </c>
      <c r="O242" s="161"/>
      <c r="P242" s="161"/>
      <c r="Q242" s="111"/>
      <c r="R242" s="24"/>
      <c r="S242" s="161"/>
      <c r="T242" s="111"/>
      <c r="U242" s="112"/>
      <c r="V242" s="112"/>
      <c r="W242" s="24"/>
      <c r="X242" s="24"/>
      <c r="Y242" s="24"/>
      <c r="Z242" s="24"/>
      <c r="AA242" s="24"/>
      <c r="AB242" s="24"/>
      <c r="AC242" s="112"/>
      <c r="AD242" s="112"/>
      <c r="AE242" s="118">
        <v>255631004</v>
      </c>
      <c r="AF242" s="111"/>
      <c r="AG242" s="116" t="s">
        <v>115</v>
      </c>
      <c r="AH242" s="116" t="s">
        <v>1035</v>
      </c>
      <c r="AI242" s="116" t="s">
        <v>1036</v>
      </c>
      <c r="AJ242" s="24"/>
      <c r="AK242" s="24"/>
      <c r="AL242" s="24"/>
    </row>
    <row r="243" spans="1:38" ht="12.75" customHeight="1">
      <c r="A243" s="22">
        <v>241</v>
      </c>
      <c r="B243" s="161" t="s">
        <v>1037</v>
      </c>
      <c r="C243" s="24" t="s">
        <v>180</v>
      </c>
      <c r="D243" s="160" t="s">
        <v>960</v>
      </c>
      <c r="E243" s="24" t="s">
        <v>961</v>
      </c>
      <c r="F243" s="24">
        <v>1</v>
      </c>
      <c r="G243" s="24" t="s">
        <v>494</v>
      </c>
      <c r="H243" s="24"/>
      <c r="I243" s="111"/>
      <c r="J243" s="160"/>
      <c r="K243" s="111"/>
      <c r="L243" s="124"/>
      <c r="M243" s="161"/>
      <c r="N243" s="161" t="s">
        <v>1037</v>
      </c>
      <c r="O243" s="161"/>
      <c r="P243" s="161"/>
      <c r="Q243" s="111"/>
      <c r="R243" s="24"/>
      <c r="S243" s="161"/>
      <c r="T243" s="111"/>
      <c r="U243" s="112"/>
      <c r="V243" s="112"/>
      <c r="W243" s="24"/>
      <c r="X243" s="24"/>
      <c r="Y243" s="24"/>
      <c r="Z243" s="24"/>
      <c r="AA243" s="24"/>
      <c r="AB243" s="24"/>
      <c r="AC243" s="119"/>
      <c r="AD243" s="119"/>
      <c r="AE243" s="120"/>
      <c r="AF243" s="127"/>
      <c r="AG243" s="115" t="s">
        <v>115</v>
      </c>
      <c r="AH243" s="115" t="s">
        <v>1038</v>
      </c>
      <c r="AI243" s="116" t="s">
        <v>1039</v>
      </c>
      <c r="AJ243" s="24"/>
      <c r="AK243" s="24"/>
      <c r="AL243" s="24"/>
    </row>
    <row r="244" spans="1:38" ht="12.75" customHeight="1">
      <c r="A244" s="22">
        <v>242</v>
      </c>
      <c r="B244" s="161" t="s">
        <v>1040</v>
      </c>
      <c r="C244" s="24" t="s">
        <v>180</v>
      </c>
      <c r="D244" s="160" t="s">
        <v>960</v>
      </c>
      <c r="E244" s="24" t="s">
        <v>961</v>
      </c>
      <c r="F244" s="24">
        <v>1</v>
      </c>
      <c r="G244" s="24" t="s">
        <v>494</v>
      </c>
      <c r="H244" s="24"/>
      <c r="I244" s="112"/>
      <c r="J244" s="160"/>
      <c r="K244" s="112"/>
      <c r="L244" s="124"/>
      <c r="M244" s="161"/>
      <c r="N244" s="161" t="s">
        <v>1040</v>
      </c>
      <c r="O244" s="161"/>
      <c r="P244" s="161"/>
      <c r="Q244" s="112"/>
      <c r="R244" s="24"/>
      <c r="S244" s="161"/>
      <c r="T244" s="112"/>
      <c r="U244" s="112"/>
      <c r="V244" s="112"/>
      <c r="W244" s="24"/>
      <c r="X244" s="24"/>
      <c r="Y244" s="24"/>
      <c r="Z244" s="24"/>
      <c r="AA244" s="24"/>
      <c r="AB244" s="24"/>
      <c r="AC244" s="119"/>
      <c r="AD244" s="119"/>
      <c r="AE244" s="120"/>
      <c r="AF244" s="119"/>
      <c r="AG244" s="115" t="s">
        <v>115</v>
      </c>
      <c r="AH244" s="115" t="s">
        <v>1041</v>
      </c>
      <c r="AI244" s="116" t="s">
        <v>1042</v>
      </c>
      <c r="AJ244" s="24"/>
      <c r="AK244" s="24"/>
      <c r="AL244" s="24"/>
    </row>
    <row r="245" spans="1:38" ht="12.75" customHeight="1">
      <c r="A245" s="22">
        <v>243</v>
      </c>
      <c r="B245" s="161" t="s">
        <v>1043</v>
      </c>
      <c r="C245" s="24" t="s">
        <v>180</v>
      </c>
      <c r="D245" s="160" t="s">
        <v>960</v>
      </c>
      <c r="E245" s="24" t="s">
        <v>961</v>
      </c>
      <c r="F245" s="24">
        <v>1</v>
      </c>
      <c r="G245" s="24" t="s">
        <v>494</v>
      </c>
      <c r="H245" s="24"/>
      <c r="I245" s="112"/>
      <c r="J245" s="160"/>
      <c r="K245" s="112"/>
      <c r="L245" s="124"/>
      <c r="M245" s="161"/>
      <c r="N245" s="161" t="s">
        <v>1043</v>
      </c>
      <c r="O245" s="161"/>
      <c r="P245" s="161"/>
      <c r="Q245" s="112"/>
      <c r="R245" s="24"/>
      <c r="S245" s="161"/>
      <c r="T245" s="112"/>
      <c r="U245" s="112"/>
      <c r="V245" s="112"/>
      <c r="W245" s="24"/>
      <c r="X245" s="24"/>
      <c r="Y245" s="24"/>
      <c r="Z245" s="24"/>
      <c r="AA245" s="24"/>
      <c r="AB245" s="24"/>
      <c r="AC245" s="112"/>
      <c r="AD245" s="112"/>
      <c r="AE245" s="118">
        <v>10632007</v>
      </c>
      <c r="AF245" s="112"/>
      <c r="AG245" s="116" t="s">
        <v>115</v>
      </c>
      <c r="AH245" s="116" t="s">
        <v>1044</v>
      </c>
      <c r="AI245" s="116" t="s">
        <v>1045</v>
      </c>
      <c r="AJ245" s="24"/>
      <c r="AK245" s="24"/>
      <c r="AL245" s="24"/>
    </row>
    <row r="246" spans="1:38" ht="12.75" customHeight="1">
      <c r="A246" s="22">
        <v>244</v>
      </c>
      <c r="B246" s="161" t="s">
        <v>1046</v>
      </c>
      <c r="C246" s="24" t="s">
        <v>180</v>
      </c>
      <c r="D246" s="160" t="s">
        <v>960</v>
      </c>
      <c r="E246" s="24" t="s">
        <v>961</v>
      </c>
      <c r="F246" s="24">
        <v>1</v>
      </c>
      <c r="G246" s="24" t="s">
        <v>494</v>
      </c>
      <c r="H246" s="24"/>
      <c r="I246" s="112"/>
      <c r="J246" s="160"/>
      <c r="K246" s="112"/>
      <c r="L246" s="124"/>
      <c r="M246" s="161"/>
      <c r="N246" s="161" t="s">
        <v>1046</v>
      </c>
      <c r="O246" s="161"/>
      <c r="P246" s="161"/>
      <c r="Q246" s="112"/>
      <c r="R246" s="24"/>
      <c r="S246" s="161"/>
      <c r="T246" s="112"/>
      <c r="U246" s="112"/>
      <c r="V246" s="112"/>
      <c r="W246" s="24"/>
      <c r="X246" s="24"/>
      <c r="Y246" s="24"/>
      <c r="Z246" s="24"/>
      <c r="AA246" s="24"/>
      <c r="AB246" s="24"/>
      <c r="AC246" s="119"/>
      <c r="AD246" s="119"/>
      <c r="AE246" s="120"/>
      <c r="AF246" s="119"/>
      <c r="AG246" s="116" t="s">
        <v>115</v>
      </c>
      <c r="AH246" s="115" t="s">
        <v>1047</v>
      </c>
      <c r="AI246" s="116" t="s">
        <v>1048</v>
      </c>
      <c r="AJ246" s="24"/>
      <c r="AK246" s="24"/>
      <c r="AL246" s="24"/>
    </row>
    <row r="247" spans="1:38" ht="12.75" customHeight="1">
      <c r="A247" s="22">
        <v>245</v>
      </c>
      <c r="B247" s="161" t="s">
        <v>405</v>
      </c>
      <c r="C247" s="24" t="s">
        <v>180</v>
      </c>
      <c r="D247" s="160" t="s">
        <v>960</v>
      </c>
      <c r="E247" s="24" t="s">
        <v>961</v>
      </c>
      <c r="F247" s="24">
        <v>1</v>
      </c>
      <c r="G247" s="24" t="s">
        <v>494</v>
      </c>
      <c r="H247" s="24"/>
      <c r="I247" s="112"/>
      <c r="J247" s="160"/>
      <c r="K247" s="112"/>
      <c r="L247" s="124"/>
      <c r="M247" s="161"/>
      <c r="N247" s="161" t="s">
        <v>405</v>
      </c>
      <c r="O247" s="161"/>
      <c r="P247" s="161"/>
      <c r="Q247" s="112"/>
      <c r="R247" s="24"/>
      <c r="S247" s="161"/>
      <c r="T247" s="112"/>
      <c r="U247" s="112"/>
      <c r="V247" s="112"/>
      <c r="W247" s="24"/>
      <c r="X247" s="24"/>
      <c r="Y247" s="24"/>
      <c r="Z247" s="24"/>
      <c r="AA247" s="24"/>
      <c r="AB247" s="24"/>
      <c r="AC247" s="112"/>
      <c r="AD247" s="112"/>
      <c r="AE247" s="93" t="s">
        <v>745</v>
      </c>
      <c r="AF247" s="112"/>
      <c r="AG247" s="116" t="s">
        <v>115</v>
      </c>
      <c r="AH247" s="115" t="s">
        <v>406</v>
      </c>
      <c r="AI247" s="115" t="s">
        <v>407</v>
      </c>
      <c r="AJ247" s="24"/>
      <c r="AK247" s="24"/>
      <c r="AL247" s="24"/>
    </row>
    <row r="248" spans="1:38" ht="12.75" customHeight="1">
      <c r="A248" s="22">
        <v>246</v>
      </c>
      <c r="B248" s="124" t="s">
        <v>1049</v>
      </c>
      <c r="C248" s="24" t="s">
        <v>96</v>
      </c>
      <c r="D248" s="24"/>
      <c r="E248" s="24" t="s">
        <v>961</v>
      </c>
      <c r="F248" s="24">
        <v>1</v>
      </c>
      <c r="G248" s="24" t="s">
        <v>494</v>
      </c>
      <c r="H248" s="24"/>
      <c r="I248" s="112"/>
      <c r="J248" s="124" t="s">
        <v>409</v>
      </c>
      <c r="K248" s="112"/>
      <c r="L248" s="124" t="s">
        <v>1050</v>
      </c>
      <c r="M248" s="161" t="s">
        <v>111</v>
      </c>
      <c r="N248" s="161"/>
      <c r="O248" s="161"/>
      <c r="P248" s="161"/>
      <c r="Q248" s="112"/>
      <c r="R248" s="24"/>
      <c r="S248" s="124" t="s">
        <v>208</v>
      </c>
      <c r="T248" s="112"/>
      <c r="U248" s="112"/>
      <c r="V248" s="112"/>
      <c r="W248" s="24"/>
      <c r="X248" s="24"/>
      <c r="Y248" s="24"/>
      <c r="Z248" s="24"/>
      <c r="AA248" s="24"/>
      <c r="AB248" s="24"/>
      <c r="AC248" s="112"/>
      <c r="AD248" s="112"/>
      <c r="AE248" s="25"/>
      <c r="AF248" s="174" t="s">
        <v>1051</v>
      </c>
      <c r="AG248" s="115" t="s">
        <v>1052</v>
      </c>
      <c r="AH248" s="115" t="s">
        <v>415</v>
      </c>
      <c r="AI248" s="115" t="s">
        <v>416</v>
      </c>
      <c r="AJ248" s="24"/>
      <c r="AK248" s="24"/>
      <c r="AL248" s="24"/>
    </row>
    <row r="249" spans="1:38" ht="12.75" customHeight="1">
      <c r="A249" s="22">
        <v>247</v>
      </c>
      <c r="B249" s="160" t="s">
        <v>1053</v>
      </c>
      <c r="C249" s="24" t="s">
        <v>96</v>
      </c>
      <c r="D249" s="24"/>
      <c r="E249" s="24" t="s">
        <v>1054</v>
      </c>
      <c r="F249" s="24">
        <v>1</v>
      </c>
      <c r="G249" s="24" t="s">
        <v>494</v>
      </c>
      <c r="H249" s="24"/>
      <c r="I249" s="112"/>
      <c r="J249" s="160" t="s">
        <v>1053</v>
      </c>
      <c r="K249" s="112"/>
      <c r="L249" s="197" t="s">
        <v>1055</v>
      </c>
      <c r="M249" s="161" t="s">
        <v>238</v>
      </c>
      <c r="N249" s="124"/>
      <c r="O249" s="161"/>
      <c r="P249" s="161" t="s">
        <v>1056</v>
      </c>
      <c r="Q249" s="112"/>
      <c r="R249" s="24"/>
      <c r="S249" s="126" t="s">
        <v>113</v>
      </c>
      <c r="T249" s="112"/>
      <c r="U249" s="112"/>
      <c r="V249" s="112"/>
      <c r="W249" s="24"/>
      <c r="X249" s="24"/>
      <c r="Y249" s="24"/>
      <c r="Z249" s="24"/>
      <c r="AA249" s="24"/>
      <c r="AB249" s="24"/>
      <c r="AC249" s="119"/>
      <c r="AD249" s="119"/>
      <c r="AE249" s="120"/>
      <c r="AF249" s="119"/>
      <c r="AG249" s="115" t="s">
        <v>115</v>
      </c>
      <c r="AH249" s="115" t="s">
        <v>1058</v>
      </c>
      <c r="AI249" s="115" t="s">
        <v>1059</v>
      </c>
      <c r="AJ249" s="24"/>
      <c r="AK249" s="24"/>
      <c r="AL249" s="24"/>
    </row>
    <row r="250" spans="1:38" ht="12.75" customHeight="1">
      <c r="A250" s="22">
        <v>248</v>
      </c>
      <c r="B250" s="124" t="s">
        <v>1060</v>
      </c>
      <c r="C250" s="24" t="s">
        <v>180</v>
      </c>
      <c r="D250" s="24"/>
      <c r="E250" s="24" t="s">
        <v>1054</v>
      </c>
      <c r="F250" s="24">
        <v>1</v>
      </c>
      <c r="G250" s="24" t="s">
        <v>494</v>
      </c>
      <c r="H250" s="24"/>
      <c r="I250" s="112"/>
      <c r="J250" s="126"/>
      <c r="K250" s="112"/>
      <c r="L250" s="126"/>
      <c r="M250" s="126"/>
      <c r="N250" s="124" t="s">
        <v>1060</v>
      </c>
      <c r="O250" s="126"/>
      <c r="P250" s="126"/>
      <c r="Q250" s="112"/>
      <c r="R250" s="24"/>
      <c r="S250" s="126"/>
      <c r="T250" s="112"/>
      <c r="U250" s="112"/>
      <c r="V250" s="112"/>
      <c r="W250" s="24"/>
      <c r="X250" s="24"/>
      <c r="Y250" s="24"/>
      <c r="Z250" s="24"/>
      <c r="AA250" s="24"/>
      <c r="AB250" s="24"/>
      <c r="AC250" s="119"/>
      <c r="AD250" s="119"/>
      <c r="AE250" s="120"/>
      <c r="AF250" s="119"/>
      <c r="AG250" s="115" t="s">
        <v>115</v>
      </c>
      <c r="AH250" s="115" t="s">
        <v>1061</v>
      </c>
      <c r="AI250" s="115" t="s">
        <v>1062</v>
      </c>
      <c r="AJ250" s="24"/>
      <c r="AK250" s="24"/>
      <c r="AL250" s="24"/>
    </row>
    <row r="251" spans="1:38" ht="12.75" customHeight="1">
      <c r="A251" s="22">
        <v>249</v>
      </c>
      <c r="B251" s="124" t="s">
        <v>1063</v>
      </c>
      <c r="C251" s="24" t="s">
        <v>180</v>
      </c>
      <c r="D251" s="24"/>
      <c r="E251" s="24" t="s">
        <v>1054</v>
      </c>
      <c r="F251" s="24">
        <v>1</v>
      </c>
      <c r="G251" s="24" t="s">
        <v>494</v>
      </c>
      <c r="H251" s="24"/>
      <c r="I251" s="112"/>
      <c r="J251" s="126"/>
      <c r="K251" s="112"/>
      <c r="L251" s="126"/>
      <c r="M251" s="126"/>
      <c r="N251" s="124" t="s">
        <v>1063</v>
      </c>
      <c r="O251" s="126"/>
      <c r="P251" s="126"/>
      <c r="Q251" s="112"/>
      <c r="R251" s="24"/>
      <c r="S251" s="126"/>
      <c r="T251" s="112"/>
      <c r="U251" s="112"/>
      <c r="V251" s="112"/>
      <c r="W251" s="24"/>
      <c r="X251" s="24"/>
      <c r="Y251" s="24"/>
      <c r="Z251" s="24"/>
      <c r="AA251" s="24"/>
      <c r="AB251" s="24"/>
      <c r="AC251" s="119"/>
      <c r="AD251" s="119"/>
      <c r="AE251" s="120"/>
      <c r="AF251" s="119"/>
      <c r="AG251" s="115" t="s">
        <v>115</v>
      </c>
      <c r="AH251" s="115" t="s">
        <v>1065</v>
      </c>
      <c r="AI251" s="115" t="s">
        <v>1066</v>
      </c>
      <c r="AJ251" s="24"/>
      <c r="AK251" s="24"/>
      <c r="AL251" s="24"/>
    </row>
    <row r="252" spans="1:38" ht="12.75" customHeight="1">
      <c r="A252" s="22">
        <v>250</v>
      </c>
      <c r="B252" s="124" t="s">
        <v>1067</v>
      </c>
      <c r="C252" s="24" t="s">
        <v>180</v>
      </c>
      <c r="D252" s="24"/>
      <c r="E252" s="24" t="s">
        <v>1054</v>
      </c>
      <c r="F252" s="24">
        <v>1</v>
      </c>
      <c r="G252" s="24" t="s">
        <v>494</v>
      </c>
      <c r="H252" s="24"/>
      <c r="I252" s="112"/>
      <c r="J252" s="126"/>
      <c r="K252" s="112"/>
      <c r="L252" s="126"/>
      <c r="M252" s="126"/>
      <c r="N252" s="124" t="s">
        <v>1067</v>
      </c>
      <c r="O252" s="126"/>
      <c r="P252" s="126"/>
      <c r="Q252" s="112"/>
      <c r="R252" s="24"/>
      <c r="S252" s="126"/>
      <c r="T252" s="112"/>
      <c r="U252" s="112"/>
      <c r="V252" s="112"/>
      <c r="W252" s="24"/>
      <c r="X252" s="24"/>
      <c r="Y252" s="24"/>
      <c r="Z252" s="24"/>
      <c r="AA252" s="24"/>
      <c r="AB252" s="24"/>
      <c r="AC252" s="119"/>
      <c r="AD252" s="119"/>
      <c r="AE252" s="120"/>
      <c r="AF252" s="119"/>
      <c r="AG252" s="115" t="s">
        <v>115</v>
      </c>
      <c r="AH252" s="115" t="s">
        <v>1068</v>
      </c>
      <c r="AI252" s="115" t="s">
        <v>1069</v>
      </c>
      <c r="AJ252" s="24"/>
      <c r="AK252" s="24"/>
      <c r="AL252" s="24"/>
    </row>
    <row r="253" spans="1:38" ht="12.75" customHeight="1">
      <c r="A253" s="22">
        <v>251</v>
      </c>
      <c r="B253" s="124" t="s">
        <v>1070</v>
      </c>
      <c r="C253" s="24" t="s">
        <v>180</v>
      </c>
      <c r="D253" s="24"/>
      <c r="E253" s="24" t="s">
        <v>1054</v>
      </c>
      <c r="F253" s="24">
        <v>1</v>
      </c>
      <c r="G253" s="24" t="s">
        <v>494</v>
      </c>
      <c r="H253" s="24"/>
      <c r="I253" s="112"/>
      <c r="J253" s="126"/>
      <c r="K253" s="112"/>
      <c r="L253" s="126"/>
      <c r="M253" s="126"/>
      <c r="N253" s="124" t="s">
        <v>1070</v>
      </c>
      <c r="O253" s="126"/>
      <c r="P253" s="126"/>
      <c r="Q253" s="112"/>
      <c r="R253" s="24"/>
      <c r="S253" s="126"/>
      <c r="T253" s="112"/>
      <c r="U253" s="112"/>
      <c r="V253" s="112"/>
      <c r="W253" s="24"/>
      <c r="X253" s="24"/>
      <c r="Y253" s="24"/>
      <c r="Z253" s="24"/>
      <c r="AA253" s="24"/>
      <c r="AB253" s="24"/>
      <c r="AC253" s="119"/>
      <c r="AD253" s="119"/>
      <c r="AE253" s="120"/>
      <c r="AF253" s="119"/>
      <c r="AG253" s="115" t="s">
        <v>115</v>
      </c>
      <c r="AH253" s="115" t="s">
        <v>1072</v>
      </c>
      <c r="AI253" s="115" t="s">
        <v>1073</v>
      </c>
      <c r="AJ253" s="24"/>
      <c r="AK253" s="24"/>
      <c r="AL253" s="24"/>
    </row>
    <row r="254" spans="1:38" ht="12.75" customHeight="1">
      <c r="A254" s="22">
        <v>252</v>
      </c>
      <c r="B254" s="124" t="s">
        <v>1074</v>
      </c>
      <c r="C254" s="24" t="s">
        <v>180</v>
      </c>
      <c r="D254" s="24"/>
      <c r="E254" s="24" t="s">
        <v>1054</v>
      </c>
      <c r="F254" s="24">
        <v>1</v>
      </c>
      <c r="G254" s="24" t="s">
        <v>494</v>
      </c>
      <c r="H254" s="24"/>
      <c r="I254" s="112"/>
      <c r="J254" s="126"/>
      <c r="K254" s="112"/>
      <c r="L254" s="126"/>
      <c r="M254" s="126"/>
      <c r="N254" s="124" t="s">
        <v>1074</v>
      </c>
      <c r="O254" s="126"/>
      <c r="P254" s="126"/>
      <c r="Q254" s="112"/>
      <c r="R254" s="24"/>
      <c r="S254" s="126"/>
      <c r="T254" s="112"/>
      <c r="U254" s="112"/>
      <c r="V254" s="112"/>
      <c r="W254" s="24"/>
      <c r="X254" s="24"/>
      <c r="Y254" s="24"/>
      <c r="Z254" s="24"/>
      <c r="AA254" s="24"/>
      <c r="AB254" s="24"/>
      <c r="AC254" s="119"/>
      <c r="AD254" s="119"/>
      <c r="AE254" s="120"/>
      <c r="AF254" s="119"/>
      <c r="AG254" s="115" t="s">
        <v>115</v>
      </c>
      <c r="AH254" s="115" t="s">
        <v>115</v>
      </c>
      <c r="AI254" s="115" t="s">
        <v>115</v>
      </c>
      <c r="AJ254" s="24"/>
      <c r="AK254" s="24"/>
      <c r="AL254" s="24"/>
    </row>
    <row r="255" spans="1:38" ht="12.75" customHeight="1">
      <c r="A255" s="22">
        <v>253</v>
      </c>
      <c r="B255" s="160" t="s">
        <v>1076</v>
      </c>
      <c r="C255" s="24" t="s">
        <v>96</v>
      </c>
      <c r="D255" s="24"/>
      <c r="E255" s="24" t="s">
        <v>1054</v>
      </c>
      <c r="F255" s="24">
        <v>1</v>
      </c>
      <c r="G255" s="24" t="s">
        <v>494</v>
      </c>
      <c r="H255" s="24"/>
      <c r="I255" s="112"/>
      <c r="J255" s="160" t="s">
        <v>1076</v>
      </c>
      <c r="K255" s="112"/>
      <c r="L255" s="161" t="s">
        <v>1077</v>
      </c>
      <c r="M255" s="161" t="s">
        <v>202</v>
      </c>
      <c r="N255" s="161"/>
      <c r="O255" s="161"/>
      <c r="P255" s="161"/>
      <c r="Q255" s="112"/>
      <c r="R255" s="24"/>
      <c r="S255" s="197" t="s">
        <v>113</v>
      </c>
      <c r="T255" s="112"/>
      <c r="U255" s="112"/>
      <c r="V255" s="112"/>
      <c r="W255" s="24"/>
      <c r="X255" s="24"/>
      <c r="Y255" s="24"/>
      <c r="Z255" s="24"/>
      <c r="AA255" s="24"/>
      <c r="AB255" s="24"/>
      <c r="AC255" s="112"/>
      <c r="AD255" s="112"/>
      <c r="AE255" s="131" t="s">
        <v>1078</v>
      </c>
      <c r="AF255" s="112"/>
      <c r="AG255" s="115" t="s">
        <v>115</v>
      </c>
      <c r="AH255" s="115" t="s">
        <v>1079</v>
      </c>
      <c r="AI255" s="115" t="s">
        <v>1080</v>
      </c>
      <c r="AJ255" s="24"/>
      <c r="AK255" s="24"/>
      <c r="AL255" s="24"/>
    </row>
    <row r="256" spans="1:38" ht="12.75" customHeight="1">
      <c r="A256" s="22">
        <v>254</v>
      </c>
      <c r="B256" s="161" t="s">
        <v>113</v>
      </c>
      <c r="C256" s="24" t="s">
        <v>180</v>
      </c>
      <c r="D256" s="160" t="s">
        <v>1076</v>
      </c>
      <c r="E256" s="24" t="s">
        <v>1054</v>
      </c>
      <c r="F256" s="24">
        <v>1</v>
      </c>
      <c r="G256" s="24" t="s">
        <v>494</v>
      </c>
      <c r="H256" s="24"/>
      <c r="I256" s="112"/>
      <c r="J256" s="160"/>
      <c r="K256" s="112"/>
      <c r="L256" s="161"/>
      <c r="M256" s="161"/>
      <c r="N256" s="161" t="s">
        <v>113</v>
      </c>
      <c r="O256" s="161"/>
      <c r="P256" s="161"/>
      <c r="Q256" s="112"/>
      <c r="R256" s="24"/>
      <c r="S256" s="197"/>
      <c r="T256" s="112"/>
      <c r="U256" s="112"/>
      <c r="V256" s="112"/>
      <c r="W256" s="24"/>
      <c r="X256" s="24"/>
      <c r="Y256" s="24"/>
      <c r="Z256" s="24"/>
      <c r="AA256" s="24"/>
      <c r="AB256" s="24"/>
      <c r="AC256" s="112"/>
      <c r="AD256" s="112"/>
      <c r="AE256" s="121">
        <v>15240007</v>
      </c>
      <c r="AF256" s="112"/>
      <c r="AG256" s="115" t="s">
        <v>115</v>
      </c>
      <c r="AH256" s="115" t="s">
        <v>1082</v>
      </c>
      <c r="AI256" s="115" t="s">
        <v>1083</v>
      </c>
      <c r="AJ256" s="24"/>
      <c r="AK256" s="24"/>
      <c r="AL256" s="24"/>
    </row>
    <row r="257" spans="1:38" ht="12.75" customHeight="1">
      <c r="A257" s="22">
        <v>255</v>
      </c>
      <c r="B257" s="161" t="s">
        <v>208</v>
      </c>
      <c r="C257" s="24" t="s">
        <v>180</v>
      </c>
      <c r="D257" s="160" t="s">
        <v>1076</v>
      </c>
      <c r="E257" s="24" t="s">
        <v>1054</v>
      </c>
      <c r="F257" s="24">
        <v>1</v>
      </c>
      <c r="G257" s="24" t="s">
        <v>494</v>
      </c>
      <c r="H257" s="24"/>
      <c r="I257" s="112"/>
      <c r="J257" s="160"/>
      <c r="K257" s="112"/>
      <c r="L257" s="161"/>
      <c r="M257" s="161"/>
      <c r="N257" s="161" t="s">
        <v>208</v>
      </c>
      <c r="O257" s="161"/>
      <c r="P257" s="161"/>
      <c r="Q257" s="112"/>
      <c r="R257" s="24"/>
      <c r="S257" s="197"/>
      <c r="T257" s="112"/>
      <c r="U257" s="112"/>
      <c r="V257" s="112"/>
      <c r="W257" s="24"/>
      <c r="X257" s="24"/>
      <c r="Y257" s="24"/>
      <c r="Z257" s="24"/>
      <c r="AA257" s="24"/>
      <c r="AB257" s="24"/>
      <c r="AC257" s="119"/>
      <c r="AD257" s="119"/>
      <c r="AE257" s="120"/>
      <c r="AF257" s="119"/>
      <c r="AG257" s="115" t="s">
        <v>115</v>
      </c>
      <c r="AH257" s="115" t="s">
        <v>1084</v>
      </c>
      <c r="AI257" s="115" t="s">
        <v>1085</v>
      </c>
      <c r="AJ257" s="24"/>
      <c r="AK257" s="24"/>
      <c r="AL257" s="24"/>
    </row>
    <row r="258" spans="1:38" ht="12.75" customHeight="1">
      <c r="A258" s="22">
        <v>256</v>
      </c>
      <c r="B258" s="161" t="s">
        <v>1086</v>
      </c>
      <c r="C258" s="24" t="s">
        <v>180</v>
      </c>
      <c r="D258" s="160" t="s">
        <v>1076</v>
      </c>
      <c r="E258" s="24" t="s">
        <v>1054</v>
      </c>
      <c r="F258" s="24">
        <v>1</v>
      </c>
      <c r="G258" s="24" t="s">
        <v>494</v>
      </c>
      <c r="H258" s="24"/>
      <c r="I258" s="112"/>
      <c r="J258" s="160"/>
      <c r="K258" s="112"/>
      <c r="L258" s="161"/>
      <c r="M258" s="161"/>
      <c r="N258" s="161" t="s">
        <v>1086</v>
      </c>
      <c r="O258" s="161"/>
      <c r="P258" s="161"/>
      <c r="Q258" s="112"/>
      <c r="R258" s="24"/>
      <c r="S258" s="197"/>
      <c r="T258" s="112"/>
      <c r="U258" s="112"/>
      <c r="V258" s="112"/>
      <c r="W258" s="24"/>
      <c r="X258" s="24"/>
      <c r="Y258" s="24"/>
      <c r="Z258" s="24"/>
      <c r="AA258" s="24"/>
      <c r="AB258" s="24"/>
      <c r="AC258" s="119"/>
      <c r="AD258" s="119"/>
      <c r="AE258" s="120"/>
      <c r="AF258" s="119"/>
      <c r="AG258" s="115" t="s">
        <v>115</v>
      </c>
      <c r="AH258" s="115" t="s">
        <v>115</v>
      </c>
      <c r="AI258" s="115" t="s">
        <v>115</v>
      </c>
      <c r="AJ258" s="24"/>
      <c r="AK258" s="24"/>
      <c r="AL258" s="24"/>
    </row>
    <row r="259" spans="1:38" ht="12.75" customHeight="1">
      <c r="A259" s="22">
        <v>257</v>
      </c>
      <c r="B259" s="160" t="s">
        <v>1088</v>
      </c>
      <c r="C259" s="24" t="s">
        <v>96</v>
      </c>
      <c r="D259" s="24"/>
      <c r="E259" s="24" t="s">
        <v>1054</v>
      </c>
      <c r="F259" s="24">
        <v>1</v>
      </c>
      <c r="G259" s="24" t="s">
        <v>494</v>
      </c>
      <c r="H259" s="24"/>
      <c r="I259" s="112"/>
      <c r="J259" s="160" t="s">
        <v>1088</v>
      </c>
      <c r="K259" s="112"/>
      <c r="L259" s="161" t="s">
        <v>1089</v>
      </c>
      <c r="M259" s="161" t="s">
        <v>202</v>
      </c>
      <c r="N259" s="161"/>
      <c r="O259" s="161"/>
      <c r="P259" s="161"/>
      <c r="Q259" s="112"/>
      <c r="R259" s="24"/>
      <c r="S259" s="161" t="s">
        <v>208</v>
      </c>
      <c r="T259" s="112"/>
      <c r="U259" s="112"/>
      <c r="V259" s="112"/>
      <c r="W259" s="24"/>
      <c r="X259" s="24"/>
      <c r="Y259" s="24"/>
      <c r="Z259" s="24"/>
      <c r="AA259" s="24"/>
      <c r="AB259" s="24"/>
      <c r="AC259" s="112"/>
      <c r="AD259" s="112"/>
      <c r="AE259" s="113">
        <v>43381005</v>
      </c>
      <c r="AF259" s="112"/>
      <c r="AG259" s="116" t="s">
        <v>115</v>
      </c>
      <c r="AH259" s="116" t="s">
        <v>1091</v>
      </c>
      <c r="AI259" s="116" t="s">
        <v>1092</v>
      </c>
      <c r="AJ259" s="24"/>
      <c r="AK259" s="24"/>
      <c r="AL259" s="24"/>
    </row>
    <row r="260" spans="1:38" ht="12.75" customHeight="1">
      <c r="A260" s="22">
        <v>258</v>
      </c>
      <c r="B260" s="161" t="s">
        <v>113</v>
      </c>
      <c r="C260" s="24" t="s">
        <v>180</v>
      </c>
      <c r="D260" s="160" t="s">
        <v>1088</v>
      </c>
      <c r="E260" s="24" t="s">
        <v>1054</v>
      </c>
      <c r="F260" s="24">
        <v>1</v>
      </c>
      <c r="G260" s="24" t="s">
        <v>494</v>
      </c>
      <c r="H260" s="24"/>
      <c r="I260" s="112"/>
      <c r="J260" s="160"/>
      <c r="K260" s="112"/>
      <c r="L260" s="161"/>
      <c r="M260" s="161"/>
      <c r="N260" s="161" t="s">
        <v>113</v>
      </c>
      <c r="O260" s="161"/>
      <c r="P260" s="161"/>
      <c r="Q260" s="112"/>
      <c r="R260" s="24"/>
      <c r="S260" s="161"/>
      <c r="T260" s="112"/>
      <c r="U260" s="112"/>
      <c r="V260" s="112"/>
      <c r="W260" s="24"/>
      <c r="X260" s="24"/>
      <c r="Y260" s="24"/>
      <c r="Z260" s="24"/>
      <c r="AA260" s="24"/>
      <c r="AB260" s="24"/>
      <c r="AC260" s="112"/>
      <c r="AD260" s="112"/>
      <c r="AE260" s="113">
        <v>373066001</v>
      </c>
      <c r="AF260" s="112"/>
      <c r="AG260" s="116" t="s">
        <v>115</v>
      </c>
      <c r="AH260" s="116" t="s">
        <v>206</v>
      </c>
      <c r="AI260" s="116" t="s">
        <v>207</v>
      </c>
      <c r="AJ260" s="24"/>
      <c r="AK260" s="24"/>
      <c r="AL260" s="24"/>
    </row>
    <row r="261" spans="1:38" ht="12.75" customHeight="1">
      <c r="A261" s="22">
        <v>259</v>
      </c>
      <c r="B261" s="161" t="s">
        <v>208</v>
      </c>
      <c r="C261" s="24" t="s">
        <v>180</v>
      </c>
      <c r="D261" s="160" t="s">
        <v>1088</v>
      </c>
      <c r="E261" s="24" t="s">
        <v>1054</v>
      </c>
      <c r="F261" s="24">
        <v>1</v>
      </c>
      <c r="G261" s="24" t="s">
        <v>494</v>
      </c>
      <c r="H261" s="24"/>
      <c r="I261" s="112"/>
      <c r="J261" s="160"/>
      <c r="K261" s="112"/>
      <c r="L261" s="161"/>
      <c r="M261" s="161"/>
      <c r="N261" s="161" t="s">
        <v>208</v>
      </c>
      <c r="O261" s="161"/>
      <c r="P261" s="161"/>
      <c r="Q261" s="112"/>
      <c r="R261" s="24"/>
      <c r="S261" s="161"/>
      <c r="T261" s="112"/>
      <c r="U261" s="112"/>
      <c r="V261" s="112"/>
      <c r="W261" s="24"/>
      <c r="X261" s="24"/>
      <c r="Y261" s="24"/>
      <c r="Z261" s="24"/>
      <c r="AA261" s="24"/>
      <c r="AB261" s="24"/>
      <c r="AC261" s="119"/>
      <c r="AD261" s="119"/>
      <c r="AE261" s="120"/>
      <c r="AF261" s="119"/>
      <c r="AG261" s="115" t="s">
        <v>115</v>
      </c>
      <c r="AH261" s="115" t="s">
        <v>115</v>
      </c>
      <c r="AI261" s="115" t="s">
        <v>115</v>
      </c>
      <c r="AJ261" s="24"/>
      <c r="AK261" s="24"/>
      <c r="AL261" s="24"/>
    </row>
    <row r="262" spans="1:38" ht="12.75" customHeight="1">
      <c r="A262" s="22">
        <v>260</v>
      </c>
      <c r="B262" s="160" t="s">
        <v>1094</v>
      </c>
      <c r="C262" s="24" t="s">
        <v>96</v>
      </c>
      <c r="D262" s="24"/>
      <c r="E262" s="24" t="s">
        <v>1054</v>
      </c>
      <c r="F262" s="24">
        <v>1</v>
      </c>
      <c r="G262" s="24" t="s">
        <v>494</v>
      </c>
      <c r="H262" s="24"/>
      <c r="I262" s="112"/>
      <c r="J262" s="160" t="s">
        <v>1094</v>
      </c>
      <c r="K262" s="112"/>
      <c r="L262" s="161" t="s">
        <v>1096</v>
      </c>
      <c r="M262" s="161" t="s">
        <v>202</v>
      </c>
      <c r="N262" s="161"/>
      <c r="O262" s="161"/>
      <c r="P262" s="161"/>
      <c r="Q262" s="112"/>
      <c r="R262" s="24"/>
      <c r="S262" s="161" t="s">
        <v>208</v>
      </c>
      <c r="T262" s="112"/>
      <c r="U262" s="112"/>
      <c r="V262" s="112"/>
      <c r="W262" s="24"/>
      <c r="X262" s="24"/>
      <c r="Y262" s="24"/>
      <c r="Z262" s="24"/>
      <c r="AA262" s="24"/>
      <c r="AB262" s="24"/>
      <c r="AC262" s="112"/>
      <c r="AD262" s="112"/>
      <c r="AE262" s="93" t="s">
        <v>1097</v>
      </c>
      <c r="AF262" s="112"/>
      <c r="AG262" s="115" t="s">
        <v>115</v>
      </c>
      <c r="AH262" s="116" t="s">
        <v>1098</v>
      </c>
      <c r="AI262" s="116" t="s">
        <v>1099</v>
      </c>
      <c r="AJ262" s="24"/>
      <c r="AK262" s="24"/>
      <c r="AL262" s="24"/>
    </row>
    <row r="263" spans="1:38" ht="12.75" customHeight="1">
      <c r="A263" s="22">
        <v>261</v>
      </c>
      <c r="B263" s="161" t="s">
        <v>113</v>
      </c>
      <c r="C263" s="24" t="s">
        <v>180</v>
      </c>
      <c r="D263" s="160" t="s">
        <v>1094</v>
      </c>
      <c r="E263" s="24" t="s">
        <v>1054</v>
      </c>
      <c r="F263" s="24">
        <v>1</v>
      </c>
      <c r="G263" s="24" t="s">
        <v>494</v>
      </c>
      <c r="H263" s="24"/>
      <c r="I263" s="112"/>
      <c r="J263" s="160"/>
      <c r="K263" s="112"/>
      <c r="L263" s="161"/>
      <c r="M263" s="161"/>
      <c r="N263" s="161" t="s">
        <v>113</v>
      </c>
      <c r="O263" s="161"/>
      <c r="P263" s="161"/>
      <c r="Q263" s="112"/>
      <c r="R263" s="24"/>
      <c r="S263" s="161"/>
      <c r="T263" s="112"/>
      <c r="U263" s="112"/>
      <c r="V263" s="112"/>
      <c r="W263" s="24"/>
      <c r="X263" s="24"/>
      <c r="Y263" s="24"/>
      <c r="Z263" s="24"/>
      <c r="AA263" s="24"/>
      <c r="AB263" s="24"/>
      <c r="AC263" s="112"/>
      <c r="AD263" s="112"/>
      <c r="AE263" s="113">
        <v>373066001</v>
      </c>
      <c r="AF263" s="112"/>
      <c r="AG263" s="116" t="s">
        <v>115</v>
      </c>
      <c r="AH263" s="116" t="s">
        <v>206</v>
      </c>
      <c r="AI263" s="116" t="s">
        <v>207</v>
      </c>
      <c r="AJ263" s="24"/>
      <c r="AK263" s="24"/>
      <c r="AL263" s="24"/>
    </row>
    <row r="264" spans="1:38" ht="12.75" customHeight="1">
      <c r="A264" s="22">
        <v>262</v>
      </c>
      <c r="B264" s="161" t="s">
        <v>208</v>
      </c>
      <c r="C264" s="24" t="s">
        <v>180</v>
      </c>
      <c r="D264" s="160" t="s">
        <v>1094</v>
      </c>
      <c r="E264" s="24" t="s">
        <v>1054</v>
      </c>
      <c r="F264" s="24">
        <v>1</v>
      </c>
      <c r="G264" s="24" t="s">
        <v>494</v>
      </c>
      <c r="H264" s="24"/>
      <c r="I264" s="112"/>
      <c r="J264" s="160"/>
      <c r="K264" s="112"/>
      <c r="L264" s="161"/>
      <c r="M264" s="161"/>
      <c r="N264" s="161" t="s">
        <v>208</v>
      </c>
      <c r="O264" s="161"/>
      <c r="P264" s="161"/>
      <c r="Q264" s="112"/>
      <c r="R264" s="24"/>
      <c r="S264" s="161"/>
      <c r="T264" s="112"/>
      <c r="U264" s="112"/>
      <c r="V264" s="112"/>
      <c r="W264" s="24"/>
      <c r="X264" s="24"/>
      <c r="Y264" s="24"/>
      <c r="Z264" s="24"/>
      <c r="AA264" s="24"/>
      <c r="AB264" s="24"/>
      <c r="AC264" s="119"/>
      <c r="AD264" s="119"/>
      <c r="AE264" s="120"/>
      <c r="AF264" s="119"/>
      <c r="AG264" s="115" t="s">
        <v>115</v>
      </c>
      <c r="AH264" s="115" t="s">
        <v>115</v>
      </c>
      <c r="AI264" s="115" t="s">
        <v>115</v>
      </c>
      <c r="AJ264" s="24"/>
      <c r="AK264" s="24"/>
      <c r="AL264" s="24"/>
    </row>
    <row r="265" spans="1:38" ht="12.75" customHeight="1">
      <c r="A265" s="22">
        <v>263</v>
      </c>
      <c r="B265" s="160" t="s">
        <v>1102</v>
      </c>
      <c r="C265" s="24" t="s">
        <v>96</v>
      </c>
      <c r="D265" s="24"/>
      <c r="E265" s="24" t="s">
        <v>1054</v>
      </c>
      <c r="F265" s="24">
        <v>1</v>
      </c>
      <c r="G265" s="24" t="s">
        <v>494</v>
      </c>
      <c r="H265" s="24"/>
      <c r="I265" s="112"/>
      <c r="J265" s="160" t="s">
        <v>1102</v>
      </c>
      <c r="K265" s="112"/>
      <c r="L265" s="161" t="s">
        <v>1103</v>
      </c>
      <c r="M265" s="161" t="s">
        <v>202</v>
      </c>
      <c r="N265" s="161"/>
      <c r="O265" s="161"/>
      <c r="P265" s="161"/>
      <c r="Q265" s="112"/>
      <c r="R265" s="24"/>
      <c r="S265" s="161" t="s">
        <v>113</v>
      </c>
      <c r="T265" s="112"/>
      <c r="U265" s="112"/>
      <c r="V265" s="112"/>
      <c r="W265" s="24"/>
      <c r="X265" s="24"/>
      <c r="Y265" s="24"/>
      <c r="Z265" s="24"/>
      <c r="AA265" s="24"/>
      <c r="AB265" s="24"/>
      <c r="AC265" s="112"/>
      <c r="AD265" s="112"/>
      <c r="AE265" s="25"/>
      <c r="AF265" s="112"/>
      <c r="AG265" s="115" t="s">
        <v>115</v>
      </c>
      <c r="AH265" s="115" t="s">
        <v>1104</v>
      </c>
      <c r="AI265" s="116" t="s">
        <v>1105</v>
      </c>
      <c r="AJ265" s="24"/>
      <c r="AK265" s="24"/>
      <c r="AL265" s="24"/>
    </row>
    <row r="266" spans="1:38" ht="12.75" customHeight="1">
      <c r="A266" s="22">
        <v>264</v>
      </c>
      <c r="B266" s="161" t="s">
        <v>113</v>
      </c>
      <c r="C266" s="24" t="s">
        <v>180</v>
      </c>
      <c r="D266" s="160" t="s">
        <v>1102</v>
      </c>
      <c r="E266" s="24" t="s">
        <v>1054</v>
      </c>
      <c r="F266" s="24">
        <v>1</v>
      </c>
      <c r="G266" s="24" t="s">
        <v>494</v>
      </c>
      <c r="H266" s="24"/>
      <c r="I266" s="112"/>
      <c r="J266" s="160"/>
      <c r="K266" s="112"/>
      <c r="L266" s="161"/>
      <c r="M266" s="161"/>
      <c r="N266" s="161" t="s">
        <v>113</v>
      </c>
      <c r="O266" s="161"/>
      <c r="P266" s="161"/>
      <c r="Q266" s="112"/>
      <c r="R266" s="24"/>
      <c r="S266" s="161"/>
      <c r="T266" s="112"/>
      <c r="U266" s="112"/>
      <c r="V266" s="112"/>
      <c r="W266" s="24"/>
      <c r="X266" s="24"/>
      <c r="Y266" s="24"/>
      <c r="Z266" s="24"/>
      <c r="AA266" s="24"/>
      <c r="AB266" s="24"/>
      <c r="AC266" s="112"/>
      <c r="AD266" s="112"/>
      <c r="AE266" s="113">
        <v>373066001</v>
      </c>
      <c r="AF266" s="112"/>
      <c r="AG266" s="116" t="s">
        <v>115</v>
      </c>
      <c r="AH266" s="116" t="s">
        <v>206</v>
      </c>
      <c r="AI266" s="116" t="s">
        <v>207</v>
      </c>
      <c r="AJ266" s="24"/>
      <c r="AK266" s="24"/>
      <c r="AL266" s="24"/>
    </row>
    <row r="267" spans="1:38" ht="12.75" customHeight="1">
      <c r="A267" s="22">
        <v>265</v>
      </c>
      <c r="B267" s="161" t="s">
        <v>208</v>
      </c>
      <c r="C267" s="24" t="s">
        <v>180</v>
      </c>
      <c r="D267" s="160" t="s">
        <v>1102</v>
      </c>
      <c r="E267" s="24" t="s">
        <v>1054</v>
      </c>
      <c r="F267" s="24">
        <v>1</v>
      </c>
      <c r="G267" s="24" t="s">
        <v>494</v>
      </c>
      <c r="H267" s="24"/>
      <c r="I267" s="112"/>
      <c r="J267" s="160"/>
      <c r="K267" s="112"/>
      <c r="L267" s="161"/>
      <c r="M267" s="161"/>
      <c r="N267" s="161" t="s">
        <v>208</v>
      </c>
      <c r="O267" s="161"/>
      <c r="P267" s="161"/>
      <c r="Q267" s="112"/>
      <c r="R267" s="24"/>
      <c r="S267" s="161"/>
      <c r="T267" s="112"/>
      <c r="U267" s="112"/>
      <c r="V267" s="112"/>
      <c r="W267" s="24"/>
      <c r="X267" s="24"/>
      <c r="Y267" s="24"/>
      <c r="Z267" s="24"/>
      <c r="AA267" s="24"/>
      <c r="AB267" s="24"/>
      <c r="AC267" s="112"/>
      <c r="AD267" s="112"/>
      <c r="AE267" s="118">
        <v>373067005</v>
      </c>
      <c r="AF267" s="112"/>
      <c r="AG267" s="116" t="s">
        <v>115</v>
      </c>
      <c r="AH267" s="116" t="s">
        <v>209</v>
      </c>
      <c r="AI267" s="116" t="s">
        <v>210</v>
      </c>
      <c r="AJ267" s="24"/>
      <c r="AK267" s="24"/>
      <c r="AL267" s="24"/>
    </row>
    <row r="268" spans="1:38" ht="12.75" customHeight="1">
      <c r="A268" s="22">
        <v>266</v>
      </c>
      <c r="B268" s="160" t="s">
        <v>1107</v>
      </c>
      <c r="C268" s="24" t="s">
        <v>96</v>
      </c>
      <c r="D268" s="24"/>
      <c r="E268" s="24" t="s">
        <v>1054</v>
      </c>
      <c r="F268" s="24">
        <v>1</v>
      </c>
      <c r="G268" s="24" t="s">
        <v>494</v>
      </c>
      <c r="H268" s="24"/>
      <c r="I268" s="112"/>
      <c r="J268" s="160" t="s">
        <v>1107</v>
      </c>
      <c r="K268" s="112"/>
      <c r="L268" s="161" t="s">
        <v>1108</v>
      </c>
      <c r="M268" s="161" t="s">
        <v>238</v>
      </c>
      <c r="N268" s="161"/>
      <c r="O268" s="161"/>
      <c r="P268" s="161" t="s">
        <v>1109</v>
      </c>
      <c r="Q268" s="112"/>
      <c r="R268" s="24"/>
      <c r="S268" s="161" t="s">
        <v>113</v>
      </c>
      <c r="T268" s="112"/>
      <c r="U268" s="112"/>
      <c r="V268" s="112"/>
      <c r="W268" s="24"/>
      <c r="X268" s="24"/>
      <c r="Y268" s="24"/>
      <c r="Z268" s="24"/>
      <c r="AA268" s="24"/>
      <c r="AB268" s="24"/>
      <c r="AC268" s="112"/>
      <c r="AD268" s="112"/>
      <c r="AE268" s="25"/>
      <c r="AF268" s="112"/>
      <c r="AG268" s="115" t="s">
        <v>115</v>
      </c>
      <c r="AH268" s="115" t="s">
        <v>753</v>
      </c>
      <c r="AI268" s="116" t="s">
        <v>754</v>
      </c>
      <c r="AJ268" s="24"/>
      <c r="AK268" s="24"/>
      <c r="AL268" s="24"/>
    </row>
    <row r="269" spans="1:38" ht="12.75" customHeight="1">
      <c r="A269" s="22">
        <v>267</v>
      </c>
      <c r="B269" s="161" t="s">
        <v>423</v>
      </c>
      <c r="C269" s="24" t="s">
        <v>180</v>
      </c>
      <c r="D269" s="160" t="s">
        <v>1107</v>
      </c>
      <c r="E269" s="24" t="s">
        <v>1054</v>
      </c>
      <c r="F269" s="24">
        <v>1</v>
      </c>
      <c r="G269" s="24" t="s">
        <v>494</v>
      </c>
      <c r="H269" s="24"/>
      <c r="I269" s="112"/>
      <c r="J269" s="160"/>
      <c r="K269" s="112"/>
      <c r="L269" s="161"/>
      <c r="M269" s="161"/>
      <c r="N269" s="161" t="s">
        <v>423</v>
      </c>
      <c r="O269" s="161"/>
      <c r="P269" s="161"/>
      <c r="Q269" s="112"/>
      <c r="R269" s="24"/>
      <c r="S269" s="161"/>
      <c r="T269" s="112"/>
      <c r="U269" s="112"/>
      <c r="V269" s="112"/>
      <c r="W269" s="24"/>
      <c r="X269" s="24"/>
      <c r="Y269" s="24"/>
      <c r="Z269" s="24"/>
      <c r="AA269" s="24"/>
      <c r="AB269" s="24"/>
      <c r="AC269" s="112"/>
      <c r="AD269" s="112"/>
      <c r="AE269" s="118">
        <v>260413007</v>
      </c>
      <c r="AF269" s="112"/>
      <c r="AG269" s="115" t="s">
        <v>115</v>
      </c>
      <c r="AH269" s="115" t="s">
        <v>424</v>
      </c>
      <c r="AI269" s="115" t="s">
        <v>425</v>
      </c>
      <c r="AJ269" s="24"/>
      <c r="AK269" s="24"/>
      <c r="AL269" s="24"/>
    </row>
    <row r="270" spans="1:38" ht="12.75" customHeight="1">
      <c r="A270" s="22">
        <v>268</v>
      </c>
      <c r="B270" s="161" t="s">
        <v>1110</v>
      </c>
      <c r="C270" s="24" t="s">
        <v>180</v>
      </c>
      <c r="D270" s="160" t="s">
        <v>1107</v>
      </c>
      <c r="E270" s="24" t="s">
        <v>1054</v>
      </c>
      <c r="F270" s="24">
        <v>1</v>
      </c>
      <c r="G270" s="24" t="s">
        <v>494</v>
      </c>
      <c r="H270" s="24"/>
      <c r="I270" s="112"/>
      <c r="J270" s="160"/>
      <c r="K270" s="112"/>
      <c r="L270" s="161"/>
      <c r="M270" s="161"/>
      <c r="N270" s="161" t="s">
        <v>1110</v>
      </c>
      <c r="O270" s="161"/>
      <c r="P270" s="161"/>
      <c r="Q270" s="112"/>
      <c r="R270" s="24"/>
      <c r="S270" s="161"/>
      <c r="T270" s="112"/>
      <c r="U270" s="112"/>
      <c r="V270" s="112"/>
      <c r="W270" s="24"/>
      <c r="X270" s="24"/>
      <c r="Y270" s="24"/>
      <c r="Z270" s="24"/>
      <c r="AA270" s="24"/>
      <c r="AB270" s="24"/>
      <c r="AC270" s="112"/>
      <c r="AD270" s="112"/>
      <c r="AE270" s="118">
        <v>219006</v>
      </c>
      <c r="AF270" s="112"/>
      <c r="AG270" s="115" t="s">
        <v>115</v>
      </c>
      <c r="AH270" s="116" t="s">
        <v>721</v>
      </c>
      <c r="AI270" s="116" t="s">
        <v>722</v>
      </c>
      <c r="AJ270" s="24"/>
      <c r="AK270" s="24"/>
      <c r="AL270" s="24"/>
    </row>
    <row r="271" spans="1:38" ht="12.75" customHeight="1">
      <c r="A271" s="22">
        <v>269</v>
      </c>
      <c r="B271" s="161" t="s">
        <v>755</v>
      </c>
      <c r="C271" s="24" t="s">
        <v>180</v>
      </c>
      <c r="D271" s="160" t="s">
        <v>1107</v>
      </c>
      <c r="E271" s="24" t="s">
        <v>1054</v>
      </c>
      <c r="F271" s="24">
        <v>1</v>
      </c>
      <c r="G271" s="24" t="s">
        <v>494</v>
      </c>
      <c r="H271" s="24"/>
      <c r="I271" s="112"/>
      <c r="J271" s="160"/>
      <c r="K271" s="112"/>
      <c r="L271" s="161"/>
      <c r="M271" s="161"/>
      <c r="N271" s="161" t="s">
        <v>755</v>
      </c>
      <c r="O271" s="161"/>
      <c r="P271" s="161"/>
      <c r="Q271" s="112"/>
      <c r="R271" s="24"/>
      <c r="S271" s="161"/>
      <c r="T271" s="112"/>
      <c r="U271" s="112"/>
      <c r="V271" s="112"/>
      <c r="W271" s="24"/>
      <c r="X271" s="24"/>
      <c r="Y271" s="24"/>
      <c r="Z271" s="24"/>
      <c r="AA271" s="24"/>
      <c r="AB271" s="24"/>
      <c r="AC271" s="119"/>
      <c r="AD271" s="119"/>
      <c r="AE271" s="120"/>
      <c r="AF271" s="119"/>
      <c r="AG271" s="115" t="s">
        <v>115</v>
      </c>
      <c r="AH271" s="115" t="s">
        <v>757</v>
      </c>
      <c r="AI271" s="116" t="s">
        <v>758</v>
      </c>
      <c r="AJ271" s="24"/>
      <c r="AK271" s="24"/>
      <c r="AL271" s="24"/>
    </row>
    <row r="272" spans="1:38" ht="12.75" customHeight="1">
      <c r="A272" s="22">
        <v>270</v>
      </c>
      <c r="B272" s="124" t="s">
        <v>759</v>
      </c>
      <c r="C272" s="24" t="s">
        <v>180</v>
      </c>
      <c r="D272" s="160" t="s">
        <v>1107</v>
      </c>
      <c r="E272" s="24" t="s">
        <v>1054</v>
      </c>
      <c r="F272" s="24">
        <v>1</v>
      </c>
      <c r="G272" s="24" t="s">
        <v>494</v>
      </c>
      <c r="H272" s="24"/>
      <c r="I272" s="112"/>
      <c r="J272" s="160"/>
      <c r="K272" s="112"/>
      <c r="L272" s="161"/>
      <c r="M272" s="161"/>
      <c r="N272" s="124" t="s">
        <v>759</v>
      </c>
      <c r="O272" s="161"/>
      <c r="P272" s="161"/>
      <c r="Q272" s="112"/>
      <c r="R272" s="24"/>
      <c r="S272" s="161"/>
      <c r="T272" s="112"/>
      <c r="U272" s="112"/>
      <c r="V272" s="112"/>
      <c r="W272" s="24"/>
      <c r="X272" s="24"/>
      <c r="Y272" s="24"/>
      <c r="Z272" s="24"/>
      <c r="AA272" s="24"/>
      <c r="AB272" s="24"/>
      <c r="AC272" s="202" t="s">
        <v>760</v>
      </c>
      <c r="AD272" s="112"/>
      <c r="AE272" s="121">
        <v>428493006</v>
      </c>
      <c r="AF272" s="112"/>
      <c r="AG272" s="116" t="s">
        <v>115</v>
      </c>
      <c r="AH272" s="116" t="s">
        <v>761</v>
      </c>
      <c r="AI272" s="116" t="s">
        <v>762</v>
      </c>
      <c r="AJ272" s="24"/>
      <c r="AK272" s="24"/>
      <c r="AL272" s="24"/>
    </row>
    <row r="273" spans="1:40" ht="12.75" customHeight="1">
      <c r="A273" s="22">
        <v>271</v>
      </c>
      <c r="B273" s="161" t="s">
        <v>763</v>
      </c>
      <c r="C273" s="24" t="s">
        <v>180</v>
      </c>
      <c r="D273" s="160" t="s">
        <v>1107</v>
      </c>
      <c r="E273" s="24" t="s">
        <v>1054</v>
      </c>
      <c r="F273" s="24">
        <v>1</v>
      </c>
      <c r="G273" s="24" t="s">
        <v>494</v>
      </c>
      <c r="H273" s="24"/>
      <c r="I273" s="112"/>
      <c r="J273" s="160"/>
      <c r="K273" s="112"/>
      <c r="L273" s="161"/>
      <c r="M273" s="161"/>
      <c r="N273" s="161" t="s">
        <v>763</v>
      </c>
      <c r="O273" s="161"/>
      <c r="P273" s="161"/>
      <c r="Q273" s="112"/>
      <c r="R273" s="24"/>
      <c r="S273" s="161"/>
      <c r="T273" s="112"/>
      <c r="U273" s="112"/>
      <c r="V273" s="112"/>
      <c r="W273" s="24"/>
      <c r="X273" s="24"/>
      <c r="Y273" s="24"/>
      <c r="Z273" s="24"/>
      <c r="AA273" s="24"/>
      <c r="AB273" s="24"/>
      <c r="AC273" s="202" t="s">
        <v>765</v>
      </c>
      <c r="AD273" s="112"/>
      <c r="AE273" s="121">
        <v>228388006</v>
      </c>
      <c r="AF273" s="112"/>
      <c r="AG273" s="116" t="s">
        <v>115</v>
      </c>
      <c r="AH273" s="116" t="s">
        <v>766</v>
      </c>
      <c r="AI273" s="116" t="s">
        <v>767</v>
      </c>
      <c r="AJ273" s="24"/>
      <c r="AK273" s="24"/>
      <c r="AL273" s="24"/>
    </row>
    <row r="274" spans="1:40" ht="12.75" customHeight="1">
      <c r="A274" s="22">
        <v>272</v>
      </c>
      <c r="B274" s="161" t="s">
        <v>405</v>
      </c>
      <c r="C274" s="24" t="s">
        <v>180</v>
      </c>
      <c r="D274" s="160" t="s">
        <v>1107</v>
      </c>
      <c r="E274" s="24" t="s">
        <v>1054</v>
      </c>
      <c r="F274" s="24">
        <v>1</v>
      </c>
      <c r="G274" s="24" t="s">
        <v>494</v>
      </c>
      <c r="H274" s="24"/>
      <c r="I274" s="112"/>
      <c r="J274" s="160"/>
      <c r="K274" s="112"/>
      <c r="L274" s="161"/>
      <c r="M274" s="161"/>
      <c r="N274" s="161" t="s">
        <v>405</v>
      </c>
      <c r="O274" s="161"/>
      <c r="P274" s="161"/>
      <c r="Q274" s="112"/>
      <c r="R274" s="24"/>
      <c r="S274" s="161"/>
      <c r="T274" s="112"/>
      <c r="U274" s="112"/>
      <c r="V274" s="112"/>
      <c r="W274" s="24"/>
      <c r="X274" s="24"/>
      <c r="Y274" s="24"/>
      <c r="Z274" s="24"/>
      <c r="AA274" s="24"/>
      <c r="AB274" s="24"/>
      <c r="AC274" s="112"/>
      <c r="AD274" s="112"/>
      <c r="AE274" s="93" t="s">
        <v>745</v>
      </c>
      <c r="AF274" s="112"/>
      <c r="AG274" s="116" t="s">
        <v>115</v>
      </c>
      <c r="AH274" s="115" t="s">
        <v>406</v>
      </c>
      <c r="AI274" s="115" t="s">
        <v>407</v>
      </c>
      <c r="AJ274" s="24"/>
      <c r="AK274" s="24"/>
      <c r="AL274" s="24"/>
    </row>
    <row r="275" spans="1:40" ht="12.75" customHeight="1">
      <c r="A275" s="22">
        <v>273</v>
      </c>
      <c r="B275" s="124" t="s">
        <v>1112</v>
      </c>
      <c r="C275" s="24" t="s">
        <v>96</v>
      </c>
      <c r="D275" s="24"/>
      <c r="E275" s="24" t="s">
        <v>1054</v>
      </c>
      <c r="F275" s="24">
        <v>1</v>
      </c>
      <c r="G275" s="24" t="s">
        <v>494</v>
      </c>
      <c r="H275" s="24"/>
      <c r="I275" s="112"/>
      <c r="J275" s="124" t="s">
        <v>409</v>
      </c>
      <c r="K275" s="112"/>
      <c r="L275" s="161" t="s">
        <v>1113</v>
      </c>
      <c r="M275" s="161" t="s">
        <v>111</v>
      </c>
      <c r="N275" s="161"/>
      <c r="O275" s="161"/>
      <c r="P275" s="161"/>
      <c r="Q275" s="112"/>
      <c r="R275" s="24"/>
      <c r="S275" s="124" t="s">
        <v>208</v>
      </c>
      <c r="T275" s="112"/>
      <c r="U275" s="112"/>
      <c r="V275" s="112"/>
      <c r="W275" s="24"/>
      <c r="X275" s="24"/>
      <c r="Y275" s="24"/>
      <c r="Z275" s="24"/>
      <c r="AA275" s="24"/>
      <c r="AB275" s="24"/>
      <c r="AC275" s="112"/>
      <c r="AD275" s="112"/>
      <c r="AE275" s="25"/>
      <c r="AF275" s="112"/>
      <c r="AG275" s="115" t="s">
        <v>115</v>
      </c>
      <c r="AH275" s="115" t="s">
        <v>115</v>
      </c>
      <c r="AI275" s="115" t="s">
        <v>115</v>
      </c>
      <c r="AJ275" s="24"/>
      <c r="AK275" s="24"/>
      <c r="AL275" s="24"/>
    </row>
    <row r="276" spans="1:40" ht="12.75" customHeight="1">
      <c r="A276" s="22">
        <v>274</v>
      </c>
      <c r="B276" s="160" t="s">
        <v>1115</v>
      </c>
      <c r="C276" s="24" t="s">
        <v>96</v>
      </c>
      <c r="D276" s="24"/>
      <c r="E276" s="24" t="s">
        <v>1116</v>
      </c>
      <c r="F276" s="24">
        <v>1</v>
      </c>
      <c r="G276" s="24" t="s">
        <v>494</v>
      </c>
      <c r="H276" s="24"/>
      <c r="I276" s="112"/>
      <c r="J276" s="160" t="s">
        <v>1115</v>
      </c>
      <c r="K276" s="112"/>
      <c r="L276" s="161" t="s">
        <v>1117</v>
      </c>
      <c r="M276" s="161" t="s">
        <v>202</v>
      </c>
      <c r="N276" s="124"/>
      <c r="O276" s="161"/>
      <c r="P276" s="161"/>
      <c r="Q276" s="112"/>
      <c r="R276" s="24"/>
      <c r="S276" s="161" t="s">
        <v>208</v>
      </c>
      <c r="T276" s="112"/>
      <c r="U276" s="112"/>
      <c r="V276" s="112"/>
      <c r="W276" s="24"/>
      <c r="X276" s="24"/>
      <c r="Y276" s="24"/>
      <c r="Z276" s="24"/>
      <c r="AA276" s="24"/>
      <c r="AB276" s="24"/>
      <c r="AC276" s="112"/>
      <c r="AD276" s="112"/>
      <c r="AE276" s="93" t="s">
        <v>1118</v>
      </c>
      <c r="AF276" s="112"/>
      <c r="AG276" s="116" t="s">
        <v>115</v>
      </c>
      <c r="AH276" s="116" t="s">
        <v>1119</v>
      </c>
      <c r="AI276" s="116" t="s">
        <v>1120</v>
      </c>
      <c r="AJ276" s="24"/>
      <c r="AK276" s="24"/>
      <c r="AL276" s="24"/>
    </row>
    <row r="277" spans="1:40" ht="12.75" customHeight="1">
      <c r="A277" s="22">
        <v>275</v>
      </c>
      <c r="B277" s="124" t="s">
        <v>500</v>
      </c>
      <c r="C277" s="24" t="s">
        <v>180</v>
      </c>
      <c r="D277" s="160" t="s">
        <v>1115</v>
      </c>
      <c r="E277" s="24" t="s">
        <v>1116</v>
      </c>
      <c r="F277" s="24">
        <v>1</v>
      </c>
      <c r="G277" s="24" t="s">
        <v>494</v>
      </c>
      <c r="H277" s="24"/>
      <c r="I277" s="112"/>
      <c r="J277" s="161"/>
      <c r="K277" s="112"/>
      <c r="L277" s="161"/>
      <c r="M277" s="161"/>
      <c r="N277" s="124" t="s">
        <v>500</v>
      </c>
      <c r="O277" s="161"/>
      <c r="P277" s="161"/>
      <c r="Q277" s="112"/>
      <c r="R277" s="24"/>
      <c r="S277" s="161"/>
      <c r="T277" s="112"/>
      <c r="U277" s="112"/>
      <c r="V277" s="112"/>
      <c r="W277" s="24"/>
      <c r="X277" s="24"/>
      <c r="Y277" s="24"/>
      <c r="Z277" s="24"/>
      <c r="AA277" s="24"/>
      <c r="AB277" s="24"/>
      <c r="AC277" s="112"/>
      <c r="AD277" s="112"/>
      <c r="AE277" s="113">
        <v>261665006</v>
      </c>
      <c r="AF277" s="112"/>
      <c r="AG277" s="116" t="s">
        <v>115</v>
      </c>
      <c r="AH277" s="116" t="s">
        <v>501</v>
      </c>
      <c r="AI277" s="116" t="s">
        <v>503</v>
      </c>
      <c r="AJ277" s="24"/>
      <c r="AK277" s="24"/>
      <c r="AL277" s="24"/>
    </row>
    <row r="278" spans="1:40" ht="12.75" customHeight="1">
      <c r="A278" s="22">
        <v>276</v>
      </c>
      <c r="B278" s="203" t="s">
        <v>1122</v>
      </c>
      <c r="C278" s="24" t="s">
        <v>180</v>
      </c>
      <c r="D278" s="160" t="s">
        <v>1115</v>
      </c>
      <c r="E278" s="24" t="s">
        <v>1116</v>
      </c>
      <c r="F278" s="24">
        <v>1</v>
      </c>
      <c r="G278" s="24" t="s">
        <v>494</v>
      </c>
      <c r="H278" s="24"/>
      <c r="I278" s="112"/>
      <c r="J278" s="161"/>
      <c r="K278" s="112"/>
      <c r="L278" s="161"/>
      <c r="M278" s="161"/>
      <c r="N278" s="203" t="s">
        <v>1122</v>
      </c>
      <c r="O278" s="161"/>
      <c r="P278" s="161"/>
      <c r="Q278" s="112"/>
      <c r="R278" s="24"/>
      <c r="S278" s="161"/>
      <c r="T278" s="112"/>
      <c r="U278" s="112"/>
      <c r="V278" s="112"/>
      <c r="W278" s="24"/>
      <c r="X278" s="24"/>
      <c r="Y278" s="24"/>
      <c r="Z278" s="24"/>
      <c r="AA278" s="24"/>
      <c r="AB278" s="24"/>
      <c r="AC278" s="112"/>
      <c r="AD278" s="112"/>
      <c r="AE278" s="121">
        <v>10828004</v>
      </c>
      <c r="AF278" s="112"/>
      <c r="AG278" s="116" t="s">
        <v>115</v>
      </c>
      <c r="AH278" s="116" t="s">
        <v>1124</v>
      </c>
      <c r="AI278" s="116" t="s">
        <v>1125</v>
      </c>
      <c r="AJ278" s="24"/>
      <c r="AK278" s="24"/>
      <c r="AL278" s="24"/>
    </row>
    <row r="279" spans="1:40" ht="12.75" customHeight="1">
      <c r="A279" s="22">
        <v>277</v>
      </c>
      <c r="B279" s="161" t="s">
        <v>1126</v>
      </c>
      <c r="C279" s="24" t="s">
        <v>180</v>
      </c>
      <c r="D279" s="160" t="s">
        <v>1115</v>
      </c>
      <c r="E279" s="24" t="s">
        <v>1116</v>
      </c>
      <c r="F279" s="24">
        <v>1</v>
      </c>
      <c r="G279" s="24" t="s">
        <v>494</v>
      </c>
      <c r="H279" s="24"/>
      <c r="I279" s="112"/>
      <c r="J279" s="161"/>
      <c r="K279" s="112"/>
      <c r="L279" s="161"/>
      <c r="M279" s="161"/>
      <c r="N279" s="161" t="s">
        <v>1126</v>
      </c>
      <c r="O279" s="161"/>
      <c r="P279" s="161"/>
      <c r="Q279" s="112"/>
      <c r="R279" s="24"/>
      <c r="S279" s="161"/>
      <c r="T279" s="112"/>
      <c r="U279" s="112"/>
      <c r="V279" s="112"/>
      <c r="W279" s="24"/>
      <c r="X279" s="24"/>
      <c r="Y279" s="24"/>
      <c r="Z279" s="24"/>
      <c r="AA279" s="24"/>
      <c r="AB279" s="24"/>
      <c r="AC279" s="112"/>
      <c r="AD279" s="112"/>
      <c r="AE279" s="113">
        <v>260385009</v>
      </c>
      <c r="AF279" s="112"/>
      <c r="AG279" s="116" t="s">
        <v>115</v>
      </c>
      <c r="AH279" s="116" t="s">
        <v>1128</v>
      </c>
      <c r="AI279" s="116" t="s">
        <v>1129</v>
      </c>
      <c r="AJ279" s="24"/>
      <c r="AK279" s="24"/>
      <c r="AL279" s="24"/>
    </row>
    <row r="280" spans="1:40" ht="12.75" customHeight="1">
      <c r="A280" s="22">
        <v>278</v>
      </c>
      <c r="B280" s="160" t="s">
        <v>1130</v>
      </c>
      <c r="C280" s="24" t="s">
        <v>65</v>
      </c>
      <c r="D280" s="24"/>
      <c r="E280" s="24" t="s">
        <v>1116</v>
      </c>
      <c r="F280" s="24">
        <v>1</v>
      </c>
      <c r="G280" s="24" t="s">
        <v>494</v>
      </c>
      <c r="H280" s="24"/>
      <c r="I280" s="112"/>
      <c r="J280" s="160" t="s">
        <v>1130</v>
      </c>
      <c r="K280" s="112"/>
      <c r="L280" s="161" t="s">
        <v>1131</v>
      </c>
      <c r="M280" s="161"/>
      <c r="N280" s="161"/>
      <c r="O280" s="161" t="s">
        <v>1132</v>
      </c>
      <c r="P280" s="161"/>
      <c r="Q280" s="112"/>
      <c r="R280" s="24"/>
      <c r="S280" s="161" t="s">
        <v>115</v>
      </c>
      <c r="T280" s="112"/>
      <c r="U280" s="112"/>
      <c r="V280" s="112"/>
      <c r="W280" s="24"/>
      <c r="X280" s="24"/>
      <c r="Y280" s="24"/>
      <c r="Z280" s="24"/>
      <c r="AA280" s="24"/>
      <c r="AB280" s="24"/>
      <c r="AC280" s="119"/>
      <c r="AD280" s="119"/>
      <c r="AE280" s="120"/>
      <c r="AF280" s="119"/>
      <c r="AG280" s="115" t="s">
        <v>115</v>
      </c>
      <c r="AH280" s="115" t="s">
        <v>115</v>
      </c>
      <c r="AI280" s="115" t="s">
        <v>115</v>
      </c>
      <c r="AJ280" s="24"/>
      <c r="AK280" s="24"/>
      <c r="AL280" s="24"/>
    </row>
    <row r="281" spans="1:40" ht="12.75" customHeight="1">
      <c r="A281" s="22">
        <v>279</v>
      </c>
      <c r="B281" s="24" t="s">
        <v>1134</v>
      </c>
      <c r="C281" s="24" t="s">
        <v>96</v>
      </c>
      <c r="D281" s="24"/>
      <c r="E281" s="24"/>
      <c r="F281" s="24">
        <v>1</v>
      </c>
      <c r="G281" s="24" t="s">
        <v>1135</v>
      </c>
      <c r="H281" s="24"/>
      <c r="I281" s="170"/>
      <c r="J281" s="204" t="s">
        <v>1134</v>
      </c>
      <c r="K281" s="204" t="s">
        <v>962</v>
      </c>
      <c r="L281" s="204" t="s">
        <v>1136</v>
      </c>
      <c r="M281" s="204" t="s">
        <v>238</v>
      </c>
      <c r="N281" s="196"/>
      <c r="O281" s="196"/>
      <c r="P281" s="24"/>
      <c r="Q281" s="204" t="s">
        <v>964</v>
      </c>
      <c r="R281" s="133"/>
      <c r="S281" s="204" t="s">
        <v>113</v>
      </c>
      <c r="T281" s="170"/>
      <c r="U281" s="163"/>
      <c r="V281" s="204" t="s">
        <v>1137</v>
      </c>
      <c r="W281" s="24"/>
      <c r="X281" s="24"/>
      <c r="Y281" s="24"/>
      <c r="Z281" s="22"/>
      <c r="AA281" s="24"/>
      <c r="AB281" s="24"/>
      <c r="AC281" s="28"/>
      <c r="AD281" s="28"/>
      <c r="AE281" s="113">
        <v>129019007</v>
      </c>
      <c r="AF281" s="28"/>
      <c r="AG281" s="205" t="s">
        <v>965</v>
      </c>
      <c r="AH281" s="205" t="s">
        <v>966</v>
      </c>
      <c r="AI281" s="205" t="s">
        <v>967</v>
      </c>
      <c r="AJ281" s="24"/>
      <c r="AK281" s="24"/>
      <c r="AL281" s="24"/>
      <c r="AM281" s="24"/>
      <c r="AN281" s="24"/>
    </row>
    <row r="282" spans="1:40" ht="12.75" customHeight="1">
      <c r="A282" s="22">
        <v>280</v>
      </c>
      <c r="B282" s="24" t="s">
        <v>423</v>
      </c>
      <c r="C282" s="24" t="s">
        <v>180</v>
      </c>
      <c r="D282" s="24" t="s">
        <v>1134</v>
      </c>
      <c r="E282" s="24"/>
      <c r="F282" s="24">
        <v>1</v>
      </c>
      <c r="G282" s="24" t="s">
        <v>1135</v>
      </c>
      <c r="H282" s="24"/>
      <c r="I282" s="170"/>
      <c r="J282" s="196"/>
      <c r="K282" s="204"/>
      <c r="L282" s="204"/>
      <c r="M282" s="204"/>
      <c r="N282" s="204" t="s">
        <v>423</v>
      </c>
      <c r="O282" s="196"/>
      <c r="P282" s="24"/>
      <c r="Q282" s="204"/>
      <c r="R282" s="133"/>
      <c r="S282" s="204"/>
      <c r="T282" s="170"/>
      <c r="U282" s="170"/>
      <c r="V282" s="196"/>
      <c r="W282" s="24"/>
      <c r="X282" s="24"/>
      <c r="Y282" s="24"/>
      <c r="Z282" s="22"/>
      <c r="AA282" s="24"/>
      <c r="AB282" s="24"/>
      <c r="AC282" s="28"/>
      <c r="AD282" s="28"/>
      <c r="AE282" s="113">
        <v>260413007</v>
      </c>
      <c r="AF282" s="28"/>
      <c r="AG282" s="205" t="s">
        <v>115</v>
      </c>
      <c r="AH282" s="205" t="s">
        <v>424</v>
      </c>
      <c r="AI282" s="205" t="s">
        <v>425</v>
      </c>
      <c r="AJ282" s="24"/>
      <c r="AK282" s="24"/>
      <c r="AL282" s="24"/>
    </row>
    <row r="283" spans="1:40" ht="12.75" customHeight="1">
      <c r="A283" s="22">
        <v>281</v>
      </c>
      <c r="B283" s="206" t="s">
        <v>500</v>
      </c>
      <c r="C283" s="24" t="s">
        <v>180</v>
      </c>
      <c r="D283" s="24" t="s">
        <v>1134</v>
      </c>
      <c r="E283" s="24"/>
      <c r="F283" s="24">
        <v>1</v>
      </c>
      <c r="G283" s="24" t="s">
        <v>1135</v>
      </c>
      <c r="H283" s="24"/>
      <c r="I283" s="170"/>
      <c r="J283" s="196"/>
      <c r="K283" s="204"/>
      <c r="L283" s="204"/>
      <c r="M283" s="204"/>
      <c r="N283" s="204" t="s">
        <v>500</v>
      </c>
      <c r="O283" s="196"/>
      <c r="P283" s="24"/>
      <c r="Q283" s="204"/>
      <c r="R283" s="134"/>
      <c r="S283" s="204"/>
      <c r="T283" s="170"/>
      <c r="U283" s="170"/>
      <c r="V283" s="196"/>
      <c r="W283" s="24"/>
      <c r="X283" s="24"/>
      <c r="Y283" s="24"/>
      <c r="Z283" s="22"/>
      <c r="AA283" s="24"/>
      <c r="AB283" s="24"/>
      <c r="AC283" s="28"/>
      <c r="AD283" s="25"/>
      <c r="AE283" s="113">
        <v>261665006</v>
      </c>
      <c r="AF283" s="28"/>
      <c r="AG283" s="205" t="s">
        <v>115</v>
      </c>
      <c r="AH283" s="205" t="s">
        <v>501</v>
      </c>
      <c r="AI283" s="205" t="s">
        <v>503</v>
      </c>
      <c r="AJ283" s="24"/>
      <c r="AK283" s="24"/>
      <c r="AL283" s="24"/>
    </row>
    <row r="284" spans="1:40" ht="12.75" customHeight="1">
      <c r="A284" s="22">
        <v>282</v>
      </c>
      <c r="B284" s="206" t="s">
        <v>970</v>
      </c>
      <c r="C284" s="24" t="s">
        <v>180</v>
      </c>
      <c r="D284" s="24" t="s">
        <v>1134</v>
      </c>
      <c r="E284" s="24"/>
      <c r="F284" s="24">
        <v>1</v>
      </c>
      <c r="G284" s="24" t="s">
        <v>1135</v>
      </c>
      <c r="H284" s="24"/>
      <c r="I284" s="170"/>
      <c r="J284" s="196"/>
      <c r="K284" s="204"/>
      <c r="L284" s="204"/>
      <c r="M284" s="204"/>
      <c r="N284" s="204" t="s">
        <v>970</v>
      </c>
      <c r="O284" s="196"/>
      <c r="P284" s="24"/>
      <c r="Q284" s="204"/>
      <c r="R284" s="134"/>
      <c r="S284" s="196"/>
      <c r="T284" s="170"/>
      <c r="U284" s="170"/>
      <c r="V284" s="196"/>
      <c r="W284" s="24"/>
      <c r="X284" s="24"/>
      <c r="Y284" s="24"/>
      <c r="Z284" s="22"/>
      <c r="AA284" s="24"/>
      <c r="AB284" s="24"/>
      <c r="AC284" s="28"/>
      <c r="AD284" s="25"/>
      <c r="AE284" s="113">
        <v>372794006</v>
      </c>
      <c r="AF284" s="28"/>
      <c r="AG284" s="205" t="s">
        <v>115</v>
      </c>
      <c r="AH284" s="205" t="s">
        <v>971</v>
      </c>
      <c r="AI284" s="205" t="s">
        <v>972</v>
      </c>
      <c r="AJ284" s="24"/>
      <c r="AK284" s="24"/>
      <c r="AL284" s="24"/>
    </row>
    <row r="285" spans="1:40" ht="12.75" customHeight="1">
      <c r="A285" s="22">
        <v>283</v>
      </c>
      <c r="B285" s="206" t="s">
        <v>973</v>
      </c>
      <c r="C285" s="24" t="s">
        <v>180</v>
      </c>
      <c r="D285" s="24" t="s">
        <v>1134</v>
      </c>
      <c r="E285" s="24"/>
      <c r="F285" s="24">
        <v>1</v>
      </c>
      <c r="G285" s="24" t="s">
        <v>1135</v>
      </c>
      <c r="H285" s="24"/>
      <c r="I285" s="170"/>
      <c r="J285" s="196"/>
      <c r="K285" s="204"/>
      <c r="L285" s="204"/>
      <c r="M285" s="204"/>
      <c r="N285" s="204" t="s">
        <v>973</v>
      </c>
      <c r="O285" s="196"/>
      <c r="P285" s="24"/>
      <c r="Q285" s="204"/>
      <c r="R285" s="134"/>
      <c r="S285" s="196"/>
      <c r="T285" s="170"/>
      <c r="U285" s="170"/>
      <c r="V285" s="196"/>
      <c r="W285" s="24"/>
      <c r="X285" s="24"/>
      <c r="Y285" s="24"/>
      <c r="Z285" s="22"/>
      <c r="AA285" s="24"/>
      <c r="AB285" s="24"/>
      <c r="AC285" s="28"/>
      <c r="AD285" s="25"/>
      <c r="AE285" s="113">
        <v>7947003</v>
      </c>
      <c r="AF285" s="28"/>
      <c r="AG285" s="205" t="s">
        <v>115</v>
      </c>
      <c r="AH285" s="205" t="s">
        <v>1140</v>
      </c>
      <c r="AI285" s="207" t="s">
        <v>976</v>
      </c>
      <c r="AJ285" s="24"/>
      <c r="AK285" s="24"/>
      <c r="AL285" s="24"/>
    </row>
    <row r="286" spans="1:40" ht="12.75" customHeight="1">
      <c r="A286" s="22">
        <v>284</v>
      </c>
      <c r="B286" s="206" t="s">
        <v>783</v>
      </c>
      <c r="C286" s="24" t="s">
        <v>180</v>
      </c>
      <c r="D286" s="24" t="s">
        <v>1134</v>
      </c>
      <c r="E286" s="24"/>
      <c r="F286" s="24">
        <v>1</v>
      </c>
      <c r="G286" s="24" t="s">
        <v>1135</v>
      </c>
      <c r="H286" s="24"/>
      <c r="I286" s="170"/>
      <c r="J286" s="196"/>
      <c r="K286" s="204"/>
      <c r="L286" s="204"/>
      <c r="M286" s="204"/>
      <c r="N286" s="204" t="s">
        <v>783</v>
      </c>
      <c r="O286" s="196"/>
      <c r="P286" s="24"/>
      <c r="Q286" s="204"/>
      <c r="R286" s="134"/>
      <c r="S286" s="196"/>
      <c r="T286" s="170"/>
      <c r="U286" s="170"/>
      <c r="V286" s="196"/>
      <c r="W286" s="24"/>
      <c r="X286" s="24"/>
      <c r="Y286" s="24"/>
      <c r="Z286" s="22"/>
      <c r="AA286" s="24"/>
      <c r="AB286" s="24"/>
      <c r="AC286" s="28"/>
      <c r="AD286" s="25"/>
      <c r="AE286" s="113">
        <v>5540006</v>
      </c>
      <c r="AF286" s="28"/>
      <c r="AG286" s="205" t="s">
        <v>115</v>
      </c>
      <c r="AH286" s="205" t="s">
        <v>784</v>
      </c>
      <c r="AI286" s="205" t="s">
        <v>785</v>
      </c>
      <c r="AJ286" s="24"/>
      <c r="AK286" s="24"/>
      <c r="AL286" s="24"/>
    </row>
    <row r="287" spans="1:40" ht="12.75" customHeight="1">
      <c r="A287" s="22">
        <v>285</v>
      </c>
      <c r="B287" s="206" t="s">
        <v>978</v>
      </c>
      <c r="C287" s="24" t="s">
        <v>180</v>
      </c>
      <c r="D287" s="24" t="s">
        <v>1134</v>
      </c>
      <c r="E287" s="24"/>
      <c r="F287" s="24">
        <v>1</v>
      </c>
      <c r="G287" s="24" t="s">
        <v>1135</v>
      </c>
      <c r="H287" s="24"/>
      <c r="I287" s="170"/>
      <c r="J287" s="196"/>
      <c r="K287" s="204"/>
      <c r="L287" s="204"/>
      <c r="M287" s="204"/>
      <c r="N287" s="204" t="s">
        <v>978</v>
      </c>
      <c r="O287" s="196"/>
      <c r="P287" s="24"/>
      <c r="Q287" s="204"/>
      <c r="R287" s="134"/>
      <c r="S287" s="196"/>
      <c r="T287" s="170"/>
      <c r="U287" s="163"/>
      <c r="V287" s="196"/>
      <c r="W287" s="24"/>
      <c r="X287" s="24"/>
      <c r="Y287" s="24"/>
      <c r="Z287" s="22"/>
      <c r="AA287" s="24"/>
      <c r="AB287" s="24"/>
      <c r="AC287" s="28"/>
      <c r="AD287" s="25"/>
      <c r="AE287" s="113">
        <v>412380009</v>
      </c>
      <c r="AF287" s="28"/>
      <c r="AG287" s="205" t="s">
        <v>115</v>
      </c>
      <c r="AH287" s="205" t="s">
        <v>979</v>
      </c>
      <c r="AI287" s="205" t="s">
        <v>980</v>
      </c>
      <c r="AJ287" s="24"/>
      <c r="AK287" s="24"/>
      <c r="AL287" s="24"/>
    </row>
    <row r="288" spans="1:40" ht="12.75" customHeight="1">
      <c r="A288" s="22">
        <v>286</v>
      </c>
      <c r="B288" s="206" t="s">
        <v>790</v>
      </c>
      <c r="C288" s="24" t="s">
        <v>180</v>
      </c>
      <c r="D288" s="24" t="s">
        <v>1134</v>
      </c>
      <c r="E288" s="24"/>
      <c r="F288" s="24">
        <v>1</v>
      </c>
      <c r="G288" s="24" t="s">
        <v>1135</v>
      </c>
      <c r="H288" s="24"/>
      <c r="I288" s="170"/>
      <c r="J288" s="196"/>
      <c r="K288" s="204"/>
      <c r="L288" s="204"/>
      <c r="M288" s="204"/>
      <c r="N288" s="204" t="s">
        <v>790</v>
      </c>
      <c r="O288" s="196"/>
      <c r="P288" s="24"/>
      <c r="Q288" s="204"/>
      <c r="R288" s="134"/>
      <c r="S288" s="196"/>
      <c r="T288" s="170"/>
      <c r="U288" s="170"/>
      <c r="V288" s="196"/>
      <c r="W288" s="24"/>
      <c r="X288" s="24"/>
      <c r="Y288" s="24"/>
      <c r="Z288" s="22"/>
      <c r="AA288" s="24"/>
      <c r="AB288" s="24"/>
      <c r="AC288" s="28"/>
      <c r="AD288" s="25"/>
      <c r="AE288" s="113">
        <v>6247001</v>
      </c>
      <c r="AF288" s="28"/>
      <c r="AG288" s="205" t="s">
        <v>115</v>
      </c>
      <c r="AH288" s="205" t="s">
        <v>791</v>
      </c>
      <c r="AI288" s="205" t="s">
        <v>792</v>
      </c>
      <c r="AJ288" s="24"/>
      <c r="AK288" s="24"/>
      <c r="AL288" s="24"/>
    </row>
    <row r="289" spans="1:38" ht="12.75" customHeight="1">
      <c r="A289" s="22">
        <v>287</v>
      </c>
      <c r="B289" s="206" t="s">
        <v>797</v>
      </c>
      <c r="C289" s="24" t="s">
        <v>180</v>
      </c>
      <c r="D289" s="24" t="s">
        <v>1134</v>
      </c>
      <c r="E289" s="24"/>
      <c r="F289" s="24">
        <v>1</v>
      </c>
      <c r="G289" s="24" t="s">
        <v>1135</v>
      </c>
      <c r="H289" s="24"/>
      <c r="I289" s="170"/>
      <c r="J289" s="196"/>
      <c r="K289" s="204"/>
      <c r="L289" s="204"/>
      <c r="M289" s="204"/>
      <c r="N289" s="204" t="s">
        <v>797</v>
      </c>
      <c r="O289" s="196"/>
      <c r="P289" s="24"/>
      <c r="Q289" s="204"/>
      <c r="R289" s="134"/>
      <c r="S289" s="196"/>
      <c r="T289" s="170"/>
      <c r="U289" s="170"/>
      <c r="V289" s="196"/>
      <c r="W289" s="24"/>
      <c r="X289" s="24"/>
      <c r="Y289" s="24"/>
      <c r="Z289" s="22"/>
      <c r="AA289" s="24"/>
      <c r="AB289" s="24"/>
      <c r="AC289" s="28"/>
      <c r="AD289" s="25"/>
      <c r="AE289" s="113">
        <v>30729008</v>
      </c>
      <c r="AF289" s="28"/>
      <c r="AG289" s="205" t="s">
        <v>115</v>
      </c>
      <c r="AH289" s="205" t="s">
        <v>798</v>
      </c>
      <c r="AI289" s="205" t="s">
        <v>799</v>
      </c>
      <c r="AJ289" s="24"/>
      <c r="AK289" s="24"/>
      <c r="AL289" s="24"/>
    </row>
    <row r="290" spans="1:38" ht="12.75" customHeight="1">
      <c r="A290" s="22">
        <v>288</v>
      </c>
      <c r="B290" s="206" t="s">
        <v>983</v>
      </c>
      <c r="C290" s="24" t="s">
        <v>180</v>
      </c>
      <c r="D290" s="24" t="s">
        <v>1134</v>
      </c>
      <c r="E290" s="24"/>
      <c r="F290" s="24">
        <v>1</v>
      </c>
      <c r="G290" s="24" t="s">
        <v>1135</v>
      </c>
      <c r="H290" s="24"/>
      <c r="I290" s="215"/>
      <c r="J290" s="196"/>
      <c r="K290" s="204"/>
      <c r="L290" s="204"/>
      <c r="M290" s="204"/>
      <c r="N290" s="204" t="s">
        <v>983</v>
      </c>
      <c r="O290" s="196"/>
      <c r="P290" s="24"/>
      <c r="Q290" s="204"/>
      <c r="R290" s="134"/>
      <c r="S290" s="196"/>
      <c r="T290" s="170"/>
      <c r="U290" s="163"/>
      <c r="V290" s="196"/>
      <c r="W290" s="24"/>
      <c r="X290" s="24"/>
      <c r="Y290" s="24"/>
      <c r="Z290" s="22"/>
      <c r="AA290" s="24"/>
      <c r="AB290" s="24"/>
      <c r="AC290" s="28"/>
      <c r="AD290" s="25"/>
      <c r="AE290" s="113">
        <v>72717003</v>
      </c>
      <c r="AF290" s="28"/>
      <c r="AG290" s="205" t="s">
        <v>115</v>
      </c>
      <c r="AH290" s="205" t="s">
        <v>984</v>
      </c>
      <c r="AI290" s="205" t="s">
        <v>985</v>
      </c>
      <c r="AJ290" s="24"/>
      <c r="AK290" s="24"/>
      <c r="AL290" s="24"/>
    </row>
    <row r="291" spans="1:38" ht="12.75" customHeight="1">
      <c r="A291" s="22">
        <v>289</v>
      </c>
      <c r="B291" s="206" t="s">
        <v>986</v>
      </c>
      <c r="C291" s="24" t="s">
        <v>180</v>
      </c>
      <c r="D291" s="24" t="s">
        <v>1134</v>
      </c>
      <c r="E291" s="24"/>
      <c r="F291" s="24">
        <v>1</v>
      </c>
      <c r="G291" s="24" t="s">
        <v>1135</v>
      </c>
      <c r="H291" s="24"/>
      <c r="I291" s="133"/>
      <c r="J291" s="196"/>
      <c r="K291" s="204"/>
      <c r="L291" s="204"/>
      <c r="M291" s="204"/>
      <c r="N291" s="204" t="s">
        <v>986</v>
      </c>
      <c r="O291" s="196"/>
      <c r="P291" s="24"/>
      <c r="Q291" s="204"/>
      <c r="R291" s="133"/>
      <c r="S291" s="196"/>
      <c r="T291" s="133"/>
      <c r="U291" s="133"/>
      <c r="V291" s="196"/>
      <c r="W291" s="24"/>
      <c r="X291" s="24"/>
      <c r="Y291" s="24"/>
      <c r="Z291" s="22"/>
      <c r="AA291" s="24"/>
      <c r="AB291" s="24"/>
      <c r="AC291" s="28"/>
      <c r="AD291" s="25"/>
      <c r="AE291" s="113">
        <v>56549003</v>
      </c>
      <c r="AF291" s="28"/>
      <c r="AG291" s="205" t="s">
        <v>115</v>
      </c>
      <c r="AH291" s="205" t="s">
        <v>988</v>
      </c>
      <c r="AI291" s="205" t="s">
        <v>989</v>
      </c>
      <c r="AJ291" s="24"/>
      <c r="AK291" s="24"/>
      <c r="AL291" s="24"/>
    </row>
    <row r="292" spans="1:38" ht="12.75" customHeight="1">
      <c r="A292" s="22">
        <v>290</v>
      </c>
      <c r="B292" s="206" t="s">
        <v>990</v>
      </c>
      <c r="C292" s="24" t="s">
        <v>180</v>
      </c>
      <c r="D292" s="24" t="s">
        <v>1134</v>
      </c>
      <c r="E292" s="24"/>
      <c r="F292" s="24">
        <v>1</v>
      </c>
      <c r="G292" s="24" t="s">
        <v>1135</v>
      </c>
      <c r="H292" s="24"/>
      <c r="I292" s="133"/>
      <c r="J292" s="196"/>
      <c r="K292" s="204"/>
      <c r="L292" s="204"/>
      <c r="M292" s="204"/>
      <c r="N292" s="204" t="s">
        <v>990</v>
      </c>
      <c r="O292" s="196"/>
      <c r="P292" s="24"/>
      <c r="Q292" s="204"/>
      <c r="R292" s="133"/>
      <c r="S292" s="196"/>
      <c r="T292" s="133"/>
      <c r="U292" s="133"/>
      <c r="V292" s="196"/>
      <c r="W292" s="24"/>
      <c r="X292" s="24"/>
      <c r="Y292" s="24"/>
      <c r="Z292" s="22"/>
      <c r="AA292" s="24"/>
      <c r="AB292" s="24"/>
      <c r="AC292" s="28"/>
      <c r="AD292" s="25"/>
      <c r="AE292" s="113">
        <v>82156005</v>
      </c>
      <c r="AF292" s="28"/>
      <c r="AG292" s="205" t="s">
        <v>115</v>
      </c>
      <c r="AH292" s="205" t="s">
        <v>992</v>
      </c>
      <c r="AI292" s="205" t="s">
        <v>993</v>
      </c>
      <c r="AJ292" s="24"/>
      <c r="AK292" s="24"/>
      <c r="AL292" s="24"/>
    </row>
    <row r="293" spans="1:38" ht="12.75" customHeight="1">
      <c r="A293" s="22">
        <v>291</v>
      </c>
      <c r="B293" s="206" t="s">
        <v>994</v>
      </c>
      <c r="C293" s="24" t="s">
        <v>180</v>
      </c>
      <c r="D293" s="24" t="s">
        <v>1134</v>
      </c>
      <c r="E293" s="24"/>
      <c r="F293" s="24">
        <v>1</v>
      </c>
      <c r="G293" s="24" t="s">
        <v>1135</v>
      </c>
      <c r="H293" s="24"/>
      <c r="I293" s="215"/>
      <c r="J293" s="196"/>
      <c r="K293" s="204"/>
      <c r="L293" s="204"/>
      <c r="M293" s="204"/>
      <c r="N293" s="204" t="s">
        <v>994</v>
      </c>
      <c r="O293" s="196"/>
      <c r="P293" s="24"/>
      <c r="Q293" s="204"/>
      <c r="R293" s="134"/>
      <c r="S293" s="196"/>
      <c r="T293" s="170"/>
      <c r="U293" s="163"/>
      <c r="V293" s="196"/>
      <c r="W293" s="24"/>
      <c r="X293" s="24"/>
      <c r="Y293" s="24"/>
      <c r="Z293" s="22"/>
      <c r="AA293" s="24"/>
      <c r="AB293" s="24"/>
      <c r="AC293" s="217"/>
      <c r="AD293" s="217"/>
      <c r="AE293" s="217"/>
      <c r="AF293" s="217"/>
      <c r="AG293" s="205" t="s">
        <v>115</v>
      </c>
      <c r="AH293" s="205" t="s">
        <v>996</v>
      </c>
      <c r="AI293" s="205" t="s">
        <v>997</v>
      </c>
      <c r="AJ293" s="24"/>
      <c r="AK293" s="24"/>
      <c r="AL293" s="24"/>
    </row>
    <row r="294" spans="1:38" ht="12.75" customHeight="1">
      <c r="A294" s="22">
        <v>292</v>
      </c>
      <c r="B294" s="206" t="s">
        <v>998</v>
      </c>
      <c r="C294" s="24" t="s">
        <v>180</v>
      </c>
      <c r="D294" s="24" t="s">
        <v>1134</v>
      </c>
      <c r="E294" s="24"/>
      <c r="F294" s="24">
        <v>1</v>
      </c>
      <c r="G294" s="24" t="s">
        <v>1135</v>
      </c>
      <c r="H294" s="24"/>
      <c r="I294" s="170"/>
      <c r="J294" s="196"/>
      <c r="K294" s="204"/>
      <c r="L294" s="204"/>
      <c r="M294" s="204"/>
      <c r="N294" s="204" t="s">
        <v>998</v>
      </c>
      <c r="O294" s="196"/>
      <c r="P294" s="24"/>
      <c r="Q294" s="204"/>
      <c r="R294" s="134"/>
      <c r="S294" s="196"/>
      <c r="T294" s="170"/>
      <c r="U294" s="163"/>
      <c r="V294" s="196"/>
      <c r="W294" s="24"/>
      <c r="X294" s="24"/>
      <c r="Y294" s="24"/>
      <c r="Z294" s="22"/>
      <c r="AA294" s="24"/>
      <c r="AB294" s="24"/>
      <c r="AC294" s="217"/>
      <c r="AD294" s="217"/>
      <c r="AE294" s="217"/>
      <c r="AF294" s="217"/>
      <c r="AG294" s="205" t="s">
        <v>115</v>
      </c>
      <c r="AH294" s="205" t="s">
        <v>1000</v>
      </c>
      <c r="AI294" s="205" t="s">
        <v>1001</v>
      </c>
      <c r="AJ294" s="24"/>
      <c r="AK294" s="24"/>
      <c r="AL294" s="24"/>
    </row>
    <row r="295" spans="1:38" ht="12.75" customHeight="1">
      <c r="A295" s="22">
        <v>293</v>
      </c>
      <c r="B295" s="206" t="s">
        <v>1002</v>
      </c>
      <c r="C295" s="24" t="s">
        <v>180</v>
      </c>
      <c r="D295" s="24" t="s">
        <v>1134</v>
      </c>
      <c r="E295" s="24"/>
      <c r="F295" s="24">
        <v>1</v>
      </c>
      <c r="G295" s="24" t="s">
        <v>1135</v>
      </c>
      <c r="H295" s="24"/>
      <c r="I295" s="170"/>
      <c r="J295" s="196"/>
      <c r="K295" s="204"/>
      <c r="L295" s="204"/>
      <c r="M295" s="204"/>
      <c r="N295" s="204" t="s">
        <v>1002</v>
      </c>
      <c r="O295" s="196"/>
      <c r="P295" s="24"/>
      <c r="Q295" s="204"/>
      <c r="R295" s="134"/>
      <c r="S295" s="196"/>
      <c r="T295" s="170"/>
      <c r="U295" s="163"/>
      <c r="V295" s="196"/>
      <c r="W295" s="24"/>
      <c r="X295" s="24"/>
      <c r="Y295" s="24"/>
      <c r="Z295" s="22"/>
      <c r="AA295" s="24"/>
      <c r="AB295" s="24"/>
      <c r="AC295" s="28"/>
      <c r="AD295" s="25"/>
      <c r="AE295" s="93" t="s">
        <v>1003</v>
      </c>
      <c r="AF295" s="28"/>
      <c r="AG295" s="205" t="s">
        <v>115</v>
      </c>
      <c r="AH295" s="205" t="s">
        <v>1004</v>
      </c>
      <c r="AI295" s="205" t="s">
        <v>1005</v>
      </c>
      <c r="AJ295" s="24"/>
      <c r="AK295" s="24"/>
      <c r="AL295" s="24"/>
    </row>
    <row r="296" spans="1:38" ht="12.75" customHeight="1">
      <c r="A296" s="22">
        <v>294</v>
      </c>
      <c r="B296" s="206" t="s">
        <v>1006</v>
      </c>
      <c r="C296" s="24" t="s">
        <v>180</v>
      </c>
      <c r="D296" s="24" t="s">
        <v>1134</v>
      </c>
      <c r="E296" s="24"/>
      <c r="F296" s="24">
        <v>1</v>
      </c>
      <c r="G296" s="24" t="s">
        <v>1135</v>
      </c>
      <c r="H296" s="24"/>
      <c r="I296" s="170"/>
      <c r="J296" s="196"/>
      <c r="K296" s="204"/>
      <c r="L296" s="204"/>
      <c r="M296" s="204"/>
      <c r="N296" s="204" t="s">
        <v>1006</v>
      </c>
      <c r="O296" s="196"/>
      <c r="P296" s="24"/>
      <c r="Q296" s="204"/>
      <c r="R296" s="134"/>
      <c r="S296" s="204"/>
      <c r="T296" s="170"/>
      <c r="U296" s="163"/>
      <c r="V296" s="196"/>
      <c r="W296" s="24"/>
      <c r="X296" s="24"/>
      <c r="Y296" s="24"/>
      <c r="Z296" s="22"/>
      <c r="AA296" s="24"/>
      <c r="AB296" s="24"/>
      <c r="AC296" s="217"/>
      <c r="AD296" s="217"/>
      <c r="AE296" s="217"/>
      <c r="AF296" s="217"/>
      <c r="AG296" s="205" t="s">
        <v>115</v>
      </c>
      <c r="AH296" s="205" t="s">
        <v>1007</v>
      </c>
      <c r="AI296" s="205" t="s">
        <v>1008</v>
      </c>
      <c r="AJ296" s="24"/>
      <c r="AK296" s="24"/>
      <c r="AL296" s="24"/>
    </row>
    <row r="297" spans="1:38" ht="12.75" customHeight="1">
      <c r="A297" s="22">
        <v>295</v>
      </c>
      <c r="B297" s="206" t="s">
        <v>1009</v>
      </c>
      <c r="C297" s="24" t="s">
        <v>180</v>
      </c>
      <c r="D297" s="24" t="s">
        <v>1134</v>
      </c>
      <c r="E297" s="24"/>
      <c r="F297" s="24">
        <v>1</v>
      </c>
      <c r="G297" s="24" t="s">
        <v>1135</v>
      </c>
      <c r="H297" s="24"/>
      <c r="I297" s="170"/>
      <c r="J297" s="196"/>
      <c r="K297" s="204"/>
      <c r="L297" s="204"/>
      <c r="M297" s="204"/>
      <c r="N297" s="204" t="s">
        <v>1009</v>
      </c>
      <c r="O297" s="196"/>
      <c r="P297" s="24"/>
      <c r="Q297" s="204"/>
      <c r="R297" s="134"/>
      <c r="S297" s="204"/>
      <c r="T297" s="170"/>
      <c r="U297" s="163"/>
      <c r="V297" s="196"/>
      <c r="W297" s="24"/>
      <c r="X297" s="24"/>
      <c r="Y297" s="24"/>
      <c r="Z297" s="22"/>
      <c r="AA297" s="24"/>
      <c r="AB297" s="24"/>
      <c r="AC297" s="217"/>
      <c r="AD297" s="217"/>
      <c r="AE297" s="217"/>
      <c r="AF297" s="217"/>
      <c r="AG297" s="205" t="s">
        <v>115</v>
      </c>
      <c r="AH297" s="205" t="s">
        <v>1010</v>
      </c>
      <c r="AI297" s="205" t="s">
        <v>1011</v>
      </c>
      <c r="AJ297" s="24"/>
      <c r="AK297" s="24"/>
      <c r="AL297" s="24"/>
    </row>
    <row r="298" spans="1:38" ht="12.75" customHeight="1">
      <c r="A298" s="22">
        <v>296</v>
      </c>
      <c r="B298" s="206" t="s">
        <v>1012</v>
      </c>
      <c r="C298" s="24" t="s">
        <v>180</v>
      </c>
      <c r="D298" s="24" t="s">
        <v>1134</v>
      </c>
      <c r="E298" s="24"/>
      <c r="F298" s="24">
        <v>1</v>
      </c>
      <c r="G298" s="24" t="s">
        <v>1135</v>
      </c>
      <c r="H298" s="24"/>
      <c r="I298" s="170"/>
      <c r="J298" s="196"/>
      <c r="K298" s="204"/>
      <c r="L298" s="204"/>
      <c r="M298" s="204"/>
      <c r="N298" s="196" t="s">
        <v>1012</v>
      </c>
      <c r="O298" s="196"/>
      <c r="P298" s="24"/>
      <c r="Q298" s="204"/>
      <c r="R298" s="134"/>
      <c r="S298" s="204"/>
      <c r="T298" s="170"/>
      <c r="U298" s="163"/>
      <c r="V298" s="196"/>
      <c r="W298" s="24"/>
      <c r="X298" s="24"/>
      <c r="Y298" s="24"/>
      <c r="Z298" s="22"/>
      <c r="AA298" s="24"/>
      <c r="AB298" s="24"/>
      <c r="AC298" s="28"/>
      <c r="AD298" s="25"/>
      <c r="AE298" s="25" t="s">
        <v>1013</v>
      </c>
      <c r="AF298" s="28"/>
      <c r="AG298" s="205" t="s">
        <v>115</v>
      </c>
      <c r="AH298" s="205" t="s">
        <v>1014</v>
      </c>
      <c r="AI298" s="205" t="s">
        <v>1015</v>
      </c>
      <c r="AJ298" s="24"/>
      <c r="AK298" s="24"/>
      <c r="AL298" s="24"/>
    </row>
    <row r="299" spans="1:38" ht="12.75" customHeight="1">
      <c r="A299" s="22">
        <v>297</v>
      </c>
      <c r="B299" s="206" t="s">
        <v>1016</v>
      </c>
      <c r="C299" s="24" t="s">
        <v>180</v>
      </c>
      <c r="D299" s="24" t="s">
        <v>1134</v>
      </c>
      <c r="E299" s="24"/>
      <c r="F299" s="24">
        <v>1</v>
      </c>
      <c r="G299" s="24" t="s">
        <v>1135</v>
      </c>
      <c r="H299" s="24"/>
      <c r="I299" s="170"/>
      <c r="J299" s="196"/>
      <c r="K299" s="204"/>
      <c r="L299" s="204"/>
      <c r="M299" s="204"/>
      <c r="N299" s="204" t="s">
        <v>1016</v>
      </c>
      <c r="O299" s="196"/>
      <c r="P299" s="24"/>
      <c r="Q299" s="204"/>
      <c r="R299" s="134"/>
      <c r="S299" s="204"/>
      <c r="T299" s="170"/>
      <c r="U299" s="163"/>
      <c r="V299" s="196"/>
      <c r="W299" s="24"/>
      <c r="X299" s="24"/>
      <c r="Y299" s="24"/>
      <c r="Z299" s="22"/>
      <c r="AA299" s="24"/>
      <c r="AB299" s="24"/>
      <c r="AC299" s="217"/>
      <c r="AD299" s="217"/>
      <c r="AE299" s="217"/>
      <c r="AF299" s="217"/>
      <c r="AG299" s="205" t="s">
        <v>115</v>
      </c>
      <c r="AH299" s="205" t="s">
        <v>1018</v>
      </c>
      <c r="AI299" s="205" t="s">
        <v>1019</v>
      </c>
      <c r="AJ299" s="24"/>
      <c r="AK299" s="24"/>
      <c r="AL299" s="24"/>
    </row>
    <row r="300" spans="1:38" ht="12.75" customHeight="1">
      <c r="A300" s="22">
        <v>298</v>
      </c>
      <c r="B300" s="206" t="s">
        <v>1020</v>
      </c>
      <c r="C300" s="24" t="s">
        <v>180</v>
      </c>
      <c r="D300" s="24" t="s">
        <v>1134</v>
      </c>
      <c r="E300" s="24"/>
      <c r="F300" s="24">
        <v>1</v>
      </c>
      <c r="G300" s="24" t="s">
        <v>1135</v>
      </c>
      <c r="H300" s="24"/>
      <c r="I300" s="170"/>
      <c r="J300" s="196"/>
      <c r="K300" s="204"/>
      <c r="L300" s="204"/>
      <c r="M300" s="204"/>
      <c r="N300" s="204" t="s">
        <v>1020</v>
      </c>
      <c r="O300" s="196"/>
      <c r="P300" s="24"/>
      <c r="Q300" s="204"/>
      <c r="R300" s="134"/>
      <c r="S300" s="204"/>
      <c r="T300" s="170"/>
      <c r="U300" s="163"/>
      <c r="V300" s="196"/>
      <c r="W300" s="24"/>
      <c r="X300" s="24"/>
      <c r="Y300" s="24"/>
      <c r="Z300" s="22"/>
      <c r="AA300" s="24"/>
      <c r="AB300" s="24"/>
      <c r="AC300" s="27"/>
      <c r="AD300" s="25"/>
      <c r="AE300" s="129">
        <v>416234007</v>
      </c>
      <c r="AF300" s="27"/>
      <c r="AG300" s="205" t="s">
        <v>115</v>
      </c>
      <c r="AH300" s="205" t="s">
        <v>1022</v>
      </c>
      <c r="AI300" s="205" t="s">
        <v>1023</v>
      </c>
      <c r="AJ300" s="24"/>
      <c r="AK300" s="24"/>
      <c r="AL300" s="24"/>
    </row>
    <row r="301" spans="1:38" ht="12.75" customHeight="1">
      <c r="A301" s="22">
        <v>299</v>
      </c>
      <c r="B301" s="206" t="s">
        <v>1024</v>
      </c>
      <c r="C301" s="24" t="s">
        <v>180</v>
      </c>
      <c r="D301" s="24" t="s">
        <v>1134</v>
      </c>
      <c r="E301" s="24"/>
      <c r="F301" s="24">
        <v>1</v>
      </c>
      <c r="G301" s="24" t="s">
        <v>1135</v>
      </c>
      <c r="H301" s="24"/>
      <c r="I301" s="170"/>
      <c r="J301" s="196"/>
      <c r="K301" s="204"/>
      <c r="L301" s="204"/>
      <c r="M301" s="204"/>
      <c r="N301" s="204" t="s">
        <v>1024</v>
      </c>
      <c r="O301" s="196"/>
      <c r="P301" s="24"/>
      <c r="Q301" s="204"/>
      <c r="R301" s="134"/>
      <c r="S301" s="204"/>
      <c r="T301" s="170"/>
      <c r="U301" s="163"/>
      <c r="V301" s="196"/>
      <c r="W301" s="24"/>
      <c r="X301" s="24"/>
      <c r="Y301" s="24"/>
      <c r="Z301" s="22"/>
      <c r="AA301" s="24"/>
      <c r="AB301" s="24"/>
      <c r="AC301" s="217"/>
      <c r="AD301" s="217"/>
      <c r="AE301" s="217"/>
      <c r="AF301" s="217"/>
      <c r="AG301" s="205" t="s">
        <v>115</v>
      </c>
      <c r="AH301" s="205" t="s">
        <v>1025</v>
      </c>
      <c r="AI301" s="205" t="s">
        <v>1026</v>
      </c>
      <c r="AJ301" s="24"/>
      <c r="AK301" s="24"/>
      <c r="AL301" s="24"/>
    </row>
    <row r="302" spans="1:38" ht="12.75" customHeight="1">
      <c r="A302" s="22">
        <v>300</v>
      </c>
      <c r="B302" s="206" t="s">
        <v>1028</v>
      </c>
      <c r="C302" s="24" t="s">
        <v>180</v>
      </c>
      <c r="D302" s="24" t="s">
        <v>1134</v>
      </c>
      <c r="E302" s="24"/>
      <c r="F302" s="24">
        <v>1</v>
      </c>
      <c r="G302" s="24" t="s">
        <v>1135</v>
      </c>
      <c r="H302" s="24"/>
      <c r="I302" s="170"/>
      <c r="J302" s="196"/>
      <c r="K302" s="204"/>
      <c r="L302" s="204"/>
      <c r="M302" s="204"/>
      <c r="N302" s="204" t="s">
        <v>1028</v>
      </c>
      <c r="O302" s="196"/>
      <c r="P302" s="24"/>
      <c r="Q302" s="204"/>
      <c r="R302" s="134"/>
      <c r="S302" s="204"/>
      <c r="T302" s="170"/>
      <c r="U302" s="163"/>
      <c r="V302" s="196"/>
      <c r="W302" s="24"/>
      <c r="X302" s="24"/>
      <c r="Y302" s="24"/>
      <c r="Z302" s="22"/>
      <c r="AA302" s="24"/>
      <c r="AB302" s="24"/>
      <c r="AC302" s="217"/>
      <c r="AD302" s="217"/>
      <c r="AE302" s="217"/>
      <c r="AF302" s="217"/>
      <c r="AG302" s="205" t="s">
        <v>115</v>
      </c>
      <c r="AH302" s="205" t="s">
        <v>1029</v>
      </c>
      <c r="AI302" s="205" t="s">
        <v>1030</v>
      </c>
      <c r="AJ302" s="24"/>
      <c r="AK302" s="24"/>
      <c r="AL302" s="24"/>
    </row>
    <row r="303" spans="1:38" ht="12.75" customHeight="1">
      <c r="A303" s="22">
        <v>301</v>
      </c>
      <c r="B303" s="206" t="s">
        <v>1031</v>
      </c>
      <c r="C303" s="24" t="s">
        <v>180</v>
      </c>
      <c r="D303" s="24" t="s">
        <v>1134</v>
      </c>
      <c r="E303" s="24"/>
      <c r="F303" s="24">
        <v>1</v>
      </c>
      <c r="G303" s="24" t="s">
        <v>1135</v>
      </c>
      <c r="H303" s="24"/>
      <c r="I303" s="170"/>
      <c r="J303" s="196"/>
      <c r="K303" s="204"/>
      <c r="L303" s="204"/>
      <c r="M303" s="204"/>
      <c r="N303" s="204" t="s">
        <v>1031</v>
      </c>
      <c r="O303" s="196"/>
      <c r="P303" s="24"/>
      <c r="Q303" s="204"/>
      <c r="R303" s="134"/>
      <c r="S303" s="204"/>
      <c r="T303" s="170"/>
      <c r="U303" s="163"/>
      <c r="V303" s="196"/>
      <c r="W303" s="24"/>
      <c r="X303" s="24"/>
      <c r="Y303" s="24"/>
      <c r="Z303" s="22"/>
      <c r="AA303" s="24"/>
      <c r="AB303" s="24"/>
      <c r="AC303" s="28"/>
      <c r="AD303" s="25"/>
      <c r="AE303" s="118">
        <v>398731002</v>
      </c>
      <c r="AF303" s="28"/>
      <c r="AG303" s="205" t="s">
        <v>115</v>
      </c>
      <c r="AH303" s="205" t="s">
        <v>1032</v>
      </c>
      <c r="AI303" s="205" t="s">
        <v>1033</v>
      </c>
      <c r="AJ303" s="24"/>
      <c r="AK303" s="24"/>
      <c r="AL303" s="24"/>
    </row>
    <row r="304" spans="1:38" ht="12.75" customHeight="1">
      <c r="A304" s="22">
        <v>302</v>
      </c>
      <c r="B304" s="206" t="s">
        <v>1034</v>
      </c>
      <c r="C304" s="24" t="s">
        <v>180</v>
      </c>
      <c r="D304" s="24" t="s">
        <v>1134</v>
      </c>
      <c r="E304" s="24"/>
      <c r="F304" s="24">
        <v>1</v>
      </c>
      <c r="G304" s="24" t="s">
        <v>1135</v>
      </c>
      <c r="H304" s="24"/>
      <c r="I304" s="170"/>
      <c r="J304" s="196"/>
      <c r="K304" s="204"/>
      <c r="L304" s="204"/>
      <c r="M304" s="204"/>
      <c r="N304" s="204" t="s">
        <v>1034</v>
      </c>
      <c r="O304" s="196"/>
      <c r="P304" s="24"/>
      <c r="Q304" s="204"/>
      <c r="R304" s="134"/>
      <c r="S304" s="204"/>
      <c r="T304" s="170"/>
      <c r="U304" s="163"/>
      <c r="V304" s="196"/>
      <c r="W304" s="24"/>
      <c r="X304" s="24"/>
      <c r="Y304" s="24"/>
      <c r="Z304" s="22"/>
      <c r="AA304" s="24"/>
      <c r="AB304" s="24"/>
      <c r="AC304" s="28"/>
      <c r="AD304" s="25"/>
      <c r="AE304" s="118">
        <v>255631004</v>
      </c>
      <c r="AF304" s="28"/>
      <c r="AG304" s="205" t="s">
        <v>115</v>
      </c>
      <c r="AH304" s="205" t="s">
        <v>1035</v>
      </c>
      <c r="AI304" s="205" t="s">
        <v>1036</v>
      </c>
      <c r="AJ304" s="24"/>
      <c r="AK304" s="24"/>
      <c r="AL304" s="24"/>
    </row>
    <row r="305" spans="1:38" ht="12.75" customHeight="1">
      <c r="A305" s="22">
        <v>303</v>
      </c>
      <c r="B305" s="206" t="s">
        <v>1037</v>
      </c>
      <c r="C305" s="24" t="s">
        <v>180</v>
      </c>
      <c r="D305" s="24" t="s">
        <v>1134</v>
      </c>
      <c r="E305" s="24"/>
      <c r="F305" s="24">
        <v>1</v>
      </c>
      <c r="G305" s="24" t="s">
        <v>1135</v>
      </c>
      <c r="H305" s="24"/>
      <c r="I305" s="170"/>
      <c r="J305" s="196"/>
      <c r="K305" s="204"/>
      <c r="L305" s="204"/>
      <c r="M305" s="204"/>
      <c r="N305" s="204" t="s">
        <v>1037</v>
      </c>
      <c r="O305" s="196"/>
      <c r="P305" s="24"/>
      <c r="Q305" s="204"/>
      <c r="R305" s="134"/>
      <c r="S305" s="204"/>
      <c r="T305" s="170"/>
      <c r="U305" s="163"/>
      <c r="V305" s="196"/>
      <c r="W305" s="24"/>
      <c r="X305" s="24"/>
      <c r="Y305" s="24"/>
      <c r="Z305" s="22"/>
      <c r="AA305" s="24"/>
      <c r="AB305" s="24"/>
      <c r="AC305" s="217"/>
      <c r="AD305" s="217"/>
      <c r="AE305" s="217"/>
      <c r="AF305" s="217"/>
      <c r="AG305" s="205" t="s">
        <v>115</v>
      </c>
      <c r="AH305" s="205" t="s">
        <v>1038</v>
      </c>
      <c r="AI305" s="205" t="s">
        <v>1039</v>
      </c>
      <c r="AJ305" s="24"/>
      <c r="AK305" s="24"/>
      <c r="AL305" s="24"/>
    </row>
    <row r="306" spans="1:38" ht="12.75" customHeight="1">
      <c r="A306" s="22">
        <v>304</v>
      </c>
      <c r="B306" s="206" t="s">
        <v>1040</v>
      </c>
      <c r="C306" s="24" t="s">
        <v>180</v>
      </c>
      <c r="D306" s="24" t="s">
        <v>1134</v>
      </c>
      <c r="E306" s="24"/>
      <c r="F306" s="24">
        <v>1</v>
      </c>
      <c r="G306" s="24" t="s">
        <v>1135</v>
      </c>
      <c r="H306" s="24"/>
      <c r="I306" s="170"/>
      <c r="J306" s="196"/>
      <c r="K306" s="204"/>
      <c r="L306" s="204"/>
      <c r="M306" s="204"/>
      <c r="N306" s="204" t="s">
        <v>1040</v>
      </c>
      <c r="O306" s="196"/>
      <c r="P306" s="24"/>
      <c r="Q306" s="204"/>
      <c r="R306" s="133"/>
      <c r="S306" s="204"/>
      <c r="T306" s="170"/>
      <c r="U306" s="163"/>
      <c r="V306" s="196"/>
      <c r="W306" s="24"/>
      <c r="X306" s="24"/>
      <c r="Y306" s="24"/>
      <c r="Z306" s="22"/>
      <c r="AA306" s="24"/>
      <c r="AB306" s="24"/>
      <c r="AC306" s="217"/>
      <c r="AD306" s="217"/>
      <c r="AE306" s="217"/>
      <c r="AF306" s="217"/>
      <c r="AG306" s="205" t="s">
        <v>115</v>
      </c>
      <c r="AH306" s="205" t="s">
        <v>1041</v>
      </c>
      <c r="AI306" s="205" t="s">
        <v>1042</v>
      </c>
      <c r="AJ306" s="24"/>
      <c r="AK306" s="24"/>
      <c r="AL306" s="24"/>
    </row>
    <row r="307" spans="1:38" ht="12.75" customHeight="1">
      <c r="A307" s="22">
        <v>305</v>
      </c>
      <c r="B307" s="206" t="s">
        <v>1043</v>
      </c>
      <c r="C307" s="24" t="s">
        <v>180</v>
      </c>
      <c r="D307" s="24" t="s">
        <v>1134</v>
      </c>
      <c r="E307" s="24"/>
      <c r="F307" s="24">
        <v>1</v>
      </c>
      <c r="G307" s="24" t="s">
        <v>1135</v>
      </c>
      <c r="H307" s="24"/>
      <c r="I307" s="136"/>
      <c r="J307" s="196"/>
      <c r="K307" s="204"/>
      <c r="L307" s="204"/>
      <c r="M307" s="204"/>
      <c r="N307" s="204" t="s">
        <v>1043</v>
      </c>
      <c r="O307" s="196"/>
      <c r="P307" s="24"/>
      <c r="Q307" s="204"/>
      <c r="R307" s="133"/>
      <c r="S307" s="204"/>
      <c r="T307" s="133"/>
      <c r="U307" s="136"/>
      <c r="V307" s="196"/>
      <c r="W307" s="24"/>
      <c r="X307" s="24"/>
      <c r="Y307" s="24"/>
      <c r="Z307" s="22"/>
      <c r="AA307" s="24"/>
      <c r="AB307" s="24"/>
      <c r="AC307" s="28"/>
      <c r="AD307" s="28"/>
      <c r="AE307" s="118">
        <v>10632007</v>
      </c>
      <c r="AF307" s="28"/>
      <c r="AG307" s="205" t="s">
        <v>115</v>
      </c>
      <c r="AH307" s="205" t="s">
        <v>1044</v>
      </c>
      <c r="AI307" s="205" t="s">
        <v>1045</v>
      </c>
      <c r="AJ307" s="24"/>
      <c r="AK307" s="24"/>
      <c r="AL307" s="24"/>
    </row>
    <row r="308" spans="1:38" ht="12.75" customHeight="1">
      <c r="A308" s="22">
        <v>306</v>
      </c>
      <c r="B308" s="206" t="s">
        <v>1046</v>
      </c>
      <c r="C308" s="24" t="s">
        <v>180</v>
      </c>
      <c r="D308" s="24" t="s">
        <v>1134</v>
      </c>
      <c r="E308" s="24"/>
      <c r="F308" s="24">
        <v>1</v>
      </c>
      <c r="G308" s="24" t="s">
        <v>1135</v>
      </c>
      <c r="H308" s="24"/>
      <c r="I308" s="136"/>
      <c r="J308" s="196"/>
      <c r="K308" s="204"/>
      <c r="L308" s="204"/>
      <c r="M308" s="204"/>
      <c r="N308" s="204" t="s">
        <v>1046</v>
      </c>
      <c r="O308" s="196"/>
      <c r="P308" s="24"/>
      <c r="Q308" s="204"/>
      <c r="R308" s="133"/>
      <c r="S308" s="204"/>
      <c r="T308" s="133"/>
      <c r="U308" s="136"/>
      <c r="V308" s="196"/>
      <c r="W308" s="24"/>
      <c r="X308" s="24"/>
      <c r="Y308" s="24"/>
      <c r="Z308" s="22"/>
      <c r="AA308" s="24"/>
      <c r="AB308" s="24"/>
      <c r="AC308" s="217"/>
      <c r="AD308" s="217"/>
      <c r="AE308" s="217"/>
      <c r="AF308" s="217"/>
      <c r="AG308" s="205" t="s">
        <v>115</v>
      </c>
      <c r="AH308" s="205" t="s">
        <v>1047</v>
      </c>
      <c r="AI308" s="205" t="s">
        <v>1048</v>
      </c>
      <c r="AJ308" s="24"/>
      <c r="AK308" s="24"/>
      <c r="AL308" s="24"/>
    </row>
    <row r="309" spans="1:38" ht="12.75" customHeight="1">
      <c r="A309" s="22">
        <v>307</v>
      </c>
      <c r="B309" s="206" t="s">
        <v>405</v>
      </c>
      <c r="C309" s="24" t="s">
        <v>180</v>
      </c>
      <c r="D309" s="24" t="s">
        <v>1134</v>
      </c>
      <c r="E309" s="24"/>
      <c r="F309" s="24">
        <v>1</v>
      </c>
      <c r="G309" s="24" t="s">
        <v>1135</v>
      </c>
      <c r="H309" s="24"/>
      <c r="I309" s="136"/>
      <c r="J309" s="196"/>
      <c r="K309" s="204"/>
      <c r="L309" s="204"/>
      <c r="M309" s="204"/>
      <c r="N309" s="204" t="s">
        <v>405</v>
      </c>
      <c r="O309" s="196"/>
      <c r="P309" s="24"/>
      <c r="Q309" s="204"/>
      <c r="R309" s="133"/>
      <c r="S309" s="204"/>
      <c r="T309" s="133"/>
      <c r="U309" s="136"/>
      <c r="V309" s="196"/>
      <c r="W309" s="24"/>
      <c r="X309" s="24"/>
      <c r="Y309" s="24"/>
      <c r="Z309" s="22"/>
      <c r="AA309" s="24"/>
      <c r="AB309" s="24"/>
      <c r="AC309" s="28"/>
      <c r="AD309" s="28"/>
      <c r="AE309" s="93" t="s">
        <v>745</v>
      </c>
      <c r="AF309" s="28"/>
      <c r="AG309" s="205" t="s">
        <v>115</v>
      </c>
      <c r="AH309" s="205" t="s">
        <v>406</v>
      </c>
      <c r="AI309" s="205" t="s">
        <v>407</v>
      </c>
      <c r="AJ309" s="24"/>
      <c r="AK309" s="24"/>
      <c r="AL309" s="24"/>
    </row>
    <row r="310" spans="1:38" ht="12.75" customHeight="1">
      <c r="A310" s="22">
        <v>308</v>
      </c>
      <c r="B310" s="206" t="s">
        <v>409</v>
      </c>
      <c r="C310" s="24" t="s">
        <v>96</v>
      </c>
      <c r="D310" s="24"/>
      <c r="E310" s="24"/>
      <c r="F310" s="24">
        <v>1</v>
      </c>
      <c r="G310" s="24" t="s">
        <v>1135</v>
      </c>
      <c r="H310" s="24"/>
      <c r="I310" s="136"/>
      <c r="J310" s="196" t="s">
        <v>409</v>
      </c>
      <c r="K310" s="204" t="s">
        <v>1149</v>
      </c>
      <c r="L310" s="204" t="s">
        <v>1050</v>
      </c>
      <c r="M310" s="204" t="s">
        <v>111</v>
      </c>
      <c r="N310" s="204"/>
      <c r="O310" s="196"/>
      <c r="P310" s="24"/>
      <c r="Q310" s="204"/>
      <c r="R310" s="133"/>
      <c r="S310" s="204" t="s">
        <v>208</v>
      </c>
      <c r="T310" s="204" t="s">
        <v>1151</v>
      </c>
      <c r="U310" s="136"/>
      <c r="V310" s="196" t="s">
        <v>115</v>
      </c>
      <c r="W310" s="24"/>
      <c r="X310" s="24"/>
      <c r="Y310" s="24"/>
      <c r="Z310" s="22"/>
      <c r="AA310" s="24"/>
      <c r="AB310" s="24"/>
      <c r="AC310" s="28"/>
      <c r="AD310" s="28"/>
      <c r="AE310" s="25"/>
      <c r="AF310" s="93" t="s">
        <v>1051</v>
      </c>
      <c r="AG310" s="205" t="s">
        <v>1052</v>
      </c>
      <c r="AH310" s="223" t="s">
        <v>415</v>
      </c>
      <c r="AI310" s="205" t="s">
        <v>416</v>
      </c>
      <c r="AJ310" s="24"/>
      <c r="AK310" s="24"/>
      <c r="AL310" s="24"/>
    </row>
    <row r="311" spans="1:38" ht="12.75" customHeight="1">
      <c r="A311" s="22">
        <v>309</v>
      </c>
      <c r="B311" s="206" t="s">
        <v>1153</v>
      </c>
      <c r="C311" s="24" t="s">
        <v>96</v>
      </c>
      <c r="D311" s="24"/>
      <c r="E311" s="24"/>
      <c r="F311" s="24">
        <v>1</v>
      </c>
      <c r="G311" s="24" t="s">
        <v>1135</v>
      </c>
      <c r="H311" s="24"/>
      <c r="I311" s="136"/>
      <c r="J311" s="196" t="s">
        <v>1153</v>
      </c>
      <c r="K311" s="204" t="s">
        <v>1154</v>
      </c>
      <c r="L311" s="204" t="s">
        <v>1155</v>
      </c>
      <c r="M311" s="204" t="s">
        <v>202</v>
      </c>
      <c r="N311" s="204"/>
      <c r="O311" s="196"/>
      <c r="P311" s="24"/>
      <c r="Q311" s="204"/>
      <c r="R311" s="133"/>
      <c r="S311" s="204" t="s">
        <v>208</v>
      </c>
      <c r="T311" s="224" t="s">
        <v>1156</v>
      </c>
      <c r="U311" s="136"/>
      <c r="V311" s="196" t="s">
        <v>115</v>
      </c>
      <c r="W311" s="24"/>
      <c r="X311" s="24"/>
      <c r="Y311" s="24"/>
      <c r="Z311" s="22"/>
      <c r="AA311" s="24"/>
      <c r="AB311" s="24"/>
      <c r="AC311" s="217"/>
      <c r="AD311" s="217"/>
      <c r="AE311" s="217"/>
      <c r="AF311" s="217"/>
      <c r="AG311" s="205" t="s">
        <v>1157</v>
      </c>
      <c r="AH311" s="223" t="s">
        <v>1159</v>
      </c>
      <c r="AI311" s="205" t="s">
        <v>1160</v>
      </c>
      <c r="AJ311" s="24"/>
      <c r="AK311" s="24"/>
      <c r="AL311" s="24"/>
    </row>
    <row r="312" spans="1:38" ht="12.75" customHeight="1">
      <c r="A312" s="22">
        <v>310</v>
      </c>
      <c r="B312" s="206" t="s">
        <v>113</v>
      </c>
      <c r="C312" s="24" t="s">
        <v>180</v>
      </c>
      <c r="D312" s="24" t="s">
        <v>1153</v>
      </c>
      <c r="E312" s="24"/>
      <c r="F312" s="24">
        <v>1</v>
      </c>
      <c r="G312" s="24" t="s">
        <v>1135</v>
      </c>
      <c r="H312" s="24"/>
      <c r="I312" s="136"/>
      <c r="J312" s="196"/>
      <c r="K312" s="204"/>
      <c r="L312" s="204"/>
      <c r="M312" s="204"/>
      <c r="N312" s="204" t="s">
        <v>113</v>
      </c>
      <c r="O312" s="196"/>
      <c r="P312" s="24"/>
      <c r="Q312" s="204"/>
      <c r="R312" s="133"/>
      <c r="S312" s="204"/>
      <c r="T312" s="225"/>
      <c r="U312" s="133"/>
      <c r="V312" s="196"/>
      <c r="W312" s="24"/>
      <c r="X312" s="24"/>
      <c r="Y312" s="24"/>
      <c r="Z312" s="22"/>
      <c r="AA312" s="24"/>
      <c r="AB312" s="24"/>
      <c r="AC312" s="28"/>
      <c r="AD312" s="28"/>
      <c r="AE312" s="113">
        <v>373066001</v>
      </c>
      <c r="AF312" s="28"/>
      <c r="AG312" s="205" t="s">
        <v>115</v>
      </c>
      <c r="AH312" s="223" t="s">
        <v>206</v>
      </c>
      <c r="AI312" s="205" t="s">
        <v>207</v>
      </c>
      <c r="AJ312" s="24"/>
      <c r="AK312" s="24"/>
      <c r="AL312" s="24"/>
    </row>
    <row r="313" spans="1:38" ht="12.75" customHeight="1">
      <c r="A313" s="22">
        <v>311</v>
      </c>
      <c r="B313" s="206" t="s">
        <v>208</v>
      </c>
      <c r="C313" s="24" t="s">
        <v>180</v>
      </c>
      <c r="D313" s="24" t="s">
        <v>1153</v>
      </c>
      <c r="E313" s="24"/>
      <c r="F313" s="24">
        <v>1</v>
      </c>
      <c r="G313" s="24" t="s">
        <v>1135</v>
      </c>
      <c r="H313" s="24"/>
      <c r="I313" s="136"/>
      <c r="J313" s="196"/>
      <c r="K313" s="204"/>
      <c r="L313" s="204"/>
      <c r="M313" s="204"/>
      <c r="N313" s="204" t="s">
        <v>208</v>
      </c>
      <c r="O313" s="196"/>
      <c r="P313" s="24"/>
      <c r="Q313" s="204"/>
      <c r="R313" s="133"/>
      <c r="S313" s="204"/>
      <c r="T313" s="133"/>
      <c r="U313" s="136"/>
      <c r="V313" s="196"/>
      <c r="W313" s="24"/>
      <c r="X313" s="24"/>
      <c r="Y313" s="24"/>
      <c r="Z313" s="22"/>
      <c r="AA313" s="24"/>
      <c r="AB313" s="24"/>
      <c r="AC313" s="28"/>
      <c r="AD313" s="28"/>
      <c r="AE313" s="113">
        <v>373067005</v>
      </c>
      <c r="AF313" s="28"/>
      <c r="AG313" s="205" t="s">
        <v>115</v>
      </c>
      <c r="AH313" s="223" t="s">
        <v>209</v>
      </c>
      <c r="AI313" s="205" t="s">
        <v>210</v>
      </c>
      <c r="AJ313" s="24"/>
      <c r="AK313" s="24"/>
      <c r="AL313" s="24"/>
    </row>
    <row r="314" spans="1:38" ht="12.75" customHeight="1">
      <c r="A314" s="22">
        <v>312</v>
      </c>
      <c r="B314" s="206" t="s">
        <v>1163</v>
      </c>
      <c r="C314" s="24" t="s">
        <v>96</v>
      </c>
      <c r="D314" s="24"/>
      <c r="E314" s="24"/>
      <c r="F314" s="24">
        <v>1</v>
      </c>
      <c r="G314" s="24" t="s">
        <v>1135</v>
      </c>
      <c r="H314" s="24"/>
      <c r="I314" s="136"/>
      <c r="J314" s="196" t="s">
        <v>1163</v>
      </c>
      <c r="K314" s="204" t="s">
        <v>1164</v>
      </c>
      <c r="L314" s="204" t="s">
        <v>1165</v>
      </c>
      <c r="M314" s="204" t="s">
        <v>202</v>
      </c>
      <c r="N314" s="204"/>
      <c r="O314" s="196"/>
      <c r="P314" s="24"/>
      <c r="Q314" s="204"/>
      <c r="R314" s="133"/>
      <c r="S314" s="204" t="s">
        <v>208</v>
      </c>
      <c r="T314" s="224" t="s">
        <v>1156</v>
      </c>
      <c r="U314" s="133"/>
      <c r="V314" s="196" t="s">
        <v>115</v>
      </c>
      <c r="W314" s="24"/>
      <c r="X314" s="24"/>
      <c r="Y314" s="24"/>
      <c r="Z314" s="22"/>
      <c r="AA314" s="24"/>
      <c r="AB314" s="24"/>
      <c r="AC314" s="217"/>
      <c r="AD314" s="217"/>
      <c r="AE314" s="217"/>
      <c r="AF314" s="217"/>
      <c r="AG314" s="205" t="s">
        <v>1157</v>
      </c>
      <c r="AH314" s="223" t="s">
        <v>1166</v>
      </c>
      <c r="AI314" s="205" t="s">
        <v>1167</v>
      </c>
      <c r="AJ314" s="24"/>
      <c r="AK314" s="24"/>
      <c r="AL314" s="24"/>
    </row>
    <row r="315" spans="1:38" ht="12.75" customHeight="1">
      <c r="A315" s="22">
        <v>313</v>
      </c>
      <c r="B315" s="206" t="s">
        <v>113</v>
      </c>
      <c r="C315" s="24" t="s">
        <v>180</v>
      </c>
      <c r="D315" s="24" t="s">
        <v>1163</v>
      </c>
      <c r="E315" s="24"/>
      <c r="F315" s="24">
        <v>1</v>
      </c>
      <c r="G315" s="24" t="s">
        <v>1135</v>
      </c>
      <c r="H315" s="24"/>
      <c r="I315" s="133"/>
      <c r="J315" s="196"/>
      <c r="K315" s="204"/>
      <c r="L315" s="204"/>
      <c r="M315" s="204"/>
      <c r="N315" s="204" t="s">
        <v>113</v>
      </c>
      <c r="O315" s="196"/>
      <c r="P315" s="24"/>
      <c r="Q315" s="204"/>
      <c r="R315" s="133"/>
      <c r="S315" s="204"/>
      <c r="T315" s="133"/>
      <c r="U315" s="133"/>
      <c r="V315" s="196"/>
      <c r="W315" s="24"/>
      <c r="X315" s="24"/>
      <c r="Y315" s="24"/>
      <c r="Z315" s="22"/>
      <c r="AA315" s="24"/>
      <c r="AB315" s="24"/>
      <c r="AC315" s="27"/>
      <c r="AD315" s="28"/>
      <c r="AE315" s="113">
        <v>373066001</v>
      </c>
      <c r="AF315" s="28"/>
      <c r="AG315" s="205" t="s">
        <v>115</v>
      </c>
      <c r="AH315" s="223" t="s">
        <v>206</v>
      </c>
      <c r="AI315" s="205" t="s">
        <v>207</v>
      </c>
      <c r="AJ315" s="24"/>
      <c r="AK315" s="24"/>
      <c r="AL315" s="24"/>
    </row>
    <row r="316" spans="1:38" ht="12.75" customHeight="1">
      <c r="A316" s="22">
        <v>314</v>
      </c>
      <c r="B316" s="206" t="s">
        <v>208</v>
      </c>
      <c r="C316" s="24" t="s">
        <v>180</v>
      </c>
      <c r="D316" s="24" t="s">
        <v>1163</v>
      </c>
      <c r="E316" s="24"/>
      <c r="F316" s="24">
        <v>1</v>
      </c>
      <c r="G316" s="24" t="s">
        <v>1135</v>
      </c>
      <c r="H316" s="24"/>
      <c r="I316" s="226"/>
      <c r="J316" s="196"/>
      <c r="K316" s="196"/>
      <c r="L316" s="196"/>
      <c r="M316" s="196"/>
      <c r="N316" s="196" t="s">
        <v>208</v>
      </c>
      <c r="O316" s="196"/>
      <c r="P316" s="24"/>
      <c r="Q316" s="196"/>
      <c r="R316" s="133"/>
      <c r="S316" s="196"/>
      <c r="T316" s="133"/>
      <c r="U316" s="133"/>
      <c r="V316" s="196"/>
      <c r="W316" s="24"/>
      <c r="X316" s="24"/>
      <c r="Y316" s="24"/>
      <c r="Z316" s="22"/>
      <c r="AA316" s="24"/>
      <c r="AB316" s="24"/>
      <c r="AC316" s="227"/>
      <c r="AD316" s="28"/>
      <c r="AE316" s="113">
        <v>373067005</v>
      </c>
      <c r="AF316" s="28"/>
      <c r="AG316" s="205" t="s">
        <v>115</v>
      </c>
      <c r="AH316" s="223" t="s">
        <v>209</v>
      </c>
      <c r="AI316" s="205" t="s">
        <v>210</v>
      </c>
      <c r="AJ316" s="24"/>
      <c r="AK316" s="24"/>
      <c r="AL316" s="24"/>
    </row>
    <row r="317" spans="1:38" ht="12.75" customHeight="1">
      <c r="A317" s="22">
        <v>315</v>
      </c>
      <c r="B317" s="206" t="s">
        <v>1169</v>
      </c>
      <c r="C317" s="24" t="s">
        <v>96</v>
      </c>
      <c r="D317" s="24"/>
      <c r="E317" s="24"/>
      <c r="F317" s="24">
        <v>1</v>
      </c>
      <c r="G317" s="24" t="s">
        <v>1135</v>
      </c>
      <c r="H317" s="24"/>
      <c r="I317" s="226"/>
      <c r="J317" s="204" t="s">
        <v>1169</v>
      </c>
      <c r="K317" s="204" t="s">
        <v>1170</v>
      </c>
      <c r="L317" s="204" t="s">
        <v>1171</v>
      </c>
      <c r="M317" s="204" t="s">
        <v>202</v>
      </c>
      <c r="N317" s="204"/>
      <c r="O317" s="196"/>
      <c r="P317" s="24"/>
      <c r="Q317" s="196"/>
      <c r="R317" s="133"/>
      <c r="S317" s="204" t="s">
        <v>208</v>
      </c>
      <c r="T317" s="133"/>
      <c r="U317" s="133"/>
      <c r="V317" s="196" t="s">
        <v>115</v>
      </c>
      <c r="W317" s="24"/>
      <c r="X317" s="24"/>
      <c r="Y317" s="24"/>
      <c r="Z317" s="22"/>
      <c r="AA317" s="24"/>
      <c r="AB317" s="24"/>
      <c r="AC317" s="227"/>
      <c r="AD317" s="25"/>
      <c r="AE317" s="27"/>
      <c r="AF317" s="27"/>
      <c r="AG317" s="205" t="s">
        <v>1173</v>
      </c>
      <c r="AH317" s="223" t="s">
        <v>1159</v>
      </c>
      <c r="AI317" s="205" t="s">
        <v>1160</v>
      </c>
      <c r="AJ317" s="24"/>
      <c r="AK317" s="24"/>
      <c r="AL317" s="24"/>
    </row>
    <row r="318" spans="1:38" ht="12.75" customHeight="1">
      <c r="A318" s="22">
        <v>316</v>
      </c>
      <c r="B318" s="206" t="s">
        <v>113</v>
      </c>
      <c r="C318" s="24" t="s">
        <v>180</v>
      </c>
      <c r="D318" s="24" t="s">
        <v>1169</v>
      </c>
      <c r="E318" s="24"/>
      <c r="F318" s="24">
        <v>1</v>
      </c>
      <c r="G318" s="24" t="s">
        <v>1135</v>
      </c>
      <c r="H318" s="24"/>
      <c r="I318" s="226"/>
      <c r="J318" s="204"/>
      <c r="K318" s="204"/>
      <c r="L318" s="204"/>
      <c r="M318" s="204"/>
      <c r="N318" s="204" t="s">
        <v>113</v>
      </c>
      <c r="O318" s="196"/>
      <c r="P318" s="24"/>
      <c r="Q318" s="196"/>
      <c r="R318" s="133"/>
      <c r="S318" s="204"/>
      <c r="T318" s="133"/>
      <c r="U318" s="133"/>
      <c r="V318" s="196"/>
      <c r="W318" s="24"/>
      <c r="X318" s="24"/>
      <c r="Y318" s="24"/>
      <c r="Z318" s="22"/>
      <c r="AA318" s="24"/>
      <c r="AB318" s="24"/>
      <c r="AC318" s="227"/>
      <c r="AD318" s="25"/>
      <c r="AE318" s="113">
        <v>373066001</v>
      </c>
      <c r="AF318" s="28"/>
      <c r="AG318" s="205" t="s">
        <v>115</v>
      </c>
      <c r="AH318" s="223" t="s">
        <v>206</v>
      </c>
      <c r="AI318" s="205" t="s">
        <v>207</v>
      </c>
      <c r="AJ318" s="24"/>
      <c r="AK318" s="24"/>
      <c r="AL318" s="24"/>
    </row>
    <row r="319" spans="1:38" ht="12.75" customHeight="1">
      <c r="A319" s="22">
        <v>317</v>
      </c>
      <c r="B319" s="206" t="s">
        <v>208</v>
      </c>
      <c r="C319" s="24" t="s">
        <v>180</v>
      </c>
      <c r="D319" s="24" t="s">
        <v>1169</v>
      </c>
      <c r="E319" s="24"/>
      <c r="F319" s="24">
        <v>1</v>
      </c>
      <c r="G319" s="24" t="s">
        <v>1135</v>
      </c>
      <c r="H319" s="24"/>
      <c r="I319" s="226"/>
      <c r="J319" s="196"/>
      <c r="K319" s="196"/>
      <c r="L319" s="196"/>
      <c r="M319" s="196"/>
      <c r="N319" s="196" t="s">
        <v>208</v>
      </c>
      <c r="O319" s="196"/>
      <c r="P319" s="24"/>
      <c r="Q319" s="196"/>
      <c r="R319" s="133"/>
      <c r="S319" s="196"/>
      <c r="T319" s="133"/>
      <c r="U319" s="133"/>
      <c r="V319" s="196"/>
      <c r="W319" s="24"/>
      <c r="X319" s="24"/>
      <c r="Y319" s="24"/>
      <c r="Z319" s="22"/>
      <c r="AA319" s="24"/>
      <c r="AB319" s="24"/>
      <c r="AC319" s="227"/>
      <c r="AD319" s="25"/>
      <c r="AE319" s="113">
        <v>373067005</v>
      </c>
      <c r="AF319" s="28"/>
      <c r="AG319" s="205" t="s">
        <v>115</v>
      </c>
      <c r="AH319" s="223" t="s">
        <v>209</v>
      </c>
      <c r="AI319" s="205" t="s">
        <v>210</v>
      </c>
      <c r="AJ319" s="24"/>
      <c r="AK319" s="24"/>
      <c r="AL319" s="24"/>
    </row>
    <row r="320" spans="1:38" ht="12.75" customHeight="1">
      <c r="A320" s="22">
        <v>318</v>
      </c>
      <c r="B320" s="206" t="s">
        <v>1175</v>
      </c>
      <c r="C320" s="24" t="s">
        <v>96</v>
      </c>
      <c r="D320" s="24"/>
      <c r="E320" s="24"/>
      <c r="F320" s="24">
        <v>1</v>
      </c>
      <c r="G320" s="24" t="s">
        <v>1135</v>
      </c>
      <c r="H320" s="24"/>
      <c r="I320" s="226"/>
      <c r="J320" s="196" t="s">
        <v>1175</v>
      </c>
      <c r="K320" s="204" t="s">
        <v>1176</v>
      </c>
      <c r="L320" s="204" t="s">
        <v>1177</v>
      </c>
      <c r="M320" s="204" t="s">
        <v>202</v>
      </c>
      <c r="N320" s="204"/>
      <c r="O320" s="196"/>
      <c r="P320" s="24"/>
      <c r="Q320" s="204"/>
      <c r="R320" s="133"/>
      <c r="S320" s="204" t="s">
        <v>208</v>
      </c>
      <c r="T320" s="133"/>
      <c r="U320" s="133"/>
      <c r="V320" s="196" t="s">
        <v>115</v>
      </c>
      <c r="W320" s="24"/>
      <c r="X320" s="24"/>
      <c r="Y320" s="24"/>
      <c r="Z320" s="22"/>
      <c r="AA320" s="24"/>
      <c r="AB320" s="24"/>
      <c r="AC320" s="228"/>
      <c r="AD320" s="120"/>
      <c r="AE320" s="217"/>
      <c r="AF320" s="217"/>
      <c r="AG320" s="205" t="s">
        <v>1173</v>
      </c>
      <c r="AH320" s="223" t="s">
        <v>1166</v>
      </c>
      <c r="AI320" s="205" t="s">
        <v>1167</v>
      </c>
      <c r="AJ320" s="24"/>
      <c r="AK320" s="24"/>
      <c r="AL320" s="24"/>
    </row>
    <row r="321" spans="1:38" ht="12.75" customHeight="1">
      <c r="A321" s="22">
        <v>319</v>
      </c>
      <c r="B321" s="206" t="s">
        <v>113</v>
      </c>
      <c r="C321" s="24" t="s">
        <v>180</v>
      </c>
      <c r="D321" s="24" t="s">
        <v>1175</v>
      </c>
      <c r="E321" s="24"/>
      <c r="F321" s="24">
        <v>1</v>
      </c>
      <c r="G321" s="24" t="s">
        <v>1135</v>
      </c>
      <c r="H321" s="24"/>
      <c r="I321" s="226"/>
      <c r="J321" s="196"/>
      <c r="K321" s="204"/>
      <c r="L321" s="204"/>
      <c r="M321" s="204"/>
      <c r="N321" s="204" t="s">
        <v>113</v>
      </c>
      <c r="O321" s="196"/>
      <c r="P321" s="24"/>
      <c r="Q321" s="204"/>
      <c r="R321" s="133"/>
      <c r="S321" s="204"/>
      <c r="T321" s="133"/>
      <c r="U321" s="133"/>
      <c r="V321" s="196"/>
      <c r="W321" s="24"/>
      <c r="X321" s="24"/>
      <c r="Y321" s="24"/>
      <c r="Z321" s="22"/>
      <c r="AA321" s="24"/>
      <c r="AB321" s="24"/>
      <c r="AC321" s="227"/>
      <c r="AD321" s="25"/>
      <c r="AE321" s="113">
        <v>373066001</v>
      </c>
      <c r="AF321" s="28"/>
      <c r="AG321" s="205" t="s">
        <v>115</v>
      </c>
      <c r="AH321" s="223" t="s">
        <v>206</v>
      </c>
      <c r="AI321" s="205" t="s">
        <v>207</v>
      </c>
      <c r="AJ321" s="24"/>
      <c r="AK321" s="24"/>
      <c r="AL321" s="24"/>
    </row>
    <row r="322" spans="1:38" ht="12.75" customHeight="1">
      <c r="A322" s="22">
        <v>320</v>
      </c>
      <c r="B322" s="206" t="s">
        <v>208</v>
      </c>
      <c r="C322" s="24" t="s">
        <v>180</v>
      </c>
      <c r="D322" s="24" t="s">
        <v>1175</v>
      </c>
      <c r="E322" s="24"/>
      <c r="F322" s="24">
        <v>1</v>
      </c>
      <c r="G322" s="24" t="s">
        <v>1135</v>
      </c>
      <c r="H322" s="24"/>
      <c r="I322" s="226"/>
      <c r="J322" s="196"/>
      <c r="K322" s="196"/>
      <c r="L322" s="196"/>
      <c r="M322" s="196"/>
      <c r="N322" s="196" t="s">
        <v>208</v>
      </c>
      <c r="O322" s="196"/>
      <c r="P322" s="24"/>
      <c r="Q322" s="196"/>
      <c r="R322" s="133"/>
      <c r="S322" s="196"/>
      <c r="T322" s="133"/>
      <c r="U322" s="133"/>
      <c r="V322" s="196"/>
      <c r="W322" s="24"/>
      <c r="X322" s="24"/>
      <c r="Y322" s="24"/>
      <c r="Z322" s="22"/>
      <c r="AA322" s="24"/>
      <c r="AB322" s="24"/>
      <c r="AC322" s="227"/>
      <c r="AD322" s="25"/>
      <c r="AE322" s="113">
        <v>373067005</v>
      </c>
      <c r="AF322" s="28"/>
      <c r="AG322" s="205" t="s">
        <v>115</v>
      </c>
      <c r="AH322" s="223" t="s">
        <v>209</v>
      </c>
      <c r="AI322" s="205" t="s">
        <v>210</v>
      </c>
      <c r="AJ322" s="24"/>
      <c r="AK322" s="24"/>
      <c r="AL322" s="24"/>
    </row>
    <row r="323" spans="1:38" ht="12.75" customHeight="1">
      <c r="A323" s="22">
        <v>321</v>
      </c>
      <c r="B323" s="206" t="s">
        <v>1179</v>
      </c>
      <c r="C323" s="24" t="s">
        <v>96</v>
      </c>
      <c r="D323" s="24"/>
      <c r="E323" s="24"/>
      <c r="F323" s="24">
        <v>1</v>
      </c>
      <c r="G323" s="24" t="s">
        <v>1135</v>
      </c>
      <c r="H323" s="24"/>
      <c r="I323" s="226"/>
      <c r="J323" s="196" t="s">
        <v>1179</v>
      </c>
      <c r="K323" s="204" t="s">
        <v>1180</v>
      </c>
      <c r="L323" s="204" t="s">
        <v>1181</v>
      </c>
      <c r="M323" s="204" t="s">
        <v>202</v>
      </c>
      <c r="N323" s="204"/>
      <c r="O323" s="196"/>
      <c r="P323" s="24"/>
      <c r="Q323" s="204"/>
      <c r="R323" s="226"/>
      <c r="S323" s="204" t="s">
        <v>208</v>
      </c>
      <c r="T323" s="229"/>
      <c r="U323" s="229"/>
      <c r="V323" s="196" t="s">
        <v>115</v>
      </c>
      <c r="W323" s="24"/>
      <c r="X323" s="24"/>
      <c r="Y323" s="24"/>
      <c r="Z323" s="22"/>
      <c r="AA323" s="24"/>
      <c r="AB323" s="24"/>
      <c r="AC323" s="228"/>
      <c r="AD323" s="120"/>
      <c r="AE323" s="217"/>
      <c r="AF323" s="217"/>
      <c r="AG323" s="205" t="s">
        <v>1183</v>
      </c>
      <c r="AH323" s="223" t="s">
        <v>1159</v>
      </c>
      <c r="AI323" s="205" t="s">
        <v>1160</v>
      </c>
      <c r="AJ323" s="24"/>
      <c r="AK323" s="24"/>
      <c r="AL323" s="24"/>
    </row>
    <row r="324" spans="1:38" ht="12.75" customHeight="1">
      <c r="A324" s="22">
        <v>322</v>
      </c>
      <c r="B324" s="206" t="s">
        <v>113</v>
      </c>
      <c r="C324" s="24" t="s">
        <v>180</v>
      </c>
      <c r="D324" s="24" t="s">
        <v>1179</v>
      </c>
      <c r="E324" s="24"/>
      <c r="F324" s="24">
        <v>1</v>
      </c>
      <c r="G324" s="24" t="s">
        <v>1135</v>
      </c>
      <c r="H324" s="24"/>
      <c r="I324" s="226"/>
      <c r="J324" s="196"/>
      <c r="K324" s="196"/>
      <c r="L324" s="196"/>
      <c r="M324" s="196"/>
      <c r="N324" s="204" t="s">
        <v>113</v>
      </c>
      <c r="O324" s="196"/>
      <c r="P324" s="24"/>
      <c r="Q324" s="196"/>
      <c r="R324" s="230"/>
      <c r="S324" s="196"/>
      <c r="T324" s="229"/>
      <c r="U324" s="229"/>
      <c r="V324" s="196"/>
      <c r="W324" s="24"/>
      <c r="X324" s="24"/>
      <c r="Y324" s="24"/>
      <c r="Z324" s="22"/>
      <c r="AA324" s="24"/>
      <c r="AB324" s="24"/>
      <c r="AC324" s="227"/>
      <c r="AD324" s="25"/>
      <c r="AE324" s="113">
        <v>373066001</v>
      </c>
      <c r="AF324" s="28"/>
      <c r="AG324" s="205" t="s">
        <v>115</v>
      </c>
      <c r="AH324" s="223" t="s">
        <v>206</v>
      </c>
      <c r="AI324" s="205" t="s">
        <v>207</v>
      </c>
      <c r="AJ324" s="24"/>
      <c r="AK324" s="24"/>
      <c r="AL324" s="24"/>
    </row>
    <row r="325" spans="1:38" ht="12.75" customHeight="1">
      <c r="A325" s="22">
        <v>323</v>
      </c>
      <c r="B325" s="206" t="s">
        <v>208</v>
      </c>
      <c r="C325" s="24" t="s">
        <v>180</v>
      </c>
      <c r="D325" s="24" t="s">
        <v>1179</v>
      </c>
      <c r="E325" s="24"/>
      <c r="F325" s="24">
        <v>1</v>
      </c>
      <c r="G325" s="24" t="s">
        <v>1135</v>
      </c>
      <c r="H325" s="24"/>
      <c r="I325" s="226"/>
      <c r="J325" s="196"/>
      <c r="K325" s="196"/>
      <c r="L325" s="196"/>
      <c r="M325" s="196"/>
      <c r="N325" s="196" t="s">
        <v>208</v>
      </c>
      <c r="O325" s="196"/>
      <c r="P325" s="24"/>
      <c r="Q325" s="196"/>
      <c r="R325" s="230"/>
      <c r="S325" s="196"/>
      <c r="T325" s="229"/>
      <c r="U325" s="229"/>
      <c r="V325" s="196"/>
      <c r="W325" s="24"/>
      <c r="X325" s="24"/>
      <c r="Y325" s="24"/>
      <c r="Z325" s="22"/>
      <c r="AA325" s="24"/>
      <c r="AB325" s="24"/>
      <c r="AC325" s="227"/>
      <c r="AD325" s="25"/>
      <c r="AE325" s="113">
        <v>373067005</v>
      </c>
      <c r="AF325" s="28"/>
      <c r="AG325" s="205" t="s">
        <v>115</v>
      </c>
      <c r="AH325" s="223" t="s">
        <v>209</v>
      </c>
      <c r="AI325" s="205" t="s">
        <v>210</v>
      </c>
      <c r="AJ325" s="24"/>
      <c r="AK325" s="24"/>
      <c r="AL325" s="24"/>
    </row>
    <row r="326" spans="1:38" ht="12.75" customHeight="1">
      <c r="A326" s="22">
        <v>324</v>
      </c>
      <c r="B326" s="206" t="s">
        <v>1184</v>
      </c>
      <c r="C326" s="24" t="s">
        <v>96</v>
      </c>
      <c r="D326" s="24"/>
      <c r="E326" s="24"/>
      <c r="F326" s="24">
        <v>1</v>
      </c>
      <c r="G326" s="24" t="s">
        <v>1135</v>
      </c>
      <c r="H326" s="24"/>
      <c r="I326" s="226"/>
      <c r="J326" s="204" t="s">
        <v>1184</v>
      </c>
      <c r="K326" s="204" t="s">
        <v>1185</v>
      </c>
      <c r="L326" s="204" t="s">
        <v>1186</v>
      </c>
      <c r="M326" s="204" t="s">
        <v>202</v>
      </c>
      <c r="N326" s="204"/>
      <c r="O326" s="196"/>
      <c r="P326" s="24"/>
      <c r="Q326" s="196"/>
      <c r="R326" s="230"/>
      <c r="S326" s="204" t="s">
        <v>208</v>
      </c>
      <c r="T326" s="229"/>
      <c r="U326" s="229"/>
      <c r="V326" s="196" t="s">
        <v>115</v>
      </c>
      <c r="W326" s="24"/>
      <c r="X326" s="24"/>
      <c r="Y326" s="24"/>
      <c r="Z326" s="22"/>
      <c r="AA326" s="24"/>
      <c r="AB326" s="24"/>
      <c r="AC326" s="228"/>
      <c r="AD326" s="120"/>
      <c r="AE326" s="217"/>
      <c r="AF326" s="217"/>
      <c r="AG326" s="205" t="s">
        <v>1187</v>
      </c>
      <c r="AH326" s="223" t="s">
        <v>1159</v>
      </c>
      <c r="AI326" s="205" t="s">
        <v>1160</v>
      </c>
      <c r="AJ326" s="24"/>
      <c r="AK326" s="24"/>
      <c r="AL326" s="24"/>
    </row>
    <row r="327" spans="1:38" ht="12.75" customHeight="1">
      <c r="A327" s="22">
        <v>325</v>
      </c>
      <c r="B327" s="206" t="s">
        <v>113</v>
      </c>
      <c r="C327" s="24" t="s">
        <v>180</v>
      </c>
      <c r="D327" s="24" t="s">
        <v>1184</v>
      </c>
      <c r="E327" s="24"/>
      <c r="F327" s="24">
        <v>1</v>
      </c>
      <c r="G327" s="24" t="s">
        <v>1135</v>
      </c>
      <c r="H327" s="24"/>
      <c r="I327" s="226"/>
      <c r="J327" s="196"/>
      <c r="K327" s="196"/>
      <c r="L327" s="196"/>
      <c r="M327" s="196"/>
      <c r="N327" s="204" t="s">
        <v>113</v>
      </c>
      <c r="O327" s="196"/>
      <c r="P327" s="24"/>
      <c r="Q327" s="196"/>
      <c r="R327" s="230"/>
      <c r="S327" s="196"/>
      <c r="T327" s="229"/>
      <c r="U327" s="229"/>
      <c r="V327" s="196"/>
      <c r="W327" s="24"/>
      <c r="X327" s="24"/>
      <c r="Y327" s="24"/>
      <c r="Z327" s="22"/>
      <c r="AA327" s="24"/>
      <c r="AB327" s="24"/>
      <c r="AC327" s="227"/>
      <c r="AD327" s="25"/>
      <c r="AE327" s="113">
        <v>373066001</v>
      </c>
      <c r="AF327" s="28"/>
      <c r="AG327" s="205" t="s">
        <v>115</v>
      </c>
      <c r="AH327" s="223" t="s">
        <v>206</v>
      </c>
      <c r="AI327" s="205" t="s">
        <v>207</v>
      </c>
      <c r="AJ327" s="24"/>
      <c r="AK327" s="24"/>
      <c r="AL327" s="24"/>
    </row>
    <row r="328" spans="1:38" ht="12.75" customHeight="1">
      <c r="A328" s="22">
        <v>326</v>
      </c>
      <c r="B328" s="206" t="s">
        <v>208</v>
      </c>
      <c r="C328" s="24" t="s">
        <v>180</v>
      </c>
      <c r="D328" s="24" t="s">
        <v>1184</v>
      </c>
      <c r="E328" s="24"/>
      <c r="F328" s="24">
        <v>1</v>
      </c>
      <c r="G328" s="24" t="s">
        <v>1135</v>
      </c>
      <c r="H328" s="24"/>
      <c r="I328" s="226"/>
      <c r="J328" s="196"/>
      <c r="K328" s="196"/>
      <c r="L328" s="196"/>
      <c r="M328" s="196"/>
      <c r="N328" s="196" t="s">
        <v>208</v>
      </c>
      <c r="O328" s="196"/>
      <c r="P328" s="24"/>
      <c r="Q328" s="196"/>
      <c r="R328" s="230"/>
      <c r="S328" s="196"/>
      <c r="T328" s="229"/>
      <c r="U328" s="229"/>
      <c r="V328" s="196"/>
      <c r="W328" s="24"/>
      <c r="X328" s="24"/>
      <c r="Y328" s="24"/>
      <c r="Z328" s="22"/>
      <c r="AA328" s="24"/>
      <c r="AB328" s="24"/>
      <c r="AC328" s="227"/>
      <c r="AD328" s="25"/>
      <c r="AE328" s="113">
        <v>373067005</v>
      </c>
      <c r="AF328" s="28"/>
      <c r="AG328" s="205" t="s">
        <v>115</v>
      </c>
      <c r="AH328" s="223" t="s">
        <v>209</v>
      </c>
      <c r="AI328" s="205" t="s">
        <v>210</v>
      </c>
      <c r="AJ328" s="24"/>
      <c r="AK328" s="24"/>
      <c r="AL328" s="24"/>
    </row>
    <row r="329" spans="1:38" ht="12.75" customHeight="1">
      <c r="A329" s="22">
        <v>327</v>
      </c>
      <c r="B329" s="206" t="s">
        <v>1188</v>
      </c>
      <c r="C329" s="24" t="s">
        <v>96</v>
      </c>
      <c r="D329" s="24"/>
      <c r="E329" s="24"/>
      <c r="F329" s="24">
        <v>1</v>
      </c>
      <c r="G329" s="24" t="s">
        <v>1135</v>
      </c>
      <c r="H329" s="24"/>
      <c r="I329" s="226"/>
      <c r="J329" s="196" t="s">
        <v>1188</v>
      </c>
      <c r="K329" s="204" t="s">
        <v>1189</v>
      </c>
      <c r="L329" s="204" t="s">
        <v>1190</v>
      </c>
      <c r="M329" s="204" t="s">
        <v>202</v>
      </c>
      <c r="N329" s="204"/>
      <c r="O329" s="196"/>
      <c r="P329" s="24"/>
      <c r="Q329" s="196"/>
      <c r="R329" s="230"/>
      <c r="S329" s="204" t="s">
        <v>208</v>
      </c>
      <c r="T329" s="229"/>
      <c r="U329" s="229"/>
      <c r="V329" s="196" t="s">
        <v>115</v>
      </c>
      <c r="W329" s="24"/>
      <c r="X329" s="24"/>
      <c r="Y329" s="24"/>
      <c r="Z329" s="22"/>
      <c r="AA329" s="24"/>
      <c r="AB329" s="24"/>
      <c r="AC329" s="228"/>
      <c r="AD329" s="120"/>
      <c r="AE329" s="217"/>
      <c r="AF329" s="217"/>
      <c r="AG329" s="205" t="s">
        <v>1191</v>
      </c>
      <c r="AH329" s="223" t="s">
        <v>1159</v>
      </c>
      <c r="AI329" s="205" t="s">
        <v>1160</v>
      </c>
      <c r="AJ329" s="24"/>
      <c r="AK329" s="24"/>
      <c r="AL329" s="24"/>
    </row>
    <row r="330" spans="1:38" ht="12.75" customHeight="1">
      <c r="A330" s="22">
        <v>328</v>
      </c>
      <c r="B330" s="206" t="s">
        <v>113</v>
      </c>
      <c r="C330" s="24" t="s">
        <v>180</v>
      </c>
      <c r="D330" s="24" t="s">
        <v>1188</v>
      </c>
      <c r="E330" s="24"/>
      <c r="F330" s="24">
        <v>1</v>
      </c>
      <c r="G330" s="24" t="s">
        <v>1135</v>
      </c>
      <c r="H330" s="24"/>
      <c r="I330" s="226"/>
      <c r="J330" s="196"/>
      <c r="K330" s="196"/>
      <c r="L330" s="196"/>
      <c r="M330" s="196"/>
      <c r="N330" s="204" t="s">
        <v>113</v>
      </c>
      <c r="O330" s="196"/>
      <c r="P330" s="24"/>
      <c r="Q330" s="196"/>
      <c r="R330" s="230"/>
      <c r="S330" s="196"/>
      <c r="T330" s="229"/>
      <c r="U330" s="229"/>
      <c r="V330" s="196"/>
      <c r="W330" s="24"/>
      <c r="X330" s="24"/>
      <c r="Y330" s="24"/>
      <c r="Z330" s="22"/>
      <c r="AA330" s="24"/>
      <c r="AB330" s="24"/>
      <c r="AC330" s="227"/>
      <c r="AD330" s="25"/>
      <c r="AE330" s="113">
        <v>373066001</v>
      </c>
      <c r="AF330" s="28"/>
      <c r="AG330" s="205" t="s">
        <v>115</v>
      </c>
      <c r="AH330" s="223" t="s">
        <v>206</v>
      </c>
      <c r="AI330" s="205" t="s">
        <v>207</v>
      </c>
      <c r="AJ330" s="24"/>
      <c r="AK330" s="24"/>
      <c r="AL330" s="24"/>
    </row>
    <row r="331" spans="1:38" ht="12.75" customHeight="1">
      <c r="A331" s="22">
        <v>329</v>
      </c>
      <c r="B331" s="206" t="s">
        <v>208</v>
      </c>
      <c r="C331" s="24" t="s">
        <v>180</v>
      </c>
      <c r="D331" s="24" t="s">
        <v>1188</v>
      </c>
      <c r="E331" s="24"/>
      <c r="F331" s="24">
        <v>1</v>
      </c>
      <c r="G331" s="24" t="s">
        <v>1135</v>
      </c>
      <c r="H331" s="24"/>
      <c r="I331" s="226"/>
      <c r="J331" s="196"/>
      <c r="K331" s="196"/>
      <c r="L331" s="196"/>
      <c r="M331" s="196"/>
      <c r="N331" s="196" t="s">
        <v>208</v>
      </c>
      <c r="O331" s="196"/>
      <c r="P331" s="24"/>
      <c r="Q331" s="196"/>
      <c r="R331" s="230"/>
      <c r="S331" s="196"/>
      <c r="T331" s="229"/>
      <c r="U331" s="229"/>
      <c r="V331" s="196"/>
      <c r="W331" s="24"/>
      <c r="X331" s="24"/>
      <c r="Y331" s="24"/>
      <c r="Z331" s="22"/>
      <c r="AA331" s="24"/>
      <c r="AB331" s="24"/>
      <c r="AC331" s="227"/>
      <c r="AD331" s="25"/>
      <c r="AE331" s="113">
        <v>373067005</v>
      </c>
      <c r="AF331" s="28"/>
      <c r="AG331" s="205" t="s">
        <v>115</v>
      </c>
      <c r="AH331" s="223" t="s">
        <v>209</v>
      </c>
      <c r="AI331" s="205" t="s">
        <v>210</v>
      </c>
      <c r="AJ331" s="24"/>
      <c r="AK331" s="24"/>
      <c r="AL331" s="24"/>
    </row>
    <row r="332" spans="1:38" ht="12.75" customHeight="1">
      <c r="A332" s="22">
        <v>330</v>
      </c>
      <c r="B332" s="206" t="s">
        <v>1194</v>
      </c>
      <c r="C332" s="24" t="s">
        <v>96</v>
      </c>
      <c r="D332" s="24"/>
      <c r="E332" s="24" t="s">
        <v>1195</v>
      </c>
      <c r="F332" s="24">
        <v>1</v>
      </c>
      <c r="G332" s="24" t="s">
        <v>1135</v>
      </c>
      <c r="H332" s="24"/>
      <c r="I332" s="226"/>
      <c r="J332" s="204" t="s">
        <v>1194</v>
      </c>
      <c r="K332" s="204" t="s">
        <v>1196</v>
      </c>
      <c r="L332" s="204" t="s">
        <v>1197</v>
      </c>
      <c r="M332" s="204" t="s">
        <v>238</v>
      </c>
      <c r="N332" s="196"/>
      <c r="O332" s="196"/>
      <c r="P332" s="24"/>
      <c r="Q332" s="204" t="s">
        <v>1109</v>
      </c>
      <c r="R332" s="230"/>
      <c r="S332" s="204" t="s">
        <v>113</v>
      </c>
      <c r="T332" s="229"/>
      <c r="U332" s="229"/>
      <c r="V332" s="204" t="s">
        <v>115</v>
      </c>
      <c r="W332" s="24"/>
      <c r="X332" s="24"/>
      <c r="Y332" s="24"/>
      <c r="Z332" s="22"/>
      <c r="AA332" s="24"/>
      <c r="AB332" s="24"/>
      <c r="AC332" s="228"/>
      <c r="AD332" s="120"/>
      <c r="AE332" s="217"/>
      <c r="AF332" s="217"/>
      <c r="AG332" s="205" t="s">
        <v>115</v>
      </c>
      <c r="AH332" s="205" t="s">
        <v>1198</v>
      </c>
      <c r="AI332" s="205" t="s">
        <v>1199</v>
      </c>
      <c r="AJ332" s="24"/>
      <c r="AK332" s="24"/>
      <c r="AL332" s="24"/>
    </row>
    <row r="333" spans="1:38" ht="12.75" customHeight="1">
      <c r="A333" s="22">
        <v>331</v>
      </c>
      <c r="B333" s="206" t="s">
        <v>423</v>
      </c>
      <c r="C333" s="24" t="s">
        <v>180</v>
      </c>
      <c r="D333" s="24" t="s">
        <v>1194</v>
      </c>
      <c r="E333" s="24" t="s">
        <v>1195</v>
      </c>
      <c r="F333" s="24">
        <v>1</v>
      </c>
      <c r="G333" s="24" t="s">
        <v>1135</v>
      </c>
      <c r="H333" s="24"/>
      <c r="I333" s="226"/>
      <c r="J333" s="204"/>
      <c r="K333" s="204"/>
      <c r="L333" s="204"/>
      <c r="M333" s="204"/>
      <c r="N333" s="196" t="s">
        <v>423</v>
      </c>
      <c r="O333" s="196"/>
      <c r="P333" s="24"/>
      <c r="Q333" s="204"/>
      <c r="R333" s="230"/>
      <c r="S333" s="204"/>
      <c r="T333" s="229"/>
      <c r="U333" s="229"/>
      <c r="V333" s="204"/>
      <c r="W333" s="24"/>
      <c r="X333" s="24"/>
      <c r="Y333" s="24"/>
      <c r="Z333" s="22"/>
      <c r="AA333" s="24"/>
      <c r="AB333" s="24"/>
      <c r="AC333" s="227"/>
      <c r="AD333" s="227"/>
      <c r="AE333" s="231">
        <v>260413007</v>
      </c>
      <c r="AF333" s="227"/>
      <c r="AG333" s="205" t="s">
        <v>115</v>
      </c>
      <c r="AH333" s="205" t="s">
        <v>424</v>
      </c>
      <c r="AI333" s="205" t="s">
        <v>425</v>
      </c>
      <c r="AJ333" s="24"/>
      <c r="AK333" s="24"/>
      <c r="AL333" s="24"/>
    </row>
    <row r="334" spans="1:38" ht="12.75" customHeight="1">
      <c r="A334" s="22">
        <v>332</v>
      </c>
      <c r="B334" s="206" t="s">
        <v>1200</v>
      </c>
      <c r="C334" s="24" t="s">
        <v>180</v>
      </c>
      <c r="D334" s="24" t="s">
        <v>1194</v>
      </c>
      <c r="E334" s="24" t="s">
        <v>1195</v>
      </c>
      <c r="F334" s="24">
        <v>1</v>
      </c>
      <c r="G334" s="24" t="s">
        <v>1135</v>
      </c>
      <c r="H334" s="24"/>
      <c r="I334" s="226"/>
      <c r="J334" s="196"/>
      <c r="K334" s="196"/>
      <c r="L334" s="196"/>
      <c r="M334" s="196"/>
      <c r="N334" s="204" t="s">
        <v>1200</v>
      </c>
      <c r="O334" s="196"/>
      <c r="P334" s="24"/>
      <c r="Q334" s="196"/>
      <c r="R334" s="230"/>
      <c r="S334" s="196"/>
      <c r="T334" s="229"/>
      <c r="U334" s="229"/>
      <c r="V334" s="196"/>
      <c r="W334" s="24"/>
      <c r="X334" s="24"/>
      <c r="Y334" s="24"/>
      <c r="Z334" s="22"/>
      <c r="AA334" s="24"/>
      <c r="AB334" s="24"/>
      <c r="AC334" s="227"/>
      <c r="AD334" s="227"/>
      <c r="AE334" s="227"/>
      <c r="AF334" s="227"/>
      <c r="AG334" s="205" t="s">
        <v>115</v>
      </c>
      <c r="AH334" s="205" t="s">
        <v>1201</v>
      </c>
      <c r="AI334" s="205" t="s">
        <v>1202</v>
      </c>
      <c r="AJ334" s="24"/>
      <c r="AK334" s="24"/>
      <c r="AL334" s="24"/>
    </row>
    <row r="335" spans="1:38" ht="12.75" customHeight="1">
      <c r="A335" s="22">
        <v>333</v>
      </c>
      <c r="B335" s="206" t="s">
        <v>1204</v>
      </c>
      <c r="C335" s="24" t="s">
        <v>180</v>
      </c>
      <c r="D335" s="24" t="s">
        <v>1194</v>
      </c>
      <c r="E335" s="24" t="s">
        <v>1195</v>
      </c>
      <c r="F335" s="24">
        <v>1</v>
      </c>
      <c r="G335" s="24" t="s">
        <v>1135</v>
      </c>
      <c r="H335" s="24"/>
      <c r="I335" s="226"/>
      <c r="J335" s="196"/>
      <c r="K335" s="196"/>
      <c r="L335" s="196"/>
      <c r="M335" s="196"/>
      <c r="N335" s="204" t="s">
        <v>1204</v>
      </c>
      <c r="O335" s="196"/>
      <c r="P335" s="24"/>
      <c r="Q335" s="196"/>
      <c r="R335" s="230"/>
      <c r="S335" s="196"/>
      <c r="T335" s="229"/>
      <c r="U335" s="229"/>
      <c r="V335" s="196"/>
      <c r="W335" s="24"/>
      <c r="X335" s="24"/>
      <c r="Y335" s="24"/>
      <c r="Z335" s="22"/>
      <c r="AA335" s="24"/>
      <c r="AB335" s="24"/>
      <c r="AC335" s="231" t="s">
        <v>717</v>
      </c>
      <c r="AD335" s="227"/>
      <c r="AE335" s="231">
        <v>77176002</v>
      </c>
      <c r="AF335" s="227"/>
      <c r="AG335" s="205" t="s">
        <v>115</v>
      </c>
      <c r="AH335" s="205" t="s">
        <v>1205</v>
      </c>
      <c r="AI335" s="205" t="s">
        <v>1206</v>
      </c>
      <c r="AJ335" s="24"/>
      <c r="AK335" s="24"/>
      <c r="AL335" s="24"/>
    </row>
    <row r="336" spans="1:38" ht="12.75" customHeight="1">
      <c r="A336" s="22">
        <v>334</v>
      </c>
      <c r="B336" s="206" t="s">
        <v>1207</v>
      </c>
      <c r="C336" s="24" t="s">
        <v>180</v>
      </c>
      <c r="D336" s="24" t="s">
        <v>1194</v>
      </c>
      <c r="E336" s="24" t="s">
        <v>1195</v>
      </c>
      <c r="F336" s="24">
        <v>1</v>
      </c>
      <c r="G336" s="24" t="s">
        <v>1135</v>
      </c>
      <c r="H336" s="24"/>
      <c r="I336" s="226"/>
      <c r="J336" s="196"/>
      <c r="K336" s="196"/>
      <c r="L336" s="196"/>
      <c r="M336" s="196"/>
      <c r="N336" s="204" t="s">
        <v>1207</v>
      </c>
      <c r="O336" s="196"/>
      <c r="P336" s="24"/>
      <c r="Q336" s="196"/>
      <c r="R336" s="226"/>
      <c r="S336" s="196"/>
      <c r="T336" s="229"/>
      <c r="U336" s="229"/>
      <c r="V336" s="196"/>
      <c r="W336" s="24"/>
      <c r="X336" s="24"/>
      <c r="Y336" s="24"/>
      <c r="Z336" s="22"/>
      <c r="AA336" s="24"/>
      <c r="AB336" s="24"/>
      <c r="AC336" s="232" t="s">
        <v>1208</v>
      </c>
      <c r="AD336" s="227"/>
      <c r="AE336" s="231">
        <v>43381005</v>
      </c>
      <c r="AF336" s="227"/>
      <c r="AG336" s="205" t="s">
        <v>115</v>
      </c>
      <c r="AH336" s="205" t="s">
        <v>1091</v>
      </c>
      <c r="AI336" s="205" t="s">
        <v>1092</v>
      </c>
      <c r="AJ336" s="24"/>
      <c r="AK336" s="24"/>
      <c r="AL336" s="24"/>
    </row>
    <row r="337" spans="1:38" ht="12.75" customHeight="1">
      <c r="A337" s="22">
        <v>335</v>
      </c>
      <c r="B337" s="206" t="s">
        <v>1209</v>
      </c>
      <c r="C337" s="24" t="s">
        <v>180</v>
      </c>
      <c r="D337" s="24" t="s">
        <v>1194</v>
      </c>
      <c r="E337" s="24" t="s">
        <v>1195</v>
      </c>
      <c r="F337" s="24">
        <v>1</v>
      </c>
      <c r="G337" s="24" t="s">
        <v>1135</v>
      </c>
      <c r="H337" s="24"/>
      <c r="I337" s="226"/>
      <c r="J337" s="196"/>
      <c r="K337" s="196"/>
      <c r="L337" s="196"/>
      <c r="M337" s="196"/>
      <c r="N337" s="204" t="s">
        <v>1209</v>
      </c>
      <c r="O337" s="196"/>
      <c r="P337" s="24"/>
      <c r="Q337" s="196"/>
      <c r="R337" s="229"/>
      <c r="S337" s="196"/>
      <c r="T337" s="229"/>
      <c r="U337" s="229"/>
      <c r="V337" s="196"/>
      <c r="W337" s="24"/>
      <c r="X337" s="24"/>
      <c r="Y337" s="24"/>
      <c r="Z337" s="22"/>
      <c r="AA337" s="24"/>
      <c r="AB337" s="24"/>
      <c r="AC337" s="228"/>
      <c r="AD337" s="228"/>
      <c r="AE337" s="233"/>
      <c r="AF337" s="233"/>
      <c r="AG337" s="205" t="s">
        <v>115</v>
      </c>
      <c r="AH337" s="205" t="s">
        <v>1210</v>
      </c>
      <c r="AI337" s="205" t="s">
        <v>1211</v>
      </c>
      <c r="AJ337" s="24"/>
      <c r="AK337" s="24"/>
      <c r="AL337" s="24"/>
    </row>
    <row r="338" spans="1:38" ht="12.75" customHeight="1">
      <c r="A338" s="22">
        <v>336</v>
      </c>
      <c r="B338" s="206" t="s">
        <v>720</v>
      </c>
      <c r="C338" s="24" t="s">
        <v>180</v>
      </c>
      <c r="D338" s="24" t="s">
        <v>1194</v>
      </c>
      <c r="E338" s="24" t="s">
        <v>1195</v>
      </c>
      <c r="F338" s="24">
        <v>1</v>
      </c>
      <c r="G338" s="24" t="s">
        <v>1135</v>
      </c>
      <c r="H338" s="24"/>
      <c r="I338" s="226"/>
      <c r="J338" s="196"/>
      <c r="K338" s="196"/>
      <c r="L338" s="196"/>
      <c r="M338" s="196"/>
      <c r="N338" s="204" t="s">
        <v>720</v>
      </c>
      <c r="O338" s="196"/>
      <c r="P338" s="24"/>
      <c r="Q338" s="196"/>
      <c r="R338" s="229"/>
      <c r="S338" s="196"/>
      <c r="T338" s="229"/>
      <c r="U338" s="229"/>
      <c r="V338" s="196"/>
      <c r="W338" s="24"/>
      <c r="X338" s="24"/>
      <c r="Y338" s="24"/>
      <c r="Z338" s="22"/>
      <c r="AA338" s="24"/>
      <c r="AB338" s="24"/>
      <c r="AC338" s="227"/>
      <c r="AD338" s="25"/>
      <c r="AE338" s="231">
        <v>219006</v>
      </c>
      <c r="AF338" s="28"/>
      <c r="AG338" s="205" t="s">
        <v>115</v>
      </c>
      <c r="AH338" s="205" t="s">
        <v>721</v>
      </c>
      <c r="AI338" s="205" t="s">
        <v>722</v>
      </c>
      <c r="AJ338" s="24"/>
      <c r="AK338" s="24"/>
      <c r="AL338" s="24"/>
    </row>
    <row r="339" spans="1:38" ht="12.75" customHeight="1">
      <c r="A339" s="22">
        <v>337</v>
      </c>
      <c r="B339" s="206" t="s">
        <v>723</v>
      </c>
      <c r="C339" s="24" t="s">
        <v>180</v>
      </c>
      <c r="D339" s="24" t="s">
        <v>1194</v>
      </c>
      <c r="E339" s="24" t="s">
        <v>1195</v>
      </c>
      <c r="F339" s="24">
        <v>1</v>
      </c>
      <c r="G339" s="24" t="s">
        <v>1135</v>
      </c>
      <c r="H339" s="24"/>
      <c r="I339" s="226"/>
      <c r="J339" s="196"/>
      <c r="K339" s="196"/>
      <c r="L339" s="196"/>
      <c r="M339" s="196"/>
      <c r="N339" s="204" t="s">
        <v>723</v>
      </c>
      <c r="O339" s="196"/>
      <c r="P339" s="24"/>
      <c r="Q339" s="196"/>
      <c r="R339" s="229"/>
      <c r="S339" s="196"/>
      <c r="T339" s="229"/>
      <c r="U339" s="229"/>
      <c r="V339" s="196"/>
      <c r="W339" s="24"/>
      <c r="X339" s="24"/>
      <c r="Y339" s="24"/>
      <c r="Z339" s="22"/>
      <c r="AA339" s="24"/>
      <c r="AB339" s="24"/>
      <c r="AC339" s="227"/>
      <c r="AD339" s="25"/>
      <c r="AE339" s="231">
        <v>371422002</v>
      </c>
      <c r="AF339" s="28"/>
      <c r="AG339" s="205" t="s">
        <v>115</v>
      </c>
      <c r="AH339" s="205" t="s">
        <v>724</v>
      </c>
      <c r="AI339" s="205" t="s">
        <v>725</v>
      </c>
      <c r="AJ339" s="24"/>
      <c r="AK339" s="24"/>
      <c r="AL339" s="24"/>
    </row>
    <row r="340" spans="1:38" ht="12.75" customHeight="1">
      <c r="A340" s="22">
        <v>338</v>
      </c>
      <c r="B340" s="206" t="s">
        <v>1214</v>
      </c>
      <c r="C340" s="24" t="s">
        <v>96</v>
      </c>
      <c r="D340" s="24"/>
      <c r="E340" s="24" t="s">
        <v>1215</v>
      </c>
      <c r="F340" s="24">
        <v>1</v>
      </c>
      <c r="G340" s="24" t="s">
        <v>1135</v>
      </c>
      <c r="H340" s="24"/>
      <c r="I340" s="226"/>
      <c r="J340" s="204" t="s">
        <v>1214</v>
      </c>
      <c r="K340" s="234" t="s">
        <v>1216</v>
      </c>
      <c r="L340" s="204" t="s">
        <v>1217</v>
      </c>
      <c r="M340" s="204" t="s">
        <v>238</v>
      </c>
      <c r="N340" s="196"/>
      <c r="O340" s="196"/>
      <c r="P340" s="24"/>
      <c r="Q340" s="204" t="s">
        <v>1056</v>
      </c>
      <c r="R340" s="229"/>
      <c r="S340" s="204" t="s">
        <v>113</v>
      </c>
      <c r="T340" s="229"/>
      <c r="U340" s="229"/>
      <c r="V340" s="204" t="s">
        <v>115</v>
      </c>
      <c r="W340" s="24"/>
      <c r="X340" s="24"/>
      <c r="Y340" s="24"/>
      <c r="Z340" s="22"/>
      <c r="AA340" s="24"/>
      <c r="AB340" s="24"/>
      <c r="AC340" s="228"/>
      <c r="AD340" s="120"/>
      <c r="AE340" s="217"/>
      <c r="AF340" s="217"/>
      <c r="AG340" s="235" t="s">
        <v>1219</v>
      </c>
      <c r="AH340" s="236" t="s">
        <v>1220</v>
      </c>
      <c r="AI340" s="235" t="s">
        <v>1221</v>
      </c>
      <c r="AJ340" s="24"/>
      <c r="AK340" s="24"/>
      <c r="AL340" s="24"/>
    </row>
    <row r="341" spans="1:38" ht="12.75" customHeight="1">
      <c r="A341" s="22">
        <v>339</v>
      </c>
      <c r="B341" s="206" t="s">
        <v>423</v>
      </c>
      <c r="C341" s="24" t="s">
        <v>180</v>
      </c>
      <c r="D341" s="24" t="s">
        <v>1214</v>
      </c>
      <c r="E341" s="24" t="s">
        <v>1215</v>
      </c>
      <c r="F341" s="24">
        <v>1</v>
      </c>
      <c r="G341" s="24" t="s">
        <v>1135</v>
      </c>
      <c r="H341" s="24"/>
      <c r="I341" s="226"/>
      <c r="J341" s="204"/>
      <c r="K341" s="204"/>
      <c r="L341" s="204"/>
      <c r="M341" s="196"/>
      <c r="N341" s="196" t="s">
        <v>423</v>
      </c>
      <c r="O341" s="196"/>
      <c r="P341" s="24"/>
      <c r="Q341" s="204"/>
      <c r="R341" s="229"/>
      <c r="S341" s="204"/>
      <c r="T341" s="229"/>
      <c r="U341" s="229"/>
      <c r="V341" s="204"/>
      <c r="W341" s="24"/>
      <c r="X341" s="24"/>
      <c r="Y341" s="24"/>
      <c r="Z341" s="22"/>
      <c r="AA341" s="24"/>
      <c r="AB341" s="24"/>
      <c r="AC341" s="227"/>
      <c r="AD341" s="25"/>
      <c r="AE341" s="231">
        <v>260413007</v>
      </c>
      <c r="AF341" s="28"/>
      <c r="AG341" s="205" t="s">
        <v>115</v>
      </c>
      <c r="AH341" s="223" t="s">
        <v>424</v>
      </c>
      <c r="AI341" s="205" t="s">
        <v>425</v>
      </c>
      <c r="AJ341" s="24"/>
      <c r="AK341" s="24"/>
      <c r="AL341" s="24"/>
    </row>
    <row r="342" spans="1:38" ht="12.75" customHeight="1">
      <c r="A342" s="22">
        <v>340</v>
      </c>
      <c r="B342" s="206" t="s">
        <v>1223</v>
      </c>
      <c r="C342" s="24" t="s">
        <v>180</v>
      </c>
      <c r="D342" s="24" t="s">
        <v>1214</v>
      </c>
      <c r="E342" s="24" t="s">
        <v>1215</v>
      </c>
      <c r="F342" s="24">
        <v>1</v>
      </c>
      <c r="G342" s="24" t="s">
        <v>1135</v>
      </c>
      <c r="H342" s="24"/>
      <c r="I342" s="226"/>
      <c r="J342" s="204"/>
      <c r="K342" s="204"/>
      <c r="L342" s="204"/>
      <c r="M342" s="196"/>
      <c r="N342" s="196" t="s">
        <v>1223</v>
      </c>
      <c r="O342" s="196"/>
      <c r="P342" s="24"/>
      <c r="Q342" s="204"/>
      <c r="R342" s="229"/>
      <c r="S342" s="204"/>
      <c r="T342" s="229"/>
      <c r="U342" s="229"/>
      <c r="V342" s="204"/>
      <c r="W342" s="24"/>
      <c r="X342" s="24"/>
      <c r="Y342" s="24"/>
      <c r="Z342" s="22"/>
      <c r="AA342" s="24"/>
      <c r="AB342" s="24"/>
      <c r="AC342" s="231" t="s">
        <v>331</v>
      </c>
      <c r="AD342" s="25"/>
      <c r="AE342" s="28">
        <v>16932000</v>
      </c>
      <c r="AF342" s="28"/>
      <c r="AG342" s="205" t="s">
        <v>115</v>
      </c>
      <c r="AH342" s="223" t="s">
        <v>1224</v>
      </c>
      <c r="AI342" s="207" t="s">
        <v>1225</v>
      </c>
      <c r="AJ342" s="24"/>
      <c r="AK342" s="24"/>
      <c r="AL342" s="24"/>
    </row>
    <row r="343" spans="1:38" ht="12.75" customHeight="1">
      <c r="A343" s="22">
        <v>341</v>
      </c>
      <c r="B343" s="206" t="s">
        <v>302</v>
      </c>
      <c r="C343" s="24" t="s">
        <v>180</v>
      </c>
      <c r="D343" s="24" t="s">
        <v>1214</v>
      </c>
      <c r="E343" s="24" t="s">
        <v>1215</v>
      </c>
      <c r="F343" s="24">
        <v>1</v>
      </c>
      <c r="G343" s="24" t="s">
        <v>1135</v>
      </c>
      <c r="H343" s="24"/>
      <c r="I343" s="226"/>
      <c r="J343" s="204"/>
      <c r="K343" s="204"/>
      <c r="L343" s="204"/>
      <c r="M343" s="196"/>
      <c r="N343" s="196" t="s">
        <v>302</v>
      </c>
      <c r="O343" s="196"/>
      <c r="P343" s="24"/>
      <c r="Q343" s="204"/>
      <c r="R343" s="229"/>
      <c r="S343" s="204"/>
      <c r="T343" s="229"/>
      <c r="U343" s="229"/>
      <c r="V343" s="204"/>
      <c r="W343" s="24"/>
      <c r="X343" s="24"/>
      <c r="Y343" s="24"/>
      <c r="Z343" s="22"/>
      <c r="AA343" s="24"/>
      <c r="AB343" s="24"/>
      <c r="AC343" s="231" t="s">
        <v>303</v>
      </c>
      <c r="AD343" s="25"/>
      <c r="AE343" s="231">
        <v>16331000</v>
      </c>
      <c r="AF343" s="28"/>
      <c r="AG343" s="205" t="s">
        <v>115</v>
      </c>
      <c r="AH343" s="223" t="s">
        <v>305</v>
      </c>
      <c r="AI343" s="205" t="s">
        <v>306</v>
      </c>
      <c r="AJ343" s="24"/>
      <c r="AK343" s="24"/>
      <c r="AL343" s="24"/>
    </row>
    <row r="344" spans="1:38" ht="12.75" customHeight="1">
      <c r="A344" s="22">
        <v>342</v>
      </c>
      <c r="B344" s="206" t="s">
        <v>307</v>
      </c>
      <c r="C344" s="24" t="s">
        <v>180</v>
      </c>
      <c r="D344" s="24" t="s">
        <v>1214</v>
      </c>
      <c r="E344" s="24" t="s">
        <v>1215</v>
      </c>
      <c r="F344" s="24">
        <v>1</v>
      </c>
      <c r="G344" s="24" t="s">
        <v>1135</v>
      </c>
      <c r="H344" s="24"/>
      <c r="I344" s="226"/>
      <c r="J344" s="204"/>
      <c r="K344" s="204"/>
      <c r="L344" s="204"/>
      <c r="M344" s="196"/>
      <c r="N344" s="196" t="s">
        <v>307</v>
      </c>
      <c r="O344" s="196"/>
      <c r="P344" s="24"/>
      <c r="Q344" s="204"/>
      <c r="R344" s="229"/>
      <c r="S344" s="204"/>
      <c r="T344" s="229"/>
      <c r="U344" s="229"/>
      <c r="V344" s="204"/>
      <c r="W344" s="24"/>
      <c r="X344" s="24"/>
      <c r="Y344" s="24"/>
      <c r="Z344" s="22"/>
      <c r="AA344" s="24"/>
      <c r="AB344" s="24"/>
      <c r="AC344" s="232" t="s">
        <v>309</v>
      </c>
      <c r="AD344" s="25"/>
      <c r="AE344" s="231">
        <v>449917004</v>
      </c>
      <c r="AF344" s="28"/>
      <c r="AG344" s="205" t="s">
        <v>115</v>
      </c>
      <c r="AH344" s="223" t="s">
        <v>310</v>
      </c>
      <c r="AI344" s="205" t="s">
        <v>311</v>
      </c>
      <c r="AJ344" s="24"/>
      <c r="AK344" s="24"/>
      <c r="AL344" s="24"/>
    </row>
    <row r="345" spans="1:38" ht="12.75" customHeight="1">
      <c r="A345" s="22">
        <v>343</v>
      </c>
      <c r="B345" s="206" t="s">
        <v>249</v>
      </c>
      <c r="C345" s="24" t="s">
        <v>180</v>
      </c>
      <c r="D345" s="24" t="s">
        <v>1214</v>
      </c>
      <c r="E345" s="24" t="s">
        <v>1215</v>
      </c>
      <c r="F345" s="24">
        <v>1</v>
      </c>
      <c r="G345" s="24" t="s">
        <v>1135</v>
      </c>
      <c r="H345" s="24"/>
      <c r="I345" s="226"/>
      <c r="J345" s="204"/>
      <c r="K345" s="204"/>
      <c r="L345" s="204"/>
      <c r="M345" s="196"/>
      <c r="N345" s="196" t="s">
        <v>249</v>
      </c>
      <c r="O345" s="196"/>
      <c r="P345" s="24"/>
      <c r="Q345" s="204"/>
      <c r="R345" s="229"/>
      <c r="S345" s="204"/>
      <c r="T345" s="229"/>
      <c r="U345" s="229"/>
      <c r="V345" s="204"/>
      <c r="W345" s="24"/>
      <c r="X345" s="24"/>
      <c r="Y345" s="24"/>
      <c r="Z345" s="22"/>
      <c r="AA345" s="24"/>
      <c r="AB345" s="24"/>
      <c r="AC345" s="231" t="s">
        <v>251</v>
      </c>
      <c r="AD345" s="25"/>
      <c r="AE345" s="231">
        <v>14760008</v>
      </c>
      <c r="AF345" s="28"/>
      <c r="AG345" s="205" t="s">
        <v>115</v>
      </c>
      <c r="AH345" s="223" t="s">
        <v>252</v>
      </c>
      <c r="AI345" s="205" t="s">
        <v>253</v>
      </c>
      <c r="AJ345" s="24"/>
      <c r="AK345" s="24"/>
      <c r="AL345" s="24"/>
    </row>
    <row r="346" spans="1:38" ht="12.75" customHeight="1">
      <c r="A346" s="22">
        <v>344</v>
      </c>
      <c r="B346" s="206" t="s">
        <v>320</v>
      </c>
      <c r="C346" s="24" t="s">
        <v>180</v>
      </c>
      <c r="D346" s="24" t="s">
        <v>1214</v>
      </c>
      <c r="E346" s="24" t="s">
        <v>1215</v>
      </c>
      <c r="F346" s="24">
        <v>1</v>
      </c>
      <c r="G346" s="24" t="s">
        <v>1135</v>
      </c>
      <c r="H346" s="24"/>
      <c r="I346" s="226"/>
      <c r="J346" s="204"/>
      <c r="K346" s="204"/>
      <c r="L346" s="204"/>
      <c r="M346" s="196"/>
      <c r="N346" s="196" t="s">
        <v>320</v>
      </c>
      <c r="O346" s="196"/>
      <c r="P346" s="24"/>
      <c r="Q346" s="204"/>
      <c r="R346" s="229"/>
      <c r="S346" s="204"/>
      <c r="T346" s="229"/>
      <c r="U346" s="229"/>
      <c r="V346" s="204"/>
      <c r="W346" s="24"/>
      <c r="X346" s="24"/>
      <c r="Y346" s="24"/>
      <c r="Z346" s="22"/>
      <c r="AA346" s="24"/>
      <c r="AB346" s="24"/>
      <c r="AC346" s="231" t="s">
        <v>322</v>
      </c>
      <c r="AD346" s="25"/>
      <c r="AE346" s="231">
        <v>279039007</v>
      </c>
      <c r="AF346" s="28"/>
      <c r="AG346" s="205" t="s">
        <v>115</v>
      </c>
      <c r="AH346" s="223" t="s">
        <v>323</v>
      </c>
      <c r="AI346" s="205" t="s">
        <v>324</v>
      </c>
      <c r="AJ346" s="24"/>
      <c r="AK346" s="24"/>
      <c r="AL346" s="24"/>
    </row>
    <row r="347" spans="1:38" ht="12.75" customHeight="1">
      <c r="A347" s="22">
        <v>345</v>
      </c>
      <c r="B347" s="206" t="s">
        <v>325</v>
      </c>
      <c r="C347" s="24" t="s">
        <v>180</v>
      </c>
      <c r="D347" s="24" t="s">
        <v>1214</v>
      </c>
      <c r="E347" s="24" t="s">
        <v>1215</v>
      </c>
      <c r="F347" s="24">
        <v>1</v>
      </c>
      <c r="G347" s="24" t="s">
        <v>1135</v>
      </c>
      <c r="H347" s="24"/>
      <c r="I347" s="226"/>
      <c r="J347" s="204"/>
      <c r="K347" s="204"/>
      <c r="L347" s="204"/>
      <c r="M347" s="196"/>
      <c r="N347" s="196" t="s">
        <v>325</v>
      </c>
      <c r="O347" s="196"/>
      <c r="P347" s="24"/>
      <c r="Q347" s="204"/>
      <c r="R347" s="229"/>
      <c r="S347" s="204"/>
      <c r="T347" s="229"/>
      <c r="U347" s="229"/>
      <c r="V347" s="204"/>
      <c r="W347" s="24"/>
      <c r="X347" s="24"/>
      <c r="Y347" s="24"/>
      <c r="Z347" s="22"/>
      <c r="AA347" s="24"/>
      <c r="AB347" s="24"/>
      <c r="AC347" s="232" t="s">
        <v>326</v>
      </c>
      <c r="AD347" s="25"/>
      <c r="AE347" s="231">
        <v>30473006</v>
      </c>
      <c r="AF347" s="28"/>
      <c r="AG347" s="205" t="s">
        <v>115</v>
      </c>
      <c r="AH347" s="223" t="s">
        <v>328</v>
      </c>
      <c r="AI347" s="205" t="s">
        <v>329</v>
      </c>
      <c r="AJ347" s="24"/>
      <c r="AK347" s="24"/>
      <c r="AL347" s="24"/>
    </row>
    <row r="348" spans="1:38" ht="12.75" customHeight="1">
      <c r="A348" s="22">
        <v>346</v>
      </c>
      <c r="B348" s="206" t="s">
        <v>1229</v>
      </c>
      <c r="C348" s="24" t="s">
        <v>180</v>
      </c>
      <c r="D348" s="24" t="s">
        <v>1214</v>
      </c>
      <c r="E348" s="24" t="s">
        <v>1215</v>
      </c>
      <c r="F348" s="24">
        <v>1</v>
      </c>
      <c r="G348" s="24" t="s">
        <v>1135</v>
      </c>
      <c r="H348" s="24"/>
      <c r="I348" s="226"/>
      <c r="J348" s="204"/>
      <c r="K348" s="204"/>
      <c r="L348" s="204"/>
      <c r="M348" s="196"/>
      <c r="N348" s="196" t="s">
        <v>1229</v>
      </c>
      <c r="O348" s="196"/>
      <c r="P348" s="24"/>
      <c r="Q348" s="204"/>
      <c r="R348" s="229"/>
      <c r="S348" s="204"/>
      <c r="T348" s="229"/>
      <c r="U348" s="229"/>
      <c r="V348" s="204"/>
      <c r="W348" s="24"/>
      <c r="X348" s="24"/>
      <c r="Y348" s="24"/>
      <c r="Z348" s="22"/>
      <c r="AA348" s="24"/>
      <c r="AB348" s="24"/>
      <c r="AC348" s="231" t="s">
        <v>1230</v>
      </c>
      <c r="AD348" s="25"/>
      <c r="AE348" s="231">
        <v>72866009</v>
      </c>
      <c r="AF348" s="28"/>
      <c r="AG348" s="235" t="s">
        <v>115</v>
      </c>
      <c r="AH348" s="236" t="s">
        <v>1231</v>
      </c>
      <c r="AI348" s="235" t="s">
        <v>1233</v>
      </c>
      <c r="AJ348" s="24"/>
      <c r="AK348" s="24"/>
      <c r="AL348" s="24"/>
    </row>
    <row r="349" spans="1:38" ht="12.75" customHeight="1">
      <c r="A349" s="22">
        <v>347</v>
      </c>
      <c r="B349" s="206" t="s">
        <v>340</v>
      </c>
      <c r="C349" s="24" t="s">
        <v>180</v>
      </c>
      <c r="D349" s="24" t="s">
        <v>1214</v>
      </c>
      <c r="E349" s="24" t="s">
        <v>1215</v>
      </c>
      <c r="F349" s="24">
        <v>1</v>
      </c>
      <c r="G349" s="24" t="s">
        <v>1135</v>
      </c>
      <c r="H349" s="24"/>
      <c r="I349" s="226"/>
      <c r="J349" s="204"/>
      <c r="K349" s="204"/>
      <c r="L349" s="204"/>
      <c r="M349" s="196"/>
      <c r="N349" s="196" t="s">
        <v>340</v>
      </c>
      <c r="O349" s="196"/>
      <c r="P349" s="24"/>
      <c r="Q349" s="204"/>
      <c r="R349" s="229"/>
      <c r="S349" s="204"/>
      <c r="T349" s="229"/>
      <c r="U349" s="229"/>
      <c r="V349" s="204"/>
      <c r="W349" s="24"/>
      <c r="X349" s="24"/>
      <c r="Y349" s="24"/>
      <c r="Z349" s="22"/>
      <c r="AA349" s="24"/>
      <c r="AB349" s="24"/>
      <c r="AC349" s="232" t="s">
        <v>342</v>
      </c>
      <c r="AD349" s="25"/>
      <c r="AE349" s="231">
        <v>267038008</v>
      </c>
      <c r="AF349" s="28"/>
      <c r="AG349" s="238" t="s">
        <v>115</v>
      </c>
      <c r="AH349" s="223" t="s">
        <v>343</v>
      </c>
      <c r="AI349" s="205" t="s">
        <v>344</v>
      </c>
      <c r="AJ349" s="24"/>
      <c r="AK349" s="24"/>
      <c r="AL349" s="24"/>
    </row>
    <row r="350" spans="1:38" ht="12.75" customHeight="1">
      <c r="A350" s="22">
        <v>348</v>
      </c>
      <c r="B350" s="206" t="s">
        <v>423</v>
      </c>
      <c r="C350" s="24" t="s">
        <v>180</v>
      </c>
      <c r="D350" s="24" t="s">
        <v>1214</v>
      </c>
      <c r="E350" s="24" t="s">
        <v>1215</v>
      </c>
      <c r="F350" s="24">
        <v>1</v>
      </c>
      <c r="G350" s="24" t="s">
        <v>1135</v>
      </c>
      <c r="H350" s="24"/>
      <c r="I350" s="226"/>
      <c r="J350" s="196"/>
      <c r="K350" s="204"/>
      <c r="L350" s="204" t="s">
        <v>1235</v>
      </c>
      <c r="M350" s="204" t="s">
        <v>238</v>
      </c>
      <c r="N350" s="196" t="s">
        <v>423</v>
      </c>
      <c r="O350" s="196"/>
      <c r="P350" s="24"/>
      <c r="Q350" s="239" t="s">
        <v>1056</v>
      </c>
      <c r="R350" s="229"/>
      <c r="S350" s="204"/>
      <c r="T350" s="229"/>
      <c r="U350" s="229"/>
      <c r="V350" s="196"/>
      <c r="W350" s="24"/>
      <c r="X350" s="24"/>
      <c r="Y350" s="24"/>
      <c r="Z350" s="22"/>
      <c r="AA350" s="24"/>
      <c r="AB350" s="24"/>
      <c r="AC350" s="227"/>
      <c r="AD350" s="25"/>
      <c r="AE350" s="231">
        <v>260413007</v>
      </c>
      <c r="AF350" s="28"/>
      <c r="AG350" s="205" t="s">
        <v>115</v>
      </c>
      <c r="AH350" s="223" t="s">
        <v>424</v>
      </c>
      <c r="AI350" s="205" t="s">
        <v>425</v>
      </c>
      <c r="AJ350" s="24"/>
      <c r="AK350" s="24"/>
      <c r="AL350" s="24"/>
    </row>
    <row r="351" spans="1:38" ht="12.75" customHeight="1">
      <c r="A351" s="22">
        <v>349</v>
      </c>
      <c r="B351" s="206" t="s">
        <v>254</v>
      </c>
      <c r="C351" s="24" t="s">
        <v>180</v>
      </c>
      <c r="D351" s="24" t="s">
        <v>1214</v>
      </c>
      <c r="E351" s="24" t="s">
        <v>1215</v>
      </c>
      <c r="F351" s="24">
        <v>1</v>
      </c>
      <c r="G351" s="24" t="s">
        <v>1135</v>
      </c>
      <c r="H351" s="24"/>
      <c r="I351" s="226"/>
      <c r="J351" s="196"/>
      <c r="K351" s="204"/>
      <c r="L351" s="204"/>
      <c r="M351" s="204"/>
      <c r="N351" s="196" t="s">
        <v>254</v>
      </c>
      <c r="O351" s="196"/>
      <c r="P351" s="24"/>
      <c r="Q351" s="196"/>
      <c r="R351" s="229"/>
      <c r="S351" s="204"/>
      <c r="T351" s="229"/>
      <c r="U351" s="229"/>
      <c r="V351" s="196"/>
      <c r="W351" s="24"/>
      <c r="X351" s="24"/>
      <c r="Y351" s="24"/>
      <c r="Z351" s="22"/>
      <c r="AA351" s="24"/>
      <c r="AB351" s="24"/>
      <c r="AC351" s="227"/>
      <c r="AD351" s="25"/>
      <c r="AE351" s="231">
        <v>289741005</v>
      </c>
      <c r="AF351" s="28"/>
      <c r="AG351" s="205" t="s">
        <v>115</v>
      </c>
      <c r="AH351" s="223" t="s">
        <v>256</v>
      </c>
      <c r="AI351" s="205" t="s">
        <v>257</v>
      </c>
      <c r="AJ351" s="24"/>
      <c r="AK351" s="24"/>
      <c r="AL351" s="24"/>
    </row>
    <row r="352" spans="1:38" ht="12.75" customHeight="1">
      <c r="A352" s="22">
        <v>350</v>
      </c>
      <c r="B352" s="206" t="s">
        <v>369</v>
      </c>
      <c r="C352" s="24" t="s">
        <v>180</v>
      </c>
      <c r="D352" s="24" t="s">
        <v>1214</v>
      </c>
      <c r="E352" s="24" t="s">
        <v>1215</v>
      </c>
      <c r="F352" s="24">
        <v>1</v>
      </c>
      <c r="G352" s="24" t="s">
        <v>1135</v>
      </c>
      <c r="H352" s="24"/>
      <c r="I352" s="226"/>
      <c r="J352" s="196"/>
      <c r="K352" s="204"/>
      <c r="L352" s="204"/>
      <c r="M352" s="204"/>
      <c r="N352" s="196" t="s">
        <v>369</v>
      </c>
      <c r="O352" s="196"/>
      <c r="P352" s="24"/>
      <c r="Q352" s="196"/>
      <c r="R352" s="229"/>
      <c r="S352" s="204"/>
      <c r="T352" s="229"/>
      <c r="U352" s="229"/>
      <c r="V352" s="196"/>
      <c r="W352" s="24"/>
      <c r="X352" s="24"/>
      <c r="Y352" s="24"/>
      <c r="Z352" s="22"/>
      <c r="AA352" s="24"/>
      <c r="AB352" s="24"/>
      <c r="AC352" s="231" t="s">
        <v>370</v>
      </c>
      <c r="AD352" s="25"/>
      <c r="AE352" s="231">
        <v>49650001</v>
      </c>
      <c r="AF352" s="28"/>
      <c r="AG352" s="205" t="s">
        <v>115</v>
      </c>
      <c r="AH352" s="223" t="s">
        <v>371</v>
      </c>
      <c r="AI352" s="205" t="s">
        <v>372</v>
      </c>
      <c r="AJ352" s="24"/>
      <c r="AK352" s="24"/>
      <c r="AL352" s="24"/>
    </row>
    <row r="353" spans="1:38" ht="12.75" customHeight="1">
      <c r="A353" s="22">
        <v>351</v>
      </c>
      <c r="B353" s="206" t="s">
        <v>1237</v>
      </c>
      <c r="C353" s="24" t="s">
        <v>180</v>
      </c>
      <c r="D353" s="24" t="s">
        <v>1214</v>
      </c>
      <c r="E353" s="24" t="s">
        <v>1215</v>
      </c>
      <c r="F353" s="24">
        <v>1</v>
      </c>
      <c r="G353" s="24" t="s">
        <v>1135</v>
      </c>
      <c r="H353" s="24"/>
      <c r="I353" s="226"/>
      <c r="J353" s="196"/>
      <c r="K353" s="204"/>
      <c r="L353" s="204"/>
      <c r="M353" s="204"/>
      <c r="N353" s="196" t="s">
        <v>1237</v>
      </c>
      <c r="O353" s="196"/>
      <c r="P353" s="24"/>
      <c r="Q353" s="196"/>
      <c r="R353" s="229"/>
      <c r="S353" s="204"/>
      <c r="T353" s="229"/>
      <c r="U353" s="229"/>
      <c r="V353" s="196"/>
      <c r="W353" s="24"/>
      <c r="X353" s="24"/>
      <c r="Y353" s="24"/>
      <c r="Z353" s="22"/>
      <c r="AA353" s="24"/>
      <c r="AB353" s="24"/>
      <c r="AC353" s="228"/>
      <c r="AD353" s="120"/>
      <c r="AE353" s="217"/>
      <c r="AF353" s="217"/>
      <c r="AG353" s="238" t="s">
        <v>115</v>
      </c>
      <c r="AH353" s="223" t="s">
        <v>279</v>
      </c>
      <c r="AI353" s="205" t="s">
        <v>280</v>
      </c>
      <c r="AJ353" s="24"/>
      <c r="AK353" s="24"/>
      <c r="AL353" s="24"/>
    </row>
    <row r="354" spans="1:38" ht="12.75" customHeight="1">
      <c r="A354" s="22">
        <v>352</v>
      </c>
      <c r="B354" s="206" t="s">
        <v>1239</v>
      </c>
      <c r="C354" s="24" t="s">
        <v>96</v>
      </c>
      <c r="D354" s="24"/>
      <c r="E354" s="24" t="s">
        <v>1215</v>
      </c>
      <c r="F354" s="24">
        <v>1</v>
      </c>
      <c r="G354" s="24" t="s">
        <v>1135</v>
      </c>
      <c r="H354" s="24"/>
      <c r="I354" s="226"/>
      <c r="J354" s="196"/>
      <c r="K354" s="204"/>
      <c r="L354" s="204" t="s">
        <v>1240</v>
      </c>
      <c r="M354" s="204" t="s">
        <v>238</v>
      </c>
      <c r="N354" s="204"/>
      <c r="O354" s="196"/>
      <c r="P354" s="24"/>
      <c r="Q354" s="196"/>
      <c r="R354" s="229"/>
      <c r="S354" s="204" t="s">
        <v>113</v>
      </c>
      <c r="T354" s="229"/>
      <c r="U354" s="229"/>
      <c r="V354" s="196" t="s">
        <v>115</v>
      </c>
      <c r="W354" s="24"/>
      <c r="X354" s="24"/>
      <c r="Y354" s="24"/>
      <c r="Z354" s="22"/>
      <c r="AA354" s="24"/>
      <c r="AB354" s="24"/>
      <c r="AC354" s="228"/>
      <c r="AD354" s="120"/>
      <c r="AE354" s="217"/>
      <c r="AF354" s="217"/>
      <c r="AG354" s="235" t="s">
        <v>1241</v>
      </c>
      <c r="AH354" s="236" t="s">
        <v>1220</v>
      </c>
      <c r="AI354" s="235" t="s">
        <v>1221</v>
      </c>
      <c r="AJ354" s="24"/>
      <c r="AK354" s="24"/>
      <c r="AL354" s="24"/>
    </row>
    <row r="355" spans="1:38" ht="12.75" customHeight="1">
      <c r="A355" s="22">
        <v>353</v>
      </c>
      <c r="B355" s="206" t="s">
        <v>423</v>
      </c>
      <c r="C355" s="24" t="s">
        <v>180</v>
      </c>
      <c r="D355" s="24" t="s">
        <v>423</v>
      </c>
      <c r="E355" s="24" t="s">
        <v>1215</v>
      </c>
      <c r="F355" s="24">
        <v>1</v>
      </c>
      <c r="G355" s="24" t="s">
        <v>1135</v>
      </c>
      <c r="H355" s="24"/>
      <c r="I355" s="226"/>
      <c r="J355" s="196"/>
      <c r="K355" s="196"/>
      <c r="L355" s="196"/>
      <c r="M355" s="196"/>
      <c r="N355" s="204" t="s">
        <v>423</v>
      </c>
      <c r="O355" s="196"/>
      <c r="P355" s="24"/>
      <c r="Q355" s="239" t="s">
        <v>1056</v>
      </c>
      <c r="R355" s="229"/>
      <c r="S355" s="196"/>
      <c r="T355" s="229"/>
      <c r="U355" s="229"/>
      <c r="V355" s="196"/>
      <c r="W355" s="24"/>
      <c r="X355" s="24"/>
      <c r="Y355" s="24"/>
      <c r="Z355" s="22"/>
      <c r="AA355" s="24"/>
      <c r="AB355" s="24"/>
      <c r="AC355" s="227"/>
      <c r="AD355" s="25"/>
      <c r="AE355" s="231">
        <v>260413007</v>
      </c>
      <c r="AF355" s="28"/>
      <c r="AG355" s="205" t="s">
        <v>115</v>
      </c>
      <c r="AH355" s="223" t="s">
        <v>424</v>
      </c>
      <c r="AI355" s="205" t="s">
        <v>425</v>
      </c>
      <c r="AJ355" s="24"/>
      <c r="AK355" s="24"/>
      <c r="AL355" s="24"/>
    </row>
    <row r="356" spans="1:38" ht="12.75" customHeight="1">
      <c r="A356" s="22">
        <v>354</v>
      </c>
      <c r="B356" s="206" t="s">
        <v>312</v>
      </c>
      <c r="C356" s="24" t="s">
        <v>180</v>
      </c>
      <c r="D356" s="24" t="s">
        <v>312</v>
      </c>
      <c r="E356" s="24" t="s">
        <v>1215</v>
      </c>
      <c r="F356" s="24">
        <v>1</v>
      </c>
      <c r="G356" s="24" t="s">
        <v>1135</v>
      </c>
      <c r="H356" s="24"/>
      <c r="I356" s="226"/>
      <c r="J356" s="196"/>
      <c r="K356" s="196"/>
      <c r="L356" s="196"/>
      <c r="M356" s="196"/>
      <c r="N356" s="234" t="s">
        <v>312</v>
      </c>
      <c r="O356" s="196"/>
      <c r="P356" s="24"/>
      <c r="Q356" s="196"/>
      <c r="R356" s="229"/>
      <c r="S356" s="196"/>
      <c r="T356" s="229"/>
      <c r="U356" s="229"/>
      <c r="V356" s="196"/>
      <c r="W356" s="24"/>
      <c r="X356" s="24"/>
      <c r="Y356" s="24"/>
      <c r="Z356" s="22"/>
      <c r="AA356" s="24"/>
      <c r="AB356" s="24"/>
      <c r="AC356" s="240" t="s">
        <v>314</v>
      </c>
      <c r="AD356" s="25"/>
      <c r="AE356" s="241">
        <v>10601006</v>
      </c>
      <c r="AF356" s="28"/>
      <c r="AG356" s="205" t="s">
        <v>115</v>
      </c>
      <c r="AH356" s="223" t="s">
        <v>315</v>
      </c>
      <c r="AI356" s="207" t="s">
        <v>316</v>
      </c>
      <c r="AJ356" s="24"/>
      <c r="AK356" s="24"/>
      <c r="AL356" s="24"/>
    </row>
    <row r="357" spans="1:38" ht="12.75" customHeight="1">
      <c r="A357" s="22">
        <v>355</v>
      </c>
      <c r="B357" s="206" t="s">
        <v>317</v>
      </c>
      <c r="C357" s="24" t="s">
        <v>180</v>
      </c>
      <c r="D357" s="24" t="s">
        <v>317</v>
      </c>
      <c r="E357" s="24" t="s">
        <v>1215</v>
      </c>
      <c r="F357" s="24">
        <v>1</v>
      </c>
      <c r="G357" s="24" t="s">
        <v>1135</v>
      </c>
      <c r="H357" s="24"/>
      <c r="I357" s="226"/>
      <c r="J357" s="196"/>
      <c r="K357" s="196"/>
      <c r="L357" s="196"/>
      <c r="M357" s="196"/>
      <c r="N357" s="234" t="s">
        <v>317</v>
      </c>
      <c r="O357" s="196"/>
      <c r="P357" s="24"/>
      <c r="Q357" s="196"/>
      <c r="R357" s="229"/>
      <c r="S357" s="196"/>
      <c r="T357" s="229"/>
      <c r="U357" s="229"/>
      <c r="V357" s="196"/>
      <c r="W357" s="24"/>
      <c r="X357" s="24"/>
      <c r="Y357" s="24"/>
      <c r="Z357" s="22"/>
      <c r="AA357" s="24"/>
      <c r="AB357" s="24"/>
      <c r="AC357" s="228"/>
      <c r="AD357" s="120"/>
      <c r="AE357" s="217"/>
      <c r="AF357" s="217"/>
      <c r="AG357" s="238" t="s">
        <v>115</v>
      </c>
      <c r="AH357" s="223" t="s">
        <v>318</v>
      </c>
      <c r="AI357" s="205" t="s">
        <v>319</v>
      </c>
      <c r="AJ357" s="24"/>
      <c r="AK357" s="24"/>
      <c r="AL357" s="24"/>
    </row>
    <row r="358" spans="1:38" ht="12.75" customHeight="1">
      <c r="A358" s="22">
        <v>356</v>
      </c>
      <c r="B358" s="206" t="s">
        <v>1245</v>
      </c>
      <c r="C358" s="24" t="s">
        <v>96</v>
      </c>
      <c r="D358" s="24"/>
      <c r="E358" s="24" t="s">
        <v>1215</v>
      </c>
      <c r="F358" s="24">
        <v>1</v>
      </c>
      <c r="G358" s="24" t="s">
        <v>1135</v>
      </c>
      <c r="H358" s="24"/>
      <c r="I358" s="226"/>
      <c r="J358" s="204" t="s">
        <v>1245</v>
      </c>
      <c r="K358" s="204" t="s">
        <v>1246</v>
      </c>
      <c r="L358" s="204" t="s">
        <v>1247</v>
      </c>
      <c r="M358" s="196" t="s">
        <v>238</v>
      </c>
      <c r="N358" s="196"/>
      <c r="O358" s="196"/>
      <c r="P358" s="24"/>
      <c r="Q358" s="204"/>
      <c r="R358" s="229"/>
      <c r="S358" s="204"/>
      <c r="T358" s="229"/>
      <c r="U358" s="229"/>
      <c r="V358" s="204" t="s">
        <v>115</v>
      </c>
      <c r="W358" s="24"/>
      <c r="X358" s="24"/>
      <c r="Y358" s="24"/>
      <c r="Z358" s="22"/>
      <c r="AA358" s="24"/>
      <c r="AB358" s="24"/>
      <c r="AC358" s="228"/>
      <c r="AD358" s="120"/>
      <c r="AE358" s="217"/>
      <c r="AF358" s="217"/>
      <c r="AG358" s="235" t="s">
        <v>1219</v>
      </c>
      <c r="AH358" s="236" t="s">
        <v>1220</v>
      </c>
      <c r="AI358" s="235" t="s">
        <v>1221</v>
      </c>
      <c r="AJ358" s="24"/>
      <c r="AK358" s="24"/>
      <c r="AL358" s="24"/>
    </row>
    <row r="359" spans="1:38" ht="12.75" customHeight="1">
      <c r="A359" s="22">
        <v>357</v>
      </c>
      <c r="B359" s="206" t="s">
        <v>423</v>
      </c>
      <c r="C359" s="24" t="s">
        <v>180</v>
      </c>
      <c r="D359" s="24" t="s">
        <v>1245</v>
      </c>
      <c r="E359" s="24" t="s">
        <v>1215</v>
      </c>
      <c r="F359" s="24">
        <v>1</v>
      </c>
      <c r="G359" s="24" t="s">
        <v>1135</v>
      </c>
      <c r="H359" s="24"/>
      <c r="I359" s="226"/>
      <c r="J359" s="204"/>
      <c r="K359" s="204"/>
      <c r="L359" s="204"/>
      <c r="M359" s="196"/>
      <c r="N359" s="196" t="s">
        <v>423</v>
      </c>
      <c r="O359" s="196"/>
      <c r="P359" s="24"/>
      <c r="Q359" s="204" t="s">
        <v>1056</v>
      </c>
      <c r="R359" s="229"/>
      <c r="S359" s="204"/>
      <c r="T359" s="229"/>
      <c r="U359" s="229"/>
      <c r="V359" s="204"/>
      <c r="W359" s="24"/>
      <c r="X359" s="24"/>
      <c r="Y359" s="24"/>
      <c r="Z359" s="22"/>
      <c r="AA359" s="24"/>
      <c r="AB359" s="24"/>
      <c r="AC359" s="227"/>
      <c r="AD359" s="25"/>
      <c r="AE359" s="231">
        <v>260413007</v>
      </c>
      <c r="AF359" s="28"/>
      <c r="AG359" s="205" t="s">
        <v>115</v>
      </c>
      <c r="AH359" s="223" t="s">
        <v>424</v>
      </c>
      <c r="AI359" s="205" t="s">
        <v>425</v>
      </c>
      <c r="AJ359" s="24"/>
      <c r="AK359" s="24"/>
      <c r="AL359" s="24"/>
    </row>
    <row r="360" spans="1:38" ht="12.75" customHeight="1">
      <c r="A360" s="22">
        <v>358</v>
      </c>
      <c r="B360" s="206" t="s">
        <v>239</v>
      </c>
      <c r="C360" s="24" t="s">
        <v>180</v>
      </c>
      <c r="D360" s="24" t="s">
        <v>1245</v>
      </c>
      <c r="E360" s="24" t="s">
        <v>1215</v>
      </c>
      <c r="F360" s="24">
        <v>1</v>
      </c>
      <c r="G360" s="24" t="s">
        <v>1135</v>
      </c>
      <c r="H360" s="24"/>
      <c r="I360" s="226"/>
      <c r="J360" s="204"/>
      <c r="K360" s="204"/>
      <c r="L360" s="204"/>
      <c r="M360" s="196"/>
      <c r="N360" s="196" t="s">
        <v>239</v>
      </c>
      <c r="O360" s="196"/>
      <c r="P360" s="24"/>
      <c r="Q360" s="204"/>
      <c r="R360" s="229"/>
      <c r="S360" s="204"/>
      <c r="T360" s="229"/>
      <c r="U360" s="229"/>
      <c r="V360" s="204"/>
      <c r="W360" s="24"/>
      <c r="X360" s="24"/>
      <c r="Y360" s="24"/>
      <c r="Z360" s="22"/>
      <c r="AA360" s="24"/>
      <c r="AB360" s="24"/>
      <c r="AC360" s="232" t="s">
        <v>397</v>
      </c>
      <c r="AD360" s="25"/>
      <c r="AE360" s="231">
        <v>289567003</v>
      </c>
      <c r="AF360" s="28"/>
      <c r="AG360" s="205" t="s">
        <v>115</v>
      </c>
      <c r="AH360" s="223" t="s">
        <v>1250</v>
      </c>
      <c r="AI360" s="205" t="s">
        <v>241</v>
      </c>
      <c r="AJ360" s="24"/>
      <c r="AK360" s="24"/>
      <c r="AL360" s="24"/>
    </row>
    <row r="361" spans="1:38" ht="12.75" customHeight="1">
      <c r="A361" s="22">
        <v>359</v>
      </c>
      <c r="B361" s="206" t="s">
        <v>1251</v>
      </c>
      <c r="C361" s="24" t="s">
        <v>180</v>
      </c>
      <c r="D361" s="24" t="s">
        <v>1245</v>
      </c>
      <c r="E361" s="24" t="s">
        <v>1215</v>
      </c>
      <c r="F361" s="24">
        <v>1</v>
      </c>
      <c r="G361" s="24" t="s">
        <v>1135</v>
      </c>
      <c r="H361" s="24"/>
      <c r="I361" s="226"/>
      <c r="J361" s="204"/>
      <c r="K361" s="204"/>
      <c r="L361" s="204"/>
      <c r="M361" s="196"/>
      <c r="N361" s="196" t="s">
        <v>1251</v>
      </c>
      <c r="O361" s="196"/>
      <c r="P361" s="24"/>
      <c r="Q361" s="204"/>
      <c r="R361" s="229"/>
      <c r="S361" s="204"/>
      <c r="T361" s="229"/>
      <c r="U361" s="229"/>
      <c r="V361" s="204"/>
      <c r="W361" s="24"/>
      <c r="X361" s="24"/>
      <c r="Y361" s="24"/>
      <c r="Z361" s="22"/>
      <c r="AA361" s="24"/>
      <c r="AB361" s="24"/>
      <c r="AC361" s="232" t="s">
        <v>1253</v>
      </c>
      <c r="AD361" s="25"/>
      <c r="AE361" s="231">
        <v>230145002</v>
      </c>
      <c r="AF361" s="28"/>
      <c r="AG361" s="205" t="s">
        <v>115</v>
      </c>
      <c r="AH361" s="223" t="s">
        <v>1254</v>
      </c>
      <c r="AI361" s="205" t="s">
        <v>1255</v>
      </c>
      <c r="AJ361" s="24"/>
      <c r="AK361" s="24"/>
      <c r="AL361" s="24"/>
    </row>
    <row r="362" spans="1:38" ht="12.75" customHeight="1">
      <c r="A362" s="22">
        <v>360</v>
      </c>
      <c r="B362" s="206" t="s">
        <v>1256</v>
      </c>
      <c r="C362" s="24" t="s">
        <v>180</v>
      </c>
      <c r="D362" s="24" t="s">
        <v>1245</v>
      </c>
      <c r="E362" s="24" t="s">
        <v>1215</v>
      </c>
      <c r="F362" s="24">
        <v>1</v>
      </c>
      <c r="G362" s="24" t="s">
        <v>1135</v>
      </c>
      <c r="H362" s="24"/>
      <c r="I362" s="226"/>
      <c r="J362" s="204"/>
      <c r="K362" s="204"/>
      <c r="L362" s="204"/>
      <c r="M362" s="196"/>
      <c r="N362" s="196" t="s">
        <v>1256</v>
      </c>
      <c r="O362" s="196"/>
      <c r="P362" s="24"/>
      <c r="Q362" s="204"/>
      <c r="R362" s="229"/>
      <c r="S362" s="204"/>
      <c r="T362" s="229"/>
      <c r="U362" s="229"/>
      <c r="V362" s="204"/>
      <c r="W362" s="24"/>
      <c r="X362" s="24"/>
      <c r="Y362" s="24"/>
      <c r="Z362" s="22"/>
      <c r="AA362" s="24"/>
      <c r="AB362" s="24"/>
      <c r="AC362" s="231" t="s">
        <v>383</v>
      </c>
      <c r="AD362" s="25"/>
      <c r="AE362" s="231">
        <v>60845006</v>
      </c>
      <c r="AF362" s="28"/>
      <c r="AG362" s="205" t="s">
        <v>115</v>
      </c>
      <c r="AH362" s="223" t="s">
        <v>1258</v>
      </c>
      <c r="AI362" s="205" t="s">
        <v>1259</v>
      </c>
      <c r="AJ362" s="24"/>
      <c r="AK362" s="24"/>
      <c r="AL362" s="24"/>
    </row>
    <row r="363" spans="1:38" ht="12.75" customHeight="1">
      <c r="A363" s="22">
        <v>361</v>
      </c>
      <c r="B363" s="206" t="s">
        <v>1260</v>
      </c>
      <c r="C363" s="24" t="s">
        <v>180</v>
      </c>
      <c r="D363" s="24" t="s">
        <v>1245</v>
      </c>
      <c r="E363" s="24" t="s">
        <v>1215</v>
      </c>
      <c r="F363" s="24">
        <v>1</v>
      </c>
      <c r="G363" s="24" t="s">
        <v>1135</v>
      </c>
      <c r="H363" s="24"/>
      <c r="I363" s="226"/>
      <c r="J363" s="204"/>
      <c r="K363" s="204"/>
      <c r="L363" s="204"/>
      <c r="M363" s="196"/>
      <c r="N363" s="196" t="s">
        <v>1260</v>
      </c>
      <c r="O363" s="196"/>
      <c r="P363" s="24"/>
      <c r="Q363" s="204"/>
      <c r="R363" s="229"/>
      <c r="S363" s="204"/>
      <c r="T363" s="229"/>
      <c r="U363" s="229"/>
      <c r="V363" s="204"/>
      <c r="W363" s="24"/>
      <c r="X363" s="24"/>
      <c r="Y363" s="24"/>
      <c r="Z363" s="22"/>
      <c r="AA363" s="24"/>
      <c r="AB363" s="24"/>
      <c r="AC363" s="231" t="s">
        <v>259</v>
      </c>
      <c r="AD363" s="25"/>
      <c r="AE363" s="231">
        <v>68154008</v>
      </c>
      <c r="AF363" s="28"/>
      <c r="AG363" s="205" t="s">
        <v>115</v>
      </c>
      <c r="AH363" s="223" t="s">
        <v>1261</v>
      </c>
      <c r="AI363" s="205" t="s">
        <v>1262</v>
      </c>
      <c r="AJ363" s="24"/>
      <c r="AK363" s="24"/>
      <c r="AL363" s="24"/>
    </row>
    <row r="364" spans="1:38" ht="12.75" customHeight="1">
      <c r="A364" s="22">
        <v>362</v>
      </c>
      <c r="B364" s="206" t="s">
        <v>281</v>
      </c>
      <c r="C364" s="24" t="s">
        <v>180</v>
      </c>
      <c r="D364" s="24" t="s">
        <v>1245</v>
      </c>
      <c r="E364" s="24" t="s">
        <v>1215</v>
      </c>
      <c r="F364" s="24">
        <v>1</v>
      </c>
      <c r="G364" s="24" t="s">
        <v>1135</v>
      </c>
      <c r="H364" s="24"/>
      <c r="I364" s="226"/>
      <c r="J364" s="204"/>
      <c r="K364" s="204"/>
      <c r="L364" s="204"/>
      <c r="M364" s="196"/>
      <c r="N364" s="196" t="s">
        <v>281</v>
      </c>
      <c r="O364" s="196"/>
      <c r="P364" s="24"/>
      <c r="Q364" s="204"/>
      <c r="R364" s="229"/>
      <c r="S364" s="204"/>
      <c r="T364" s="229"/>
      <c r="U364" s="229"/>
      <c r="V364" s="204"/>
      <c r="W364" s="24"/>
      <c r="X364" s="24"/>
      <c r="Y364" s="24"/>
      <c r="Z364" s="22"/>
      <c r="AA364" s="24"/>
      <c r="AB364" s="24"/>
      <c r="AC364" s="231" t="s">
        <v>283</v>
      </c>
      <c r="AD364" s="25"/>
      <c r="AE364" s="231">
        <v>386661006</v>
      </c>
      <c r="AF364" s="28"/>
      <c r="AG364" s="205" t="s">
        <v>115</v>
      </c>
      <c r="AH364" s="223" t="s">
        <v>284</v>
      </c>
      <c r="AI364" s="205" t="s">
        <v>285</v>
      </c>
      <c r="AJ364" s="24"/>
      <c r="AK364" s="24"/>
      <c r="AL364" s="24"/>
    </row>
    <row r="365" spans="1:38" ht="12.75" customHeight="1">
      <c r="A365" s="22">
        <v>363</v>
      </c>
      <c r="B365" s="206" t="s">
        <v>1264</v>
      </c>
      <c r="C365" s="24" t="s">
        <v>180</v>
      </c>
      <c r="D365" s="24" t="s">
        <v>1245</v>
      </c>
      <c r="E365" s="24" t="s">
        <v>1215</v>
      </c>
      <c r="F365" s="24">
        <v>1</v>
      </c>
      <c r="G365" s="24" t="s">
        <v>1135</v>
      </c>
      <c r="H365" s="24"/>
      <c r="I365" s="226"/>
      <c r="J365" s="204"/>
      <c r="K365" s="204"/>
      <c r="L365" s="204"/>
      <c r="M365" s="196"/>
      <c r="N365" s="196" t="s">
        <v>1264</v>
      </c>
      <c r="O365" s="196"/>
      <c r="P365" s="24"/>
      <c r="Q365" s="204"/>
      <c r="R365" s="229"/>
      <c r="S365" s="204"/>
      <c r="T365" s="229"/>
      <c r="U365" s="229"/>
      <c r="V365" s="204"/>
      <c r="W365" s="24"/>
      <c r="X365" s="24"/>
      <c r="Y365" s="24"/>
      <c r="Z365" s="22"/>
      <c r="AA365" s="24"/>
      <c r="AB365" s="24"/>
      <c r="AC365" s="232" t="s">
        <v>387</v>
      </c>
      <c r="AD365" s="25"/>
      <c r="AE365" s="231">
        <v>84229001</v>
      </c>
      <c r="AF365" s="28"/>
      <c r="AG365" s="205" t="s">
        <v>115</v>
      </c>
      <c r="AH365" s="223" t="s">
        <v>1265</v>
      </c>
      <c r="AI365" s="205" t="s">
        <v>1266</v>
      </c>
      <c r="AJ365" s="24"/>
      <c r="AK365" s="24"/>
      <c r="AL365" s="24"/>
    </row>
    <row r="366" spans="1:38" ht="12.75" customHeight="1">
      <c r="A366" s="22">
        <v>364</v>
      </c>
      <c r="B366" s="206" t="s">
        <v>298</v>
      </c>
      <c r="C366" s="24" t="s">
        <v>180</v>
      </c>
      <c r="D366" s="24" t="s">
        <v>1245</v>
      </c>
      <c r="E366" s="24" t="s">
        <v>1215</v>
      </c>
      <c r="F366" s="24">
        <v>1</v>
      </c>
      <c r="G366" s="24" t="s">
        <v>1135</v>
      </c>
      <c r="H366" s="24"/>
      <c r="I366" s="226"/>
      <c r="J366" s="204"/>
      <c r="K366" s="204"/>
      <c r="L366" s="204"/>
      <c r="M366" s="196"/>
      <c r="N366" s="196" t="s">
        <v>298</v>
      </c>
      <c r="O366" s="196"/>
      <c r="P366" s="24"/>
      <c r="Q366" s="204"/>
      <c r="R366" s="229"/>
      <c r="S366" s="204"/>
      <c r="T366" s="229"/>
      <c r="U366" s="229"/>
      <c r="V366" s="204"/>
      <c r="W366" s="24"/>
      <c r="X366" s="24"/>
      <c r="Y366" s="24"/>
      <c r="Z366" s="22"/>
      <c r="AA366" s="24"/>
      <c r="AB366" s="24"/>
      <c r="AC366" s="231" t="s">
        <v>299</v>
      </c>
      <c r="AD366" s="25"/>
      <c r="AE366" s="231">
        <v>25064002</v>
      </c>
      <c r="AF366" s="28"/>
      <c r="AG366" s="205" t="s">
        <v>115</v>
      </c>
      <c r="AH366" s="223" t="s">
        <v>300</v>
      </c>
      <c r="AI366" s="205" t="s">
        <v>301</v>
      </c>
      <c r="AJ366" s="24"/>
      <c r="AK366" s="24"/>
      <c r="AL366" s="24"/>
    </row>
    <row r="367" spans="1:38" ht="12.75" customHeight="1">
      <c r="A367" s="22">
        <v>365</v>
      </c>
      <c r="B367" s="206" t="s">
        <v>396</v>
      </c>
      <c r="C367" s="24" t="s">
        <v>180</v>
      </c>
      <c r="D367" s="24" t="s">
        <v>1245</v>
      </c>
      <c r="E367" s="24" t="s">
        <v>1215</v>
      </c>
      <c r="F367" s="24">
        <v>1</v>
      </c>
      <c r="G367" s="24" t="s">
        <v>1135</v>
      </c>
      <c r="H367" s="24"/>
      <c r="I367" s="226"/>
      <c r="J367" s="204"/>
      <c r="K367" s="204"/>
      <c r="L367" s="204"/>
      <c r="M367" s="196"/>
      <c r="N367" s="196" t="s">
        <v>396</v>
      </c>
      <c r="O367" s="196"/>
      <c r="P367" s="24"/>
      <c r="Q367" s="204"/>
      <c r="R367" s="229"/>
      <c r="S367" s="204"/>
      <c r="T367" s="229"/>
      <c r="U367" s="229"/>
      <c r="V367" s="204"/>
      <c r="W367" s="24"/>
      <c r="X367" s="24"/>
      <c r="Y367" s="24"/>
      <c r="Z367" s="22"/>
      <c r="AA367" s="24"/>
      <c r="AB367" s="24"/>
      <c r="AC367" s="232" t="s">
        <v>397</v>
      </c>
      <c r="AD367" s="25"/>
      <c r="AE367" s="231">
        <v>289530006</v>
      </c>
      <c r="AF367" s="28"/>
      <c r="AG367" s="205" t="s">
        <v>115</v>
      </c>
      <c r="AH367" s="223" t="s">
        <v>1267</v>
      </c>
      <c r="AI367" s="205" t="s">
        <v>399</v>
      </c>
      <c r="AJ367" s="24"/>
      <c r="AK367" s="24"/>
      <c r="AL367" s="24"/>
    </row>
    <row r="368" spans="1:38" ht="12.75" customHeight="1">
      <c r="A368" s="22">
        <v>366</v>
      </c>
      <c r="B368" s="206" t="s">
        <v>1268</v>
      </c>
      <c r="C368" s="24" t="s">
        <v>180</v>
      </c>
      <c r="D368" s="24" t="s">
        <v>1245</v>
      </c>
      <c r="E368" s="24" t="s">
        <v>1215</v>
      </c>
      <c r="F368" s="24">
        <v>1</v>
      </c>
      <c r="G368" s="24" t="s">
        <v>1135</v>
      </c>
      <c r="H368" s="24"/>
      <c r="I368" s="226"/>
      <c r="J368" s="204"/>
      <c r="K368" s="204"/>
      <c r="L368" s="204"/>
      <c r="M368" s="196"/>
      <c r="N368" s="196" t="s">
        <v>1268</v>
      </c>
      <c r="O368" s="196"/>
      <c r="P368" s="24"/>
      <c r="Q368" s="204"/>
      <c r="R368" s="229"/>
      <c r="S368" s="204"/>
      <c r="T368" s="229"/>
      <c r="U368" s="229"/>
      <c r="V368" s="204"/>
      <c r="W368" s="24"/>
      <c r="X368" s="24"/>
      <c r="Y368" s="24"/>
      <c r="Z368" s="22"/>
      <c r="AA368" s="24"/>
      <c r="AB368" s="24"/>
      <c r="AC368" s="232" t="s">
        <v>397</v>
      </c>
      <c r="AD368" s="25"/>
      <c r="AE368" s="231">
        <v>271939006</v>
      </c>
      <c r="AF368" s="28"/>
      <c r="AG368" s="205" t="s">
        <v>115</v>
      </c>
      <c r="AH368" s="223" t="s">
        <v>1269</v>
      </c>
      <c r="AI368" s="205" t="s">
        <v>1271</v>
      </c>
      <c r="AJ368" s="24"/>
      <c r="AK368" s="24"/>
      <c r="AL368" s="24"/>
    </row>
    <row r="369" spans="1:38" ht="12.75" customHeight="1">
      <c r="A369" s="22">
        <v>367</v>
      </c>
      <c r="B369" s="206" t="s">
        <v>400</v>
      </c>
      <c r="C369" s="24" t="s">
        <v>180</v>
      </c>
      <c r="D369" s="24" t="s">
        <v>1245</v>
      </c>
      <c r="E369" s="24" t="s">
        <v>1215</v>
      </c>
      <c r="F369" s="24">
        <v>1</v>
      </c>
      <c r="G369" s="24" t="s">
        <v>1135</v>
      </c>
      <c r="H369" s="24"/>
      <c r="I369" s="226"/>
      <c r="J369" s="204"/>
      <c r="K369" s="204"/>
      <c r="L369" s="204"/>
      <c r="M369" s="196"/>
      <c r="N369" s="196" t="s">
        <v>400</v>
      </c>
      <c r="O369" s="196"/>
      <c r="P369" s="24"/>
      <c r="Q369" s="204"/>
      <c r="R369" s="229"/>
      <c r="S369" s="204"/>
      <c r="T369" s="229"/>
      <c r="U369" s="229"/>
      <c r="V369" s="204"/>
      <c r="W369" s="24"/>
      <c r="X369" s="24"/>
      <c r="Y369" s="24"/>
      <c r="Z369" s="22"/>
      <c r="AA369" s="24"/>
      <c r="AB369" s="24"/>
      <c r="AC369" s="232" t="s">
        <v>402</v>
      </c>
      <c r="AD369" s="25"/>
      <c r="AE369" s="231">
        <v>63102001</v>
      </c>
      <c r="AF369" s="28"/>
      <c r="AG369" s="205" t="s">
        <v>115</v>
      </c>
      <c r="AH369" s="223" t="s">
        <v>403</v>
      </c>
      <c r="AI369" s="205" t="s">
        <v>404</v>
      </c>
      <c r="AJ369" s="24"/>
      <c r="AK369" s="24"/>
      <c r="AL369" s="24"/>
    </row>
    <row r="370" spans="1:38" ht="12.75" customHeight="1">
      <c r="A370" s="22">
        <v>368</v>
      </c>
      <c r="B370" s="206" t="s">
        <v>1273</v>
      </c>
      <c r="C370" s="24" t="s">
        <v>96</v>
      </c>
      <c r="D370" s="24"/>
      <c r="E370" s="24" t="s">
        <v>1274</v>
      </c>
      <c r="F370" s="24">
        <v>1</v>
      </c>
      <c r="G370" s="24" t="s">
        <v>1135</v>
      </c>
      <c r="H370" s="24"/>
      <c r="I370" s="226"/>
      <c r="J370" s="234" t="s">
        <v>1273</v>
      </c>
      <c r="K370" s="234" t="s">
        <v>1275</v>
      </c>
      <c r="L370" s="234" t="s">
        <v>1276</v>
      </c>
      <c r="M370" s="234" t="s">
        <v>238</v>
      </c>
      <c r="N370" s="196"/>
      <c r="O370" s="196"/>
      <c r="P370" s="24"/>
      <c r="Q370" s="234"/>
      <c r="R370" s="229"/>
      <c r="S370" s="234" t="s">
        <v>113</v>
      </c>
      <c r="T370" s="229"/>
      <c r="U370" s="229"/>
      <c r="V370" s="234" t="s">
        <v>1277</v>
      </c>
      <c r="W370" s="24"/>
      <c r="X370" s="24"/>
      <c r="Y370" s="24"/>
      <c r="Z370" s="22"/>
      <c r="AA370" s="24"/>
      <c r="AB370" s="24"/>
      <c r="AC370" s="228"/>
      <c r="AD370" s="120"/>
      <c r="AE370" s="217"/>
      <c r="AF370" s="217"/>
      <c r="AG370" s="235" t="s">
        <v>1241</v>
      </c>
      <c r="AH370" s="236" t="s">
        <v>1220</v>
      </c>
      <c r="AI370" s="235" t="s">
        <v>1221</v>
      </c>
      <c r="AJ370" s="24"/>
      <c r="AK370" s="24"/>
      <c r="AL370" s="24"/>
    </row>
    <row r="371" spans="1:38" ht="12.75" customHeight="1">
      <c r="A371" s="22">
        <v>369</v>
      </c>
      <c r="B371" s="206" t="s">
        <v>423</v>
      </c>
      <c r="C371" s="24" t="s">
        <v>180</v>
      </c>
      <c r="D371" s="24" t="s">
        <v>1273</v>
      </c>
      <c r="E371" s="24" t="s">
        <v>1274</v>
      </c>
      <c r="F371" s="24">
        <v>1</v>
      </c>
      <c r="G371" s="24" t="s">
        <v>1135</v>
      </c>
      <c r="H371" s="24"/>
      <c r="I371" s="226"/>
      <c r="J371" s="196"/>
      <c r="K371" s="196"/>
      <c r="L371" s="196"/>
      <c r="M371" s="196"/>
      <c r="N371" s="196" t="s">
        <v>423</v>
      </c>
      <c r="O371" s="196"/>
      <c r="P371" s="24"/>
      <c r="Q371" s="234" t="s">
        <v>1279</v>
      </c>
      <c r="R371" s="229"/>
      <c r="S371" s="196"/>
      <c r="T371" s="229"/>
      <c r="U371" s="229"/>
      <c r="V371" s="196"/>
      <c r="W371" s="24"/>
      <c r="X371" s="24"/>
      <c r="Y371" s="24"/>
      <c r="Z371" s="22"/>
      <c r="AA371" s="24"/>
      <c r="AB371" s="24"/>
      <c r="AC371" s="227"/>
      <c r="AD371" s="25"/>
      <c r="AE371" s="231">
        <v>260413007</v>
      </c>
      <c r="AF371" s="28"/>
      <c r="AG371" s="205" t="s">
        <v>115</v>
      </c>
      <c r="AH371" s="223" t="s">
        <v>424</v>
      </c>
      <c r="AI371" s="205" t="s">
        <v>425</v>
      </c>
      <c r="AJ371" s="24"/>
      <c r="AK371" s="24"/>
      <c r="AL371" s="24"/>
    </row>
    <row r="372" spans="1:38" ht="12.75" customHeight="1">
      <c r="A372" s="22">
        <v>370</v>
      </c>
      <c r="B372" s="206" t="s">
        <v>1223</v>
      </c>
      <c r="C372" s="24" t="s">
        <v>180</v>
      </c>
      <c r="D372" s="24" t="s">
        <v>1273</v>
      </c>
      <c r="E372" s="24" t="s">
        <v>1274</v>
      </c>
      <c r="F372" s="24">
        <v>1</v>
      </c>
      <c r="G372" s="24" t="s">
        <v>1135</v>
      </c>
      <c r="H372" s="24"/>
      <c r="I372" s="226"/>
      <c r="J372" s="196"/>
      <c r="K372" s="196"/>
      <c r="L372" s="196"/>
      <c r="M372" s="196"/>
      <c r="N372" s="234" t="s">
        <v>1223</v>
      </c>
      <c r="O372" s="196"/>
      <c r="P372" s="24"/>
      <c r="Q372" s="234"/>
      <c r="R372" s="229"/>
      <c r="S372" s="196"/>
      <c r="T372" s="229"/>
      <c r="U372" s="229"/>
      <c r="V372" s="196"/>
      <c r="W372" s="24"/>
      <c r="X372" s="24"/>
      <c r="Y372" s="24"/>
      <c r="Z372" s="22"/>
      <c r="AA372" s="24"/>
      <c r="AB372" s="24"/>
      <c r="AC372" s="231" t="s">
        <v>331</v>
      </c>
      <c r="AD372" s="25"/>
      <c r="AE372" s="28">
        <v>16932000</v>
      </c>
      <c r="AF372" s="28"/>
      <c r="AG372" s="205" t="s">
        <v>115</v>
      </c>
      <c r="AH372" s="223" t="s">
        <v>1224</v>
      </c>
      <c r="AI372" s="207" t="s">
        <v>1225</v>
      </c>
      <c r="AJ372" s="24"/>
      <c r="AK372" s="24"/>
      <c r="AL372" s="24"/>
    </row>
    <row r="373" spans="1:38" ht="12.75" customHeight="1">
      <c r="A373" s="22">
        <v>371</v>
      </c>
      <c r="B373" s="206" t="s">
        <v>302</v>
      </c>
      <c r="C373" s="24" t="s">
        <v>180</v>
      </c>
      <c r="D373" s="24" t="s">
        <v>1273</v>
      </c>
      <c r="E373" s="24" t="s">
        <v>1274</v>
      </c>
      <c r="F373" s="24">
        <v>1</v>
      </c>
      <c r="G373" s="24" t="s">
        <v>1135</v>
      </c>
      <c r="H373" s="24"/>
      <c r="I373" s="226"/>
      <c r="J373" s="196"/>
      <c r="K373" s="196"/>
      <c r="L373" s="196"/>
      <c r="M373" s="196"/>
      <c r="N373" s="234" t="s">
        <v>302</v>
      </c>
      <c r="O373" s="196"/>
      <c r="P373" s="24"/>
      <c r="Q373" s="234"/>
      <c r="R373" s="229"/>
      <c r="S373" s="196"/>
      <c r="T373" s="229"/>
      <c r="U373" s="229"/>
      <c r="V373" s="196"/>
      <c r="W373" s="24"/>
      <c r="X373" s="24"/>
      <c r="Y373" s="24"/>
      <c r="Z373" s="22"/>
      <c r="AA373" s="24"/>
      <c r="AB373" s="24"/>
      <c r="AC373" s="231" t="s">
        <v>303</v>
      </c>
      <c r="AD373" s="25"/>
      <c r="AE373" s="231">
        <v>16331000</v>
      </c>
      <c r="AF373" s="28"/>
      <c r="AG373" s="205" t="s">
        <v>115</v>
      </c>
      <c r="AH373" s="243" t="s">
        <v>305</v>
      </c>
      <c r="AI373" s="207" t="s">
        <v>306</v>
      </c>
      <c r="AJ373" s="24"/>
      <c r="AK373" s="24"/>
      <c r="AL373" s="24"/>
    </row>
    <row r="374" spans="1:38" ht="12.75" customHeight="1">
      <c r="A374" s="22">
        <v>372</v>
      </c>
      <c r="B374" s="206" t="s">
        <v>307</v>
      </c>
      <c r="C374" s="24" t="s">
        <v>180</v>
      </c>
      <c r="D374" s="24" t="s">
        <v>1273</v>
      </c>
      <c r="E374" s="24" t="s">
        <v>1274</v>
      </c>
      <c r="F374" s="24">
        <v>1</v>
      </c>
      <c r="G374" s="24" t="s">
        <v>1135</v>
      </c>
      <c r="H374" s="24"/>
      <c r="I374" s="226"/>
      <c r="J374" s="196"/>
      <c r="K374" s="196"/>
      <c r="L374" s="196"/>
      <c r="M374" s="196"/>
      <c r="N374" s="234" t="s">
        <v>307</v>
      </c>
      <c r="O374" s="196"/>
      <c r="P374" s="24"/>
      <c r="Q374" s="234"/>
      <c r="R374" s="229"/>
      <c r="S374" s="196"/>
      <c r="T374" s="229"/>
      <c r="U374" s="229"/>
      <c r="V374" s="196"/>
      <c r="W374" s="24"/>
      <c r="X374" s="24"/>
      <c r="Y374" s="24"/>
      <c r="Z374" s="22"/>
      <c r="AA374" s="24"/>
      <c r="AB374" s="24"/>
      <c r="AC374" s="232" t="s">
        <v>309</v>
      </c>
      <c r="AD374" s="25"/>
      <c r="AE374" s="231">
        <v>449917004</v>
      </c>
      <c r="AF374" s="28"/>
      <c r="AG374" s="205" t="s">
        <v>115</v>
      </c>
      <c r="AH374" s="223" t="s">
        <v>310</v>
      </c>
      <c r="AI374" s="205" t="s">
        <v>311</v>
      </c>
      <c r="AJ374" s="24"/>
      <c r="AK374" s="24"/>
      <c r="AL374" s="24"/>
    </row>
    <row r="375" spans="1:38" ht="12.75" customHeight="1">
      <c r="A375" s="22">
        <v>373</v>
      </c>
      <c r="B375" s="206" t="s">
        <v>249</v>
      </c>
      <c r="C375" s="24" t="s">
        <v>180</v>
      </c>
      <c r="D375" s="24" t="s">
        <v>1273</v>
      </c>
      <c r="E375" s="24" t="s">
        <v>1274</v>
      </c>
      <c r="F375" s="24">
        <v>1</v>
      </c>
      <c r="G375" s="24" t="s">
        <v>1135</v>
      </c>
      <c r="H375" s="24"/>
      <c r="I375" s="226"/>
      <c r="J375" s="196"/>
      <c r="K375" s="196"/>
      <c r="L375" s="196"/>
      <c r="M375" s="196"/>
      <c r="N375" s="234" t="s">
        <v>249</v>
      </c>
      <c r="O375" s="196"/>
      <c r="P375" s="24"/>
      <c r="Q375" s="234"/>
      <c r="R375" s="229"/>
      <c r="S375" s="196"/>
      <c r="T375" s="229"/>
      <c r="U375" s="229"/>
      <c r="V375" s="196"/>
      <c r="W375" s="24"/>
      <c r="X375" s="24"/>
      <c r="Y375" s="24"/>
      <c r="Z375" s="22"/>
      <c r="AA375" s="24"/>
      <c r="AB375" s="24"/>
      <c r="AC375" s="231" t="s">
        <v>251</v>
      </c>
      <c r="AD375" s="25"/>
      <c r="AE375" s="231">
        <v>14760008</v>
      </c>
      <c r="AF375" s="28"/>
      <c r="AG375" s="205" t="s">
        <v>115</v>
      </c>
      <c r="AH375" s="223" t="s">
        <v>252</v>
      </c>
      <c r="AI375" s="205" t="s">
        <v>253</v>
      </c>
      <c r="AJ375" s="24"/>
      <c r="AK375" s="24"/>
      <c r="AL375" s="24"/>
    </row>
    <row r="376" spans="1:38" ht="12.75" customHeight="1">
      <c r="A376" s="22">
        <v>374</v>
      </c>
      <c r="B376" s="206" t="s">
        <v>320</v>
      </c>
      <c r="C376" s="24" t="s">
        <v>180</v>
      </c>
      <c r="D376" s="24" t="s">
        <v>1273</v>
      </c>
      <c r="E376" s="24" t="s">
        <v>1274</v>
      </c>
      <c r="F376" s="24">
        <v>1</v>
      </c>
      <c r="G376" s="24" t="s">
        <v>1135</v>
      </c>
      <c r="H376" s="24"/>
      <c r="I376" s="226"/>
      <c r="J376" s="196"/>
      <c r="K376" s="196"/>
      <c r="L376" s="196"/>
      <c r="M376" s="196"/>
      <c r="N376" s="234" t="s">
        <v>320</v>
      </c>
      <c r="O376" s="196"/>
      <c r="P376" s="24"/>
      <c r="Q376" s="234"/>
      <c r="R376" s="229"/>
      <c r="S376" s="196"/>
      <c r="T376" s="229"/>
      <c r="U376" s="229"/>
      <c r="V376" s="196"/>
      <c r="W376" s="24"/>
      <c r="X376" s="24"/>
      <c r="Y376" s="24"/>
      <c r="Z376" s="22"/>
      <c r="AA376" s="24"/>
      <c r="AB376" s="24"/>
      <c r="AC376" s="231" t="s">
        <v>322</v>
      </c>
      <c r="AD376" s="25"/>
      <c r="AE376" s="231">
        <v>279039007</v>
      </c>
      <c r="AF376" s="28"/>
      <c r="AG376" s="205" t="s">
        <v>115</v>
      </c>
      <c r="AH376" s="223" t="s">
        <v>323</v>
      </c>
      <c r="AI376" s="205" t="s">
        <v>324</v>
      </c>
      <c r="AJ376" s="24"/>
      <c r="AK376" s="24"/>
      <c r="AL376" s="24"/>
    </row>
    <row r="377" spans="1:38" ht="12.75" customHeight="1">
      <c r="A377" s="22">
        <v>375</v>
      </c>
      <c r="B377" s="206" t="s">
        <v>325</v>
      </c>
      <c r="C377" s="24" t="s">
        <v>180</v>
      </c>
      <c r="D377" s="24" t="s">
        <v>1273</v>
      </c>
      <c r="E377" s="24" t="s">
        <v>1274</v>
      </c>
      <c r="F377" s="24">
        <v>1</v>
      </c>
      <c r="G377" s="24" t="s">
        <v>1135</v>
      </c>
      <c r="H377" s="24"/>
      <c r="I377" s="226"/>
      <c r="J377" s="196"/>
      <c r="K377" s="196"/>
      <c r="L377" s="196"/>
      <c r="M377" s="196"/>
      <c r="N377" s="234" t="s">
        <v>325</v>
      </c>
      <c r="O377" s="196"/>
      <c r="P377" s="24"/>
      <c r="Q377" s="234"/>
      <c r="R377" s="229"/>
      <c r="S377" s="196"/>
      <c r="T377" s="229"/>
      <c r="U377" s="229"/>
      <c r="V377" s="196"/>
      <c r="W377" s="24"/>
      <c r="X377" s="24"/>
      <c r="Y377" s="24"/>
      <c r="Z377" s="22"/>
      <c r="AA377" s="24"/>
      <c r="AB377" s="24"/>
      <c r="AC377" s="232" t="s">
        <v>326</v>
      </c>
      <c r="AD377" s="25"/>
      <c r="AE377" s="231">
        <v>30473006</v>
      </c>
      <c r="AF377" s="28"/>
      <c r="AG377" s="205" t="s">
        <v>115</v>
      </c>
      <c r="AH377" s="223" t="s">
        <v>328</v>
      </c>
      <c r="AI377" s="205" t="s">
        <v>329</v>
      </c>
      <c r="AJ377" s="24"/>
      <c r="AK377" s="24"/>
      <c r="AL377" s="24"/>
    </row>
    <row r="378" spans="1:38" ht="12.75" customHeight="1">
      <c r="A378" s="22">
        <v>376</v>
      </c>
      <c r="B378" s="206" t="s">
        <v>1229</v>
      </c>
      <c r="C378" s="24" t="s">
        <v>180</v>
      </c>
      <c r="D378" s="24" t="s">
        <v>1273</v>
      </c>
      <c r="E378" s="24" t="s">
        <v>1274</v>
      </c>
      <c r="F378" s="24">
        <v>1</v>
      </c>
      <c r="G378" s="24" t="s">
        <v>1135</v>
      </c>
      <c r="H378" s="24"/>
      <c r="I378" s="226"/>
      <c r="J378" s="196"/>
      <c r="K378" s="196"/>
      <c r="L378" s="196"/>
      <c r="M378" s="196"/>
      <c r="N378" s="234" t="s">
        <v>1229</v>
      </c>
      <c r="O378" s="196"/>
      <c r="P378" s="24"/>
      <c r="Q378" s="234"/>
      <c r="R378" s="229"/>
      <c r="S378" s="196"/>
      <c r="T378" s="229"/>
      <c r="U378" s="229"/>
      <c r="V378" s="196"/>
      <c r="W378" s="24"/>
      <c r="X378" s="24"/>
      <c r="Y378" s="24"/>
      <c r="Z378" s="22"/>
      <c r="AA378" s="24"/>
      <c r="AB378" s="24"/>
      <c r="AC378" s="231" t="s">
        <v>1230</v>
      </c>
      <c r="AD378" s="25"/>
      <c r="AE378" s="231">
        <v>72866009</v>
      </c>
      <c r="AF378" s="28"/>
      <c r="AG378" s="235" t="s">
        <v>115</v>
      </c>
      <c r="AH378" s="236" t="s">
        <v>1231</v>
      </c>
      <c r="AI378" s="235" t="s">
        <v>1233</v>
      </c>
      <c r="AJ378" s="24"/>
      <c r="AK378" s="24"/>
      <c r="AL378" s="24"/>
    </row>
    <row r="379" spans="1:38" ht="12.75" customHeight="1">
      <c r="A379" s="22">
        <v>377</v>
      </c>
      <c r="B379" s="206" t="s">
        <v>340</v>
      </c>
      <c r="C379" s="24" t="s">
        <v>180</v>
      </c>
      <c r="D379" s="24" t="s">
        <v>1273</v>
      </c>
      <c r="E379" s="24" t="s">
        <v>1274</v>
      </c>
      <c r="F379" s="24">
        <v>1</v>
      </c>
      <c r="G379" s="24" t="s">
        <v>1135</v>
      </c>
      <c r="H379" s="24"/>
      <c r="I379" s="226"/>
      <c r="J379" s="196"/>
      <c r="K379" s="196"/>
      <c r="L379" s="196"/>
      <c r="M379" s="196"/>
      <c r="N379" s="234" t="s">
        <v>340</v>
      </c>
      <c r="O379" s="196"/>
      <c r="P379" s="24"/>
      <c r="Q379" s="234"/>
      <c r="R379" s="229"/>
      <c r="S379" s="196"/>
      <c r="T379" s="229"/>
      <c r="U379" s="229"/>
      <c r="V379" s="196"/>
      <c r="W379" s="24"/>
      <c r="X379" s="24"/>
      <c r="Y379" s="24"/>
      <c r="Z379" s="22"/>
      <c r="AA379" s="24"/>
      <c r="AB379" s="24"/>
      <c r="AC379" s="232" t="s">
        <v>342</v>
      </c>
      <c r="AD379" s="25"/>
      <c r="AE379" s="231">
        <v>267038008</v>
      </c>
      <c r="AF379" s="28"/>
      <c r="AG379" s="205" t="s">
        <v>115</v>
      </c>
      <c r="AH379" s="223" t="s">
        <v>343</v>
      </c>
      <c r="AI379" s="205" t="s">
        <v>344</v>
      </c>
      <c r="AJ379" s="24"/>
      <c r="AK379" s="24"/>
      <c r="AL379" s="24"/>
    </row>
    <row r="380" spans="1:38" ht="12.75" customHeight="1">
      <c r="A380" s="22">
        <v>378</v>
      </c>
      <c r="B380" s="206" t="s">
        <v>1283</v>
      </c>
      <c r="C380" s="24" t="s">
        <v>96</v>
      </c>
      <c r="D380" s="24"/>
      <c r="E380" s="24" t="s">
        <v>1274</v>
      </c>
      <c r="F380" s="24">
        <v>1</v>
      </c>
      <c r="G380" s="24" t="s">
        <v>1135</v>
      </c>
      <c r="H380" s="24"/>
      <c r="I380" s="226"/>
      <c r="J380" s="196" t="s">
        <v>1283</v>
      </c>
      <c r="K380" s="196" t="s">
        <v>1284</v>
      </c>
      <c r="L380" s="196" t="s">
        <v>1235</v>
      </c>
      <c r="M380" s="196" t="s">
        <v>238</v>
      </c>
      <c r="N380" s="234"/>
      <c r="O380" s="196"/>
      <c r="P380" s="24"/>
      <c r="Q380" s="234" t="s">
        <v>1056</v>
      </c>
      <c r="R380" s="229"/>
      <c r="S380" s="196" t="s">
        <v>113</v>
      </c>
      <c r="T380" s="229"/>
      <c r="U380" s="229"/>
      <c r="V380" s="196" t="s">
        <v>115</v>
      </c>
      <c r="W380" s="24"/>
      <c r="X380" s="24"/>
      <c r="Y380" s="24"/>
      <c r="Z380" s="22"/>
      <c r="AA380" s="24"/>
      <c r="AB380" s="24"/>
      <c r="AC380" s="227"/>
      <c r="AD380" s="25"/>
      <c r="AE380" s="231">
        <v>260413007</v>
      </c>
      <c r="AF380" s="28"/>
      <c r="AG380" s="235" t="s">
        <v>1241</v>
      </c>
      <c r="AH380" s="236" t="s">
        <v>1220</v>
      </c>
      <c r="AI380" s="235" t="s">
        <v>1221</v>
      </c>
      <c r="AJ380" s="24"/>
      <c r="AK380" s="24"/>
      <c r="AL380" s="24"/>
    </row>
    <row r="381" spans="1:38" ht="12.75" customHeight="1">
      <c r="A381" s="22">
        <v>379</v>
      </c>
      <c r="B381" s="206" t="s">
        <v>423</v>
      </c>
      <c r="C381" s="24" t="s">
        <v>180</v>
      </c>
      <c r="D381" s="24" t="s">
        <v>1283</v>
      </c>
      <c r="E381" s="24" t="s">
        <v>1274</v>
      </c>
      <c r="F381" s="24">
        <v>1</v>
      </c>
      <c r="G381" s="24" t="s">
        <v>1135</v>
      </c>
      <c r="H381" s="24"/>
      <c r="I381" s="226"/>
      <c r="J381" s="196"/>
      <c r="K381" s="196"/>
      <c r="L381" s="196"/>
      <c r="M381" s="196"/>
      <c r="N381" s="234" t="s">
        <v>423</v>
      </c>
      <c r="O381" s="196"/>
      <c r="P381" s="24"/>
      <c r="Q381" s="234"/>
      <c r="R381" s="229"/>
      <c r="S381" s="204"/>
      <c r="T381" s="229"/>
      <c r="U381" s="229"/>
      <c r="V381" s="196"/>
      <c r="W381" s="24"/>
      <c r="X381" s="24"/>
      <c r="Y381" s="24"/>
      <c r="Z381" s="22"/>
      <c r="AA381" s="24"/>
      <c r="AB381" s="24"/>
      <c r="AC381" s="227"/>
      <c r="AD381" s="25"/>
      <c r="AE381" s="28">
        <v>16932000</v>
      </c>
      <c r="AF381" s="28"/>
      <c r="AG381" s="205" t="s">
        <v>115</v>
      </c>
      <c r="AH381" s="223" t="s">
        <v>424</v>
      </c>
      <c r="AI381" s="205" t="s">
        <v>425</v>
      </c>
      <c r="AJ381" s="24"/>
      <c r="AK381" s="24"/>
      <c r="AL381" s="24"/>
    </row>
    <row r="382" spans="1:38" ht="12.75" customHeight="1">
      <c r="A382" s="22">
        <v>380</v>
      </c>
      <c r="B382" s="206" t="s">
        <v>254</v>
      </c>
      <c r="C382" s="24" t="s">
        <v>180</v>
      </c>
      <c r="D382" s="24" t="s">
        <v>1283</v>
      </c>
      <c r="E382" s="24" t="s">
        <v>1274</v>
      </c>
      <c r="F382" s="24">
        <v>1</v>
      </c>
      <c r="G382" s="24" t="s">
        <v>1135</v>
      </c>
      <c r="H382" s="24"/>
      <c r="I382" s="226"/>
      <c r="J382" s="196"/>
      <c r="K382" s="196"/>
      <c r="L382" s="196"/>
      <c r="M382" s="196"/>
      <c r="N382" s="234" t="s">
        <v>254</v>
      </c>
      <c r="O382" s="196"/>
      <c r="P382" s="24"/>
      <c r="Q382" s="234"/>
      <c r="R382" s="229"/>
      <c r="S382" s="204"/>
      <c r="T382" s="229"/>
      <c r="U382" s="229"/>
      <c r="V382" s="196"/>
      <c r="W382" s="24"/>
      <c r="X382" s="24"/>
      <c r="Y382" s="24"/>
      <c r="Z382" s="22"/>
      <c r="AA382" s="24"/>
      <c r="AB382" s="24"/>
      <c r="AC382" s="227"/>
      <c r="AD382" s="25"/>
      <c r="AE382" s="231">
        <v>289741005</v>
      </c>
      <c r="AF382" s="28"/>
      <c r="AG382" s="205" t="s">
        <v>115</v>
      </c>
      <c r="AH382" s="223" t="s">
        <v>256</v>
      </c>
      <c r="AI382" s="205" t="s">
        <v>257</v>
      </c>
      <c r="AJ382" s="24"/>
      <c r="AK382" s="24"/>
      <c r="AL382" s="24"/>
    </row>
    <row r="383" spans="1:38" ht="12.75" customHeight="1">
      <c r="A383" s="22">
        <v>381</v>
      </c>
      <c r="B383" s="206" t="s">
        <v>369</v>
      </c>
      <c r="C383" s="24" t="s">
        <v>180</v>
      </c>
      <c r="D383" s="24" t="s">
        <v>1283</v>
      </c>
      <c r="E383" s="24" t="s">
        <v>1274</v>
      </c>
      <c r="F383" s="24">
        <v>1</v>
      </c>
      <c r="G383" s="24" t="s">
        <v>1135</v>
      </c>
      <c r="H383" s="24"/>
      <c r="I383" s="226"/>
      <c r="J383" s="196"/>
      <c r="K383" s="196"/>
      <c r="L383" s="196"/>
      <c r="M383" s="196"/>
      <c r="N383" s="234" t="s">
        <v>369</v>
      </c>
      <c r="O383" s="196"/>
      <c r="P383" s="24"/>
      <c r="Q383" s="234"/>
      <c r="R383" s="229"/>
      <c r="S383" s="204"/>
      <c r="T383" s="229"/>
      <c r="U383" s="229"/>
      <c r="V383" s="196"/>
      <c r="W383" s="24"/>
      <c r="X383" s="24"/>
      <c r="Y383" s="24"/>
      <c r="Z383" s="22"/>
      <c r="AA383" s="24"/>
      <c r="AB383" s="24"/>
      <c r="AC383" s="231" t="s">
        <v>370</v>
      </c>
      <c r="AD383" s="25"/>
      <c r="AE383" s="231">
        <v>49650001</v>
      </c>
      <c r="AF383" s="28"/>
      <c r="AG383" s="205" t="s">
        <v>115</v>
      </c>
      <c r="AH383" s="223" t="s">
        <v>371</v>
      </c>
      <c r="AI383" s="205" t="s">
        <v>372</v>
      </c>
      <c r="AJ383" s="24"/>
      <c r="AK383" s="24"/>
      <c r="AL383" s="24"/>
    </row>
    <row r="384" spans="1:38" ht="12.75" customHeight="1">
      <c r="A384" s="22">
        <v>382</v>
      </c>
      <c r="B384" s="206" t="s">
        <v>1237</v>
      </c>
      <c r="C384" s="24" t="s">
        <v>180</v>
      </c>
      <c r="D384" s="24" t="s">
        <v>1283</v>
      </c>
      <c r="E384" s="24" t="s">
        <v>1274</v>
      </c>
      <c r="F384" s="24">
        <v>1</v>
      </c>
      <c r="G384" s="24" t="s">
        <v>1135</v>
      </c>
      <c r="H384" s="24"/>
      <c r="I384" s="226"/>
      <c r="J384" s="196"/>
      <c r="K384" s="196"/>
      <c r="L384" s="196"/>
      <c r="M384" s="196"/>
      <c r="N384" s="234" t="s">
        <v>1237</v>
      </c>
      <c r="O384" s="196"/>
      <c r="P384" s="24"/>
      <c r="Q384" s="234"/>
      <c r="R384" s="229"/>
      <c r="S384" s="204"/>
      <c r="T384" s="229"/>
      <c r="U384" s="229"/>
      <c r="V384" s="196"/>
      <c r="W384" s="24"/>
      <c r="X384" s="24"/>
      <c r="Y384" s="24"/>
      <c r="Z384" s="22"/>
      <c r="AA384" s="24"/>
      <c r="AB384" s="24"/>
      <c r="AC384" s="228"/>
      <c r="AD384" s="120"/>
      <c r="AE384" s="217"/>
      <c r="AF384" s="217"/>
      <c r="AG384" s="205" t="s">
        <v>115</v>
      </c>
      <c r="AH384" s="223" t="s">
        <v>279</v>
      </c>
      <c r="AI384" s="205" t="s">
        <v>280</v>
      </c>
      <c r="AJ384" s="24"/>
      <c r="AK384" s="24"/>
      <c r="AL384" s="24"/>
    </row>
    <row r="385" spans="1:38" ht="12.75" customHeight="1">
      <c r="A385" s="22">
        <v>383</v>
      </c>
      <c r="B385" s="206" t="s">
        <v>1285</v>
      </c>
      <c r="C385" s="24" t="s">
        <v>96</v>
      </c>
      <c r="D385" s="24"/>
      <c r="E385" s="24" t="s">
        <v>1274</v>
      </c>
      <c r="F385" s="24">
        <v>1</v>
      </c>
      <c r="G385" s="24" t="s">
        <v>1135</v>
      </c>
      <c r="H385" s="24"/>
      <c r="I385" s="226"/>
      <c r="J385" s="196" t="s">
        <v>1285</v>
      </c>
      <c r="K385" s="196" t="s">
        <v>1286</v>
      </c>
      <c r="L385" s="196" t="s">
        <v>1240</v>
      </c>
      <c r="M385" s="196" t="s">
        <v>238</v>
      </c>
      <c r="N385" s="234"/>
      <c r="O385" s="196"/>
      <c r="P385" s="24"/>
      <c r="Q385" s="234" t="s">
        <v>1056</v>
      </c>
      <c r="R385" s="229"/>
      <c r="S385" s="204" t="s">
        <v>113</v>
      </c>
      <c r="T385" s="229"/>
      <c r="U385" s="229"/>
      <c r="V385" s="196" t="s">
        <v>115</v>
      </c>
      <c r="W385" s="24"/>
      <c r="X385" s="24"/>
      <c r="Y385" s="24"/>
      <c r="Z385" s="22"/>
      <c r="AA385" s="24"/>
      <c r="AB385" s="24"/>
      <c r="AC385" s="228"/>
      <c r="AD385" s="120"/>
      <c r="AE385" s="217"/>
      <c r="AF385" s="217"/>
      <c r="AG385" s="235" t="s">
        <v>1241</v>
      </c>
      <c r="AH385" s="236" t="s">
        <v>1220</v>
      </c>
      <c r="AI385" s="235" t="s">
        <v>1221</v>
      </c>
      <c r="AJ385" s="24"/>
      <c r="AK385" s="24"/>
      <c r="AL385" s="24"/>
    </row>
    <row r="386" spans="1:38" ht="12.75" customHeight="1">
      <c r="A386" s="22">
        <v>384</v>
      </c>
      <c r="B386" s="206" t="s">
        <v>423</v>
      </c>
      <c r="C386" s="24" t="s">
        <v>180</v>
      </c>
      <c r="D386" s="24" t="s">
        <v>1285</v>
      </c>
      <c r="E386" s="24" t="s">
        <v>1274</v>
      </c>
      <c r="F386" s="24">
        <v>1</v>
      </c>
      <c r="G386" s="24" t="s">
        <v>1135</v>
      </c>
      <c r="H386" s="24"/>
      <c r="I386" s="226"/>
      <c r="J386" s="196"/>
      <c r="K386" s="196"/>
      <c r="L386" s="196"/>
      <c r="M386" s="196"/>
      <c r="N386" s="234" t="s">
        <v>423</v>
      </c>
      <c r="O386" s="196"/>
      <c r="P386" s="24"/>
      <c r="Q386" s="196"/>
      <c r="R386" s="229"/>
      <c r="S386" s="196"/>
      <c r="T386" s="229"/>
      <c r="U386" s="229"/>
      <c r="V386" s="196"/>
      <c r="W386" s="24"/>
      <c r="X386" s="24"/>
      <c r="Y386" s="24"/>
      <c r="Z386" s="22"/>
      <c r="AA386" s="24"/>
      <c r="AB386" s="24"/>
      <c r="AC386" s="227"/>
      <c r="AD386" s="25"/>
      <c r="AE386" s="231">
        <v>260413007</v>
      </c>
      <c r="AF386" s="28"/>
      <c r="AG386" s="205" t="s">
        <v>115</v>
      </c>
      <c r="AH386" s="223" t="s">
        <v>424</v>
      </c>
      <c r="AI386" s="205" t="s">
        <v>425</v>
      </c>
      <c r="AJ386" s="24"/>
      <c r="AK386" s="24"/>
      <c r="AL386" s="24"/>
    </row>
    <row r="387" spans="1:38" ht="12.75" customHeight="1">
      <c r="A387" s="22">
        <v>385</v>
      </c>
      <c r="B387" s="206" t="s">
        <v>312</v>
      </c>
      <c r="C387" s="24" t="s">
        <v>180</v>
      </c>
      <c r="D387" s="24" t="s">
        <v>1285</v>
      </c>
      <c r="E387" s="24" t="s">
        <v>1274</v>
      </c>
      <c r="F387" s="24">
        <v>1</v>
      </c>
      <c r="G387" s="24" t="s">
        <v>1135</v>
      </c>
      <c r="H387" s="24"/>
      <c r="I387" s="226"/>
      <c r="J387" s="196"/>
      <c r="K387" s="196"/>
      <c r="L387" s="196"/>
      <c r="M387" s="196"/>
      <c r="N387" s="234" t="s">
        <v>312</v>
      </c>
      <c r="O387" s="196"/>
      <c r="P387" s="24"/>
      <c r="Q387" s="196"/>
      <c r="R387" s="229"/>
      <c r="S387" s="196"/>
      <c r="T387" s="229"/>
      <c r="U387" s="229"/>
      <c r="V387" s="196"/>
      <c r="W387" s="24"/>
      <c r="X387" s="24"/>
      <c r="Y387" s="24"/>
      <c r="Z387" s="22"/>
      <c r="AA387" s="24"/>
      <c r="AB387" s="24"/>
      <c r="AC387" s="240" t="s">
        <v>314</v>
      </c>
      <c r="AD387" s="25"/>
      <c r="AE387" s="241">
        <v>10601006</v>
      </c>
      <c r="AF387" s="28"/>
      <c r="AG387" s="205" t="s">
        <v>115</v>
      </c>
      <c r="AH387" s="223" t="s">
        <v>315</v>
      </c>
      <c r="AI387" s="205" t="s">
        <v>316</v>
      </c>
      <c r="AJ387" s="24"/>
      <c r="AK387" s="24"/>
      <c r="AL387" s="24"/>
    </row>
    <row r="388" spans="1:38" ht="12.75" customHeight="1">
      <c r="A388" s="22">
        <v>386</v>
      </c>
      <c r="B388" s="206" t="s">
        <v>317</v>
      </c>
      <c r="C388" s="24" t="s">
        <v>180</v>
      </c>
      <c r="D388" s="24" t="s">
        <v>1285</v>
      </c>
      <c r="E388" s="24" t="s">
        <v>1274</v>
      </c>
      <c r="F388" s="24">
        <v>1</v>
      </c>
      <c r="G388" s="24" t="s">
        <v>1135</v>
      </c>
      <c r="H388" s="24"/>
      <c r="I388" s="226"/>
      <c r="J388" s="196"/>
      <c r="K388" s="196"/>
      <c r="L388" s="196"/>
      <c r="M388" s="196"/>
      <c r="N388" s="234" t="s">
        <v>317</v>
      </c>
      <c r="O388" s="196"/>
      <c r="P388" s="24"/>
      <c r="Q388" s="196"/>
      <c r="R388" s="229"/>
      <c r="S388" s="196"/>
      <c r="T388" s="229"/>
      <c r="U388" s="229"/>
      <c r="V388" s="196"/>
      <c r="W388" s="24"/>
      <c r="X388" s="24"/>
      <c r="Y388" s="24"/>
      <c r="Z388" s="22"/>
      <c r="AA388" s="24"/>
      <c r="AB388" s="24"/>
      <c r="AC388" s="228"/>
      <c r="AD388" s="120"/>
      <c r="AE388" s="217"/>
      <c r="AF388" s="217"/>
      <c r="AG388" s="238" t="s">
        <v>115</v>
      </c>
      <c r="AH388" s="223" t="s">
        <v>318</v>
      </c>
      <c r="AI388" s="205" t="s">
        <v>319</v>
      </c>
      <c r="AJ388" s="24"/>
      <c r="AK388" s="24"/>
      <c r="AL388" s="24"/>
    </row>
    <row r="389" spans="1:38" ht="12.75" customHeight="1">
      <c r="A389" s="22">
        <v>387</v>
      </c>
      <c r="B389" s="206" t="s">
        <v>1287</v>
      </c>
      <c r="C389" s="24" t="s">
        <v>96</v>
      </c>
      <c r="D389" s="24"/>
      <c r="E389" s="24" t="s">
        <v>1274</v>
      </c>
      <c r="F389" s="24">
        <v>1</v>
      </c>
      <c r="G389" s="24" t="s">
        <v>1135</v>
      </c>
      <c r="H389" s="24"/>
      <c r="I389" s="226"/>
      <c r="J389" s="234" t="s">
        <v>1287</v>
      </c>
      <c r="K389" s="234" t="s">
        <v>1288</v>
      </c>
      <c r="L389" s="234" t="s">
        <v>1289</v>
      </c>
      <c r="M389" s="234" t="s">
        <v>238</v>
      </c>
      <c r="N389" s="196"/>
      <c r="O389" s="196"/>
      <c r="P389" s="24"/>
      <c r="Q389" s="234" t="s">
        <v>1279</v>
      </c>
      <c r="R389" s="229"/>
      <c r="S389" s="234" t="s">
        <v>113</v>
      </c>
      <c r="T389" s="229"/>
      <c r="U389" s="229"/>
      <c r="V389" s="234" t="s">
        <v>1277</v>
      </c>
      <c r="W389" s="24"/>
      <c r="X389" s="24"/>
      <c r="Y389" s="24"/>
      <c r="Z389" s="22"/>
      <c r="AA389" s="24"/>
      <c r="AB389" s="24"/>
      <c r="AC389" s="228"/>
      <c r="AD389" s="120"/>
      <c r="AE389" s="217"/>
      <c r="AF389" s="217"/>
      <c r="AG389" s="235" t="s">
        <v>1241</v>
      </c>
      <c r="AH389" s="236" t="s">
        <v>1220</v>
      </c>
      <c r="AI389" s="235" t="s">
        <v>1221</v>
      </c>
      <c r="AJ389" s="24"/>
      <c r="AK389" s="24"/>
      <c r="AL389" s="24"/>
    </row>
    <row r="390" spans="1:38" ht="12.75" customHeight="1">
      <c r="A390" s="22">
        <v>388</v>
      </c>
      <c r="B390" s="206" t="s">
        <v>423</v>
      </c>
      <c r="C390" s="24" t="s">
        <v>180</v>
      </c>
      <c r="D390" s="24" t="s">
        <v>1287</v>
      </c>
      <c r="E390" s="24" t="s">
        <v>1274</v>
      </c>
      <c r="F390" s="24">
        <v>1</v>
      </c>
      <c r="G390" s="24" t="s">
        <v>1135</v>
      </c>
      <c r="H390" s="24"/>
      <c r="I390" s="226"/>
      <c r="J390" s="196"/>
      <c r="K390" s="196"/>
      <c r="L390" s="196"/>
      <c r="M390" s="196"/>
      <c r="N390" s="196" t="s">
        <v>423</v>
      </c>
      <c r="O390" s="196"/>
      <c r="P390" s="24"/>
      <c r="Q390" s="196"/>
      <c r="R390" s="229"/>
      <c r="S390" s="196"/>
      <c r="T390" s="229"/>
      <c r="U390" s="229"/>
      <c r="V390" s="196"/>
      <c r="W390" s="24"/>
      <c r="X390" s="24"/>
      <c r="Y390" s="24"/>
      <c r="Z390" s="22"/>
      <c r="AA390" s="24"/>
      <c r="AB390" s="24"/>
      <c r="AC390" s="227"/>
      <c r="AD390" s="25"/>
      <c r="AE390" s="231">
        <v>260413007</v>
      </c>
      <c r="AF390" s="227"/>
      <c r="AG390" s="205" t="s">
        <v>115</v>
      </c>
      <c r="AH390" s="223" t="s">
        <v>424</v>
      </c>
      <c r="AI390" s="205" t="s">
        <v>425</v>
      </c>
      <c r="AJ390" s="24"/>
      <c r="AK390" s="24"/>
      <c r="AL390" s="24"/>
    </row>
    <row r="391" spans="1:38" ht="12.75" customHeight="1">
      <c r="A391" s="22">
        <v>389</v>
      </c>
      <c r="B391" s="206" t="s">
        <v>239</v>
      </c>
      <c r="C391" s="24" t="s">
        <v>180</v>
      </c>
      <c r="D391" s="24" t="s">
        <v>1287</v>
      </c>
      <c r="E391" s="24" t="s">
        <v>1274</v>
      </c>
      <c r="F391" s="24">
        <v>1</v>
      </c>
      <c r="G391" s="24" t="s">
        <v>1135</v>
      </c>
      <c r="H391" s="24"/>
      <c r="I391" s="226"/>
      <c r="J391" s="196"/>
      <c r="K391" s="196"/>
      <c r="L391" s="196"/>
      <c r="M391" s="196"/>
      <c r="N391" s="204" t="s">
        <v>239</v>
      </c>
      <c r="O391" s="196"/>
      <c r="P391" s="24"/>
      <c r="Q391" s="196"/>
      <c r="R391" s="229"/>
      <c r="S391" s="196"/>
      <c r="T391" s="229"/>
      <c r="U391" s="229"/>
      <c r="V391" s="196"/>
      <c r="W391" s="24"/>
      <c r="X391" s="24"/>
      <c r="Y391" s="24"/>
      <c r="Z391" s="22"/>
      <c r="AA391" s="24"/>
      <c r="AB391" s="24"/>
      <c r="AC391" s="232" t="s">
        <v>397</v>
      </c>
      <c r="AD391" s="25"/>
      <c r="AE391" s="231">
        <v>289567003</v>
      </c>
      <c r="AF391" s="227"/>
      <c r="AG391" s="238" t="s">
        <v>115</v>
      </c>
      <c r="AH391" s="223" t="s">
        <v>240</v>
      </c>
      <c r="AI391" s="205" t="s">
        <v>241</v>
      </c>
      <c r="AJ391" s="24"/>
      <c r="AK391" s="24"/>
      <c r="AL391" s="24"/>
    </row>
    <row r="392" spans="1:38" ht="12.75" customHeight="1">
      <c r="A392" s="22">
        <v>390</v>
      </c>
      <c r="B392" s="206" t="s">
        <v>1251</v>
      </c>
      <c r="C392" s="24" t="s">
        <v>180</v>
      </c>
      <c r="D392" s="24" t="s">
        <v>1287</v>
      </c>
      <c r="E392" s="24" t="s">
        <v>1274</v>
      </c>
      <c r="F392" s="24">
        <v>1</v>
      </c>
      <c r="G392" s="24" t="s">
        <v>1135</v>
      </c>
      <c r="H392" s="24"/>
      <c r="I392" s="226"/>
      <c r="J392" s="196"/>
      <c r="K392" s="196"/>
      <c r="L392" s="196"/>
      <c r="M392" s="196"/>
      <c r="N392" s="204" t="s">
        <v>1251</v>
      </c>
      <c r="O392" s="196"/>
      <c r="P392" s="24"/>
      <c r="Q392" s="196"/>
      <c r="R392" s="229"/>
      <c r="S392" s="196"/>
      <c r="T392" s="229"/>
      <c r="U392" s="229"/>
      <c r="V392" s="196"/>
      <c r="W392" s="24"/>
      <c r="X392" s="24"/>
      <c r="Y392" s="24"/>
      <c r="Z392" s="22"/>
      <c r="AA392" s="24"/>
      <c r="AB392" s="24"/>
      <c r="AC392" s="232" t="s">
        <v>1253</v>
      </c>
      <c r="AD392" s="25"/>
      <c r="AE392" s="231">
        <v>230145002</v>
      </c>
      <c r="AF392" s="227"/>
      <c r="AG392" s="205" t="s">
        <v>115</v>
      </c>
      <c r="AH392" s="223" t="s">
        <v>1254</v>
      </c>
      <c r="AI392" s="205" t="s">
        <v>1255</v>
      </c>
      <c r="AJ392" s="24"/>
      <c r="AK392" s="24"/>
      <c r="AL392" s="24"/>
    </row>
    <row r="393" spans="1:38" ht="12.75" customHeight="1">
      <c r="A393" s="22">
        <v>391</v>
      </c>
      <c r="B393" s="206" t="s">
        <v>1256</v>
      </c>
      <c r="C393" s="24" t="s">
        <v>180</v>
      </c>
      <c r="D393" s="24" t="s">
        <v>1287</v>
      </c>
      <c r="E393" s="24" t="s">
        <v>1274</v>
      </c>
      <c r="F393" s="24">
        <v>1</v>
      </c>
      <c r="G393" s="24" t="s">
        <v>1135</v>
      </c>
      <c r="H393" s="24"/>
      <c r="I393" s="226"/>
      <c r="J393" s="196"/>
      <c r="K393" s="196"/>
      <c r="L393" s="196"/>
      <c r="M393" s="196"/>
      <c r="N393" s="204" t="s">
        <v>1256</v>
      </c>
      <c r="O393" s="196"/>
      <c r="P393" s="24"/>
      <c r="Q393" s="196"/>
      <c r="R393" s="229"/>
      <c r="S393" s="196"/>
      <c r="T393" s="229"/>
      <c r="U393" s="229"/>
      <c r="V393" s="196"/>
      <c r="W393" s="24"/>
      <c r="X393" s="24"/>
      <c r="Y393" s="24"/>
      <c r="Z393" s="22"/>
      <c r="AA393" s="24"/>
      <c r="AB393" s="24"/>
      <c r="AC393" s="231" t="s">
        <v>383</v>
      </c>
      <c r="AD393" s="25"/>
      <c r="AE393" s="231">
        <v>60845006</v>
      </c>
      <c r="AF393" s="227"/>
      <c r="AG393" s="205" t="s">
        <v>115</v>
      </c>
      <c r="AH393" s="223" t="s">
        <v>1258</v>
      </c>
      <c r="AI393" s="205" t="s">
        <v>1259</v>
      </c>
      <c r="AJ393" s="24"/>
      <c r="AK393" s="24"/>
      <c r="AL393" s="24"/>
    </row>
    <row r="394" spans="1:38" ht="12.75" customHeight="1">
      <c r="A394" s="22">
        <v>392</v>
      </c>
      <c r="B394" s="206" t="s">
        <v>1260</v>
      </c>
      <c r="C394" s="24" t="s">
        <v>180</v>
      </c>
      <c r="D394" s="24" t="s">
        <v>1287</v>
      </c>
      <c r="E394" s="24" t="s">
        <v>1274</v>
      </c>
      <c r="F394" s="24">
        <v>1</v>
      </c>
      <c r="G394" s="24" t="s">
        <v>1135</v>
      </c>
      <c r="H394" s="24"/>
      <c r="I394" s="226"/>
      <c r="J394" s="196"/>
      <c r="K394" s="196"/>
      <c r="L394" s="196"/>
      <c r="M394" s="196"/>
      <c r="N394" s="204" t="s">
        <v>1260</v>
      </c>
      <c r="O394" s="196"/>
      <c r="P394" s="24"/>
      <c r="Q394" s="196"/>
      <c r="R394" s="229"/>
      <c r="S394" s="196"/>
      <c r="T394" s="229"/>
      <c r="U394" s="229"/>
      <c r="V394" s="196"/>
      <c r="W394" s="24"/>
      <c r="X394" s="24"/>
      <c r="Y394" s="24"/>
      <c r="Z394" s="22"/>
      <c r="AA394" s="24"/>
      <c r="AB394" s="24"/>
      <c r="AC394" s="231" t="s">
        <v>259</v>
      </c>
      <c r="AD394" s="25"/>
      <c r="AE394" s="231">
        <v>68154008</v>
      </c>
      <c r="AF394" s="227"/>
      <c r="AG394" s="205" t="s">
        <v>115</v>
      </c>
      <c r="AH394" s="223" t="s">
        <v>1261</v>
      </c>
      <c r="AI394" s="205" t="s">
        <v>1262</v>
      </c>
      <c r="AJ394" s="24"/>
      <c r="AK394" s="24"/>
      <c r="AL394" s="24"/>
    </row>
    <row r="395" spans="1:38" ht="12.75" customHeight="1">
      <c r="A395" s="22">
        <v>393</v>
      </c>
      <c r="B395" s="206" t="s">
        <v>281</v>
      </c>
      <c r="C395" s="24" t="s">
        <v>180</v>
      </c>
      <c r="D395" s="24" t="s">
        <v>1287</v>
      </c>
      <c r="E395" s="24" t="s">
        <v>1274</v>
      </c>
      <c r="F395" s="24">
        <v>1</v>
      </c>
      <c r="G395" s="24" t="s">
        <v>1135</v>
      </c>
      <c r="H395" s="24"/>
      <c r="I395" s="226"/>
      <c r="J395" s="196"/>
      <c r="K395" s="196"/>
      <c r="L395" s="196"/>
      <c r="M395" s="196"/>
      <c r="N395" s="204" t="s">
        <v>281</v>
      </c>
      <c r="O395" s="196"/>
      <c r="P395" s="24"/>
      <c r="Q395" s="196"/>
      <c r="R395" s="229"/>
      <c r="S395" s="196"/>
      <c r="T395" s="229"/>
      <c r="U395" s="229"/>
      <c r="V395" s="196"/>
      <c r="W395" s="24"/>
      <c r="X395" s="24"/>
      <c r="Y395" s="24"/>
      <c r="Z395" s="22"/>
      <c r="AA395" s="24"/>
      <c r="AB395" s="24"/>
      <c r="AC395" s="231" t="s">
        <v>283</v>
      </c>
      <c r="AD395" s="25"/>
      <c r="AE395" s="231">
        <v>386661006</v>
      </c>
      <c r="AF395" s="227"/>
      <c r="AG395" s="205" t="s">
        <v>115</v>
      </c>
      <c r="AH395" s="223" t="s">
        <v>284</v>
      </c>
      <c r="AI395" s="205" t="s">
        <v>285</v>
      </c>
      <c r="AJ395" s="24"/>
      <c r="AK395" s="24"/>
      <c r="AL395" s="24"/>
    </row>
    <row r="396" spans="1:38" ht="12.75" customHeight="1">
      <c r="A396" s="22">
        <v>394</v>
      </c>
      <c r="B396" s="206" t="s">
        <v>1264</v>
      </c>
      <c r="C396" s="24" t="s">
        <v>180</v>
      </c>
      <c r="D396" s="24" t="s">
        <v>1287</v>
      </c>
      <c r="E396" s="24" t="s">
        <v>1274</v>
      </c>
      <c r="F396" s="24">
        <v>1</v>
      </c>
      <c r="G396" s="24" t="s">
        <v>1135</v>
      </c>
      <c r="H396" s="24"/>
      <c r="I396" s="226"/>
      <c r="J396" s="196"/>
      <c r="K396" s="196"/>
      <c r="L396" s="196"/>
      <c r="M396" s="196"/>
      <c r="N396" s="204" t="s">
        <v>1264</v>
      </c>
      <c r="O396" s="196"/>
      <c r="P396" s="24"/>
      <c r="Q396" s="196"/>
      <c r="R396" s="229"/>
      <c r="S396" s="196"/>
      <c r="T396" s="229"/>
      <c r="U396" s="229"/>
      <c r="V396" s="196"/>
      <c r="W396" s="24"/>
      <c r="X396" s="24"/>
      <c r="Y396" s="24"/>
      <c r="Z396" s="22"/>
      <c r="AA396" s="24"/>
      <c r="AB396" s="24"/>
      <c r="AC396" s="232" t="s">
        <v>387</v>
      </c>
      <c r="AD396" s="25"/>
      <c r="AE396" s="231">
        <v>84229001</v>
      </c>
      <c r="AF396" s="227"/>
      <c r="AG396" s="205" t="s">
        <v>115</v>
      </c>
      <c r="AH396" s="223" t="s">
        <v>1265</v>
      </c>
      <c r="AI396" s="205" t="s">
        <v>1266</v>
      </c>
      <c r="AJ396" s="24"/>
      <c r="AK396" s="24"/>
      <c r="AL396" s="24"/>
    </row>
    <row r="397" spans="1:38" ht="12.75" customHeight="1">
      <c r="A397" s="22">
        <v>395</v>
      </c>
      <c r="B397" s="206" t="s">
        <v>298</v>
      </c>
      <c r="C397" s="24" t="s">
        <v>180</v>
      </c>
      <c r="D397" s="24" t="s">
        <v>1287</v>
      </c>
      <c r="E397" s="24" t="s">
        <v>1274</v>
      </c>
      <c r="F397" s="24">
        <v>1</v>
      </c>
      <c r="G397" s="24" t="s">
        <v>1135</v>
      </c>
      <c r="H397" s="24"/>
      <c r="I397" s="226"/>
      <c r="J397" s="196"/>
      <c r="K397" s="196"/>
      <c r="L397" s="196"/>
      <c r="M397" s="196"/>
      <c r="N397" s="204" t="s">
        <v>298</v>
      </c>
      <c r="O397" s="196"/>
      <c r="P397" s="24"/>
      <c r="Q397" s="196"/>
      <c r="R397" s="229"/>
      <c r="S397" s="196"/>
      <c r="T397" s="229"/>
      <c r="U397" s="229"/>
      <c r="V397" s="196"/>
      <c r="W397" s="24"/>
      <c r="X397" s="24"/>
      <c r="Y397" s="24"/>
      <c r="Z397" s="22"/>
      <c r="AA397" s="24"/>
      <c r="AB397" s="24"/>
      <c r="AC397" s="231" t="s">
        <v>299</v>
      </c>
      <c r="AD397" s="25"/>
      <c r="AE397" s="231">
        <v>25064002</v>
      </c>
      <c r="AF397" s="227"/>
      <c r="AG397" s="205" t="s">
        <v>115</v>
      </c>
      <c r="AH397" s="223" t="s">
        <v>300</v>
      </c>
      <c r="AI397" s="205" t="s">
        <v>301</v>
      </c>
      <c r="AJ397" s="24"/>
      <c r="AK397" s="24"/>
      <c r="AL397" s="24"/>
    </row>
    <row r="398" spans="1:38" ht="12.75" customHeight="1">
      <c r="A398" s="22">
        <v>396</v>
      </c>
      <c r="B398" s="206" t="s">
        <v>396</v>
      </c>
      <c r="C398" s="24" t="s">
        <v>180</v>
      </c>
      <c r="D398" s="24" t="s">
        <v>1287</v>
      </c>
      <c r="E398" s="24" t="s">
        <v>1274</v>
      </c>
      <c r="F398" s="24">
        <v>1</v>
      </c>
      <c r="G398" s="24" t="s">
        <v>1135</v>
      </c>
      <c r="H398" s="24"/>
      <c r="I398" s="226"/>
      <c r="J398" s="196"/>
      <c r="K398" s="196"/>
      <c r="L398" s="196"/>
      <c r="M398" s="196"/>
      <c r="N398" s="204" t="s">
        <v>396</v>
      </c>
      <c r="O398" s="196"/>
      <c r="P398" s="24"/>
      <c r="Q398" s="196"/>
      <c r="R398" s="229"/>
      <c r="S398" s="196"/>
      <c r="T398" s="229"/>
      <c r="U398" s="229"/>
      <c r="V398" s="196"/>
      <c r="W398" s="24"/>
      <c r="X398" s="24"/>
      <c r="Y398" s="24"/>
      <c r="Z398" s="22"/>
      <c r="AA398" s="24"/>
      <c r="AB398" s="24"/>
      <c r="AC398" s="232" t="s">
        <v>397</v>
      </c>
      <c r="AD398" s="25"/>
      <c r="AE398" s="231">
        <v>289530006</v>
      </c>
      <c r="AF398" s="227"/>
      <c r="AG398" s="205" t="s">
        <v>115</v>
      </c>
      <c r="AH398" s="223" t="s">
        <v>1267</v>
      </c>
      <c r="AI398" s="205" t="s">
        <v>399</v>
      </c>
      <c r="AJ398" s="24"/>
      <c r="AK398" s="24"/>
      <c r="AL398" s="24"/>
    </row>
    <row r="399" spans="1:38" ht="12.75" customHeight="1">
      <c r="A399" s="22">
        <v>397</v>
      </c>
      <c r="B399" s="206" t="s">
        <v>1268</v>
      </c>
      <c r="C399" s="24" t="s">
        <v>180</v>
      </c>
      <c r="D399" s="24" t="s">
        <v>1287</v>
      </c>
      <c r="E399" s="24" t="s">
        <v>1274</v>
      </c>
      <c r="F399" s="24">
        <v>1</v>
      </c>
      <c r="G399" s="24" t="s">
        <v>1135</v>
      </c>
      <c r="H399" s="24"/>
      <c r="I399" s="226"/>
      <c r="J399" s="196"/>
      <c r="K399" s="196"/>
      <c r="L399" s="196"/>
      <c r="M399" s="196"/>
      <c r="N399" s="204" t="s">
        <v>1268</v>
      </c>
      <c r="O399" s="196"/>
      <c r="P399" s="24"/>
      <c r="Q399" s="196"/>
      <c r="R399" s="229"/>
      <c r="S399" s="196"/>
      <c r="T399" s="229"/>
      <c r="U399" s="229"/>
      <c r="V399" s="196"/>
      <c r="W399" s="24"/>
      <c r="X399" s="24"/>
      <c r="Y399" s="24"/>
      <c r="Z399" s="22"/>
      <c r="AA399" s="24"/>
      <c r="AB399" s="24"/>
      <c r="AC399" s="232" t="s">
        <v>397</v>
      </c>
      <c r="AD399" s="25"/>
      <c r="AE399" s="231">
        <v>271939006</v>
      </c>
      <c r="AF399" s="227"/>
      <c r="AG399" s="205" t="s">
        <v>115</v>
      </c>
      <c r="AH399" s="223" t="s">
        <v>1269</v>
      </c>
      <c r="AI399" s="205" t="s">
        <v>1271</v>
      </c>
      <c r="AJ399" s="24"/>
      <c r="AK399" s="24"/>
      <c r="AL399" s="24"/>
    </row>
    <row r="400" spans="1:38" ht="12.75" customHeight="1">
      <c r="A400" s="22">
        <v>398</v>
      </c>
      <c r="B400" s="206" t="s">
        <v>400</v>
      </c>
      <c r="C400" s="24" t="s">
        <v>180</v>
      </c>
      <c r="D400" s="24" t="s">
        <v>1287</v>
      </c>
      <c r="E400" s="24" t="s">
        <v>1274</v>
      </c>
      <c r="F400" s="24">
        <v>1</v>
      </c>
      <c r="G400" s="24" t="s">
        <v>1135</v>
      </c>
      <c r="H400" s="24"/>
      <c r="I400" s="226"/>
      <c r="J400" s="196"/>
      <c r="K400" s="196"/>
      <c r="L400" s="196"/>
      <c r="M400" s="196"/>
      <c r="N400" s="204" t="s">
        <v>400</v>
      </c>
      <c r="O400" s="196"/>
      <c r="P400" s="24"/>
      <c r="Q400" s="196"/>
      <c r="R400" s="229"/>
      <c r="S400" s="196"/>
      <c r="T400" s="229"/>
      <c r="U400" s="229"/>
      <c r="V400" s="196"/>
      <c r="W400" s="24"/>
      <c r="X400" s="24"/>
      <c r="Y400" s="24"/>
      <c r="Z400" s="22"/>
      <c r="AA400" s="24"/>
      <c r="AB400" s="24"/>
      <c r="AC400" s="232" t="s">
        <v>402</v>
      </c>
      <c r="AD400" s="25"/>
      <c r="AE400" s="231">
        <v>63102001</v>
      </c>
      <c r="AF400" s="227"/>
      <c r="AG400" s="205" t="s">
        <v>115</v>
      </c>
      <c r="AH400" s="223" t="s">
        <v>403</v>
      </c>
      <c r="AI400" s="205" t="s">
        <v>404</v>
      </c>
      <c r="AJ400" s="24"/>
      <c r="AK400" s="24"/>
      <c r="AL400" s="24"/>
    </row>
    <row r="401" spans="1:38" ht="12.75" customHeight="1">
      <c r="A401" s="22">
        <v>399</v>
      </c>
      <c r="B401" s="206" t="s">
        <v>405</v>
      </c>
      <c r="C401" s="24" t="s">
        <v>180</v>
      </c>
      <c r="D401" s="24" t="s">
        <v>1287</v>
      </c>
      <c r="E401" s="24" t="s">
        <v>1274</v>
      </c>
      <c r="F401" s="24">
        <v>1</v>
      </c>
      <c r="G401" s="24" t="s">
        <v>1135</v>
      </c>
      <c r="H401" s="24"/>
      <c r="I401" s="226"/>
      <c r="J401" s="196"/>
      <c r="K401" s="196"/>
      <c r="L401" s="196"/>
      <c r="M401" s="196"/>
      <c r="N401" s="204" t="s">
        <v>405</v>
      </c>
      <c r="O401" s="196"/>
      <c r="P401" s="24"/>
      <c r="Q401" s="196"/>
      <c r="R401" s="229"/>
      <c r="S401" s="196"/>
      <c r="T401" s="229"/>
      <c r="U401" s="229"/>
      <c r="V401" s="196"/>
      <c r="W401" s="24"/>
      <c r="X401" s="24"/>
      <c r="Y401" s="24"/>
      <c r="Z401" s="22"/>
      <c r="AA401" s="24"/>
      <c r="AB401" s="24"/>
      <c r="AC401" s="227"/>
      <c r="AD401" s="227"/>
      <c r="AE401" s="246" t="s">
        <v>745</v>
      </c>
      <c r="AF401" s="227"/>
      <c r="AG401" s="235" t="s">
        <v>1241</v>
      </c>
      <c r="AH401" s="223" t="s">
        <v>406</v>
      </c>
      <c r="AI401" s="205" t="s">
        <v>407</v>
      </c>
      <c r="AJ401" s="24"/>
      <c r="AK401" s="24"/>
      <c r="AL401" s="24"/>
    </row>
    <row r="402" spans="1:38" ht="12.75" customHeight="1">
      <c r="A402" s="22">
        <v>400</v>
      </c>
      <c r="B402" s="206" t="s">
        <v>409</v>
      </c>
      <c r="C402" s="24" t="s">
        <v>96</v>
      </c>
      <c r="D402" s="24" t="s">
        <v>1287</v>
      </c>
      <c r="E402" s="24" t="s">
        <v>1274</v>
      </c>
      <c r="F402" s="24">
        <v>1</v>
      </c>
      <c r="G402" s="24" t="s">
        <v>1135</v>
      </c>
      <c r="H402" s="24"/>
      <c r="I402" s="226"/>
      <c r="J402" s="196" t="s">
        <v>409</v>
      </c>
      <c r="K402" s="196" t="s">
        <v>1291</v>
      </c>
      <c r="L402" s="196" t="s">
        <v>1292</v>
      </c>
      <c r="M402" s="196" t="s">
        <v>111</v>
      </c>
      <c r="N402" s="196"/>
      <c r="O402" s="196"/>
      <c r="P402" s="24"/>
      <c r="Q402" s="196"/>
      <c r="R402" s="229"/>
      <c r="S402" s="196" t="s">
        <v>208</v>
      </c>
      <c r="T402" s="229"/>
      <c r="U402" s="229"/>
      <c r="V402" s="196" t="s">
        <v>115</v>
      </c>
      <c r="W402" s="24"/>
      <c r="X402" s="24"/>
      <c r="Y402" s="24"/>
      <c r="Z402" s="22"/>
      <c r="AA402" s="24"/>
      <c r="AB402" s="24"/>
      <c r="AC402" s="227"/>
      <c r="AD402" s="227"/>
      <c r="AE402" s="227"/>
      <c r="AF402" s="232" t="s">
        <v>413</v>
      </c>
      <c r="AG402" s="235" t="s">
        <v>1241</v>
      </c>
      <c r="AH402" s="223" t="s">
        <v>415</v>
      </c>
      <c r="AI402" s="205" t="s">
        <v>416</v>
      </c>
      <c r="AJ402" s="24"/>
      <c r="AK402" s="24"/>
      <c r="AL402" s="24"/>
    </row>
    <row r="403" spans="1:38" ht="12.75" customHeight="1">
      <c r="A403" s="22">
        <v>401</v>
      </c>
      <c r="B403" s="206" t="s">
        <v>1293</v>
      </c>
      <c r="C403" s="24" t="s">
        <v>96</v>
      </c>
      <c r="D403" s="24"/>
      <c r="E403" s="24" t="s">
        <v>1274</v>
      </c>
      <c r="F403" s="24">
        <v>1</v>
      </c>
      <c r="G403" s="24" t="s">
        <v>1135</v>
      </c>
      <c r="H403" s="24"/>
      <c r="I403" s="226"/>
      <c r="J403" s="234" t="s">
        <v>1293</v>
      </c>
      <c r="K403" s="234" t="s">
        <v>1294</v>
      </c>
      <c r="L403" s="234" t="s">
        <v>1295</v>
      </c>
      <c r="M403" s="234" t="s">
        <v>202</v>
      </c>
      <c r="N403" s="196"/>
      <c r="O403" s="196"/>
      <c r="P403" s="24"/>
      <c r="Q403" s="196"/>
      <c r="R403" s="229"/>
      <c r="S403" s="234" t="s">
        <v>113</v>
      </c>
      <c r="T403" s="229"/>
      <c r="U403" s="229"/>
      <c r="V403" s="196" t="s">
        <v>1296</v>
      </c>
      <c r="W403" s="24"/>
      <c r="X403" s="24"/>
      <c r="Y403" s="24"/>
      <c r="Z403" s="22"/>
      <c r="AA403" s="24"/>
      <c r="AB403" s="24"/>
      <c r="AC403" s="227"/>
      <c r="AD403" s="227"/>
      <c r="AE403" s="246" t="s">
        <v>1297</v>
      </c>
      <c r="AF403" s="227"/>
      <c r="AG403" s="207" t="s">
        <v>115</v>
      </c>
      <c r="AH403" s="223" t="s">
        <v>1298</v>
      </c>
      <c r="AI403" s="205" t="s">
        <v>1299</v>
      </c>
      <c r="AJ403" s="24"/>
      <c r="AK403" s="24"/>
      <c r="AL403" s="24"/>
    </row>
    <row r="404" spans="1:38" ht="12.75" customHeight="1">
      <c r="A404" s="22">
        <v>402</v>
      </c>
      <c r="B404" s="206" t="s">
        <v>1301</v>
      </c>
      <c r="C404" s="24" t="s">
        <v>180</v>
      </c>
      <c r="D404" s="24" t="s">
        <v>1293</v>
      </c>
      <c r="E404" s="24" t="s">
        <v>1274</v>
      </c>
      <c r="F404" s="24">
        <v>1</v>
      </c>
      <c r="G404" s="24" t="s">
        <v>1135</v>
      </c>
      <c r="H404" s="24"/>
      <c r="I404" s="226"/>
      <c r="J404" s="196"/>
      <c r="K404" s="196"/>
      <c r="L404" s="196"/>
      <c r="M404" s="196"/>
      <c r="N404" s="196" t="s">
        <v>1301</v>
      </c>
      <c r="O404" s="196"/>
      <c r="P404" s="24"/>
      <c r="Q404" s="196"/>
      <c r="R404" s="229"/>
      <c r="S404" s="196"/>
      <c r="T404" s="229"/>
      <c r="U404" s="229"/>
      <c r="V404" s="196"/>
      <c r="W404" s="24"/>
      <c r="X404" s="24"/>
      <c r="Y404" s="24"/>
      <c r="Z404" s="22"/>
      <c r="AA404" s="24"/>
      <c r="AB404" s="24"/>
      <c r="AC404" s="227"/>
      <c r="AD404" s="227"/>
      <c r="AE404" s="231">
        <v>289431008</v>
      </c>
      <c r="AF404" s="227"/>
      <c r="AG404" s="207" t="s">
        <v>115</v>
      </c>
      <c r="AH404" s="223" t="s">
        <v>1303</v>
      </c>
      <c r="AI404" s="207" t="s">
        <v>1304</v>
      </c>
      <c r="AJ404" s="24"/>
      <c r="AK404" s="24"/>
      <c r="AL404" s="24"/>
    </row>
    <row r="405" spans="1:38" ht="12.75" customHeight="1">
      <c r="A405" s="22">
        <v>403</v>
      </c>
      <c r="B405" s="206" t="s">
        <v>378</v>
      </c>
      <c r="C405" s="24" t="s">
        <v>180</v>
      </c>
      <c r="D405" s="24" t="s">
        <v>1293</v>
      </c>
      <c r="E405" s="24" t="s">
        <v>1274</v>
      </c>
      <c r="F405" s="24">
        <v>1</v>
      </c>
      <c r="G405" s="24" t="s">
        <v>1135</v>
      </c>
      <c r="H405" s="24"/>
      <c r="I405" s="226"/>
      <c r="J405" s="196"/>
      <c r="K405" s="196"/>
      <c r="L405" s="196"/>
      <c r="M405" s="196"/>
      <c r="N405" s="234" t="s">
        <v>378</v>
      </c>
      <c r="O405" s="196"/>
      <c r="P405" s="24"/>
      <c r="Q405" s="196"/>
      <c r="R405" s="229"/>
      <c r="S405" s="196"/>
      <c r="T405" s="229"/>
      <c r="U405" s="229"/>
      <c r="V405" s="196"/>
      <c r="W405" s="24"/>
      <c r="X405" s="24"/>
      <c r="Y405" s="24"/>
      <c r="Z405" s="22"/>
      <c r="AA405" s="24"/>
      <c r="AB405" s="24"/>
      <c r="AC405" s="231" t="s">
        <v>336</v>
      </c>
      <c r="AD405" s="227"/>
      <c r="AE405" s="231">
        <v>276369006</v>
      </c>
      <c r="AF405" s="227"/>
      <c r="AG405" s="207" t="s">
        <v>115</v>
      </c>
      <c r="AH405" s="223" t="s">
        <v>379</v>
      </c>
      <c r="AI405" s="207" t="s">
        <v>380</v>
      </c>
      <c r="AJ405" s="24"/>
      <c r="AK405" s="24"/>
      <c r="AL405" s="24"/>
    </row>
    <row r="406" spans="1:38" ht="12.75" customHeight="1">
      <c r="A406" s="22">
        <v>404</v>
      </c>
      <c r="B406" s="206" t="s">
        <v>335</v>
      </c>
      <c r="C406" s="24" t="s">
        <v>180</v>
      </c>
      <c r="D406" s="24" t="s">
        <v>1293</v>
      </c>
      <c r="E406" s="24" t="s">
        <v>1274</v>
      </c>
      <c r="F406" s="24">
        <v>1</v>
      </c>
      <c r="G406" s="24" t="s">
        <v>1135</v>
      </c>
      <c r="H406" s="24"/>
      <c r="I406" s="226"/>
      <c r="J406" s="196"/>
      <c r="K406" s="196"/>
      <c r="L406" s="196"/>
      <c r="M406" s="196"/>
      <c r="N406" s="204" t="s">
        <v>335</v>
      </c>
      <c r="O406" s="196"/>
      <c r="P406" s="24"/>
      <c r="Q406" s="196"/>
      <c r="R406" s="229"/>
      <c r="S406" s="196"/>
      <c r="T406" s="229"/>
      <c r="U406" s="229"/>
      <c r="V406" s="196"/>
      <c r="W406" s="24"/>
      <c r="X406" s="24"/>
      <c r="Y406" s="24"/>
      <c r="Z406" s="22"/>
      <c r="AA406" s="24"/>
      <c r="AB406" s="24"/>
      <c r="AC406" s="231" t="s">
        <v>336</v>
      </c>
      <c r="AD406" s="227"/>
      <c r="AE406" s="231">
        <v>289433006</v>
      </c>
      <c r="AF406" s="227"/>
      <c r="AG406" s="207" t="s">
        <v>115</v>
      </c>
      <c r="AH406" s="223" t="s">
        <v>338</v>
      </c>
      <c r="AI406" s="205" t="s">
        <v>339</v>
      </c>
      <c r="AJ406" s="24"/>
      <c r="AK406" s="24"/>
      <c r="AL406" s="24"/>
    </row>
    <row r="407" spans="1:38" ht="12.75" customHeight="1">
      <c r="A407" s="22">
        <v>405</v>
      </c>
      <c r="B407" s="24" t="s">
        <v>1306</v>
      </c>
      <c r="C407" s="24" t="s">
        <v>96</v>
      </c>
      <c r="D407" s="24"/>
      <c r="E407" s="24" t="s">
        <v>1307</v>
      </c>
      <c r="F407" s="24">
        <v>1</v>
      </c>
      <c r="G407" s="24" t="s">
        <v>1308</v>
      </c>
      <c r="H407" s="24"/>
      <c r="I407" s="114"/>
      <c r="J407" s="124" t="s">
        <v>1306</v>
      </c>
      <c r="K407" s="124" t="s">
        <v>1309</v>
      </c>
      <c r="L407" s="124" t="s">
        <v>1310</v>
      </c>
      <c r="M407" s="124" t="s">
        <v>168</v>
      </c>
      <c r="N407" s="126"/>
      <c r="O407" s="126"/>
      <c r="P407" s="24"/>
      <c r="Q407" s="124" t="s">
        <v>1311</v>
      </c>
      <c r="R407" s="114"/>
      <c r="S407" s="124" t="s">
        <v>113</v>
      </c>
      <c r="T407" s="114"/>
      <c r="U407" s="114"/>
      <c r="V407" s="124" t="s">
        <v>1312</v>
      </c>
      <c r="W407" s="24"/>
      <c r="X407" s="114"/>
      <c r="Y407" s="24"/>
      <c r="Z407" s="24"/>
      <c r="AA407" s="24"/>
      <c r="AB407" s="24"/>
      <c r="AC407" s="182"/>
      <c r="AD407" s="182"/>
      <c r="AE407" s="113">
        <v>50373000</v>
      </c>
      <c r="AF407" s="182"/>
      <c r="AG407" s="115" t="s">
        <v>115</v>
      </c>
      <c r="AH407" s="115" t="s">
        <v>1313</v>
      </c>
      <c r="AI407" s="115" t="s">
        <v>1314</v>
      </c>
      <c r="AJ407" s="24"/>
      <c r="AK407" s="24"/>
      <c r="AL407" s="24"/>
    </row>
    <row r="408" spans="1:38" ht="12.75" customHeight="1">
      <c r="A408" s="22">
        <v>406</v>
      </c>
      <c r="B408" s="24" t="s">
        <v>1315</v>
      </c>
      <c r="C408" s="24" t="s">
        <v>96</v>
      </c>
      <c r="D408" s="24"/>
      <c r="E408" s="24" t="s">
        <v>1307</v>
      </c>
      <c r="F408" s="24">
        <v>1</v>
      </c>
      <c r="G408" s="24" t="s">
        <v>1308</v>
      </c>
      <c r="H408" s="24"/>
      <c r="I408" s="114"/>
      <c r="J408" s="124" t="s">
        <v>1315</v>
      </c>
      <c r="K408" s="124" t="s">
        <v>1316</v>
      </c>
      <c r="L408" s="124" t="s">
        <v>1317</v>
      </c>
      <c r="M408" s="124" t="s">
        <v>1318</v>
      </c>
      <c r="N408" s="126"/>
      <c r="O408" s="126"/>
      <c r="P408" s="24"/>
      <c r="Q408" s="124" t="s">
        <v>1319</v>
      </c>
      <c r="R408" s="114"/>
      <c r="S408" s="124" t="s">
        <v>1320</v>
      </c>
      <c r="T408" s="114"/>
      <c r="U408" s="114"/>
      <c r="V408" s="124" t="s">
        <v>1312</v>
      </c>
      <c r="W408" s="24"/>
      <c r="X408" s="114"/>
      <c r="Y408" s="24"/>
      <c r="Z408" s="24"/>
      <c r="AA408" s="24"/>
      <c r="AB408" s="24"/>
      <c r="AC408" s="233"/>
      <c r="AD408" s="233"/>
      <c r="AE408" s="250"/>
      <c r="AF408" s="233"/>
      <c r="AG408" s="115" t="s">
        <v>115</v>
      </c>
      <c r="AH408" s="115" t="s">
        <v>1321</v>
      </c>
      <c r="AI408" s="115" t="s">
        <v>1322</v>
      </c>
      <c r="AJ408" s="24"/>
      <c r="AK408" s="24"/>
      <c r="AL408" s="24"/>
    </row>
    <row r="409" spans="1:38" ht="12.75" customHeight="1">
      <c r="A409" s="22">
        <v>407</v>
      </c>
      <c r="B409" s="24" t="s">
        <v>1323</v>
      </c>
      <c r="C409" s="24" t="s">
        <v>96</v>
      </c>
      <c r="D409" s="24"/>
      <c r="E409" s="24" t="s">
        <v>1307</v>
      </c>
      <c r="F409" s="24">
        <v>1</v>
      </c>
      <c r="G409" s="24" t="s">
        <v>1308</v>
      </c>
      <c r="H409" s="24"/>
      <c r="I409" s="114"/>
      <c r="J409" s="124" t="s">
        <v>1323</v>
      </c>
      <c r="K409" s="124" t="s">
        <v>1324</v>
      </c>
      <c r="L409" s="124" t="s">
        <v>1325</v>
      </c>
      <c r="M409" s="124" t="s">
        <v>153</v>
      </c>
      <c r="N409" s="126"/>
      <c r="O409" s="126"/>
      <c r="P409" s="24"/>
      <c r="Q409" s="126"/>
      <c r="R409" s="114"/>
      <c r="S409" s="124" t="s">
        <v>1320</v>
      </c>
      <c r="T409" s="114"/>
      <c r="U409" s="114"/>
      <c r="V409" s="124" t="s">
        <v>1312</v>
      </c>
      <c r="W409" s="24"/>
      <c r="X409" s="114"/>
      <c r="Y409" s="24"/>
      <c r="Z409" s="24"/>
      <c r="AA409" s="24"/>
      <c r="AB409" s="24"/>
      <c r="AC409" s="182"/>
      <c r="AD409" s="182"/>
      <c r="AE409" s="113">
        <v>261665006</v>
      </c>
      <c r="AF409" s="182"/>
      <c r="AG409" s="115" t="s">
        <v>1326</v>
      </c>
      <c r="AH409" s="115" t="s">
        <v>501</v>
      </c>
      <c r="AI409" s="115" t="s">
        <v>503</v>
      </c>
      <c r="AJ409" s="24"/>
      <c r="AK409" s="24"/>
      <c r="AL409" s="24"/>
    </row>
    <row r="410" spans="1:38" ht="12.75" customHeight="1">
      <c r="A410" s="22">
        <v>408</v>
      </c>
      <c r="B410" s="24" t="s">
        <v>1327</v>
      </c>
      <c r="C410" s="24" t="s">
        <v>96</v>
      </c>
      <c r="D410" s="24"/>
      <c r="E410" s="24" t="s">
        <v>1307</v>
      </c>
      <c r="F410" s="24">
        <v>1</v>
      </c>
      <c r="G410" s="24" t="s">
        <v>1308</v>
      </c>
      <c r="H410" s="24"/>
      <c r="I410" s="114"/>
      <c r="J410" s="124" t="s">
        <v>1327</v>
      </c>
      <c r="K410" s="124" t="s">
        <v>1328</v>
      </c>
      <c r="L410" s="124" t="s">
        <v>1329</v>
      </c>
      <c r="M410" s="124" t="s">
        <v>1318</v>
      </c>
      <c r="N410" s="126"/>
      <c r="O410" s="126"/>
      <c r="P410" s="24"/>
      <c r="Q410" s="124" t="s">
        <v>1319</v>
      </c>
      <c r="R410" s="114"/>
      <c r="S410" s="124" t="s">
        <v>113</v>
      </c>
      <c r="T410" s="114"/>
      <c r="U410" s="114"/>
      <c r="V410" s="124" t="s">
        <v>1277</v>
      </c>
      <c r="W410" s="24"/>
      <c r="X410" s="114"/>
      <c r="Y410" s="24"/>
      <c r="Z410" s="24"/>
      <c r="AA410" s="24"/>
      <c r="AB410" s="24"/>
      <c r="AC410" s="182"/>
      <c r="AD410" s="182"/>
      <c r="AE410" s="121">
        <v>27113001</v>
      </c>
      <c r="AF410" s="182"/>
      <c r="AG410" s="115" t="s">
        <v>115</v>
      </c>
      <c r="AH410" s="115" t="s">
        <v>1330</v>
      </c>
      <c r="AI410" s="115" t="s">
        <v>1331</v>
      </c>
      <c r="AJ410" s="24"/>
      <c r="AK410" s="24"/>
      <c r="AL410" s="24"/>
    </row>
    <row r="411" spans="1:38" ht="12.75" customHeight="1">
      <c r="A411" s="22">
        <v>409</v>
      </c>
      <c r="B411" s="24" t="s">
        <v>115</v>
      </c>
      <c r="C411" s="24" t="s">
        <v>96</v>
      </c>
      <c r="D411" s="24"/>
      <c r="E411" s="24" t="s">
        <v>1307</v>
      </c>
      <c r="F411" s="24">
        <v>1</v>
      </c>
      <c r="G411" s="24" t="s">
        <v>1308</v>
      </c>
      <c r="H411" s="24"/>
      <c r="I411" s="114"/>
      <c r="J411" s="124" t="s">
        <v>115</v>
      </c>
      <c r="K411" s="124" t="s">
        <v>1332</v>
      </c>
      <c r="L411" s="124" t="s">
        <v>1333</v>
      </c>
      <c r="M411" s="124" t="s">
        <v>65</v>
      </c>
      <c r="N411" s="126"/>
      <c r="O411" s="124" t="s">
        <v>1334</v>
      </c>
      <c r="P411" s="24"/>
      <c r="Q411" s="24"/>
      <c r="R411" s="114"/>
      <c r="S411" s="124" t="s">
        <v>203</v>
      </c>
      <c r="T411" s="114"/>
      <c r="U411" s="114"/>
      <c r="V411" s="124" t="s">
        <v>115</v>
      </c>
      <c r="W411" s="24"/>
      <c r="X411" s="114"/>
      <c r="Y411" s="24"/>
      <c r="Z411" s="24"/>
      <c r="AA411" s="24"/>
      <c r="AB411" s="24"/>
      <c r="AC411" s="233"/>
      <c r="AD411" s="233"/>
      <c r="AE411" s="250"/>
      <c r="AF411" s="233"/>
      <c r="AG411" s="115" t="s">
        <v>115</v>
      </c>
      <c r="AH411" s="115" t="s">
        <v>115</v>
      </c>
      <c r="AI411" s="115" t="s">
        <v>115</v>
      </c>
      <c r="AJ411" s="24"/>
      <c r="AK411" s="24"/>
      <c r="AL411" s="24"/>
    </row>
    <row r="412" spans="1:38" ht="12.75" customHeight="1">
      <c r="A412" s="22">
        <v>410</v>
      </c>
      <c r="B412" s="24" t="s">
        <v>115</v>
      </c>
      <c r="C412" s="24" t="s">
        <v>96</v>
      </c>
      <c r="D412" s="24"/>
      <c r="E412" s="24" t="s">
        <v>1307</v>
      </c>
      <c r="F412" s="24">
        <v>1</v>
      </c>
      <c r="G412" s="24" t="s">
        <v>1308</v>
      </c>
      <c r="H412" s="24"/>
      <c r="I412" s="114"/>
      <c r="J412" s="124" t="s">
        <v>115</v>
      </c>
      <c r="K412" s="124" t="s">
        <v>1336</v>
      </c>
      <c r="L412" s="124" t="s">
        <v>1337</v>
      </c>
      <c r="M412" s="124" t="s">
        <v>65</v>
      </c>
      <c r="N412" s="126"/>
      <c r="O412" s="124" t="s">
        <v>1338</v>
      </c>
      <c r="P412" s="24"/>
      <c r="Q412" s="24"/>
      <c r="R412" s="114"/>
      <c r="S412" s="124" t="s">
        <v>203</v>
      </c>
      <c r="T412" s="114"/>
      <c r="U412" s="114"/>
      <c r="V412" s="124" t="s">
        <v>115</v>
      </c>
      <c r="W412" s="24"/>
      <c r="X412" s="114"/>
      <c r="Y412" s="24"/>
      <c r="Z412" s="24"/>
      <c r="AA412" s="24"/>
      <c r="AB412" s="24"/>
      <c r="AC412" s="182"/>
      <c r="AD412" s="182"/>
      <c r="AE412" s="121">
        <v>60621009</v>
      </c>
      <c r="AF412" s="182"/>
      <c r="AG412" s="115" t="s">
        <v>115</v>
      </c>
      <c r="AH412" s="115" t="s">
        <v>1339</v>
      </c>
      <c r="AI412" s="115" t="s">
        <v>1340</v>
      </c>
      <c r="AJ412" s="24"/>
      <c r="AK412" s="24"/>
      <c r="AL412" s="24"/>
    </row>
    <row r="413" spans="1:38" ht="12.75" customHeight="1">
      <c r="A413" s="22">
        <v>411</v>
      </c>
      <c r="B413" s="24" t="s">
        <v>115</v>
      </c>
      <c r="C413" s="24" t="s">
        <v>96</v>
      </c>
      <c r="D413" s="24"/>
      <c r="E413" s="24" t="s">
        <v>1307</v>
      </c>
      <c r="F413" s="24">
        <v>1</v>
      </c>
      <c r="G413" s="24" t="s">
        <v>1308</v>
      </c>
      <c r="H413" s="24"/>
      <c r="I413" s="114"/>
      <c r="J413" s="124" t="s">
        <v>115</v>
      </c>
      <c r="K413" s="124" t="s">
        <v>1342</v>
      </c>
      <c r="L413" s="124" t="s">
        <v>1343</v>
      </c>
      <c r="M413" s="124" t="s">
        <v>65</v>
      </c>
      <c r="N413" s="126"/>
      <c r="O413" s="124" t="s">
        <v>1344</v>
      </c>
      <c r="P413" s="24"/>
      <c r="Q413" s="24"/>
      <c r="R413" s="114"/>
      <c r="S413" s="124" t="s">
        <v>203</v>
      </c>
      <c r="T413" s="114"/>
      <c r="U413" s="114"/>
      <c r="V413" s="124" t="s">
        <v>115</v>
      </c>
      <c r="W413" s="24"/>
      <c r="X413" s="114"/>
      <c r="Y413" s="24"/>
      <c r="Z413" s="24"/>
      <c r="AA413" s="24"/>
      <c r="AB413" s="24"/>
      <c r="AC413" s="233"/>
      <c r="AD413" s="233"/>
      <c r="AE413" s="250"/>
      <c r="AF413" s="233"/>
      <c r="AG413" s="115" t="s">
        <v>115</v>
      </c>
      <c r="AH413" s="115" t="s">
        <v>115</v>
      </c>
      <c r="AI413" s="115" t="s">
        <v>115</v>
      </c>
      <c r="AJ413" s="24"/>
      <c r="AK413" s="24"/>
      <c r="AL413" s="24"/>
    </row>
    <row r="414" spans="1:38" ht="12.75" customHeight="1">
      <c r="A414" s="22">
        <v>412</v>
      </c>
      <c r="B414" s="24" t="s">
        <v>115</v>
      </c>
      <c r="C414" s="24" t="s">
        <v>96</v>
      </c>
      <c r="D414" s="24"/>
      <c r="E414" s="24" t="s">
        <v>1307</v>
      </c>
      <c r="F414" s="24">
        <v>1</v>
      </c>
      <c r="G414" s="24" t="s">
        <v>1308</v>
      </c>
      <c r="H414" s="24"/>
      <c r="I414" s="114"/>
      <c r="J414" s="124" t="s">
        <v>115</v>
      </c>
      <c r="K414" s="124" t="s">
        <v>1346</v>
      </c>
      <c r="L414" s="124" t="s">
        <v>1347</v>
      </c>
      <c r="M414" s="124" t="s">
        <v>65</v>
      </c>
      <c r="N414" s="126"/>
      <c r="O414" s="124" t="s">
        <v>1348</v>
      </c>
      <c r="P414" s="24"/>
      <c r="Q414" s="24"/>
      <c r="R414" s="114"/>
      <c r="S414" s="124" t="s">
        <v>203</v>
      </c>
      <c r="T414" s="114"/>
      <c r="U414" s="114"/>
      <c r="V414" s="124" t="s">
        <v>115</v>
      </c>
      <c r="W414" s="24"/>
      <c r="X414" s="114"/>
      <c r="Y414" s="24"/>
      <c r="Z414" s="24"/>
      <c r="AA414" s="24"/>
      <c r="AB414" s="24"/>
      <c r="AC414" s="233"/>
      <c r="AD414" s="233"/>
      <c r="AE414" s="250"/>
      <c r="AF414" s="233"/>
      <c r="AG414" s="115" t="s">
        <v>115</v>
      </c>
      <c r="AH414" s="115" t="s">
        <v>115</v>
      </c>
      <c r="AI414" s="115" t="s">
        <v>115</v>
      </c>
      <c r="AJ414" s="24"/>
      <c r="AK414" s="24"/>
      <c r="AL414" s="24"/>
    </row>
    <row r="415" spans="1:38" ht="12.75" customHeight="1">
      <c r="A415" s="22">
        <v>413</v>
      </c>
      <c r="B415" s="24" t="s">
        <v>115</v>
      </c>
      <c r="C415" s="24" t="s">
        <v>96</v>
      </c>
      <c r="D415" s="24"/>
      <c r="E415" s="24" t="s">
        <v>1307</v>
      </c>
      <c r="F415" s="24">
        <v>1</v>
      </c>
      <c r="G415" s="24" t="s">
        <v>1308</v>
      </c>
      <c r="H415" s="24"/>
      <c r="I415" s="114"/>
      <c r="J415" s="124" t="s">
        <v>115</v>
      </c>
      <c r="K415" s="124" t="s">
        <v>1350</v>
      </c>
      <c r="L415" s="124" t="s">
        <v>1351</v>
      </c>
      <c r="M415" s="124" t="s">
        <v>65</v>
      </c>
      <c r="N415" s="126"/>
      <c r="O415" s="124" t="s">
        <v>1352</v>
      </c>
      <c r="P415" s="24"/>
      <c r="Q415" s="24"/>
      <c r="R415" s="114"/>
      <c r="S415" s="124" t="s">
        <v>203</v>
      </c>
      <c r="T415" s="114"/>
      <c r="U415" s="114"/>
      <c r="V415" s="124" t="s">
        <v>115</v>
      </c>
      <c r="W415" s="24"/>
      <c r="X415" s="114"/>
      <c r="Y415" s="24"/>
      <c r="Z415" s="24"/>
      <c r="AA415" s="24"/>
      <c r="AB415" s="24"/>
      <c r="AC415" s="233"/>
      <c r="AD415" s="233"/>
      <c r="AE415" s="250"/>
      <c r="AF415" s="233"/>
      <c r="AG415" s="115" t="s">
        <v>115</v>
      </c>
      <c r="AH415" s="115" t="s">
        <v>115</v>
      </c>
      <c r="AI415" s="115" t="s">
        <v>115</v>
      </c>
      <c r="AJ415" s="24"/>
      <c r="AK415" s="24"/>
      <c r="AL415" s="24"/>
    </row>
    <row r="416" spans="1:38" ht="12.75" customHeight="1">
      <c r="A416" s="22">
        <v>414</v>
      </c>
      <c r="B416" s="24" t="s">
        <v>115</v>
      </c>
      <c r="C416" s="24" t="s">
        <v>96</v>
      </c>
      <c r="D416" s="24"/>
      <c r="E416" s="24" t="s">
        <v>1307</v>
      </c>
      <c r="F416" s="24">
        <v>1</v>
      </c>
      <c r="G416" s="24" t="s">
        <v>1308</v>
      </c>
      <c r="H416" s="24"/>
      <c r="I416" s="114"/>
      <c r="J416" s="124" t="s">
        <v>115</v>
      </c>
      <c r="K416" s="124" t="s">
        <v>1354</v>
      </c>
      <c r="L416" s="124" t="s">
        <v>1355</v>
      </c>
      <c r="M416" s="124" t="s">
        <v>65</v>
      </c>
      <c r="N416" s="126"/>
      <c r="O416" s="124" t="s">
        <v>1356</v>
      </c>
      <c r="P416" s="24"/>
      <c r="Q416" s="24"/>
      <c r="R416" s="114"/>
      <c r="S416" s="124" t="s">
        <v>203</v>
      </c>
      <c r="T416" s="114"/>
      <c r="U416" s="114"/>
      <c r="V416" s="124" t="s">
        <v>115</v>
      </c>
      <c r="W416" s="24"/>
      <c r="X416" s="114"/>
      <c r="Y416" s="24"/>
      <c r="Z416" s="24"/>
      <c r="AA416" s="24"/>
      <c r="AB416" s="24"/>
      <c r="AC416" s="233"/>
      <c r="AD416" s="233"/>
      <c r="AE416" s="250"/>
      <c r="AF416" s="233"/>
      <c r="AG416" s="115" t="s">
        <v>115</v>
      </c>
      <c r="AH416" s="115" t="s">
        <v>115</v>
      </c>
      <c r="AI416" s="115" t="s">
        <v>115</v>
      </c>
      <c r="AJ416" s="24"/>
      <c r="AK416" s="24"/>
      <c r="AL416" s="24"/>
    </row>
    <row r="417" spans="1:38" ht="12.75" customHeight="1">
      <c r="A417" s="22">
        <v>415</v>
      </c>
      <c r="B417" s="24" t="s">
        <v>1358</v>
      </c>
      <c r="C417" s="24" t="s">
        <v>96</v>
      </c>
      <c r="D417" s="24"/>
      <c r="E417" s="24" t="s">
        <v>1359</v>
      </c>
      <c r="F417" s="24">
        <v>1</v>
      </c>
      <c r="G417" s="24" t="s">
        <v>1308</v>
      </c>
      <c r="H417" s="24"/>
      <c r="I417" s="114"/>
      <c r="J417" s="124" t="s">
        <v>1358</v>
      </c>
      <c r="K417" s="124" t="s">
        <v>1360</v>
      </c>
      <c r="L417" s="124" t="s">
        <v>1361</v>
      </c>
      <c r="M417" s="124" t="s">
        <v>168</v>
      </c>
      <c r="N417" s="126"/>
      <c r="O417" s="126"/>
      <c r="P417" s="24"/>
      <c r="Q417" s="124" t="s">
        <v>1362</v>
      </c>
      <c r="R417" s="114"/>
      <c r="S417" s="124" t="s">
        <v>1363</v>
      </c>
      <c r="T417" s="114"/>
      <c r="U417" s="114"/>
      <c r="V417" s="124" t="s">
        <v>1277</v>
      </c>
      <c r="W417" s="24"/>
      <c r="X417" s="114"/>
      <c r="Y417" s="24"/>
      <c r="Z417" s="24"/>
      <c r="AA417" s="24"/>
      <c r="AB417" s="24"/>
      <c r="AC417" s="182"/>
      <c r="AD417" s="182"/>
      <c r="AE417" s="252">
        <v>271649006</v>
      </c>
      <c r="AF417" s="253">
        <v>2403450</v>
      </c>
      <c r="AG417" s="115" t="s">
        <v>115</v>
      </c>
      <c r="AH417" s="115" t="s">
        <v>1364</v>
      </c>
      <c r="AI417" s="115" t="s">
        <v>1365</v>
      </c>
      <c r="AJ417" s="24"/>
      <c r="AK417" s="24"/>
      <c r="AL417" s="24"/>
    </row>
    <row r="418" spans="1:38" ht="12.75" customHeight="1">
      <c r="A418" s="22">
        <v>416</v>
      </c>
      <c r="B418" s="24" t="s">
        <v>1366</v>
      </c>
      <c r="C418" s="24" t="s">
        <v>96</v>
      </c>
      <c r="D418" s="24"/>
      <c r="E418" s="24" t="s">
        <v>1359</v>
      </c>
      <c r="F418" s="24">
        <v>1</v>
      </c>
      <c r="G418" s="24" t="s">
        <v>1308</v>
      </c>
      <c r="H418" s="24"/>
      <c r="I418" s="114"/>
      <c r="J418" s="124" t="s">
        <v>1366</v>
      </c>
      <c r="K418" s="124" t="s">
        <v>1367</v>
      </c>
      <c r="L418" s="124" t="s">
        <v>1368</v>
      </c>
      <c r="M418" s="124" t="s">
        <v>168</v>
      </c>
      <c r="N418" s="126"/>
      <c r="O418" s="126"/>
      <c r="P418" s="24"/>
      <c r="Q418" s="124" t="s">
        <v>1362</v>
      </c>
      <c r="R418" s="114"/>
      <c r="S418" s="124" t="s">
        <v>1363</v>
      </c>
      <c r="T418" s="114"/>
      <c r="U418" s="114"/>
      <c r="V418" s="124" t="s">
        <v>1277</v>
      </c>
      <c r="W418" s="24"/>
      <c r="X418" s="114"/>
      <c r="Y418" s="24"/>
      <c r="Z418" s="24"/>
      <c r="AA418" s="24"/>
      <c r="AB418" s="24"/>
      <c r="AC418" s="182"/>
      <c r="AD418" s="182"/>
      <c r="AE418" s="252">
        <v>271650006</v>
      </c>
      <c r="AF418" s="252" t="s">
        <v>1369</v>
      </c>
      <c r="AG418" s="115" t="s">
        <v>115</v>
      </c>
      <c r="AH418" s="115" t="s">
        <v>1370</v>
      </c>
      <c r="AI418" s="115" t="s">
        <v>1371</v>
      </c>
      <c r="AJ418" s="24"/>
      <c r="AK418" s="24"/>
      <c r="AL418" s="24"/>
    </row>
    <row r="419" spans="1:38" ht="12.75" customHeight="1">
      <c r="A419" s="22">
        <v>417</v>
      </c>
      <c r="B419" s="24" t="s">
        <v>1372</v>
      </c>
      <c r="C419" s="24" t="s">
        <v>96</v>
      </c>
      <c r="D419" s="24"/>
      <c r="E419" s="24" t="s">
        <v>1359</v>
      </c>
      <c r="F419" s="24">
        <v>1</v>
      </c>
      <c r="G419" s="24" t="s">
        <v>1308</v>
      </c>
      <c r="H419" s="24"/>
      <c r="I419" s="114"/>
      <c r="J419" s="124" t="s">
        <v>1372</v>
      </c>
      <c r="K419" s="124" t="s">
        <v>1373</v>
      </c>
      <c r="L419" s="124" t="s">
        <v>1374</v>
      </c>
      <c r="M419" s="124" t="s">
        <v>153</v>
      </c>
      <c r="N419" s="126"/>
      <c r="O419" s="126"/>
      <c r="P419" s="24"/>
      <c r="Q419" s="24"/>
      <c r="R419" s="114"/>
      <c r="S419" s="124" t="s">
        <v>1363</v>
      </c>
      <c r="T419" s="114"/>
      <c r="U419" s="114"/>
      <c r="V419" s="124" t="s">
        <v>1277</v>
      </c>
      <c r="W419" s="24"/>
      <c r="X419" s="114"/>
      <c r="Y419" s="24"/>
      <c r="Z419" s="24"/>
      <c r="AA419" s="24"/>
      <c r="AB419" s="24"/>
      <c r="AC419" s="233"/>
      <c r="AD419" s="233"/>
      <c r="AE419" s="250"/>
      <c r="AF419" s="254"/>
      <c r="AG419" s="144" t="s">
        <v>115</v>
      </c>
      <c r="AH419" s="144" t="s">
        <v>115</v>
      </c>
      <c r="AI419" s="144" t="s">
        <v>115</v>
      </c>
      <c r="AJ419" s="24"/>
      <c r="AK419" s="24"/>
      <c r="AL419" s="24"/>
    </row>
    <row r="420" spans="1:38" ht="12.75" customHeight="1">
      <c r="A420" s="22">
        <v>418</v>
      </c>
      <c r="B420" s="24" t="s">
        <v>1375</v>
      </c>
      <c r="C420" s="24" t="s">
        <v>96</v>
      </c>
      <c r="D420" s="24"/>
      <c r="E420" s="24" t="s">
        <v>1359</v>
      </c>
      <c r="F420" s="24">
        <v>1</v>
      </c>
      <c r="G420" s="24" t="s">
        <v>1308</v>
      </c>
      <c r="H420" s="24"/>
      <c r="I420" s="114"/>
      <c r="J420" s="124" t="s">
        <v>1376</v>
      </c>
      <c r="K420" s="124" t="s">
        <v>1377</v>
      </c>
      <c r="L420" s="124" t="s">
        <v>1378</v>
      </c>
      <c r="M420" s="124" t="s">
        <v>238</v>
      </c>
      <c r="N420" s="126"/>
      <c r="O420" s="126"/>
      <c r="P420" s="24"/>
      <c r="Q420" s="24"/>
      <c r="R420" s="114"/>
      <c r="S420" s="124" t="s">
        <v>113</v>
      </c>
      <c r="T420" s="114"/>
      <c r="U420" s="114"/>
      <c r="V420" s="124" t="s">
        <v>115</v>
      </c>
      <c r="W420" s="24"/>
      <c r="X420" s="114"/>
      <c r="Y420" s="24"/>
      <c r="Z420" s="24"/>
      <c r="AA420" s="24"/>
      <c r="AB420" s="24"/>
      <c r="AC420" s="233"/>
      <c r="AD420" s="233"/>
      <c r="AE420" s="250"/>
      <c r="AF420" s="233"/>
      <c r="AG420" s="144" t="s">
        <v>115</v>
      </c>
      <c r="AH420" s="144" t="s">
        <v>1379</v>
      </c>
      <c r="AI420" s="144" t="s">
        <v>1380</v>
      </c>
      <c r="AJ420" s="24"/>
      <c r="AK420" s="24"/>
      <c r="AL420" s="24"/>
    </row>
    <row r="421" spans="1:38" ht="12.75" customHeight="1">
      <c r="A421" s="22">
        <v>419</v>
      </c>
      <c r="B421" s="24" t="s">
        <v>1381</v>
      </c>
      <c r="C421" s="24" t="s">
        <v>180</v>
      </c>
      <c r="D421" s="24" t="s">
        <v>1375</v>
      </c>
      <c r="E421" s="24" t="s">
        <v>1359</v>
      </c>
      <c r="F421" s="24">
        <v>1</v>
      </c>
      <c r="G421" s="24" t="s">
        <v>1308</v>
      </c>
      <c r="H421" s="24"/>
      <c r="I421" s="114"/>
      <c r="J421" s="124"/>
      <c r="K421" s="124"/>
      <c r="L421" s="124"/>
      <c r="M421" s="124"/>
      <c r="N421" s="124" t="s">
        <v>1381</v>
      </c>
      <c r="O421" s="126"/>
      <c r="P421" s="24"/>
      <c r="Q421" s="24"/>
      <c r="R421" s="114"/>
      <c r="S421" s="124"/>
      <c r="T421" s="114"/>
      <c r="U421" s="114"/>
      <c r="V421" s="124"/>
      <c r="W421" s="24"/>
      <c r="X421" s="114"/>
      <c r="Y421" s="24"/>
      <c r="Z421" s="24"/>
      <c r="AA421" s="24"/>
      <c r="AB421" s="24"/>
      <c r="AC421" s="233"/>
      <c r="AD421" s="233"/>
      <c r="AE421" s="250"/>
      <c r="AF421" s="233"/>
      <c r="AG421" s="144" t="s">
        <v>115</v>
      </c>
      <c r="AH421" s="144" t="s">
        <v>1382</v>
      </c>
      <c r="AI421" s="144" t="s">
        <v>1383</v>
      </c>
      <c r="AJ421" s="24"/>
      <c r="AK421" s="24"/>
      <c r="AL421" s="24"/>
    </row>
    <row r="422" spans="1:38" ht="12.75" customHeight="1">
      <c r="A422" s="22">
        <v>420</v>
      </c>
      <c r="B422" s="24" t="s">
        <v>1384</v>
      </c>
      <c r="C422" s="24" t="s">
        <v>180</v>
      </c>
      <c r="D422" s="24" t="s">
        <v>1375</v>
      </c>
      <c r="E422" s="24" t="s">
        <v>1359</v>
      </c>
      <c r="F422" s="24">
        <v>1</v>
      </c>
      <c r="G422" s="24" t="s">
        <v>1308</v>
      </c>
      <c r="H422" s="24"/>
      <c r="I422" s="114"/>
      <c r="J422" s="124"/>
      <c r="K422" s="124"/>
      <c r="L422" s="124"/>
      <c r="M422" s="124"/>
      <c r="N422" s="124" t="s">
        <v>1384</v>
      </c>
      <c r="O422" s="126"/>
      <c r="P422" s="24"/>
      <c r="Q422" s="24"/>
      <c r="R422" s="114"/>
      <c r="S422" s="124"/>
      <c r="T422" s="114"/>
      <c r="U422" s="114"/>
      <c r="V422" s="124"/>
      <c r="W422" s="24"/>
      <c r="X422" s="114"/>
      <c r="Y422" s="24"/>
      <c r="Z422" s="24"/>
      <c r="AA422" s="24"/>
      <c r="AB422" s="24"/>
      <c r="AC422" s="233"/>
      <c r="AD422" s="233"/>
      <c r="AE422" s="250"/>
      <c r="AF422" s="233"/>
      <c r="AG422" s="144" t="s">
        <v>115</v>
      </c>
      <c r="AH422" s="144" t="s">
        <v>1385</v>
      </c>
      <c r="AI422" s="144" t="s">
        <v>1386</v>
      </c>
      <c r="AJ422" s="24"/>
      <c r="AK422" s="24"/>
      <c r="AL422" s="24"/>
    </row>
    <row r="423" spans="1:38" ht="12.75" customHeight="1">
      <c r="A423" s="22">
        <v>421</v>
      </c>
      <c r="B423" s="24" t="s">
        <v>1387</v>
      </c>
      <c r="C423" s="24" t="s">
        <v>180</v>
      </c>
      <c r="D423" s="24" t="s">
        <v>1375</v>
      </c>
      <c r="E423" s="24" t="s">
        <v>1359</v>
      </c>
      <c r="F423" s="24">
        <v>1</v>
      </c>
      <c r="G423" s="24" t="s">
        <v>1308</v>
      </c>
      <c r="H423" s="24"/>
      <c r="I423" s="114"/>
      <c r="J423" s="124"/>
      <c r="K423" s="124"/>
      <c r="L423" s="124"/>
      <c r="M423" s="124"/>
      <c r="N423" s="124" t="s">
        <v>1387</v>
      </c>
      <c r="O423" s="126"/>
      <c r="P423" s="24"/>
      <c r="Q423" s="24"/>
      <c r="R423" s="114"/>
      <c r="S423" s="124"/>
      <c r="T423" s="114"/>
      <c r="U423" s="114"/>
      <c r="V423" s="124"/>
      <c r="W423" s="24"/>
      <c r="X423" s="114"/>
      <c r="Y423" s="24"/>
      <c r="Z423" s="24"/>
      <c r="AA423" s="24"/>
      <c r="AB423" s="24"/>
      <c r="AC423" s="182"/>
      <c r="AD423" s="182"/>
      <c r="AE423" s="129" t="s">
        <v>745</v>
      </c>
      <c r="AF423" s="175"/>
      <c r="AG423" s="144" t="s">
        <v>115</v>
      </c>
      <c r="AH423" s="144" t="s">
        <v>406</v>
      </c>
      <c r="AI423" s="144" t="s">
        <v>407</v>
      </c>
      <c r="AJ423" s="24"/>
      <c r="AK423" s="24"/>
      <c r="AL423" s="24"/>
    </row>
    <row r="424" spans="1:38" ht="12.75" customHeight="1">
      <c r="A424" s="22">
        <v>422</v>
      </c>
      <c r="B424" s="24" t="s">
        <v>1388</v>
      </c>
      <c r="C424" s="24" t="s">
        <v>96</v>
      </c>
      <c r="D424" s="24"/>
      <c r="E424" s="24" t="s">
        <v>1359</v>
      </c>
      <c r="F424" s="24">
        <v>1</v>
      </c>
      <c r="G424" s="24" t="s">
        <v>1308</v>
      </c>
      <c r="H424" s="24"/>
      <c r="I424" s="114"/>
      <c r="J424" s="124" t="s">
        <v>1388</v>
      </c>
      <c r="K424" s="124" t="s">
        <v>1389</v>
      </c>
      <c r="L424" s="124" t="s">
        <v>1390</v>
      </c>
      <c r="M424" s="124" t="s">
        <v>168</v>
      </c>
      <c r="N424" s="126"/>
      <c r="O424" s="126"/>
      <c r="P424" s="24"/>
      <c r="Q424" s="124" t="s">
        <v>1362</v>
      </c>
      <c r="R424" s="114"/>
      <c r="S424" s="124" t="s">
        <v>113</v>
      </c>
      <c r="T424" s="114"/>
      <c r="U424" s="114"/>
      <c r="V424" s="124" t="s">
        <v>115</v>
      </c>
      <c r="W424" s="24"/>
      <c r="X424" s="114"/>
      <c r="Y424" s="24"/>
      <c r="Z424" s="24"/>
      <c r="AA424" s="24"/>
      <c r="AB424" s="24"/>
      <c r="AC424" s="233"/>
      <c r="AD424" s="233"/>
      <c r="AE424" s="250"/>
      <c r="AF424" s="233"/>
      <c r="AG424" s="144" t="s">
        <v>115</v>
      </c>
      <c r="AH424" s="144" t="s">
        <v>1391</v>
      </c>
      <c r="AI424" s="144" t="s">
        <v>1392</v>
      </c>
      <c r="AJ424" s="24"/>
      <c r="AK424" s="24"/>
      <c r="AL424" s="24"/>
    </row>
    <row r="425" spans="1:38" ht="12.75" customHeight="1">
      <c r="A425" s="22">
        <v>423</v>
      </c>
      <c r="B425" s="24" t="s">
        <v>1393</v>
      </c>
      <c r="C425" s="24" t="s">
        <v>96</v>
      </c>
      <c r="D425" s="24"/>
      <c r="E425" s="24" t="s">
        <v>1359</v>
      </c>
      <c r="F425" s="24">
        <v>1</v>
      </c>
      <c r="G425" s="24" t="s">
        <v>1308</v>
      </c>
      <c r="H425" s="24"/>
      <c r="I425" s="114"/>
      <c r="J425" s="124" t="s">
        <v>1393</v>
      </c>
      <c r="K425" s="124" t="s">
        <v>1394</v>
      </c>
      <c r="L425" s="124" t="s">
        <v>1395</v>
      </c>
      <c r="M425" s="124" t="s">
        <v>168</v>
      </c>
      <c r="N425" s="126"/>
      <c r="O425" s="126"/>
      <c r="P425" s="24"/>
      <c r="Q425" s="124" t="s">
        <v>1362</v>
      </c>
      <c r="R425" s="114"/>
      <c r="S425" s="124" t="s">
        <v>113</v>
      </c>
      <c r="T425" s="114"/>
      <c r="U425" s="114"/>
      <c r="V425" s="124" t="s">
        <v>115</v>
      </c>
      <c r="W425" s="24"/>
      <c r="X425" s="114"/>
      <c r="Y425" s="24"/>
      <c r="Z425" s="24"/>
      <c r="AA425" s="24"/>
      <c r="AB425" s="24"/>
      <c r="AC425" s="233"/>
      <c r="AD425" s="233"/>
      <c r="AE425" s="250"/>
      <c r="AF425" s="233"/>
      <c r="AG425" s="144" t="s">
        <v>115</v>
      </c>
      <c r="AH425" s="144" t="s">
        <v>1396</v>
      </c>
      <c r="AI425" s="144" t="s">
        <v>1397</v>
      </c>
      <c r="AJ425" s="24"/>
      <c r="AK425" s="24"/>
      <c r="AL425" s="24"/>
    </row>
    <row r="426" spans="1:38" ht="12.75" customHeight="1">
      <c r="A426" s="22">
        <v>424</v>
      </c>
      <c r="B426" s="24" t="s">
        <v>1398</v>
      </c>
      <c r="C426" s="24" t="s">
        <v>96</v>
      </c>
      <c r="D426" s="24"/>
      <c r="E426" s="24" t="s">
        <v>1359</v>
      </c>
      <c r="F426" s="24">
        <v>1</v>
      </c>
      <c r="G426" s="24" t="s">
        <v>1308</v>
      </c>
      <c r="H426" s="24"/>
      <c r="I426" s="126"/>
      <c r="J426" s="124" t="s">
        <v>1398</v>
      </c>
      <c r="K426" s="124" t="s">
        <v>1399</v>
      </c>
      <c r="L426" s="124" t="s">
        <v>1400</v>
      </c>
      <c r="M426" s="124" t="s">
        <v>238</v>
      </c>
      <c r="N426" s="126"/>
      <c r="O426" s="126"/>
      <c r="P426" s="24"/>
      <c r="Q426" s="124" t="s">
        <v>1401</v>
      </c>
      <c r="R426" s="126"/>
      <c r="S426" s="124" t="s">
        <v>113</v>
      </c>
      <c r="T426" s="126"/>
      <c r="U426" s="126"/>
      <c r="V426" s="124" t="s">
        <v>115</v>
      </c>
      <c r="W426" s="24"/>
      <c r="X426" s="126"/>
      <c r="Y426" s="24"/>
      <c r="Z426" s="24"/>
      <c r="AA426" s="24"/>
      <c r="AB426" s="24"/>
      <c r="AC426" s="233"/>
      <c r="AD426" s="233"/>
      <c r="AE426" s="233"/>
      <c r="AF426" s="233"/>
      <c r="AG426" s="144" t="s">
        <v>115</v>
      </c>
      <c r="AH426" s="144" t="s">
        <v>1402</v>
      </c>
      <c r="AI426" s="144" t="s">
        <v>1403</v>
      </c>
      <c r="AJ426" s="24"/>
      <c r="AK426" s="24"/>
      <c r="AL426" s="24"/>
    </row>
    <row r="427" spans="1:38" ht="12.75" customHeight="1">
      <c r="A427" s="22">
        <v>425</v>
      </c>
      <c r="B427" s="24" t="s">
        <v>423</v>
      </c>
      <c r="C427" s="24" t="s">
        <v>180</v>
      </c>
      <c r="D427" s="24" t="s">
        <v>1398</v>
      </c>
      <c r="E427" s="24" t="s">
        <v>1359</v>
      </c>
      <c r="F427" s="24">
        <v>1</v>
      </c>
      <c r="G427" s="24" t="s">
        <v>1308</v>
      </c>
      <c r="H427" s="24"/>
      <c r="I427" s="126"/>
      <c r="J427" s="124"/>
      <c r="K427" s="124"/>
      <c r="L427" s="124"/>
      <c r="M427" s="124"/>
      <c r="N427" s="126" t="s">
        <v>423</v>
      </c>
      <c r="O427" s="126"/>
      <c r="P427" s="24"/>
      <c r="Q427" s="24"/>
      <c r="R427" s="126"/>
      <c r="S427" s="124"/>
      <c r="T427" s="126"/>
      <c r="U427" s="126"/>
      <c r="V427" s="124"/>
      <c r="W427" s="24"/>
      <c r="X427" s="126"/>
      <c r="Y427" s="24"/>
      <c r="Z427" s="24"/>
      <c r="AA427" s="24"/>
      <c r="AB427" s="24"/>
      <c r="AC427" s="182"/>
      <c r="AD427" s="182"/>
      <c r="AE427" s="113">
        <v>260413007</v>
      </c>
      <c r="AF427" s="182"/>
      <c r="AG427" s="115" t="s">
        <v>115</v>
      </c>
      <c r="AH427" s="115" t="s">
        <v>424</v>
      </c>
      <c r="AI427" s="115" t="s">
        <v>425</v>
      </c>
      <c r="AJ427" s="24"/>
      <c r="AK427" s="24"/>
      <c r="AL427" s="24"/>
    </row>
    <row r="428" spans="1:38" ht="12.75" customHeight="1">
      <c r="A428" s="22">
        <v>426</v>
      </c>
      <c r="B428" s="24" t="s">
        <v>439</v>
      </c>
      <c r="C428" s="24" t="s">
        <v>180</v>
      </c>
      <c r="D428" s="24" t="s">
        <v>1398</v>
      </c>
      <c r="E428" s="24" t="s">
        <v>1359</v>
      </c>
      <c r="F428" s="24">
        <v>1</v>
      </c>
      <c r="G428" s="24" t="s">
        <v>1308</v>
      </c>
      <c r="H428" s="24"/>
      <c r="I428" s="126"/>
      <c r="J428" s="124"/>
      <c r="K428" s="124"/>
      <c r="L428" s="124"/>
      <c r="M428" s="124"/>
      <c r="N428" s="126" t="s">
        <v>439</v>
      </c>
      <c r="O428" s="126"/>
      <c r="P428" s="24"/>
      <c r="Q428" s="24"/>
      <c r="R428" s="126"/>
      <c r="S428" s="124"/>
      <c r="T428" s="126"/>
      <c r="U428" s="126"/>
      <c r="V428" s="124"/>
      <c r="W428" s="24"/>
      <c r="X428" s="126"/>
      <c r="Y428" s="24"/>
      <c r="Z428" s="24"/>
      <c r="AA428" s="24"/>
      <c r="AB428" s="24"/>
      <c r="AC428" s="175" t="s">
        <v>299</v>
      </c>
      <c r="AD428" s="182"/>
      <c r="AE428" s="182"/>
      <c r="AF428" s="182"/>
      <c r="AG428" s="115" t="s">
        <v>115</v>
      </c>
      <c r="AH428" s="115" t="s">
        <v>441</v>
      </c>
      <c r="AI428" s="115" t="s">
        <v>442</v>
      </c>
      <c r="AJ428" s="24"/>
      <c r="AK428" s="24"/>
      <c r="AL428" s="24"/>
    </row>
    <row r="429" spans="1:38" ht="12.75" customHeight="1">
      <c r="A429" s="22">
        <v>427</v>
      </c>
      <c r="B429" s="24" t="s">
        <v>1404</v>
      </c>
      <c r="C429" s="24" t="s">
        <v>180</v>
      </c>
      <c r="D429" s="24" t="s">
        <v>1398</v>
      </c>
      <c r="E429" s="24" t="s">
        <v>1359</v>
      </c>
      <c r="F429" s="24">
        <v>1</v>
      </c>
      <c r="G429" s="24" t="s">
        <v>1308</v>
      </c>
      <c r="H429" s="24"/>
      <c r="I429" s="126"/>
      <c r="J429" s="124"/>
      <c r="K429" s="124"/>
      <c r="L429" s="124"/>
      <c r="M429" s="124"/>
      <c r="N429" s="126" t="s">
        <v>1404</v>
      </c>
      <c r="O429" s="126"/>
      <c r="P429" s="24"/>
      <c r="Q429" s="24"/>
      <c r="R429" s="126"/>
      <c r="S429" s="124"/>
      <c r="T429" s="126"/>
      <c r="U429" s="126"/>
      <c r="V429" s="124"/>
      <c r="W429" s="24"/>
      <c r="X429" s="126"/>
      <c r="Y429" s="24"/>
      <c r="Z429" s="24"/>
      <c r="AA429" s="24"/>
      <c r="AB429" s="24"/>
      <c r="AC429" s="175" t="s">
        <v>1405</v>
      </c>
      <c r="AD429" s="182"/>
      <c r="AE429" s="113">
        <v>111516008</v>
      </c>
      <c r="AF429" s="182"/>
      <c r="AG429" s="115" t="s">
        <v>115</v>
      </c>
      <c r="AH429" s="115" t="s">
        <v>1406</v>
      </c>
      <c r="AI429" s="115" t="s">
        <v>1407</v>
      </c>
      <c r="AJ429" s="24"/>
      <c r="AK429" s="24"/>
      <c r="AL429" s="24"/>
    </row>
    <row r="430" spans="1:38" ht="12.75" customHeight="1">
      <c r="A430" s="22">
        <v>428</v>
      </c>
      <c r="B430" s="24" t="s">
        <v>1408</v>
      </c>
      <c r="C430" s="24" t="s">
        <v>180</v>
      </c>
      <c r="D430" s="24" t="s">
        <v>1398</v>
      </c>
      <c r="E430" s="24" t="s">
        <v>1359</v>
      </c>
      <c r="F430" s="24">
        <v>1</v>
      </c>
      <c r="G430" s="24" t="s">
        <v>1308</v>
      </c>
      <c r="H430" s="24"/>
      <c r="I430" s="126"/>
      <c r="J430" s="124"/>
      <c r="K430" s="124"/>
      <c r="L430" s="124"/>
      <c r="M430" s="124"/>
      <c r="N430" s="126" t="s">
        <v>1408</v>
      </c>
      <c r="O430" s="126"/>
      <c r="P430" s="24"/>
      <c r="Q430" s="24"/>
      <c r="R430" s="126"/>
      <c r="S430" s="124"/>
      <c r="T430" s="126"/>
      <c r="U430" s="126"/>
      <c r="V430" s="124"/>
      <c r="W430" s="24"/>
      <c r="X430" s="126"/>
      <c r="Y430" s="24"/>
      <c r="Z430" s="24"/>
      <c r="AA430" s="24"/>
      <c r="AB430" s="24"/>
      <c r="AC430" s="93" t="s">
        <v>1409</v>
      </c>
      <c r="AD430" s="182"/>
      <c r="AE430" s="113">
        <v>79922009</v>
      </c>
      <c r="AF430" s="182"/>
      <c r="AG430" s="115" t="s">
        <v>115</v>
      </c>
      <c r="AH430" s="115" t="s">
        <v>1410</v>
      </c>
      <c r="AI430" s="115" t="s">
        <v>1411</v>
      </c>
      <c r="AJ430" s="24"/>
      <c r="AK430" s="24"/>
      <c r="AL430" s="24"/>
    </row>
    <row r="431" spans="1:38" ht="12.75" customHeight="1">
      <c r="A431" s="22">
        <v>429</v>
      </c>
      <c r="B431" s="24" t="s">
        <v>270</v>
      </c>
      <c r="C431" s="24" t="s">
        <v>180</v>
      </c>
      <c r="D431" s="24" t="s">
        <v>1398</v>
      </c>
      <c r="E431" s="24" t="s">
        <v>1359</v>
      </c>
      <c r="F431" s="24">
        <v>1</v>
      </c>
      <c r="G431" s="24" t="s">
        <v>1308</v>
      </c>
      <c r="H431" s="24"/>
      <c r="I431" s="126"/>
      <c r="J431" s="124"/>
      <c r="K431" s="124"/>
      <c r="L431" s="124"/>
      <c r="M431" s="124"/>
      <c r="N431" s="126" t="s">
        <v>270</v>
      </c>
      <c r="O431" s="126"/>
      <c r="P431" s="24"/>
      <c r="Q431" s="24"/>
      <c r="R431" s="126"/>
      <c r="S431" s="124"/>
      <c r="T431" s="126"/>
      <c r="U431" s="126"/>
      <c r="V431" s="124"/>
      <c r="W431" s="24"/>
      <c r="X431" s="126"/>
      <c r="Y431" s="24"/>
      <c r="Z431" s="24"/>
      <c r="AA431" s="24"/>
      <c r="AB431" s="24"/>
      <c r="AC431" s="175" t="s">
        <v>271</v>
      </c>
      <c r="AD431" s="182"/>
      <c r="AE431" s="113">
        <v>315018008</v>
      </c>
      <c r="AF431" s="182"/>
      <c r="AG431" s="115" t="s">
        <v>115</v>
      </c>
      <c r="AH431" s="115" t="s">
        <v>272</v>
      </c>
      <c r="AI431" s="255" t="s">
        <v>273</v>
      </c>
      <c r="AJ431" s="24"/>
      <c r="AK431" s="24"/>
      <c r="AL431" s="24"/>
    </row>
    <row r="432" spans="1:38" ht="12.75" customHeight="1">
      <c r="A432" s="22">
        <v>430</v>
      </c>
      <c r="B432" s="24" t="s">
        <v>1412</v>
      </c>
      <c r="C432" s="24" t="s">
        <v>180</v>
      </c>
      <c r="D432" s="24" t="s">
        <v>1398</v>
      </c>
      <c r="E432" s="24" t="s">
        <v>1359</v>
      </c>
      <c r="F432" s="24">
        <v>1</v>
      </c>
      <c r="G432" s="24" t="s">
        <v>1308</v>
      </c>
      <c r="H432" s="24"/>
      <c r="I432" s="126"/>
      <c r="J432" s="124"/>
      <c r="K432" s="124"/>
      <c r="L432" s="124"/>
      <c r="M432" s="124"/>
      <c r="N432" s="126" t="s">
        <v>1412</v>
      </c>
      <c r="O432" s="126"/>
      <c r="P432" s="24"/>
      <c r="Q432" s="24"/>
      <c r="R432" s="126"/>
      <c r="S432" s="124"/>
      <c r="T432" s="126"/>
      <c r="U432" s="126"/>
      <c r="V432" s="124"/>
      <c r="W432" s="24"/>
      <c r="X432" s="126"/>
      <c r="Y432" s="24"/>
      <c r="Z432" s="24"/>
      <c r="AA432" s="24"/>
      <c r="AB432" s="24"/>
      <c r="AC432" s="113" t="s">
        <v>331</v>
      </c>
      <c r="AD432" s="182"/>
      <c r="AE432" s="118">
        <v>422400008</v>
      </c>
      <c r="AF432" s="182"/>
      <c r="AG432" s="115" t="s">
        <v>115</v>
      </c>
      <c r="AH432" s="115" t="s">
        <v>1413</v>
      </c>
      <c r="AI432" s="115" t="s">
        <v>1414</v>
      </c>
      <c r="AJ432" s="24"/>
      <c r="AK432" s="24"/>
      <c r="AL432" s="24"/>
    </row>
    <row r="433" spans="1:38" ht="12.75" customHeight="1">
      <c r="A433" s="22">
        <v>431</v>
      </c>
      <c r="B433" s="24" t="s">
        <v>1416</v>
      </c>
      <c r="C433" s="24" t="s">
        <v>96</v>
      </c>
      <c r="D433" s="24"/>
      <c r="E433" s="24" t="s">
        <v>1359</v>
      </c>
      <c r="F433" s="24">
        <v>1</v>
      </c>
      <c r="G433" s="24" t="s">
        <v>1308</v>
      </c>
      <c r="H433" s="24"/>
      <c r="I433" s="126"/>
      <c r="J433" s="124" t="s">
        <v>1416</v>
      </c>
      <c r="K433" s="124" t="s">
        <v>1417</v>
      </c>
      <c r="L433" s="124" t="s">
        <v>1418</v>
      </c>
      <c r="M433" s="124" t="s">
        <v>202</v>
      </c>
      <c r="N433" s="126"/>
      <c r="O433" s="126"/>
      <c r="P433" s="24"/>
      <c r="Q433" s="24"/>
      <c r="R433" s="126"/>
      <c r="S433" s="124" t="s">
        <v>113</v>
      </c>
      <c r="T433" s="126"/>
      <c r="U433" s="126"/>
      <c r="V433" s="124" t="s">
        <v>115</v>
      </c>
      <c r="W433" s="24"/>
      <c r="X433" s="126"/>
      <c r="Y433" s="24"/>
      <c r="Z433" s="24"/>
      <c r="AA433" s="24"/>
      <c r="AB433" s="24"/>
      <c r="AC433" s="182"/>
      <c r="AD433" s="182"/>
      <c r="AE433" s="121">
        <v>271346009</v>
      </c>
      <c r="AF433" s="182"/>
      <c r="AG433" s="115" t="s">
        <v>115</v>
      </c>
      <c r="AH433" s="115" t="s">
        <v>1419</v>
      </c>
      <c r="AI433" s="115" t="s">
        <v>1420</v>
      </c>
      <c r="AJ433" s="24"/>
      <c r="AK433" s="24"/>
      <c r="AL433" s="24"/>
    </row>
    <row r="434" spans="1:38" ht="12.75" customHeight="1">
      <c r="A434" s="22">
        <v>432</v>
      </c>
      <c r="B434" s="24" t="s">
        <v>423</v>
      </c>
      <c r="C434" s="24" t="s">
        <v>180</v>
      </c>
      <c r="D434" s="24" t="s">
        <v>1416</v>
      </c>
      <c r="E434" s="24" t="s">
        <v>1359</v>
      </c>
      <c r="F434" s="24">
        <v>1</v>
      </c>
      <c r="G434" s="24" t="s">
        <v>1308</v>
      </c>
      <c r="H434" s="24"/>
      <c r="I434" s="126"/>
      <c r="J434" s="124"/>
      <c r="K434" s="124"/>
      <c r="L434" s="124"/>
      <c r="M434" s="124"/>
      <c r="N434" s="126" t="s">
        <v>423</v>
      </c>
      <c r="O434" s="126"/>
      <c r="P434" s="24"/>
      <c r="Q434" s="24"/>
      <c r="R434" s="126"/>
      <c r="S434" s="124"/>
      <c r="T434" s="126"/>
      <c r="U434" s="126"/>
      <c r="V434" s="124"/>
      <c r="W434" s="24"/>
      <c r="X434" s="126"/>
      <c r="Y434" s="24"/>
      <c r="Z434" s="24"/>
      <c r="AA434" s="24"/>
      <c r="AB434" s="24"/>
      <c r="AC434" s="182"/>
      <c r="AD434" s="182"/>
      <c r="AE434" s="118">
        <v>260385009</v>
      </c>
      <c r="AF434" s="182"/>
      <c r="AG434" s="115" t="s">
        <v>115</v>
      </c>
      <c r="AH434" s="115" t="s">
        <v>1128</v>
      </c>
      <c r="AI434" s="115" t="s">
        <v>1129</v>
      </c>
      <c r="AJ434" s="24"/>
      <c r="AK434" s="24"/>
      <c r="AL434" s="24"/>
    </row>
    <row r="435" spans="1:38" ht="12.75" customHeight="1">
      <c r="A435" s="22">
        <v>433</v>
      </c>
      <c r="B435" s="24" t="s">
        <v>1421</v>
      </c>
      <c r="C435" s="24" t="s">
        <v>180</v>
      </c>
      <c r="D435" s="24" t="s">
        <v>1416</v>
      </c>
      <c r="E435" s="24" t="s">
        <v>1359</v>
      </c>
      <c r="F435" s="24">
        <v>1</v>
      </c>
      <c r="G435" s="24" t="s">
        <v>1308</v>
      </c>
      <c r="H435" s="24"/>
      <c r="I435" s="126"/>
      <c r="J435" s="124"/>
      <c r="K435" s="124"/>
      <c r="L435" s="124"/>
      <c r="M435" s="124"/>
      <c r="N435" s="256" t="s">
        <v>1421</v>
      </c>
      <c r="O435" s="126"/>
      <c r="P435" s="24"/>
      <c r="Q435" s="24"/>
      <c r="R435" s="126"/>
      <c r="S435" s="124"/>
      <c r="T435" s="126"/>
      <c r="U435" s="126"/>
      <c r="V435" s="124"/>
      <c r="W435" s="24"/>
      <c r="X435" s="126"/>
      <c r="Y435" s="24"/>
      <c r="Z435" s="24"/>
      <c r="AA435" s="24"/>
      <c r="AB435" s="24"/>
      <c r="AC435" s="182"/>
      <c r="AD435" s="182"/>
      <c r="AE435" s="121">
        <v>260408008</v>
      </c>
      <c r="AF435" s="182"/>
      <c r="AG435" s="115" t="s">
        <v>115</v>
      </c>
      <c r="AH435" s="115" t="s">
        <v>1422</v>
      </c>
      <c r="AI435" s="115" t="s">
        <v>1423</v>
      </c>
      <c r="AJ435" s="24"/>
      <c r="AK435" s="24"/>
      <c r="AL435" s="24"/>
    </row>
    <row r="436" spans="1:38" ht="12.75" customHeight="1">
      <c r="A436" s="22">
        <v>434</v>
      </c>
      <c r="B436" s="24" t="s">
        <v>1424</v>
      </c>
      <c r="C436" s="24" t="s">
        <v>180</v>
      </c>
      <c r="D436" s="24" t="s">
        <v>1416</v>
      </c>
      <c r="E436" s="24" t="s">
        <v>1359</v>
      </c>
      <c r="F436" s="24">
        <v>1</v>
      </c>
      <c r="G436" s="24" t="s">
        <v>1308</v>
      </c>
      <c r="H436" s="24"/>
      <c r="I436" s="126"/>
      <c r="J436" s="124"/>
      <c r="K436" s="124"/>
      <c r="L436" s="124"/>
      <c r="M436" s="124"/>
      <c r="N436" s="256" t="s">
        <v>1424</v>
      </c>
      <c r="O436" s="126"/>
      <c r="P436" s="24"/>
      <c r="Q436" s="24"/>
      <c r="R436" s="126"/>
      <c r="S436" s="124"/>
      <c r="T436" s="126"/>
      <c r="U436" s="126"/>
      <c r="V436" s="124"/>
      <c r="W436" s="24"/>
      <c r="X436" s="126"/>
      <c r="Y436" s="24"/>
      <c r="Z436" s="24"/>
      <c r="AA436" s="24"/>
      <c r="AB436" s="24"/>
      <c r="AC436" s="182"/>
      <c r="AD436" s="182"/>
      <c r="AE436" s="121">
        <v>441517005</v>
      </c>
      <c r="AF436" s="182"/>
      <c r="AG436" s="115" t="s">
        <v>115</v>
      </c>
      <c r="AH436" s="115" t="s">
        <v>1425</v>
      </c>
      <c r="AI436" s="115" t="s">
        <v>1426</v>
      </c>
      <c r="AJ436" s="24"/>
      <c r="AK436" s="24"/>
      <c r="AL436" s="24"/>
    </row>
    <row r="437" spans="1:38" ht="12.75" customHeight="1">
      <c r="A437" s="22">
        <v>435</v>
      </c>
      <c r="B437" s="24" t="s">
        <v>1427</v>
      </c>
      <c r="C437" s="24" t="s">
        <v>180</v>
      </c>
      <c r="D437" s="24" t="s">
        <v>1416</v>
      </c>
      <c r="E437" s="24" t="s">
        <v>1359</v>
      </c>
      <c r="F437" s="24">
        <v>1</v>
      </c>
      <c r="G437" s="24" t="s">
        <v>1308</v>
      </c>
      <c r="H437" s="24"/>
      <c r="I437" s="126"/>
      <c r="J437" s="124"/>
      <c r="K437" s="124"/>
      <c r="L437" s="124"/>
      <c r="M437" s="124"/>
      <c r="N437" s="256" t="s">
        <v>1427</v>
      </c>
      <c r="O437" s="126"/>
      <c r="P437" s="24"/>
      <c r="Q437" s="24"/>
      <c r="R437" s="126"/>
      <c r="S437" s="124"/>
      <c r="T437" s="126"/>
      <c r="U437" s="126"/>
      <c r="V437" s="124"/>
      <c r="W437" s="24"/>
      <c r="X437" s="126"/>
      <c r="Y437" s="24"/>
      <c r="Z437" s="24"/>
      <c r="AA437" s="24"/>
      <c r="AB437" s="24"/>
      <c r="AC437" s="182"/>
      <c r="AD437" s="182"/>
      <c r="AE437" s="118">
        <v>441521003</v>
      </c>
      <c r="AF437" s="182"/>
      <c r="AG437" s="115" t="s">
        <v>115</v>
      </c>
      <c r="AH437" s="115" t="s">
        <v>1428</v>
      </c>
      <c r="AI437" s="115" t="s">
        <v>1429</v>
      </c>
      <c r="AJ437" s="24"/>
      <c r="AK437" s="24"/>
      <c r="AL437" s="24"/>
    </row>
    <row r="438" spans="1:38" ht="12.75" customHeight="1">
      <c r="A438" s="22">
        <v>436</v>
      </c>
      <c r="B438" s="24" t="s">
        <v>1430</v>
      </c>
      <c r="C438" s="24" t="s">
        <v>180</v>
      </c>
      <c r="D438" s="24" t="s">
        <v>1416</v>
      </c>
      <c r="E438" s="24" t="s">
        <v>1359</v>
      </c>
      <c r="F438" s="24">
        <v>1</v>
      </c>
      <c r="G438" s="24" t="s">
        <v>1308</v>
      </c>
      <c r="H438" s="24"/>
      <c r="I438" s="126"/>
      <c r="J438" s="124"/>
      <c r="K438" s="124"/>
      <c r="L438" s="124"/>
      <c r="M438" s="124"/>
      <c r="N438" s="256" t="s">
        <v>1430</v>
      </c>
      <c r="O438" s="126"/>
      <c r="P438" s="24"/>
      <c r="Q438" s="24"/>
      <c r="R438" s="126"/>
      <c r="S438" s="124"/>
      <c r="T438" s="126"/>
      <c r="U438" s="126"/>
      <c r="V438" s="124"/>
      <c r="W438" s="24"/>
      <c r="X438" s="126"/>
      <c r="Y438" s="24"/>
      <c r="Z438" s="24"/>
      <c r="AA438" s="24"/>
      <c r="AB438" s="24"/>
      <c r="AC438" s="233"/>
      <c r="AD438" s="233"/>
      <c r="AE438" s="233"/>
      <c r="AF438" s="233"/>
      <c r="AG438" s="115" t="s">
        <v>115</v>
      </c>
      <c r="AH438" s="115" t="s">
        <v>1431</v>
      </c>
      <c r="AI438" s="115" t="s">
        <v>1432</v>
      </c>
      <c r="AJ438" s="24"/>
      <c r="AK438" s="24"/>
      <c r="AL438" s="24"/>
    </row>
    <row r="439" spans="1:38" ht="12.75" customHeight="1">
      <c r="A439" s="22">
        <v>437</v>
      </c>
      <c r="B439" s="24" t="s">
        <v>1433</v>
      </c>
      <c r="C439" s="24" t="s">
        <v>96</v>
      </c>
      <c r="D439" s="24"/>
      <c r="E439" s="24" t="s">
        <v>1434</v>
      </c>
      <c r="F439" s="24">
        <v>1</v>
      </c>
      <c r="G439" s="24" t="s">
        <v>1308</v>
      </c>
      <c r="H439" s="24"/>
      <c r="I439" s="126"/>
      <c r="J439" s="124" t="s">
        <v>1433</v>
      </c>
      <c r="K439" s="124" t="s">
        <v>1435</v>
      </c>
      <c r="L439" s="124" t="s">
        <v>1436</v>
      </c>
      <c r="M439" s="124" t="s">
        <v>1318</v>
      </c>
      <c r="N439" s="126"/>
      <c r="O439" s="124"/>
      <c r="P439" s="24"/>
      <c r="Q439" s="124" t="s">
        <v>1437</v>
      </c>
      <c r="R439" s="126"/>
      <c r="S439" s="124" t="s">
        <v>113</v>
      </c>
      <c r="T439" s="126"/>
      <c r="U439" s="126"/>
      <c r="V439" s="124" t="s">
        <v>1277</v>
      </c>
      <c r="W439" s="24"/>
      <c r="X439" s="126"/>
      <c r="Y439" s="24"/>
      <c r="Z439" s="24"/>
      <c r="AA439" s="24"/>
      <c r="AB439" s="24"/>
      <c r="AC439" s="182"/>
      <c r="AD439" s="182"/>
      <c r="AE439" s="175" t="s">
        <v>1438</v>
      </c>
      <c r="AF439" s="258">
        <v>2341326</v>
      </c>
      <c r="AG439" s="115" t="s">
        <v>115</v>
      </c>
      <c r="AH439" s="115" t="s">
        <v>1439</v>
      </c>
      <c r="AI439" s="115" t="s">
        <v>1440</v>
      </c>
      <c r="AJ439" s="24"/>
      <c r="AK439" s="24"/>
      <c r="AL439" s="24"/>
    </row>
    <row r="440" spans="1:38" ht="12.75" customHeight="1">
      <c r="A440" s="22">
        <v>438</v>
      </c>
      <c r="B440" s="24" t="s">
        <v>1441</v>
      </c>
      <c r="C440" s="24" t="s">
        <v>96</v>
      </c>
      <c r="D440" s="24"/>
      <c r="E440" s="24" t="s">
        <v>1434</v>
      </c>
      <c r="F440" s="24">
        <v>1</v>
      </c>
      <c r="G440" s="24" t="s">
        <v>1308</v>
      </c>
      <c r="H440" s="24"/>
      <c r="I440" s="126"/>
      <c r="J440" s="124" t="s">
        <v>1441</v>
      </c>
      <c r="K440" s="124" t="s">
        <v>1442</v>
      </c>
      <c r="L440" s="124" t="s">
        <v>1443</v>
      </c>
      <c r="M440" s="124" t="s">
        <v>1318</v>
      </c>
      <c r="N440" s="126"/>
      <c r="O440" s="124"/>
      <c r="P440" s="24"/>
      <c r="Q440" s="124" t="s">
        <v>1437</v>
      </c>
      <c r="R440" s="126"/>
      <c r="S440" s="124" t="s">
        <v>113</v>
      </c>
      <c r="T440" s="126"/>
      <c r="U440" s="126"/>
      <c r="V440" s="124" t="s">
        <v>115</v>
      </c>
      <c r="W440" s="24"/>
      <c r="X440" s="126"/>
      <c r="Y440" s="24"/>
      <c r="Z440" s="24"/>
      <c r="AA440" s="24"/>
      <c r="AB440" s="24"/>
      <c r="AC440" s="182"/>
      <c r="AD440" s="182"/>
      <c r="AE440" s="175" t="s">
        <v>1438</v>
      </c>
      <c r="AF440" s="258">
        <v>2341326</v>
      </c>
      <c r="AG440" s="115" t="s">
        <v>115</v>
      </c>
      <c r="AH440" s="115" t="s">
        <v>1439</v>
      </c>
      <c r="AI440" s="115" t="s">
        <v>1440</v>
      </c>
      <c r="AJ440" s="24"/>
      <c r="AK440" s="24"/>
      <c r="AL440" s="24"/>
    </row>
    <row r="441" spans="1:38" ht="12.75" customHeight="1">
      <c r="A441" s="22">
        <v>439</v>
      </c>
      <c r="B441" s="24" t="s">
        <v>1444</v>
      </c>
      <c r="C441" s="24" t="s">
        <v>96</v>
      </c>
      <c r="D441" s="24"/>
      <c r="E441" s="24" t="s">
        <v>1434</v>
      </c>
      <c r="F441" s="24">
        <v>1</v>
      </c>
      <c r="G441" s="24" t="s">
        <v>1308</v>
      </c>
      <c r="H441" s="24"/>
      <c r="I441" s="126"/>
      <c r="J441" s="260" t="s">
        <v>1444</v>
      </c>
      <c r="K441" s="260" t="s">
        <v>115</v>
      </c>
      <c r="L441" s="260" t="s">
        <v>1446</v>
      </c>
      <c r="M441" s="260" t="s">
        <v>1445</v>
      </c>
      <c r="N441" s="261"/>
      <c r="O441" s="261"/>
      <c r="P441" s="263"/>
      <c r="Q441" s="132"/>
      <c r="R441" s="126"/>
      <c r="S441" s="260" t="s">
        <v>115</v>
      </c>
      <c r="T441" s="126"/>
      <c r="U441" s="126"/>
      <c r="V441" s="260" t="s">
        <v>115</v>
      </c>
      <c r="W441" s="24"/>
      <c r="X441" s="126"/>
      <c r="Y441" s="24"/>
      <c r="Z441" s="24"/>
      <c r="AA441" s="24"/>
      <c r="AB441" s="24"/>
      <c r="AC441" s="233"/>
      <c r="AD441" s="233"/>
      <c r="AE441" s="233"/>
      <c r="AF441" s="233"/>
      <c r="AG441" s="144" t="s">
        <v>115</v>
      </c>
      <c r="AH441" s="144" t="s">
        <v>115</v>
      </c>
      <c r="AI441" s="144" t="s">
        <v>115</v>
      </c>
      <c r="AJ441" s="24"/>
      <c r="AK441" s="24"/>
      <c r="AL441" s="24"/>
    </row>
    <row r="442" spans="1:38" ht="12.75" customHeight="1">
      <c r="A442" s="22">
        <v>440</v>
      </c>
      <c r="B442" s="24" t="s">
        <v>1447</v>
      </c>
      <c r="C442" s="24" t="s">
        <v>96</v>
      </c>
      <c r="D442" s="24"/>
      <c r="E442" s="24" t="s">
        <v>1434</v>
      </c>
      <c r="F442" s="24">
        <v>1</v>
      </c>
      <c r="G442" s="24" t="s">
        <v>1308</v>
      </c>
      <c r="H442" s="24"/>
      <c r="I442" s="126"/>
      <c r="J442" s="124" t="s">
        <v>1447</v>
      </c>
      <c r="K442" s="124" t="s">
        <v>1448</v>
      </c>
      <c r="L442" s="124" t="s">
        <v>1449</v>
      </c>
      <c r="M442" s="124" t="s">
        <v>168</v>
      </c>
      <c r="N442" s="126"/>
      <c r="O442" s="124"/>
      <c r="P442" s="24"/>
      <c r="Q442" s="124" t="s">
        <v>1450</v>
      </c>
      <c r="R442" s="126"/>
      <c r="S442" s="124" t="s">
        <v>113</v>
      </c>
      <c r="T442" s="126"/>
      <c r="U442" s="126"/>
      <c r="V442" s="124" t="s">
        <v>1277</v>
      </c>
      <c r="W442" s="24"/>
      <c r="X442" s="126"/>
      <c r="Y442" s="24"/>
      <c r="Z442" s="24"/>
      <c r="AA442" s="24"/>
      <c r="AB442" s="24"/>
      <c r="AC442" s="182"/>
      <c r="AD442" s="182"/>
      <c r="AE442" s="262">
        <v>78564009</v>
      </c>
      <c r="AF442" s="264">
        <v>2544737</v>
      </c>
      <c r="AG442" s="115" t="s">
        <v>115</v>
      </c>
      <c r="AH442" s="115" t="s">
        <v>1451</v>
      </c>
      <c r="AI442" s="115" t="s">
        <v>1452</v>
      </c>
      <c r="AJ442" s="24"/>
      <c r="AK442" s="24"/>
      <c r="AL442" s="24"/>
    </row>
    <row r="443" spans="1:38" ht="12.75" customHeight="1">
      <c r="A443" s="22">
        <v>441</v>
      </c>
      <c r="B443" s="24" t="s">
        <v>1453</v>
      </c>
      <c r="C443" s="24" t="s">
        <v>96</v>
      </c>
      <c r="D443" s="24"/>
      <c r="E443" s="24" t="s">
        <v>1434</v>
      </c>
      <c r="F443" s="24">
        <v>1</v>
      </c>
      <c r="G443" s="24" t="s">
        <v>1308</v>
      </c>
      <c r="H443" s="24"/>
      <c r="I443" s="126"/>
      <c r="J443" s="130" t="s">
        <v>1453</v>
      </c>
      <c r="K443" s="130" t="s">
        <v>1454</v>
      </c>
      <c r="L443" s="124" t="s">
        <v>1455</v>
      </c>
      <c r="M443" s="130" t="s">
        <v>168</v>
      </c>
      <c r="N443" s="126"/>
      <c r="O443" s="126"/>
      <c r="P443" s="24"/>
      <c r="Q443" s="130" t="s">
        <v>1450</v>
      </c>
      <c r="R443" s="126"/>
      <c r="S443" s="130" t="s">
        <v>113</v>
      </c>
      <c r="T443" s="126"/>
      <c r="U443" s="126"/>
      <c r="V443" s="130" t="s">
        <v>115</v>
      </c>
      <c r="W443" s="24"/>
      <c r="X443" s="126"/>
      <c r="Y443" s="24"/>
      <c r="Z443" s="24"/>
      <c r="AA443" s="24"/>
      <c r="AB443" s="24"/>
      <c r="AC443" s="182"/>
      <c r="AD443" s="182"/>
      <c r="AE443" s="262">
        <v>78564009</v>
      </c>
      <c r="AF443" s="264">
        <v>2544737</v>
      </c>
      <c r="AG443" s="115" t="s">
        <v>115</v>
      </c>
      <c r="AH443" s="115" t="s">
        <v>1451</v>
      </c>
      <c r="AI443" s="115" t="s">
        <v>1452</v>
      </c>
      <c r="AJ443" s="24"/>
      <c r="AK443" s="24"/>
      <c r="AL443" s="24"/>
    </row>
    <row r="444" spans="1:38" ht="12.75" customHeight="1">
      <c r="A444" s="22">
        <v>442</v>
      </c>
      <c r="B444" s="24" t="s">
        <v>1456</v>
      </c>
      <c r="C444" s="24" t="s">
        <v>96</v>
      </c>
      <c r="D444" s="24"/>
      <c r="E444" s="24" t="s">
        <v>1434</v>
      </c>
      <c r="F444" s="24">
        <v>1</v>
      </c>
      <c r="G444" s="24" t="s">
        <v>1308</v>
      </c>
      <c r="H444" s="24"/>
      <c r="I444" s="126"/>
      <c r="J444" s="124" t="s">
        <v>1456</v>
      </c>
      <c r="K444" s="124" t="s">
        <v>1457</v>
      </c>
      <c r="L444" s="124" t="s">
        <v>1458</v>
      </c>
      <c r="M444" s="124" t="s">
        <v>202</v>
      </c>
      <c r="N444" s="126"/>
      <c r="O444" s="124"/>
      <c r="P444" s="24"/>
      <c r="Q444" s="24"/>
      <c r="R444" s="126"/>
      <c r="S444" s="124" t="s">
        <v>1459</v>
      </c>
      <c r="T444" s="126"/>
      <c r="U444" s="126"/>
      <c r="V444" s="124" t="s">
        <v>1277</v>
      </c>
      <c r="W444" s="24"/>
      <c r="X444" s="126"/>
      <c r="Y444" s="24"/>
      <c r="Z444" s="24"/>
      <c r="AA444" s="24"/>
      <c r="AB444" s="24"/>
      <c r="AC444" s="175" t="s">
        <v>1460</v>
      </c>
      <c r="AD444" s="182"/>
      <c r="AE444" s="121">
        <v>398979000</v>
      </c>
      <c r="AF444" s="182"/>
      <c r="AG444" s="115" t="s">
        <v>115</v>
      </c>
      <c r="AH444" s="115" t="s">
        <v>1461</v>
      </c>
      <c r="AI444" s="115" t="s">
        <v>1462</v>
      </c>
      <c r="AJ444" s="24"/>
      <c r="AK444" s="24"/>
      <c r="AL444" s="24"/>
    </row>
    <row r="445" spans="1:38" ht="12.75" customHeight="1">
      <c r="A445" s="22">
        <v>443</v>
      </c>
      <c r="B445" s="24" t="s">
        <v>113</v>
      </c>
      <c r="C445" s="24" t="s">
        <v>180</v>
      </c>
      <c r="D445" s="24" t="s">
        <v>1456</v>
      </c>
      <c r="E445" s="24" t="s">
        <v>1434</v>
      </c>
      <c r="F445" s="24">
        <v>1</v>
      </c>
      <c r="G445" s="24" t="s">
        <v>1308</v>
      </c>
      <c r="H445" s="24"/>
      <c r="I445" s="126"/>
      <c r="J445" s="124"/>
      <c r="K445" s="124"/>
      <c r="L445" s="124"/>
      <c r="M445" s="124"/>
      <c r="N445" s="126" t="s">
        <v>113</v>
      </c>
      <c r="O445" s="124"/>
      <c r="P445" s="24"/>
      <c r="Q445" s="24"/>
      <c r="R445" s="126"/>
      <c r="S445" s="124"/>
      <c r="T445" s="126"/>
      <c r="U445" s="126"/>
      <c r="V445" s="124"/>
      <c r="W445" s="24"/>
      <c r="X445" s="126"/>
      <c r="Y445" s="24"/>
      <c r="Z445" s="24"/>
      <c r="AA445" s="24"/>
      <c r="AB445" s="24"/>
      <c r="AC445" s="182"/>
      <c r="AD445" s="182"/>
      <c r="AE445" s="113">
        <v>373066001</v>
      </c>
      <c r="AF445" s="182"/>
      <c r="AG445" s="115" t="s">
        <v>115</v>
      </c>
      <c r="AH445" s="115" t="s">
        <v>206</v>
      </c>
      <c r="AI445" s="115" t="s">
        <v>207</v>
      </c>
      <c r="AJ445" s="24"/>
      <c r="AK445" s="24"/>
      <c r="AL445" s="24"/>
    </row>
    <row r="446" spans="1:38" ht="12.75" customHeight="1">
      <c r="A446" s="22">
        <v>444</v>
      </c>
      <c r="B446" s="24" t="s">
        <v>208</v>
      </c>
      <c r="C446" s="24" t="s">
        <v>180</v>
      </c>
      <c r="D446" s="24" t="s">
        <v>1456</v>
      </c>
      <c r="E446" s="24" t="s">
        <v>1434</v>
      </c>
      <c r="F446" s="24">
        <v>1</v>
      </c>
      <c r="G446" s="24" t="s">
        <v>1308</v>
      </c>
      <c r="H446" s="24"/>
      <c r="I446" s="126"/>
      <c r="J446" s="124"/>
      <c r="K446" s="124"/>
      <c r="L446" s="124"/>
      <c r="M446" s="124"/>
      <c r="N446" s="126" t="s">
        <v>208</v>
      </c>
      <c r="O446" s="124"/>
      <c r="P446" s="24"/>
      <c r="Q446" s="24"/>
      <c r="R446" s="126"/>
      <c r="S446" s="124"/>
      <c r="T446" s="126"/>
      <c r="U446" s="126"/>
      <c r="V446" s="124"/>
      <c r="W446" s="24"/>
      <c r="X446" s="126"/>
      <c r="Y446" s="24"/>
      <c r="Z446" s="24"/>
      <c r="AA446" s="24"/>
      <c r="AB446" s="24"/>
      <c r="AC446" s="182"/>
      <c r="AD446" s="182"/>
      <c r="AE446" s="113">
        <v>373067005</v>
      </c>
      <c r="AF446" s="182"/>
      <c r="AG446" s="115" t="s">
        <v>115</v>
      </c>
      <c r="AH446" s="115" t="s">
        <v>209</v>
      </c>
      <c r="AI446" s="115" t="s">
        <v>210</v>
      </c>
      <c r="AJ446" s="24"/>
      <c r="AK446" s="24"/>
      <c r="AL446" s="24"/>
    </row>
    <row r="447" spans="1:38" ht="12.75" customHeight="1">
      <c r="A447" s="22">
        <v>445</v>
      </c>
      <c r="B447" s="24" t="s">
        <v>1463</v>
      </c>
      <c r="C447" s="24" t="s">
        <v>96</v>
      </c>
      <c r="D447" s="24"/>
      <c r="E447" s="24" t="s">
        <v>1434</v>
      </c>
      <c r="F447" s="24">
        <v>1</v>
      </c>
      <c r="G447" s="24" t="s">
        <v>1308</v>
      </c>
      <c r="H447" s="24"/>
      <c r="I447" s="126"/>
      <c r="J447" s="124" t="s">
        <v>1463</v>
      </c>
      <c r="K447" s="124" t="s">
        <v>1464</v>
      </c>
      <c r="L447" s="124" t="s">
        <v>1465</v>
      </c>
      <c r="M447" s="124" t="s">
        <v>202</v>
      </c>
      <c r="N447" s="126"/>
      <c r="O447" s="124"/>
      <c r="P447" s="24"/>
      <c r="Q447" s="24"/>
      <c r="R447" s="126"/>
      <c r="S447" s="124" t="s">
        <v>208</v>
      </c>
      <c r="T447" s="126"/>
      <c r="U447" s="126"/>
      <c r="V447" s="124" t="s">
        <v>1277</v>
      </c>
      <c r="W447" s="24"/>
      <c r="X447" s="126"/>
      <c r="Y447" s="24"/>
      <c r="Z447" s="24"/>
      <c r="AA447" s="24"/>
      <c r="AB447" s="24"/>
      <c r="AC447" s="233"/>
      <c r="AD447" s="233"/>
      <c r="AE447" s="233"/>
      <c r="AF447" s="233"/>
      <c r="AG447" s="115" t="s">
        <v>115</v>
      </c>
      <c r="AH447" s="115" t="s">
        <v>1466</v>
      </c>
      <c r="AI447" s="115" t="s">
        <v>1467</v>
      </c>
      <c r="AJ447" s="24"/>
      <c r="AK447" s="24"/>
      <c r="AL447" s="24"/>
    </row>
    <row r="448" spans="1:38" ht="12.75" customHeight="1">
      <c r="A448" s="22">
        <v>446</v>
      </c>
      <c r="B448" s="24" t="s">
        <v>1468</v>
      </c>
      <c r="C448" s="24" t="s">
        <v>180</v>
      </c>
      <c r="D448" s="24" t="s">
        <v>1463</v>
      </c>
      <c r="E448" s="24" t="s">
        <v>1434</v>
      </c>
      <c r="F448" s="24">
        <v>1</v>
      </c>
      <c r="G448" s="24" t="s">
        <v>1308</v>
      </c>
      <c r="H448" s="24"/>
      <c r="I448" s="126"/>
      <c r="J448" s="161"/>
      <c r="K448" s="124"/>
      <c r="L448" s="124"/>
      <c r="M448" s="161"/>
      <c r="N448" s="126" t="s">
        <v>1468</v>
      </c>
      <c r="O448" s="161"/>
      <c r="P448" s="24"/>
      <c r="Q448" s="24"/>
      <c r="R448" s="126"/>
      <c r="S448" s="161"/>
      <c r="T448" s="126"/>
      <c r="U448" s="126"/>
      <c r="V448" s="161"/>
      <c r="W448" s="24"/>
      <c r="X448" s="126"/>
      <c r="Y448" s="24"/>
      <c r="Z448" s="24"/>
      <c r="AA448" s="24"/>
      <c r="AB448" s="24"/>
      <c r="AC448" s="182"/>
      <c r="AD448" s="182"/>
      <c r="AE448" s="182">
        <v>385660001</v>
      </c>
      <c r="AF448" s="182"/>
      <c r="AG448" s="115" t="s">
        <v>115</v>
      </c>
      <c r="AH448" s="115" t="s">
        <v>1469</v>
      </c>
      <c r="AI448" s="115" t="s">
        <v>1470</v>
      </c>
      <c r="AJ448" s="24"/>
      <c r="AK448" s="24"/>
      <c r="AL448" s="24"/>
    </row>
    <row r="449" spans="1:38" ht="12.75" customHeight="1">
      <c r="A449" s="22">
        <v>447</v>
      </c>
      <c r="B449" s="24" t="s">
        <v>1471</v>
      </c>
      <c r="C449" s="24" t="s">
        <v>180</v>
      </c>
      <c r="D449" s="24" t="s">
        <v>1463</v>
      </c>
      <c r="E449" s="24" t="s">
        <v>1434</v>
      </c>
      <c r="F449" s="24">
        <v>1</v>
      </c>
      <c r="G449" s="24" t="s">
        <v>1308</v>
      </c>
      <c r="H449" s="24"/>
      <c r="I449" s="126"/>
      <c r="J449" s="161"/>
      <c r="K449" s="124"/>
      <c r="L449" s="124"/>
      <c r="M449" s="161"/>
      <c r="N449" s="160" t="s">
        <v>1471</v>
      </c>
      <c r="O449" s="161"/>
      <c r="P449" s="24"/>
      <c r="Q449" s="24"/>
      <c r="R449" s="126"/>
      <c r="S449" s="161"/>
      <c r="T449" s="126"/>
      <c r="U449" s="126"/>
      <c r="V449" s="161"/>
      <c r="W449" s="24"/>
      <c r="X449" s="126"/>
      <c r="Y449" s="24"/>
      <c r="Z449" s="24"/>
      <c r="AA449" s="24"/>
      <c r="AB449" s="24"/>
      <c r="AC449" s="182"/>
      <c r="AD449" s="182"/>
      <c r="AE449" s="182">
        <v>17621005</v>
      </c>
      <c r="AF449" s="182"/>
      <c r="AG449" s="115" t="s">
        <v>115</v>
      </c>
      <c r="AH449" s="115" t="s">
        <v>1472</v>
      </c>
      <c r="AI449" s="115" t="s">
        <v>1473</v>
      </c>
      <c r="AJ449" s="24"/>
      <c r="AK449" s="24"/>
      <c r="AL449" s="24"/>
    </row>
    <row r="450" spans="1:38" ht="12.75" customHeight="1">
      <c r="A450" s="22">
        <v>448</v>
      </c>
      <c r="B450" s="24" t="s">
        <v>1474</v>
      </c>
      <c r="C450" s="24" t="s">
        <v>180</v>
      </c>
      <c r="D450" s="24" t="s">
        <v>1463</v>
      </c>
      <c r="E450" s="24" t="s">
        <v>1434</v>
      </c>
      <c r="F450" s="24">
        <v>1</v>
      </c>
      <c r="G450" s="24" t="s">
        <v>1308</v>
      </c>
      <c r="H450" s="24"/>
      <c r="I450" s="126"/>
      <c r="J450" s="161"/>
      <c r="K450" s="124"/>
      <c r="L450" s="124"/>
      <c r="M450" s="161"/>
      <c r="N450" s="160" t="s">
        <v>1474</v>
      </c>
      <c r="O450" s="161"/>
      <c r="P450" s="24"/>
      <c r="Q450" s="24"/>
      <c r="R450" s="126"/>
      <c r="S450" s="161"/>
      <c r="T450" s="126"/>
      <c r="U450" s="126"/>
      <c r="V450" s="161"/>
      <c r="W450" s="24"/>
      <c r="X450" s="126"/>
      <c r="Y450" s="24"/>
      <c r="Z450" s="24"/>
      <c r="AA450" s="24"/>
      <c r="AB450" s="24"/>
      <c r="AC450" s="182"/>
      <c r="AD450" s="182"/>
      <c r="AE450" s="118">
        <v>263654008</v>
      </c>
      <c r="AF450" s="182"/>
      <c r="AG450" s="115" t="s">
        <v>115</v>
      </c>
      <c r="AH450" s="115" t="s">
        <v>1475</v>
      </c>
      <c r="AI450" s="115" t="s">
        <v>1476</v>
      </c>
      <c r="AJ450" s="24"/>
      <c r="AK450" s="24"/>
      <c r="AL450" s="24"/>
    </row>
    <row r="451" spans="1:38" ht="12.75" customHeight="1">
      <c r="A451" s="22">
        <v>449</v>
      </c>
      <c r="B451" s="24" t="s">
        <v>1477</v>
      </c>
      <c r="C451" s="24" t="s">
        <v>96</v>
      </c>
      <c r="D451" s="24"/>
      <c r="E451" s="24" t="s">
        <v>1434</v>
      </c>
      <c r="F451" s="24">
        <v>1</v>
      </c>
      <c r="G451" s="24" t="s">
        <v>1308</v>
      </c>
      <c r="H451" s="24"/>
      <c r="I451" s="126"/>
      <c r="J451" s="161" t="s">
        <v>1478</v>
      </c>
      <c r="K451" s="124" t="s">
        <v>1479</v>
      </c>
      <c r="L451" s="124" t="s">
        <v>1480</v>
      </c>
      <c r="M451" s="161" t="s">
        <v>238</v>
      </c>
      <c r="N451" s="160"/>
      <c r="O451" s="161"/>
      <c r="P451" s="24"/>
      <c r="Q451" s="24"/>
      <c r="R451" s="126"/>
      <c r="S451" s="161" t="s">
        <v>208</v>
      </c>
      <c r="T451" s="126"/>
      <c r="U451" s="126"/>
      <c r="V451" s="161" t="s">
        <v>115</v>
      </c>
      <c r="W451" s="24"/>
      <c r="X451" s="126"/>
      <c r="Y451" s="24"/>
      <c r="Z451" s="24"/>
      <c r="AA451" s="24"/>
      <c r="AB451" s="24"/>
      <c r="AC451" s="182"/>
      <c r="AD451" s="182"/>
      <c r="AE451" s="113">
        <v>272016000</v>
      </c>
      <c r="AF451" s="182"/>
      <c r="AG451" s="115" t="s">
        <v>115</v>
      </c>
      <c r="AH451" s="115" t="s">
        <v>1481</v>
      </c>
      <c r="AI451" s="115" t="s">
        <v>1482</v>
      </c>
      <c r="AJ451" s="24"/>
      <c r="AK451" s="24"/>
      <c r="AL451" s="24"/>
    </row>
    <row r="452" spans="1:38" ht="12.75" customHeight="1">
      <c r="A452" s="22">
        <v>450</v>
      </c>
      <c r="B452" s="24" t="s">
        <v>1483</v>
      </c>
      <c r="C452" s="24" t="s">
        <v>180</v>
      </c>
      <c r="D452" s="24" t="s">
        <v>1477</v>
      </c>
      <c r="E452" s="24" t="s">
        <v>1434</v>
      </c>
      <c r="F452" s="24">
        <v>1</v>
      </c>
      <c r="G452" s="24" t="s">
        <v>1308</v>
      </c>
      <c r="H452" s="24"/>
      <c r="I452" s="126"/>
      <c r="J452" s="161"/>
      <c r="K452" s="124"/>
      <c r="L452" s="161"/>
      <c r="M452" s="161"/>
      <c r="N452" s="160" t="s">
        <v>1483</v>
      </c>
      <c r="O452" s="161"/>
      <c r="P452" s="24"/>
      <c r="Q452" s="24"/>
      <c r="R452" s="126"/>
      <c r="S452" s="161"/>
      <c r="T452" s="126"/>
      <c r="U452" s="126"/>
      <c r="V452" s="161"/>
      <c r="W452" s="24"/>
      <c r="X452" s="126"/>
      <c r="Y452" s="24"/>
      <c r="Z452" s="24"/>
      <c r="AA452" s="24"/>
      <c r="AB452" s="24"/>
      <c r="AC452" s="113" t="s">
        <v>383</v>
      </c>
      <c r="AD452" s="182"/>
      <c r="AE452" s="113">
        <v>267036007</v>
      </c>
      <c r="AF452" s="182"/>
      <c r="AG452" s="115" t="s">
        <v>115</v>
      </c>
      <c r="AH452" s="115" t="s">
        <v>1484</v>
      </c>
      <c r="AI452" s="115" t="s">
        <v>1485</v>
      </c>
      <c r="AJ452" s="24"/>
      <c r="AK452" s="24"/>
      <c r="AL452" s="24"/>
    </row>
    <row r="453" spans="1:38" ht="12.75" customHeight="1">
      <c r="A453" s="22">
        <v>451</v>
      </c>
      <c r="B453" s="24" t="s">
        <v>258</v>
      </c>
      <c r="C453" s="24" t="s">
        <v>180</v>
      </c>
      <c r="D453" s="24" t="s">
        <v>1477</v>
      </c>
      <c r="E453" s="24" t="s">
        <v>1434</v>
      </c>
      <c r="F453" s="24">
        <v>1</v>
      </c>
      <c r="G453" s="24" t="s">
        <v>1308</v>
      </c>
      <c r="H453" s="24"/>
      <c r="I453" s="126"/>
      <c r="J453" s="161"/>
      <c r="K453" s="124"/>
      <c r="L453" s="161"/>
      <c r="M453" s="161"/>
      <c r="N453" s="160" t="s">
        <v>258</v>
      </c>
      <c r="O453" s="161"/>
      <c r="P453" s="24"/>
      <c r="Q453" s="24"/>
      <c r="R453" s="126"/>
      <c r="S453" s="161"/>
      <c r="T453" s="126"/>
      <c r="U453" s="126"/>
      <c r="V453" s="161"/>
      <c r="W453" s="24"/>
      <c r="X453" s="126"/>
      <c r="Y453" s="24"/>
      <c r="Z453" s="24"/>
      <c r="AA453" s="24"/>
      <c r="AB453" s="24"/>
      <c r="AC453" s="113" t="s">
        <v>259</v>
      </c>
      <c r="AD453" s="182"/>
      <c r="AE453" s="113">
        <v>49727002</v>
      </c>
      <c r="AF453" s="182"/>
      <c r="AG453" s="115" t="s">
        <v>115</v>
      </c>
      <c r="AH453" s="115" t="s">
        <v>260</v>
      </c>
      <c r="AI453" s="115" t="s">
        <v>261</v>
      </c>
      <c r="AJ453" s="24"/>
      <c r="AK453" s="24"/>
      <c r="AL453" s="24"/>
    </row>
    <row r="454" spans="1:38" ht="12.75" customHeight="1">
      <c r="A454" s="22">
        <v>452</v>
      </c>
      <c r="B454" s="24" t="s">
        <v>1486</v>
      </c>
      <c r="C454" s="24" t="s">
        <v>180</v>
      </c>
      <c r="D454" s="24" t="s">
        <v>1477</v>
      </c>
      <c r="E454" s="24" t="s">
        <v>1434</v>
      </c>
      <c r="F454" s="24">
        <v>1</v>
      </c>
      <c r="G454" s="24" t="s">
        <v>1308</v>
      </c>
      <c r="H454" s="24"/>
      <c r="I454" s="126"/>
      <c r="J454" s="161"/>
      <c r="K454" s="124"/>
      <c r="L454" s="161"/>
      <c r="M454" s="161"/>
      <c r="N454" s="160" t="s">
        <v>1486</v>
      </c>
      <c r="O454" s="161"/>
      <c r="P454" s="24"/>
      <c r="Q454" s="24"/>
      <c r="R454" s="126"/>
      <c r="S454" s="161"/>
      <c r="T454" s="126"/>
      <c r="U454" s="126"/>
      <c r="V454" s="161"/>
      <c r="W454" s="24"/>
      <c r="X454" s="126"/>
      <c r="Y454" s="24"/>
      <c r="Z454" s="24"/>
      <c r="AA454" s="24"/>
      <c r="AB454" s="24"/>
      <c r="AC454" s="175" t="s">
        <v>1253</v>
      </c>
      <c r="AD454" s="182"/>
      <c r="AE454" s="113">
        <v>271823003</v>
      </c>
      <c r="AF454" s="182"/>
      <c r="AG454" s="115" t="s">
        <v>115</v>
      </c>
      <c r="AH454" s="115" t="s">
        <v>1487</v>
      </c>
      <c r="AI454" s="115" t="s">
        <v>1488</v>
      </c>
      <c r="AJ454" s="24"/>
      <c r="AK454" s="24"/>
      <c r="AL454" s="24"/>
    </row>
    <row r="455" spans="1:38" ht="12.75" customHeight="1">
      <c r="A455" s="22">
        <v>453</v>
      </c>
      <c r="B455" s="24" t="s">
        <v>1489</v>
      </c>
      <c r="C455" s="24" t="s">
        <v>180</v>
      </c>
      <c r="D455" s="24" t="s">
        <v>1477</v>
      </c>
      <c r="E455" s="24" t="s">
        <v>1434</v>
      </c>
      <c r="F455" s="24">
        <v>1</v>
      </c>
      <c r="G455" s="24" t="s">
        <v>1308</v>
      </c>
      <c r="H455" s="24"/>
      <c r="I455" s="126"/>
      <c r="J455" s="161"/>
      <c r="K455" s="124"/>
      <c r="L455" s="161"/>
      <c r="M455" s="161"/>
      <c r="N455" s="160" t="s">
        <v>1489</v>
      </c>
      <c r="O455" s="161"/>
      <c r="P455" s="24"/>
      <c r="Q455" s="24"/>
      <c r="R455" s="126"/>
      <c r="S455" s="161"/>
      <c r="T455" s="126"/>
      <c r="U455" s="126"/>
      <c r="V455" s="161"/>
      <c r="W455" s="24"/>
      <c r="X455" s="126"/>
      <c r="Y455" s="24"/>
      <c r="Z455" s="24"/>
      <c r="AA455" s="24"/>
      <c r="AB455" s="24"/>
      <c r="AC455" s="182" t="s">
        <v>1490</v>
      </c>
      <c r="AD455" s="182"/>
      <c r="AE455" s="113">
        <v>86684002</v>
      </c>
      <c r="AF455" s="182"/>
      <c r="AG455" s="115" t="s">
        <v>115</v>
      </c>
      <c r="AH455" s="115" t="s">
        <v>1491</v>
      </c>
      <c r="AI455" s="115" t="s">
        <v>1492</v>
      </c>
      <c r="AJ455" s="24"/>
      <c r="AK455" s="24"/>
      <c r="AL455" s="24"/>
    </row>
    <row r="456" spans="1:38" ht="12.75" customHeight="1">
      <c r="A456" s="22">
        <v>454</v>
      </c>
      <c r="B456" s="24" t="s">
        <v>1493</v>
      </c>
      <c r="C456" s="24" t="s">
        <v>180</v>
      </c>
      <c r="D456" s="24" t="s">
        <v>1477</v>
      </c>
      <c r="E456" s="24" t="s">
        <v>1434</v>
      </c>
      <c r="F456" s="24">
        <v>1</v>
      </c>
      <c r="G456" s="24" t="s">
        <v>1308</v>
      </c>
      <c r="H456" s="24"/>
      <c r="I456" s="126"/>
      <c r="J456" s="161"/>
      <c r="K456" s="124"/>
      <c r="L456" s="161"/>
      <c r="M456" s="161"/>
      <c r="N456" s="160" t="s">
        <v>1493</v>
      </c>
      <c r="O456" s="161"/>
      <c r="P456" s="24"/>
      <c r="Q456" s="24"/>
      <c r="R456" s="126"/>
      <c r="S456" s="161"/>
      <c r="T456" s="126"/>
      <c r="U456" s="126"/>
      <c r="V456" s="161"/>
      <c r="W456" s="24"/>
      <c r="X456" s="126"/>
      <c r="Y456" s="24"/>
      <c r="Z456" s="24"/>
      <c r="AA456" s="24"/>
      <c r="AB456" s="24"/>
      <c r="AC456" s="182"/>
      <c r="AD456" s="182"/>
      <c r="AE456" s="113">
        <v>56018004</v>
      </c>
      <c r="AF456" s="182"/>
      <c r="AG456" s="115" t="s">
        <v>115</v>
      </c>
      <c r="AH456" s="115" t="s">
        <v>1494</v>
      </c>
      <c r="AI456" s="115" t="s">
        <v>1495</v>
      </c>
      <c r="AJ456" s="24"/>
      <c r="AK456" s="24"/>
      <c r="AL456" s="24"/>
    </row>
    <row r="457" spans="1:38" ht="12.75" customHeight="1">
      <c r="A457" s="22">
        <v>455</v>
      </c>
      <c r="B457" s="24" t="s">
        <v>1496</v>
      </c>
      <c r="C457" s="24" t="s">
        <v>180</v>
      </c>
      <c r="D457" s="24" t="s">
        <v>1477</v>
      </c>
      <c r="E457" s="24" t="s">
        <v>1434</v>
      </c>
      <c r="F457" s="24">
        <v>1</v>
      </c>
      <c r="G457" s="24" t="s">
        <v>1308</v>
      </c>
      <c r="H457" s="24"/>
      <c r="I457" s="126"/>
      <c r="J457" s="161"/>
      <c r="K457" s="124"/>
      <c r="L457" s="161"/>
      <c r="M457" s="161"/>
      <c r="N457" s="160" t="s">
        <v>1496</v>
      </c>
      <c r="O457" s="161"/>
      <c r="P457" s="24"/>
      <c r="Q457" s="24"/>
      <c r="R457" s="126"/>
      <c r="S457" s="161"/>
      <c r="T457" s="126"/>
      <c r="U457" s="126"/>
      <c r="V457" s="161"/>
      <c r="W457" s="24"/>
      <c r="X457" s="126"/>
      <c r="Y457" s="24"/>
      <c r="Z457" s="24"/>
      <c r="AA457" s="24"/>
      <c r="AB457" s="24"/>
      <c r="AC457" s="182" t="s">
        <v>1497</v>
      </c>
      <c r="AD457" s="182"/>
      <c r="AE457" s="113">
        <v>48409008</v>
      </c>
      <c r="AF457" s="182"/>
      <c r="AG457" s="115" t="s">
        <v>115</v>
      </c>
      <c r="AH457" s="115" t="s">
        <v>1498</v>
      </c>
      <c r="AI457" s="115" t="s">
        <v>1499</v>
      </c>
      <c r="AJ457" s="24"/>
      <c r="AK457" s="24"/>
      <c r="AL457" s="24"/>
    </row>
    <row r="458" spans="1:38" ht="12.75" customHeight="1">
      <c r="A458" s="22">
        <v>456</v>
      </c>
      <c r="B458" s="24" t="s">
        <v>405</v>
      </c>
      <c r="C458" s="24" t="s">
        <v>180</v>
      </c>
      <c r="D458" s="24" t="s">
        <v>1477</v>
      </c>
      <c r="E458" s="24" t="s">
        <v>1434</v>
      </c>
      <c r="F458" s="24">
        <v>1</v>
      </c>
      <c r="G458" s="24" t="s">
        <v>1308</v>
      </c>
      <c r="H458" s="24"/>
      <c r="I458" s="126"/>
      <c r="J458" s="161"/>
      <c r="K458" s="124"/>
      <c r="L458" s="161"/>
      <c r="M458" s="161"/>
      <c r="N458" s="160" t="s">
        <v>405</v>
      </c>
      <c r="O458" s="161"/>
      <c r="P458" s="24"/>
      <c r="Q458" s="24"/>
      <c r="R458" s="126"/>
      <c r="S458" s="161"/>
      <c r="T458" s="126"/>
      <c r="U458" s="126"/>
      <c r="V458" s="161"/>
      <c r="W458" s="24"/>
      <c r="X458" s="126"/>
      <c r="Y458" s="24"/>
      <c r="Z458" s="24"/>
      <c r="AA458" s="24"/>
      <c r="AB458" s="24"/>
      <c r="AC458" s="182"/>
      <c r="AD458" s="182"/>
      <c r="AE458" s="182"/>
      <c r="AF458" s="182"/>
      <c r="AG458" s="115" t="s">
        <v>1500</v>
      </c>
      <c r="AH458" s="144" t="s">
        <v>406</v>
      </c>
      <c r="AI458" s="144" t="s">
        <v>407</v>
      </c>
      <c r="AJ458" s="24"/>
      <c r="AK458" s="24"/>
      <c r="AL458" s="24"/>
    </row>
    <row r="459" spans="1:38" ht="12.75" customHeight="1">
      <c r="A459" s="22">
        <v>457</v>
      </c>
      <c r="B459" s="24" t="s">
        <v>409</v>
      </c>
      <c r="C459" s="24" t="s">
        <v>96</v>
      </c>
      <c r="D459" s="24"/>
      <c r="E459" s="24" t="s">
        <v>1434</v>
      </c>
      <c r="F459" s="24">
        <v>1</v>
      </c>
      <c r="G459" s="24" t="s">
        <v>1308</v>
      </c>
      <c r="H459" s="24"/>
      <c r="I459" s="126"/>
      <c r="J459" s="265" t="s">
        <v>409</v>
      </c>
      <c r="K459" s="265" t="s">
        <v>1502</v>
      </c>
      <c r="L459" s="265" t="s">
        <v>1503</v>
      </c>
      <c r="M459" s="265" t="s">
        <v>111</v>
      </c>
      <c r="N459" s="266"/>
      <c r="O459" s="266"/>
      <c r="P459" s="263"/>
      <c r="Q459" s="24"/>
      <c r="R459" s="126"/>
      <c r="S459" s="265" t="s">
        <v>208</v>
      </c>
      <c r="T459" s="126"/>
      <c r="U459" s="126"/>
      <c r="V459" s="265" t="s">
        <v>115</v>
      </c>
      <c r="W459" s="24"/>
      <c r="X459" s="126"/>
      <c r="Y459" s="24"/>
      <c r="Z459" s="24"/>
      <c r="AA459" s="24"/>
      <c r="AB459" s="24"/>
      <c r="AC459" s="182"/>
      <c r="AD459" s="182"/>
      <c r="AE459" s="175" t="s">
        <v>541</v>
      </c>
      <c r="AF459" s="182"/>
      <c r="AG459" s="144" t="s">
        <v>1500</v>
      </c>
      <c r="AH459" s="144" t="s">
        <v>415</v>
      </c>
      <c r="AI459" s="144" t="s">
        <v>416</v>
      </c>
      <c r="AJ459" s="24"/>
      <c r="AK459" s="24"/>
      <c r="AL459" s="24"/>
    </row>
    <row r="460" spans="1:38" ht="12.75" customHeight="1">
      <c r="A460" s="22">
        <v>458</v>
      </c>
      <c r="B460" s="24" t="s">
        <v>1504</v>
      </c>
      <c r="C460" s="24" t="s">
        <v>96</v>
      </c>
      <c r="D460" s="24"/>
      <c r="E460" s="24" t="s">
        <v>1434</v>
      </c>
      <c r="F460" s="24">
        <v>1</v>
      </c>
      <c r="G460" s="24" t="s">
        <v>1308</v>
      </c>
      <c r="H460" s="24"/>
      <c r="I460" s="126"/>
      <c r="J460" s="124" t="s">
        <v>1504</v>
      </c>
      <c r="K460" s="124" t="s">
        <v>1505</v>
      </c>
      <c r="L460" s="124" t="s">
        <v>1506</v>
      </c>
      <c r="M460" s="160" t="s">
        <v>168</v>
      </c>
      <c r="N460" s="126"/>
      <c r="O460" s="124"/>
      <c r="P460" s="24"/>
      <c r="Q460" s="124" t="s">
        <v>1507</v>
      </c>
      <c r="R460" s="126"/>
      <c r="S460" s="124" t="s">
        <v>208</v>
      </c>
      <c r="T460" s="126"/>
      <c r="U460" s="126"/>
      <c r="V460" s="124" t="s">
        <v>115</v>
      </c>
      <c r="W460" s="24"/>
      <c r="X460" s="126"/>
      <c r="Y460" s="24"/>
      <c r="Z460" s="24"/>
      <c r="AA460" s="24"/>
      <c r="AB460" s="24"/>
      <c r="AC460" s="182"/>
      <c r="AD460" s="182"/>
      <c r="AE460" s="113">
        <v>431314004</v>
      </c>
      <c r="AF460" s="182" t="s">
        <v>1508</v>
      </c>
      <c r="AG460" s="115" t="s">
        <v>115</v>
      </c>
      <c r="AH460" s="115" t="s">
        <v>1509</v>
      </c>
      <c r="AI460" s="115" t="s">
        <v>1510</v>
      </c>
      <c r="AJ460" s="24"/>
      <c r="AK460" s="24"/>
      <c r="AL460" s="24"/>
    </row>
    <row r="461" spans="1:38" ht="12.75" customHeight="1">
      <c r="A461" s="22">
        <v>459</v>
      </c>
      <c r="B461" s="24" t="s">
        <v>1511</v>
      </c>
      <c r="C461" s="24" t="s">
        <v>96</v>
      </c>
      <c r="D461" s="24"/>
      <c r="E461" s="24" t="s">
        <v>1434</v>
      </c>
      <c r="F461" s="24">
        <v>1</v>
      </c>
      <c r="G461" s="24" t="s">
        <v>1308</v>
      </c>
      <c r="H461" s="24"/>
      <c r="I461" s="126"/>
      <c r="J461" s="124" t="s">
        <v>1511</v>
      </c>
      <c r="K461" s="124" t="s">
        <v>1512</v>
      </c>
      <c r="L461" s="124" t="s">
        <v>1513</v>
      </c>
      <c r="M461" s="124" t="s">
        <v>202</v>
      </c>
      <c r="N461" s="126"/>
      <c r="O461" s="124"/>
      <c r="P461" s="24"/>
      <c r="Q461" s="24"/>
      <c r="R461" s="126"/>
      <c r="S461" s="124" t="s">
        <v>208</v>
      </c>
      <c r="T461" s="126"/>
      <c r="U461" s="126"/>
      <c r="V461" s="124" t="s">
        <v>1277</v>
      </c>
      <c r="W461" s="24"/>
      <c r="X461" s="126"/>
      <c r="Y461" s="24"/>
      <c r="Z461" s="24"/>
      <c r="AA461" s="24"/>
      <c r="AB461" s="24"/>
      <c r="AC461" s="233"/>
      <c r="AD461" s="233"/>
      <c r="AE461" s="233"/>
      <c r="AF461" s="233"/>
      <c r="AG461" s="115" t="s">
        <v>115</v>
      </c>
      <c r="AH461" s="115" t="s">
        <v>1514</v>
      </c>
      <c r="AI461" s="115" t="s">
        <v>1515</v>
      </c>
      <c r="AJ461" s="24"/>
      <c r="AK461" s="24"/>
      <c r="AL461" s="24"/>
    </row>
    <row r="462" spans="1:38" ht="12.75" customHeight="1">
      <c r="A462" s="22">
        <v>460</v>
      </c>
      <c r="B462" s="24" t="s">
        <v>1468</v>
      </c>
      <c r="C462" s="24" t="s">
        <v>180</v>
      </c>
      <c r="D462" s="24" t="s">
        <v>1511</v>
      </c>
      <c r="E462" s="24" t="s">
        <v>1434</v>
      </c>
      <c r="F462" s="24">
        <v>1</v>
      </c>
      <c r="G462" s="24" t="s">
        <v>1308</v>
      </c>
      <c r="H462" s="24"/>
      <c r="I462" s="126"/>
      <c r="J462" s="161"/>
      <c r="K462" s="124"/>
      <c r="L462" s="124"/>
      <c r="M462" s="161"/>
      <c r="N462" s="126" t="s">
        <v>1468</v>
      </c>
      <c r="O462" s="161"/>
      <c r="P462" s="24"/>
      <c r="Q462" s="24"/>
      <c r="R462" s="126"/>
      <c r="S462" s="124"/>
      <c r="T462" s="126"/>
      <c r="U462" s="126"/>
      <c r="V462" s="161"/>
      <c r="W462" s="24"/>
      <c r="X462" s="126"/>
      <c r="Y462" s="24"/>
      <c r="Z462" s="24"/>
      <c r="AA462" s="24"/>
      <c r="AB462" s="24"/>
      <c r="AC462" s="182"/>
      <c r="AD462" s="182"/>
      <c r="AE462" s="113">
        <v>385660001</v>
      </c>
      <c r="AF462" s="182"/>
      <c r="AG462" s="115" t="s">
        <v>115</v>
      </c>
      <c r="AH462" s="115" t="s">
        <v>1469</v>
      </c>
      <c r="AI462" s="115" t="s">
        <v>1470</v>
      </c>
      <c r="AJ462" s="24"/>
      <c r="AK462" s="24"/>
      <c r="AL462" s="24"/>
    </row>
    <row r="463" spans="1:38" ht="12.75" customHeight="1">
      <c r="A463" s="22">
        <v>461</v>
      </c>
      <c r="B463" s="24" t="s">
        <v>1471</v>
      </c>
      <c r="C463" s="24" t="s">
        <v>180</v>
      </c>
      <c r="D463" s="24" t="s">
        <v>1511</v>
      </c>
      <c r="E463" s="24" t="s">
        <v>1434</v>
      </c>
      <c r="F463" s="24">
        <v>1</v>
      </c>
      <c r="G463" s="24" t="s">
        <v>1308</v>
      </c>
      <c r="H463" s="24"/>
      <c r="I463" s="126"/>
      <c r="J463" s="161"/>
      <c r="K463" s="124"/>
      <c r="L463" s="124"/>
      <c r="M463" s="161"/>
      <c r="N463" s="160" t="s">
        <v>1471</v>
      </c>
      <c r="O463" s="161"/>
      <c r="P463" s="24"/>
      <c r="Q463" s="24"/>
      <c r="R463" s="126"/>
      <c r="S463" s="124"/>
      <c r="T463" s="126"/>
      <c r="U463" s="126"/>
      <c r="V463" s="161"/>
      <c r="W463" s="24"/>
      <c r="X463" s="126"/>
      <c r="Y463" s="24"/>
      <c r="Z463" s="24"/>
      <c r="AA463" s="24"/>
      <c r="AB463" s="24"/>
      <c r="AC463" s="182"/>
      <c r="AD463" s="182"/>
      <c r="AE463" s="113">
        <v>17621005</v>
      </c>
      <c r="AF463" s="182"/>
      <c r="AG463" s="115" t="s">
        <v>115</v>
      </c>
      <c r="AH463" s="115" t="s">
        <v>1472</v>
      </c>
      <c r="AI463" s="115" t="s">
        <v>1473</v>
      </c>
      <c r="AJ463" s="24"/>
      <c r="AK463" s="24"/>
      <c r="AL463" s="24"/>
    </row>
    <row r="464" spans="1:38" ht="12.75" customHeight="1">
      <c r="A464" s="22">
        <v>462</v>
      </c>
      <c r="B464" s="24" t="s">
        <v>1474</v>
      </c>
      <c r="C464" s="24" t="s">
        <v>180</v>
      </c>
      <c r="D464" s="24" t="s">
        <v>1511</v>
      </c>
      <c r="E464" s="24" t="s">
        <v>1434</v>
      </c>
      <c r="F464" s="24">
        <v>1</v>
      </c>
      <c r="G464" s="24" t="s">
        <v>1308</v>
      </c>
      <c r="H464" s="24"/>
      <c r="I464" s="126"/>
      <c r="J464" s="161"/>
      <c r="K464" s="124"/>
      <c r="L464" s="124"/>
      <c r="M464" s="161"/>
      <c r="N464" s="160" t="s">
        <v>1474</v>
      </c>
      <c r="O464" s="161"/>
      <c r="P464" s="24"/>
      <c r="Q464" s="24"/>
      <c r="R464" s="126"/>
      <c r="S464" s="124"/>
      <c r="T464" s="126"/>
      <c r="U464" s="126"/>
      <c r="V464" s="161"/>
      <c r="W464" s="24"/>
      <c r="X464" s="126"/>
      <c r="Y464" s="24"/>
      <c r="Z464" s="24"/>
      <c r="AA464" s="24"/>
      <c r="AB464" s="24"/>
      <c r="AC464" s="182"/>
      <c r="AD464" s="182"/>
      <c r="AE464" s="113">
        <v>263654008</v>
      </c>
      <c r="AF464" s="182"/>
      <c r="AG464" s="115" t="s">
        <v>115</v>
      </c>
      <c r="AH464" s="115" t="s">
        <v>1475</v>
      </c>
      <c r="AI464" s="115" t="s">
        <v>1476</v>
      </c>
      <c r="AJ464" s="24"/>
      <c r="AK464" s="24"/>
      <c r="AL464" s="24"/>
    </row>
    <row r="465" spans="1:38" ht="12.75" customHeight="1">
      <c r="A465" s="22">
        <v>463</v>
      </c>
      <c r="B465" s="24" t="s">
        <v>1516</v>
      </c>
      <c r="C465" s="24" t="s">
        <v>96</v>
      </c>
      <c r="D465" s="24"/>
      <c r="E465" s="24" t="s">
        <v>1434</v>
      </c>
      <c r="F465" s="24">
        <v>1</v>
      </c>
      <c r="G465" s="24" t="s">
        <v>1308</v>
      </c>
      <c r="H465" s="24"/>
      <c r="I465" s="126"/>
      <c r="J465" s="161" t="s">
        <v>1478</v>
      </c>
      <c r="K465" s="124" t="s">
        <v>1517</v>
      </c>
      <c r="L465" s="124" t="s">
        <v>1480</v>
      </c>
      <c r="M465" s="161" t="s">
        <v>238</v>
      </c>
      <c r="N465" s="161"/>
      <c r="O465" s="161"/>
      <c r="P465" s="24"/>
      <c r="Q465" s="24"/>
      <c r="R465" s="126"/>
      <c r="S465" s="124" t="s">
        <v>208</v>
      </c>
      <c r="T465" s="126"/>
      <c r="U465" s="126"/>
      <c r="V465" s="161" t="s">
        <v>115</v>
      </c>
      <c r="W465" s="24"/>
      <c r="X465" s="126"/>
      <c r="Y465" s="24"/>
      <c r="Z465" s="24"/>
      <c r="AA465" s="24"/>
      <c r="AB465" s="24"/>
      <c r="AC465" s="182"/>
      <c r="AD465" s="182"/>
      <c r="AE465" s="113">
        <v>271910006</v>
      </c>
      <c r="AF465" s="182"/>
      <c r="AG465" s="115" t="s">
        <v>115</v>
      </c>
      <c r="AH465" s="115" t="s">
        <v>1518</v>
      </c>
      <c r="AI465" s="115" t="s">
        <v>1519</v>
      </c>
      <c r="AJ465" s="24"/>
      <c r="AK465" s="24"/>
      <c r="AL465" s="24"/>
    </row>
    <row r="466" spans="1:38" ht="12.75" customHeight="1">
      <c r="A466" s="22">
        <v>464</v>
      </c>
      <c r="B466" s="24" t="s">
        <v>1520</v>
      </c>
      <c r="C466" s="24" t="s">
        <v>180</v>
      </c>
      <c r="D466" s="24" t="s">
        <v>1516</v>
      </c>
      <c r="E466" s="24" t="s">
        <v>1434</v>
      </c>
      <c r="F466" s="24">
        <v>1</v>
      </c>
      <c r="G466" s="24" t="s">
        <v>1308</v>
      </c>
      <c r="H466" s="24"/>
      <c r="I466" s="126"/>
      <c r="J466" s="161"/>
      <c r="K466" s="161"/>
      <c r="L466" s="161"/>
      <c r="M466" s="161"/>
      <c r="N466" s="161" t="s">
        <v>1520</v>
      </c>
      <c r="O466" s="161"/>
      <c r="P466" s="24"/>
      <c r="Q466" s="24"/>
      <c r="R466" s="126"/>
      <c r="S466" s="124"/>
      <c r="T466" s="126"/>
      <c r="U466" s="126"/>
      <c r="V466" s="161"/>
      <c r="W466" s="24"/>
      <c r="X466" s="126"/>
      <c r="Y466" s="24"/>
      <c r="Z466" s="24"/>
      <c r="AA466" s="24"/>
      <c r="AB466" s="24"/>
      <c r="AC466" s="121" t="s">
        <v>1521</v>
      </c>
      <c r="AD466" s="182"/>
      <c r="AE466" s="113">
        <v>88610006</v>
      </c>
      <c r="AF466" s="182"/>
      <c r="AG466" s="115" t="s">
        <v>115</v>
      </c>
      <c r="AH466" s="115" t="s">
        <v>1522</v>
      </c>
      <c r="AI466" s="115" t="s">
        <v>1523</v>
      </c>
      <c r="AJ466" s="24"/>
      <c r="AK466" s="24"/>
      <c r="AL466" s="24"/>
    </row>
    <row r="467" spans="1:38" ht="12.75" customHeight="1">
      <c r="A467" s="22">
        <v>465</v>
      </c>
      <c r="B467" s="24" t="s">
        <v>1524</v>
      </c>
      <c r="C467" s="24" t="s">
        <v>180</v>
      </c>
      <c r="D467" s="24" t="s">
        <v>1516</v>
      </c>
      <c r="E467" s="24" t="s">
        <v>1434</v>
      </c>
      <c r="F467" s="24">
        <v>1</v>
      </c>
      <c r="G467" s="24" t="s">
        <v>1308</v>
      </c>
      <c r="H467" s="24"/>
      <c r="I467" s="126"/>
      <c r="J467" s="161"/>
      <c r="K467" s="161"/>
      <c r="L467" s="161"/>
      <c r="M467" s="161"/>
      <c r="N467" s="160" t="s">
        <v>1524</v>
      </c>
      <c r="O467" s="161"/>
      <c r="P467" s="24"/>
      <c r="Q467" s="24"/>
      <c r="R467" s="126"/>
      <c r="S467" s="124"/>
      <c r="T467" s="126"/>
      <c r="U467" s="126"/>
      <c r="V467" s="161"/>
      <c r="W467" s="24"/>
      <c r="X467" s="126"/>
      <c r="Y467" s="24"/>
      <c r="Z467" s="24"/>
      <c r="AA467" s="24"/>
      <c r="AB467" s="24"/>
      <c r="AC467" s="118" t="s">
        <v>1525</v>
      </c>
      <c r="AD467" s="182"/>
      <c r="AE467" s="113">
        <v>64661000</v>
      </c>
      <c r="AF467" s="182"/>
      <c r="AG467" s="115" t="s">
        <v>115</v>
      </c>
      <c r="AH467" s="115" t="s">
        <v>1526</v>
      </c>
      <c r="AI467" s="115" t="s">
        <v>1527</v>
      </c>
      <c r="AJ467" s="24"/>
      <c r="AK467" s="24"/>
      <c r="AL467" s="24"/>
    </row>
    <row r="468" spans="1:38" ht="12.75" customHeight="1">
      <c r="A468" s="22">
        <v>466</v>
      </c>
      <c r="B468" s="24" t="s">
        <v>1528</v>
      </c>
      <c r="C468" s="24" t="s">
        <v>180</v>
      </c>
      <c r="D468" s="24" t="s">
        <v>1516</v>
      </c>
      <c r="E468" s="24" t="s">
        <v>1434</v>
      </c>
      <c r="F468" s="24">
        <v>1</v>
      </c>
      <c r="G468" s="24" t="s">
        <v>1308</v>
      </c>
      <c r="H468" s="24"/>
      <c r="I468" s="126"/>
      <c r="J468" s="161"/>
      <c r="K468" s="161"/>
      <c r="L468" s="161"/>
      <c r="M468" s="161"/>
      <c r="N468" s="160" t="s">
        <v>1528</v>
      </c>
      <c r="O468" s="161"/>
      <c r="P468" s="24"/>
      <c r="Q468" s="24"/>
      <c r="R468" s="126"/>
      <c r="S468" s="124"/>
      <c r="T468" s="126"/>
      <c r="U468" s="126"/>
      <c r="V468" s="161"/>
      <c r="W468" s="24"/>
      <c r="X468" s="126"/>
      <c r="Y468" s="24"/>
      <c r="Z468" s="24"/>
      <c r="AA468" s="24"/>
      <c r="AB468" s="24"/>
      <c r="AC468" s="175" t="s">
        <v>1529</v>
      </c>
      <c r="AD468" s="182"/>
      <c r="AE468" s="113">
        <v>3424008</v>
      </c>
      <c r="AF468" s="182"/>
      <c r="AG468" s="115" t="s">
        <v>115</v>
      </c>
      <c r="AH468" s="115" t="s">
        <v>1530</v>
      </c>
      <c r="AI468" s="115" t="s">
        <v>1531</v>
      </c>
      <c r="AJ468" s="24"/>
      <c r="AK468" s="24"/>
      <c r="AL468" s="24"/>
    </row>
    <row r="469" spans="1:38" ht="12.75" customHeight="1">
      <c r="A469" s="22">
        <v>467</v>
      </c>
      <c r="B469" s="24" t="s">
        <v>1532</v>
      </c>
      <c r="C469" s="24" t="s">
        <v>180</v>
      </c>
      <c r="D469" s="24" t="s">
        <v>1516</v>
      </c>
      <c r="E469" s="24" t="s">
        <v>1434</v>
      </c>
      <c r="F469" s="24">
        <v>1</v>
      </c>
      <c r="G469" s="24" t="s">
        <v>1308</v>
      </c>
      <c r="H469" s="24"/>
      <c r="I469" s="126"/>
      <c r="J469" s="161"/>
      <c r="K469" s="161"/>
      <c r="L469" s="161"/>
      <c r="M469" s="161"/>
      <c r="N469" s="160" t="s">
        <v>1532</v>
      </c>
      <c r="O469" s="161"/>
      <c r="P469" s="24"/>
      <c r="Q469" s="24"/>
      <c r="R469" s="126"/>
      <c r="S469" s="124"/>
      <c r="T469" s="126"/>
      <c r="U469" s="126"/>
      <c r="V469" s="161"/>
      <c r="W469" s="24"/>
      <c r="X469" s="126"/>
      <c r="Y469" s="24"/>
      <c r="Z469" s="24"/>
      <c r="AA469" s="24"/>
      <c r="AB469" s="24"/>
      <c r="AC469" s="121" t="s">
        <v>1533</v>
      </c>
      <c r="AD469" s="182"/>
      <c r="AE469" s="113">
        <v>48867003</v>
      </c>
      <c r="AF469" s="182"/>
      <c r="AG469" s="115" t="s">
        <v>115</v>
      </c>
      <c r="AH469" s="115" t="s">
        <v>1534</v>
      </c>
      <c r="AI469" s="115" t="s">
        <v>1535</v>
      </c>
      <c r="AJ469" s="24"/>
      <c r="AK469" s="24"/>
      <c r="AL469" s="24"/>
    </row>
    <row r="470" spans="1:38" ht="12.75" customHeight="1">
      <c r="A470" s="22">
        <v>468</v>
      </c>
      <c r="B470" s="24" t="s">
        <v>1536</v>
      </c>
      <c r="C470" s="24" t="s">
        <v>180</v>
      </c>
      <c r="D470" s="24" t="s">
        <v>1516</v>
      </c>
      <c r="E470" s="24" t="s">
        <v>1434</v>
      </c>
      <c r="F470" s="24">
        <v>1</v>
      </c>
      <c r="G470" s="24" t="s">
        <v>1308</v>
      </c>
      <c r="H470" s="24"/>
      <c r="I470" s="126"/>
      <c r="J470" s="161"/>
      <c r="K470" s="161"/>
      <c r="L470" s="161"/>
      <c r="M470" s="161"/>
      <c r="N470" s="160" t="s">
        <v>1536</v>
      </c>
      <c r="O470" s="161"/>
      <c r="P470" s="24"/>
      <c r="Q470" s="24"/>
      <c r="R470" s="126"/>
      <c r="S470" s="124"/>
      <c r="T470" s="126"/>
      <c r="U470" s="126"/>
      <c r="V470" s="161"/>
      <c r="W470" s="24"/>
      <c r="X470" s="126"/>
      <c r="Y470" s="24"/>
      <c r="Z470" s="24"/>
      <c r="AA470" s="24"/>
      <c r="AB470" s="24"/>
      <c r="AC470" s="121" t="s">
        <v>1537</v>
      </c>
      <c r="AD470" s="182"/>
      <c r="AE470" s="118">
        <v>698247007</v>
      </c>
      <c r="AF470" s="182"/>
      <c r="AG470" s="115" t="s">
        <v>115</v>
      </c>
      <c r="AH470" s="115" t="s">
        <v>1538</v>
      </c>
      <c r="AI470" s="115" t="s">
        <v>1539</v>
      </c>
      <c r="AJ470" s="24"/>
      <c r="AK470" s="24"/>
      <c r="AL470" s="24"/>
    </row>
    <row r="471" spans="1:38" ht="12.75" customHeight="1">
      <c r="A471" s="22">
        <v>469</v>
      </c>
      <c r="B471" s="24" t="s">
        <v>1540</v>
      </c>
      <c r="C471" s="24" t="s">
        <v>180</v>
      </c>
      <c r="D471" s="24" t="s">
        <v>1516</v>
      </c>
      <c r="E471" s="24" t="s">
        <v>1434</v>
      </c>
      <c r="F471" s="24">
        <v>1</v>
      </c>
      <c r="G471" s="24" t="s">
        <v>1308</v>
      </c>
      <c r="H471" s="24"/>
      <c r="I471" s="126"/>
      <c r="J471" s="161"/>
      <c r="K471" s="161"/>
      <c r="L471" s="161"/>
      <c r="M471" s="161"/>
      <c r="N471" s="160" t="s">
        <v>1540</v>
      </c>
      <c r="O471" s="161"/>
      <c r="P471" s="24"/>
      <c r="Q471" s="24"/>
      <c r="R471" s="126"/>
      <c r="S471" s="124"/>
      <c r="T471" s="126"/>
      <c r="U471" s="126"/>
      <c r="V471" s="161"/>
      <c r="W471" s="24"/>
      <c r="X471" s="126"/>
      <c r="Y471" s="24"/>
      <c r="Z471" s="24"/>
      <c r="AA471" s="24"/>
      <c r="AB471" s="24"/>
      <c r="AC471" s="118" t="s">
        <v>1541</v>
      </c>
      <c r="AD471" s="182"/>
      <c r="AE471" s="121">
        <v>3415004</v>
      </c>
      <c r="AF471" s="182"/>
      <c r="AG471" s="115" t="s">
        <v>115</v>
      </c>
      <c r="AH471" s="115" t="s">
        <v>1542</v>
      </c>
      <c r="AI471" s="115" t="s">
        <v>1543</v>
      </c>
      <c r="AJ471" s="24"/>
      <c r="AK471" s="24"/>
      <c r="AL471" s="24"/>
    </row>
    <row r="472" spans="1:38" ht="12.75" customHeight="1">
      <c r="A472" s="22">
        <v>470</v>
      </c>
      <c r="B472" s="24" t="s">
        <v>1544</v>
      </c>
      <c r="C472" s="24" t="s">
        <v>180</v>
      </c>
      <c r="D472" s="24" t="s">
        <v>1516</v>
      </c>
      <c r="E472" s="24" t="s">
        <v>1434</v>
      </c>
      <c r="F472" s="24">
        <v>1</v>
      </c>
      <c r="G472" s="24" t="s">
        <v>1308</v>
      </c>
      <c r="H472" s="24"/>
      <c r="I472" s="126"/>
      <c r="J472" s="161"/>
      <c r="K472" s="161"/>
      <c r="L472" s="161"/>
      <c r="M472" s="161"/>
      <c r="N472" s="160" t="s">
        <v>1544</v>
      </c>
      <c r="O472" s="161"/>
      <c r="P472" s="24"/>
      <c r="Q472" s="24"/>
      <c r="R472" s="126"/>
      <c r="S472" s="124"/>
      <c r="T472" s="126"/>
      <c r="U472" s="126"/>
      <c r="V472" s="161"/>
      <c r="W472" s="24"/>
      <c r="X472" s="126"/>
      <c r="Y472" s="24"/>
      <c r="Z472" s="24"/>
      <c r="AA472" s="24"/>
      <c r="AB472" s="24"/>
      <c r="AC472" s="233"/>
      <c r="AD472" s="233"/>
      <c r="AE472" s="233"/>
      <c r="AF472" s="233"/>
      <c r="AG472" s="115" t="s">
        <v>115</v>
      </c>
      <c r="AH472" s="115" t="s">
        <v>1545</v>
      </c>
      <c r="AI472" s="115" t="s">
        <v>1546</v>
      </c>
      <c r="AJ472" s="24"/>
      <c r="AK472" s="24"/>
      <c r="AL472" s="24"/>
    </row>
    <row r="473" spans="1:38" ht="12.75" customHeight="1">
      <c r="A473" s="22">
        <v>471</v>
      </c>
      <c r="B473" s="24" t="s">
        <v>405</v>
      </c>
      <c r="C473" s="24" t="s">
        <v>180</v>
      </c>
      <c r="D473" s="24"/>
      <c r="E473" s="24" t="s">
        <v>1434</v>
      </c>
      <c r="F473" s="24">
        <v>1</v>
      </c>
      <c r="G473" s="24" t="s">
        <v>1308</v>
      </c>
      <c r="H473" s="24"/>
      <c r="I473" s="126"/>
      <c r="J473" s="161"/>
      <c r="K473" s="161"/>
      <c r="L473" s="161"/>
      <c r="M473" s="161"/>
      <c r="N473" s="160" t="s">
        <v>405</v>
      </c>
      <c r="O473" s="161"/>
      <c r="P473" s="24"/>
      <c r="Q473" s="24"/>
      <c r="R473" s="126"/>
      <c r="S473" s="124"/>
      <c r="T473" s="126"/>
      <c r="U473" s="126"/>
      <c r="V473" s="161"/>
      <c r="W473" s="24"/>
      <c r="X473" s="126"/>
      <c r="Y473" s="24"/>
      <c r="Z473" s="24"/>
      <c r="AA473" s="24"/>
      <c r="AB473" s="24"/>
      <c r="AC473" s="182"/>
      <c r="AD473" s="182"/>
      <c r="AE473" s="270" t="s">
        <v>1547</v>
      </c>
      <c r="AF473" s="182"/>
      <c r="AG473" s="115" t="s">
        <v>1548</v>
      </c>
      <c r="AH473" s="144" t="s">
        <v>406</v>
      </c>
      <c r="AI473" s="144" t="s">
        <v>407</v>
      </c>
      <c r="AJ473" s="24"/>
      <c r="AK473" s="24"/>
      <c r="AL473" s="24"/>
    </row>
    <row r="474" spans="1:38" ht="12.75" customHeight="1">
      <c r="A474" s="22">
        <v>472</v>
      </c>
      <c r="B474" s="24" t="s">
        <v>409</v>
      </c>
      <c r="C474" s="24" t="s">
        <v>96</v>
      </c>
      <c r="D474" s="24"/>
      <c r="E474" s="24" t="s">
        <v>1434</v>
      </c>
      <c r="F474" s="24">
        <v>1</v>
      </c>
      <c r="G474" s="24" t="s">
        <v>1308</v>
      </c>
      <c r="H474" s="24"/>
      <c r="I474" s="126"/>
      <c r="J474" s="265" t="s">
        <v>409</v>
      </c>
      <c r="K474" s="265" t="s">
        <v>1550</v>
      </c>
      <c r="L474" s="265" t="s">
        <v>1551</v>
      </c>
      <c r="M474" s="265" t="s">
        <v>111</v>
      </c>
      <c r="N474" s="266"/>
      <c r="O474" s="266"/>
      <c r="P474" s="263"/>
      <c r="Q474" s="24"/>
      <c r="R474" s="126"/>
      <c r="S474" s="265" t="s">
        <v>208</v>
      </c>
      <c r="T474" s="126"/>
      <c r="U474" s="126"/>
      <c r="V474" s="265" t="s">
        <v>115</v>
      </c>
      <c r="W474" s="24"/>
      <c r="X474" s="126"/>
      <c r="Y474" s="24"/>
      <c r="Z474" s="24"/>
      <c r="AA474" s="24"/>
      <c r="AB474" s="24"/>
      <c r="AC474" s="182"/>
      <c r="AD474" s="182"/>
      <c r="AE474" s="182"/>
      <c r="AF474" s="182" t="s">
        <v>1552</v>
      </c>
      <c r="AG474" s="144" t="s">
        <v>1548</v>
      </c>
      <c r="AH474" s="144" t="s">
        <v>415</v>
      </c>
      <c r="AI474" s="144" t="s">
        <v>416</v>
      </c>
      <c r="AJ474" s="24"/>
      <c r="AK474" s="24"/>
      <c r="AL474" s="24"/>
    </row>
    <row r="475" spans="1:38" ht="12.75" customHeight="1">
      <c r="A475" s="22">
        <v>473</v>
      </c>
      <c r="B475" s="24" t="s">
        <v>1553</v>
      </c>
      <c r="C475" s="24" t="s">
        <v>96</v>
      </c>
      <c r="D475" s="24"/>
      <c r="E475" s="24" t="s">
        <v>1434</v>
      </c>
      <c r="F475" s="24">
        <v>1</v>
      </c>
      <c r="G475" s="24" t="s">
        <v>1308</v>
      </c>
      <c r="H475" s="24"/>
      <c r="I475" s="126"/>
      <c r="J475" s="160" t="s">
        <v>1553</v>
      </c>
      <c r="K475" s="124" t="s">
        <v>1554</v>
      </c>
      <c r="L475" s="124" t="s">
        <v>1555</v>
      </c>
      <c r="M475" s="124" t="s">
        <v>202</v>
      </c>
      <c r="N475" s="126"/>
      <c r="O475" s="124"/>
      <c r="P475" s="24"/>
      <c r="Q475" s="24"/>
      <c r="R475" s="126"/>
      <c r="S475" s="124" t="s">
        <v>208</v>
      </c>
      <c r="T475" s="126"/>
      <c r="U475" s="126"/>
      <c r="V475" s="124" t="s">
        <v>1277</v>
      </c>
      <c r="W475" s="24"/>
      <c r="X475" s="126"/>
      <c r="Y475" s="24"/>
      <c r="Z475" s="24"/>
      <c r="AA475" s="24"/>
      <c r="AB475" s="24"/>
      <c r="AC475" s="233"/>
      <c r="AD475" s="233"/>
      <c r="AE475" s="233"/>
      <c r="AF475" s="233"/>
      <c r="AG475" s="115" t="s">
        <v>115</v>
      </c>
      <c r="AH475" s="115" t="s">
        <v>1556</v>
      </c>
      <c r="AI475" s="115" t="s">
        <v>1557</v>
      </c>
      <c r="AJ475" s="24"/>
      <c r="AK475" s="24"/>
      <c r="AL475" s="24"/>
    </row>
    <row r="476" spans="1:38" ht="12.75" customHeight="1">
      <c r="A476" s="22">
        <v>474</v>
      </c>
      <c r="B476" s="24" t="s">
        <v>1468</v>
      </c>
      <c r="C476" s="24" t="s">
        <v>180</v>
      </c>
      <c r="D476" s="24" t="s">
        <v>1553</v>
      </c>
      <c r="E476" s="24" t="s">
        <v>1434</v>
      </c>
      <c r="F476" s="24">
        <v>1</v>
      </c>
      <c r="G476" s="24" t="s">
        <v>1308</v>
      </c>
      <c r="H476" s="24"/>
      <c r="I476" s="126"/>
      <c r="J476" s="161"/>
      <c r="K476" s="124"/>
      <c r="L476" s="124"/>
      <c r="M476" s="161"/>
      <c r="N476" s="126" t="s">
        <v>1468</v>
      </c>
      <c r="O476" s="161"/>
      <c r="P476" s="24"/>
      <c r="Q476" s="24"/>
      <c r="R476" s="126"/>
      <c r="S476" s="124"/>
      <c r="T476" s="126"/>
      <c r="U476" s="126"/>
      <c r="V476" s="161"/>
      <c r="W476" s="24"/>
      <c r="X476" s="126"/>
      <c r="Y476" s="24"/>
      <c r="Z476" s="24"/>
      <c r="AA476" s="24"/>
      <c r="AB476" s="24"/>
      <c r="AC476" s="182"/>
      <c r="AD476" s="182"/>
      <c r="AE476" s="182">
        <v>385660001</v>
      </c>
      <c r="AF476" s="182"/>
      <c r="AG476" s="115" t="s">
        <v>115</v>
      </c>
      <c r="AH476" s="115" t="s">
        <v>1469</v>
      </c>
      <c r="AI476" s="115" t="s">
        <v>1470</v>
      </c>
      <c r="AJ476" s="24"/>
      <c r="AK476" s="24"/>
      <c r="AL476" s="24"/>
    </row>
    <row r="477" spans="1:38" ht="12.75" customHeight="1">
      <c r="A477" s="22">
        <v>475</v>
      </c>
      <c r="B477" s="24" t="s">
        <v>1471</v>
      </c>
      <c r="C477" s="24" t="s">
        <v>180</v>
      </c>
      <c r="D477" s="24" t="s">
        <v>1553</v>
      </c>
      <c r="E477" s="24" t="s">
        <v>1434</v>
      </c>
      <c r="F477" s="24">
        <v>1</v>
      </c>
      <c r="G477" s="24" t="s">
        <v>1308</v>
      </c>
      <c r="H477" s="24"/>
      <c r="I477" s="126"/>
      <c r="J477" s="161"/>
      <c r="K477" s="124"/>
      <c r="L477" s="124"/>
      <c r="M477" s="161"/>
      <c r="N477" s="160" t="s">
        <v>1471</v>
      </c>
      <c r="O477" s="161"/>
      <c r="P477" s="24"/>
      <c r="Q477" s="24"/>
      <c r="R477" s="126"/>
      <c r="S477" s="124"/>
      <c r="T477" s="126"/>
      <c r="U477" s="126"/>
      <c r="V477" s="161"/>
      <c r="W477" s="24"/>
      <c r="X477" s="126"/>
      <c r="Y477" s="24"/>
      <c r="Z477" s="24"/>
      <c r="AA477" s="24"/>
      <c r="AB477" s="24"/>
      <c r="AC477" s="182"/>
      <c r="AD477" s="182"/>
      <c r="AE477" s="182">
        <v>17621005</v>
      </c>
      <c r="AF477" s="182"/>
      <c r="AG477" s="115" t="s">
        <v>115</v>
      </c>
      <c r="AH477" s="115" t="s">
        <v>1472</v>
      </c>
      <c r="AI477" s="115" t="s">
        <v>1473</v>
      </c>
      <c r="AJ477" s="24"/>
      <c r="AK477" s="24"/>
      <c r="AL477" s="24"/>
    </row>
    <row r="478" spans="1:38" ht="12.75" customHeight="1">
      <c r="A478" s="22">
        <v>476</v>
      </c>
      <c r="B478" s="24" t="s">
        <v>1474</v>
      </c>
      <c r="C478" s="24" t="s">
        <v>180</v>
      </c>
      <c r="D478" s="24" t="s">
        <v>1553</v>
      </c>
      <c r="E478" s="24" t="s">
        <v>1434</v>
      </c>
      <c r="F478" s="24">
        <v>1</v>
      </c>
      <c r="G478" s="24" t="s">
        <v>1308</v>
      </c>
      <c r="H478" s="24"/>
      <c r="I478" s="126"/>
      <c r="J478" s="161"/>
      <c r="K478" s="124"/>
      <c r="L478" s="124"/>
      <c r="M478" s="161"/>
      <c r="N478" s="160" t="s">
        <v>1474</v>
      </c>
      <c r="O478" s="161"/>
      <c r="P478" s="24"/>
      <c r="Q478" s="24"/>
      <c r="R478" s="126"/>
      <c r="S478" s="124"/>
      <c r="T478" s="126"/>
      <c r="U478" s="126"/>
      <c r="V478" s="161"/>
      <c r="W478" s="24"/>
      <c r="X478" s="126"/>
      <c r="Y478" s="24"/>
      <c r="Z478" s="24"/>
      <c r="AA478" s="24"/>
      <c r="AB478" s="24"/>
      <c r="AC478" s="182"/>
      <c r="AD478" s="182"/>
      <c r="AE478" s="113">
        <v>263654008</v>
      </c>
      <c r="AF478" s="182"/>
      <c r="AG478" s="115" t="s">
        <v>115</v>
      </c>
      <c r="AH478" s="115" t="s">
        <v>1475</v>
      </c>
      <c r="AI478" s="115" t="s">
        <v>1476</v>
      </c>
      <c r="AJ478" s="24"/>
      <c r="AK478" s="24"/>
      <c r="AL478" s="24"/>
    </row>
    <row r="479" spans="1:38" ht="12.75" customHeight="1">
      <c r="A479" s="22">
        <v>477</v>
      </c>
      <c r="B479" s="24" t="s">
        <v>1558</v>
      </c>
      <c r="C479" s="24" t="s">
        <v>96</v>
      </c>
      <c r="D479" s="24"/>
      <c r="E479" s="24" t="s">
        <v>1434</v>
      </c>
      <c r="F479" s="24">
        <v>1</v>
      </c>
      <c r="G479" s="24" t="s">
        <v>1308</v>
      </c>
      <c r="H479" s="24"/>
      <c r="I479" s="126"/>
      <c r="J479" s="161" t="s">
        <v>1478</v>
      </c>
      <c r="K479" s="124" t="s">
        <v>1559</v>
      </c>
      <c r="L479" s="124" t="s">
        <v>1480</v>
      </c>
      <c r="M479" s="161" t="s">
        <v>238</v>
      </c>
      <c r="N479" s="161"/>
      <c r="O479" s="161"/>
      <c r="P479" s="24"/>
      <c r="Q479" s="24"/>
      <c r="R479" s="126"/>
      <c r="S479" s="124" t="s">
        <v>208</v>
      </c>
      <c r="T479" s="126"/>
      <c r="U479" s="126"/>
      <c r="V479" s="161" t="s">
        <v>115</v>
      </c>
      <c r="W479" s="24"/>
      <c r="X479" s="126"/>
      <c r="Y479" s="24"/>
      <c r="Z479" s="24"/>
      <c r="AA479" s="24"/>
      <c r="AB479" s="24"/>
      <c r="AC479" s="182"/>
      <c r="AD479" s="182"/>
      <c r="AE479" s="113">
        <v>271886009</v>
      </c>
      <c r="AF479" s="182"/>
      <c r="AG479" s="115" t="s">
        <v>115</v>
      </c>
      <c r="AH479" s="115" t="s">
        <v>1560</v>
      </c>
      <c r="AI479" s="115" t="s">
        <v>1561</v>
      </c>
      <c r="AJ479" s="24"/>
      <c r="AK479" s="24"/>
      <c r="AL479" s="24"/>
    </row>
    <row r="480" spans="1:38" ht="12.75" customHeight="1">
      <c r="A480" s="22">
        <v>478</v>
      </c>
      <c r="B480" s="24" t="s">
        <v>1562</v>
      </c>
      <c r="C480" s="24" t="s">
        <v>180</v>
      </c>
      <c r="D480" s="24" t="s">
        <v>1558</v>
      </c>
      <c r="E480" s="24" t="s">
        <v>1434</v>
      </c>
      <c r="F480" s="24">
        <v>1</v>
      </c>
      <c r="G480" s="24" t="s">
        <v>1308</v>
      </c>
      <c r="H480" s="24"/>
      <c r="I480" s="126"/>
      <c r="J480" s="161"/>
      <c r="K480" s="161"/>
      <c r="L480" s="161"/>
      <c r="M480" s="161"/>
      <c r="N480" s="161" t="s">
        <v>1562</v>
      </c>
      <c r="O480" s="161"/>
      <c r="P480" s="24"/>
      <c r="Q480" s="24"/>
      <c r="R480" s="126"/>
      <c r="S480" s="124"/>
      <c r="T480" s="126"/>
      <c r="U480" s="126"/>
      <c r="V480" s="161"/>
      <c r="W480" s="24"/>
      <c r="X480" s="126"/>
      <c r="Y480" s="24"/>
      <c r="Z480" s="24"/>
      <c r="AA480" s="24"/>
      <c r="AB480" s="24"/>
      <c r="AC480" s="113" t="s">
        <v>1563</v>
      </c>
      <c r="AD480" s="182"/>
      <c r="AE480" s="113">
        <v>89164003</v>
      </c>
      <c r="AF480" s="182"/>
      <c r="AG480" s="115" t="s">
        <v>115</v>
      </c>
      <c r="AH480" s="115" t="s">
        <v>1564</v>
      </c>
      <c r="AI480" s="115" t="s">
        <v>1565</v>
      </c>
      <c r="AJ480" s="24"/>
      <c r="AK480" s="24"/>
      <c r="AL480" s="24"/>
    </row>
    <row r="481" spans="1:38" ht="12.75" customHeight="1">
      <c r="A481" s="22">
        <v>479</v>
      </c>
      <c r="B481" s="24" t="s">
        <v>1566</v>
      </c>
      <c r="C481" s="24" t="s">
        <v>180</v>
      </c>
      <c r="D481" s="24" t="s">
        <v>1558</v>
      </c>
      <c r="E481" s="24" t="s">
        <v>1434</v>
      </c>
      <c r="F481" s="24">
        <v>1</v>
      </c>
      <c r="G481" s="24" t="s">
        <v>1308</v>
      </c>
      <c r="H481" s="24"/>
      <c r="I481" s="126"/>
      <c r="J481" s="161"/>
      <c r="K481" s="161"/>
      <c r="L481" s="161"/>
      <c r="M481" s="161"/>
      <c r="N481" s="160" t="s">
        <v>1566</v>
      </c>
      <c r="O481" s="161"/>
      <c r="P481" s="24"/>
      <c r="Q481" s="24"/>
      <c r="R481" s="126"/>
      <c r="S481" s="124"/>
      <c r="T481" s="126"/>
      <c r="U481" s="126"/>
      <c r="V481" s="161"/>
      <c r="W481" s="24"/>
      <c r="X481" s="126"/>
      <c r="Y481" s="24"/>
      <c r="Z481" s="24"/>
      <c r="AA481" s="24"/>
      <c r="AB481" s="24"/>
      <c r="AC481" s="113" t="s">
        <v>1567</v>
      </c>
      <c r="AD481" s="182"/>
      <c r="AE481" s="113">
        <v>54302000</v>
      </c>
      <c r="AF481" s="182"/>
      <c r="AG481" s="115" t="s">
        <v>115</v>
      </c>
      <c r="AH481" s="115" t="s">
        <v>1568</v>
      </c>
      <c r="AI481" s="115" t="s">
        <v>1569</v>
      </c>
      <c r="AJ481" s="24"/>
      <c r="AK481" s="24"/>
      <c r="AL481" s="24"/>
    </row>
    <row r="482" spans="1:38" ht="12.75" customHeight="1">
      <c r="A482" s="22">
        <v>480</v>
      </c>
      <c r="B482" s="24" t="s">
        <v>1570</v>
      </c>
      <c r="C482" s="24" t="s">
        <v>180</v>
      </c>
      <c r="D482" s="24" t="s">
        <v>1558</v>
      </c>
      <c r="E482" s="24" t="s">
        <v>1434</v>
      </c>
      <c r="F482" s="24">
        <v>1</v>
      </c>
      <c r="G482" s="24" t="s">
        <v>1308</v>
      </c>
      <c r="H482" s="24"/>
      <c r="I482" s="126"/>
      <c r="J482" s="161"/>
      <c r="K482" s="161"/>
      <c r="L482" s="161"/>
      <c r="M482" s="161"/>
      <c r="N482" s="160" t="s">
        <v>1570</v>
      </c>
      <c r="O482" s="161"/>
      <c r="P482" s="24"/>
      <c r="Q482" s="24"/>
      <c r="R482" s="126"/>
      <c r="S482" s="124"/>
      <c r="T482" s="126"/>
      <c r="U482" s="126"/>
      <c r="V482" s="161"/>
      <c r="W482" s="24"/>
      <c r="X482" s="126"/>
      <c r="Y482" s="24"/>
      <c r="Z482" s="24"/>
      <c r="AA482" s="24"/>
      <c r="AB482" s="24"/>
      <c r="AC482" s="113" t="s">
        <v>1571</v>
      </c>
      <c r="AD482" s="182"/>
      <c r="AE482" s="113">
        <v>238810007</v>
      </c>
      <c r="AF482" s="182"/>
      <c r="AG482" s="115" t="s">
        <v>115</v>
      </c>
      <c r="AH482" s="115" t="s">
        <v>1572</v>
      </c>
      <c r="AI482" s="115" t="s">
        <v>1573</v>
      </c>
      <c r="AJ482" s="24"/>
      <c r="AK482" s="24"/>
      <c r="AL482" s="24"/>
    </row>
    <row r="483" spans="1:38" ht="12.75" customHeight="1">
      <c r="A483" s="22">
        <v>481</v>
      </c>
      <c r="B483" s="24" t="s">
        <v>1574</v>
      </c>
      <c r="C483" s="24" t="s">
        <v>180</v>
      </c>
      <c r="D483" s="24" t="s">
        <v>1558</v>
      </c>
      <c r="E483" s="24" t="s">
        <v>1434</v>
      </c>
      <c r="F483" s="24">
        <v>1</v>
      </c>
      <c r="G483" s="24" t="s">
        <v>1308</v>
      </c>
      <c r="H483" s="24"/>
      <c r="I483" s="126"/>
      <c r="J483" s="161"/>
      <c r="K483" s="161"/>
      <c r="L483" s="161"/>
      <c r="M483" s="161"/>
      <c r="N483" s="160" t="s">
        <v>1574</v>
      </c>
      <c r="O483" s="161"/>
      <c r="P483" s="24"/>
      <c r="Q483" s="24"/>
      <c r="R483" s="126"/>
      <c r="S483" s="124"/>
      <c r="T483" s="126"/>
      <c r="U483" s="126"/>
      <c r="V483" s="161"/>
      <c r="W483" s="24"/>
      <c r="X483" s="126"/>
      <c r="Y483" s="24"/>
      <c r="Z483" s="24"/>
      <c r="AA483" s="24"/>
      <c r="AB483" s="24"/>
      <c r="AC483" s="121" t="s">
        <v>1575</v>
      </c>
      <c r="AD483" s="182"/>
      <c r="AE483" s="182">
        <v>53430007</v>
      </c>
      <c r="AF483" s="182"/>
      <c r="AG483" s="115" t="s">
        <v>115</v>
      </c>
      <c r="AH483" s="115" t="s">
        <v>1576</v>
      </c>
      <c r="AI483" s="115" t="s">
        <v>1577</v>
      </c>
      <c r="AJ483" s="24"/>
      <c r="AK483" s="24"/>
      <c r="AL483" s="24"/>
    </row>
    <row r="484" spans="1:38" ht="12.75" customHeight="1">
      <c r="A484" s="22">
        <v>482</v>
      </c>
      <c r="B484" s="24" t="s">
        <v>1578</v>
      </c>
      <c r="C484" s="24" t="s">
        <v>180</v>
      </c>
      <c r="D484" s="24" t="s">
        <v>1558</v>
      </c>
      <c r="E484" s="24" t="s">
        <v>1434</v>
      </c>
      <c r="F484" s="24">
        <v>1</v>
      </c>
      <c r="G484" s="24" t="s">
        <v>1308</v>
      </c>
      <c r="H484" s="24"/>
      <c r="I484" s="126"/>
      <c r="J484" s="161"/>
      <c r="K484" s="161"/>
      <c r="L484" s="161"/>
      <c r="M484" s="161"/>
      <c r="N484" s="160" t="s">
        <v>1578</v>
      </c>
      <c r="O484" s="161"/>
      <c r="P484" s="24"/>
      <c r="Q484" s="24"/>
      <c r="R484" s="126"/>
      <c r="S484" s="124"/>
      <c r="T484" s="126"/>
      <c r="U484" s="126"/>
      <c r="V484" s="161"/>
      <c r="W484" s="24"/>
      <c r="X484" s="126"/>
      <c r="Y484" s="24"/>
      <c r="Z484" s="24"/>
      <c r="AA484" s="24"/>
      <c r="AB484" s="24"/>
      <c r="AC484" s="175" t="s">
        <v>1579</v>
      </c>
      <c r="AD484" s="182"/>
      <c r="AE484" s="121">
        <v>52297004</v>
      </c>
      <c r="AF484" s="182"/>
      <c r="AG484" s="115" t="s">
        <v>115</v>
      </c>
      <c r="AH484" s="115" t="s">
        <v>1580</v>
      </c>
      <c r="AI484" s="115" t="s">
        <v>1581</v>
      </c>
      <c r="AJ484" s="24"/>
      <c r="AK484" s="24"/>
      <c r="AL484" s="24"/>
    </row>
    <row r="485" spans="1:38" ht="12.75" customHeight="1">
      <c r="A485" s="22">
        <v>483</v>
      </c>
      <c r="B485" s="24" t="s">
        <v>1582</v>
      </c>
      <c r="C485" s="24" t="s">
        <v>180</v>
      </c>
      <c r="D485" s="24" t="s">
        <v>1558</v>
      </c>
      <c r="E485" s="24" t="s">
        <v>1434</v>
      </c>
      <c r="F485" s="24">
        <v>1</v>
      </c>
      <c r="G485" s="24" t="s">
        <v>1308</v>
      </c>
      <c r="H485" s="24"/>
      <c r="I485" s="126"/>
      <c r="J485" s="161"/>
      <c r="K485" s="161"/>
      <c r="L485" s="161"/>
      <c r="M485" s="161"/>
      <c r="N485" s="160" t="s">
        <v>1582</v>
      </c>
      <c r="O485" s="161"/>
      <c r="P485" s="24"/>
      <c r="Q485" s="24"/>
      <c r="R485" s="126"/>
      <c r="S485" s="124"/>
      <c r="T485" s="126"/>
      <c r="U485" s="126"/>
      <c r="V485" s="161"/>
      <c r="W485" s="24"/>
      <c r="X485" s="126"/>
      <c r="Y485" s="24"/>
      <c r="Z485" s="24"/>
      <c r="AA485" s="24"/>
      <c r="AB485" s="24"/>
      <c r="AC485" s="233"/>
      <c r="AD485" s="233"/>
      <c r="AE485" s="233"/>
      <c r="AF485" s="233"/>
      <c r="AG485" s="115" t="s">
        <v>115</v>
      </c>
      <c r="AH485" s="115" t="s">
        <v>1583</v>
      </c>
      <c r="AI485" s="115" t="s">
        <v>1584</v>
      </c>
      <c r="AJ485" s="24"/>
      <c r="AK485" s="24"/>
      <c r="AL485" s="24"/>
    </row>
    <row r="486" spans="1:38" ht="12.75" customHeight="1">
      <c r="A486" s="22">
        <v>484</v>
      </c>
      <c r="B486" s="24" t="s">
        <v>405</v>
      </c>
      <c r="C486" s="24" t="s">
        <v>180</v>
      </c>
      <c r="D486" s="24" t="s">
        <v>1558</v>
      </c>
      <c r="E486" s="24" t="s">
        <v>1434</v>
      </c>
      <c r="F486" s="24">
        <v>1</v>
      </c>
      <c r="G486" s="24" t="s">
        <v>1308</v>
      </c>
      <c r="H486" s="24"/>
      <c r="I486" s="126"/>
      <c r="J486" s="161"/>
      <c r="K486" s="161"/>
      <c r="L486" s="161"/>
      <c r="M486" s="161"/>
      <c r="N486" s="160" t="s">
        <v>405</v>
      </c>
      <c r="O486" s="161"/>
      <c r="P486" s="24"/>
      <c r="Q486" s="24"/>
      <c r="R486" s="126"/>
      <c r="S486" s="124"/>
      <c r="T486" s="126"/>
      <c r="U486" s="126"/>
      <c r="V486" s="161"/>
      <c r="W486" s="24"/>
      <c r="X486" s="126"/>
      <c r="Y486" s="24"/>
      <c r="Z486" s="24"/>
      <c r="AA486" s="24"/>
      <c r="AB486" s="24"/>
      <c r="AC486" s="182"/>
      <c r="AD486" s="182"/>
      <c r="AE486" s="175" t="s">
        <v>1585</v>
      </c>
      <c r="AF486" s="182"/>
      <c r="AG486" s="115" t="s">
        <v>1586</v>
      </c>
      <c r="AH486" s="144" t="s">
        <v>406</v>
      </c>
      <c r="AI486" s="144" t="s">
        <v>407</v>
      </c>
      <c r="AJ486" s="24"/>
      <c r="AK486" s="24"/>
      <c r="AL486" s="24"/>
    </row>
    <row r="487" spans="1:38" ht="12.75" customHeight="1">
      <c r="A487" s="22">
        <v>485</v>
      </c>
      <c r="B487" s="24" t="s">
        <v>409</v>
      </c>
      <c r="C487" s="24" t="s">
        <v>96</v>
      </c>
      <c r="D487" s="24"/>
      <c r="E487" s="24" t="s">
        <v>1434</v>
      </c>
      <c r="F487" s="24">
        <v>1</v>
      </c>
      <c r="G487" s="24" t="s">
        <v>1308</v>
      </c>
      <c r="H487" s="24"/>
      <c r="I487" s="126"/>
      <c r="J487" s="265" t="s">
        <v>409</v>
      </c>
      <c r="K487" s="265" t="s">
        <v>1588</v>
      </c>
      <c r="L487" s="265" t="s">
        <v>1589</v>
      </c>
      <c r="M487" s="265" t="s">
        <v>111</v>
      </c>
      <c r="N487" s="266"/>
      <c r="O487" s="266"/>
      <c r="P487" s="263"/>
      <c r="Q487" s="24"/>
      <c r="R487" s="126"/>
      <c r="S487" s="265" t="s">
        <v>208</v>
      </c>
      <c r="T487" s="126"/>
      <c r="U487" s="126"/>
      <c r="V487" s="265" t="s">
        <v>115</v>
      </c>
      <c r="W487" s="24"/>
      <c r="X487" s="126"/>
      <c r="Y487" s="24"/>
      <c r="Z487" s="24"/>
      <c r="AA487" s="24"/>
      <c r="AB487" s="24"/>
      <c r="AC487" s="182"/>
      <c r="AD487" s="182"/>
      <c r="AE487" s="182"/>
      <c r="AF487" s="175" t="s">
        <v>1552</v>
      </c>
      <c r="AG487" s="144" t="s">
        <v>1586</v>
      </c>
      <c r="AH487" s="144" t="s">
        <v>415</v>
      </c>
      <c r="AI487" s="144" t="s">
        <v>416</v>
      </c>
      <c r="AJ487" s="24"/>
      <c r="AK487" s="24"/>
      <c r="AL487" s="24"/>
    </row>
    <row r="488" spans="1:38" ht="12.75" customHeight="1">
      <c r="A488" s="22">
        <v>486</v>
      </c>
      <c r="B488" s="24" t="s">
        <v>1590</v>
      </c>
      <c r="C488" s="24" t="s">
        <v>96</v>
      </c>
      <c r="D488" s="24"/>
      <c r="E488" s="24" t="s">
        <v>1434</v>
      </c>
      <c r="F488" s="24">
        <v>1</v>
      </c>
      <c r="G488" s="24" t="s">
        <v>1308</v>
      </c>
      <c r="H488" s="24"/>
      <c r="I488" s="126"/>
      <c r="J488" s="160" t="s">
        <v>1590</v>
      </c>
      <c r="K488" s="124" t="s">
        <v>1591</v>
      </c>
      <c r="L488" s="124" t="s">
        <v>1592</v>
      </c>
      <c r="M488" s="124" t="s">
        <v>202</v>
      </c>
      <c r="N488" s="126"/>
      <c r="O488" s="124"/>
      <c r="P488" s="24"/>
      <c r="Q488" s="24"/>
      <c r="R488" s="126"/>
      <c r="S488" s="124" t="s">
        <v>208</v>
      </c>
      <c r="T488" s="126"/>
      <c r="U488" s="126"/>
      <c r="V488" s="124" t="s">
        <v>1277</v>
      </c>
      <c r="W488" s="24"/>
      <c r="X488" s="126"/>
      <c r="Y488" s="24"/>
      <c r="Z488" s="24"/>
      <c r="AA488" s="24"/>
      <c r="AB488" s="24"/>
      <c r="AC488" s="233"/>
      <c r="AD488" s="233"/>
      <c r="AE488" s="233"/>
      <c r="AF488" s="233"/>
      <c r="AG488" s="115" t="s">
        <v>115</v>
      </c>
      <c r="AH488" s="115" t="s">
        <v>1593</v>
      </c>
      <c r="AI488" s="115" t="s">
        <v>1594</v>
      </c>
      <c r="AJ488" s="24"/>
      <c r="AK488" s="24"/>
      <c r="AL488" s="24"/>
    </row>
    <row r="489" spans="1:38" ht="12.75" customHeight="1">
      <c r="A489" s="22">
        <v>487</v>
      </c>
      <c r="B489" s="24" t="s">
        <v>1468</v>
      </c>
      <c r="C489" s="24" t="s">
        <v>180</v>
      </c>
      <c r="D489" s="24" t="s">
        <v>1590</v>
      </c>
      <c r="E489" s="24" t="s">
        <v>1434</v>
      </c>
      <c r="F489" s="24">
        <v>1</v>
      </c>
      <c r="G489" s="24" t="s">
        <v>1308</v>
      </c>
      <c r="H489" s="24"/>
      <c r="I489" s="126"/>
      <c r="J489" s="161"/>
      <c r="K489" s="124"/>
      <c r="L489" s="124"/>
      <c r="M489" s="161"/>
      <c r="N489" s="126" t="s">
        <v>1468</v>
      </c>
      <c r="O489" s="161"/>
      <c r="P489" s="24"/>
      <c r="Q489" s="24"/>
      <c r="R489" s="126"/>
      <c r="S489" s="124"/>
      <c r="T489" s="126"/>
      <c r="U489" s="126"/>
      <c r="V489" s="161"/>
      <c r="W489" s="24"/>
      <c r="X489" s="126"/>
      <c r="Y489" s="24"/>
      <c r="Z489" s="24"/>
      <c r="AA489" s="24"/>
      <c r="AB489" s="24"/>
      <c r="AC489" s="182"/>
      <c r="AD489" s="182"/>
      <c r="AE489" s="182">
        <v>385660001</v>
      </c>
      <c r="AF489" s="182"/>
      <c r="AG489" s="115" t="s">
        <v>115</v>
      </c>
      <c r="AH489" s="115" t="s">
        <v>1469</v>
      </c>
      <c r="AI489" s="115" t="s">
        <v>1470</v>
      </c>
      <c r="AJ489" s="24"/>
      <c r="AK489" s="24"/>
      <c r="AL489" s="24"/>
    </row>
    <row r="490" spans="1:38" ht="12.75" customHeight="1">
      <c r="A490" s="22">
        <v>488</v>
      </c>
      <c r="B490" s="24" t="s">
        <v>1471</v>
      </c>
      <c r="C490" s="24" t="s">
        <v>180</v>
      </c>
      <c r="D490" s="24" t="s">
        <v>1590</v>
      </c>
      <c r="E490" s="24" t="s">
        <v>1434</v>
      </c>
      <c r="F490" s="24">
        <v>1</v>
      </c>
      <c r="G490" s="24" t="s">
        <v>1308</v>
      </c>
      <c r="H490" s="24"/>
      <c r="I490" s="126"/>
      <c r="J490" s="161"/>
      <c r="K490" s="124"/>
      <c r="L490" s="124"/>
      <c r="M490" s="161"/>
      <c r="N490" s="160" t="s">
        <v>1471</v>
      </c>
      <c r="O490" s="161"/>
      <c r="P490" s="24"/>
      <c r="Q490" s="24"/>
      <c r="R490" s="126"/>
      <c r="S490" s="124"/>
      <c r="T490" s="126"/>
      <c r="U490" s="126"/>
      <c r="V490" s="161"/>
      <c r="W490" s="24"/>
      <c r="X490" s="126"/>
      <c r="Y490" s="24"/>
      <c r="Z490" s="24"/>
      <c r="AA490" s="24"/>
      <c r="AB490" s="24"/>
      <c r="AC490" s="182"/>
      <c r="AD490" s="182"/>
      <c r="AE490" s="182">
        <v>17621005</v>
      </c>
      <c r="AF490" s="182"/>
      <c r="AG490" s="115" t="s">
        <v>115</v>
      </c>
      <c r="AH490" s="115" t="s">
        <v>1472</v>
      </c>
      <c r="AI490" s="115" t="s">
        <v>1473</v>
      </c>
      <c r="AJ490" s="24"/>
      <c r="AK490" s="24"/>
      <c r="AL490" s="24"/>
    </row>
    <row r="491" spans="1:38" ht="12.75" customHeight="1">
      <c r="A491" s="22">
        <v>489</v>
      </c>
      <c r="B491" s="24" t="s">
        <v>1474</v>
      </c>
      <c r="C491" s="24" t="s">
        <v>180</v>
      </c>
      <c r="D491" s="24" t="s">
        <v>1590</v>
      </c>
      <c r="E491" s="24" t="s">
        <v>1434</v>
      </c>
      <c r="F491" s="24">
        <v>1</v>
      </c>
      <c r="G491" s="24" t="s">
        <v>1308</v>
      </c>
      <c r="H491" s="24"/>
      <c r="I491" s="126"/>
      <c r="J491" s="161"/>
      <c r="K491" s="124"/>
      <c r="L491" s="124"/>
      <c r="M491" s="161"/>
      <c r="N491" s="160" t="s">
        <v>1474</v>
      </c>
      <c r="O491" s="161"/>
      <c r="P491" s="24"/>
      <c r="Q491" s="24"/>
      <c r="R491" s="126"/>
      <c r="S491" s="124"/>
      <c r="T491" s="126"/>
      <c r="U491" s="126"/>
      <c r="V491" s="161"/>
      <c r="W491" s="24"/>
      <c r="X491" s="126"/>
      <c r="Y491" s="24"/>
      <c r="Z491" s="24"/>
      <c r="AA491" s="24"/>
      <c r="AB491" s="24"/>
      <c r="AC491" s="182"/>
      <c r="AD491" s="182"/>
      <c r="AE491" s="118">
        <v>263654008</v>
      </c>
      <c r="AF491" s="182"/>
      <c r="AG491" s="115" t="s">
        <v>115</v>
      </c>
      <c r="AH491" s="115" t="s">
        <v>1475</v>
      </c>
      <c r="AI491" s="115" t="s">
        <v>1476</v>
      </c>
      <c r="AJ491" s="24"/>
      <c r="AK491" s="24"/>
      <c r="AL491" s="24"/>
    </row>
    <row r="492" spans="1:38" ht="12.75" customHeight="1">
      <c r="A492" s="22">
        <v>490</v>
      </c>
      <c r="B492" s="24" t="s">
        <v>1595</v>
      </c>
      <c r="C492" s="24" t="s">
        <v>96</v>
      </c>
      <c r="D492" s="24"/>
      <c r="E492" s="24" t="s">
        <v>1434</v>
      </c>
      <c r="F492" s="24">
        <v>1</v>
      </c>
      <c r="G492" s="24" t="s">
        <v>1308</v>
      </c>
      <c r="H492" s="24"/>
      <c r="I492" s="126"/>
      <c r="J492" s="161" t="s">
        <v>1478</v>
      </c>
      <c r="K492" s="124" t="s">
        <v>1596</v>
      </c>
      <c r="L492" s="124" t="s">
        <v>1480</v>
      </c>
      <c r="M492" s="161" t="s">
        <v>238</v>
      </c>
      <c r="N492" s="160"/>
      <c r="O492" s="161"/>
      <c r="P492" s="24"/>
      <c r="Q492" s="24"/>
      <c r="R492" s="126"/>
      <c r="S492" s="124" t="s">
        <v>208</v>
      </c>
      <c r="T492" s="126"/>
      <c r="U492" s="126"/>
      <c r="V492" s="161" t="s">
        <v>115</v>
      </c>
      <c r="W492" s="24"/>
      <c r="X492" s="126"/>
      <c r="Y492" s="24"/>
      <c r="Z492" s="24"/>
      <c r="AA492" s="24"/>
      <c r="AB492" s="24"/>
      <c r="AC492" s="182"/>
      <c r="AD492" s="182"/>
      <c r="AE492" s="118">
        <v>271911005</v>
      </c>
      <c r="AF492" s="182"/>
      <c r="AG492" s="115" t="s">
        <v>115</v>
      </c>
      <c r="AH492" s="115" t="s">
        <v>1597</v>
      </c>
      <c r="AI492" s="115" t="s">
        <v>1598</v>
      </c>
      <c r="AJ492" s="24"/>
      <c r="AK492" s="24"/>
      <c r="AL492" s="24"/>
    </row>
    <row r="493" spans="1:38" ht="12.75" customHeight="1">
      <c r="A493" s="22">
        <v>491</v>
      </c>
      <c r="B493" s="24" t="s">
        <v>1599</v>
      </c>
      <c r="C493" s="24" t="s">
        <v>180</v>
      </c>
      <c r="D493" s="24" t="s">
        <v>1595</v>
      </c>
      <c r="E493" s="24" t="s">
        <v>1434</v>
      </c>
      <c r="F493" s="24">
        <v>1</v>
      </c>
      <c r="G493" s="24" t="s">
        <v>1308</v>
      </c>
      <c r="H493" s="24"/>
      <c r="I493" s="126"/>
      <c r="J493" s="161"/>
      <c r="K493" s="161"/>
      <c r="L493" s="161"/>
      <c r="M493" s="161"/>
      <c r="N493" s="160" t="s">
        <v>1599</v>
      </c>
      <c r="O493" s="161"/>
      <c r="P493" s="24"/>
      <c r="Q493" s="24"/>
      <c r="R493" s="126"/>
      <c r="S493" s="124"/>
      <c r="T493" s="126"/>
      <c r="U493" s="126"/>
      <c r="V493" s="161"/>
      <c r="W493" s="24"/>
      <c r="X493" s="126"/>
      <c r="Y493" s="24"/>
      <c r="Z493" s="24"/>
      <c r="AA493" s="24"/>
      <c r="AB493" s="24"/>
      <c r="AC493" s="182"/>
      <c r="AD493" s="182"/>
      <c r="AE493" s="121">
        <v>271860004</v>
      </c>
      <c r="AF493" s="182"/>
      <c r="AG493" s="115" t="s">
        <v>115</v>
      </c>
      <c r="AH493" s="115" t="s">
        <v>1600</v>
      </c>
      <c r="AI493" s="115" t="s">
        <v>1601</v>
      </c>
      <c r="AJ493" s="24"/>
      <c r="AK493" s="24"/>
      <c r="AL493" s="24"/>
    </row>
    <row r="494" spans="1:38" ht="12.75" customHeight="1">
      <c r="A494" s="22">
        <v>492</v>
      </c>
      <c r="B494" s="24" t="s">
        <v>1602</v>
      </c>
      <c r="C494" s="24" t="s">
        <v>180</v>
      </c>
      <c r="D494" s="24" t="s">
        <v>1595</v>
      </c>
      <c r="E494" s="24" t="s">
        <v>1434</v>
      </c>
      <c r="F494" s="24">
        <v>1</v>
      </c>
      <c r="G494" s="24" t="s">
        <v>1308</v>
      </c>
      <c r="H494" s="24"/>
      <c r="I494" s="126"/>
      <c r="J494" s="161"/>
      <c r="K494" s="161"/>
      <c r="L494" s="161"/>
      <c r="M494" s="161"/>
      <c r="N494" s="160" t="s">
        <v>1602</v>
      </c>
      <c r="O494" s="161"/>
      <c r="P494" s="24"/>
      <c r="Q494" s="24"/>
      <c r="R494" s="126"/>
      <c r="S494" s="124"/>
      <c r="T494" s="126"/>
      <c r="U494" s="126"/>
      <c r="V494" s="161"/>
      <c r="W494" s="24"/>
      <c r="X494" s="126"/>
      <c r="Y494" s="24"/>
      <c r="Z494" s="24"/>
      <c r="AA494" s="24"/>
      <c r="AB494" s="24"/>
      <c r="AC494" s="182"/>
      <c r="AD494" s="182"/>
      <c r="AE494" s="182"/>
      <c r="AF494" s="182"/>
      <c r="AG494" s="115" t="s">
        <v>115</v>
      </c>
      <c r="AH494" s="115" t="s">
        <v>1603</v>
      </c>
      <c r="AI494" s="115" t="s">
        <v>1604</v>
      </c>
      <c r="AJ494" s="24"/>
      <c r="AK494" s="24"/>
      <c r="AL494" s="24"/>
    </row>
    <row r="495" spans="1:38" ht="12.75" customHeight="1">
      <c r="A495" s="22">
        <v>493</v>
      </c>
      <c r="B495" s="24" t="s">
        <v>1605</v>
      </c>
      <c r="C495" s="24" t="s">
        <v>180</v>
      </c>
      <c r="D495" s="24" t="s">
        <v>1595</v>
      </c>
      <c r="E495" s="24" t="s">
        <v>1434</v>
      </c>
      <c r="F495" s="24">
        <v>1</v>
      </c>
      <c r="G495" s="24" t="s">
        <v>1308</v>
      </c>
      <c r="H495" s="24"/>
      <c r="I495" s="126"/>
      <c r="J495" s="161"/>
      <c r="K495" s="161"/>
      <c r="L495" s="161"/>
      <c r="M495" s="161"/>
      <c r="N495" s="160" t="s">
        <v>1605</v>
      </c>
      <c r="O495" s="161"/>
      <c r="P495" s="24"/>
      <c r="Q495" s="24"/>
      <c r="R495" s="126"/>
      <c r="S495" s="124"/>
      <c r="T495" s="126"/>
      <c r="U495" s="126"/>
      <c r="V495" s="161"/>
      <c r="W495" s="24"/>
      <c r="X495" s="126"/>
      <c r="Y495" s="24"/>
      <c r="Z495" s="24"/>
      <c r="AA495" s="24"/>
      <c r="AB495" s="24"/>
      <c r="AC495" s="182"/>
      <c r="AD495" s="182"/>
      <c r="AE495" s="182"/>
      <c r="AF495" s="182"/>
      <c r="AG495" s="115" t="s">
        <v>115</v>
      </c>
      <c r="AH495" s="115" t="s">
        <v>1606</v>
      </c>
      <c r="AI495" s="115" t="s">
        <v>1607</v>
      </c>
      <c r="AJ495" s="24"/>
      <c r="AK495" s="24"/>
      <c r="AL495" s="24"/>
    </row>
    <row r="496" spans="1:38" ht="12.75" customHeight="1">
      <c r="A496" s="22">
        <v>494</v>
      </c>
      <c r="B496" s="24" t="s">
        <v>1608</v>
      </c>
      <c r="C496" s="24" t="s">
        <v>180</v>
      </c>
      <c r="D496" s="24" t="s">
        <v>1595</v>
      </c>
      <c r="E496" s="24" t="s">
        <v>1434</v>
      </c>
      <c r="F496" s="24">
        <v>1</v>
      </c>
      <c r="G496" s="24" t="s">
        <v>1308</v>
      </c>
      <c r="H496" s="24"/>
      <c r="I496" s="126"/>
      <c r="J496" s="161"/>
      <c r="K496" s="161"/>
      <c r="L496" s="161"/>
      <c r="M496" s="161"/>
      <c r="N496" s="160" t="s">
        <v>1608</v>
      </c>
      <c r="O496" s="161"/>
      <c r="P496" s="24"/>
      <c r="Q496" s="24"/>
      <c r="R496" s="126"/>
      <c r="S496" s="124"/>
      <c r="T496" s="126"/>
      <c r="U496" s="126"/>
      <c r="V496" s="161"/>
      <c r="W496" s="24"/>
      <c r="X496" s="126"/>
      <c r="Y496" s="24"/>
      <c r="Z496" s="24"/>
      <c r="AA496" s="24"/>
      <c r="AB496" s="24"/>
      <c r="AC496" s="182"/>
      <c r="AD496" s="182"/>
      <c r="AE496" s="182"/>
      <c r="AF496" s="182"/>
      <c r="AG496" s="115" t="s">
        <v>115</v>
      </c>
      <c r="AH496" s="115" t="s">
        <v>1609</v>
      </c>
      <c r="AI496" s="115" t="s">
        <v>1610</v>
      </c>
      <c r="AJ496" s="24"/>
      <c r="AK496" s="24"/>
      <c r="AL496" s="24"/>
    </row>
    <row r="497" spans="1:38" ht="12.75" customHeight="1">
      <c r="A497" s="22">
        <v>495</v>
      </c>
      <c r="B497" s="24" t="s">
        <v>405</v>
      </c>
      <c r="C497" s="24" t="s">
        <v>180</v>
      </c>
      <c r="D497" s="24" t="s">
        <v>1595</v>
      </c>
      <c r="E497" s="24" t="s">
        <v>1434</v>
      </c>
      <c r="F497" s="24">
        <v>1</v>
      </c>
      <c r="G497" s="24" t="s">
        <v>1308</v>
      </c>
      <c r="H497" s="24"/>
      <c r="I497" s="126"/>
      <c r="J497" s="161"/>
      <c r="K497" s="161"/>
      <c r="L497" s="161"/>
      <c r="M497" s="161"/>
      <c r="N497" s="160" t="s">
        <v>405</v>
      </c>
      <c r="O497" s="161"/>
      <c r="P497" s="24"/>
      <c r="Q497" s="24"/>
      <c r="R497" s="126"/>
      <c r="S497" s="124"/>
      <c r="T497" s="126"/>
      <c r="U497" s="126"/>
      <c r="V497" s="161"/>
      <c r="W497" s="24"/>
      <c r="X497" s="126"/>
      <c r="Y497" s="24"/>
      <c r="Z497" s="24"/>
      <c r="AA497" s="24"/>
      <c r="AB497" s="24"/>
      <c r="AC497" s="182"/>
      <c r="AD497" s="182"/>
      <c r="AE497" s="182"/>
      <c r="AF497" s="182"/>
      <c r="AG497" s="115" t="s">
        <v>1611</v>
      </c>
      <c r="AH497" s="144" t="s">
        <v>406</v>
      </c>
      <c r="AI497" s="144" t="s">
        <v>407</v>
      </c>
      <c r="AJ497" s="24"/>
      <c r="AK497" s="24"/>
      <c r="AL497" s="24"/>
    </row>
    <row r="498" spans="1:38" ht="12.75" customHeight="1">
      <c r="A498" s="22">
        <v>496</v>
      </c>
      <c r="B498" s="24" t="s">
        <v>409</v>
      </c>
      <c r="C498" s="24" t="s">
        <v>96</v>
      </c>
      <c r="D498" s="24"/>
      <c r="E498" s="24" t="s">
        <v>1434</v>
      </c>
      <c r="F498" s="24">
        <v>1</v>
      </c>
      <c r="G498" s="24" t="s">
        <v>1308</v>
      </c>
      <c r="H498" s="24"/>
      <c r="I498" s="126"/>
      <c r="J498" s="265" t="s">
        <v>409</v>
      </c>
      <c r="K498" s="265" t="s">
        <v>1613</v>
      </c>
      <c r="L498" s="265" t="s">
        <v>1614</v>
      </c>
      <c r="M498" s="265" t="s">
        <v>111</v>
      </c>
      <c r="N498" s="266"/>
      <c r="O498" s="266"/>
      <c r="P498" s="263"/>
      <c r="Q498" s="24"/>
      <c r="R498" s="126"/>
      <c r="S498" s="265" t="s">
        <v>208</v>
      </c>
      <c r="T498" s="126"/>
      <c r="U498" s="126"/>
      <c r="V498" s="265" t="s">
        <v>115</v>
      </c>
      <c r="W498" s="24"/>
      <c r="X498" s="126"/>
      <c r="Y498" s="24"/>
      <c r="Z498" s="24"/>
      <c r="AA498" s="24"/>
      <c r="AB498" s="24"/>
      <c r="AC498" s="182"/>
      <c r="AD498" s="182"/>
      <c r="AE498" s="182"/>
      <c r="AF498" s="182"/>
      <c r="AG498" s="144" t="s">
        <v>1611</v>
      </c>
      <c r="AH498" s="144" t="s">
        <v>415</v>
      </c>
      <c r="AI498" s="144" t="s">
        <v>416</v>
      </c>
      <c r="AJ498" s="24"/>
      <c r="AK498" s="24"/>
      <c r="AL498" s="24"/>
    </row>
    <row r="499" spans="1:38" ht="12.75" customHeight="1">
      <c r="A499" s="22">
        <v>497</v>
      </c>
      <c r="B499" s="24" t="s">
        <v>1615</v>
      </c>
      <c r="C499" s="24" t="s">
        <v>96</v>
      </c>
      <c r="D499" s="24"/>
      <c r="E499" s="24" t="s">
        <v>1434</v>
      </c>
      <c r="F499" s="24">
        <v>1</v>
      </c>
      <c r="G499" s="24" t="s">
        <v>1308</v>
      </c>
      <c r="H499" s="24"/>
      <c r="I499" s="126"/>
      <c r="J499" s="160" t="s">
        <v>1615</v>
      </c>
      <c r="K499" s="124" t="s">
        <v>1616</v>
      </c>
      <c r="L499" s="124" t="s">
        <v>1617</v>
      </c>
      <c r="M499" s="124" t="s">
        <v>202</v>
      </c>
      <c r="N499" s="126"/>
      <c r="O499" s="124"/>
      <c r="P499" s="24"/>
      <c r="Q499" s="24"/>
      <c r="R499" s="126"/>
      <c r="S499" s="124" t="s">
        <v>208</v>
      </c>
      <c r="T499" s="126"/>
      <c r="U499" s="126"/>
      <c r="V499" s="124" t="s">
        <v>1277</v>
      </c>
      <c r="W499" s="24"/>
      <c r="X499" s="126"/>
      <c r="Y499" s="24"/>
      <c r="Z499" s="24"/>
      <c r="AA499" s="24"/>
      <c r="AB499" s="24"/>
      <c r="AC499" s="182"/>
      <c r="AD499" s="182"/>
      <c r="AE499" s="182"/>
      <c r="AF499" s="182"/>
      <c r="AG499" s="115" t="s">
        <v>115</v>
      </c>
      <c r="AH499" s="115" t="s">
        <v>1618</v>
      </c>
      <c r="AI499" s="115" t="s">
        <v>1619</v>
      </c>
      <c r="AJ499" s="24"/>
      <c r="AK499" s="24"/>
      <c r="AL499" s="24"/>
    </row>
    <row r="500" spans="1:38" ht="12.75" customHeight="1">
      <c r="A500" s="22">
        <v>498</v>
      </c>
      <c r="B500" s="24" t="s">
        <v>1468</v>
      </c>
      <c r="C500" s="24" t="s">
        <v>180</v>
      </c>
      <c r="D500" s="24" t="s">
        <v>1615</v>
      </c>
      <c r="E500" s="24" t="s">
        <v>1434</v>
      </c>
      <c r="F500" s="24">
        <v>1</v>
      </c>
      <c r="G500" s="24" t="s">
        <v>1308</v>
      </c>
      <c r="H500" s="24"/>
      <c r="I500" s="126"/>
      <c r="J500" s="161"/>
      <c r="K500" s="124"/>
      <c r="L500" s="124"/>
      <c r="M500" s="124"/>
      <c r="N500" s="126" t="s">
        <v>1468</v>
      </c>
      <c r="O500" s="124"/>
      <c r="P500" s="24"/>
      <c r="Q500" s="24"/>
      <c r="R500" s="126"/>
      <c r="S500" s="124"/>
      <c r="T500" s="126"/>
      <c r="U500" s="126"/>
      <c r="V500" s="124"/>
      <c r="W500" s="24"/>
      <c r="X500" s="126"/>
      <c r="Y500" s="24"/>
      <c r="Z500" s="24"/>
      <c r="AA500" s="24"/>
      <c r="AB500" s="24"/>
      <c r="AC500" s="182"/>
      <c r="AD500" s="182"/>
      <c r="AE500" s="182">
        <v>385660001</v>
      </c>
      <c r="AF500" s="182"/>
      <c r="AG500" s="115" t="s">
        <v>115</v>
      </c>
      <c r="AH500" s="115" t="s">
        <v>1469</v>
      </c>
      <c r="AI500" s="115" t="s">
        <v>1470</v>
      </c>
      <c r="AJ500" s="24"/>
      <c r="AK500" s="24"/>
      <c r="AL500" s="24"/>
    </row>
    <row r="501" spans="1:38" ht="12.75" customHeight="1">
      <c r="A501" s="22">
        <v>499</v>
      </c>
      <c r="B501" s="24" t="s">
        <v>1471</v>
      </c>
      <c r="C501" s="24" t="s">
        <v>180</v>
      </c>
      <c r="D501" s="24" t="s">
        <v>1615</v>
      </c>
      <c r="E501" s="24" t="s">
        <v>1434</v>
      </c>
      <c r="F501" s="24">
        <v>1</v>
      </c>
      <c r="G501" s="24" t="s">
        <v>1308</v>
      </c>
      <c r="H501" s="24"/>
      <c r="I501" s="126"/>
      <c r="J501" s="161"/>
      <c r="K501" s="124"/>
      <c r="L501" s="124"/>
      <c r="M501" s="124"/>
      <c r="N501" s="160" t="s">
        <v>1471</v>
      </c>
      <c r="O501" s="124"/>
      <c r="P501" s="24"/>
      <c r="Q501" s="24"/>
      <c r="R501" s="126"/>
      <c r="S501" s="124"/>
      <c r="T501" s="126"/>
      <c r="U501" s="126"/>
      <c r="V501" s="124"/>
      <c r="W501" s="24"/>
      <c r="X501" s="126"/>
      <c r="Y501" s="24"/>
      <c r="Z501" s="24"/>
      <c r="AA501" s="24"/>
      <c r="AB501" s="24"/>
      <c r="AC501" s="182"/>
      <c r="AD501" s="182"/>
      <c r="AE501" s="182">
        <v>17621005</v>
      </c>
      <c r="AF501" s="182"/>
      <c r="AG501" s="115" t="s">
        <v>115</v>
      </c>
      <c r="AH501" s="115" t="s">
        <v>1472</v>
      </c>
      <c r="AI501" s="115" t="s">
        <v>1473</v>
      </c>
      <c r="AJ501" s="24"/>
      <c r="AK501" s="24"/>
      <c r="AL501" s="24"/>
    </row>
    <row r="502" spans="1:38" ht="12.75" customHeight="1">
      <c r="A502" s="22">
        <v>500</v>
      </c>
      <c r="B502" s="24" t="s">
        <v>1474</v>
      </c>
      <c r="C502" s="24" t="s">
        <v>180</v>
      </c>
      <c r="D502" s="24" t="s">
        <v>1615</v>
      </c>
      <c r="E502" s="24" t="s">
        <v>1434</v>
      </c>
      <c r="F502" s="24">
        <v>1</v>
      </c>
      <c r="G502" s="24" t="s">
        <v>1308</v>
      </c>
      <c r="H502" s="24"/>
      <c r="I502" s="126"/>
      <c r="J502" s="161"/>
      <c r="K502" s="124"/>
      <c r="L502" s="124"/>
      <c r="M502" s="124"/>
      <c r="N502" s="160" t="s">
        <v>1474</v>
      </c>
      <c r="O502" s="124"/>
      <c r="P502" s="24"/>
      <c r="Q502" s="24"/>
      <c r="R502" s="126"/>
      <c r="S502" s="124"/>
      <c r="T502" s="126"/>
      <c r="U502" s="126"/>
      <c r="V502" s="124"/>
      <c r="W502" s="24"/>
      <c r="X502" s="126"/>
      <c r="Y502" s="24"/>
      <c r="Z502" s="24"/>
      <c r="AA502" s="24"/>
      <c r="AB502" s="24"/>
      <c r="AC502" s="182"/>
      <c r="AD502" s="182"/>
      <c r="AE502" s="113">
        <v>263654008</v>
      </c>
      <c r="AF502" s="182"/>
      <c r="AG502" s="115" t="s">
        <v>115</v>
      </c>
      <c r="AH502" s="115" t="s">
        <v>1475</v>
      </c>
      <c r="AI502" s="115" t="s">
        <v>1476</v>
      </c>
      <c r="AJ502" s="24"/>
      <c r="AK502" s="24"/>
      <c r="AL502" s="24"/>
    </row>
    <row r="503" spans="1:38" ht="12.75" customHeight="1">
      <c r="A503" s="22">
        <v>501</v>
      </c>
      <c r="B503" s="24" t="s">
        <v>1620</v>
      </c>
      <c r="C503" s="24" t="s">
        <v>96</v>
      </c>
      <c r="D503" s="24"/>
      <c r="E503" s="24" t="s">
        <v>1434</v>
      </c>
      <c r="F503" s="24">
        <v>1</v>
      </c>
      <c r="G503" s="24" t="s">
        <v>1308</v>
      </c>
      <c r="H503" s="24"/>
      <c r="I503" s="126"/>
      <c r="J503" s="161" t="s">
        <v>1478</v>
      </c>
      <c r="K503" s="124" t="s">
        <v>1621</v>
      </c>
      <c r="L503" s="124" t="s">
        <v>1480</v>
      </c>
      <c r="M503" s="124" t="s">
        <v>238</v>
      </c>
      <c r="N503" s="126"/>
      <c r="O503" s="124"/>
      <c r="P503" s="24"/>
      <c r="Q503" s="24"/>
      <c r="R503" s="126"/>
      <c r="S503" s="124" t="s">
        <v>208</v>
      </c>
      <c r="T503" s="126"/>
      <c r="U503" s="126"/>
      <c r="V503" s="124" t="s">
        <v>115</v>
      </c>
      <c r="W503" s="24"/>
      <c r="X503" s="126"/>
      <c r="Y503" s="24"/>
      <c r="Z503" s="24"/>
      <c r="AA503" s="24"/>
      <c r="AB503" s="24"/>
      <c r="AC503" s="233"/>
      <c r="AD503" s="233"/>
      <c r="AE503" s="233"/>
      <c r="AF503" s="233"/>
      <c r="AG503" s="115" t="s">
        <v>115</v>
      </c>
      <c r="AH503" s="115" t="s">
        <v>1622</v>
      </c>
      <c r="AI503" s="115" t="s">
        <v>1623</v>
      </c>
      <c r="AJ503" s="24"/>
      <c r="AK503" s="24"/>
      <c r="AL503" s="24"/>
    </row>
    <row r="504" spans="1:38" ht="12.75" customHeight="1">
      <c r="A504" s="22">
        <v>502</v>
      </c>
      <c r="B504" s="24" t="s">
        <v>1624</v>
      </c>
      <c r="C504" s="24" t="s">
        <v>180</v>
      </c>
      <c r="D504" s="24" t="s">
        <v>1620</v>
      </c>
      <c r="E504" s="24" t="s">
        <v>1434</v>
      </c>
      <c r="F504" s="24">
        <v>1</v>
      </c>
      <c r="G504" s="24" t="s">
        <v>1308</v>
      </c>
      <c r="H504" s="24"/>
      <c r="I504" s="126"/>
      <c r="J504" s="161"/>
      <c r="K504" s="161"/>
      <c r="L504" s="161"/>
      <c r="M504" s="161"/>
      <c r="N504" s="126" t="s">
        <v>1624</v>
      </c>
      <c r="O504" s="161"/>
      <c r="P504" s="24"/>
      <c r="Q504" s="24"/>
      <c r="R504" s="126"/>
      <c r="S504" s="124"/>
      <c r="T504" s="126"/>
      <c r="U504" s="126"/>
      <c r="V504" s="161"/>
      <c r="W504" s="24"/>
      <c r="X504" s="126"/>
      <c r="Y504" s="24"/>
      <c r="Z504" s="24"/>
      <c r="AA504" s="24"/>
      <c r="AB504" s="24"/>
      <c r="AC504" s="233"/>
      <c r="AD504" s="233"/>
      <c r="AE504" s="233"/>
      <c r="AF504" s="233"/>
      <c r="AG504" s="115" t="s">
        <v>115</v>
      </c>
      <c r="AH504" s="115" t="s">
        <v>1625</v>
      </c>
      <c r="AI504" s="115" t="s">
        <v>1626</v>
      </c>
      <c r="AJ504" s="24"/>
      <c r="AK504" s="24"/>
      <c r="AL504" s="24"/>
    </row>
    <row r="505" spans="1:38" ht="12.75" customHeight="1">
      <c r="A505" s="22">
        <v>503</v>
      </c>
      <c r="B505" s="24" t="s">
        <v>239</v>
      </c>
      <c r="C505" s="24" t="s">
        <v>180</v>
      </c>
      <c r="D505" s="24" t="s">
        <v>1620</v>
      </c>
      <c r="E505" s="24" t="s">
        <v>1434</v>
      </c>
      <c r="F505" s="24">
        <v>1</v>
      </c>
      <c r="G505" s="24" t="s">
        <v>1308</v>
      </c>
      <c r="H505" s="24"/>
      <c r="I505" s="126"/>
      <c r="J505" s="161"/>
      <c r="K505" s="161"/>
      <c r="L505" s="161"/>
      <c r="M505" s="161"/>
      <c r="N505" s="160" t="s">
        <v>239</v>
      </c>
      <c r="O505" s="161"/>
      <c r="P505" s="24"/>
      <c r="Q505" s="24"/>
      <c r="R505" s="126"/>
      <c r="S505" s="124"/>
      <c r="T505" s="126"/>
      <c r="U505" s="126"/>
      <c r="V505" s="161"/>
      <c r="W505" s="24"/>
      <c r="X505" s="126"/>
      <c r="Y505" s="24"/>
      <c r="Z505" s="24"/>
      <c r="AA505" s="24"/>
      <c r="AB505" s="24"/>
      <c r="AC505" s="175" t="s">
        <v>1627</v>
      </c>
      <c r="AD505" s="182"/>
      <c r="AE505" s="113">
        <v>289567003</v>
      </c>
      <c r="AF505" s="182"/>
      <c r="AG505" s="115" t="s">
        <v>115</v>
      </c>
      <c r="AH505" s="115" t="s">
        <v>240</v>
      </c>
      <c r="AI505" s="115" t="s">
        <v>241</v>
      </c>
      <c r="AJ505" s="24"/>
      <c r="AK505" s="24"/>
      <c r="AL505" s="24"/>
    </row>
    <row r="506" spans="1:38" ht="12.75" customHeight="1">
      <c r="A506" s="22">
        <v>504</v>
      </c>
      <c r="B506" s="24" t="s">
        <v>1628</v>
      </c>
      <c r="C506" s="24" t="s">
        <v>180</v>
      </c>
      <c r="D506" s="24" t="s">
        <v>1620</v>
      </c>
      <c r="E506" s="24" t="s">
        <v>1434</v>
      </c>
      <c r="F506" s="24">
        <v>1</v>
      </c>
      <c r="G506" s="24" t="s">
        <v>1308</v>
      </c>
      <c r="H506" s="24"/>
      <c r="I506" s="126"/>
      <c r="J506" s="161"/>
      <c r="K506" s="161"/>
      <c r="L506" s="161"/>
      <c r="M506" s="161"/>
      <c r="N506" s="160" t="s">
        <v>1628</v>
      </c>
      <c r="O506" s="161"/>
      <c r="P506" s="24"/>
      <c r="Q506" s="24"/>
      <c r="R506" s="126"/>
      <c r="S506" s="124"/>
      <c r="T506" s="126"/>
      <c r="U506" s="126"/>
      <c r="V506" s="161"/>
      <c r="W506" s="24"/>
      <c r="X506" s="126"/>
      <c r="Y506" s="24"/>
      <c r="Z506" s="24"/>
      <c r="AA506" s="24"/>
      <c r="AB506" s="24"/>
      <c r="AC506" s="182"/>
      <c r="AD506" s="182"/>
      <c r="AE506" s="113">
        <v>371380006</v>
      </c>
      <c r="AF506" s="182"/>
      <c r="AG506" s="115" t="s">
        <v>115</v>
      </c>
      <c r="AH506" s="115" t="s">
        <v>1630</v>
      </c>
      <c r="AI506" s="115" t="s">
        <v>297</v>
      </c>
      <c r="AJ506" s="24"/>
      <c r="AK506" s="24"/>
      <c r="AL506" s="24"/>
    </row>
    <row r="507" spans="1:38" ht="12.75" customHeight="1">
      <c r="A507" s="22">
        <v>505</v>
      </c>
      <c r="B507" s="24" t="s">
        <v>1631</v>
      </c>
      <c r="C507" s="24" t="s">
        <v>180</v>
      </c>
      <c r="D507" s="24" t="s">
        <v>1620</v>
      </c>
      <c r="E507" s="24" t="s">
        <v>1434</v>
      </c>
      <c r="F507" s="24">
        <v>1</v>
      </c>
      <c r="G507" s="24" t="s">
        <v>1308</v>
      </c>
      <c r="H507" s="24"/>
      <c r="I507" s="126"/>
      <c r="J507" s="161"/>
      <c r="K507" s="161"/>
      <c r="L507" s="161"/>
      <c r="M507" s="161"/>
      <c r="N507" s="160" t="s">
        <v>1631</v>
      </c>
      <c r="O507" s="161"/>
      <c r="P507" s="24"/>
      <c r="Q507" s="24"/>
      <c r="R507" s="126"/>
      <c r="S507" s="124"/>
      <c r="T507" s="126"/>
      <c r="U507" s="126"/>
      <c r="V507" s="161"/>
      <c r="W507" s="24"/>
      <c r="X507" s="126"/>
      <c r="Y507" s="24"/>
      <c r="Z507" s="24"/>
      <c r="AA507" s="24"/>
      <c r="AB507" s="24"/>
      <c r="AC507" s="182"/>
      <c r="AD507" s="182"/>
      <c r="AE507" s="182"/>
      <c r="AF507" s="182"/>
      <c r="AG507" s="115" t="s">
        <v>115</v>
      </c>
      <c r="AH507" s="115" t="s">
        <v>1633</v>
      </c>
      <c r="AI507" s="115" t="s">
        <v>1634</v>
      </c>
      <c r="AJ507" s="24"/>
      <c r="AK507" s="24"/>
      <c r="AL507" s="24"/>
    </row>
    <row r="508" spans="1:38" ht="12.75" customHeight="1">
      <c r="A508" s="22">
        <v>506</v>
      </c>
      <c r="B508" s="24" t="s">
        <v>1635</v>
      </c>
      <c r="C508" s="24" t="s">
        <v>180</v>
      </c>
      <c r="D508" s="24" t="s">
        <v>1620</v>
      </c>
      <c r="E508" s="24" t="s">
        <v>1434</v>
      </c>
      <c r="F508" s="24">
        <v>1</v>
      </c>
      <c r="G508" s="24" t="s">
        <v>1308</v>
      </c>
      <c r="H508" s="24"/>
      <c r="I508" s="126"/>
      <c r="J508" s="161"/>
      <c r="K508" s="161"/>
      <c r="L508" s="161"/>
      <c r="M508" s="161"/>
      <c r="N508" s="160" t="s">
        <v>1635</v>
      </c>
      <c r="O508" s="161"/>
      <c r="P508" s="24"/>
      <c r="Q508" s="24"/>
      <c r="R508" s="126"/>
      <c r="S508" s="124"/>
      <c r="T508" s="126"/>
      <c r="U508" s="126"/>
      <c r="V508" s="161"/>
      <c r="W508" s="24"/>
      <c r="X508" s="126"/>
      <c r="Y508" s="24"/>
      <c r="Z508" s="24"/>
      <c r="AA508" s="24"/>
      <c r="AB508" s="24"/>
      <c r="AC508" s="182"/>
      <c r="AD508" s="182"/>
      <c r="AE508" s="182"/>
      <c r="AF508" s="182"/>
      <c r="AG508" s="115" t="s">
        <v>115</v>
      </c>
      <c r="AH508" s="115" t="s">
        <v>1636</v>
      </c>
      <c r="AI508" s="115" t="s">
        <v>1637</v>
      </c>
      <c r="AJ508" s="24"/>
      <c r="AK508" s="24"/>
      <c r="AL508" s="24"/>
    </row>
    <row r="509" spans="1:38" ht="12.75" customHeight="1">
      <c r="A509" s="22">
        <v>507</v>
      </c>
      <c r="B509" s="24" t="s">
        <v>1638</v>
      </c>
      <c r="C509" s="24" t="s">
        <v>180</v>
      </c>
      <c r="D509" s="24" t="s">
        <v>1620</v>
      </c>
      <c r="E509" s="24" t="s">
        <v>1434</v>
      </c>
      <c r="F509" s="24">
        <v>1</v>
      </c>
      <c r="G509" s="24" t="s">
        <v>1308</v>
      </c>
      <c r="H509" s="24"/>
      <c r="I509" s="126"/>
      <c r="J509" s="161"/>
      <c r="K509" s="161"/>
      <c r="L509" s="161"/>
      <c r="M509" s="161"/>
      <c r="N509" s="160" t="s">
        <v>1638</v>
      </c>
      <c r="O509" s="161"/>
      <c r="P509" s="24"/>
      <c r="Q509" s="24"/>
      <c r="R509" s="126"/>
      <c r="S509" s="124"/>
      <c r="T509" s="126"/>
      <c r="U509" s="126"/>
      <c r="V509" s="161"/>
      <c r="W509" s="24"/>
      <c r="X509" s="126"/>
      <c r="Y509" s="24"/>
      <c r="Z509" s="24"/>
      <c r="AA509" s="24"/>
      <c r="AB509" s="24"/>
      <c r="AC509" s="182"/>
      <c r="AD509" s="182"/>
      <c r="AE509" s="182"/>
      <c r="AF509" s="182"/>
      <c r="AG509" s="115" t="s">
        <v>115</v>
      </c>
      <c r="AH509" s="115" t="s">
        <v>1640</v>
      </c>
      <c r="AI509" s="115" t="s">
        <v>1641</v>
      </c>
      <c r="AJ509" s="24"/>
      <c r="AK509" s="24"/>
      <c r="AL509" s="24"/>
    </row>
    <row r="510" spans="1:38" ht="12.75" customHeight="1">
      <c r="A510" s="22">
        <v>508</v>
      </c>
      <c r="B510" s="24" t="s">
        <v>1642</v>
      </c>
      <c r="C510" s="24" t="s">
        <v>180</v>
      </c>
      <c r="D510" s="24" t="s">
        <v>1620</v>
      </c>
      <c r="E510" s="24" t="s">
        <v>1434</v>
      </c>
      <c r="F510" s="24">
        <v>1</v>
      </c>
      <c r="G510" s="24" t="s">
        <v>1308</v>
      </c>
      <c r="H510" s="24"/>
      <c r="I510" s="126"/>
      <c r="J510" s="161"/>
      <c r="K510" s="161"/>
      <c r="L510" s="161"/>
      <c r="M510" s="161"/>
      <c r="N510" s="160" t="s">
        <v>1642</v>
      </c>
      <c r="O510" s="161"/>
      <c r="P510" s="24"/>
      <c r="Q510" s="24"/>
      <c r="R510" s="126"/>
      <c r="S510" s="124"/>
      <c r="T510" s="126"/>
      <c r="U510" s="126"/>
      <c r="V510" s="161"/>
      <c r="W510" s="24"/>
      <c r="X510" s="126"/>
      <c r="Y510" s="24"/>
      <c r="Z510" s="24"/>
      <c r="AA510" s="24"/>
      <c r="AB510" s="24"/>
      <c r="AC510" s="182"/>
      <c r="AD510" s="182"/>
      <c r="AE510" s="182"/>
      <c r="AF510" s="182"/>
      <c r="AG510" s="115" t="s">
        <v>115</v>
      </c>
      <c r="AH510" s="115" t="s">
        <v>1643</v>
      </c>
      <c r="AI510" s="115" t="s">
        <v>1644</v>
      </c>
      <c r="AJ510" s="24"/>
      <c r="AK510" s="24"/>
      <c r="AL510" s="24"/>
    </row>
    <row r="511" spans="1:38" ht="12.75" customHeight="1">
      <c r="A511" s="22">
        <v>509</v>
      </c>
      <c r="B511" s="24" t="s">
        <v>1645</v>
      </c>
      <c r="C511" s="24" t="s">
        <v>180</v>
      </c>
      <c r="D511" s="24" t="s">
        <v>1620</v>
      </c>
      <c r="E511" s="24" t="s">
        <v>1434</v>
      </c>
      <c r="F511" s="24">
        <v>1</v>
      </c>
      <c r="G511" s="24" t="s">
        <v>1308</v>
      </c>
      <c r="H511" s="24"/>
      <c r="I511" s="126"/>
      <c r="J511" s="161"/>
      <c r="K511" s="161"/>
      <c r="L511" s="161"/>
      <c r="M511" s="161"/>
      <c r="N511" s="160" t="s">
        <v>1645</v>
      </c>
      <c r="O511" s="161"/>
      <c r="P511" s="24"/>
      <c r="Q511" s="24"/>
      <c r="R511" s="126"/>
      <c r="S511" s="124"/>
      <c r="T511" s="126"/>
      <c r="U511" s="126"/>
      <c r="V511" s="161"/>
      <c r="W511" s="24"/>
      <c r="X511" s="126"/>
      <c r="Y511" s="24"/>
      <c r="Z511" s="24"/>
      <c r="AA511" s="24"/>
      <c r="AB511" s="24"/>
      <c r="AC511" s="182"/>
      <c r="AD511" s="182"/>
      <c r="AE511" s="182"/>
      <c r="AF511" s="182"/>
      <c r="AG511" s="115" t="s">
        <v>115</v>
      </c>
      <c r="AH511" s="115" t="s">
        <v>1647</v>
      </c>
      <c r="AI511" s="115" t="s">
        <v>1648</v>
      </c>
      <c r="AJ511" s="24"/>
      <c r="AK511" s="24"/>
      <c r="AL511" s="24"/>
    </row>
    <row r="512" spans="1:38" ht="12.75" customHeight="1">
      <c r="A512" s="22">
        <v>510</v>
      </c>
      <c r="B512" s="24" t="s">
        <v>1649</v>
      </c>
      <c r="C512" s="24" t="s">
        <v>180</v>
      </c>
      <c r="D512" s="24" t="s">
        <v>1620</v>
      </c>
      <c r="E512" s="24" t="s">
        <v>1434</v>
      </c>
      <c r="F512" s="24">
        <v>1</v>
      </c>
      <c r="G512" s="24" t="s">
        <v>1308</v>
      </c>
      <c r="H512" s="24"/>
      <c r="I512" s="126"/>
      <c r="J512" s="161"/>
      <c r="K512" s="161"/>
      <c r="L512" s="161"/>
      <c r="M512" s="161"/>
      <c r="N512" s="160" t="s">
        <v>1649</v>
      </c>
      <c r="O512" s="161"/>
      <c r="P512" s="24"/>
      <c r="Q512" s="24"/>
      <c r="R512" s="126"/>
      <c r="S512" s="124"/>
      <c r="T512" s="126"/>
      <c r="U512" s="126"/>
      <c r="V512" s="161"/>
      <c r="W512" s="24"/>
      <c r="X512" s="126"/>
      <c r="Y512" s="24"/>
      <c r="Z512" s="24"/>
      <c r="AA512" s="24"/>
      <c r="AB512" s="24"/>
      <c r="AC512" s="182"/>
      <c r="AD512" s="182"/>
      <c r="AE512" s="182"/>
      <c r="AF512" s="182"/>
      <c r="AG512" s="115" t="s">
        <v>115</v>
      </c>
      <c r="AH512" s="115" t="s">
        <v>1650</v>
      </c>
      <c r="AI512" s="115" t="s">
        <v>1651</v>
      </c>
      <c r="AJ512" s="24"/>
      <c r="AK512" s="24"/>
      <c r="AL512" s="24"/>
    </row>
    <row r="513" spans="1:38" ht="12.75" customHeight="1">
      <c r="A513" s="22">
        <v>511</v>
      </c>
      <c r="B513" s="24" t="s">
        <v>1652</v>
      </c>
      <c r="C513" s="24" t="s">
        <v>180</v>
      </c>
      <c r="D513" s="24" t="s">
        <v>1620</v>
      </c>
      <c r="E513" s="24" t="s">
        <v>1434</v>
      </c>
      <c r="F513" s="24">
        <v>1</v>
      </c>
      <c r="G513" s="24" t="s">
        <v>1308</v>
      </c>
      <c r="H513" s="24"/>
      <c r="I513" s="126"/>
      <c r="J513" s="161"/>
      <c r="K513" s="161"/>
      <c r="L513" s="161"/>
      <c r="M513" s="161"/>
      <c r="N513" s="160" t="s">
        <v>1652</v>
      </c>
      <c r="O513" s="161"/>
      <c r="P513" s="24"/>
      <c r="Q513" s="24"/>
      <c r="R513" s="126"/>
      <c r="S513" s="124"/>
      <c r="T513" s="126"/>
      <c r="U513" s="126"/>
      <c r="V513" s="161"/>
      <c r="W513" s="24"/>
      <c r="X513" s="126"/>
      <c r="Y513" s="24"/>
      <c r="Z513" s="24"/>
      <c r="AA513" s="24"/>
      <c r="AB513" s="24"/>
      <c r="AC513" s="182"/>
      <c r="AD513" s="182"/>
      <c r="AE513" s="182"/>
      <c r="AF513" s="182"/>
      <c r="AG513" s="115" t="s">
        <v>115</v>
      </c>
      <c r="AH513" s="115" t="s">
        <v>1653</v>
      </c>
      <c r="AI513" s="115" t="s">
        <v>1654</v>
      </c>
      <c r="AJ513" s="24"/>
      <c r="AK513" s="24"/>
      <c r="AL513" s="24"/>
    </row>
    <row r="514" spans="1:38" ht="12.75" customHeight="1">
      <c r="A514" s="22">
        <v>512</v>
      </c>
      <c r="B514" s="24" t="s">
        <v>1655</v>
      </c>
      <c r="C514" s="24" t="s">
        <v>180</v>
      </c>
      <c r="D514" s="24" t="s">
        <v>1620</v>
      </c>
      <c r="E514" s="24" t="s">
        <v>1434</v>
      </c>
      <c r="F514" s="24">
        <v>1</v>
      </c>
      <c r="G514" s="24" t="s">
        <v>1308</v>
      </c>
      <c r="H514" s="24"/>
      <c r="I514" s="126"/>
      <c r="J514" s="161"/>
      <c r="K514" s="161"/>
      <c r="L514" s="161"/>
      <c r="M514" s="161"/>
      <c r="N514" s="160" t="s">
        <v>1655</v>
      </c>
      <c r="O514" s="161"/>
      <c r="P514" s="24"/>
      <c r="Q514" s="24"/>
      <c r="R514" s="126"/>
      <c r="S514" s="124"/>
      <c r="T514" s="126"/>
      <c r="U514" s="126"/>
      <c r="V514" s="161"/>
      <c r="W514" s="24"/>
      <c r="X514" s="126"/>
      <c r="Y514" s="24"/>
      <c r="Z514" s="24"/>
      <c r="AA514" s="24"/>
      <c r="AB514" s="24"/>
      <c r="AC514" s="182"/>
      <c r="AD514" s="182"/>
      <c r="AE514" s="182"/>
      <c r="AF514" s="182"/>
      <c r="AG514" s="115" t="s">
        <v>115</v>
      </c>
      <c r="AH514" s="115" t="s">
        <v>1656</v>
      </c>
      <c r="AI514" s="115" t="s">
        <v>1657</v>
      </c>
      <c r="AJ514" s="24"/>
      <c r="AK514" s="24"/>
      <c r="AL514" s="24"/>
    </row>
    <row r="515" spans="1:38" ht="12.75" customHeight="1">
      <c r="A515" s="22">
        <v>513</v>
      </c>
      <c r="B515" s="24" t="s">
        <v>1658</v>
      </c>
      <c r="C515" s="24" t="s">
        <v>180</v>
      </c>
      <c r="D515" s="24" t="s">
        <v>1620</v>
      </c>
      <c r="E515" s="24" t="s">
        <v>1434</v>
      </c>
      <c r="F515" s="24">
        <v>1</v>
      </c>
      <c r="G515" s="24" t="s">
        <v>1308</v>
      </c>
      <c r="H515" s="24"/>
      <c r="I515" s="126"/>
      <c r="J515" s="161"/>
      <c r="K515" s="161"/>
      <c r="L515" s="161"/>
      <c r="M515" s="161"/>
      <c r="N515" s="160" t="s">
        <v>1658</v>
      </c>
      <c r="O515" s="161"/>
      <c r="P515" s="24"/>
      <c r="Q515" s="24"/>
      <c r="R515" s="126"/>
      <c r="S515" s="124"/>
      <c r="T515" s="126"/>
      <c r="U515" s="126"/>
      <c r="V515" s="161"/>
      <c r="W515" s="24"/>
      <c r="X515" s="126"/>
      <c r="Y515" s="24"/>
      <c r="Z515" s="24"/>
      <c r="AA515" s="24"/>
      <c r="AB515" s="24"/>
      <c r="AC515" s="182"/>
      <c r="AD515" s="182"/>
      <c r="AE515" s="182"/>
      <c r="AF515" s="182"/>
      <c r="AG515" s="115" t="s">
        <v>115</v>
      </c>
      <c r="AH515" s="115" t="s">
        <v>1659</v>
      </c>
      <c r="AI515" s="115" t="s">
        <v>1660</v>
      </c>
      <c r="AJ515" s="24"/>
      <c r="AK515" s="24"/>
      <c r="AL515" s="24"/>
    </row>
    <row r="516" spans="1:38" ht="12.75" customHeight="1">
      <c r="A516" s="22">
        <v>514</v>
      </c>
      <c r="B516" s="24" t="s">
        <v>1661</v>
      </c>
      <c r="C516" s="24" t="s">
        <v>180</v>
      </c>
      <c r="D516" s="24" t="s">
        <v>1620</v>
      </c>
      <c r="E516" s="24" t="s">
        <v>1434</v>
      </c>
      <c r="F516" s="24">
        <v>1</v>
      </c>
      <c r="G516" s="24" t="s">
        <v>1308</v>
      </c>
      <c r="H516" s="24"/>
      <c r="I516" s="126"/>
      <c r="J516" s="161"/>
      <c r="K516" s="161"/>
      <c r="L516" s="161"/>
      <c r="M516" s="161"/>
      <c r="N516" s="160" t="s">
        <v>1661</v>
      </c>
      <c r="O516" s="161"/>
      <c r="P516" s="24"/>
      <c r="Q516" s="24"/>
      <c r="R516" s="126"/>
      <c r="S516" s="124"/>
      <c r="T516" s="126"/>
      <c r="U516" s="126"/>
      <c r="V516" s="161"/>
      <c r="W516" s="24"/>
      <c r="X516" s="126"/>
      <c r="Y516" s="24"/>
      <c r="Z516" s="24"/>
      <c r="AA516" s="24"/>
      <c r="AB516" s="24"/>
      <c r="AC516" s="182"/>
      <c r="AD516" s="182"/>
      <c r="AE516" s="182"/>
      <c r="AF516" s="182"/>
      <c r="AG516" s="115" t="s">
        <v>115</v>
      </c>
      <c r="AH516" s="115" t="s">
        <v>1662</v>
      </c>
      <c r="AI516" s="115" t="s">
        <v>1663</v>
      </c>
      <c r="AJ516" s="24"/>
      <c r="AK516" s="24"/>
      <c r="AL516" s="24"/>
    </row>
    <row r="517" spans="1:38" ht="12.75" customHeight="1">
      <c r="A517" s="22">
        <v>515</v>
      </c>
      <c r="B517" s="24" t="s">
        <v>405</v>
      </c>
      <c r="C517" s="24" t="s">
        <v>180</v>
      </c>
      <c r="D517" s="24" t="s">
        <v>1620</v>
      </c>
      <c r="E517" s="24" t="s">
        <v>1434</v>
      </c>
      <c r="F517" s="24">
        <v>1</v>
      </c>
      <c r="G517" s="24" t="s">
        <v>1308</v>
      </c>
      <c r="H517" s="24"/>
      <c r="I517" s="126"/>
      <c r="J517" s="161"/>
      <c r="K517" s="161"/>
      <c r="L517" s="161"/>
      <c r="M517" s="161"/>
      <c r="N517" s="160" t="s">
        <v>405</v>
      </c>
      <c r="O517" s="161"/>
      <c r="P517" s="24"/>
      <c r="Q517" s="24"/>
      <c r="R517" s="126"/>
      <c r="S517" s="124"/>
      <c r="T517" s="126"/>
      <c r="U517" s="126"/>
      <c r="V517" s="161"/>
      <c r="W517" s="24"/>
      <c r="X517" s="126"/>
      <c r="Y517" s="24"/>
      <c r="Z517" s="24"/>
      <c r="AA517" s="24"/>
      <c r="AB517" s="24"/>
      <c r="AC517" s="182"/>
      <c r="AD517" s="182"/>
      <c r="AE517" s="182"/>
      <c r="AF517" s="182"/>
      <c r="AG517" s="115" t="s">
        <v>1664</v>
      </c>
      <c r="AH517" s="144" t="s">
        <v>406</v>
      </c>
      <c r="AI517" s="144" t="s">
        <v>407</v>
      </c>
      <c r="AJ517" s="24"/>
      <c r="AK517" s="24"/>
      <c r="AL517" s="24"/>
    </row>
    <row r="518" spans="1:38" ht="12.75" customHeight="1">
      <c r="A518" s="22">
        <v>516</v>
      </c>
      <c r="B518" s="24" t="s">
        <v>409</v>
      </c>
      <c r="C518" s="24" t="s">
        <v>96</v>
      </c>
      <c r="D518" s="24"/>
      <c r="E518" s="24" t="s">
        <v>1434</v>
      </c>
      <c r="F518" s="24">
        <v>1</v>
      </c>
      <c r="G518" s="24" t="s">
        <v>1308</v>
      </c>
      <c r="H518" s="24"/>
      <c r="I518" s="126"/>
      <c r="J518" s="265" t="s">
        <v>409</v>
      </c>
      <c r="K518" s="265" t="s">
        <v>1666</v>
      </c>
      <c r="L518" s="265" t="s">
        <v>1667</v>
      </c>
      <c r="M518" s="265" t="s">
        <v>111</v>
      </c>
      <c r="N518" s="266"/>
      <c r="O518" s="266"/>
      <c r="P518" s="263"/>
      <c r="Q518" s="24"/>
      <c r="R518" s="126"/>
      <c r="S518" s="265" t="s">
        <v>208</v>
      </c>
      <c r="T518" s="126"/>
      <c r="U518" s="126"/>
      <c r="V518" s="265" t="s">
        <v>115</v>
      </c>
      <c r="W518" s="24"/>
      <c r="X518" s="126"/>
      <c r="Y518" s="24"/>
      <c r="Z518" s="24"/>
      <c r="AA518" s="24"/>
      <c r="AB518" s="24"/>
      <c r="AC518" s="182"/>
      <c r="AD518" s="182"/>
      <c r="AE518" s="182"/>
      <c r="AF518" s="182"/>
      <c r="AG518" s="144" t="s">
        <v>1664</v>
      </c>
      <c r="AH518" s="144" t="s">
        <v>415</v>
      </c>
      <c r="AI518" s="144" t="s">
        <v>416</v>
      </c>
      <c r="AJ518" s="24"/>
      <c r="AK518" s="24"/>
      <c r="AL518" s="24"/>
    </row>
    <row r="519" spans="1:38" ht="12.75" customHeight="1">
      <c r="A519" s="22">
        <v>517</v>
      </c>
      <c r="B519" s="24" t="s">
        <v>1668</v>
      </c>
      <c r="C519" s="24" t="s">
        <v>96</v>
      </c>
      <c r="D519" s="24"/>
      <c r="E519" s="24" t="s">
        <v>1434</v>
      </c>
      <c r="F519" s="24">
        <v>1</v>
      </c>
      <c r="G519" s="24" t="s">
        <v>1308</v>
      </c>
      <c r="H519" s="24"/>
      <c r="I519" s="126"/>
      <c r="J519" s="160" t="s">
        <v>1668</v>
      </c>
      <c r="K519" s="124" t="s">
        <v>1669</v>
      </c>
      <c r="L519" s="124" t="s">
        <v>1670</v>
      </c>
      <c r="M519" s="124" t="s">
        <v>202</v>
      </c>
      <c r="N519" s="126"/>
      <c r="O519" s="124"/>
      <c r="P519" s="24"/>
      <c r="Q519" s="24"/>
      <c r="R519" s="126"/>
      <c r="S519" s="124" t="s">
        <v>208</v>
      </c>
      <c r="T519" s="126"/>
      <c r="U519" s="126"/>
      <c r="V519" s="124" t="s">
        <v>1277</v>
      </c>
      <c r="W519" s="24"/>
      <c r="X519" s="126"/>
      <c r="Y519" s="24"/>
      <c r="Z519" s="24"/>
      <c r="AA519" s="24"/>
      <c r="AB519" s="24"/>
      <c r="AC519" s="182"/>
      <c r="AD519" s="182"/>
      <c r="AE519" s="182"/>
      <c r="AF519" s="182"/>
      <c r="AG519" s="115" t="s">
        <v>115</v>
      </c>
      <c r="AH519" s="115" t="s">
        <v>1671</v>
      </c>
      <c r="AI519" s="115" t="s">
        <v>1672</v>
      </c>
      <c r="AJ519" s="24"/>
      <c r="AK519" s="24"/>
      <c r="AL519" s="24"/>
    </row>
    <row r="520" spans="1:38" ht="12.75" customHeight="1">
      <c r="A520" s="22">
        <v>518</v>
      </c>
      <c r="B520" s="24" t="s">
        <v>1673</v>
      </c>
      <c r="C520" s="24" t="s">
        <v>180</v>
      </c>
      <c r="D520" s="24" t="s">
        <v>1668</v>
      </c>
      <c r="E520" s="24" t="s">
        <v>1434</v>
      </c>
      <c r="F520" s="24">
        <v>1</v>
      </c>
      <c r="G520" s="24" t="s">
        <v>1308</v>
      </c>
      <c r="H520" s="24"/>
      <c r="I520" s="126"/>
      <c r="J520" s="160"/>
      <c r="K520" s="124"/>
      <c r="L520" s="124"/>
      <c r="M520" s="124"/>
      <c r="N520" s="126" t="s">
        <v>1673</v>
      </c>
      <c r="O520" s="124"/>
      <c r="P520" s="24"/>
      <c r="Q520" s="24"/>
      <c r="R520" s="126"/>
      <c r="S520" s="124"/>
      <c r="T520" s="126"/>
      <c r="U520" s="126"/>
      <c r="V520" s="124"/>
      <c r="W520" s="24"/>
      <c r="X520" s="126"/>
      <c r="Y520" s="24"/>
      <c r="Z520" s="24"/>
      <c r="AA520" s="24"/>
      <c r="AB520" s="24"/>
      <c r="AC520" s="182"/>
      <c r="AD520" s="182"/>
      <c r="AE520" s="182"/>
      <c r="AF520" s="182"/>
      <c r="AG520" s="115" t="s">
        <v>115</v>
      </c>
      <c r="AH520" s="115" t="s">
        <v>942</v>
      </c>
      <c r="AI520" s="115" t="s">
        <v>943</v>
      </c>
      <c r="AJ520" s="24"/>
      <c r="AK520" s="24"/>
      <c r="AL520" s="24"/>
    </row>
    <row r="521" spans="1:38" ht="12.75" customHeight="1">
      <c r="A521" s="22">
        <v>519</v>
      </c>
      <c r="B521" s="24" t="s">
        <v>1468</v>
      </c>
      <c r="C521" s="24" t="s">
        <v>180</v>
      </c>
      <c r="D521" s="24" t="s">
        <v>1668</v>
      </c>
      <c r="E521" s="24" t="s">
        <v>1434</v>
      </c>
      <c r="F521" s="24">
        <v>1</v>
      </c>
      <c r="G521" s="24" t="s">
        <v>1308</v>
      </c>
      <c r="H521" s="24"/>
      <c r="I521" s="126"/>
      <c r="J521" s="160"/>
      <c r="K521" s="124"/>
      <c r="L521" s="124"/>
      <c r="M521" s="124"/>
      <c r="N521" s="126" t="s">
        <v>1468</v>
      </c>
      <c r="O521" s="124"/>
      <c r="P521" s="24"/>
      <c r="Q521" s="24"/>
      <c r="R521" s="126"/>
      <c r="S521" s="124"/>
      <c r="T521" s="126"/>
      <c r="U521" s="126"/>
      <c r="V521" s="124"/>
      <c r="W521" s="24"/>
      <c r="X521" s="126"/>
      <c r="Y521" s="24"/>
      <c r="Z521" s="24"/>
      <c r="AA521" s="24"/>
      <c r="AB521" s="24"/>
      <c r="AC521" s="175" t="s">
        <v>1675</v>
      </c>
      <c r="AD521" s="182"/>
      <c r="AE521" s="182">
        <v>385660001</v>
      </c>
      <c r="AF521" s="182"/>
      <c r="AG521" s="115" t="s">
        <v>115</v>
      </c>
      <c r="AH521" s="115" t="s">
        <v>1469</v>
      </c>
      <c r="AI521" s="115" t="s">
        <v>1470</v>
      </c>
      <c r="AJ521" s="24"/>
      <c r="AK521" s="24"/>
      <c r="AL521" s="24"/>
    </row>
    <row r="522" spans="1:38" ht="12.75" customHeight="1">
      <c r="A522" s="22">
        <v>520</v>
      </c>
      <c r="B522" s="24" t="s">
        <v>1676</v>
      </c>
      <c r="C522" s="24" t="s">
        <v>96</v>
      </c>
      <c r="D522" s="24"/>
      <c r="E522" s="24" t="s">
        <v>1434</v>
      </c>
      <c r="F522" s="24">
        <v>1</v>
      </c>
      <c r="G522" s="24" t="s">
        <v>1308</v>
      </c>
      <c r="H522" s="24"/>
      <c r="I522" s="126"/>
      <c r="J522" s="160" t="s">
        <v>1676</v>
      </c>
      <c r="K522" s="124" t="s">
        <v>1677</v>
      </c>
      <c r="L522" s="124" t="s">
        <v>1678</v>
      </c>
      <c r="M522" s="124" t="s">
        <v>168</v>
      </c>
      <c r="N522" s="126"/>
      <c r="O522" s="124"/>
      <c r="P522" s="24"/>
      <c r="Q522" s="124" t="s">
        <v>1679</v>
      </c>
      <c r="R522" s="126"/>
      <c r="S522" s="124" t="s">
        <v>208</v>
      </c>
      <c r="T522" s="126"/>
      <c r="U522" s="126"/>
      <c r="V522" s="124" t="s">
        <v>115</v>
      </c>
      <c r="W522" s="24"/>
      <c r="X522" s="126"/>
      <c r="Y522" s="24"/>
      <c r="Z522" s="24"/>
      <c r="AA522" s="24"/>
      <c r="AB522" s="24"/>
      <c r="AC522" s="182"/>
      <c r="AD522" s="182"/>
      <c r="AE522" s="113">
        <v>127375006</v>
      </c>
      <c r="AF522" s="182"/>
      <c r="AG522" s="115" t="s">
        <v>115</v>
      </c>
      <c r="AH522" s="115" t="s">
        <v>1680</v>
      </c>
      <c r="AI522" s="115" t="s">
        <v>1681</v>
      </c>
      <c r="AJ522" s="24"/>
      <c r="AK522" s="24"/>
      <c r="AL522" s="24"/>
    </row>
    <row r="523" spans="1:38" ht="12.75" customHeight="1">
      <c r="A523" s="22">
        <v>521</v>
      </c>
      <c r="B523" s="24" t="s">
        <v>1682</v>
      </c>
      <c r="C523" s="24" t="s">
        <v>96</v>
      </c>
      <c r="D523" s="24"/>
      <c r="E523" s="24" t="s">
        <v>1434</v>
      </c>
      <c r="F523" s="24">
        <v>1</v>
      </c>
      <c r="G523" s="24" t="s">
        <v>1308</v>
      </c>
      <c r="H523" s="24"/>
      <c r="I523" s="126"/>
      <c r="J523" s="160" t="s">
        <v>1682</v>
      </c>
      <c r="K523" s="160" t="s">
        <v>1683</v>
      </c>
      <c r="L523" s="160" t="s">
        <v>1684</v>
      </c>
      <c r="M523" s="160" t="s">
        <v>202</v>
      </c>
      <c r="N523" s="161"/>
      <c r="O523" s="161"/>
      <c r="P523" s="24"/>
      <c r="Q523" s="24"/>
      <c r="R523" s="126"/>
      <c r="S523" s="160" t="s">
        <v>208</v>
      </c>
      <c r="T523" s="126"/>
      <c r="U523" s="126"/>
      <c r="V523" s="160" t="s">
        <v>1277</v>
      </c>
      <c r="W523" s="24"/>
      <c r="X523" s="126"/>
      <c r="Y523" s="24"/>
      <c r="Z523" s="24"/>
      <c r="AA523" s="24"/>
      <c r="AB523" s="24"/>
      <c r="AC523" s="182" t="s">
        <v>1685</v>
      </c>
      <c r="AD523" s="182"/>
      <c r="AE523" s="113">
        <v>267038008</v>
      </c>
      <c r="AF523" s="182"/>
      <c r="AG523" s="115" t="s">
        <v>115</v>
      </c>
      <c r="AH523" s="115" t="s">
        <v>343</v>
      </c>
      <c r="AI523" s="115" t="s">
        <v>344</v>
      </c>
      <c r="AJ523" s="24"/>
      <c r="AK523" s="24"/>
      <c r="AL523" s="24"/>
    </row>
    <row r="524" spans="1:38" ht="12.75" customHeight="1">
      <c r="A524" s="22">
        <v>522</v>
      </c>
      <c r="B524" s="24" t="s">
        <v>113</v>
      </c>
      <c r="C524" s="24" t="s">
        <v>180</v>
      </c>
      <c r="D524" s="24" t="s">
        <v>1682</v>
      </c>
      <c r="E524" s="24" t="s">
        <v>1434</v>
      </c>
      <c r="F524" s="24">
        <v>1</v>
      </c>
      <c r="G524" s="24" t="s">
        <v>1308</v>
      </c>
      <c r="H524" s="24"/>
      <c r="I524" s="126"/>
      <c r="J524" s="160"/>
      <c r="K524" s="126"/>
      <c r="L524" s="160"/>
      <c r="M524" s="160"/>
      <c r="N524" s="161" t="s">
        <v>113</v>
      </c>
      <c r="O524" s="161"/>
      <c r="P524" s="24"/>
      <c r="Q524" s="24"/>
      <c r="R524" s="126"/>
      <c r="S524" s="160"/>
      <c r="T524" s="126"/>
      <c r="U524" s="126"/>
      <c r="V524" s="160"/>
      <c r="W524" s="24"/>
      <c r="X524" s="126"/>
      <c r="Y524" s="24"/>
      <c r="Z524" s="24"/>
      <c r="AA524" s="24"/>
      <c r="AB524" s="24"/>
      <c r="AC524" s="182"/>
      <c r="AD524" s="182"/>
      <c r="AE524" s="113">
        <v>373066001</v>
      </c>
      <c r="AF524" s="182"/>
      <c r="AG524" s="115" t="s">
        <v>115</v>
      </c>
      <c r="AH524" s="115" t="s">
        <v>206</v>
      </c>
      <c r="AI524" s="115" t="s">
        <v>207</v>
      </c>
      <c r="AJ524" s="24"/>
      <c r="AK524" s="24"/>
      <c r="AL524" s="24"/>
    </row>
    <row r="525" spans="1:38" ht="12.75" customHeight="1">
      <c r="A525" s="22">
        <v>523</v>
      </c>
      <c r="B525" s="24" t="s">
        <v>208</v>
      </c>
      <c r="C525" s="24" t="s">
        <v>180</v>
      </c>
      <c r="D525" s="24" t="s">
        <v>1682</v>
      </c>
      <c r="E525" s="24" t="s">
        <v>1434</v>
      </c>
      <c r="F525" s="24">
        <v>1</v>
      </c>
      <c r="G525" s="24" t="s">
        <v>1308</v>
      </c>
      <c r="H525" s="24"/>
      <c r="I525" s="126"/>
      <c r="J525" s="160"/>
      <c r="K525" s="126"/>
      <c r="L525" s="160"/>
      <c r="M525" s="160"/>
      <c r="N525" s="161" t="s">
        <v>208</v>
      </c>
      <c r="O525" s="161"/>
      <c r="P525" s="24"/>
      <c r="Q525" s="24"/>
      <c r="R525" s="126"/>
      <c r="S525" s="160"/>
      <c r="T525" s="126"/>
      <c r="U525" s="126"/>
      <c r="V525" s="160"/>
      <c r="W525" s="24"/>
      <c r="X525" s="126"/>
      <c r="Y525" s="24"/>
      <c r="Z525" s="24"/>
      <c r="AA525" s="24"/>
      <c r="AB525" s="24"/>
      <c r="AC525" s="182"/>
      <c r="AD525" s="182"/>
      <c r="AE525" s="118">
        <v>373067005</v>
      </c>
      <c r="AF525" s="182"/>
      <c r="AG525" s="115" t="s">
        <v>115</v>
      </c>
      <c r="AH525" s="115" t="s">
        <v>209</v>
      </c>
      <c r="AI525" s="115" t="s">
        <v>210</v>
      </c>
      <c r="AJ525" s="24"/>
      <c r="AK525" s="24"/>
      <c r="AL525" s="24"/>
    </row>
    <row r="526" spans="1:38" ht="12.75" customHeight="1">
      <c r="A526" s="22">
        <v>524</v>
      </c>
      <c r="B526" s="24" t="s">
        <v>1686</v>
      </c>
      <c r="C526" s="24" t="s">
        <v>96</v>
      </c>
      <c r="D526" s="24"/>
      <c r="E526" s="24" t="s">
        <v>1434</v>
      </c>
      <c r="F526" s="24">
        <v>1</v>
      </c>
      <c r="G526" s="24" t="s">
        <v>1308</v>
      </c>
      <c r="H526" s="24"/>
      <c r="I526" s="126"/>
      <c r="J526" s="124" t="s">
        <v>1686</v>
      </c>
      <c r="K526" s="126" t="s">
        <v>1687</v>
      </c>
      <c r="L526" s="124" t="s">
        <v>1688</v>
      </c>
      <c r="M526" s="124" t="s">
        <v>238</v>
      </c>
      <c r="N526" s="126"/>
      <c r="O526" s="126"/>
      <c r="P526" s="24"/>
      <c r="Q526" s="24"/>
      <c r="R526" s="126"/>
      <c r="S526" s="124" t="s">
        <v>1459</v>
      </c>
      <c r="T526" s="126"/>
      <c r="U526" s="126"/>
      <c r="V526" s="124" t="s">
        <v>115</v>
      </c>
      <c r="W526" s="24"/>
      <c r="X526" s="126"/>
      <c r="Y526" s="24"/>
      <c r="Z526" s="24"/>
      <c r="AA526" s="24"/>
      <c r="AB526" s="24"/>
      <c r="AC526" s="233"/>
      <c r="AD526" s="233"/>
      <c r="AE526" s="233"/>
      <c r="AF526" s="233"/>
      <c r="AG526" s="115" t="s">
        <v>115</v>
      </c>
      <c r="AH526" s="115" t="s">
        <v>1689</v>
      </c>
      <c r="AI526" s="115" t="s">
        <v>1690</v>
      </c>
      <c r="AJ526" s="24"/>
      <c r="AK526" s="24"/>
      <c r="AL526" s="24"/>
    </row>
    <row r="527" spans="1:38" ht="12.75" customHeight="1">
      <c r="A527" s="22">
        <v>525</v>
      </c>
      <c r="B527" s="24" t="s">
        <v>1691</v>
      </c>
      <c r="C527" s="24" t="s">
        <v>180</v>
      </c>
      <c r="D527" s="24" t="s">
        <v>1686</v>
      </c>
      <c r="E527" s="24" t="s">
        <v>1434</v>
      </c>
      <c r="F527" s="24">
        <v>1</v>
      </c>
      <c r="G527" s="24" t="s">
        <v>1308</v>
      </c>
      <c r="H527" s="24"/>
      <c r="I527" s="126"/>
      <c r="J527" s="160"/>
      <c r="K527" s="126"/>
      <c r="L527" s="160"/>
      <c r="M527" s="160"/>
      <c r="N527" s="126" t="s">
        <v>1691</v>
      </c>
      <c r="O527" s="161"/>
      <c r="P527" s="24"/>
      <c r="Q527" s="24"/>
      <c r="R527" s="126"/>
      <c r="S527" s="160"/>
      <c r="T527" s="126"/>
      <c r="U527" s="126"/>
      <c r="V527" s="160"/>
      <c r="W527" s="24"/>
      <c r="X527" s="126"/>
      <c r="Y527" s="24"/>
      <c r="Z527" s="24"/>
      <c r="AA527" s="24"/>
      <c r="AB527" s="24"/>
      <c r="AC527" s="182" t="s">
        <v>1685</v>
      </c>
      <c r="AD527" s="182"/>
      <c r="AE527" s="121">
        <v>26237000</v>
      </c>
      <c r="AF527" s="182"/>
      <c r="AG527" s="115" t="s">
        <v>115</v>
      </c>
      <c r="AH527" s="115" t="s">
        <v>1692</v>
      </c>
      <c r="AI527" s="115" t="s">
        <v>1693</v>
      </c>
      <c r="AJ527" s="24"/>
      <c r="AK527" s="24"/>
      <c r="AL527" s="24"/>
    </row>
    <row r="528" spans="1:38" ht="12.75" customHeight="1">
      <c r="A528" s="22">
        <v>526</v>
      </c>
      <c r="B528" s="24" t="s">
        <v>1694</v>
      </c>
      <c r="C528" s="24" t="s">
        <v>180</v>
      </c>
      <c r="D528" s="24" t="s">
        <v>1686</v>
      </c>
      <c r="E528" s="24" t="s">
        <v>1434</v>
      </c>
      <c r="F528" s="24">
        <v>1</v>
      </c>
      <c r="G528" s="24" t="s">
        <v>1308</v>
      </c>
      <c r="H528" s="24"/>
      <c r="I528" s="126"/>
      <c r="J528" s="160"/>
      <c r="K528" s="126"/>
      <c r="L528" s="160"/>
      <c r="M528" s="160"/>
      <c r="N528" s="126" t="s">
        <v>1694</v>
      </c>
      <c r="O528" s="161"/>
      <c r="P528" s="24"/>
      <c r="Q528" s="24"/>
      <c r="R528" s="126"/>
      <c r="S528" s="160"/>
      <c r="T528" s="126"/>
      <c r="U528" s="126"/>
      <c r="V528" s="160"/>
      <c r="W528" s="24"/>
      <c r="X528" s="126"/>
      <c r="Y528" s="24"/>
      <c r="Z528" s="24"/>
      <c r="AA528" s="24"/>
      <c r="AB528" s="24"/>
      <c r="AC528" s="233"/>
      <c r="AD528" s="233"/>
      <c r="AE528" s="233"/>
      <c r="AF528" s="233"/>
      <c r="AG528" s="115" t="s">
        <v>115</v>
      </c>
      <c r="AH528" s="115" t="s">
        <v>1695</v>
      </c>
      <c r="AI528" s="115" t="s">
        <v>1696</v>
      </c>
      <c r="AJ528" s="24"/>
      <c r="AK528" s="24"/>
      <c r="AL528" s="24"/>
    </row>
    <row r="529" spans="1:38" ht="12.75" customHeight="1">
      <c r="A529" s="22">
        <v>527</v>
      </c>
      <c r="B529" s="24" t="s">
        <v>1697</v>
      </c>
      <c r="C529" s="24" t="s">
        <v>180</v>
      </c>
      <c r="D529" s="24" t="s">
        <v>1686</v>
      </c>
      <c r="E529" s="24" t="s">
        <v>1434</v>
      </c>
      <c r="F529" s="24">
        <v>1</v>
      </c>
      <c r="G529" s="24" t="s">
        <v>1308</v>
      </c>
      <c r="H529" s="24"/>
      <c r="I529" s="126"/>
      <c r="J529" s="160"/>
      <c r="K529" s="126"/>
      <c r="L529" s="160"/>
      <c r="M529" s="160"/>
      <c r="N529" s="126" t="s">
        <v>1697</v>
      </c>
      <c r="O529" s="161"/>
      <c r="P529" s="24"/>
      <c r="Q529" s="24"/>
      <c r="R529" s="126"/>
      <c r="S529" s="160"/>
      <c r="T529" s="126"/>
      <c r="U529" s="126"/>
      <c r="V529" s="160"/>
      <c r="W529" s="24"/>
      <c r="X529" s="126"/>
      <c r="Y529" s="24"/>
      <c r="Z529" s="24"/>
      <c r="AA529" s="24"/>
      <c r="AB529" s="24"/>
      <c r="AC529" s="233"/>
      <c r="AD529" s="233"/>
      <c r="AE529" s="254"/>
      <c r="AF529" s="233"/>
      <c r="AG529" s="115" t="s">
        <v>115</v>
      </c>
      <c r="AH529" s="115" t="s">
        <v>1698</v>
      </c>
      <c r="AI529" s="115" t="s">
        <v>1699</v>
      </c>
      <c r="AJ529" s="24"/>
      <c r="AK529" s="24"/>
      <c r="AL529" s="24"/>
    </row>
    <row r="530" spans="1:38" ht="12.75" customHeight="1">
      <c r="A530" s="22">
        <v>528</v>
      </c>
      <c r="B530" s="24" t="s">
        <v>1701</v>
      </c>
      <c r="C530" s="24" t="s">
        <v>180</v>
      </c>
      <c r="D530" s="24" t="s">
        <v>1686</v>
      </c>
      <c r="E530" s="24" t="s">
        <v>1434</v>
      </c>
      <c r="F530" s="24">
        <v>1</v>
      </c>
      <c r="G530" s="24" t="s">
        <v>1308</v>
      </c>
      <c r="H530" s="24"/>
      <c r="I530" s="126"/>
      <c r="J530" s="160"/>
      <c r="K530" s="126"/>
      <c r="L530" s="160"/>
      <c r="M530" s="160"/>
      <c r="N530" s="126" t="s">
        <v>1701</v>
      </c>
      <c r="O530" s="161"/>
      <c r="P530" s="24"/>
      <c r="Q530" s="24"/>
      <c r="R530" s="126"/>
      <c r="S530" s="160"/>
      <c r="T530" s="126"/>
      <c r="U530" s="126"/>
      <c r="V530" s="160"/>
      <c r="W530" s="24"/>
      <c r="X530" s="126"/>
      <c r="Y530" s="24"/>
      <c r="Z530" s="24"/>
      <c r="AA530" s="24"/>
      <c r="AB530" s="24"/>
      <c r="AC530" s="175" t="s">
        <v>1685</v>
      </c>
      <c r="AD530" s="182"/>
      <c r="AE530" s="121">
        <v>102572006</v>
      </c>
      <c r="AF530" s="182"/>
      <c r="AG530" s="115" t="s">
        <v>115</v>
      </c>
      <c r="AH530" s="115" t="s">
        <v>1702</v>
      </c>
      <c r="AI530" s="115" t="s">
        <v>1703</v>
      </c>
      <c r="AJ530" s="24"/>
      <c r="AK530" s="24"/>
      <c r="AL530" s="24"/>
    </row>
    <row r="531" spans="1:38" ht="12.75" customHeight="1">
      <c r="A531" s="22">
        <v>529</v>
      </c>
      <c r="B531" s="24" t="s">
        <v>1704</v>
      </c>
      <c r="C531" s="24" t="s">
        <v>96</v>
      </c>
      <c r="D531" s="24"/>
      <c r="E531" s="24" t="s">
        <v>1434</v>
      </c>
      <c r="F531" s="24">
        <v>1</v>
      </c>
      <c r="G531" s="24" t="s">
        <v>1308</v>
      </c>
      <c r="H531" s="24"/>
      <c r="I531" s="126"/>
      <c r="J531" s="160" t="s">
        <v>1704</v>
      </c>
      <c r="K531" s="126" t="s">
        <v>1705</v>
      </c>
      <c r="L531" s="160" t="s">
        <v>1706</v>
      </c>
      <c r="M531" s="160" t="s">
        <v>202</v>
      </c>
      <c r="N531" s="126"/>
      <c r="O531" s="161"/>
      <c r="P531" s="24"/>
      <c r="Q531" s="24"/>
      <c r="R531" s="126"/>
      <c r="S531" s="160" t="s">
        <v>208</v>
      </c>
      <c r="T531" s="126"/>
      <c r="U531" s="126"/>
      <c r="V531" s="160" t="s">
        <v>115</v>
      </c>
      <c r="W531" s="24"/>
      <c r="X531" s="126"/>
      <c r="Y531" s="24"/>
      <c r="Z531" s="24"/>
      <c r="AA531" s="24"/>
      <c r="AB531" s="24"/>
      <c r="AC531" s="182"/>
      <c r="AD531" s="182"/>
      <c r="AE531" s="121">
        <v>423484008</v>
      </c>
      <c r="AF531" s="182"/>
      <c r="AG531" s="115" t="s">
        <v>115</v>
      </c>
      <c r="AH531" s="115" t="s">
        <v>1707</v>
      </c>
      <c r="AI531" s="115" t="s">
        <v>1708</v>
      </c>
      <c r="AJ531" s="24"/>
      <c r="AK531" s="24"/>
      <c r="AL531" s="24"/>
    </row>
    <row r="532" spans="1:38" ht="12.75" customHeight="1">
      <c r="A532" s="22">
        <v>530</v>
      </c>
      <c r="B532" s="24" t="s">
        <v>1421</v>
      </c>
      <c r="C532" s="24" t="s">
        <v>180</v>
      </c>
      <c r="D532" s="24" t="s">
        <v>1704</v>
      </c>
      <c r="E532" s="24" t="s">
        <v>1434</v>
      </c>
      <c r="F532" s="24">
        <v>1</v>
      </c>
      <c r="G532" s="24" t="s">
        <v>1308</v>
      </c>
      <c r="H532" s="24"/>
      <c r="I532" s="126"/>
      <c r="J532" s="126"/>
      <c r="K532" s="126"/>
      <c r="L532" s="126"/>
      <c r="M532" s="124"/>
      <c r="N532" s="256" t="s">
        <v>1421</v>
      </c>
      <c r="O532" s="126"/>
      <c r="P532" s="24"/>
      <c r="Q532" s="24"/>
      <c r="R532" s="126"/>
      <c r="S532" s="126"/>
      <c r="T532" s="126"/>
      <c r="U532" s="126"/>
      <c r="V532" s="126"/>
      <c r="W532" s="24"/>
      <c r="X532" s="126"/>
      <c r="Y532" s="24"/>
      <c r="Z532" s="24"/>
      <c r="AA532" s="24"/>
      <c r="AB532" s="24"/>
      <c r="AC532" s="182"/>
      <c r="AD532" s="182"/>
      <c r="AE532" s="121">
        <v>260408008</v>
      </c>
      <c r="AF532" s="182"/>
      <c r="AG532" s="115" t="s">
        <v>115</v>
      </c>
      <c r="AH532" s="115" t="s">
        <v>1422</v>
      </c>
      <c r="AI532" s="115" t="s">
        <v>1423</v>
      </c>
      <c r="AJ532" s="24"/>
      <c r="AK532" s="24"/>
      <c r="AL532" s="24"/>
    </row>
    <row r="533" spans="1:38" ht="12.75" customHeight="1">
      <c r="A533" s="22">
        <v>531</v>
      </c>
      <c r="B533" s="24" t="s">
        <v>1424</v>
      </c>
      <c r="C533" s="24" t="s">
        <v>180</v>
      </c>
      <c r="D533" s="24" t="s">
        <v>1704</v>
      </c>
      <c r="E533" s="24" t="s">
        <v>1434</v>
      </c>
      <c r="F533" s="24">
        <v>1</v>
      </c>
      <c r="G533" s="24" t="s">
        <v>1308</v>
      </c>
      <c r="H533" s="24"/>
      <c r="I533" s="126"/>
      <c r="J533" s="126"/>
      <c r="K533" s="126"/>
      <c r="L533" s="126"/>
      <c r="M533" s="124"/>
      <c r="N533" s="256" t="s">
        <v>1424</v>
      </c>
      <c r="O533" s="126"/>
      <c r="P533" s="24"/>
      <c r="Q533" s="24"/>
      <c r="R533" s="126"/>
      <c r="S533" s="126"/>
      <c r="T533" s="126"/>
      <c r="U533" s="126"/>
      <c r="V533" s="126"/>
      <c r="W533" s="24"/>
      <c r="X533" s="126"/>
      <c r="Y533" s="24"/>
      <c r="Z533" s="24"/>
      <c r="AA533" s="24"/>
      <c r="AB533" s="24"/>
      <c r="AC533" s="182"/>
      <c r="AD533" s="182"/>
      <c r="AE533" s="121">
        <v>441517005</v>
      </c>
      <c r="AF533" s="182"/>
      <c r="AG533" s="115" t="s">
        <v>115</v>
      </c>
      <c r="AH533" s="115" t="s">
        <v>1425</v>
      </c>
      <c r="AI533" s="115" t="s">
        <v>1426</v>
      </c>
      <c r="AJ533" s="24"/>
      <c r="AK533" s="24"/>
      <c r="AL533" s="24"/>
    </row>
    <row r="534" spans="1:38" ht="12.75" customHeight="1">
      <c r="A534" s="22">
        <v>532</v>
      </c>
      <c r="B534" s="24" t="s">
        <v>1427</v>
      </c>
      <c r="C534" s="24" t="s">
        <v>180</v>
      </c>
      <c r="D534" s="24" t="s">
        <v>1704</v>
      </c>
      <c r="E534" s="24" t="s">
        <v>1434</v>
      </c>
      <c r="F534" s="24">
        <v>1</v>
      </c>
      <c r="G534" s="24" t="s">
        <v>1308</v>
      </c>
      <c r="H534" s="24"/>
      <c r="I534" s="126"/>
      <c r="J534" s="126"/>
      <c r="K534" s="126"/>
      <c r="L534" s="126"/>
      <c r="M534" s="124"/>
      <c r="N534" s="256" t="s">
        <v>1427</v>
      </c>
      <c r="O534" s="126"/>
      <c r="P534" s="24"/>
      <c r="Q534" s="24"/>
      <c r="R534" s="126"/>
      <c r="S534" s="126"/>
      <c r="T534" s="126"/>
      <c r="U534" s="126"/>
      <c r="V534" s="126"/>
      <c r="W534" s="24"/>
      <c r="X534" s="126"/>
      <c r="Y534" s="24"/>
      <c r="Z534" s="24"/>
      <c r="AA534" s="24"/>
      <c r="AB534" s="24"/>
      <c r="AC534" s="182"/>
      <c r="AD534" s="182"/>
      <c r="AE534" s="118">
        <v>441521003</v>
      </c>
      <c r="AF534" s="182"/>
      <c r="AG534" s="115" t="s">
        <v>115</v>
      </c>
      <c r="AH534" s="115" t="s">
        <v>1428</v>
      </c>
      <c r="AI534" s="115" t="s">
        <v>1429</v>
      </c>
      <c r="AJ534" s="24"/>
      <c r="AK534" s="24"/>
      <c r="AL534" s="24"/>
    </row>
    <row r="535" spans="1:38" ht="12.75" customHeight="1">
      <c r="A535" s="22">
        <v>533</v>
      </c>
      <c r="B535" s="24" t="s">
        <v>1430</v>
      </c>
      <c r="C535" s="24" t="s">
        <v>180</v>
      </c>
      <c r="D535" s="24" t="s">
        <v>1704</v>
      </c>
      <c r="E535" s="24" t="s">
        <v>1434</v>
      </c>
      <c r="F535" s="24">
        <v>1</v>
      </c>
      <c r="G535" s="24" t="s">
        <v>1308</v>
      </c>
      <c r="H535" s="24"/>
      <c r="I535" s="126"/>
      <c r="J535" s="126"/>
      <c r="K535" s="126"/>
      <c r="L535" s="126"/>
      <c r="M535" s="124"/>
      <c r="N535" s="256" t="s">
        <v>1430</v>
      </c>
      <c r="O535" s="126"/>
      <c r="P535" s="24"/>
      <c r="Q535" s="24"/>
      <c r="R535" s="126"/>
      <c r="S535" s="126"/>
      <c r="T535" s="126"/>
      <c r="U535" s="126"/>
      <c r="V535" s="126"/>
      <c r="W535" s="24"/>
      <c r="X535" s="126"/>
      <c r="Y535" s="24"/>
      <c r="Z535" s="24"/>
      <c r="AA535" s="24"/>
      <c r="AB535" s="24"/>
      <c r="AC535" s="233"/>
      <c r="AD535" s="233"/>
      <c r="AE535" s="233"/>
      <c r="AF535" s="233"/>
      <c r="AG535" s="115" t="s">
        <v>115</v>
      </c>
      <c r="AH535" s="115" t="s">
        <v>1431</v>
      </c>
      <c r="AI535" s="115" t="s">
        <v>1432</v>
      </c>
      <c r="AJ535" s="24"/>
      <c r="AK535" s="24"/>
      <c r="AL535" s="24"/>
    </row>
    <row r="536" spans="1:38" ht="12.75" customHeight="1">
      <c r="A536" s="22">
        <v>534</v>
      </c>
      <c r="B536" s="24" t="s">
        <v>1709</v>
      </c>
      <c r="C536" s="24" t="s">
        <v>96</v>
      </c>
      <c r="D536" s="24"/>
      <c r="E536" s="24" t="s">
        <v>1710</v>
      </c>
      <c r="F536" s="24">
        <v>1</v>
      </c>
      <c r="G536" s="24" t="s">
        <v>1308</v>
      </c>
      <c r="H536" s="24"/>
      <c r="I536" s="126"/>
      <c r="J536" s="124" t="s">
        <v>1709</v>
      </c>
      <c r="K536" s="124" t="s">
        <v>1711</v>
      </c>
      <c r="L536" s="124" t="s">
        <v>1712</v>
      </c>
      <c r="M536" s="124" t="s">
        <v>168</v>
      </c>
      <c r="N536" s="126"/>
      <c r="O536" s="126"/>
      <c r="P536" s="24"/>
      <c r="Q536" s="124" t="s">
        <v>1713</v>
      </c>
      <c r="R536" s="126"/>
      <c r="S536" s="124" t="s">
        <v>1459</v>
      </c>
      <c r="T536" s="126"/>
      <c r="U536" s="126"/>
      <c r="V536" s="160" t="s">
        <v>1277</v>
      </c>
      <c r="W536" s="24"/>
      <c r="X536" s="126"/>
      <c r="Y536" s="24"/>
      <c r="Z536" s="24"/>
      <c r="AA536" s="24"/>
      <c r="AB536" s="24"/>
      <c r="AC536" s="182"/>
      <c r="AD536" s="182"/>
      <c r="AE536" s="281">
        <v>249016007</v>
      </c>
      <c r="AF536" s="281" t="s">
        <v>1714</v>
      </c>
      <c r="AG536" s="115" t="s">
        <v>115</v>
      </c>
      <c r="AH536" s="115" t="s">
        <v>1715</v>
      </c>
      <c r="AI536" s="115" t="s">
        <v>614</v>
      </c>
      <c r="AJ536" s="24"/>
      <c r="AK536" s="24"/>
      <c r="AL536" s="24"/>
    </row>
    <row r="537" spans="1:38" ht="12.75" customHeight="1">
      <c r="A537" s="22">
        <v>535</v>
      </c>
      <c r="B537" s="24" t="s">
        <v>1716</v>
      </c>
      <c r="C537" s="24" t="s">
        <v>96</v>
      </c>
      <c r="D537" s="24"/>
      <c r="E537" s="24" t="s">
        <v>1710</v>
      </c>
      <c r="F537" s="24">
        <v>1</v>
      </c>
      <c r="G537" s="24" t="s">
        <v>1308</v>
      </c>
      <c r="H537" s="24"/>
      <c r="I537" s="126"/>
      <c r="J537" s="124" t="s">
        <v>1716</v>
      </c>
      <c r="K537" s="124" t="s">
        <v>1717</v>
      </c>
      <c r="L537" s="124" t="s">
        <v>1718</v>
      </c>
      <c r="M537" s="124" t="s">
        <v>202</v>
      </c>
      <c r="N537" s="161"/>
      <c r="O537" s="126"/>
      <c r="P537" s="24"/>
      <c r="Q537" s="126"/>
      <c r="R537" s="126"/>
      <c r="S537" s="124" t="s">
        <v>208</v>
      </c>
      <c r="T537" s="126"/>
      <c r="U537" s="126"/>
      <c r="V537" s="124" t="s">
        <v>1296</v>
      </c>
      <c r="W537" s="24"/>
      <c r="X537" s="126"/>
      <c r="Y537" s="24"/>
      <c r="Z537" s="24"/>
      <c r="AA537" s="24"/>
      <c r="AB537" s="24"/>
      <c r="AC537" s="233"/>
      <c r="AD537" s="233"/>
      <c r="AE537" s="233"/>
      <c r="AF537" s="282"/>
      <c r="AG537" s="115" t="s">
        <v>115</v>
      </c>
      <c r="AH537" s="115" t="s">
        <v>1719</v>
      </c>
      <c r="AI537" s="115" t="s">
        <v>1720</v>
      </c>
      <c r="AJ537" s="24"/>
      <c r="AK537" s="24"/>
      <c r="AL537" s="24"/>
    </row>
    <row r="538" spans="1:38" ht="12.75" customHeight="1">
      <c r="A538" s="22">
        <v>536</v>
      </c>
      <c r="B538" s="24" t="s">
        <v>113</v>
      </c>
      <c r="C538" s="24" t="s">
        <v>180</v>
      </c>
      <c r="D538" s="24" t="s">
        <v>1716</v>
      </c>
      <c r="E538" s="24" t="s">
        <v>1710</v>
      </c>
      <c r="F538" s="24">
        <v>1</v>
      </c>
      <c r="G538" s="24" t="s">
        <v>1308</v>
      </c>
      <c r="H538" s="24"/>
      <c r="I538" s="126"/>
      <c r="J538" s="124"/>
      <c r="K538" s="124"/>
      <c r="L538" s="124"/>
      <c r="M538" s="124"/>
      <c r="N538" s="161" t="s">
        <v>113</v>
      </c>
      <c r="O538" s="126"/>
      <c r="P538" s="24"/>
      <c r="Q538" s="126"/>
      <c r="R538" s="126"/>
      <c r="S538" s="124"/>
      <c r="T538" s="126"/>
      <c r="U538" s="126"/>
      <c r="V538" s="124"/>
      <c r="W538" s="24"/>
      <c r="X538" s="126"/>
      <c r="Y538" s="24"/>
      <c r="Z538" s="24"/>
      <c r="AA538" s="24"/>
      <c r="AB538" s="24"/>
      <c r="AC538" s="182"/>
      <c r="AD538" s="182"/>
      <c r="AE538" s="118">
        <v>373066001</v>
      </c>
      <c r="AF538" s="182"/>
      <c r="AG538" s="115" t="s">
        <v>115</v>
      </c>
      <c r="AH538" s="115" t="s">
        <v>206</v>
      </c>
      <c r="AI538" s="115" t="s">
        <v>207</v>
      </c>
      <c r="AJ538" s="24"/>
      <c r="AK538" s="24"/>
      <c r="AL538" s="24"/>
    </row>
    <row r="539" spans="1:38" ht="12.75" customHeight="1">
      <c r="A539" s="22">
        <v>537</v>
      </c>
      <c r="B539" s="24" t="s">
        <v>208</v>
      </c>
      <c r="C539" s="24" t="s">
        <v>180</v>
      </c>
      <c r="D539" s="24" t="s">
        <v>1716</v>
      </c>
      <c r="E539" s="24" t="s">
        <v>1710</v>
      </c>
      <c r="F539" s="24">
        <v>1</v>
      </c>
      <c r="G539" s="24" t="s">
        <v>1308</v>
      </c>
      <c r="H539" s="24"/>
      <c r="I539" s="126"/>
      <c r="J539" s="124"/>
      <c r="K539" s="124"/>
      <c r="L539" s="124"/>
      <c r="M539" s="124"/>
      <c r="N539" s="126" t="s">
        <v>208</v>
      </c>
      <c r="O539" s="126"/>
      <c r="P539" s="24"/>
      <c r="Q539" s="126"/>
      <c r="R539" s="126"/>
      <c r="S539" s="124"/>
      <c r="T539" s="126"/>
      <c r="U539" s="126"/>
      <c r="V539" s="124"/>
      <c r="W539" s="24"/>
      <c r="X539" s="126"/>
      <c r="Y539" s="24"/>
      <c r="Z539" s="24"/>
      <c r="AA539" s="24"/>
      <c r="AB539" s="24"/>
      <c r="AC539" s="182"/>
      <c r="AD539" s="182"/>
      <c r="AE539" s="118">
        <v>373067005</v>
      </c>
      <c r="AF539" s="182"/>
      <c r="AG539" s="115" t="s">
        <v>115</v>
      </c>
      <c r="AH539" s="115" t="s">
        <v>209</v>
      </c>
      <c r="AI539" s="115" t="s">
        <v>210</v>
      </c>
      <c r="AJ539" s="24"/>
      <c r="AK539" s="24"/>
      <c r="AL539" s="24"/>
    </row>
    <row r="540" spans="1:38" ht="12.75" customHeight="1">
      <c r="A540" s="22">
        <v>538</v>
      </c>
      <c r="B540" s="24" t="s">
        <v>1722</v>
      </c>
      <c r="C540" s="24" t="s">
        <v>96</v>
      </c>
      <c r="D540" s="24"/>
      <c r="E540" s="24" t="s">
        <v>1710</v>
      </c>
      <c r="F540" s="24">
        <v>1</v>
      </c>
      <c r="G540" s="24" t="s">
        <v>1308</v>
      </c>
      <c r="H540" s="24"/>
      <c r="I540" s="126"/>
      <c r="J540" s="124" t="s">
        <v>1722</v>
      </c>
      <c r="K540" s="124" t="s">
        <v>1723</v>
      </c>
      <c r="L540" s="124" t="s">
        <v>1724</v>
      </c>
      <c r="M540" s="124" t="s">
        <v>202</v>
      </c>
      <c r="N540" s="161"/>
      <c r="O540" s="126"/>
      <c r="P540" s="24"/>
      <c r="Q540" s="126"/>
      <c r="R540" s="126"/>
      <c r="S540" s="124" t="s">
        <v>113</v>
      </c>
      <c r="T540" s="126"/>
      <c r="U540" s="126"/>
      <c r="V540" s="124" t="s">
        <v>1277</v>
      </c>
      <c r="W540" s="24"/>
      <c r="X540" s="126"/>
      <c r="Y540" s="24"/>
      <c r="Z540" s="24"/>
      <c r="AA540" s="24"/>
      <c r="AB540" s="24"/>
      <c r="AC540" s="233"/>
      <c r="AD540" s="233"/>
      <c r="AE540" s="233"/>
      <c r="AF540" s="233"/>
      <c r="AG540" s="115" t="s">
        <v>115</v>
      </c>
      <c r="AH540" s="115" t="s">
        <v>1725</v>
      </c>
      <c r="AI540" s="115" t="s">
        <v>1726</v>
      </c>
      <c r="AJ540" s="24"/>
      <c r="AK540" s="24"/>
      <c r="AL540" s="24"/>
    </row>
    <row r="541" spans="1:38" ht="12.75" customHeight="1">
      <c r="A541" s="22">
        <v>539</v>
      </c>
      <c r="B541" s="24" t="s">
        <v>113</v>
      </c>
      <c r="C541" s="24" t="s">
        <v>180</v>
      </c>
      <c r="D541" s="24" t="s">
        <v>1722</v>
      </c>
      <c r="E541" s="24" t="s">
        <v>1710</v>
      </c>
      <c r="F541" s="24">
        <v>1</v>
      </c>
      <c r="G541" s="24" t="s">
        <v>1308</v>
      </c>
      <c r="H541" s="24"/>
      <c r="I541" s="126"/>
      <c r="J541" s="124"/>
      <c r="K541" s="124"/>
      <c r="L541" s="124"/>
      <c r="M541" s="124"/>
      <c r="N541" s="161" t="s">
        <v>113</v>
      </c>
      <c r="O541" s="126"/>
      <c r="P541" s="24"/>
      <c r="Q541" s="126"/>
      <c r="R541" s="126"/>
      <c r="S541" s="124"/>
      <c r="T541" s="126"/>
      <c r="U541" s="126"/>
      <c r="V541" s="124"/>
      <c r="W541" s="24"/>
      <c r="X541" s="126"/>
      <c r="Y541" s="24"/>
      <c r="Z541" s="24"/>
      <c r="AA541" s="24"/>
      <c r="AB541" s="24"/>
      <c r="AC541" s="182"/>
      <c r="AD541" s="182"/>
      <c r="AE541" s="118">
        <v>373066001</v>
      </c>
      <c r="AF541" s="182"/>
      <c r="AG541" s="115" t="s">
        <v>115</v>
      </c>
      <c r="AH541" s="115" t="s">
        <v>206</v>
      </c>
      <c r="AI541" s="115" t="s">
        <v>207</v>
      </c>
      <c r="AJ541" s="24"/>
      <c r="AK541" s="24"/>
      <c r="AL541" s="24"/>
    </row>
    <row r="542" spans="1:38" ht="12.75" customHeight="1">
      <c r="A542" s="22">
        <v>540</v>
      </c>
      <c r="B542" s="24" t="s">
        <v>208</v>
      </c>
      <c r="C542" s="24" t="s">
        <v>180</v>
      </c>
      <c r="D542" s="24" t="s">
        <v>1722</v>
      </c>
      <c r="E542" s="24" t="s">
        <v>1710</v>
      </c>
      <c r="F542" s="24">
        <v>1</v>
      </c>
      <c r="G542" s="24" t="s">
        <v>1308</v>
      </c>
      <c r="H542" s="24"/>
      <c r="I542" s="126"/>
      <c r="J542" s="124"/>
      <c r="K542" s="124"/>
      <c r="L542" s="124"/>
      <c r="M542" s="124"/>
      <c r="N542" s="126" t="s">
        <v>208</v>
      </c>
      <c r="O542" s="126"/>
      <c r="P542" s="24"/>
      <c r="Q542" s="126"/>
      <c r="R542" s="126"/>
      <c r="S542" s="124"/>
      <c r="T542" s="126"/>
      <c r="U542" s="126"/>
      <c r="V542" s="124"/>
      <c r="W542" s="24"/>
      <c r="X542" s="126"/>
      <c r="Y542" s="24"/>
      <c r="Z542" s="24"/>
      <c r="AA542" s="24"/>
      <c r="AB542" s="24"/>
      <c r="AC542" s="182"/>
      <c r="AD542" s="182"/>
      <c r="AE542" s="118">
        <v>373067005</v>
      </c>
      <c r="AF542" s="182"/>
      <c r="AG542" s="115" t="s">
        <v>115</v>
      </c>
      <c r="AH542" s="115" t="s">
        <v>209</v>
      </c>
      <c r="AI542" s="115" t="s">
        <v>210</v>
      </c>
      <c r="AJ542" s="24"/>
      <c r="AK542" s="24"/>
      <c r="AL542" s="24"/>
    </row>
    <row r="543" spans="1:38" ht="12.75" customHeight="1">
      <c r="A543" s="22">
        <v>541</v>
      </c>
      <c r="B543" s="24" t="s">
        <v>1727</v>
      </c>
      <c r="C543" s="24" t="s">
        <v>96</v>
      </c>
      <c r="D543" s="24"/>
      <c r="E543" s="24" t="s">
        <v>1710</v>
      </c>
      <c r="F543" s="24">
        <v>1</v>
      </c>
      <c r="G543" s="24" t="s">
        <v>1308</v>
      </c>
      <c r="H543" s="24"/>
      <c r="I543" s="126"/>
      <c r="J543" s="160" t="s">
        <v>1727</v>
      </c>
      <c r="K543" s="124" t="s">
        <v>1728</v>
      </c>
      <c r="L543" s="124" t="s">
        <v>1729</v>
      </c>
      <c r="M543" s="124" t="s">
        <v>168</v>
      </c>
      <c r="N543" s="126"/>
      <c r="O543" s="126"/>
      <c r="P543" s="24"/>
      <c r="Q543" s="124" t="s">
        <v>1730</v>
      </c>
      <c r="R543" s="126"/>
      <c r="S543" s="124" t="s">
        <v>208</v>
      </c>
      <c r="T543" s="126"/>
      <c r="U543" s="126"/>
      <c r="V543" s="124" t="s">
        <v>115</v>
      </c>
      <c r="W543" s="24"/>
      <c r="X543" s="126"/>
      <c r="Y543" s="24"/>
      <c r="Z543" s="24"/>
      <c r="AA543" s="24"/>
      <c r="AB543" s="24"/>
      <c r="AC543" s="182"/>
      <c r="AD543" s="182"/>
      <c r="AE543" s="121">
        <v>249043002</v>
      </c>
      <c r="AF543" s="182"/>
      <c r="AG543" s="115" t="s">
        <v>115</v>
      </c>
      <c r="AH543" s="115" t="s">
        <v>1731</v>
      </c>
      <c r="AI543" s="115" t="s">
        <v>1732</v>
      </c>
      <c r="AJ543" s="24"/>
      <c r="AK543" s="24"/>
      <c r="AL543" s="24"/>
    </row>
    <row r="544" spans="1:38" ht="12.75" customHeight="1">
      <c r="A544" s="22">
        <v>542</v>
      </c>
      <c r="B544" s="24" t="s">
        <v>1733</v>
      </c>
      <c r="C544" s="24" t="s">
        <v>96</v>
      </c>
      <c r="D544" s="24"/>
      <c r="E544" s="24" t="s">
        <v>1710</v>
      </c>
      <c r="F544" s="24">
        <v>1</v>
      </c>
      <c r="G544" s="24" t="s">
        <v>1308</v>
      </c>
      <c r="H544" s="24"/>
      <c r="I544" s="126"/>
      <c r="J544" s="130" t="s">
        <v>1733</v>
      </c>
      <c r="K544" s="130" t="s">
        <v>1734</v>
      </c>
      <c r="L544" s="124" t="s">
        <v>1735</v>
      </c>
      <c r="M544" s="130" t="s">
        <v>168</v>
      </c>
      <c r="N544" s="126"/>
      <c r="O544" s="126"/>
      <c r="P544" s="24"/>
      <c r="Q544" s="124" t="s">
        <v>1730</v>
      </c>
      <c r="R544" s="126"/>
      <c r="S544" s="130" t="s">
        <v>113</v>
      </c>
      <c r="T544" s="126"/>
      <c r="U544" s="126"/>
      <c r="V544" s="124" t="s">
        <v>115</v>
      </c>
      <c r="W544" s="24"/>
      <c r="X544" s="126"/>
      <c r="Y544" s="24"/>
      <c r="Z544" s="24"/>
      <c r="AA544" s="24"/>
      <c r="AB544" s="24"/>
      <c r="AC544" s="182"/>
      <c r="AD544" s="182"/>
      <c r="AE544" s="121">
        <v>249043002</v>
      </c>
      <c r="AF544" s="182"/>
      <c r="AG544" s="115" t="s">
        <v>115</v>
      </c>
      <c r="AH544" s="115" t="s">
        <v>1731</v>
      </c>
      <c r="AI544" s="115" t="s">
        <v>1732</v>
      </c>
      <c r="AJ544" s="24"/>
      <c r="AK544" s="24"/>
      <c r="AL544" s="24"/>
    </row>
    <row r="545" spans="1:40" ht="12.75" customHeight="1">
      <c r="A545" s="22">
        <v>543</v>
      </c>
      <c r="B545" s="24" t="s">
        <v>1736</v>
      </c>
      <c r="C545" s="24" t="s">
        <v>96</v>
      </c>
      <c r="D545" s="24"/>
      <c r="E545" s="24" t="s">
        <v>1710</v>
      </c>
      <c r="F545" s="24">
        <v>1</v>
      </c>
      <c r="G545" s="24" t="s">
        <v>1308</v>
      </c>
      <c r="H545" s="24"/>
      <c r="I545" s="126"/>
      <c r="J545" s="124" t="s">
        <v>1736</v>
      </c>
      <c r="K545" s="124" t="s">
        <v>1737</v>
      </c>
      <c r="L545" s="124" t="s">
        <v>1738</v>
      </c>
      <c r="M545" s="124" t="s">
        <v>168</v>
      </c>
      <c r="N545" s="126"/>
      <c r="O545" s="124"/>
      <c r="P545" s="24"/>
      <c r="Q545" s="124" t="s">
        <v>1739</v>
      </c>
      <c r="R545" s="126"/>
      <c r="S545" s="124" t="s">
        <v>1740</v>
      </c>
      <c r="T545" s="126"/>
      <c r="U545" s="126"/>
      <c r="V545" s="124" t="s">
        <v>1741</v>
      </c>
      <c r="W545" s="24"/>
      <c r="X545" s="126"/>
      <c r="Y545" s="24"/>
      <c r="Z545" s="24"/>
      <c r="AA545" s="24"/>
      <c r="AB545" s="24"/>
      <c r="AC545" s="233"/>
      <c r="AD545" s="233"/>
      <c r="AE545" s="233"/>
      <c r="AF545" s="233"/>
      <c r="AG545" s="115" t="s">
        <v>115</v>
      </c>
      <c r="AH545" s="115" t="s">
        <v>1742</v>
      </c>
      <c r="AI545" s="115" t="s">
        <v>1743</v>
      </c>
      <c r="AJ545" s="24"/>
      <c r="AK545" s="24"/>
      <c r="AL545" s="24"/>
    </row>
    <row r="546" spans="1:40" ht="12.75" customHeight="1">
      <c r="A546" s="22">
        <v>544</v>
      </c>
      <c r="B546" s="24" t="s">
        <v>1744</v>
      </c>
      <c r="C546" s="24" t="s">
        <v>96</v>
      </c>
      <c r="D546" s="24"/>
      <c r="E546" s="24" t="s">
        <v>1710</v>
      </c>
      <c r="F546" s="24">
        <v>1</v>
      </c>
      <c r="G546" s="24" t="s">
        <v>1308</v>
      </c>
      <c r="H546" s="24"/>
      <c r="I546" s="126"/>
      <c r="J546" s="124" t="s">
        <v>1744</v>
      </c>
      <c r="K546" s="124" t="s">
        <v>1745</v>
      </c>
      <c r="L546" s="124" t="s">
        <v>1746</v>
      </c>
      <c r="M546" s="124" t="s">
        <v>153</v>
      </c>
      <c r="N546" s="126"/>
      <c r="O546" s="124"/>
      <c r="P546" s="24"/>
      <c r="Q546" s="124"/>
      <c r="R546" s="126"/>
      <c r="S546" s="124" t="s">
        <v>1740</v>
      </c>
      <c r="T546" s="126"/>
      <c r="U546" s="126"/>
      <c r="V546" s="124" t="s">
        <v>1741</v>
      </c>
      <c r="W546" s="24"/>
      <c r="X546" s="126"/>
      <c r="Y546" s="24"/>
      <c r="Z546" s="24"/>
      <c r="AA546" s="24"/>
      <c r="AB546" s="24"/>
      <c r="AC546" s="233"/>
      <c r="AD546" s="233"/>
      <c r="AE546" s="233"/>
      <c r="AF546" s="233"/>
      <c r="AG546" s="115" t="s">
        <v>115</v>
      </c>
      <c r="AH546" s="115" t="s">
        <v>1747</v>
      </c>
      <c r="AI546" s="115" t="s">
        <v>1748</v>
      </c>
      <c r="AJ546" s="24"/>
      <c r="AK546" s="24"/>
      <c r="AL546" s="24"/>
    </row>
    <row r="547" spans="1:40" ht="12.75" customHeight="1">
      <c r="A547" s="22">
        <v>545</v>
      </c>
      <c r="B547" s="24" t="s">
        <v>1750</v>
      </c>
      <c r="C547" s="24" t="s">
        <v>96</v>
      </c>
      <c r="D547" s="24"/>
      <c r="E547" s="24" t="s">
        <v>1710</v>
      </c>
      <c r="F547" s="24">
        <v>1</v>
      </c>
      <c r="G547" s="24" t="s">
        <v>1308</v>
      </c>
      <c r="H547" s="24"/>
      <c r="I547" s="126"/>
      <c r="J547" s="124" t="s">
        <v>1750</v>
      </c>
      <c r="K547" s="124" t="s">
        <v>1751</v>
      </c>
      <c r="L547" s="124" t="s">
        <v>1752</v>
      </c>
      <c r="M547" s="124" t="s">
        <v>202</v>
      </c>
      <c r="N547" s="126"/>
      <c r="O547" s="124"/>
      <c r="P547" s="24"/>
      <c r="Q547" s="126"/>
      <c r="R547" s="126"/>
      <c r="S547" s="130" t="s">
        <v>113</v>
      </c>
      <c r="T547" s="126"/>
      <c r="U547" s="126"/>
      <c r="V547" s="124" t="s">
        <v>1753</v>
      </c>
      <c r="W547" s="24"/>
      <c r="X547" s="126"/>
      <c r="Y547" s="24"/>
      <c r="Z547" s="24"/>
      <c r="AA547" s="24"/>
      <c r="AB547" s="24"/>
      <c r="AC547" s="182"/>
      <c r="AD547" s="182"/>
      <c r="AE547" s="113">
        <v>271692001</v>
      </c>
      <c r="AF547" s="182"/>
      <c r="AG547" s="115" t="s">
        <v>115</v>
      </c>
      <c r="AH547" s="115" t="s">
        <v>1754</v>
      </c>
      <c r="AI547" s="115" t="s">
        <v>1755</v>
      </c>
      <c r="AJ547" s="24"/>
      <c r="AK547" s="24"/>
      <c r="AL547" s="24"/>
    </row>
    <row r="548" spans="1:40" ht="12.75" customHeight="1">
      <c r="A548" s="22">
        <v>546</v>
      </c>
      <c r="B548" s="24" t="s">
        <v>936</v>
      </c>
      <c r="C548" s="24" t="s">
        <v>180</v>
      </c>
      <c r="D548" s="24" t="s">
        <v>1750</v>
      </c>
      <c r="E548" s="24" t="s">
        <v>1710</v>
      </c>
      <c r="F548" s="24">
        <v>1</v>
      </c>
      <c r="G548" s="24" t="s">
        <v>1308</v>
      </c>
      <c r="H548" s="24"/>
      <c r="I548" s="126"/>
      <c r="J548" s="126"/>
      <c r="K548" s="126"/>
      <c r="L548" s="126"/>
      <c r="M548" s="126"/>
      <c r="N548" s="126" t="s">
        <v>936</v>
      </c>
      <c r="O548" s="126"/>
      <c r="P548" s="24"/>
      <c r="Q548" s="126"/>
      <c r="R548" s="126"/>
      <c r="S548" s="126"/>
      <c r="T548" s="126"/>
      <c r="U548" s="126"/>
      <c r="V548" s="126"/>
      <c r="W548" s="24"/>
      <c r="X548" s="126"/>
      <c r="Y548" s="24"/>
      <c r="Z548" s="24"/>
      <c r="AA548" s="24"/>
      <c r="AB548" s="24"/>
      <c r="AC548" s="182"/>
      <c r="AD548" s="182"/>
      <c r="AE548" s="113">
        <v>261665006</v>
      </c>
      <c r="AF548" s="182"/>
      <c r="AG548" s="115" t="s">
        <v>115</v>
      </c>
      <c r="AH548" s="115" t="s">
        <v>501</v>
      </c>
      <c r="AI548" s="115" t="s">
        <v>503</v>
      </c>
      <c r="AJ548" s="24"/>
      <c r="AK548" s="24"/>
      <c r="AL548" s="24"/>
    </row>
    <row r="549" spans="1:40" ht="12.75" customHeight="1">
      <c r="A549" s="22">
        <v>547</v>
      </c>
      <c r="B549" s="24" t="s">
        <v>1756</v>
      </c>
      <c r="C549" s="24" t="s">
        <v>180</v>
      </c>
      <c r="D549" s="24" t="s">
        <v>1750</v>
      </c>
      <c r="E549" s="24" t="s">
        <v>1710</v>
      </c>
      <c r="F549" s="24">
        <v>1</v>
      </c>
      <c r="G549" s="24" t="s">
        <v>1308</v>
      </c>
      <c r="H549" s="24"/>
      <c r="I549" s="126"/>
      <c r="J549" s="126"/>
      <c r="K549" s="126"/>
      <c r="L549" s="126"/>
      <c r="M549" s="126"/>
      <c r="N549" s="124" t="s">
        <v>1756</v>
      </c>
      <c r="O549" s="126"/>
      <c r="P549" s="24"/>
      <c r="Q549" s="126"/>
      <c r="R549" s="126"/>
      <c r="S549" s="126"/>
      <c r="T549" s="126"/>
      <c r="U549" s="126"/>
      <c r="V549" s="126"/>
      <c r="W549" s="24"/>
      <c r="X549" s="126"/>
      <c r="Y549" s="24"/>
      <c r="Z549" s="24"/>
      <c r="AA549" s="24"/>
      <c r="AB549" s="24"/>
      <c r="AC549" s="182"/>
      <c r="AD549" s="182"/>
      <c r="AE549" s="113">
        <v>70028003</v>
      </c>
      <c r="AF549" s="182"/>
      <c r="AG549" s="115" t="s">
        <v>115</v>
      </c>
      <c r="AH549" s="115" t="s">
        <v>1757</v>
      </c>
      <c r="AI549" s="115" t="s">
        <v>1758</v>
      </c>
      <c r="AJ549" s="24"/>
      <c r="AK549" s="24"/>
      <c r="AL549" s="24"/>
    </row>
    <row r="550" spans="1:40" ht="12.75" customHeight="1">
      <c r="A550" s="22">
        <v>548</v>
      </c>
      <c r="B550" s="24" t="s">
        <v>1759</v>
      </c>
      <c r="C550" s="24" t="s">
        <v>180</v>
      </c>
      <c r="D550" s="24" t="s">
        <v>1750</v>
      </c>
      <c r="E550" s="24" t="s">
        <v>1710</v>
      </c>
      <c r="F550" s="24">
        <v>1</v>
      </c>
      <c r="G550" s="24" t="s">
        <v>1308</v>
      </c>
      <c r="H550" s="24"/>
      <c r="I550" s="126"/>
      <c r="J550" s="126"/>
      <c r="K550" s="126"/>
      <c r="L550" s="126"/>
      <c r="M550" s="126"/>
      <c r="N550" s="124" t="s">
        <v>1759</v>
      </c>
      <c r="O550" s="126"/>
      <c r="P550" s="24"/>
      <c r="Q550" s="126"/>
      <c r="R550" s="126"/>
      <c r="S550" s="126"/>
      <c r="T550" s="126"/>
      <c r="U550" s="126"/>
      <c r="V550" s="126"/>
      <c r="W550" s="24"/>
      <c r="X550" s="126"/>
      <c r="Y550" s="24"/>
      <c r="Z550" s="24"/>
      <c r="AA550" s="24"/>
      <c r="AB550" s="24"/>
      <c r="AC550" s="233"/>
      <c r="AD550" s="233"/>
      <c r="AE550" s="275"/>
      <c r="AF550" s="233"/>
      <c r="AG550" s="115" t="s">
        <v>115</v>
      </c>
      <c r="AH550" s="115" t="s">
        <v>1760</v>
      </c>
      <c r="AI550" s="115" t="s">
        <v>1761</v>
      </c>
      <c r="AJ550" s="24"/>
      <c r="AK550" s="24"/>
      <c r="AL550" s="24"/>
    </row>
    <row r="551" spans="1:40" ht="12.75" customHeight="1">
      <c r="A551" s="22">
        <v>549</v>
      </c>
      <c r="B551" s="24" t="s">
        <v>1762</v>
      </c>
      <c r="C551" s="24" t="s">
        <v>180</v>
      </c>
      <c r="D551" s="24" t="s">
        <v>1750</v>
      </c>
      <c r="E551" s="24" t="s">
        <v>1710</v>
      </c>
      <c r="F551" s="24">
        <v>1</v>
      </c>
      <c r="G551" s="24" t="s">
        <v>1308</v>
      </c>
      <c r="H551" s="24"/>
      <c r="I551" s="126"/>
      <c r="J551" s="126"/>
      <c r="K551" s="126"/>
      <c r="L551" s="126"/>
      <c r="M551" s="126"/>
      <c r="N551" s="124" t="s">
        <v>1762</v>
      </c>
      <c r="O551" s="126"/>
      <c r="P551" s="24"/>
      <c r="Q551" s="126"/>
      <c r="R551" s="126"/>
      <c r="S551" s="126"/>
      <c r="T551" s="126"/>
      <c r="U551" s="126"/>
      <c r="V551" s="126"/>
      <c r="W551" s="24"/>
      <c r="X551" s="126"/>
      <c r="Y551" s="24"/>
      <c r="Z551" s="24"/>
      <c r="AA551" s="24"/>
      <c r="AB551" s="24"/>
      <c r="AC551" s="182"/>
      <c r="AD551" s="182"/>
      <c r="AE551" s="113">
        <v>11914001</v>
      </c>
      <c r="AF551" s="182"/>
      <c r="AG551" s="115" t="s">
        <v>115</v>
      </c>
      <c r="AH551" s="115" t="s">
        <v>1763</v>
      </c>
      <c r="AI551" s="115" t="s">
        <v>1764</v>
      </c>
      <c r="AJ551" s="24"/>
      <c r="AK551" s="24"/>
      <c r="AL551" s="24"/>
    </row>
    <row r="552" spans="1:40" ht="12.75" customHeight="1">
      <c r="A552" s="22">
        <v>550</v>
      </c>
      <c r="B552" s="24" t="s">
        <v>1387</v>
      </c>
      <c r="C552" s="24" t="s">
        <v>180</v>
      </c>
      <c r="D552" s="24" t="s">
        <v>1750</v>
      </c>
      <c r="E552" s="24" t="s">
        <v>1710</v>
      </c>
      <c r="F552" s="24">
        <v>1</v>
      </c>
      <c r="G552" s="24" t="s">
        <v>1308</v>
      </c>
      <c r="H552" s="24"/>
      <c r="I552" s="126"/>
      <c r="J552" s="126"/>
      <c r="K552" s="126"/>
      <c r="L552" s="126"/>
      <c r="M552" s="126"/>
      <c r="N552" s="124" t="s">
        <v>1387</v>
      </c>
      <c r="O552" s="126"/>
      <c r="P552" s="24"/>
      <c r="Q552" s="126"/>
      <c r="R552" s="126"/>
      <c r="S552" s="126"/>
      <c r="T552" s="126"/>
      <c r="U552" s="126"/>
      <c r="V552" s="126"/>
      <c r="W552" s="24"/>
      <c r="X552" s="126"/>
      <c r="Y552" s="24"/>
      <c r="Z552" s="24"/>
      <c r="AA552" s="24"/>
      <c r="AB552" s="24"/>
      <c r="AC552" s="182"/>
      <c r="AD552" s="182"/>
      <c r="AE552" s="175" t="s">
        <v>1585</v>
      </c>
      <c r="AF552" s="182"/>
      <c r="AG552" s="115" t="s">
        <v>115</v>
      </c>
      <c r="AH552" s="115" t="s">
        <v>406</v>
      </c>
      <c r="AI552" s="115" t="s">
        <v>407</v>
      </c>
      <c r="AJ552" s="24"/>
      <c r="AK552" s="24"/>
      <c r="AL552" s="24"/>
      <c r="AM552" s="24"/>
      <c r="AN552" s="24"/>
    </row>
    <row r="553" spans="1:40" ht="12.75" customHeight="1">
      <c r="A553" s="22">
        <v>551</v>
      </c>
      <c r="B553" s="24" t="str">
        <f t="shared" ref="B553:B828" si="0">IF(N553="",IF(M553="Calculation",K553,J553),N553)</f>
        <v>Ultrasound test</v>
      </c>
      <c r="C553" s="24" t="str">
        <f t="shared" ref="C553:C824" si="1">IF(N553="",IF(M553="Calculation","Calculation","Data Element"),"Input Option")</f>
        <v>Data Element</v>
      </c>
      <c r="D553" s="24"/>
      <c r="E553" s="24" t="s">
        <v>1766</v>
      </c>
      <c r="F553" s="24">
        <v>1</v>
      </c>
      <c r="G553" s="24" t="s">
        <v>1767</v>
      </c>
      <c r="H553" s="24"/>
      <c r="I553" s="283"/>
      <c r="J553" s="224" t="s">
        <v>1765</v>
      </c>
      <c r="K553" s="224" t="s">
        <v>1768</v>
      </c>
      <c r="L553" s="224" t="s">
        <v>1769</v>
      </c>
      <c r="M553" s="224" t="s">
        <v>202</v>
      </c>
      <c r="N553" s="224"/>
      <c r="O553" s="224"/>
      <c r="P553" s="24"/>
      <c r="Q553" s="224"/>
      <c r="R553" s="283"/>
      <c r="S553" s="224" t="s">
        <v>113</v>
      </c>
      <c r="T553" s="283"/>
      <c r="U553" s="283"/>
      <c r="V553" s="224" t="s">
        <v>1770</v>
      </c>
      <c r="W553" s="24"/>
      <c r="X553" s="283"/>
      <c r="Y553" s="24"/>
      <c r="Z553" s="24"/>
      <c r="AA553" s="24"/>
      <c r="AB553" s="24"/>
      <c r="AC553" s="284"/>
      <c r="AD553" s="284"/>
      <c r="AE553" s="284"/>
      <c r="AF553" s="284"/>
      <c r="AG553" s="285" t="s">
        <v>1772</v>
      </c>
      <c r="AH553" s="205" t="s">
        <v>1773</v>
      </c>
      <c r="AI553" s="285" t="s">
        <v>1774</v>
      </c>
      <c r="AJ553" s="24"/>
      <c r="AK553" s="24"/>
      <c r="AL553" s="24"/>
    </row>
    <row r="554" spans="1:40" ht="12.75" customHeight="1">
      <c r="A554" s="22">
        <v>552</v>
      </c>
      <c r="B554" s="24" t="str">
        <f t="shared" si="0"/>
        <v>Done today</v>
      </c>
      <c r="C554" s="24" t="str">
        <f t="shared" si="1"/>
        <v>Input Option</v>
      </c>
      <c r="D554" s="24" t="str">
        <f t="shared" ref="D554:D1229" si="2">IF(C554="Input Option",IF(D553="",B553,D553),"")</f>
        <v>Ultrasound test</v>
      </c>
      <c r="E554" s="24" t="s">
        <v>1766</v>
      </c>
      <c r="F554" s="24">
        <v>1</v>
      </c>
      <c r="G554" s="24" t="s">
        <v>1767</v>
      </c>
      <c r="H554" s="24"/>
      <c r="I554" s="283"/>
      <c r="J554" s="224"/>
      <c r="K554" s="224"/>
      <c r="L554" s="224"/>
      <c r="M554" s="224"/>
      <c r="N554" s="224" t="s">
        <v>1775</v>
      </c>
      <c r="O554" s="224"/>
      <c r="P554" s="24"/>
      <c r="Q554" s="224"/>
      <c r="R554" s="283"/>
      <c r="S554" s="224"/>
      <c r="T554" s="283"/>
      <c r="U554" s="283"/>
      <c r="V554" s="164"/>
      <c r="W554" s="24"/>
      <c r="X554" s="283"/>
      <c r="Y554" s="24"/>
      <c r="Z554" s="24"/>
      <c r="AA554" s="24"/>
      <c r="AB554" s="24"/>
      <c r="AC554" s="284"/>
      <c r="AD554" s="284"/>
      <c r="AE554" s="284"/>
      <c r="AF554" s="284"/>
      <c r="AG554" s="285" t="s">
        <v>115</v>
      </c>
      <c r="AH554" s="285" t="s">
        <v>1777</v>
      </c>
      <c r="AI554" s="285" t="s">
        <v>1778</v>
      </c>
      <c r="AJ554" s="24"/>
      <c r="AK554" s="24"/>
      <c r="AL554" s="24"/>
    </row>
    <row r="555" spans="1:40" ht="12.75" customHeight="1">
      <c r="A555" s="22">
        <v>553</v>
      </c>
      <c r="B555" s="24" t="str">
        <f t="shared" si="0"/>
        <v>Done earlier</v>
      </c>
      <c r="C555" s="24" t="str">
        <f t="shared" si="1"/>
        <v>Input Option</v>
      </c>
      <c r="D555" s="24" t="str">
        <f t="shared" si="2"/>
        <v>Ultrasound test</v>
      </c>
      <c r="E555" s="24" t="s">
        <v>1766</v>
      </c>
      <c r="F555" s="24">
        <v>1</v>
      </c>
      <c r="G555" s="24" t="s">
        <v>1767</v>
      </c>
      <c r="H555" s="24"/>
      <c r="I555" s="283"/>
      <c r="J555" s="224"/>
      <c r="K555" s="224"/>
      <c r="L555" s="224"/>
      <c r="M555" s="224"/>
      <c r="N555" s="204" t="s">
        <v>1779</v>
      </c>
      <c r="O555" s="224"/>
      <c r="P555" s="24"/>
      <c r="Q555" s="224"/>
      <c r="R555" s="283"/>
      <c r="S555" s="224"/>
      <c r="T555" s="283"/>
      <c r="U555" s="283"/>
      <c r="V555" s="164"/>
      <c r="W555" s="24"/>
      <c r="X555" s="283"/>
      <c r="Y555" s="24"/>
      <c r="Z555" s="24"/>
      <c r="AA555" s="24"/>
      <c r="AB555" s="24"/>
      <c r="AC555" s="284"/>
      <c r="AD555" s="284"/>
      <c r="AE555" s="286"/>
      <c r="AF555" s="284"/>
      <c r="AG555" s="285" t="s">
        <v>115</v>
      </c>
      <c r="AH555" s="285" t="s">
        <v>1781</v>
      </c>
      <c r="AI555" s="285" t="s">
        <v>1782</v>
      </c>
      <c r="AJ555" s="24"/>
      <c r="AK555" s="24"/>
      <c r="AL555" s="24"/>
    </row>
    <row r="556" spans="1:40" ht="12.75" customHeight="1">
      <c r="A556" s="22">
        <v>554</v>
      </c>
      <c r="B556" s="24" t="str">
        <f t="shared" si="0"/>
        <v>Ordered</v>
      </c>
      <c r="C556" s="24" t="str">
        <f t="shared" si="1"/>
        <v>Input Option</v>
      </c>
      <c r="D556" s="24" t="str">
        <f t="shared" si="2"/>
        <v>Ultrasound test</v>
      </c>
      <c r="E556" s="24" t="s">
        <v>1766</v>
      </c>
      <c r="F556" s="24">
        <v>1</v>
      </c>
      <c r="G556" s="24" t="s">
        <v>1767</v>
      </c>
      <c r="H556" s="24"/>
      <c r="I556" s="283"/>
      <c r="J556" s="224"/>
      <c r="K556" s="224"/>
      <c r="L556" s="224"/>
      <c r="M556" s="224"/>
      <c r="N556" s="204" t="s">
        <v>1783</v>
      </c>
      <c r="O556" s="224"/>
      <c r="P556" s="24"/>
      <c r="Q556" s="224"/>
      <c r="R556" s="283"/>
      <c r="S556" s="224"/>
      <c r="T556" s="283"/>
      <c r="U556" s="283"/>
      <c r="V556" s="164"/>
      <c r="W556" s="24"/>
      <c r="X556" s="283"/>
      <c r="Y556" s="24"/>
      <c r="Z556" s="24"/>
      <c r="AA556" s="24"/>
      <c r="AB556" s="24"/>
      <c r="AC556" s="284"/>
      <c r="AD556" s="284"/>
      <c r="AE556" s="286"/>
      <c r="AF556" s="284"/>
      <c r="AG556" s="285" t="s">
        <v>115</v>
      </c>
      <c r="AH556" s="285" t="s">
        <v>1784</v>
      </c>
      <c r="AI556" s="205" t="s">
        <v>1785</v>
      </c>
      <c r="AJ556" s="24"/>
      <c r="AK556" s="24"/>
      <c r="AL556" s="24"/>
    </row>
    <row r="557" spans="1:40" ht="12.75" customHeight="1">
      <c r="A557" s="22">
        <v>555</v>
      </c>
      <c r="B557" s="24" t="str">
        <f t="shared" si="0"/>
        <v>Not done</v>
      </c>
      <c r="C557" s="24" t="str">
        <f t="shared" si="1"/>
        <v>Input Option</v>
      </c>
      <c r="D557" s="24" t="str">
        <f t="shared" si="2"/>
        <v>Ultrasound test</v>
      </c>
      <c r="E557" s="24" t="s">
        <v>1766</v>
      </c>
      <c r="F557" s="24">
        <v>1</v>
      </c>
      <c r="G557" s="24" t="s">
        <v>1767</v>
      </c>
      <c r="H557" s="24"/>
      <c r="I557" s="283"/>
      <c r="J557" s="224"/>
      <c r="K557" s="224"/>
      <c r="L557" s="224"/>
      <c r="M557" s="224"/>
      <c r="N557" s="204" t="s">
        <v>1468</v>
      </c>
      <c r="O557" s="224"/>
      <c r="P557" s="24"/>
      <c r="Q557" s="224"/>
      <c r="R557" s="283"/>
      <c r="S557" s="224"/>
      <c r="T557" s="283"/>
      <c r="U557" s="283"/>
      <c r="V557" s="164"/>
      <c r="W557" s="24"/>
      <c r="X557" s="283"/>
      <c r="Y557" s="24"/>
      <c r="Z557" s="24"/>
      <c r="AA557" s="24"/>
      <c r="AB557" s="24"/>
      <c r="AC557" s="130"/>
      <c r="AD557" s="130"/>
      <c r="AE557" s="287">
        <v>385660001</v>
      </c>
      <c r="AF557" s="130"/>
      <c r="AG557" s="285" t="s">
        <v>115</v>
      </c>
      <c r="AH557" s="285" t="s">
        <v>1469</v>
      </c>
      <c r="AI557" s="205" t="s">
        <v>1470</v>
      </c>
      <c r="AJ557" s="24"/>
      <c r="AK557" s="24"/>
      <c r="AL557" s="24"/>
    </row>
    <row r="558" spans="1:40" ht="12.75" customHeight="1">
      <c r="A558" s="22">
        <v>556</v>
      </c>
      <c r="B558" s="24" t="str">
        <f t="shared" si="0"/>
        <v>Reason</v>
      </c>
      <c r="C558" s="24" t="str">
        <f t="shared" si="1"/>
        <v>Data Element</v>
      </c>
      <c r="D558" s="24" t="str">
        <f t="shared" si="2"/>
        <v/>
      </c>
      <c r="E558" s="24" t="s">
        <v>1766</v>
      </c>
      <c r="F558" s="24">
        <v>1</v>
      </c>
      <c r="G558" s="24" t="s">
        <v>1767</v>
      </c>
      <c r="H558" s="24"/>
      <c r="I558" s="283"/>
      <c r="J558" s="224" t="s">
        <v>1376</v>
      </c>
      <c r="K558" s="224" t="s">
        <v>1788</v>
      </c>
      <c r="L558" s="224" t="s">
        <v>1789</v>
      </c>
      <c r="M558" s="224" t="s">
        <v>202</v>
      </c>
      <c r="N558" s="204"/>
      <c r="O558" s="224"/>
      <c r="P558" s="24"/>
      <c r="Q558" s="224"/>
      <c r="R558" s="283"/>
      <c r="S558" s="224" t="s">
        <v>113</v>
      </c>
      <c r="T558" s="283"/>
      <c r="U558" s="283"/>
      <c r="V558" s="164" t="s">
        <v>115</v>
      </c>
      <c r="W558" s="24"/>
      <c r="X558" s="283"/>
      <c r="Y558" s="24"/>
      <c r="Z558" s="24"/>
      <c r="AA558" s="24"/>
      <c r="AB558" s="24"/>
      <c r="AC558" s="284"/>
      <c r="AD558" s="284"/>
      <c r="AE558" s="286"/>
      <c r="AF558" s="284"/>
      <c r="AG558" s="285" t="s">
        <v>1772</v>
      </c>
      <c r="AH558" s="285" t="s">
        <v>1791</v>
      </c>
      <c r="AI558" s="285" t="s">
        <v>1792</v>
      </c>
      <c r="AJ558" s="24"/>
      <c r="AK558" s="24"/>
      <c r="AL558" s="24"/>
    </row>
    <row r="559" spans="1:40" ht="12.75" customHeight="1">
      <c r="A559" s="22">
        <v>557</v>
      </c>
      <c r="B559" s="24" t="str">
        <f t="shared" si="0"/>
        <v>Delayed to next contact</v>
      </c>
      <c r="C559" s="24" t="str">
        <f t="shared" si="1"/>
        <v>Input Option</v>
      </c>
      <c r="D559" s="24" t="str">
        <f t="shared" si="2"/>
        <v>Reason</v>
      </c>
      <c r="E559" s="24" t="s">
        <v>1766</v>
      </c>
      <c r="F559" s="24">
        <v>1</v>
      </c>
      <c r="G559" s="24" t="s">
        <v>1767</v>
      </c>
      <c r="H559" s="24"/>
      <c r="I559" s="283"/>
      <c r="J559" s="196"/>
      <c r="K559" s="196"/>
      <c r="L559" s="196"/>
      <c r="M559" s="204"/>
      <c r="N559" s="204" t="s">
        <v>1793</v>
      </c>
      <c r="O559" s="204"/>
      <c r="P559" s="24"/>
      <c r="Q559" s="204"/>
      <c r="R559" s="283"/>
      <c r="S559" s="224"/>
      <c r="T559" s="283"/>
      <c r="U559" s="283"/>
      <c r="V559" s="293"/>
      <c r="W559" s="24"/>
      <c r="X559" s="283"/>
      <c r="Y559" s="24"/>
      <c r="Z559" s="24"/>
      <c r="AA559" s="24"/>
      <c r="AB559" s="24"/>
      <c r="AC559" s="284"/>
      <c r="AD559" s="284"/>
      <c r="AE559" s="286"/>
      <c r="AF559" s="284"/>
      <c r="AG559" s="285" t="s">
        <v>115</v>
      </c>
      <c r="AH559" s="285" t="s">
        <v>1794</v>
      </c>
      <c r="AI559" s="285" t="s">
        <v>1795</v>
      </c>
      <c r="AJ559" s="24"/>
      <c r="AK559" s="24"/>
      <c r="AL559" s="24"/>
    </row>
    <row r="560" spans="1:40" ht="12.75" customHeight="1">
      <c r="A560" s="22">
        <v>558</v>
      </c>
      <c r="B560" s="24" t="str">
        <f t="shared" si="0"/>
        <v>Not available</v>
      </c>
      <c r="C560" s="24" t="str">
        <f t="shared" si="1"/>
        <v>Input Option</v>
      </c>
      <c r="D560" s="24" t="str">
        <f t="shared" si="2"/>
        <v>Reason</v>
      </c>
      <c r="E560" s="24" t="s">
        <v>1766</v>
      </c>
      <c r="F560" s="24">
        <v>1</v>
      </c>
      <c r="G560" s="24" t="s">
        <v>1767</v>
      </c>
      <c r="H560" s="24"/>
      <c r="I560" s="283"/>
      <c r="J560" s="196"/>
      <c r="K560" s="196"/>
      <c r="L560" s="196"/>
      <c r="M560" s="204"/>
      <c r="N560" s="204" t="s">
        <v>1796</v>
      </c>
      <c r="O560" s="204"/>
      <c r="P560" s="24"/>
      <c r="Q560" s="204"/>
      <c r="R560" s="283"/>
      <c r="S560" s="224"/>
      <c r="T560" s="283"/>
      <c r="U560" s="283"/>
      <c r="V560" s="293"/>
      <c r="W560" s="24"/>
      <c r="X560" s="283"/>
      <c r="Y560" s="24"/>
      <c r="Z560" s="24"/>
      <c r="AA560" s="24"/>
      <c r="AB560" s="24"/>
      <c r="AC560" s="284"/>
      <c r="AD560" s="284"/>
      <c r="AE560" s="286"/>
      <c r="AF560" s="284"/>
      <c r="AG560" s="285" t="s">
        <v>115</v>
      </c>
      <c r="AH560" s="285" t="s">
        <v>1382</v>
      </c>
      <c r="AI560" s="285" t="s">
        <v>1383</v>
      </c>
      <c r="AJ560" s="24"/>
      <c r="AK560" s="24"/>
      <c r="AL560" s="24"/>
    </row>
    <row r="561" spans="1:38" ht="12.75" customHeight="1">
      <c r="A561" s="22">
        <v>559</v>
      </c>
      <c r="B561" s="24" t="str">
        <f t="shared" si="0"/>
        <v>Other (specify)</v>
      </c>
      <c r="C561" s="24" t="str">
        <f t="shared" si="1"/>
        <v>Input Option</v>
      </c>
      <c r="D561" s="24" t="str">
        <f t="shared" si="2"/>
        <v>Reason</v>
      </c>
      <c r="E561" s="24" t="s">
        <v>1766</v>
      </c>
      <c r="F561" s="24">
        <v>1</v>
      </c>
      <c r="G561" s="24" t="s">
        <v>1767</v>
      </c>
      <c r="H561" s="24"/>
      <c r="I561" s="283"/>
      <c r="J561" s="196"/>
      <c r="K561" s="196"/>
      <c r="L561" s="196"/>
      <c r="M561" s="204"/>
      <c r="N561" s="204" t="s">
        <v>405</v>
      </c>
      <c r="O561" s="204"/>
      <c r="P561" s="24"/>
      <c r="Q561" s="204"/>
      <c r="R561" s="283"/>
      <c r="S561" s="224"/>
      <c r="T561" s="283"/>
      <c r="U561" s="283"/>
      <c r="V561" s="293"/>
      <c r="W561" s="24"/>
      <c r="X561" s="283"/>
      <c r="Y561" s="24"/>
      <c r="Z561" s="24"/>
      <c r="AA561" s="24"/>
      <c r="AB561" s="24"/>
      <c r="AC561" s="130"/>
      <c r="AD561" s="130"/>
      <c r="AE561" s="288" t="s">
        <v>1585</v>
      </c>
      <c r="AF561" s="130"/>
      <c r="AG561" s="285" t="s">
        <v>115</v>
      </c>
      <c r="AH561" s="294" t="s">
        <v>406</v>
      </c>
      <c r="AI561" s="294" t="s">
        <v>407</v>
      </c>
      <c r="AJ561" s="24"/>
      <c r="AK561" s="24"/>
      <c r="AL561" s="24"/>
    </row>
    <row r="562" spans="1:38" ht="12.75" customHeight="1">
      <c r="A562" s="22">
        <v>560</v>
      </c>
      <c r="B562" s="24" t="str">
        <f t="shared" si="0"/>
        <v>Specify</v>
      </c>
      <c r="C562" s="24" t="str">
        <f t="shared" si="1"/>
        <v>Data Element</v>
      </c>
      <c r="D562" s="24" t="str">
        <f t="shared" si="2"/>
        <v/>
      </c>
      <c r="E562" s="24" t="s">
        <v>1766</v>
      </c>
      <c r="F562" s="24">
        <v>1</v>
      </c>
      <c r="G562" s="24" t="s">
        <v>1767</v>
      </c>
      <c r="H562" s="24"/>
      <c r="I562" s="283"/>
      <c r="J562" s="204" t="s">
        <v>409</v>
      </c>
      <c r="K562" s="196" t="s">
        <v>1798</v>
      </c>
      <c r="L562" s="196" t="s">
        <v>1799</v>
      </c>
      <c r="M562" s="204" t="s">
        <v>111</v>
      </c>
      <c r="N562" s="204"/>
      <c r="O562" s="204"/>
      <c r="P562" s="24"/>
      <c r="Q562" s="204"/>
      <c r="R562" s="283"/>
      <c r="S562" s="224" t="s">
        <v>208</v>
      </c>
      <c r="T562" s="283"/>
      <c r="U562" s="283"/>
      <c r="V562" s="293" t="s">
        <v>115</v>
      </c>
      <c r="W562" s="24"/>
      <c r="X562" s="283"/>
      <c r="Y562" s="24"/>
      <c r="Z562" s="24"/>
      <c r="AA562" s="24"/>
      <c r="AB562" s="24"/>
      <c r="AC562" s="284"/>
      <c r="AD562" s="284"/>
      <c r="AE562" s="286"/>
      <c r="AF562" s="284"/>
      <c r="AG562" s="285" t="s">
        <v>1772</v>
      </c>
      <c r="AH562" s="294" t="s">
        <v>1800</v>
      </c>
      <c r="AI562" s="294" t="s">
        <v>1801</v>
      </c>
      <c r="AJ562" s="24"/>
      <c r="AK562" s="24"/>
      <c r="AL562" s="24"/>
    </row>
    <row r="563" spans="1:38" ht="12.75" customHeight="1">
      <c r="A563" s="22">
        <v>561</v>
      </c>
      <c r="B563" s="24">
        <f t="shared" si="0"/>
        <v>0</v>
      </c>
      <c r="C563" s="24" t="str">
        <f t="shared" si="1"/>
        <v>Data Element</v>
      </c>
      <c r="D563" s="24" t="str">
        <f t="shared" si="2"/>
        <v/>
      </c>
      <c r="E563" s="24" t="s">
        <v>1766</v>
      </c>
      <c r="F563" s="24">
        <v>1</v>
      </c>
      <c r="G563" s="24" t="s">
        <v>1767</v>
      </c>
      <c r="H563" s="24"/>
      <c r="I563" s="283"/>
      <c r="J563" s="224">
        <v>0</v>
      </c>
      <c r="K563" s="224">
        <v>0</v>
      </c>
      <c r="L563" s="224">
        <v>0</v>
      </c>
      <c r="M563" s="224" t="s">
        <v>140</v>
      </c>
      <c r="N563" s="224"/>
      <c r="O563" s="224">
        <v>0</v>
      </c>
      <c r="P563" s="24"/>
      <c r="Q563" s="224">
        <v>0</v>
      </c>
      <c r="R563" s="283"/>
      <c r="S563" s="224">
        <v>0</v>
      </c>
      <c r="T563" s="283"/>
      <c r="U563" s="283"/>
      <c r="V563" s="164" t="s">
        <v>115</v>
      </c>
      <c r="W563" s="24"/>
      <c r="X563" s="283"/>
      <c r="Y563" s="24"/>
      <c r="Z563" s="24"/>
      <c r="AA563" s="24"/>
      <c r="AB563" s="24"/>
      <c r="AC563" s="284"/>
      <c r="AD563" s="284"/>
      <c r="AE563" s="286"/>
      <c r="AF563" s="284"/>
      <c r="AG563" s="285" t="s">
        <v>1772</v>
      </c>
      <c r="AH563" s="294" t="s">
        <v>1804</v>
      </c>
      <c r="AI563" s="294" t="s">
        <v>1805</v>
      </c>
      <c r="AJ563" s="24"/>
      <c r="AK563" s="24"/>
      <c r="AL563" s="24"/>
    </row>
    <row r="564" spans="1:38" ht="12.75" customHeight="1">
      <c r="A564" s="22">
        <v>562</v>
      </c>
      <c r="B564" s="24">
        <f t="shared" si="0"/>
        <v>0</v>
      </c>
      <c r="C564" s="24" t="str">
        <f t="shared" si="1"/>
        <v>Input Option</v>
      </c>
      <c r="D564" s="24">
        <f t="shared" si="2"/>
        <v>0</v>
      </c>
      <c r="E564" s="24" t="s">
        <v>1766</v>
      </c>
      <c r="F564" s="24">
        <v>1</v>
      </c>
      <c r="G564" s="24" t="s">
        <v>1767</v>
      </c>
      <c r="H564" s="24"/>
      <c r="I564" s="283"/>
      <c r="J564" s="224">
        <v>0</v>
      </c>
      <c r="K564" s="224">
        <v>0</v>
      </c>
      <c r="L564" s="224">
        <v>0</v>
      </c>
      <c r="M564" s="224">
        <v>0</v>
      </c>
      <c r="N564" s="224">
        <v>0</v>
      </c>
      <c r="O564" s="224">
        <v>0</v>
      </c>
      <c r="P564" s="24"/>
      <c r="Q564" s="224">
        <v>0</v>
      </c>
      <c r="R564" s="283"/>
      <c r="S564" s="224">
        <v>0</v>
      </c>
      <c r="T564" s="283"/>
      <c r="U564" s="283"/>
      <c r="V564" s="164" t="s">
        <v>115</v>
      </c>
      <c r="W564" s="24"/>
      <c r="X564" s="283"/>
      <c r="Y564" s="24"/>
      <c r="Z564" s="24"/>
      <c r="AA564" s="24"/>
      <c r="AB564" s="24"/>
      <c r="AC564" s="284"/>
      <c r="AD564" s="284"/>
      <c r="AE564" s="286"/>
      <c r="AF564" s="284"/>
      <c r="AG564" s="285" t="s">
        <v>115</v>
      </c>
      <c r="AH564" s="294" t="s">
        <v>115</v>
      </c>
      <c r="AI564" s="294" t="s">
        <v>115</v>
      </c>
      <c r="AJ564" s="24"/>
      <c r="AK564" s="24"/>
      <c r="AL564" s="24"/>
    </row>
    <row r="565" spans="1:38" ht="12.75" customHeight="1">
      <c r="A565" s="22">
        <v>563</v>
      </c>
      <c r="B565" s="24" t="str">
        <f t="shared" si="0"/>
        <v>GA from ultrasound - days</v>
      </c>
      <c r="C565" s="24" t="str">
        <f t="shared" si="1"/>
        <v>Data Element</v>
      </c>
      <c r="D565" s="24" t="str">
        <f t="shared" si="2"/>
        <v/>
      </c>
      <c r="E565" s="24" t="s">
        <v>1766</v>
      </c>
      <c r="F565" s="24">
        <v>1</v>
      </c>
      <c r="G565" s="24" t="s">
        <v>1767</v>
      </c>
      <c r="H565" s="24"/>
      <c r="I565" s="283"/>
      <c r="J565" s="224" t="s">
        <v>588</v>
      </c>
      <c r="K565" s="224" t="s">
        <v>590</v>
      </c>
      <c r="L565" s="224" t="s">
        <v>591</v>
      </c>
      <c r="M565" s="224" t="s">
        <v>168</v>
      </c>
      <c r="N565" s="164"/>
      <c r="O565" s="164"/>
      <c r="P565" s="24"/>
      <c r="Q565" s="224" t="s">
        <v>592</v>
      </c>
      <c r="R565" s="283"/>
      <c r="S565" s="224" t="s">
        <v>208</v>
      </c>
      <c r="T565" s="283"/>
      <c r="U565" s="283"/>
      <c r="V565" s="164" t="s">
        <v>115</v>
      </c>
      <c r="W565" s="24"/>
      <c r="X565" s="283"/>
      <c r="Y565" s="24"/>
      <c r="Z565" s="24"/>
      <c r="AA565" s="24"/>
      <c r="AB565" s="24"/>
      <c r="AC565" s="284"/>
      <c r="AD565" s="284"/>
      <c r="AE565" s="286"/>
      <c r="AF565" s="284"/>
      <c r="AG565" s="285" t="s">
        <v>115</v>
      </c>
      <c r="AH565" s="285" t="s">
        <v>115</v>
      </c>
      <c r="AI565" s="285" t="s">
        <v>115</v>
      </c>
      <c r="AJ565" s="24"/>
      <c r="AK565" s="24"/>
      <c r="AL565" s="24"/>
    </row>
    <row r="566" spans="1:38" ht="12.75" customHeight="1">
      <c r="A566" s="22">
        <v>564</v>
      </c>
      <c r="B566" s="24" t="str">
        <f t="shared" si="0"/>
        <v>ultrasound_gest_age_concept</v>
      </c>
      <c r="C566" s="24" t="str">
        <f t="shared" si="1"/>
        <v>Calculation</v>
      </c>
      <c r="D566" s="24" t="str">
        <f t="shared" si="2"/>
        <v/>
      </c>
      <c r="E566" s="24" t="s">
        <v>1766</v>
      </c>
      <c r="F566" s="24">
        <v>1</v>
      </c>
      <c r="G566" s="24" t="s">
        <v>1767</v>
      </c>
      <c r="H566" s="24"/>
      <c r="I566" s="283"/>
      <c r="J566" s="224" t="s">
        <v>115</v>
      </c>
      <c r="K566" s="224" t="s">
        <v>594</v>
      </c>
      <c r="L566" s="224" t="s">
        <v>595</v>
      </c>
      <c r="M566" s="224" t="s">
        <v>65</v>
      </c>
      <c r="N566" s="164"/>
      <c r="O566" s="224" t="s">
        <v>596</v>
      </c>
      <c r="P566" s="224"/>
      <c r="Q566" s="24"/>
      <c r="R566" s="283"/>
      <c r="S566" s="224" t="s">
        <v>115</v>
      </c>
      <c r="T566" s="283"/>
      <c r="U566" s="283"/>
      <c r="V566" s="164" t="s">
        <v>115</v>
      </c>
      <c r="W566" s="24"/>
      <c r="X566" s="283"/>
      <c r="Y566" s="24"/>
      <c r="Z566" s="24"/>
      <c r="AA566" s="24"/>
      <c r="AB566" s="24"/>
      <c r="AC566" s="130"/>
      <c r="AD566" s="130"/>
      <c r="AE566" s="289" t="s">
        <v>1808</v>
      </c>
      <c r="AF566" s="130"/>
      <c r="AG566" s="285" t="s">
        <v>115</v>
      </c>
      <c r="AH566" s="285" t="s">
        <v>598</v>
      </c>
      <c r="AI566" s="285" t="s">
        <v>599</v>
      </c>
      <c r="AJ566" s="24"/>
      <c r="AK566" s="24"/>
      <c r="AL566" s="24"/>
    </row>
    <row r="567" spans="1:38" ht="12.75" customHeight="1">
      <c r="A567" s="22">
        <v>565</v>
      </c>
      <c r="B567" s="24" t="str">
        <f t="shared" si="0"/>
        <v>ultrasound_edd</v>
      </c>
      <c r="C567" s="24" t="str">
        <f t="shared" si="1"/>
        <v>Calculation</v>
      </c>
      <c r="D567" s="24" t="str">
        <f t="shared" si="2"/>
        <v/>
      </c>
      <c r="E567" s="24" t="s">
        <v>1766</v>
      </c>
      <c r="F567" s="24">
        <v>1</v>
      </c>
      <c r="G567" s="24" t="s">
        <v>1767</v>
      </c>
      <c r="H567" s="24"/>
      <c r="I567" s="283"/>
      <c r="J567" s="224" t="s">
        <v>115</v>
      </c>
      <c r="K567" s="224" t="s">
        <v>601</v>
      </c>
      <c r="L567" s="224" t="s">
        <v>602</v>
      </c>
      <c r="M567" s="224" t="s">
        <v>65</v>
      </c>
      <c r="N567" s="164"/>
      <c r="O567" s="224" t="s">
        <v>603</v>
      </c>
      <c r="P567" s="224"/>
      <c r="Q567" s="24"/>
      <c r="R567" s="283"/>
      <c r="S567" s="224" t="s">
        <v>115</v>
      </c>
      <c r="T567" s="283"/>
      <c r="U567" s="283"/>
      <c r="V567" s="164" t="s">
        <v>115</v>
      </c>
      <c r="W567" s="24"/>
      <c r="X567" s="283"/>
      <c r="Y567" s="24"/>
      <c r="Z567" s="24"/>
      <c r="AA567" s="24"/>
      <c r="AB567" s="24"/>
      <c r="AC567" s="130"/>
      <c r="AD567" s="130"/>
      <c r="AE567" s="291"/>
      <c r="AF567" s="130"/>
      <c r="AG567" s="285" t="s">
        <v>115</v>
      </c>
      <c r="AH567" s="285" t="s">
        <v>115</v>
      </c>
      <c r="AI567" s="285" t="s">
        <v>115</v>
      </c>
      <c r="AJ567" s="24"/>
      <c r="AK567" s="24"/>
      <c r="AL567" s="24"/>
    </row>
    <row r="568" spans="1:38" ht="12.75" customHeight="1">
      <c r="A568" s="22">
        <v>566</v>
      </c>
      <c r="B568" s="24" t="str">
        <f t="shared" si="0"/>
        <v>No. of fetuses</v>
      </c>
      <c r="C568" s="24" t="str">
        <f t="shared" si="1"/>
        <v>Data Element</v>
      </c>
      <c r="D568" s="24" t="str">
        <f t="shared" si="2"/>
        <v/>
      </c>
      <c r="E568" s="24" t="s">
        <v>1766</v>
      </c>
      <c r="F568" s="24">
        <v>1</v>
      </c>
      <c r="G568" s="24" t="s">
        <v>1767</v>
      </c>
      <c r="H568" s="24"/>
      <c r="I568" s="283"/>
      <c r="J568" s="224" t="s">
        <v>1736</v>
      </c>
      <c r="K568" s="224" t="s">
        <v>1737</v>
      </c>
      <c r="L568" s="224" t="s">
        <v>1810</v>
      </c>
      <c r="M568" s="224" t="s">
        <v>168</v>
      </c>
      <c r="N568" s="224"/>
      <c r="O568" s="164"/>
      <c r="P568" s="164"/>
      <c r="Q568" s="24"/>
      <c r="R568" s="283"/>
      <c r="S568" s="224" t="s">
        <v>113</v>
      </c>
      <c r="T568" s="283"/>
      <c r="U568" s="283"/>
      <c r="V568" s="164" t="s">
        <v>115</v>
      </c>
      <c r="W568" s="24"/>
      <c r="X568" s="283"/>
      <c r="Y568" s="24"/>
      <c r="Z568" s="24"/>
      <c r="AA568" s="24"/>
      <c r="AB568" s="24"/>
      <c r="AC568" s="130"/>
      <c r="AD568" s="130"/>
      <c r="AE568" s="288" t="s">
        <v>1811</v>
      </c>
      <c r="AF568" s="130"/>
      <c r="AG568" s="285" t="s">
        <v>115</v>
      </c>
      <c r="AH568" s="285" t="s">
        <v>1812</v>
      </c>
      <c r="AI568" s="285" t="s">
        <v>1813</v>
      </c>
      <c r="AJ568" s="24"/>
      <c r="AK568" s="24"/>
      <c r="AL568" s="24"/>
    </row>
    <row r="569" spans="1:38" ht="12.75" customHeight="1">
      <c r="A569" s="22">
        <v>567</v>
      </c>
      <c r="B569" s="24" t="str">
        <f t="shared" si="0"/>
        <v>Fetal presentation</v>
      </c>
      <c r="C569" s="24" t="str">
        <f t="shared" si="1"/>
        <v>Data Element</v>
      </c>
      <c r="D569" s="24" t="str">
        <f t="shared" si="2"/>
        <v/>
      </c>
      <c r="E569" s="24" t="s">
        <v>1766</v>
      </c>
      <c r="F569" s="24">
        <v>1</v>
      </c>
      <c r="G569" s="24" t="s">
        <v>1767</v>
      </c>
      <c r="H569" s="24"/>
      <c r="I569" s="283"/>
      <c r="J569" s="224" t="s">
        <v>1750</v>
      </c>
      <c r="K569" s="224" t="s">
        <v>1751</v>
      </c>
      <c r="L569" s="224" t="s">
        <v>1815</v>
      </c>
      <c r="M569" s="224" t="s">
        <v>202</v>
      </c>
      <c r="N569" s="224"/>
      <c r="O569" s="164"/>
      <c r="P569" s="224"/>
      <c r="Q569" s="24"/>
      <c r="R569" s="283"/>
      <c r="S569" s="224" t="s">
        <v>208</v>
      </c>
      <c r="T569" s="283"/>
      <c r="U569" s="283"/>
      <c r="V569" s="164" t="s">
        <v>115</v>
      </c>
      <c r="W569" s="24"/>
      <c r="X569" s="283"/>
      <c r="Y569" s="24"/>
      <c r="Z569" s="24"/>
      <c r="AA569" s="24"/>
      <c r="AB569" s="24"/>
      <c r="AC569" s="130"/>
      <c r="AD569" s="130"/>
      <c r="AE569" s="287">
        <v>271692001</v>
      </c>
      <c r="AF569" s="130"/>
      <c r="AG569" s="205" t="s">
        <v>115</v>
      </c>
      <c r="AH569" s="285" t="s">
        <v>1754</v>
      </c>
      <c r="AI569" s="285" t="s">
        <v>1755</v>
      </c>
      <c r="AJ569" s="24"/>
      <c r="AK569" s="24"/>
      <c r="AL569" s="24"/>
    </row>
    <row r="570" spans="1:38" ht="12.75" customHeight="1">
      <c r="A570" s="22">
        <v>568</v>
      </c>
      <c r="B570" s="24" t="str">
        <f t="shared" si="0"/>
        <v>Cephalic</v>
      </c>
      <c r="C570" s="24" t="str">
        <f t="shared" si="1"/>
        <v>Input Option</v>
      </c>
      <c r="D570" s="24" t="str">
        <f t="shared" si="2"/>
        <v>Fetal presentation</v>
      </c>
      <c r="E570" s="24" t="s">
        <v>1766</v>
      </c>
      <c r="F570" s="24">
        <v>1</v>
      </c>
      <c r="G570" s="24" t="s">
        <v>1767</v>
      </c>
      <c r="H570" s="24"/>
      <c r="I570" s="283"/>
      <c r="J570" s="224"/>
      <c r="K570" s="224"/>
      <c r="L570" s="224"/>
      <c r="M570" s="224"/>
      <c r="N570" s="224" t="s">
        <v>1756</v>
      </c>
      <c r="O570" s="164"/>
      <c r="P570" s="224"/>
      <c r="Q570" s="24"/>
      <c r="R570" s="283"/>
      <c r="S570" s="224"/>
      <c r="T570" s="283"/>
      <c r="U570" s="283"/>
      <c r="V570" s="164"/>
      <c r="W570" s="24"/>
      <c r="X570" s="283"/>
      <c r="Y570" s="24"/>
      <c r="Z570" s="24"/>
      <c r="AA570" s="24"/>
      <c r="AB570" s="24"/>
      <c r="AC570" s="126"/>
      <c r="AD570" s="130"/>
      <c r="AE570" s="287">
        <v>70028003</v>
      </c>
      <c r="AF570" s="130"/>
      <c r="AG570" s="205" t="s">
        <v>115</v>
      </c>
      <c r="AH570" s="292" t="s">
        <v>1757</v>
      </c>
      <c r="AI570" s="285" t="s">
        <v>1758</v>
      </c>
      <c r="AJ570" s="24"/>
      <c r="AK570" s="24"/>
      <c r="AL570" s="24"/>
    </row>
    <row r="571" spans="1:38" ht="12.75" customHeight="1">
      <c r="A571" s="22">
        <v>569</v>
      </c>
      <c r="B571" s="24" t="str">
        <f t="shared" si="0"/>
        <v>Pelvic</v>
      </c>
      <c r="C571" s="24" t="str">
        <f t="shared" si="1"/>
        <v>Input Option</v>
      </c>
      <c r="D571" s="24" t="str">
        <f t="shared" si="2"/>
        <v>Fetal presentation</v>
      </c>
      <c r="E571" s="24" t="s">
        <v>1766</v>
      </c>
      <c r="F571" s="24">
        <v>1</v>
      </c>
      <c r="G571" s="24" t="s">
        <v>1767</v>
      </c>
      <c r="H571" s="24"/>
      <c r="I571" s="283"/>
      <c r="J571" s="224"/>
      <c r="K571" s="224"/>
      <c r="L571" s="224"/>
      <c r="M571" s="224"/>
      <c r="N571" s="224" t="s">
        <v>1759</v>
      </c>
      <c r="O571" s="164"/>
      <c r="P571" s="224"/>
      <c r="Q571" s="24"/>
      <c r="R571" s="283"/>
      <c r="S571" s="224"/>
      <c r="T571" s="283"/>
      <c r="U571" s="283"/>
      <c r="V571" s="164"/>
      <c r="W571" s="24"/>
      <c r="X571" s="283"/>
      <c r="Y571" s="24"/>
      <c r="Z571" s="24"/>
      <c r="AA571" s="24"/>
      <c r="AB571" s="24"/>
      <c r="AC571" s="130" t="s">
        <v>1816</v>
      </c>
      <c r="AD571" s="130"/>
      <c r="AE571" s="287">
        <v>6096002</v>
      </c>
      <c r="AF571" s="130"/>
      <c r="AG571" s="205" t="s">
        <v>115</v>
      </c>
      <c r="AH571" s="285" t="s">
        <v>1760</v>
      </c>
      <c r="AI571" s="285" t="s">
        <v>1761</v>
      </c>
      <c r="AJ571" s="24"/>
      <c r="AK571" s="24"/>
      <c r="AL571" s="24"/>
    </row>
    <row r="572" spans="1:38" ht="12.75" customHeight="1">
      <c r="A572" s="22">
        <v>570</v>
      </c>
      <c r="B572" s="24" t="str">
        <f t="shared" si="0"/>
        <v>Transverse</v>
      </c>
      <c r="C572" s="24" t="str">
        <f t="shared" si="1"/>
        <v>Input Option</v>
      </c>
      <c r="D572" s="24" t="str">
        <f t="shared" si="2"/>
        <v>Fetal presentation</v>
      </c>
      <c r="E572" s="24" t="s">
        <v>1766</v>
      </c>
      <c r="F572" s="24">
        <v>1</v>
      </c>
      <c r="G572" s="24" t="s">
        <v>1767</v>
      </c>
      <c r="H572" s="24"/>
      <c r="I572" s="283"/>
      <c r="J572" s="224"/>
      <c r="K572" s="224"/>
      <c r="L572" s="224"/>
      <c r="M572" s="224"/>
      <c r="N572" s="224" t="s">
        <v>1762</v>
      </c>
      <c r="O572" s="164"/>
      <c r="P572" s="224"/>
      <c r="Q572" s="24"/>
      <c r="R572" s="283"/>
      <c r="S572" s="224"/>
      <c r="T572" s="283"/>
      <c r="U572" s="283"/>
      <c r="V572" s="164"/>
      <c r="W572" s="24"/>
      <c r="X572" s="283"/>
      <c r="Y572" s="24"/>
      <c r="Z572" s="24"/>
      <c r="AA572" s="24"/>
      <c r="AB572" s="24"/>
      <c r="AC572" s="130" t="s">
        <v>1817</v>
      </c>
      <c r="AD572" s="130"/>
      <c r="AE572" s="288" t="s">
        <v>1818</v>
      </c>
      <c r="AF572" s="130"/>
      <c r="AG572" s="205" t="s">
        <v>115</v>
      </c>
      <c r="AH572" s="205" t="s">
        <v>1763</v>
      </c>
      <c r="AI572" s="285" t="s">
        <v>1764</v>
      </c>
      <c r="AJ572" s="24"/>
      <c r="AK572" s="24"/>
      <c r="AL572" s="24"/>
    </row>
    <row r="573" spans="1:38" ht="12.75" customHeight="1">
      <c r="A573" s="22">
        <v>571</v>
      </c>
      <c r="B573" s="24" t="str">
        <f t="shared" si="0"/>
        <v>Other</v>
      </c>
      <c r="C573" s="24" t="str">
        <f t="shared" si="1"/>
        <v>Input Option</v>
      </c>
      <c r="D573" s="24" t="str">
        <f t="shared" si="2"/>
        <v>Fetal presentation</v>
      </c>
      <c r="E573" s="24" t="s">
        <v>1766</v>
      </c>
      <c r="F573" s="24">
        <v>1</v>
      </c>
      <c r="G573" s="24" t="s">
        <v>1767</v>
      </c>
      <c r="H573" s="24"/>
      <c r="I573" s="283"/>
      <c r="J573" s="224"/>
      <c r="K573" s="224"/>
      <c r="L573" s="224"/>
      <c r="M573" s="224"/>
      <c r="N573" s="224" t="s">
        <v>1387</v>
      </c>
      <c r="O573" s="164"/>
      <c r="P573" s="224"/>
      <c r="Q573" s="24"/>
      <c r="R573" s="283"/>
      <c r="S573" s="224"/>
      <c r="T573" s="283"/>
      <c r="U573" s="283"/>
      <c r="V573" s="164"/>
      <c r="W573" s="24"/>
      <c r="X573" s="283"/>
      <c r="Y573" s="24"/>
      <c r="Z573" s="24"/>
      <c r="AA573" s="24"/>
      <c r="AB573" s="24"/>
      <c r="AC573" s="130"/>
      <c r="AD573" s="130"/>
      <c r="AE573" s="288" t="s">
        <v>1585</v>
      </c>
      <c r="AF573" s="130"/>
      <c r="AG573" s="205" t="s">
        <v>115</v>
      </c>
      <c r="AH573" s="285" t="s">
        <v>406</v>
      </c>
      <c r="AI573" s="285" t="s">
        <v>407</v>
      </c>
      <c r="AJ573" s="24"/>
      <c r="AK573" s="24"/>
      <c r="AL573" s="24"/>
    </row>
    <row r="574" spans="1:38" ht="12.75" customHeight="1">
      <c r="A574" s="22">
        <v>572</v>
      </c>
      <c r="B574" s="24" t="str">
        <f t="shared" si="0"/>
        <v>Amniotic fluid</v>
      </c>
      <c r="C574" s="24" t="str">
        <f t="shared" si="1"/>
        <v>Data Element</v>
      </c>
      <c r="D574" s="24" t="str">
        <f t="shared" si="2"/>
        <v/>
      </c>
      <c r="E574" s="24" t="s">
        <v>1766</v>
      </c>
      <c r="F574" s="24">
        <v>1</v>
      </c>
      <c r="G574" s="24" t="s">
        <v>1767</v>
      </c>
      <c r="H574" s="24"/>
      <c r="I574" s="283"/>
      <c r="J574" s="224" t="s">
        <v>1819</v>
      </c>
      <c r="K574" s="224" t="s">
        <v>1820</v>
      </c>
      <c r="L574" s="224" t="s">
        <v>1821</v>
      </c>
      <c r="M574" s="224" t="s">
        <v>202</v>
      </c>
      <c r="N574" s="224"/>
      <c r="O574" s="164"/>
      <c r="P574" s="224"/>
      <c r="Q574" s="24"/>
      <c r="R574" s="283"/>
      <c r="S574" s="224" t="s">
        <v>208</v>
      </c>
      <c r="T574" s="283"/>
      <c r="U574" s="283"/>
      <c r="V574" s="164" t="s">
        <v>115</v>
      </c>
      <c r="W574" s="24"/>
      <c r="X574" s="283"/>
      <c r="Y574" s="24"/>
      <c r="Z574" s="24"/>
      <c r="AA574" s="24"/>
      <c r="AB574" s="24"/>
      <c r="AC574" s="130"/>
      <c r="AD574" s="130"/>
      <c r="AE574" s="113">
        <v>364354005</v>
      </c>
      <c r="AF574" s="130"/>
      <c r="AG574" s="285" t="s">
        <v>115</v>
      </c>
      <c r="AH574" s="285" t="s">
        <v>1822</v>
      </c>
      <c r="AI574" s="285" t="s">
        <v>1823</v>
      </c>
      <c r="AJ574" s="24"/>
      <c r="AK574" s="24"/>
      <c r="AL574" s="24"/>
    </row>
    <row r="575" spans="1:38" ht="12.75" customHeight="1">
      <c r="A575" s="22">
        <v>573</v>
      </c>
      <c r="B575" s="24" t="str">
        <f t="shared" si="0"/>
        <v>Normal</v>
      </c>
      <c r="C575" s="24" t="str">
        <f t="shared" si="1"/>
        <v>Input Option</v>
      </c>
      <c r="D575" s="24" t="str">
        <f t="shared" si="2"/>
        <v>Amniotic fluid</v>
      </c>
      <c r="E575" s="24" t="s">
        <v>1766</v>
      </c>
      <c r="F575" s="24">
        <v>1</v>
      </c>
      <c r="G575" s="24" t="s">
        <v>1767</v>
      </c>
      <c r="H575" s="24"/>
      <c r="I575" s="283"/>
      <c r="J575" s="224"/>
      <c r="K575" s="164"/>
      <c r="L575" s="224"/>
      <c r="M575" s="224"/>
      <c r="N575" s="224" t="s">
        <v>1471</v>
      </c>
      <c r="O575" s="164"/>
      <c r="P575" s="224"/>
      <c r="Q575" s="24"/>
      <c r="R575" s="283"/>
      <c r="S575" s="224"/>
      <c r="T575" s="283"/>
      <c r="U575" s="283"/>
      <c r="V575" s="164"/>
      <c r="W575" s="24"/>
      <c r="X575" s="283"/>
      <c r="Y575" s="24"/>
      <c r="Z575" s="24"/>
      <c r="AA575" s="24"/>
      <c r="AB575" s="24"/>
      <c r="AC575" s="130"/>
      <c r="AD575" s="130"/>
      <c r="AE575" s="291">
        <v>17621005</v>
      </c>
      <c r="AF575" s="130"/>
      <c r="AG575" s="285" t="s">
        <v>115</v>
      </c>
      <c r="AH575" s="285" t="s">
        <v>1472</v>
      </c>
      <c r="AI575" s="285" t="s">
        <v>1473</v>
      </c>
      <c r="AJ575" s="24"/>
      <c r="AK575" s="24"/>
      <c r="AL575" s="24"/>
    </row>
    <row r="576" spans="1:38" ht="12.75" customHeight="1">
      <c r="A576" s="22">
        <v>574</v>
      </c>
      <c r="B576" s="24" t="str">
        <f t="shared" si="0"/>
        <v>Reduced</v>
      </c>
      <c r="C576" s="24" t="str">
        <f t="shared" si="1"/>
        <v>Input Option</v>
      </c>
      <c r="D576" s="24" t="str">
        <f t="shared" si="2"/>
        <v>Amniotic fluid</v>
      </c>
      <c r="E576" s="24" t="s">
        <v>1766</v>
      </c>
      <c r="F576" s="24">
        <v>1</v>
      </c>
      <c r="G576" s="24" t="s">
        <v>1767</v>
      </c>
      <c r="H576" s="24"/>
      <c r="I576" s="283"/>
      <c r="J576" s="224"/>
      <c r="K576" s="164"/>
      <c r="L576" s="224"/>
      <c r="M576" s="224"/>
      <c r="N576" s="224" t="s">
        <v>1824</v>
      </c>
      <c r="O576" s="164"/>
      <c r="P576" s="224"/>
      <c r="Q576" s="24"/>
      <c r="R576" s="283"/>
      <c r="S576" s="224"/>
      <c r="T576" s="283"/>
      <c r="U576" s="283"/>
      <c r="V576" s="164"/>
      <c r="W576" s="24"/>
      <c r="X576" s="283"/>
      <c r="Y576" s="24"/>
      <c r="Z576" s="24"/>
      <c r="AA576" s="24"/>
      <c r="AB576" s="24"/>
      <c r="AC576" s="130"/>
      <c r="AD576" s="130"/>
      <c r="AE576" s="113">
        <v>260400001</v>
      </c>
      <c r="AF576" s="130"/>
      <c r="AG576" s="285" t="s">
        <v>115</v>
      </c>
      <c r="AH576" s="285" t="s">
        <v>1825</v>
      </c>
      <c r="AI576" s="285" t="s">
        <v>1826</v>
      </c>
      <c r="AJ576" s="24"/>
      <c r="AK576" s="24"/>
      <c r="AL576" s="24"/>
    </row>
    <row r="577" spans="1:38" ht="12.75" customHeight="1">
      <c r="A577" s="22">
        <v>575</v>
      </c>
      <c r="B577" s="24" t="str">
        <f t="shared" si="0"/>
        <v>Increased</v>
      </c>
      <c r="C577" s="24" t="str">
        <f t="shared" si="1"/>
        <v>Input Option</v>
      </c>
      <c r="D577" s="24" t="str">
        <f t="shared" si="2"/>
        <v>Amniotic fluid</v>
      </c>
      <c r="E577" s="24" t="s">
        <v>1766</v>
      </c>
      <c r="F577" s="24">
        <v>1</v>
      </c>
      <c r="G577" s="24" t="s">
        <v>1767</v>
      </c>
      <c r="H577" s="24"/>
      <c r="I577" s="283"/>
      <c r="J577" s="224"/>
      <c r="K577" s="164"/>
      <c r="L577" s="224"/>
      <c r="M577" s="224"/>
      <c r="N577" s="224" t="s">
        <v>1827</v>
      </c>
      <c r="O577" s="164"/>
      <c r="P577" s="224"/>
      <c r="Q577" s="24"/>
      <c r="R577" s="283"/>
      <c r="S577" s="224"/>
      <c r="T577" s="283"/>
      <c r="U577" s="283"/>
      <c r="V577" s="164"/>
      <c r="W577" s="24"/>
      <c r="X577" s="283"/>
      <c r="Y577" s="24"/>
      <c r="Z577" s="24"/>
      <c r="AA577" s="24"/>
      <c r="AB577" s="24"/>
      <c r="AC577" s="130"/>
      <c r="AD577" s="130"/>
      <c r="AE577" s="113">
        <v>35105006</v>
      </c>
      <c r="AF577" s="130"/>
      <c r="AG577" s="285" t="s">
        <v>115</v>
      </c>
      <c r="AH577" s="285" t="s">
        <v>1828</v>
      </c>
      <c r="AI577" s="285" t="s">
        <v>1829</v>
      </c>
      <c r="AJ577" s="24"/>
      <c r="AK577" s="24"/>
      <c r="AL577" s="24"/>
    </row>
    <row r="578" spans="1:38" ht="12.75" customHeight="1">
      <c r="A578" s="22">
        <v>576</v>
      </c>
      <c r="B578" s="24" t="str">
        <f t="shared" si="0"/>
        <v>Placenta location</v>
      </c>
      <c r="C578" s="24" t="str">
        <f t="shared" si="1"/>
        <v>Data Element</v>
      </c>
      <c r="D578" s="24" t="str">
        <f t="shared" si="2"/>
        <v/>
      </c>
      <c r="E578" s="24" t="s">
        <v>1766</v>
      </c>
      <c r="F578" s="24">
        <v>1</v>
      </c>
      <c r="G578" s="24" t="s">
        <v>1767</v>
      </c>
      <c r="H578" s="24"/>
      <c r="I578" s="283"/>
      <c r="J578" s="224" t="s">
        <v>1830</v>
      </c>
      <c r="K578" s="164" t="s">
        <v>1831</v>
      </c>
      <c r="L578" s="224" t="s">
        <v>1832</v>
      </c>
      <c r="M578" s="224" t="s">
        <v>202</v>
      </c>
      <c r="N578" s="224"/>
      <c r="O578" s="164"/>
      <c r="P578" s="224"/>
      <c r="Q578" s="24"/>
      <c r="R578" s="283"/>
      <c r="S578" s="224" t="s">
        <v>208</v>
      </c>
      <c r="T578" s="283"/>
      <c r="U578" s="283"/>
      <c r="V578" s="164" t="s">
        <v>115</v>
      </c>
      <c r="W578" s="24"/>
      <c r="X578" s="283"/>
      <c r="Y578" s="24"/>
      <c r="Z578" s="24"/>
      <c r="AA578" s="24"/>
      <c r="AB578" s="24"/>
      <c r="AC578" s="130"/>
      <c r="AD578" s="130"/>
      <c r="AE578" s="288" t="s">
        <v>1833</v>
      </c>
      <c r="AF578" s="130"/>
      <c r="AG578" s="285" t="s">
        <v>115</v>
      </c>
      <c r="AH578" s="285" t="s">
        <v>1834</v>
      </c>
      <c r="AI578" s="285" t="s">
        <v>1835</v>
      </c>
      <c r="AJ578" s="24"/>
      <c r="AK578" s="24"/>
      <c r="AL578" s="24"/>
    </row>
    <row r="579" spans="1:38" ht="12.75" customHeight="1">
      <c r="A579" s="22">
        <v>577</v>
      </c>
      <c r="B579" s="24" t="str">
        <f t="shared" si="0"/>
        <v>Praevia</v>
      </c>
      <c r="C579" s="24" t="str">
        <f t="shared" si="1"/>
        <v>Input Option</v>
      </c>
      <c r="D579" s="24" t="str">
        <f t="shared" si="2"/>
        <v>Placenta location</v>
      </c>
      <c r="E579" s="24" t="s">
        <v>1766</v>
      </c>
      <c r="F579" s="24">
        <v>1</v>
      </c>
      <c r="G579" s="24" t="s">
        <v>1767</v>
      </c>
      <c r="H579" s="24"/>
      <c r="I579" s="283"/>
      <c r="J579" s="224"/>
      <c r="K579" s="224"/>
      <c r="L579" s="224"/>
      <c r="M579" s="224"/>
      <c r="N579" s="224" t="s">
        <v>1836</v>
      </c>
      <c r="O579" s="164"/>
      <c r="P579" s="224"/>
      <c r="Q579" s="24"/>
      <c r="R579" s="283"/>
      <c r="S579" s="224"/>
      <c r="T579" s="283"/>
      <c r="U579" s="283"/>
      <c r="V579" s="164"/>
      <c r="W579" s="24"/>
      <c r="X579" s="283"/>
      <c r="Y579" s="24"/>
      <c r="Z579" s="24"/>
      <c r="AA579" s="24"/>
      <c r="AB579" s="24"/>
      <c r="AC579" s="130" t="s">
        <v>1837</v>
      </c>
      <c r="AD579" s="130"/>
      <c r="AE579" s="291">
        <v>36813001</v>
      </c>
      <c r="AF579" s="130"/>
      <c r="AG579" s="285" t="s">
        <v>115</v>
      </c>
      <c r="AH579" s="205" t="s">
        <v>1838</v>
      </c>
      <c r="AI579" s="285" t="s">
        <v>1839</v>
      </c>
      <c r="AJ579" s="24"/>
      <c r="AK579" s="24"/>
      <c r="AL579" s="24"/>
    </row>
    <row r="580" spans="1:38" ht="12.75" customHeight="1">
      <c r="A580" s="22">
        <v>578</v>
      </c>
      <c r="B580" s="24" t="str">
        <f t="shared" si="0"/>
        <v>Low</v>
      </c>
      <c r="C580" s="24" t="str">
        <f t="shared" si="1"/>
        <v>Input Option</v>
      </c>
      <c r="D580" s="24" t="str">
        <f t="shared" si="2"/>
        <v>Placenta location</v>
      </c>
      <c r="E580" s="24" t="s">
        <v>1766</v>
      </c>
      <c r="F580" s="24">
        <v>1</v>
      </c>
      <c r="G580" s="24" t="s">
        <v>1767</v>
      </c>
      <c r="H580" s="24"/>
      <c r="I580" s="283"/>
      <c r="J580" s="224"/>
      <c r="K580" s="224"/>
      <c r="L580" s="224"/>
      <c r="M580" s="224"/>
      <c r="N580" s="224" t="s">
        <v>1840</v>
      </c>
      <c r="O580" s="164"/>
      <c r="P580" s="224"/>
      <c r="Q580" s="24"/>
      <c r="R580" s="283"/>
      <c r="S580" s="224"/>
      <c r="T580" s="283"/>
      <c r="U580" s="283"/>
      <c r="V580" s="164"/>
      <c r="W580" s="24"/>
      <c r="X580" s="283"/>
      <c r="Y580" s="24"/>
      <c r="Z580" s="24"/>
      <c r="AA580" s="24"/>
      <c r="AB580" s="24"/>
      <c r="AC580" s="130"/>
      <c r="AD580" s="130"/>
      <c r="AE580" s="113">
        <v>445122007</v>
      </c>
      <c r="AF580" s="130"/>
      <c r="AG580" s="285" t="s">
        <v>115</v>
      </c>
      <c r="AH580" s="285" t="s">
        <v>1841</v>
      </c>
      <c r="AI580" s="285" t="s">
        <v>1842</v>
      </c>
      <c r="AJ580" s="24"/>
      <c r="AK580" s="24"/>
      <c r="AL580" s="24"/>
    </row>
    <row r="581" spans="1:38" ht="12.75" customHeight="1">
      <c r="A581" s="22">
        <v>579</v>
      </c>
      <c r="B581" s="24" t="str">
        <f t="shared" si="0"/>
        <v>Anterior</v>
      </c>
      <c r="C581" s="24" t="str">
        <f t="shared" si="1"/>
        <v>Input Option</v>
      </c>
      <c r="D581" s="24" t="str">
        <f t="shared" si="2"/>
        <v>Placenta location</v>
      </c>
      <c r="E581" s="24" t="s">
        <v>1766</v>
      </c>
      <c r="F581" s="24">
        <v>1</v>
      </c>
      <c r="G581" s="24" t="s">
        <v>1767</v>
      </c>
      <c r="H581" s="24"/>
      <c r="I581" s="283"/>
      <c r="J581" s="224"/>
      <c r="K581" s="224"/>
      <c r="L581" s="224"/>
      <c r="M581" s="224"/>
      <c r="N581" s="224" t="s">
        <v>1843</v>
      </c>
      <c r="O581" s="164"/>
      <c r="P581" s="224"/>
      <c r="Q581" s="24"/>
      <c r="R581" s="283"/>
      <c r="S581" s="224"/>
      <c r="T581" s="283"/>
      <c r="U581" s="283"/>
      <c r="V581" s="164"/>
      <c r="W581" s="24"/>
      <c r="X581" s="283"/>
      <c r="Y581" s="24"/>
      <c r="Z581" s="24"/>
      <c r="AA581" s="24"/>
      <c r="AB581" s="24"/>
      <c r="AC581" s="130"/>
      <c r="AD581" s="130"/>
      <c r="AE581" s="113">
        <v>255549009</v>
      </c>
      <c r="AF581" s="130"/>
      <c r="AG581" s="285" t="s">
        <v>115</v>
      </c>
      <c r="AH581" s="285" t="s">
        <v>1844</v>
      </c>
      <c r="AI581" s="285" t="s">
        <v>1845</v>
      </c>
      <c r="AJ581" s="24"/>
      <c r="AK581" s="24"/>
      <c r="AL581" s="24"/>
    </row>
    <row r="582" spans="1:38" ht="12.75" customHeight="1">
      <c r="A582" s="22">
        <v>580</v>
      </c>
      <c r="B582" s="24" t="str">
        <f t="shared" si="0"/>
        <v>Posterior</v>
      </c>
      <c r="C582" s="24" t="str">
        <f t="shared" si="1"/>
        <v>Input Option</v>
      </c>
      <c r="D582" s="24" t="str">
        <f t="shared" si="2"/>
        <v>Placenta location</v>
      </c>
      <c r="E582" s="24" t="s">
        <v>1766</v>
      </c>
      <c r="F582" s="24">
        <v>1</v>
      </c>
      <c r="G582" s="24" t="s">
        <v>1767</v>
      </c>
      <c r="H582" s="24"/>
      <c r="I582" s="283"/>
      <c r="J582" s="224"/>
      <c r="K582" s="224"/>
      <c r="L582" s="224"/>
      <c r="M582" s="224"/>
      <c r="N582" s="224" t="s">
        <v>1846</v>
      </c>
      <c r="O582" s="164"/>
      <c r="P582" s="224"/>
      <c r="Q582" s="24"/>
      <c r="R582" s="283"/>
      <c r="S582" s="224"/>
      <c r="T582" s="283"/>
      <c r="U582" s="283"/>
      <c r="V582" s="164"/>
      <c r="W582" s="24"/>
      <c r="X582" s="283"/>
      <c r="Y582" s="24"/>
      <c r="Z582" s="24"/>
      <c r="AA582" s="24"/>
      <c r="AB582" s="24"/>
      <c r="AC582" s="130"/>
      <c r="AD582" s="130"/>
      <c r="AE582" s="113">
        <v>255551008</v>
      </c>
      <c r="AF582" s="130"/>
      <c r="AG582" s="285" t="s">
        <v>115</v>
      </c>
      <c r="AH582" s="285" t="s">
        <v>1847</v>
      </c>
      <c r="AI582" s="285" t="s">
        <v>1848</v>
      </c>
      <c r="AJ582" s="24"/>
      <c r="AK582" s="24"/>
      <c r="AL582" s="24"/>
    </row>
    <row r="583" spans="1:38" ht="12.75" customHeight="1">
      <c r="A583" s="22">
        <v>581</v>
      </c>
      <c r="B583" s="24" t="str">
        <f t="shared" si="0"/>
        <v>Right side</v>
      </c>
      <c r="C583" s="24" t="str">
        <f t="shared" si="1"/>
        <v>Input Option</v>
      </c>
      <c r="D583" s="24" t="str">
        <f t="shared" si="2"/>
        <v>Placenta location</v>
      </c>
      <c r="E583" s="24" t="s">
        <v>1766</v>
      </c>
      <c r="F583" s="24">
        <v>1</v>
      </c>
      <c r="G583" s="24" t="s">
        <v>1767</v>
      </c>
      <c r="H583" s="24"/>
      <c r="I583" s="283"/>
      <c r="J583" s="224"/>
      <c r="K583" s="224"/>
      <c r="L583" s="224"/>
      <c r="M583" s="224"/>
      <c r="N583" s="224" t="s">
        <v>1849</v>
      </c>
      <c r="O583" s="164"/>
      <c r="P583" s="224"/>
      <c r="Q583" s="24"/>
      <c r="R583" s="283"/>
      <c r="S583" s="224"/>
      <c r="T583" s="283"/>
      <c r="U583" s="283"/>
      <c r="V583" s="164"/>
      <c r="W583" s="24"/>
      <c r="X583" s="283"/>
      <c r="Y583" s="24"/>
      <c r="Z583" s="24"/>
      <c r="AA583" s="24"/>
      <c r="AB583" s="24"/>
      <c r="AC583" s="130"/>
      <c r="AD583" s="130"/>
      <c r="AE583" s="113">
        <v>24028007</v>
      </c>
      <c r="AF583" s="130"/>
      <c r="AG583" s="285" t="s">
        <v>115</v>
      </c>
      <c r="AH583" s="285" t="s">
        <v>1850</v>
      </c>
      <c r="AI583" s="285" t="s">
        <v>1851</v>
      </c>
      <c r="AJ583" s="24"/>
      <c r="AK583" s="24"/>
      <c r="AL583" s="24"/>
    </row>
    <row r="584" spans="1:38" ht="12.75" customHeight="1">
      <c r="A584" s="22">
        <v>582</v>
      </c>
      <c r="B584" s="24" t="str">
        <f t="shared" si="0"/>
        <v>Left side</v>
      </c>
      <c r="C584" s="24" t="str">
        <f t="shared" si="1"/>
        <v>Input Option</v>
      </c>
      <c r="D584" s="24" t="str">
        <f t="shared" si="2"/>
        <v>Placenta location</v>
      </c>
      <c r="E584" s="24" t="s">
        <v>1766</v>
      </c>
      <c r="F584" s="24">
        <v>1</v>
      </c>
      <c r="G584" s="24" t="s">
        <v>1767</v>
      </c>
      <c r="H584" s="24"/>
      <c r="I584" s="283"/>
      <c r="J584" s="224"/>
      <c r="K584" s="224"/>
      <c r="L584" s="224"/>
      <c r="M584" s="224"/>
      <c r="N584" s="224" t="s">
        <v>1852</v>
      </c>
      <c r="O584" s="164"/>
      <c r="P584" s="224"/>
      <c r="Q584" s="24"/>
      <c r="R584" s="283"/>
      <c r="S584" s="224"/>
      <c r="T584" s="283"/>
      <c r="U584" s="283"/>
      <c r="V584" s="164"/>
      <c r="W584" s="24"/>
      <c r="X584" s="283"/>
      <c r="Y584" s="24"/>
      <c r="Z584" s="24"/>
      <c r="AA584" s="24"/>
      <c r="AB584" s="24"/>
      <c r="AC584" s="130"/>
      <c r="AD584" s="130"/>
      <c r="AE584" s="291">
        <v>7771000</v>
      </c>
      <c r="AF584" s="130"/>
      <c r="AG584" s="285" t="s">
        <v>115</v>
      </c>
      <c r="AH584" s="285" t="s">
        <v>1853</v>
      </c>
      <c r="AI584" s="285" t="s">
        <v>1854</v>
      </c>
      <c r="AJ584" s="24"/>
      <c r="AK584" s="24"/>
      <c r="AL584" s="24"/>
    </row>
    <row r="585" spans="1:38" ht="12.75" customHeight="1">
      <c r="A585" s="22">
        <v>583</v>
      </c>
      <c r="B585" s="24" t="str">
        <f t="shared" si="0"/>
        <v>Fundal</v>
      </c>
      <c r="C585" s="24" t="str">
        <f t="shared" si="1"/>
        <v>Input Option</v>
      </c>
      <c r="D585" s="24" t="str">
        <f t="shared" si="2"/>
        <v>Placenta location</v>
      </c>
      <c r="E585" s="24" t="s">
        <v>1766</v>
      </c>
      <c r="F585" s="24">
        <v>1</v>
      </c>
      <c r="G585" s="24" t="s">
        <v>1767</v>
      </c>
      <c r="H585" s="24"/>
      <c r="I585" s="283"/>
      <c r="J585" s="224"/>
      <c r="K585" s="224"/>
      <c r="L585" s="224"/>
      <c r="M585" s="224"/>
      <c r="N585" s="224" t="s">
        <v>1855</v>
      </c>
      <c r="O585" s="164"/>
      <c r="P585" s="224"/>
      <c r="Q585" s="24"/>
      <c r="R585" s="283"/>
      <c r="S585" s="224"/>
      <c r="T585" s="283"/>
      <c r="U585" s="283"/>
      <c r="V585" s="164"/>
      <c r="W585" s="24"/>
      <c r="X585" s="283"/>
      <c r="Y585" s="24"/>
      <c r="Z585" s="24"/>
      <c r="AA585" s="24"/>
      <c r="AB585" s="24"/>
      <c r="AC585" s="130"/>
      <c r="AD585" s="130"/>
      <c r="AE585" s="113">
        <v>27485007</v>
      </c>
      <c r="AF585" s="130"/>
      <c r="AG585" s="285" t="s">
        <v>115</v>
      </c>
      <c r="AH585" s="285" t="s">
        <v>1856</v>
      </c>
      <c r="AI585" s="285" t="s">
        <v>1857</v>
      </c>
      <c r="AJ585" s="24"/>
      <c r="AK585" s="24"/>
      <c r="AL585" s="24"/>
    </row>
    <row r="586" spans="1:38" ht="12.75" customHeight="1">
      <c r="A586" s="22">
        <v>584</v>
      </c>
      <c r="B586" s="24" t="str">
        <f t="shared" si="0"/>
        <v>Select preferred gestational age:</v>
      </c>
      <c r="C586" s="24" t="str">
        <f t="shared" si="1"/>
        <v>Data Element</v>
      </c>
      <c r="D586" s="24" t="str">
        <f t="shared" si="2"/>
        <v/>
      </c>
      <c r="E586" s="24" t="s">
        <v>1766</v>
      </c>
      <c r="F586" s="24">
        <v>1</v>
      </c>
      <c r="G586" s="24" t="s">
        <v>1767</v>
      </c>
      <c r="H586" s="24"/>
      <c r="I586" s="283"/>
      <c r="J586" s="224" t="s">
        <v>620</v>
      </c>
      <c r="K586" s="224" t="s">
        <v>621</v>
      </c>
      <c r="L586" s="224" t="s">
        <v>622</v>
      </c>
      <c r="M586" s="224" t="s">
        <v>202</v>
      </c>
      <c r="N586" s="224"/>
      <c r="O586" s="164"/>
      <c r="P586" s="224"/>
      <c r="Q586" s="24"/>
      <c r="R586" s="283"/>
      <c r="S586" s="224" t="s">
        <v>113</v>
      </c>
      <c r="T586" s="283"/>
      <c r="U586" s="283"/>
      <c r="V586" s="164" t="s">
        <v>115</v>
      </c>
      <c r="W586" s="24"/>
      <c r="X586" s="283"/>
      <c r="Y586" s="24"/>
      <c r="Z586" s="24"/>
      <c r="AA586" s="24"/>
      <c r="AB586" s="24"/>
      <c r="AC586" s="130"/>
      <c r="AD586" s="130"/>
      <c r="AE586" s="288" t="s">
        <v>1859</v>
      </c>
      <c r="AF586" s="130"/>
      <c r="AG586" s="285" t="s">
        <v>115</v>
      </c>
      <c r="AH586" s="285" t="s">
        <v>625</v>
      </c>
      <c r="AI586" s="285" t="s">
        <v>626</v>
      </c>
      <c r="AJ586" s="24"/>
      <c r="AK586" s="24"/>
      <c r="AL586" s="24"/>
    </row>
    <row r="587" spans="1:38" ht="12.75" customHeight="1">
      <c r="A587" s="22">
        <v>585</v>
      </c>
      <c r="B587" s="24" t="str">
        <f t="shared" si="0"/>
        <v>Using LMP</v>
      </c>
      <c r="C587" s="24" t="str">
        <f t="shared" si="1"/>
        <v>Input Option</v>
      </c>
      <c r="D587" s="24" t="str">
        <f t="shared" si="2"/>
        <v>Select preferred gestational age:</v>
      </c>
      <c r="E587" s="24" t="s">
        <v>1766</v>
      </c>
      <c r="F587" s="24">
        <v>1</v>
      </c>
      <c r="G587" s="24" t="s">
        <v>1767</v>
      </c>
      <c r="H587" s="24"/>
      <c r="I587" s="283"/>
      <c r="J587" s="224"/>
      <c r="K587" s="224"/>
      <c r="L587" s="224"/>
      <c r="M587" s="224"/>
      <c r="N587" s="224" t="s">
        <v>1860</v>
      </c>
      <c r="O587" s="224"/>
      <c r="P587" s="224"/>
      <c r="Q587" s="24"/>
      <c r="R587" s="283"/>
      <c r="S587" s="224"/>
      <c r="T587" s="283"/>
      <c r="U587" s="283"/>
      <c r="V587" s="164"/>
      <c r="W587" s="24"/>
      <c r="X587" s="283"/>
      <c r="Y587" s="24"/>
      <c r="Z587" s="24"/>
      <c r="AA587" s="24"/>
      <c r="AB587" s="24"/>
      <c r="AC587" s="130"/>
      <c r="AD587" s="130"/>
      <c r="AE587" s="113">
        <v>21840007</v>
      </c>
      <c r="AF587" s="130"/>
      <c r="AG587" s="285" t="s">
        <v>115</v>
      </c>
      <c r="AH587" s="285" t="s">
        <v>559</v>
      </c>
      <c r="AI587" s="285" t="s">
        <v>560</v>
      </c>
      <c r="AJ587" s="24"/>
      <c r="AK587" s="24"/>
      <c r="AL587" s="24"/>
    </row>
    <row r="588" spans="1:38" ht="12.75" customHeight="1">
      <c r="A588" s="22">
        <v>586</v>
      </c>
      <c r="B588" s="24" t="str">
        <f t="shared" si="0"/>
        <v>Using ultrasound</v>
      </c>
      <c r="C588" s="24" t="str">
        <f t="shared" si="1"/>
        <v>Input Option</v>
      </c>
      <c r="D588" s="24" t="str">
        <f t="shared" si="2"/>
        <v>Select preferred gestational age:</v>
      </c>
      <c r="E588" s="24" t="s">
        <v>1766</v>
      </c>
      <c r="F588" s="24">
        <v>1</v>
      </c>
      <c r="G588" s="24" t="s">
        <v>1767</v>
      </c>
      <c r="H588" s="24"/>
      <c r="I588" s="283"/>
      <c r="J588" s="224"/>
      <c r="K588" s="224"/>
      <c r="L588" s="224"/>
      <c r="M588" s="224"/>
      <c r="N588" s="224" t="s">
        <v>1861</v>
      </c>
      <c r="O588" s="224"/>
      <c r="P588" s="224"/>
      <c r="Q588" s="24"/>
      <c r="R588" s="283"/>
      <c r="S588" s="224"/>
      <c r="T588" s="283"/>
      <c r="U588" s="283"/>
      <c r="V588" s="164"/>
      <c r="W588" s="24"/>
      <c r="X588" s="283"/>
      <c r="Y588" s="24"/>
      <c r="Z588" s="24"/>
      <c r="AA588" s="24"/>
      <c r="AB588" s="24"/>
      <c r="AC588" s="130"/>
      <c r="AD588" s="130"/>
      <c r="AE588" s="113" t="s">
        <v>1933</v>
      </c>
      <c r="AF588" s="130"/>
      <c r="AG588" s="285" t="s">
        <v>115</v>
      </c>
      <c r="AH588" s="205" t="s">
        <v>630</v>
      </c>
      <c r="AI588" s="285" t="s">
        <v>631</v>
      </c>
      <c r="AJ588" s="24"/>
      <c r="AK588" s="24"/>
      <c r="AL588" s="24"/>
    </row>
    <row r="589" spans="1:38" ht="12.75" customHeight="1">
      <c r="A589" s="22">
        <v>587</v>
      </c>
      <c r="B589" s="24" t="str">
        <f t="shared" si="0"/>
        <v>Using SFH or abdominal palpation</v>
      </c>
      <c r="C589" s="24" t="str">
        <f t="shared" si="1"/>
        <v>Input Option</v>
      </c>
      <c r="D589" s="24" t="str">
        <f t="shared" si="2"/>
        <v>Select preferred gestational age:</v>
      </c>
      <c r="E589" s="24" t="s">
        <v>1766</v>
      </c>
      <c r="F589" s="24">
        <v>1</v>
      </c>
      <c r="G589" s="24" t="s">
        <v>1767</v>
      </c>
      <c r="H589" s="24"/>
      <c r="I589" s="283"/>
      <c r="J589" s="224"/>
      <c r="K589" s="224"/>
      <c r="L589" s="224"/>
      <c r="M589" s="224"/>
      <c r="N589" s="224" t="s">
        <v>1863</v>
      </c>
      <c r="O589" s="224"/>
      <c r="P589" s="224"/>
      <c r="Q589" s="24"/>
      <c r="R589" s="283"/>
      <c r="S589" s="224"/>
      <c r="T589" s="283"/>
      <c r="U589" s="283"/>
      <c r="V589" s="164"/>
      <c r="W589" s="24"/>
      <c r="X589" s="283"/>
      <c r="Y589" s="24"/>
      <c r="Z589" s="24"/>
      <c r="AA589" s="24"/>
      <c r="AB589" s="24"/>
      <c r="AC589" s="130"/>
      <c r="AD589" s="130"/>
      <c r="AE589" s="291" t="s">
        <v>1937</v>
      </c>
      <c r="AF589" s="130"/>
      <c r="AG589" s="285" t="s">
        <v>115</v>
      </c>
      <c r="AH589" s="285" t="s">
        <v>613</v>
      </c>
      <c r="AI589" s="285" t="s">
        <v>614</v>
      </c>
      <c r="AJ589" s="24"/>
      <c r="AK589" s="24"/>
      <c r="AL589" s="24"/>
    </row>
    <row r="590" spans="1:38" ht="12.75" customHeight="1">
      <c r="A590" s="22">
        <v>588</v>
      </c>
      <c r="B590" s="24" t="str">
        <f t="shared" si="0"/>
        <v>gest_age</v>
      </c>
      <c r="C590" s="24" t="str">
        <f t="shared" si="1"/>
        <v>Calculation</v>
      </c>
      <c r="D590" s="24" t="str">
        <f t="shared" si="2"/>
        <v/>
      </c>
      <c r="E590" s="24" t="s">
        <v>1766</v>
      </c>
      <c r="F590" s="24">
        <v>1</v>
      </c>
      <c r="G590" s="24" t="s">
        <v>1767</v>
      </c>
      <c r="H590" s="24"/>
      <c r="I590" s="283"/>
      <c r="J590" s="224" t="s">
        <v>115</v>
      </c>
      <c r="K590" s="224" t="s">
        <v>636</v>
      </c>
      <c r="L590" s="224" t="s">
        <v>637</v>
      </c>
      <c r="M590" s="224" t="s">
        <v>65</v>
      </c>
      <c r="N590" s="224"/>
      <c r="O590" s="224" t="s">
        <v>634</v>
      </c>
      <c r="P590" s="224"/>
      <c r="Q590" s="24"/>
      <c r="R590" s="283"/>
      <c r="S590" s="224" t="s">
        <v>115</v>
      </c>
      <c r="T590" s="283"/>
      <c r="U590" s="283"/>
      <c r="V590" s="164" t="s">
        <v>115</v>
      </c>
      <c r="W590" s="24"/>
      <c r="X590" s="283"/>
      <c r="Y590" s="24"/>
      <c r="Z590" s="24"/>
      <c r="AA590" s="24"/>
      <c r="AB590" s="24"/>
      <c r="AC590" s="130"/>
      <c r="AD590" s="130"/>
      <c r="AE590" s="291"/>
      <c r="AF590" s="130"/>
      <c r="AG590" s="285" t="s">
        <v>115</v>
      </c>
      <c r="AH590" s="285" t="s">
        <v>115</v>
      </c>
      <c r="AI590" s="285" t="s">
        <v>115</v>
      </c>
      <c r="AJ590" s="24"/>
      <c r="AK590" s="24"/>
      <c r="AL590" s="24"/>
    </row>
    <row r="591" spans="1:38" ht="12.75" customHeight="1">
      <c r="A591" s="22">
        <v>589</v>
      </c>
      <c r="B591" s="24" t="str">
        <f t="shared" si="0"/>
        <v>edd</v>
      </c>
      <c r="C591" s="24" t="str">
        <f t="shared" si="1"/>
        <v>Calculation</v>
      </c>
      <c r="D591" s="24" t="str">
        <f t="shared" si="2"/>
        <v/>
      </c>
      <c r="E591" s="24" t="s">
        <v>1766</v>
      </c>
      <c r="F591" s="24">
        <v>1</v>
      </c>
      <c r="G591" s="24" t="s">
        <v>1767</v>
      </c>
      <c r="H591" s="24"/>
      <c r="I591" s="164"/>
      <c r="J591" s="224" t="s">
        <v>115</v>
      </c>
      <c r="K591" s="224" t="s">
        <v>642</v>
      </c>
      <c r="L591" s="224" t="s">
        <v>643</v>
      </c>
      <c r="M591" s="224" t="s">
        <v>65</v>
      </c>
      <c r="N591" s="224"/>
      <c r="O591" s="224" t="s">
        <v>641</v>
      </c>
      <c r="P591" s="224"/>
      <c r="Q591" s="24"/>
      <c r="R591" s="164"/>
      <c r="S591" s="224" t="s">
        <v>115</v>
      </c>
      <c r="T591" s="164"/>
      <c r="U591" s="164"/>
      <c r="V591" s="164" t="s">
        <v>115</v>
      </c>
      <c r="W591" s="24"/>
      <c r="X591" s="164"/>
      <c r="Y591" s="24"/>
      <c r="Z591" s="24"/>
      <c r="AA591" s="24"/>
      <c r="AB591" s="24"/>
      <c r="AC591" s="126"/>
      <c r="AD591" s="126"/>
      <c r="AE591" s="124"/>
      <c r="AF591" s="126"/>
      <c r="AG591" s="285" t="s">
        <v>115</v>
      </c>
      <c r="AH591" s="285" t="s">
        <v>115</v>
      </c>
      <c r="AI591" s="285" t="s">
        <v>115</v>
      </c>
      <c r="AJ591" s="24"/>
      <c r="AK591" s="24"/>
      <c r="AL591" s="24"/>
    </row>
    <row r="592" spans="1:38" ht="12.75" customHeight="1">
      <c r="A592" s="22">
        <v>590</v>
      </c>
      <c r="B592" s="24" t="str">
        <f t="shared" si="0"/>
        <v>Blood type test</v>
      </c>
      <c r="C592" s="24" t="str">
        <f t="shared" si="1"/>
        <v>Data Element</v>
      </c>
      <c r="D592" s="24" t="str">
        <f t="shared" si="2"/>
        <v/>
      </c>
      <c r="E592" s="24" t="s">
        <v>1866</v>
      </c>
      <c r="F592" s="24">
        <v>1</v>
      </c>
      <c r="G592" s="24" t="s">
        <v>1767</v>
      </c>
      <c r="H592" s="24"/>
      <c r="I592" s="283"/>
      <c r="J592" s="300" t="s">
        <v>1865</v>
      </c>
      <c r="K592" s="300" t="s">
        <v>1867</v>
      </c>
      <c r="L592" s="300" t="s">
        <v>1868</v>
      </c>
      <c r="M592" s="300" t="s">
        <v>202</v>
      </c>
      <c r="N592" s="300"/>
      <c r="O592" s="301"/>
      <c r="P592" s="301"/>
      <c r="Q592" s="24"/>
      <c r="R592" s="283"/>
      <c r="S592" s="300" t="s">
        <v>113</v>
      </c>
      <c r="T592" s="283"/>
      <c r="U592" s="283"/>
      <c r="V592" s="301" t="s">
        <v>1869</v>
      </c>
      <c r="W592" s="24"/>
      <c r="X592" s="283"/>
      <c r="Y592" s="24"/>
      <c r="Z592" s="24"/>
      <c r="AA592" s="24"/>
      <c r="AB592" s="24"/>
      <c r="AC592" s="295"/>
      <c r="AD592" s="295"/>
      <c r="AE592" s="295"/>
      <c r="AF592" s="295"/>
      <c r="AG592" s="205" t="s">
        <v>1870</v>
      </c>
      <c r="AH592" s="205" t="s">
        <v>1773</v>
      </c>
      <c r="AI592" s="285" t="s">
        <v>1774</v>
      </c>
      <c r="AJ592" s="24"/>
      <c r="AK592" s="24"/>
      <c r="AL592" s="24"/>
    </row>
    <row r="593" spans="1:38" ht="12.75" customHeight="1">
      <c r="A593" s="22">
        <v>591</v>
      </c>
      <c r="B593" s="24" t="str">
        <f t="shared" si="0"/>
        <v>Done today</v>
      </c>
      <c r="C593" s="24" t="str">
        <f t="shared" si="1"/>
        <v>Input Option</v>
      </c>
      <c r="D593" s="24" t="str">
        <f t="shared" si="2"/>
        <v>Blood type test</v>
      </c>
      <c r="E593" s="24" t="s">
        <v>1866</v>
      </c>
      <c r="F593" s="24">
        <v>1</v>
      </c>
      <c r="G593" s="24" t="s">
        <v>1767</v>
      </c>
      <c r="H593" s="24"/>
      <c r="I593" s="283"/>
      <c r="J593" s="293"/>
      <c r="K593" s="293"/>
      <c r="L593" s="293"/>
      <c r="M593" s="293"/>
      <c r="N593" s="304" t="s">
        <v>1775</v>
      </c>
      <c r="O593" s="293"/>
      <c r="P593" s="293"/>
      <c r="Q593" s="24"/>
      <c r="R593" s="283"/>
      <c r="S593" s="293"/>
      <c r="T593" s="283"/>
      <c r="U593" s="283"/>
      <c r="V593" s="293"/>
      <c r="W593" s="24"/>
      <c r="X593" s="283"/>
      <c r="Y593" s="24"/>
      <c r="Z593" s="24"/>
      <c r="AA593" s="24"/>
      <c r="AB593" s="24"/>
      <c r="AC593" s="295"/>
      <c r="AD593" s="295"/>
      <c r="AE593" s="295"/>
      <c r="AF593" s="295"/>
      <c r="AG593" s="294" t="s">
        <v>115</v>
      </c>
      <c r="AH593" s="294" t="s">
        <v>1777</v>
      </c>
      <c r="AI593" s="294" t="s">
        <v>1778</v>
      </c>
      <c r="AJ593" s="24"/>
      <c r="AK593" s="24"/>
      <c r="AL593" s="24"/>
    </row>
    <row r="594" spans="1:38" ht="12.75" customHeight="1">
      <c r="A594" s="22">
        <v>592</v>
      </c>
      <c r="B594" s="24" t="str">
        <f t="shared" si="0"/>
        <v>Done earlier</v>
      </c>
      <c r="C594" s="24" t="str">
        <f t="shared" si="1"/>
        <v>Input Option</v>
      </c>
      <c r="D594" s="24" t="str">
        <f t="shared" si="2"/>
        <v>Blood type test</v>
      </c>
      <c r="E594" s="24" t="s">
        <v>1866</v>
      </c>
      <c r="F594" s="24">
        <v>1</v>
      </c>
      <c r="G594" s="24" t="s">
        <v>1767</v>
      </c>
      <c r="H594" s="24"/>
      <c r="I594" s="283"/>
      <c r="J594" s="293"/>
      <c r="K594" s="293"/>
      <c r="L594" s="293"/>
      <c r="M594" s="293"/>
      <c r="N594" s="304" t="s">
        <v>1779</v>
      </c>
      <c r="O594" s="293"/>
      <c r="P594" s="293"/>
      <c r="Q594" s="24"/>
      <c r="R594" s="283"/>
      <c r="S594" s="293"/>
      <c r="T594" s="283"/>
      <c r="U594" s="283"/>
      <c r="V594" s="293"/>
      <c r="W594" s="24"/>
      <c r="X594" s="283"/>
      <c r="Y594" s="24"/>
      <c r="Z594" s="24"/>
      <c r="AA594" s="24"/>
      <c r="AB594" s="24"/>
      <c r="AC594" s="283"/>
      <c r="AD594" s="283"/>
      <c r="AE594" s="288" t="s">
        <v>1871</v>
      </c>
      <c r="AF594" s="283"/>
      <c r="AG594" s="294" t="s">
        <v>115</v>
      </c>
      <c r="AH594" s="294" t="s">
        <v>1781</v>
      </c>
      <c r="AI594" s="294" t="s">
        <v>1782</v>
      </c>
      <c r="AJ594" s="24"/>
      <c r="AK594" s="24"/>
      <c r="AL594" s="24"/>
    </row>
    <row r="595" spans="1:38" ht="12.75" customHeight="1">
      <c r="A595" s="22">
        <v>593</v>
      </c>
      <c r="B595" s="24" t="str">
        <f t="shared" si="0"/>
        <v>Ordered</v>
      </c>
      <c r="C595" s="24" t="str">
        <f t="shared" si="1"/>
        <v>Input Option</v>
      </c>
      <c r="D595" s="24" t="str">
        <f t="shared" si="2"/>
        <v>Blood type test</v>
      </c>
      <c r="E595" s="24" t="s">
        <v>1866</v>
      </c>
      <c r="F595" s="24">
        <v>1</v>
      </c>
      <c r="G595" s="24" t="s">
        <v>1767</v>
      </c>
      <c r="H595" s="24"/>
      <c r="I595" s="283"/>
      <c r="J595" s="293"/>
      <c r="K595" s="293"/>
      <c r="L595" s="293"/>
      <c r="M595" s="293"/>
      <c r="N595" s="304" t="s">
        <v>1783</v>
      </c>
      <c r="O595" s="293"/>
      <c r="P595" s="293"/>
      <c r="Q595" s="24"/>
      <c r="R595" s="283"/>
      <c r="S595" s="293"/>
      <c r="T595" s="283"/>
      <c r="U595" s="283"/>
      <c r="V595" s="293"/>
      <c r="W595" s="24"/>
      <c r="X595" s="283"/>
      <c r="Y595" s="24"/>
      <c r="Z595" s="24"/>
      <c r="AA595" s="24"/>
      <c r="AB595" s="24"/>
      <c r="AC595" s="283"/>
      <c r="AD595" s="283"/>
      <c r="AE595" s="113">
        <v>721963009</v>
      </c>
      <c r="AF595" s="283"/>
      <c r="AG595" s="294" t="s">
        <v>115</v>
      </c>
      <c r="AH595" s="294" t="s">
        <v>1784</v>
      </c>
      <c r="AI595" s="294" t="s">
        <v>1785</v>
      </c>
      <c r="AJ595" s="24"/>
      <c r="AK595" s="24"/>
      <c r="AL595" s="24"/>
    </row>
    <row r="596" spans="1:38" ht="12.75" customHeight="1">
      <c r="A596" s="22">
        <v>594</v>
      </c>
      <c r="B596" s="24" t="str">
        <f t="shared" si="0"/>
        <v>Not done</v>
      </c>
      <c r="C596" s="24" t="str">
        <f t="shared" si="1"/>
        <v>Input Option</v>
      </c>
      <c r="D596" s="24" t="str">
        <f t="shared" si="2"/>
        <v>Blood type test</v>
      </c>
      <c r="E596" s="24" t="s">
        <v>1866</v>
      </c>
      <c r="F596" s="24">
        <v>1</v>
      </c>
      <c r="G596" s="24" t="s">
        <v>1767</v>
      </c>
      <c r="H596" s="24"/>
      <c r="I596" s="283"/>
      <c r="J596" s="293"/>
      <c r="K596" s="293"/>
      <c r="L596" s="293"/>
      <c r="M596" s="293"/>
      <c r="N596" s="304" t="s">
        <v>1468</v>
      </c>
      <c r="O596" s="293"/>
      <c r="P596" s="293"/>
      <c r="Q596" s="24"/>
      <c r="R596" s="283"/>
      <c r="S596" s="293"/>
      <c r="T596" s="283"/>
      <c r="U596" s="283"/>
      <c r="V596" s="293"/>
      <c r="W596" s="24"/>
      <c r="X596" s="283"/>
      <c r="Y596" s="24"/>
      <c r="Z596" s="24"/>
      <c r="AA596" s="24"/>
      <c r="AB596" s="24"/>
      <c r="AC596" s="283"/>
      <c r="AD596" s="283"/>
      <c r="AE596" s="113">
        <v>385660001</v>
      </c>
      <c r="AF596" s="283"/>
      <c r="AG596" s="294" t="s">
        <v>115</v>
      </c>
      <c r="AH596" s="294" t="s">
        <v>1469</v>
      </c>
      <c r="AI596" s="294" t="s">
        <v>1470</v>
      </c>
      <c r="AJ596" s="24"/>
      <c r="AK596" s="24"/>
      <c r="AL596" s="24"/>
    </row>
    <row r="597" spans="1:38" ht="12.75" customHeight="1">
      <c r="A597" s="22">
        <v>595</v>
      </c>
      <c r="B597" s="24" t="str">
        <f t="shared" si="0"/>
        <v>Blood type test date</v>
      </c>
      <c r="C597" s="24" t="str">
        <f t="shared" si="1"/>
        <v>Data Element</v>
      </c>
      <c r="D597" s="24" t="str">
        <f t="shared" si="2"/>
        <v/>
      </c>
      <c r="E597" s="24" t="s">
        <v>1866</v>
      </c>
      <c r="F597" s="24">
        <v>1</v>
      </c>
      <c r="G597" s="24" t="s">
        <v>1767</v>
      </c>
      <c r="H597" s="24"/>
      <c r="I597" s="283"/>
      <c r="J597" s="196" t="s">
        <v>1872</v>
      </c>
      <c r="K597" s="196" t="s">
        <v>1873</v>
      </c>
      <c r="L597" s="196" t="s">
        <v>1874</v>
      </c>
      <c r="M597" s="196" t="s">
        <v>140</v>
      </c>
      <c r="N597" s="196"/>
      <c r="O597" s="196"/>
      <c r="P597" s="196"/>
      <c r="Q597" s="24"/>
      <c r="R597" s="283"/>
      <c r="S597" s="204" t="s">
        <v>113</v>
      </c>
      <c r="T597" s="283"/>
      <c r="U597" s="283"/>
      <c r="V597" s="196" t="s">
        <v>115</v>
      </c>
      <c r="W597" s="24"/>
      <c r="X597" s="283"/>
      <c r="Y597" s="24"/>
      <c r="Z597" s="24"/>
      <c r="AA597" s="24"/>
      <c r="AB597" s="24"/>
      <c r="AC597" s="295"/>
      <c r="AD597" s="295"/>
      <c r="AE597" s="295"/>
      <c r="AF597" s="295"/>
      <c r="AG597" s="294" t="s">
        <v>1870</v>
      </c>
      <c r="AH597" s="294" t="s">
        <v>1804</v>
      </c>
      <c r="AI597" s="294" t="s">
        <v>1805</v>
      </c>
      <c r="AJ597" s="24"/>
      <c r="AK597" s="24"/>
      <c r="AL597" s="24"/>
    </row>
    <row r="598" spans="1:38" ht="12.75" customHeight="1">
      <c r="A598" s="22">
        <v>596</v>
      </c>
      <c r="B598" s="24" t="str">
        <f t="shared" si="0"/>
        <v>Blood type</v>
      </c>
      <c r="C598" s="24" t="str">
        <f t="shared" si="1"/>
        <v>Data Element</v>
      </c>
      <c r="D598" s="24" t="str">
        <f t="shared" si="2"/>
        <v/>
      </c>
      <c r="E598" s="24" t="s">
        <v>1866</v>
      </c>
      <c r="F598" s="24">
        <v>1</v>
      </c>
      <c r="G598" s="24" t="s">
        <v>1767</v>
      </c>
      <c r="H598" s="24"/>
      <c r="I598" s="283"/>
      <c r="J598" s="296" t="s">
        <v>1875</v>
      </c>
      <c r="K598" s="224" t="s">
        <v>1876</v>
      </c>
      <c r="L598" s="224" t="s">
        <v>1877</v>
      </c>
      <c r="M598" s="224" t="s">
        <v>202</v>
      </c>
      <c r="N598" s="224"/>
      <c r="O598" s="164"/>
      <c r="P598" s="164"/>
      <c r="Q598" s="24"/>
      <c r="R598" s="283"/>
      <c r="S598" s="224" t="s">
        <v>113</v>
      </c>
      <c r="T598" s="283"/>
      <c r="U598" s="283"/>
      <c r="V598" s="296" t="s">
        <v>115</v>
      </c>
      <c r="W598" s="24"/>
      <c r="X598" s="283"/>
      <c r="Y598" s="24"/>
      <c r="Z598" s="24"/>
      <c r="AA598" s="24"/>
      <c r="AB598" s="24"/>
      <c r="AC598" s="283"/>
      <c r="AD598" s="283"/>
      <c r="AE598" s="113">
        <v>365636006</v>
      </c>
      <c r="AF598" s="283"/>
      <c r="AG598" s="285" t="s">
        <v>115</v>
      </c>
      <c r="AH598" s="285" t="s">
        <v>1878</v>
      </c>
      <c r="AI598" s="285" t="s">
        <v>1879</v>
      </c>
      <c r="AJ598" s="24"/>
      <c r="AK598" s="24"/>
      <c r="AL598" s="24"/>
    </row>
    <row r="599" spans="1:38" ht="12.75" customHeight="1">
      <c r="A599" s="22">
        <v>597</v>
      </c>
      <c r="B599" s="24" t="str">
        <f t="shared" si="0"/>
        <v>A</v>
      </c>
      <c r="C599" s="24" t="str">
        <f t="shared" si="1"/>
        <v>Input Option</v>
      </c>
      <c r="D599" s="24" t="str">
        <f t="shared" si="2"/>
        <v>Blood type</v>
      </c>
      <c r="E599" s="24" t="s">
        <v>1866</v>
      </c>
      <c r="F599" s="24">
        <v>1</v>
      </c>
      <c r="G599" s="24" t="s">
        <v>1767</v>
      </c>
      <c r="H599" s="24"/>
      <c r="I599" s="283"/>
      <c r="J599" s="224"/>
      <c r="K599" s="224"/>
      <c r="L599" s="224"/>
      <c r="M599" s="224"/>
      <c r="N599" s="224" t="s">
        <v>1880</v>
      </c>
      <c r="O599" s="164"/>
      <c r="P599" s="164"/>
      <c r="Q599" s="24"/>
      <c r="R599" s="283"/>
      <c r="S599" s="224"/>
      <c r="T599" s="283"/>
      <c r="U599" s="283"/>
      <c r="V599" s="164"/>
      <c r="W599" s="24"/>
      <c r="X599" s="283"/>
      <c r="Y599" s="24"/>
      <c r="Z599" s="24"/>
      <c r="AA599" s="24"/>
      <c r="AB599" s="24"/>
      <c r="AC599" s="283"/>
      <c r="AD599" s="283"/>
      <c r="AE599" s="113">
        <v>112144000</v>
      </c>
      <c r="AF599" s="283"/>
      <c r="AG599" s="285" t="s">
        <v>115</v>
      </c>
      <c r="AH599" s="285" t="s">
        <v>1881</v>
      </c>
      <c r="AI599" s="285" t="s">
        <v>1882</v>
      </c>
      <c r="AJ599" s="24"/>
      <c r="AK599" s="24"/>
      <c r="AL599" s="24"/>
    </row>
    <row r="600" spans="1:38" ht="12.75" customHeight="1">
      <c r="A600" s="22">
        <v>598</v>
      </c>
      <c r="B600" s="24" t="str">
        <f t="shared" si="0"/>
        <v>B</v>
      </c>
      <c r="C600" s="24" t="str">
        <f t="shared" si="1"/>
        <v>Input Option</v>
      </c>
      <c r="D600" s="24" t="str">
        <f t="shared" si="2"/>
        <v>Blood type</v>
      </c>
      <c r="E600" s="24" t="s">
        <v>1866</v>
      </c>
      <c r="F600" s="24">
        <v>1</v>
      </c>
      <c r="G600" s="24" t="s">
        <v>1767</v>
      </c>
      <c r="H600" s="24"/>
      <c r="I600" s="283"/>
      <c r="J600" s="224"/>
      <c r="K600" s="224"/>
      <c r="L600" s="224"/>
      <c r="M600" s="224"/>
      <c r="N600" s="224" t="s">
        <v>1883</v>
      </c>
      <c r="O600" s="164"/>
      <c r="P600" s="164"/>
      <c r="Q600" s="24"/>
      <c r="R600" s="283"/>
      <c r="S600" s="224"/>
      <c r="T600" s="283"/>
      <c r="U600" s="283"/>
      <c r="V600" s="164"/>
      <c r="W600" s="24"/>
      <c r="X600" s="283"/>
      <c r="Y600" s="24"/>
      <c r="Z600" s="24"/>
      <c r="AA600" s="24"/>
      <c r="AB600" s="24"/>
      <c r="AC600" s="283"/>
      <c r="AD600" s="283"/>
      <c r="AE600" s="113">
        <v>112149005</v>
      </c>
      <c r="AF600" s="283"/>
      <c r="AG600" s="285" t="s">
        <v>115</v>
      </c>
      <c r="AH600" s="285" t="s">
        <v>1884</v>
      </c>
      <c r="AI600" s="285" t="s">
        <v>1885</v>
      </c>
      <c r="AJ600" s="24"/>
      <c r="AK600" s="24"/>
      <c r="AL600" s="24"/>
    </row>
    <row r="601" spans="1:38" ht="12.75" customHeight="1">
      <c r="A601" s="22">
        <v>599</v>
      </c>
      <c r="B601" s="24" t="str">
        <f t="shared" si="0"/>
        <v>AB</v>
      </c>
      <c r="C601" s="24" t="str">
        <f t="shared" si="1"/>
        <v>Input Option</v>
      </c>
      <c r="D601" s="24" t="str">
        <f t="shared" si="2"/>
        <v>Blood type</v>
      </c>
      <c r="E601" s="24" t="s">
        <v>1866</v>
      </c>
      <c r="F601" s="24">
        <v>1</v>
      </c>
      <c r="G601" s="24" t="s">
        <v>1767</v>
      </c>
      <c r="H601" s="24"/>
      <c r="I601" s="283"/>
      <c r="J601" s="224"/>
      <c r="K601" s="224"/>
      <c r="L601" s="224"/>
      <c r="M601" s="224"/>
      <c r="N601" s="224" t="s">
        <v>1886</v>
      </c>
      <c r="O601" s="164"/>
      <c r="P601" s="164"/>
      <c r="Q601" s="24"/>
      <c r="R601" s="283"/>
      <c r="S601" s="224"/>
      <c r="T601" s="283"/>
      <c r="U601" s="283"/>
      <c r="V601" s="164"/>
      <c r="W601" s="24"/>
      <c r="X601" s="283"/>
      <c r="Y601" s="24"/>
      <c r="Z601" s="24"/>
      <c r="AA601" s="24"/>
      <c r="AB601" s="24"/>
      <c r="AC601" s="283"/>
      <c r="AD601" s="283"/>
      <c r="AE601" s="113">
        <v>165743006</v>
      </c>
      <c r="AF601" s="283"/>
      <c r="AG601" s="285" t="s">
        <v>115</v>
      </c>
      <c r="AH601" s="285" t="s">
        <v>1887</v>
      </c>
      <c r="AI601" s="285" t="s">
        <v>1888</v>
      </c>
      <c r="AJ601" s="24"/>
      <c r="AK601" s="24"/>
      <c r="AL601" s="24"/>
    </row>
    <row r="602" spans="1:38" ht="12.75" customHeight="1">
      <c r="A602" s="22">
        <v>600</v>
      </c>
      <c r="B602" s="24" t="str">
        <f t="shared" si="0"/>
        <v>O</v>
      </c>
      <c r="C602" s="24" t="str">
        <f t="shared" si="1"/>
        <v>Input Option</v>
      </c>
      <c r="D602" s="24" t="str">
        <f t="shared" si="2"/>
        <v>Blood type</v>
      </c>
      <c r="E602" s="24" t="s">
        <v>1866</v>
      </c>
      <c r="F602" s="24">
        <v>1</v>
      </c>
      <c r="G602" s="24" t="s">
        <v>1767</v>
      </c>
      <c r="H602" s="24"/>
      <c r="I602" s="283"/>
      <c r="J602" s="224"/>
      <c r="K602" s="224"/>
      <c r="L602" s="224"/>
      <c r="M602" s="224"/>
      <c r="N602" s="224" t="s">
        <v>1889</v>
      </c>
      <c r="O602" s="164"/>
      <c r="P602" s="164"/>
      <c r="Q602" s="24"/>
      <c r="R602" s="283"/>
      <c r="S602" s="224"/>
      <c r="T602" s="283"/>
      <c r="U602" s="283"/>
      <c r="V602" s="164"/>
      <c r="W602" s="24"/>
      <c r="X602" s="283"/>
      <c r="Y602" s="24"/>
      <c r="Z602" s="24"/>
      <c r="AA602" s="24"/>
      <c r="AB602" s="24"/>
      <c r="AC602" s="283"/>
      <c r="AD602" s="283"/>
      <c r="AE602" s="113">
        <v>58460004</v>
      </c>
      <c r="AF602" s="283"/>
      <c r="AG602" s="285" t="s">
        <v>115</v>
      </c>
      <c r="AH602" s="285" t="s">
        <v>1890</v>
      </c>
      <c r="AI602" s="285" t="s">
        <v>1891</v>
      </c>
      <c r="AJ602" s="24"/>
      <c r="AK602" s="24"/>
      <c r="AL602" s="24"/>
    </row>
    <row r="603" spans="1:38" ht="12.75" customHeight="1">
      <c r="A603" s="22">
        <v>601</v>
      </c>
      <c r="B603" s="24" t="str">
        <f t="shared" si="0"/>
        <v>Rh factor</v>
      </c>
      <c r="C603" s="24" t="str">
        <f t="shared" si="1"/>
        <v>Data Element</v>
      </c>
      <c r="D603" s="24" t="str">
        <f t="shared" si="2"/>
        <v/>
      </c>
      <c r="E603" s="24" t="s">
        <v>1866</v>
      </c>
      <c r="F603" s="24">
        <v>1</v>
      </c>
      <c r="G603" s="24" t="s">
        <v>1767</v>
      </c>
      <c r="H603" s="24"/>
      <c r="I603" s="283"/>
      <c r="J603" s="300" t="s">
        <v>1892</v>
      </c>
      <c r="K603" s="300" t="s">
        <v>1893</v>
      </c>
      <c r="L603" s="300" t="s">
        <v>1894</v>
      </c>
      <c r="M603" s="300" t="s">
        <v>202</v>
      </c>
      <c r="N603" s="300"/>
      <c r="O603" s="301"/>
      <c r="P603" s="301"/>
      <c r="Q603" s="24"/>
      <c r="R603" s="283"/>
      <c r="S603" s="300" t="s">
        <v>113</v>
      </c>
      <c r="T603" s="283"/>
      <c r="U603" s="283"/>
      <c r="V603" s="301" t="s">
        <v>115</v>
      </c>
      <c r="W603" s="24"/>
      <c r="X603" s="283"/>
      <c r="Y603" s="24"/>
      <c r="Z603" s="24"/>
      <c r="AA603" s="24"/>
      <c r="AB603" s="24"/>
      <c r="AC603" s="283"/>
      <c r="AD603" s="283"/>
      <c r="AE603" s="113">
        <v>165745004</v>
      </c>
      <c r="AF603" s="283"/>
      <c r="AG603" s="285" t="s">
        <v>115</v>
      </c>
      <c r="AH603" s="285" t="s">
        <v>1895</v>
      </c>
      <c r="AI603" s="285" t="s">
        <v>1896</v>
      </c>
      <c r="AJ603" s="24"/>
      <c r="AK603" s="24"/>
      <c r="AL603" s="24"/>
    </row>
    <row r="604" spans="1:38" ht="12.75" customHeight="1">
      <c r="A604" s="22">
        <v>602</v>
      </c>
      <c r="B604" s="24" t="str">
        <f t="shared" si="0"/>
        <v>Positive</v>
      </c>
      <c r="C604" s="24" t="str">
        <f t="shared" si="1"/>
        <v>Input Option</v>
      </c>
      <c r="D604" s="24" t="str">
        <f t="shared" si="2"/>
        <v>Rh factor</v>
      </c>
      <c r="E604" s="24" t="s">
        <v>1866</v>
      </c>
      <c r="F604" s="24">
        <v>1</v>
      </c>
      <c r="G604" s="24" t="s">
        <v>1767</v>
      </c>
      <c r="H604" s="24"/>
      <c r="I604" s="283"/>
      <c r="J604" s="293"/>
      <c r="K604" s="293"/>
      <c r="L604" s="293"/>
      <c r="M604" s="293"/>
      <c r="N604" s="304" t="s">
        <v>1122</v>
      </c>
      <c r="O604" s="293"/>
      <c r="P604" s="293"/>
      <c r="Q604" s="24"/>
      <c r="R604" s="283"/>
      <c r="S604" s="293"/>
      <c r="T604" s="283"/>
      <c r="U604" s="283"/>
      <c r="V604" s="293"/>
      <c r="W604" s="24"/>
      <c r="X604" s="283"/>
      <c r="Y604" s="24"/>
      <c r="Z604" s="24"/>
      <c r="AA604" s="24"/>
      <c r="AB604" s="24"/>
      <c r="AC604" s="283"/>
      <c r="AD604" s="283"/>
      <c r="AE604" s="113">
        <v>10828004</v>
      </c>
      <c r="AF604" s="283"/>
      <c r="AG604" s="294" t="s">
        <v>115</v>
      </c>
      <c r="AH604" s="294" t="s">
        <v>1897</v>
      </c>
      <c r="AI604" s="294" t="s">
        <v>1125</v>
      </c>
      <c r="AJ604" s="24"/>
      <c r="AK604" s="24"/>
      <c r="AL604" s="24"/>
    </row>
    <row r="605" spans="1:38" ht="12.75" customHeight="1">
      <c r="A605" s="22">
        <v>603</v>
      </c>
      <c r="B605" s="24" t="str">
        <f t="shared" si="0"/>
        <v>Negative</v>
      </c>
      <c r="C605" s="24" t="str">
        <f t="shared" si="1"/>
        <v>Input Option</v>
      </c>
      <c r="D605" s="24" t="str">
        <f t="shared" si="2"/>
        <v>Rh factor</v>
      </c>
      <c r="E605" s="24" t="s">
        <v>1866</v>
      </c>
      <c r="F605" s="24">
        <v>1</v>
      </c>
      <c r="G605" s="24" t="s">
        <v>1767</v>
      </c>
      <c r="H605" s="24"/>
      <c r="I605" s="283"/>
      <c r="J605" s="293"/>
      <c r="K605" s="293"/>
      <c r="L605" s="293"/>
      <c r="M605" s="293"/>
      <c r="N605" s="304" t="s">
        <v>1126</v>
      </c>
      <c r="O605" s="293"/>
      <c r="P605" s="293"/>
      <c r="Q605" s="24"/>
      <c r="R605" s="283"/>
      <c r="S605" s="293"/>
      <c r="T605" s="283"/>
      <c r="U605" s="283"/>
      <c r="V605" s="293"/>
      <c r="W605" s="24"/>
      <c r="X605" s="283"/>
      <c r="Y605" s="24"/>
      <c r="Z605" s="24"/>
      <c r="AA605" s="24"/>
      <c r="AB605" s="24"/>
      <c r="AC605" s="283"/>
      <c r="AD605" s="283"/>
      <c r="AE605" s="113">
        <v>260385009</v>
      </c>
      <c r="AF605" s="283"/>
      <c r="AG605" s="294" t="s">
        <v>115</v>
      </c>
      <c r="AH605" s="294" t="s">
        <v>1128</v>
      </c>
      <c r="AI605" s="294" t="s">
        <v>1129</v>
      </c>
      <c r="AJ605" s="24"/>
      <c r="AK605" s="24"/>
      <c r="AL605" s="24"/>
    </row>
    <row r="606" spans="1:38" ht="12.75" customHeight="1">
      <c r="A606" s="22">
        <v>604</v>
      </c>
      <c r="B606" s="24" t="str">
        <f t="shared" si="0"/>
        <v>HIV test</v>
      </c>
      <c r="C606" s="24" t="str">
        <f t="shared" si="1"/>
        <v>Data Element</v>
      </c>
      <c r="D606" s="24" t="str">
        <f t="shared" si="2"/>
        <v/>
      </c>
      <c r="E606" s="24" t="s">
        <v>887</v>
      </c>
      <c r="F606" s="24">
        <v>1</v>
      </c>
      <c r="G606" s="24" t="s">
        <v>1767</v>
      </c>
      <c r="H606" s="24"/>
      <c r="I606" s="283"/>
      <c r="J606" s="224" t="s">
        <v>1898</v>
      </c>
      <c r="K606" s="224" t="s">
        <v>1899</v>
      </c>
      <c r="L606" s="224" t="s">
        <v>1900</v>
      </c>
      <c r="M606" s="224" t="s">
        <v>202</v>
      </c>
      <c r="N606" s="224"/>
      <c r="O606" s="164"/>
      <c r="P606" s="164"/>
      <c r="Q606" s="24"/>
      <c r="R606" s="283"/>
      <c r="S606" s="224" t="s">
        <v>113</v>
      </c>
      <c r="T606" s="283"/>
      <c r="U606" s="283"/>
      <c r="V606" s="164" t="s">
        <v>1901</v>
      </c>
      <c r="W606" s="24"/>
      <c r="X606" s="283"/>
      <c r="Y606" s="24"/>
      <c r="Z606" s="24"/>
      <c r="AA606" s="24"/>
      <c r="AB606" s="24"/>
      <c r="AC606" s="295"/>
      <c r="AD606" s="295"/>
      <c r="AE606" s="295"/>
      <c r="AF606" s="295"/>
      <c r="AG606" s="285" t="s">
        <v>1902</v>
      </c>
      <c r="AH606" s="205" t="s">
        <v>1773</v>
      </c>
      <c r="AI606" s="285" t="s">
        <v>1774</v>
      </c>
      <c r="AJ606" s="24"/>
      <c r="AK606" s="24"/>
      <c r="AL606" s="24"/>
    </row>
    <row r="607" spans="1:38" ht="12.75" customHeight="1">
      <c r="A607" s="22">
        <v>605</v>
      </c>
      <c r="B607" s="24" t="str">
        <f t="shared" si="0"/>
        <v>Done today</v>
      </c>
      <c r="C607" s="24" t="str">
        <f t="shared" si="1"/>
        <v>Input Option</v>
      </c>
      <c r="D607" s="24" t="str">
        <f t="shared" si="2"/>
        <v>HIV test</v>
      </c>
      <c r="E607" s="24" t="s">
        <v>887</v>
      </c>
      <c r="F607" s="24">
        <v>1</v>
      </c>
      <c r="G607" s="24" t="s">
        <v>1767</v>
      </c>
      <c r="H607" s="24"/>
      <c r="I607" s="283"/>
      <c r="J607" s="224"/>
      <c r="K607" s="224"/>
      <c r="L607" s="224"/>
      <c r="M607" s="224"/>
      <c r="N607" s="224" t="s">
        <v>1775</v>
      </c>
      <c r="O607" s="224"/>
      <c r="P607" s="224"/>
      <c r="Q607" s="24"/>
      <c r="R607" s="283"/>
      <c r="S607" s="224"/>
      <c r="T607" s="283"/>
      <c r="U607" s="283"/>
      <c r="V607" s="164"/>
      <c r="W607" s="24"/>
      <c r="X607" s="283"/>
      <c r="Y607" s="24"/>
      <c r="Z607" s="24"/>
      <c r="AA607" s="24"/>
      <c r="AB607" s="24"/>
      <c r="AC607" s="295"/>
      <c r="AD607" s="295"/>
      <c r="AE607" s="295"/>
      <c r="AF607" s="295"/>
      <c r="AG607" s="285" t="s">
        <v>115</v>
      </c>
      <c r="AH607" s="285" t="s">
        <v>1777</v>
      </c>
      <c r="AI607" s="285" t="s">
        <v>1778</v>
      </c>
      <c r="AJ607" s="24"/>
      <c r="AK607" s="24"/>
      <c r="AL607" s="24"/>
    </row>
    <row r="608" spans="1:38" ht="12.75" customHeight="1">
      <c r="A608" s="22">
        <v>606</v>
      </c>
      <c r="B608" s="24" t="str">
        <f t="shared" si="0"/>
        <v>Done earlier</v>
      </c>
      <c r="C608" s="24" t="str">
        <f t="shared" si="1"/>
        <v>Input Option</v>
      </c>
      <c r="D608" s="24" t="str">
        <f t="shared" si="2"/>
        <v>HIV test</v>
      </c>
      <c r="E608" s="24" t="s">
        <v>887</v>
      </c>
      <c r="F608" s="24">
        <v>1</v>
      </c>
      <c r="G608" s="24" t="s">
        <v>1767</v>
      </c>
      <c r="H608" s="24"/>
      <c r="I608" s="283"/>
      <c r="J608" s="224"/>
      <c r="K608" s="224"/>
      <c r="L608" s="224"/>
      <c r="M608" s="224"/>
      <c r="N608" s="204" t="s">
        <v>1779</v>
      </c>
      <c r="O608" s="224"/>
      <c r="P608" s="224"/>
      <c r="Q608" s="24"/>
      <c r="R608" s="283"/>
      <c r="S608" s="224"/>
      <c r="T608" s="283"/>
      <c r="U608" s="283"/>
      <c r="V608" s="164"/>
      <c r="W608" s="24"/>
      <c r="X608" s="283"/>
      <c r="Y608" s="24"/>
      <c r="Z608" s="24"/>
      <c r="AA608" s="24"/>
      <c r="AB608" s="24"/>
      <c r="AC608" s="291"/>
      <c r="AD608" s="291"/>
      <c r="AE608" s="288" t="s">
        <v>1871</v>
      </c>
      <c r="AF608" s="291"/>
      <c r="AG608" s="285" t="s">
        <v>115</v>
      </c>
      <c r="AH608" s="285" t="s">
        <v>1781</v>
      </c>
      <c r="AI608" s="285" t="s">
        <v>1782</v>
      </c>
      <c r="AJ608" s="24"/>
      <c r="AK608" s="24"/>
      <c r="AL608" s="24"/>
    </row>
    <row r="609" spans="1:38" ht="12.75" customHeight="1">
      <c r="A609" s="22">
        <v>607</v>
      </c>
      <c r="B609" s="24" t="str">
        <f t="shared" si="0"/>
        <v>Ordered</v>
      </c>
      <c r="C609" s="24" t="str">
        <f t="shared" si="1"/>
        <v>Input Option</v>
      </c>
      <c r="D609" s="24" t="str">
        <f t="shared" si="2"/>
        <v>HIV test</v>
      </c>
      <c r="E609" s="24" t="s">
        <v>887</v>
      </c>
      <c r="F609" s="24">
        <v>1</v>
      </c>
      <c r="G609" s="24" t="s">
        <v>1767</v>
      </c>
      <c r="H609" s="24"/>
      <c r="I609" s="283"/>
      <c r="J609" s="224"/>
      <c r="K609" s="224"/>
      <c r="L609" s="224"/>
      <c r="M609" s="224"/>
      <c r="N609" s="204" t="s">
        <v>1783</v>
      </c>
      <c r="O609" s="224"/>
      <c r="P609" s="224"/>
      <c r="Q609" s="24"/>
      <c r="R609" s="283"/>
      <c r="S609" s="224"/>
      <c r="T609" s="283"/>
      <c r="U609" s="283"/>
      <c r="V609" s="164"/>
      <c r="W609" s="24"/>
      <c r="X609" s="283"/>
      <c r="Y609" s="24"/>
      <c r="Z609" s="24"/>
      <c r="AA609" s="24"/>
      <c r="AB609" s="24"/>
      <c r="AC609" s="291"/>
      <c r="AD609" s="291"/>
      <c r="AE609" s="113">
        <v>721963009</v>
      </c>
      <c r="AF609" s="291"/>
      <c r="AG609" s="285" t="s">
        <v>115</v>
      </c>
      <c r="AH609" s="285" t="s">
        <v>1784</v>
      </c>
      <c r="AI609" s="205" t="s">
        <v>1785</v>
      </c>
      <c r="AJ609" s="24"/>
      <c r="AK609" s="24"/>
      <c r="AL609" s="24"/>
    </row>
    <row r="610" spans="1:38" ht="12.75" customHeight="1">
      <c r="A610" s="22">
        <v>608</v>
      </c>
      <c r="B610" s="24" t="str">
        <f t="shared" si="0"/>
        <v>Not done</v>
      </c>
      <c r="C610" s="24" t="str">
        <f t="shared" si="1"/>
        <v>Input Option</v>
      </c>
      <c r="D610" s="24" t="str">
        <f t="shared" si="2"/>
        <v>HIV test</v>
      </c>
      <c r="E610" s="24" t="s">
        <v>887</v>
      </c>
      <c r="F610" s="24">
        <v>1</v>
      </c>
      <c r="G610" s="24" t="s">
        <v>1767</v>
      </c>
      <c r="H610" s="24"/>
      <c r="I610" s="283"/>
      <c r="J610" s="224"/>
      <c r="K610" s="224"/>
      <c r="L610" s="224"/>
      <c r="M610" s="224"/>
      <c r="N610" s="204" t="s">
        <v>1468</v>
      </c>
      <c r="O610" s="224"/>
      <c r="P610" s="224"/>
      <c r="Q610" s="24"/>
      <c r="R610" s="283"/>
      <c r="S610" s="224"/>
      <c r="T610" s="283"/>
      <c r="U610" s="283"/>
      <c r="V610" s="164"/>
      <c r="W610" s="24"/>
      <c r="X610" s="283"/>
      <c r="Y610" s="24"/>
      <c r="Z610" s="24"/>
      <c r="AA610" s="24"/>
      <c r="AB610" s="24"/>
      <c r="AC610" s="291"/>
      <c r="AD610" s="291"/>
      <c r="AE610" s="113">
        <v>385660001</v>
      </c>
      <c r="AF610" s="291"/>
      <c r="AG610" s="285" t="s">
        <v>115</v>
      </c>
      <c r="AH610" s="285" t="s">
        <v>1469</v>
      </c>
      <c r="AI610" s="205" t="s">
        <v>1470</v>
      </c>
      <c r="AJ610" s="24"/>
      <c r="AK610" s="24"/>
      <c r="AL610" s="24"/>
    </row>
    <row r="611" spans="1:38" ht="12.75" customHeight="1">
      <c r="A611" s="22">
        <v>609</v>
      </c>
      <c r="B611" s="24" t="str">
        <f t="shared" si="0"/>
        <v>Reason</v>
      </c>
      <c r="C611" s="24" t="str">
        <f t="shared" si="1"/>
        <v>Data Element</v>
      </c>
      <c r="D611" s="24" t="str">
        <f t="shared" si="2"/>
        <v/>
      </c>
      <c r="E611" s="24" t="s">
        <v>887</v>
      </c>
      <c r="F611" s="24">
        <v>1</v>
      </c>
      <c r="G611" s="24" t="s">
        <v>1767</v>
      </c>
      <c r="H611" s="24"/>
      <c r="I611" s="283"/>
      <c r="J611" s="300" t="s">
        <v>1376</v>
      </c>
      <c r="K611" s="300" t="s">
        <v>1904</v>
      </c>
      <c r="L611" s="300" t="s">
        <v>1905</v>
      </c>
      <c r="M611" s="300" t="s">
        <v>238</v>
      </c>
      <c r="N611" s="300"/>
      <c r="O611" s="300"/>
      <c r="P611" s="300"/>
      <c r="Q611" s="24"/>
      <c r="R611" s="283"/>
      <c r="S611" s="300" t="s">
        <v>113</v>
      </c>
      <c r="T611" s="283"/>
      <c r="U611" s="283"/>
      <c r="V611" s="301" t="s">
        <v>115</v>
      </c>
      <c r="W611" s="24"/>
      <c r="X611" s="283"/>
      <c r="Y611" s="24"/>
      <c r="Z611" s="24"/>
      <c r="AA611" s="24"/>
      <c r="AB611" s="24"/>
      <c r="AC611" s="291"/>
      <c r="AD611" s="291"/>
      <c r="AE611" s="131" t="s">
        <v>1906</v>
      </c>
      <c r="AF611" s="291"/>
      <c r="AG611" s="285" t="s">
        <v>115</v>
      </c>
      <c r="AH611" s="285" t="s">
        <v>1907</v>
      </c>
      <c r="AI611" s="285" t="s">
        <v>1908</v>
      </c>
      <c r="AJ611" s="24"/>
      <c r="AK611" s="24"/>
      <c r="AL611" s="24"/>
    </row>
    <row r="612" spans="1:38" ht="12.75" customHeight="1">
      <c r="A612" s="22">
        <v>610</v>
      </c>
      <c r="B612" s="24" t="str">
        <f t="shared" si="0"/>
        <v>Stock out</v>
      </c>
      <c r="C612" s="24" t="str">
        <f t="shared" si="1"/>
        <v>Input Option</v>
      </c>
      <c r="D612" s="24" t="str">
        <f t="shared" si="2"/>
        <v>Reason</v>
      </c>
      <c r="E612" s="24" t="s">
        <v>887</v>
      </c>
      <c r="F612" s="24">
        <v>1</v>
      </c>
      <c r="G612" s="24" t="s">
        <v>1767</v>
      </c>
      <c r="H612" s="24"/>
      <c r="I612" s="283"/>
      <c r="J612" s="293"/>
      <c r="K612" s="293"/>
      <c r="L612" s="293"/>
      <c r="M612" s="293"/>
      <c r="N612" s="304" t="s">
        <v>1909</v>
      </c>
      <c r="O612" s="293"/>
      <c r="P612" s="293"/>
      <c r="Q612" s="24"/>
      <c r="R612" s="283"/>
      <c r="S612" s="293"/>
      <c r="T612" s="283"/>
      <c r="U612" s="283"/>
      <c r="V612" s="293"/>
      <c r="W612" s="24"/>
      <c r="X612" s="283"/>
      <c r="Y612" s="24"/>
      <c r="Z612" s="24"/>
      <c r="AA612" s="24"/>
      <c r="AB612" s="24"/>
      <c r="AC612" s="291"/>
      <c r="AD612" s="291"/>
      <c r="AE612" s="118">
        <v>419182006</v>
      </c>
      <c r="AF612" s="291"/>
      <c r="AG612" s="294" t="s">
        <v>115</v>
      </c>
      <c r="AH612" s="294" t="s">
        <v>1910</v>
      </c>
      <c r="AI612" s="294" t="s">
        <v>1911</v>
      </c>
      <c r="AJ612" s="24"/>
      <c r="AK612" s="24"/>
      <c r="AL612" s="24"/>
    </row>
    <row r="613" spans="1:38" ht="12.75" customHeight="1">
      <c r="A613" s="22">
        <v>611</v>
      </c>
      <c r="B613" s="24" t="str">
        <f t="shared" si="0"/>
        <v>Expired stock</v>
      </c>
      <c r="C613" s="24" t="str">
        <f t="shared" si="1"/>
        <v>Input Option</v>
      </c>
      <c r="D613" s="24" t="str">
        <f t="shared" si="2"/>
        <v>Reason</v>
      </c>
      <c r="E613" s="24" t="s">
        <v>887</v>
      </c>
      <c r="F613" s="24">
        <v>1</v>
      </c>
      <c r="G613" s="24" t="s">
        <v>1767</v>
      </c>
      <c r="H613" s="24"/>
      <c r="I613" s="283"/>
      <c r="J613" s="293"/>
      <c r="K613" s="293"/>
      <c r="L613" s="293"/>
      <c r="M613" s="293"/>
      <c r="N613" s="293" t="s">
        <v>1912</v>
      </c>
      <c r="O613" s="293"/>
      <c r="P613" s="293"/>
      <c r="Q613" s="24"/>
      <c r="R613" s="283"/>
      <c r="S613" s="293"/>
      <c r="T613" s="283"/>
      <c r="U613" s="283"/>
      <c r="V613" s="293"/>
      <c r="W613" s="24"/>
      <c r="X613" s="283"/>
      <c r="Y613" s="24"/>
      <c r="Z613" s="24"/>
      <c r="AA613" s="24"/>
      <c r="AB613" s="24"/>
      <c r="AC613" s="291"/>
      <c r="AD613" s="291"/>
      <c r="AE613" s="118">
        <v>405663000</v>
      </c>
      <c r="AF613" s="291"/>
      <c r="AG613" s="294" t="s">
        <v>115</v>
      </c>
      <c r="AH613" s="294" t="s">
        <v>1913</v>
      </c>
      <c r="AI613" s="294" t="s">
        <v>1914</v>
      </c>
      <c r="AJ613" s="24"/>
      <c r="AK613" s="24"/>
      <c r="AL613" s="24"/>
    </row>
    <row r="614" spans="1:38" ht="12.75" customHeight="1">
      <c r="A614" s="22">
        <v>612</v>
      </c>
      <c r="B614" s="24" t="str">
        <f t="shared" si="0"/>
        <v>Other (specify)</v>
      </c>
      <c r="C614" s="24" t="str">
        <f t="shared" si="1"/>
        <v>Input Option</v>
      </c>
      <c r="D614" s="24" t="str">
        <f t="shared" si="2"/>
        <v>Reason</v>
      </c>
      <c r="E614" s="24" t="s">
        <v>887</v>
      </c>
      <c r="F614" s="24">
        <v>1</v>
      </c>
      <c r="G614" s="24" t="s">
        <v>1767</v>
      </c>
      <c r="H614" s="24"/>
      <c r="I614" s="283"/>
      <c r="J614" s="293"/>
      <c r="K614" s="293"/>
      <c r="L614" s="293"/>
      <c r="M614" s="293"/>
      <c r="N614" s="293" t="s">
        <v>405</v>
      </c>
      <c r="O614" s="293"/>
      <c r="P614" s="293"/>
      <c r="Q614" s="24"/>
      <c r="R614" s="283"/>
      <c r="S614" s="293"/>
      <c r="T614" s="283"/>
      <c r="U614" s="283"/>
      <c r="V614" s="293"/>
      <c r="W614" s="24"/>
      <c r="X614" s="283"/>
      <c r="Y614" s="24"/>
      <c r="Z614" s="24"/>
      <c r="AA614" s="24"/>
      <c r="AB614" s="24"/>
      <c r="AC614" s="291"/>
      <c r="AD614" s="291"/>
      <c r="AE614" s="288" t="s">
        <v>1585</v>
      </c>
      <c r="AF614" s="291"/>
      <c r="AG614" s="294" t="s">
        <v>115</v>
      </c>
      <c r="AH614" s="294" t="s">
        <v>406</v>
      </c>
      <c r="AI614" s="294" t="s">
        <v>407</v>
      </c>
      <c r="AJ614" s="24"/>
      <c r="AK614" s="24"/>
      <c r="AL614" s="24"/>
    </row>
    <row r="615" spans="1:38" ht="12.75" customHeight="1">
      <c r="A615" s="22">
        <v>613</v>
      </c>
      <c r="B615" s="24" t="str">
        <f t="shared" si="0"/>
        <v>Specify</v>
      </c>
      <c r="C615" s="24" t="str">
        <f t="shared" si="1"/>
        <v>Data Element</v>
      </c>
      <c r="D615" s="24" t="str">
        <f t="shared" si="2"/>
        <v/>
      </c>
      <c r="E615" s="24" t="s">
        <v>887</v>
      </c>
      <c r="F615" s="24">
        <v>1</v>
      </c>
      <c r="G615" s="24" t="s">
        <v>1767</v>
      </c>
      <c r="H615" s="24"/>
      <c r="I615" s="283"/>
      <c r="J615" s="293" t="s">
        <v>409</v>
      </c>
      <c r="K615" s="293" t="s">
        <v>1916</v>
      </c>
      <c r="L615" s="293" t="s">
        <v>1917</v>
      </c>
      <c r="M615" s="293" t="s">
        <v>111</v>
      </c>
      <c r="N615" s="293"/>
      <c r="O615" s="293"/>
      <c r="P615" s="293"/>
      <c r="Q615" s="24"/>
      <c r="R615" s="283"/>
      <c r="S615" s="293" t="s">
        <v>208</v>
      </c>
      <c r="T615" s="283"/>
      <c r="U615" s="283"/>
      <c r="V615" s="293" t="s">
        <v>115</v>
      </c>
      <c r="W615" s="24"/>
      <c r="X615" s="283"/>
      <c r="Y615" s="24"/>
      <c r="Z615" s="24"/>
      <c r="AA615" s="24"/>
      <c r="AB615" s="24"/>
      <c r="AC615" s="291"/>
      <c r="AD615" s="291"/>
      <c r="AE615" s="291"/>
      <c r="AF615" s="288" t="s">
        <v>1918</v>
      </c>
      <c r="AG615" s="294" t="s">
        <v>1919</v>
      </c>
      <c r="AH615" s="294" t="s">
        <v>415</v>
      </c>
      <c r="AI615" s="294" t="s">
        <v>416</v>
      </c>
      <c r="AJ615" s="24"/>
      <c r="AK615" s="24"/>
      <c r="AL615" s="24"/>
    </row>
    <row r="616" spans="1:38" ht="12.75" customHeight="1">
      <c r="A616" s="22">
        <v>614</v>
      </c>
      <c r="B616" s="24" t="str">
        <f t="shared" si="0"/>
        <v>HIV test date</v>
      </c>
      <c r="C616" s="24" t="str">
        <f t="shared" si="1"/>
        <v>Data Element</v>
      </c>
      <c r="D616" s="24" t="str">
        <f t="shared" si="2"/>
        <v/>
      </c>
      <c r="E616" s="24" t="s">
        <v>887</v>
      </c>
      <c r="F616" s="24">
        <v>1</v>
      </c>
      <c r="G616" s="24" t="s">
        <v>1767</v>
      </c>
      <c r="H616" s="24"/>
      <c r="I616" s="283"/>
      <c r="J616" s="196" t="s">
        <v>1920</v>
      </c>
      <c r="K616" s="196" t="s">
        <v>1921</v>
      </c>
      <c r="L616" s="196" t="s">
        <v>1922</v>
      </c>
      <c r="M616" s="196" t="s">
        <v>140</v>
      </c>
      <c r="N616" s="196"/>
      <c r="O616" s="196"/>
      <c r="P616" s="196"/>
      <c r="Q616" s="24"/>
      <c r="R616" s="283"/>
      <c r="S616" s="196" t="s">
        <v>113</v>
      </c>
      <c r="T616" s="283"/>
      <c r="U616" s="283"/>
      <c r="V616" s="196" t="s">
        <v>115</v>
      </c>
      <c r="W616" s="24"/>
      <c r="X616" s="283"/>
      <c r="Y616" s="24"/>
      <c r="Z616" s="24"/>
      <c r="AA616" s="24"/>
      <c r="AB616" s="24"/>
      <c r="AC616" s="286"/>
      <c r="AD616" s="286"/>
      <c r="AE616" s="286"/>
      <c r="AF616" s="286"/>
      <c r="AG616" s="294" t="s">
        <v>115</v>
      </c>
      <c r="AH616" s="294" t="s">
        <v>1923</v>
      </c>
      <c r="AI616" s="294" t="s">
        <v>1924</v>
      </c>
      <c r="AJ616" s="24"/>
      <c r="AK616" s="24"/>
      <c r="AL616" s="24"/>
    </row>
    <row r="617" spans="1:38" ht="12.75" customHeight="1">
      <c r="A617" s="22">
        <v>615</v>
      </c>
      <c r="B617" s="24" t="str">
        <f t="shared" si="0"/>
        <v>Record result</v>
      </c>
      <c r="C617" s="24" t="str">
        <f t="shared" si="1"/>
        <v>Data Element</v>
      </c>
      <c r="D617" s="24" t="str">
        <f t="shared" si="2"/>
        <v/>
      </c>
      <c r="E617" s="24" t="s">
        <v>887</v>
      </c>
      <c r="F617" s="24">
        <v>1</v>
      </c>
      <c r="G617" s="24" t="s">
        <v>1767</v>
      </c>
      <c r="H617" s="24"/>
      <c r="I617" s="283"/>
      <c r="J617" s="224" t="s">
        <v>1926</v>
      </c>
      <c r="K617" s="224" t="s">
        <v>1927</v>
      </c>
      <c r="L617" s="224" t="s">
        <v>1928</v>
      </c>
      <c r="M617" s="224" t="s">
        <v>202</v>
      </c>
      <c r="N617" s="224"/>
      <c r="O617" s="164"/>
      <c r="P617" s="164"/>
      <c r="Q617" s="24"/>
      <c r="R617" s="283"/>
      <c r="S617" s="224" t="s">
        <v>113</v>
      </c>
      <c r="T617" s="283"/>
      <c r="U617" s="283"/>
      <c r="V617" s="164" t="s">
        <v>115</v>
      </c>
      <c r="W617" s="24"/>
      <c r="X617" s="283"/>
      <c r="Y617" s="24"/>
      <c r="Z617" s="24"/>
      <c r="AA617" s="24"/>
      <c r="AB617" s="24"/>
      <c r="AC617" s="291"/>
      <c r="AD617" s="291"/>
      <c r="AE617" s="288" t="s">
        <v>1929</v>
      </c>
      <c r="AF617" s="291"/>
      <c r="AG617" s="285" t="s">
        <v>115</v>
      </c>
      <c r="AH617" s="285" t="s">
        <v>1930</v>
      </c>
      <c r="AI617" s="285" t="s">
        <v>1931</v>
      </c>
      <c r="AJ617" s="24"/>
      <c r="AK617" s="24"/>
      <c r="AL617" s="24"/>
    </row>
    <row r="618" spans="1:38" ht="12.75" customHeight="1">
      <c r="A618" s="22">
        <v>616</v>
      </c>
      <c r="B618" s="24" t="str">
        <f t="shared" si="0"/>
        <v>Positive</v>
      </c>
      <c r="C618" s="24" t="str">
        <f t="shared" si="1"/>
        <v>Input Option</v>
      </c>
      <c r="D618" s="24" t="str">
        <f t="shared" si="2"/>
        <v>Record result</v>
      </c>
      <c r="E618" s="24" t="s">
        <v>887</v>
      </c>
      <c r="F618" s="24">
        <v>1</v>
      </c>
      <c r="G618" s="24" t="s">
        <v>1767</v>
      </c>
      <c r="H618" s="24"/>
      <c r="I618" s="283"/>
      <c r="J618" s="224"/>
      <c r="K618" s="224"/>
      <c r="L618" s="224"/>
      <c r="M618" s="224"/>
      <c r="N618" s="224" t="s">
        <v>1122</v>
      </c>
      <c r="O618" s="224"/>
      <c r="P618" s="164"/>
      <c r="Q618" s="24"/>
      <c r="R618" s="283"/>
      <c r="S618" s="224"/>
      <c r="T618" s="283"/>
      <c r="U618" s="283"/>
      <c r="V618" s="164"/>
      <c r="W618" s="24"/>
      <c r="X618" s="283"/>
      <c r="Y618" s="24"/>
      <c r="Z618" s="24"/>
      <c r="AA618" s="24"/>
      <c r="AB618" s="24"/>
      <c r="AC618" s="291"/>
      <c r="AD618" s="291"/>
      <c r="AE618" s="113">
        <v>10828004</v>
      </c>
      <c r="AF618" s="291"/>
      <c r="AG618" s="285" t="s">
        <v>115</v>
      </c>
      <c r="AH618" s="285" t="s">
        <v>1897</v>
      </c>
      <c r="AI618" s="285" t="s">
        <v>1125</v>
      </c>
      <c r="AJ618" s="24"/>
      <c r="AK618" s="24"/>
      <c r="AL618" s="24"/>
    </row>
    <row r="619" spans="1:38" ht="12.75" customHeight="1">
      <c r="A619" s="22">
        <v>617</v>
      </c>
      <c r="B619" s="24" t="str">
        <f t="shared" si="0"/>
        <v>Negative</v>
      </c>
      <c r="C619" s="24" t="str">
        <f t="shared" si="1"/>
        <v>Input Option</v>
      </c>
      <c r="D619" s="24" t="str">
        <f t="shared" si="2"/>
        <v>Record result</v>
      </c>
      <c r="E619" s="24" t="s">
        <v>887</v>
      </c>
      <c r="F619" s="24">
        <v>1</v>
      </c>
      <c r="G619" s="24" t="s">
        <v>1767</v>
      </c>
      <c r="H619" s="24"/>
      <c r="I619" s="283"/>
      <c r="J619" s="224"/>
      <c r="K619" s="224"/>
      <c r="L619" s="224"/>
      <c r="M619" s="224"/>
      <c r="N619" s="224" t="s">
        <v>1126</v>
      </c>
      <c r="O619" s="224"/>
      <c r="P619" s="164"/>
      <c r="Q619" s="24"/>
      <c r="R619" s="283"/>
      <c r="S619" s="224"/>
      <c r="T619" s="283"/>
      <c r="U619" s="283"/>
      <c r="V619" s="164"/>
      <c r="W619" s="24"/>
      <c r="X619" s="283"/>
      <c r="Y619" s="24"/>
      <c r="Z619" s="24"/>
      <c r="AA619" s="24"/>
      <c r="AB619" s="24"/>
      <c r="AC619" s="291"/>
      <c r="AD619" s="291"/>
      <c r="AE619" s="113">
        <v>260385009</v>
      </c>
      <c r="AF619" s="291"/>
      <c r="AG619" s="285" t="s">
        <v>115</v>
      </c>
      <c r="AH619" s="285" t="s">
        <v>1128</v>
      </c>
      <c r="AI619" s="285" t="s">
        <v>1129</v>
      </c>
      <c r="AJ619" s="24"/>
      <c r="AK619" s="24"/>
      <c r="AL619" s="24"/>
    </row>
    <row r="620" spans="1:38" ht="12.75" customHeight="1">
      <c r="A620" s="22">
        <v>618</v>
      </c>
      <c r="B620" s="24" t="str">
        <f t="shared" si="0"/>
        <v>Inconclusive</v>
      </c>
      <c r="C620" s="24" t="str">
        <f t="shared" si="1"/>
        <v>Input Option</v>
      </c>
      <c r="D620" s="24" t="str">
        <f t="shared" si="2"/>
        <v>Record result</v>
      </c>
      <c r="E620" s="24" t="s">
        <v>887</v>
      </c>
      <c r="F620" s="24">
        <v>1</v>
      </c>
      <c r="G620" s="24" t="s">
        <v>1767</v>
      </c>
      <c r="H620" s="24"/>
      <c r="I620" s="283"/>
      <c r="J620" s="224"/>
      <c r="K620" s="224"/>
      <c r="L620" s="224"/>
      <c r="M620" s="224"/>
      <c r="N620" s="224" t="s">
        <v>1932</v>
      </c>
      <c r="O620" s="224"/>
      <c r="P620" s="164"/>
      <c r="Q620" s="24"/>
      <c r="R620" s="283"/>
      <c r="S620" s="224"/>
      <c r="T620" s="283"/>
      <c r="U620" s="283"/>
      <c r="V620" s="164"/>
      <c r="W620" s="24"/>
      <c r="X620" s="283"/>
      <c r="Y620" s="24"/>
      <c r="Z620" s="24"/>
      <c r="AA620" s="24"/>
      <c r="AB620" s="24"/>
      <c r="AC620" s="291"/>
      <c r="AD620" s="291"/>
      <c r="AE620" s="291">
        <v>82334004</v>
      </c>
      <c r="AF620" s="291"/>
      <c r="AG620" s="285" t="s">
        <v>115</v>
      </c>
      <c r="AH620" s="205" t="s">
        <v>1934</v>
      </c>
      <c r="AI620" s="285" t="s">
        <v>1935</v>
      </c>
      <c r="AJ620" s="24"/>
      <c r="AK620" s="24"/>
      <c r="AL620" s="24"/>
    </row>
    <row r="621" spans="1:38" ht="12.75" customHeight="1">
      <c r="A621" s="22">
        <v>619</v>
      </c>
      <c r="B621" s="24" t="str">
        <f t="shared" si="0"/>
        <v>hiv_positive</v>
      </c>
      <c r="C621" s="24" t="str">
        <f t="shared" si="1"/>
        <v>Calculation</v>
      </c>
      <c r="D621" s="24" t="str">
        <f t="shared" si="2"/>
        <v/>
      </c>
      <c r="E621" s="24" t="s">
        <v>887</v>
      </c>
      <c r="F621" s="24">
        <v>1</v>
      </c>
      <c r="G621" s="24" t="s">
        <v>1767</v>
      </c>
      <c r="H621" s="24"/>
      <c r="I621" s="283"/>
      <c r="J621" s="320" t="s">
        <v>1936</v>
      </c>
      <c r="K621" s="320" t="s">
        <v>916</v>
      </c>
      <c r="L621" s="320" t="s">
        <v>917</v>
      </c>
      <c r="M621" s="320" t="s">
        <v>65</v>
      </c>
      <c r="N621" s="320"/>
      <c r="O621" s="320" t="s">
        <v>918</v>
      </c>
      <c r="P621" s="301"/>
      <c r="Q621" s="24"/>
      <c r="R621" s="283"/>
      <c r="S621" s="321" t="s">
        <v>115</v>
      </c>
      <c r="T621" s="283"/>
      <c r="U621" s="283"/>
      <c r="V621" s="321" t="s">
        <v>115</v>
      </c>
      <c r="W621" s="24"/>
      <c r="X621" s="283"/>
      <c r="Y621" s="24"/>
      <c r="Z621" s="24"/>
      <c r="AA621" s="24"/>
      <c r="AB621" s="24"/>
      <c r="AC621" s="291" t="s">
        <v>1938</v>
      </c>
      <c r="AD621" s="291"/>
      <c r="AE621" s="121">
        <v>165816005</v>
      </c>
      <c r="AF621" s="291"/>
      <c r="AG621" s="285" t="s">
        <v>115</v>
      </c>
      <c r="AH621" s="205" t="s">
        <v>888</v>
      </c>
      <c r="AI621" s="285" t="s">
        <v>889</v>
      </c>
      <c r="AJ621" s="24"/>
      <c r="AK621" s="24"/>
      <c r="AL621" s="24"/>
    </row>
    <row r="622" spans="1:38" ht="12.75" customHeight="1">
      <c r="A622" s="22">
        <v>620</v>
      </c>
      <c r="B622" s="24" t="str">
        <f t="shared" si="0"/>
        <v>HIV test inconclusive, refer for further testing.</v>
      </c>
      <c r="C622" s="24" t="str">
        <f t="shared" si="1"/>
        <v>Data Element</v>
      </c>
      <c r="D622" s="24" t="str">
        <f t="shared" si="2"/>
        <v/>
      </c>
      <c r="E622" s="24" t="s">
        <v>887</v>
      </c>
      <c r="F622" s="24">
        <v>1</v>
      </c>
      <c r="G622" s="24" t="s">
        <v>1767</v>
      </c>
      <c r="H622" s="24"/>
      <c r="I622" s="283"/>
      <c r="J622" s="322" t="s">
        <v>1939</v>
      </c>
      <c r="K622" s="322" t="s">
        <v>115</v>
      </c>
      <c r="L622" s="322" t="s">
        <v>1940</v>
      </c>
      <c r="M622" s="322" t="s">
        <v>1445</v>
      </c>
      <c r="N622" s="322"/>
      <c r="O622" s="322"/>
      <c r="P622" s="322"/>
      <c r="Q622" s="24"/>
      <c r="R622" s="283"/>
      <c r="S622" s="322" t="s">
        <v>115</v>
      </c>
      <c r="T622" s="283"/>
      <c r="U622" s="283"/>
      <c r="V622" s="322" t="s">
        <v>115</v>
      </c>
      <c r="W622" s="24"/>
      <c r="X622" s="283"/>
      <c r="Y622" s="24"/>
      <c r="Z622" s="24"/>
      <c r="AA622" s="24"/>
      <c r="AB622" s="24"/>
      <c r="AC622" s="295"/>
      <c r="AD622" s="295"/>
      <c r="AE622" s="295"/>
      <c r="AF622" s="295"/>
      <c r="AG622" s="294" t="s">
        <v>115</v>
      </c>
      <c r="AH622" s="294" t="s">
        <v>115</v>
      </c>
      <c r="AI622" s="294" t="s">
        <v>115</v>
      </c>
      <c r="AJ622" s="24"/>
      <c r="AK622" s="24"/>
      <c r="AL622" s="24"/>
    </row>
    <row r="623" spans="1:38" ht="12.75" customHeight="1">
      <c r="A623" s="22">
        <v>621</v>
      </c>
      <c r="B623" s="24" t="str">
        <f t="shared" si="0"/>
        <v>HIV positive counseling</v>
      </c>
      <c r="C623" s="24" t="str">
        <f t="shared" si="1"/>
        <v>Data Element</v>
      </c>
      <c r="D623" s="24" t="str">
        <f t="shared" si="2"/>
        <v/>
      </c>
      <c r="E623" s="24" t="s">
        <v>887</v>
      </c>
      <c r="F623" s="24">
        <v>1</v>
      </c>
      <c r="G623" s="24" t="s">
        <v>1767</v>
      </c>
      <c r="H623" s="24"/>
      <c r="I623" s="164"/>
      <c r="J623" s="323" t="s">
        <v>1942</v>
      </c>
      <c r="K623" s="323" t="s">
        <v>115</v>
      </c>
      <c r="L623" s="323" t="s">
        <v>1943</v>
      </c>
      <c r="M623" s="323" t="s">
        <v>1445</v>
      </c>
      <c r="N623" s="323"/>
      <c r="O623" s="324"/>
      <c r="P623" s="324"/>
      <c r="Q623" s="24"/>
      <c r="R623" s="164"/>
      <c r="S623" s="324"/>
      <c r="T623" s="164"/>
      <c r="U623" s="164"/>
      <c r="V623" s="324"/>
      <c r="W623" s="24"/>
      <c r="X623" s="164"/>
      <c r="Y623" s="24"/>
      <c r="Z623" s="24"/>
      <c r="AA623" s="24"/>
      <c r="AB623" s="24"/>
      <c r="AC623" s="305"/>
      <c r="AD623" s="305"/>
      <c r="AE623" s="307"/>
      <c r="AF623" s="305"/>
      <c r="AG623" s="294" t="s">
        <v>115</v>
      </c>
      <c r="AH623" s="294" t="s">
        <v>115</v>
      </c>
      <c r="AI623" s="294" t="s">
        <v>115</v>
      </c>
      <c r="AJ623" s="24"/>
      <c r="AK623" s="24"/>
      <c r="AL623" s="24"/>
    </row>
    <row r="624" spans="1:38" ht="12.75" customHeight="1">
      <c r="A624" s="22">
        <v>622</v>
      </c>
      <c r="B624" s="24" t="str">
        <f t="shared" si="0"/>
        <v>Partner HIV test</v>
      </c>
      <c r="C624" s="24" t="str">
        <f t="shared" si="1"/>
        <v>Data Element</v>
      </c>
      <c r="D624" s="24" t="str">
        <f t="shared" si="2"/>
        <v/>
      </c>
      <c r="E624" s="24" t="s">
        <v>1945</v>
      </c>
      <c r="F624" s="24">
        <v>1</v>
      </c>
      <c r="G624" s="24" t="s">
        <v>1767</v>
      </c>
      <c r="H624" s="24"/>
      <c r="I624" s="283"/>
      <c r="J624" s="204" t="s">
        <v>1944</v>
      </c>
      <c r="K624" s="204" t="s">
        <v>1946</v>
      </c>
      <c r="L624" s="204" t="s">
        <v>1947</v>
      </c>
      <c r="M624" s="204" t="s">
        <v>202</v>
      </c>
      <c r="N624" s="224"/>
      <c r="O624" s="196"/>
      <c r="P624" s="196"/>
      <c r="Q624" s="24"/>
      <c r="R624" s="283"/>
      <c r="S624" s="309" t="s">
        <v>208</v>
      </c>
      <c r="T624" s="283"/>
      <c r="U624" s="283"/>
      <c r="V624" s="224" t="s">
        <v>1948</v>
      </c>
      <c r="W624" s="24"/>
      <c r="X624" s="283"/>
      <c r="Y624" s="24"/>
      <c r="Z624" s="24"/>
      <c r="AA624" s="24"/>
      <c r="AB624" s="24"/>
      <c r="AC624" s="283"/>
      <c r="AD624" s="283"/>
      <c r="AE624" s="283"/>
      <c r="AF624" s="283"/>
      <c r="AG624" s="285" t="s">
        <v>1949</v>
      </c>
      <c r="AH624" s="205" t="s">
        <v>1773</v>
      </c>
      <c r="AI624" s="285" t="s">
        <v>1774</v>
      </c>
      <c r="AJ624" s="24"/>
      <c r="AK624" s="24"/>
      <c r="AL624" s="24"/>
    </row>
    <row r="625" spans="1:38" ht="12.75" customHeight="1">
      <c r="A625" s="22">
        <v>623</v>
      </c>
      <c r="B625" s="24" t="str">
        <f t="shared" si="0"/>
        <v>Done today</v>
      </c>
      <c r="C625" s="24" t="str">
        <f t="shared" si="1"/>
        <v>Input Option</v>
      </c>
      <c r="D625" s="24" t="str">
        <f t="shared" si="2"/>
        <v>Partner HIV test</v>
      </c>
      <c r="E625" s="24" t="s">
        <v>1945</v>
      </c>
      <c r="F625" s="24">
        <v>1</v>
      </c>
      <c r="G625" s="24" t="s">
        <v>1767</v>
      </c>
      <c r="H625" s="24"/>
      <c r="I625" s="283"/>
      <c r="J625" s="296"/>
      <c r="K625" s="164"/>
      <c r="L625" s="204"/>
      <c r="M625" s="204"/>
      <c r="N625" s="224" t="s">
        <v>1775</v>
      </c>
      <c r="O625" s="164"/>
      <c r="P625" s="164"/>
      <c r="Q625" s="24"/>
      <c r="R625" s="283"/>
      <c r="S625" s="164"/>
      <c r="T625" s="283"/>
      <c r="U625" s="283"/>
      <c r="V625" s="196"/>
      <c r="W625" s="24"/>
      <c r="X625" s="283"/>
      <c r="Y625" s="24"/>
      <c r="Z625" s="24"/>
      <c r="AA625" s="24"/>
      <c r="AB625" s="24"/>
      <c r="AC625" s="283"/>
      <c r="AD625" s="283"/>
      <c r="AE625" s="283"/>
      <c r="AF625" s="283"/>
      <c r="AG625" s="285" t="s">
        <v>115</v>
      </c>
      <c r="AH625" s="285" t="s">
        <v>1777</v>
      </c>
      <c r="AI625" s="285" t="s">
        <v>1778</v>
      </c>
      <c r="AJ625" s="24"/>
      <c r="AK625" s="24"/>
      <c r="AL625" s="24"/>
    </row>
    <row r="626" spans="1:38" ht="12.75" customHeight="1">
      <c r="A626" s="22">
        <v>624</v>
      </c>
      <c r="B626" s="24" t="str">
        <f t="shared" si="0"/>
        <v>Done earlier</v>
      </c>
      <c r="C626" s="24" t="str">
        <f t="shared" si="1"/>
        <v>Input Option</v>
      </c>
      <c r="D626" s="24" t="str">
        <f t="shared" si="2"/>
        <v>Partner HIV test</v>
      </c>
      <c r="E626" s="24" t="s">
        <v>1945</v>
      </c>
      <c r="F626" s="24">
        <v>1</v>
      </c>
      <c r="G626" s="24" t="s">
        <v>1767</v>
      </c>
      <c r="H626" s="24"/>
      <c r="I626" s="283"/>
      <c r="J626" s="296"/>
      <c r="K626" s="164"/>
      <c r="L626" s="204"/>
      <c r="M626" s="204"/>
      <c r="N626" s="204" t="s">
        <v>1779</v>
      </c>
      <c r="O626" s="164"/>
      <c r="P626" s="164"/>
      <c r="Q626" s="24"/>
      <c r="R626" s="283"/>
      <c r="S626" s="164"/>
      <c r="T626" s="283"/>
      <c r="U626" s="283"/>
      <c r="V626" s="196"/>
      <c r="W626" s="24"/>
      <c r="X626" s="283"/>
      <c r="Y626" s="24"/>
      <c r="Z626" s="24"/>
      <c r="AA626" s="24"/>
      <c r="AB626" s="24"/>
      <c r="AC626" s="283"/>
      <c r="AD626" s="283"/>
      <c r="AE626" s="283"/>
      <c r="AF626" s="283"/>
      <c r="AG626" s="285" t="s">
        <v>115</v>
      </c>
      <c r="AH626" s="285" t="s">
        <v>1781</v>
      </c>
      <c r="AI626" s="285" t="s">
        <v>1782</v>
      </c>
      <c r="AJ626" s="24"/>
      <c r="AK626" s="24"/>
      <c r="AL626" s="24"/>
    </row>
    <row r="627" spans="1:38" ht="12.75" customHeight="1">
      <c r="A627" s="22">
        <v>625</v>
      </c>
      <c r="B627" s="24" t="str">
        <f t="shared" si="0"/>
        <v>Ordered</v>
      </c>
      <c r="C627" s="24" t="str">
        <f t="shared" si="1"/>
        <v>Input Option</v>
      </c>
      <c r="D627" s="24" t="str">
        <f t="shared" si="2"/>
        <v>Partner HIV test</v>
      </c>
      <c r="E627" s="24" t="s">
        <v>1945</v>
      </c>
      <c r="F627" s="24">
        <v>1</v>
      </c>
      <c r="G627" s="24" t="s">
        <v>1767</v>
      </c>
      <c r="H627" s="24"/>
      <c r="I627" s="283"/>
      <c r="J627" s="296"/>
      <c r="K627" s="164"/>
      <c r="L627" s="204"/>
      <c r="M627" s="204"/>
      <c r="N627" s="204" t="s">
        <v>1783</v>
      </c>
      <c r="O627" s="164"/>
      <c r="P627" s="164"/>
      <c r="Q627" s="24"/>
      <c r="R627" s="283"/>
      <c r="S627" s="164"/>
      <c r="T627" s="283"/>
      <c r="U627" s="283"/>
      <c r="V627" s="196"/>
      <c r="W627" s="24"/>
      <c r="X627" s="283"/>
      <c r="Y627" s="24"/>
      <c r="Z627" s="24"/>
      <c r="AA627" s="24"/>
      <c r="AB627" s="24"/>
      <c r="AC627" s="283"/>
      <c r="AD627" s="283"/>
      <c r="AE627" s="283"/>
      <c r="AF627" s="283"/>
      <c r="AG627" s="285" t="s">
        <v>115</v>
      </c>
      <c r="AH627" s="285" t="s">
        <v>1784</v>
      </c>
      <c r="AI627" s="205" t="s">
        <v>1785</v>
      </c>
      <c r="AJ627" s="24"/>
      <c r="AK627" s="24"/>
      <c r="AL627" s="24"/>
    </row>
    <row r="628" spans="1:38" ht="12.75" customHeight="1">
      <c r="A628" s="22">
        <v>626</v>
      </c>
      <c r="B628" s="24" t="str">
        <f t="shared" si="0"/>
        <v>Not done</v>
      </c>
      <c r="C628" s="24" t="str">
        <f t="shared" si="1"/>
        <v>Input Option</v>
      </c>
      <c r="D628" s="24" t="str">
        <f t="shared" si="2"/>
        <v>Partner HIV test</v>
      </c>
      <c r="E628" s="24" t="s">
        <v>1945</v>
      </c>
      <c r="F628" s="24">
        <v>1</v>
      </c>
      <c r="G628" s="24" t="s">
        <v>1767</v>
      </c>
      <c r="H628" s="24"/>
      <c r="I628" s="283"/>
      <c r="J628" s="296"/>
      <c r="K628" s="164"/>
      <c r="L628" s="204"/>
      <c r="M628" s="204"/>
      <c r="N628" s="204" t="s">
        <v>1468</v>
      </c>
      <c r="O628" s="164"/>
      <c r="P628" s="164"/>
      <c r="Q628" s="24"/>
      <c r="R628" s="283"/>
      <c r="S628" s="164"/>
      <c r="T628" s="283"/>
      <c r="U628" s="283"/>
      <c r="V628" s="196"/>
      <c r="W628" s="24"/>
      <c r="X628" s="283"/>
      <c r="Y628" s="24"/>
      <c r="Z628" s="24"/>
      <c r="AA628" s="24"/>
      <c r="AB628" s="24"/>
      <c r="AC628" s="283"/>
      <c r="AD628" s="283"/>
      <c r="AE628" s="283"/>
      <c r="AF628" s="283"/>
      <c r="AG628" s="285" t="s">
        <v>115</v>
      </c>
      <c r="AH628" s="285" t="s">
        <v>1469</v>
      </c>
      <c r="AI628" s="205" t="s">
        <v>1470</v>
      </c>
      <c r="AJ628" s="24"/>
      <c r="AK628" s="24"/>
      <c r="AL628" s="24"/>
    </row>
    <row r="629" spans="1:38" ht="12.75" customHeight="1">
      <c r="A629" s="22">
        <v>627</v>
      </c>
      <c r="B629" s="24" t="str">
        <f t="shared" si="0"/>
        <v>Partner HIV test date</v>
      </c>
      <c r="C629" s="24" t="str">
        <f t="shared" si="1"/>
        <v>Data Element</v>
      </c>
      <c r="D629" s="24" t="str">
        <f t="shared" si="2"/>
        <v/>
      </c>
      <c r="E629" s="24" t="s">
        <v>1945</v>
      </c>
      <c r="F629" s="24">
        <v>1</v>
      </c>
      <c r="G629" s="24" t="s">
        <v>1767</v>
      </c>
      <c r="H629" s="24"/>
      <c r="I629" s="283"/>
      <c r="J629" s="296" t="s">
        <v>1951</v>
      </c>
      <c r="K629" s="164" t="s">
        <v>1952</v>
      </c>
      <c r="L629" s="204" t="s">
        <v>1953</v>
      </c>
      <c r="M629" s="204" t="s">
        <v>140</v>
      </c>
      <c r="N629" s="164"/>
      <c r="O629" s="164"/>
      <c r="P629" s="164"/>
      <c r="Q629" s="24"/>
      <c r="R629" s="283"/>
      <c r="S629" s="164" t="s">
        <v>113</v>
      </c>
      <c r="T629" s="283"/>
      <c r="U629" s="283"/>
      <c r="V629" s="196" t="s">
        <v>115</v>
      </c>
      <c r="W629" s="24"/>
      <c r="X629" s="283"/>
      <c r="Y629" s="24"/>
      <c r="Z629" s="24"/>
      <c r="AA629" s="24"/>
      <c r="AB629" s="24"/>
      <c r="AC629" s="283"/>
      <c r="AD629" s="283"/>
      <c r="AE629" s="283"/>
      <c r="AF629" s="283"/>
      <c r="AG629" s="285" t="s">
        <v>1949</v>
      </c>
      <c r="AH629" s="294" t="s">
        <v>1923</v>
      </c>
      <c r="AI629" s="294" t="s">
        <v>1924</v>
      </c>
      <c r="AJ629" s="24"/>
      <c r="AK629" s="24"/>
      <c r="AL629" s="24"/>
    </row>
    <row r="630" spans="1:38" ht="12.75" customHeight="1">
      <c r="A630" s="22">
        <v>628</v>
      </c>
      <c r="B630" s="24" t="str">
        <f t="shared" si="0"/>
        <v>Record result</v>
      </c>
      <c r="C630" s="24" t="str">
        <f t="shared" si="1"/>
        <v>Data Element</v>
      </c>
      <c r="D630" s="24" t="str">
        <f t="shared" si="2"/>
        <v/>
      </c>
      <c r="E630" s="24" t="s">
        <v>1945</v>
      </c>
      <c r="F630" s="24">
        <v>1</v>
      </c>
      <c r="G630" s="24" t="s">
        <v>1767</v>
      </c>
      <c r="H630" s="24"/>
      <c r="I630" s="283"/>
      <c r="J630" s="204" t="s">
        <v>1926</v>
      </c>
      <c r="K630" s="204" t="s">
        <v>1955</v>
      </c>
      <c r="L630" s="204" t="s">
        <v>1956</v>
      </c>
      <c r="M630" s="204" t="s">
        <v>202</v>
      </c>
      <c r="N630" s="224"/>
      <c r="O630" s="196"/>
      <c r="P630" s="196"/>
      <c r="Q630" s="24"/>
      <c r="R630" s="283"/>
      <c r="S630" s="296" t="s">
        <v>113</v>
      </c>
      <c r="T630" s="283"/>
      <c r="U630" s="283"/>
      <c r="V630" s="196" t="s">
        <v>115</v>
      </c>
      <c r="W630" s="24"/>
      <c r="X630" s="283"/>
      <c r="Y630" s="24"/>
      <c r="Z630" s="24"/>
      <c r="AA630" s="24"/>
      <c r="AB630" s="24"/>
      <c r="AC630" s="283"/>
      <c r="AD630" s="283"/>
      <c r="AE630" s="283"/>
      <c r="AF630" s="283"/>
      <c r="AG630" s="285" t="s">
        <v>1949</v>
      </c>
      <c r="AH630" s="285" t="s">
        <v>1930</v>
      </c>
      <c r="AI630" s="285" t="s">
        <v>1931</v>
      </c>
      <c r="AJ630" s="24"/>
      <c r="AK630" s="24"/>
      <c r="AL630" s="24"/>
    </row>
    <row r="631" spans="1:38" ht="12.75" customHeight="1">
      <c r="A631" s="22">
        <v>629</v>
      </c>
      <c r="B631" s="24" t="str">
        <f t="shared" si="0"/>
        <v>Positive</v>
      </c>
      <c r="C631" s="24" t="str">
        <f t="shared" si="1"/>
        <v>Input Option</v>
      </c>
      <c r="D631" s="24" t="str">
        <f t="shared" si="2"/>
        <v>Record result</v>
      </c>
      <c r="E631" s="24" t="s">
        <v>1945</v>
      </c>
      <c r="F631" s="24">
        <v>1</v>
      </c>
      <c r="G631" s="24" t="s">
        <v>1767</v>
      </c>
      <c r="H631" s="24"/>
      <c r="I631" s="283"/>
      <c r="J631" s="204"/>
      <c r="K631" s="204"/>
      <c r="L631" s="204"/>
      <c r="M631" s="224"/>
      <c r="N631" s="224" t="s">
        <v>1122</v>
      </c>
      <c r="O631" s="204"/>
      <c r="P631" s="196"/>
      <c r="Q631" s="24"/>
      <c r="R631" s="283"/>
      <c r="S631" s="224"/>
      <c r="T631" s="283"/>
      <c r="U631" s="283"/>
      <c r="V631" s="196"/>
      <c r="W631" s="24"/>
      <c r="X631" s="283"/>
      <c r="Y631" s="24"/>
      <c r="Z631" s="24"/>
      <c r="AA631" s="24"/>
      <c r="AB631" s="24"/>
      <c r="AC631" s="283"/>
      <c r="AD631" s="283"/>
      <c r="AE631" s="283"/>
      <c r="AF631" s="283"/>
      <c r="AG631" s="285" t="s">
        <v>115</v>
      </c>
      <c r="AH631" s="285" t="s">
        <v>1897</v>
      </c>
      <c r="AI631" s="285" t="s">
        <v>1125</v>
      </c>
      <c r="AJ631" s="24"/>
      <c r="AK631" s="24"/>
      <c r="AL631" s="24"/>
    </row>
    <row r="632" spans="1:38" ht="12.75" customHeight="1">
      <c r="A632" s="22">
        <v>630</v>
      </c>
      <c r="B632" s="24" t="str">
        <f t="shared" si="0"/>
        <v>Negative</v>
      </c>
      <c r="C632" s="24" t="str">
        <f t="shared" si="1"/>
        <v>Input Option</v>
      </c>
      <c r="D632" s="24" t="str">
        <f t="shared" si="2"/>
        <v>Record result</v>
      </c>
      <c r="E632" s="24" t="s">
        <v>1945</v>
      </c>
      <c r="F632" s="24">
        <v>1</v>
      </c>
      <c r="G632" s="24" t="s">
        <v>1767</v>
      </c>
      <c r="H632" s="24"/>
      <c r="I632" s="283"/>
      <c r="J632" s="204"/>
      <c r="K632" s="204"/>
      <c r="L632" s="204"/>
      <c r="M632" s="224"/>
      <c r="N632" s="224" t="s">
        <v>1126</v>
      </c>
      <c r="O632" s="204"/>
      <c r="P632" s="196"/>
      <c r="Q632" s="24"/>
      <c r="R632" s="283"/>
      <c r="S632" s="224"/>
      <c r="T632" s="283"/>
      <c r="U632" s="283"/>
      <c r="V632" s="196"/>
      <c r="W632" s="24"/>
      <c r="X632" s="283"/>
      <c r="Y632" s="24"/>
      <c r="Z632" s="24"/>
      <c r="AA632" s="24"/>
      <c r="AB632" s="24"/>
      <c r="AC632" s="283"/>
      <c r="AD632" s="283"/>
      <c r="AE632" s="283"/>
      <c r="AF632" s="283"/>
      <c r="AG632" s="285" t="s">
        <v>115</v>
      </c>
      <c r="AH632" s="285" t="s">
        <v>1128</v>
      </c>
      <c r="AI632" s="285" t="s">
        <v>1129</v>
      </c>
      <c r="AJ632" s="24"/>
      <c r="AK632" s="24"/>
      <c r="AL632" s="24"/>
    </row>
    <row r="633" spans="1:38" ht="12.75" customHeight="1">
      <c r="A633" s="22">
        <v>631</v>
      </c>
      <c r="B633" s="24" t="str">
        <f t="shared" si="0"/>
        <v>Inconclusive</v>
      </c>
      <c r="C633" s="24" t="str">
        <f t="shared" si="1"/>
        <v>Input Option</v>
      </c>
      <c r="D633" s="24" t="str">
        <f t="shared" si="2"/>
        <v>Record result</v>
      </c>
      <c r="E633" s="24" t="s">
        <v>1945</v>
      </c>
      <c r="F633" s="24">
        <v>1</v>
      </c>
      <c r="G633" s="24" t="s">
        <v>1767</v>
      </c>
      <c r="H633" s="24"/>
      <c r="I633" s="283"/>
      <c r="J633" s="204"/>
      <c r="K633" s="204"/>
      <c r="L633" s="204"/>
      <c r="M633" s="224"/>
      <c r="N633" s="224" t="s">
        <v>1932</v>
      </c>
      <c r="O633" s="204"/>
      <c r="P633" s="196"/>
      <c r="Q633" s="24"/>
      <c r="R633" s="283"/>
      <c r="S633" s="224"/>
      <c r="T633" s="283"/>
      <c r="U633" s="283"/>
      <c r="V633" s="196"/>
      <c r="W633" s="24"/>
      <c r="X633" s="283"/>
      <c r="Y633" s="24"/>
      <c r="Z633" s="24"/>
      <c r="AA633" s="24"/>
      <c r="AB633" s="24"/>
      <c r="AC633" s="283"/>
      <c r="AD633" s="283"/>
      <c r="AE633" s="283"/>
      <c r="AF633" s="283"/>
      <c r="AG633" s="285" t="s">
        <v>115</v>
      </c>
      <c r="AH633" s="205" t="s">
        <v>1934</v>
      </c>
      <c r="AI633" s="285" t="s">
        <v>1935</v>
      </c>
      <c r="AJ633" s="24"/>
      <c r="AK633" s="24"/>
      <c r="AL633" s="24"/>
    </row>
    <row r="634" spans="1:38" ht="12.75" customHeight="1">
      <c r="A634" s="22">
        <v>632</v>
      </c>
      <c r="B634" s="24" t="str">
        <f t="shared" si="0"/>
        <v>HIV status postive</v>
      </c>
      <c r="C634" s="24" t="str">
        <f t="shared" si="1"/>
        <v>Data Element</v>
      </c>
      <c r="D634" s="24" t="str">
        <f t="shared" si="2"/>
        <v/>
      </c>
      <c r="E634" s="24" t="s">
        <v>1945</v>
      </c>
      <c r="F634" s="24">
        <v>1</v>
      </c>
      <c r="G634" s="24" t="s">
        <v>1767</v>
      </c>
      <c r="H634" s="24"/>
      <c r="I634" s="283"/>
      <c r="J634" s="327" t="s">
        <v>1957</v>
      </c>
      <c r="K634" s="327" t="s">
        <v>1958</v>
      </c>
      <c r="L634" s="327" t="s">
        <v>1959</v>
      </c>
      <c r="M634" s="320"/>
      <c r="N634" s="328"/>
      <c r="O634" s="327" t="s">
        <v>1132</v>
      </c>
      <c r="P634" s="293"/>
      <c r="Q634" s="24"/>
      <c r="R634" s="283"/>
      <c r="S634" s="321"/>
      <c r="T634" s="283"/>
      <c r="U634" s="283"/>
      <c r="V634" s="329" t="s">
        <v>115</v>
      </c>
      <c r="W634" s="24"/>
      <c r="X634" s="283"/>
      <c r="Y634" s="24"/>
      <c r="Z634" s="24"/>
      <c r="AA634" s="24"/>
      <c r="AB634" s="24"/>
      <c r="AC634" s="283"/>
      <c r="AD634" s="283"/>
      <c r="AE634" s="283"/>
      <c r="AF634" s="283"/>
      <c r="AG634" s="205" t="s">
        <v>1960</v>
      </c>
      <c r="AH634" s="205" t="s">
        <v>888</v>
      </c>
      <c r="AI634" s="285" t="s">
        <v>889</v>
      </c>
      <c r="AJ634" s="24"/>
      <c r="AK634" s="24"/>
      <c r="AL634" s="24"/>
    </row>
    <row r="635" spans="1:38" ht="12.75" customHeight="1">
      <c r="A635" s="22">
        <v>633</v>
      </c>
      <c r="B635" s="24" t="str">
        <f t="shared" si="0"/>
        <v>Partner HIV test inconclusive, refer partner for further testing.</v>
      </c>
      <c r="C635" s="24" t="str">
        <f t="shared" si="1"/>
        <v>Data Element</v>
      </c>
      <c r="D635" s="24" t="str">
        <f t="shared" si="2"/>
        <v/>
      </c>
      <c r="E635" s="24" t="s">
        <v>1945</v>
      </c>
      <c r="F635" s="24">
        <v>1</v>
      </c>
      <c r="G635" s="24" t="s">
        <v>1767</v>
      </c>
      <c r="H635" s="24"/>
      <c r="I635" s="283"/>
      <c r="J635" s="322" t="s">
        <v>1961</v>
      </c>
      <c r="K635" s="322" t="s">
        <v>115</v>
      </c>
      <c r="L635" s="322" t="s">
        <v>1962</v>
      </c>
      <c r="M635" s="322" t="s">
        <v>1445</v>
      </c>
      <c r="N635" s="322"/>
      <c r="O635" s="322"/>
      <c r="P635" s="322"/>
      <c r="Q635" s="24"/>
      <c r="R635" s="283"/>
      <c r="S635" s="322" t="s">
        <v>115</v>
      </c>
      <c r="T635" s="283"/>
      <c r="U635" s="283"/>
      <c r="V635" s="322" t="s">
        <v>115</v>
      </c>
      <c r="W635" s="24"/>
      <c r="X635" s="283"/>
      <c r="Y635" s="24"/>
      <c r="Z635" s="24"/>
      <c r="AA635" s="24"/>
      <c r="AB635" s="24"/>
      <c r="AC635" s="283"/>
      <c r="AD635" s="283"/>
      <c r="AE635" s="283"/>
      <c r="AF635" s="283"/>
      <c r="AG635" s="294" t="s">
        <v>115</v>
      </c>
      <c r="AH635" s="294" t="s">
        <v>115</v>
      </c>
      <c r="AI635" s="294" t="s">
        <v>115</v>
      </c>
      <c r="AJ635" s="24"/>
      <c r="AK635" s="24"/>
      <c r="AL635" s="24"/>
    </row>
    <row r="636" spans="1:38" ht="12.75" customHeight="1">
      <c r="A636" s="22">
        <v>634</v>
      </c>
      <c r="B636" s="24" t="str">
        <f t="shared" si="0"/>
        <v>hiv_risk</v>
      </c>
      <c r="C636" s="24" t="str">
        <f t="shared" si="1"/>
        <v>Calculation</v>
      </c>
      <c r="D636" s="24" t="str">
        <f t="shared" si="2"/>
        <v/>
      </c>
      <c r="E636" s="24" t="s">
        <v>1945</v>
      </c>
      <c r="F636" s="24">
        <v>1</v>
      </c>
      <c r="G636" s="24" t="s">
        <v>1767</v>
      </c>
      <c r="H636" s="24"/>
      <c r="I636" s="164"/>
      <c r="J636" s="234" t="s">
        <v>1964</v>
      </c>
      <c r="K636" s="234" t="s">
        <v>1963</v>
      </c>
      <c r="L636" s="234" t="s">
        <v>1965</v>
      </c>
      <c r="M636" s="234" t="s">
        <v>65</v>
      </c>
      <c r="N636" s="249"/>
      <c r="O636" s="297" t="s">
        <v>1966</v>
      </c>
      <c r="P636" s="196"/>
      <c r="Q636" s="24"/>
      <c r="R636" s="164"/>
      <c r="S636" s="297" t="s">
        <v>115</v>
      </c>
      <c r="T636" s="164"/>
      <c r="U636" s="164"/>
      <c r="V636" s="238" t="s">
        <v>115</v>
      </c>
      <c r="W636" s="24"/>
      <c r="X636" s="164"/>
      <c r="Y636" s="24"/>
      <c r="Z636" s="24"/>
      <c r="AA636" s="24"/>
      <c r="AB636" s="24"/>
      <c r="AC636" s="164"/>
      <c r="AD636" s="164"/>
      <c r="AE636" s="163"/>
      <c r="AF636" s="164"/>
      <c r="AG636" s="294" t="s">
        <v>115</v>
      </c>
      <c r="AH636" s="294" t="s">
        <v>1967</v>
      </c>
      <c r="AI636" s="294" t="s">
        <v>1968</v>
      </c>
      <c r="AJ636" s="24"/>
      <c r="AK636" s="24"/>
      <c r="AL636" s="24"/>
    </row>
    <row r="637" spans="1:38" ht="12.75" customHeight="1">
      <c r="A637" s="22">
        <v>635</v>
      </c>
      <c r="B637" s="24" t="str">
        <f t="shared" si="0"/>
        <v>Hepatitis B test</v>
      </c>
      <c r="C637" s="24" t="str">
        <f t="shared" si="1"/>
        <v>Data Element</v>
      </c>
      <c r="D637" s="24" t="str">
        <f t="shared" si="2"/>
        <v/>
      </c>
      <c r="E637" s="24" t="s">
        <v>1970</v>
      </c>
      <c r="F637" s="24">
        <v>1</v>
      </c>
      <c r="G637" s="24" t="s">
        <v>1767</v>
      </c>
      <c r="H637" s="24"/>
      <c r="I637" s="283"/>
      <c r="J637" s="224" t="s">
        <v>1969</v>
      </c>
      <c r="K637" s="224" t="s">
        <v>1971</v>
      </c>
      <c r="L637" s="224" t="s">
        <v>1972</v>
      </c>
      <c r="M637" s="224" t="s">
        <v>202</v>
      </c>
      <c r="N637" s="224"/>
      <c r="O637" s="164"/>
      <c r="P637" s="164"/>
      <c r="Q637" s="24"/>
      <c r="R637" s="283"/>
      <c r="S637" s="224" t="s">
        <v>113</v>
      </c>
      <c r="T637" s="283"/>
      <c r="U637" s="283"/>
      <c r="V637" s="164" t="s">
        <v>226</v>
      </c>
      <c r="W637" s="24"/>
      <c r="X637" s="283"/>
      <c r="Y637" s="24"/>
      <c r="Z637" s="24"/>
      <c r="AA637" s="24"/>
      <c r="AB637" s="24"/>
      <c r="AC637" s="283"/>
      <c r="AD637" s="283"/>
      <c r="AE637" s="283"/>
      <c r="AF637" s="283"/>
      <c r="AG637" s="285" t="s">
        <v>1973</v>
      </c>
      <c r="AH637" s="205" t="s">
        <v>1773</v>
      </c>
      <c r="AI637" s="285" t="s">
        <v>1774</v>
      </c>
      <c r="AJ637" s="24"/>
      <c r="AK637" s="24"/>
      <c r="AL637" s="24"/>
    </row>
    <row r="638" spans="1:38" ht="12.75" customHeight="1">
      <c r="A638" s="22">
        <v>636</v>
      </c>
      <c r="B638" s="24" t="str">
        <f t="shared" si="0"/>
        <v>Done today</v>
      </c>
      <c r="C638" s="24" t="str">
        <f t="shared" si="1"/>
        <v>Input Option</v>
      </c>
      <c r="D638" s="24" t="str">
        <f t="shared" si="2"/>
        <v>Hepatitis B test</v>
      </c>
      <c r="E638" s="24" t="s">
        <v>1970</v>
      </c>
      <c r="F638" s="24">
        <v>1</v>
      </c>
      <c r="G638" s="24" t="s">
        <v>1767</v>
      </c>
      <c r="H638" s="24"/>
      <c r="I638" s="283"/>
      <c r="J638" s="224"/>
      <c r="K638" s="224"/>
      <c r="L638" s="224"/>
      <c r="M638" s="224"/>
      <c r="N638" s="224" t="s">
        <v>1775</v>
      </c>
      <c r="O638" s="224"/>
      <c r="P638" s="224"/>
      <c r="Q638" s="24"/>
      <c r="R638" s="283"/>
      <c r="S638" s="224"/>
      <c r="T638" s="283"/>
      <c r="U638" s="283"/>
      <c r="V638" s="196"/>
      <c r="W638" s="24"/>
      <c r="X638" s="283"/>
      <c r="Y638" s="24"/>
      <c r="Z638" s="24"/>
      <c r="AA638" s="24"/>
      <c r="AB638" s="24"/>
      <c r="AC638" s="283"/>
      <c r="AD638" s="283"/>
      <c r="AE638" s="283"/>
      <c r="AF638" s="283"/>
      <c r="AG638" s="285" t="s">
        <v>115</v>
      </c>
      <c r="AH638" s="285" t="s">
        <v>1777</v>
      </c>
      <c r="AI638" s="285" t="s">
        <v>1778</v>
      </c>
      <c r="AJ638" s="24"/>
      <c r="AK638" s="24"/>
      <c r="AL638" s="24"/>
    </row>
    <row r="639" spans="1:38" ht="12.75" customHeight="1">
      <c r="A639" s="22">
        <v>637</v>
      </c>
      <c r="B639" s="24" t="str">
        <f t="shared" si="0"/>
        <v>Done earlier</v>
      </c>
      <c r="C639" s="24" t="str">
        <f t="shared" si="1"/>
        <v>Input Option</v>
      </c>
      <c r="D639" s="24" t="str">
        <f t="shared" si="2"/>
        <v>Hepatitis B test</v>
      </c>
      <c r="E639" s="24" t="s">
        <v>1970</v>
      </c>
      <c r="F639" s="24">
        <v>1</v>
      </c>
      <c r="G639" s="24" t="s">
        <v>1767</v>
      </c>
      <c r="H639" s="24"/>
      <c r="I639" s="283"/>
      <c r="J639" s="224"/>
      <c r="K639" s="224"/>
      <c r="L639" s="224"/>
      <c r="M639" s="224"/>
      <c r="N639" s="204" t="s">
        <v>1779</v>
      </c>
      <c r="O639" s="224"/>
      <c r="P639" s="224"/>
      <c r="Q639" s="24"/>
      <c r="R639" s="283"/>
      <c r="S639" s="224"/>
      <c r="T639" s="283"/>
      <c r="U639" s="283"/>
      <c r="V639" s="196"/>
      <c r="W639" s="24"/>
      <c r="X639" s="283"/>
      <c r="Y639" s="24"/>
      <c r="Z639" s="24"/>
      <c r="AA639" s="24"/>
      <c r="AB639" s="24"/>
      <c r="AC639" s="283"/>
      <c r="AD639" s="283"/>
      <c r="AE639" s="283"/>
      <c r="AF639" s="283"/>
      <c r="AG639" s="285" t="s">
        <v>115</v>
      </c>
      <c r="AH639" s="285" t="s">
        <v>1781</v>
      </c>
      <c r="AI639" s="285" t="s">
        <v>1782</v>
      </c>
      <c r="AJ639" s="24"/>
      <c r="AK639" s="24"/>
      <c r="AL639" s="24"/>
    </row>
    <row r="640" spans="1:38" ht="12.75" customHeight="1">
      <c r="A640" s="22">
        <v>638</v>
      </c>
      <c r="B640" s="24" t="str">
        <f t="shared" si="0"/>
        <v>Ordered</v>
      </c>
      <c r="C640" s="24" t="str">
        <f t="shared" si="1"/>
        <v>Input Option</v>
      </c>
      <c r="D640" s="24" t="str">
        <f t="shared" si="2"/>
        <v>Hepatitis B test</v>
      </c>
      <c r="E640" s="24" t="s">
        <v>1970</v>
      </c>
      <c r="F640" s="24">
        <v>1</v>
      </c>
      <c r="G640" s="24" t="s">
        <v>1767</v>
      </c>
      <c r="H640" s="24"/>
      <c r="I640" s="283"/>
      <c r="J640" s="224"/>
      <c r="K640" s="224"/>
      <c r="L640" s="224"/>
      <c r="M640" s="224"/>
      <c r="N640" s="204" t="s">
        <v>1783</v>
      </c>
      <c r="O640" s="224"/>
      <c r="P640" s="224"/>
      <c r="Q640" s="24"/>
      <c r="R640" s="283"/>
      <c r="S640" s="224"/>
      <c r="T640" s="283"/>
      <c r="U640" s="283"/>
      <c r="V640" s="196"/>
      <c r="W640" s="24"/>
      <c r="X640" s="283"/>
      <c r="Y640" s="24"/>
      <c r="Z640" s="24"/>
      <c r="AA640" s="24"/>
      <c r="AB640" s="24"/>
      <c r="AC640" s="283"/>
      <c r="AD640" s="283"/>
      <c r="AE640" s="283"/>
      <c r="AF640" s="283"/>
      <c r="AG640" s="285" t="s">
        <v>115</v>
      </c>
      <c r="AH640" s="285" t="s">
        <v>1784</v>
      </c>
      <c r="AI640" s="205" t="s">
        <v>1785</v>
      </c>
      <c r="AJ640" s="24"/>
      <c r="AK640" s="24"/>
      <c r="AL640" s="24"/>
    </row>
    <row r="641" spans="1:38" ht="12.75" customHeight="1">
      <c r="A641" s="22">
        <v>639</v>
      </c>
      <c r="B641" s="24" t="str">
        <f t="shared" si="0"/>
        <v>Not done</v>
      </c>
      <c r="C641" s="24" t="str">
        <f t="shared" si="1"/>
        <v>Input Option</v>
      </c>
      <c r="D641" s="24" t="str">
        <f t="shared" si="2"/>
        <v>Hepatitis B test</v>
      </c>
      <c r="E641" s="24" t="s">
        <v>1970</v>
      </c>
      <c r="F641" s="24">
        <v>1</v>
      </c>
      <c r="G641" s="24" t="s">
        <v>1767</v>
      </c>
      <c r="H641" s="24"/>
      <c r="I641" s="283"/>
      <c r="J641" s="300"/>
      <c r="K641" s="300"/>
      <c r="L641" s="300"/>
      <c r="M641" s="300"/>
      <c r="N641" s="304" t="s">
        <v>1468</v>
      </c>
      <c r="O641" s="300"/>
      <c r="P641" s="300"/>
      <c r="Q641" s="24"/>
      <c r="R641" s="283"/>
      <c r="S641" s="300"/>
      <c r="T641" s="283"/>
      <c r="U641" s="283"/>
      <c r="V641" s="293"/>
      <c r="W641" s="24"/>
      <c r="X641" s="283"/>
      <c r="Y641" s="24"/>
      <c r="Z641" s="24"/>
      <c r="AA641" s="24"/>
      <c r="AB641" s="24"/>
      <c r="AC641" s="283"/>
      <c r="AD641" s="283"/>
      <c r="AE641" s="283"/>
      <c r="AF641" s="283"/>
      <c r="AG641" s="285" t="s">
        <v>115</v>
      </c>
      <c r="AH641" s="285" t="s">
        <v>1469</v>
      </c>
      <c r="AI641" s="205" t="s">
        <v>1470</v>
      </c>
      <c r="AJ641" s="24"/>
      <c r="AK641" s="24"/>
      <c r="AL641" s="24"/>
    </row>
    <row r="642" spans="1:38" ht="12.75" customHeight="1">
      <c r="A642" s="22">
        <v>640</v>
      </c>
      <c r="B642" s="24" t="str">
        <f t="shared" si="0"/>
        <v>Reason</v>
      </c>
      <c r="C642" s="24" t="str">
        <f t="shared" si="1"/>
        <v>Data Element</v>
      </c>
      <c r="D642" s="24" t="str">
        <f t="shared" si="2"/>
        <v/>
      </c>
      <c r="E642" s="24" t="s">
        <v>1970</v>
      </c>
      <c r="F642" s="24">
        <v>1</v>
      </c>
      <c r="G642" s="24" t="s">
        <v>1767</v>
      </c>
      <c r="H642" s="24"/>
      <c r="I642" s="283"/>
      <c r="J642" s="300" t="s">
        <v>1376</v>
      </c>
      <c r="K642" s="300" t="s">
        <v>1975</v>
      </c>
      <c r="L642" s="300" t="s">
        <v>1976</v>
      </c>
      <c r="M642" s="300" t="s">
        <v>238</v>
      </c>
      <c r="N642" s="300"/>
      <c r="O642" s="300"/>
      <c r="P642" s="300"/>
      <c r="Q642" s="24"/>
      <c r="R642" s="283"/>
      <c r="S642" s="300" t="s">
        <v>113</v>
      </c>
      <c r="T642" s="283"/>
      <c r="U642" s="283"/>
      <c r="V642" s="293" t="s">
        <v>115</v>
      </c>
      <c r="W642" s="24"/>
      <c r="X642" s="283"/>
      <c r="Y642" s="24"/>
      <c r="Z642" s="24"/>
      <c r="AA642" s="24"/>
      <c r="AB642" s="24"/>
      <c r="AC642" s="283"/>
      <c r="AD642" s="283"/>
      <c r="AE642" s="283"/>
      <c r="AF642" s="283"/>
      <c r="AG642" s="285" t="s">
        <v>1973</v>
      </c>
      <c r="AH642" s="285" t="s">
        <v>1791</v>
      </c>
      <c r="AI642" s="285" t="s">
        <v>1792</v>
      </c>
      <c r="AJ642" s="24"/>
      <c r="AK642" s="24"/>
      <c r="AL642" s="24"/>
    </row>
    <row r="643" spans="1:38" ht="12.75" customHeight="1">
      <c r="A643" s="22">
        <v>641</v>
      </c>
      <c r="B643" s="24" t="str">
        <f t="shared" si="0"/>
        <v>Stock out</v>
      </c>
      <c r="C643" s="24" t="str">
        <f t="shared" si="1"/>
        <v>Input Option</v>
      </c>
      <c r="D643" s="24" t="str">
        <f t="shared" si="2"/>
        <v>Reason</v>
      </c>
      <c r="E643" s="24" t="s">
        <v>1970</v>
      </c>
      <c r="F643" s="24">
        <v>1</v>
      </c>
      <c r="G643" s="24" t="s">
        <v>1767</v>
      </c>
      <c r="H643" s="24"/>
      <c r="I643" s="283"/>
      <c r="J643" s="293"/>
      <c r="K643" s="293"/>
      <c r="L643" s="293"/>
      <c r="M643" s="293"/>
      <c r="N643" s="304" t="s">
        <v>1909</v>
      </c>
      <c r="O643" s="293"/>
      <c r="P643" s="293"/>
      <c r="Q643" s="24"/>
      <c r="R643" s="283"/>
      <c r="S643" s="293"/>
      <c r="T643" s="283"/>
      <c r="U643" s="283"/>
      <c r="V643" s="293"/>
      <c r="W643" s="24"/>
      <c r="X643" s="283"/>
      <c r="Y643" s="24"/>
      <c r="Z643" s="24"/>
      <c r="AA643" s="24"/>
      <c r="AB643" s="24"/>
      <c r="AC643" s="283"/>
      <c r="AD643" s="283"/>
      <c r="AE643" s="283"/>
      <c r="AF643" s="283"/>
      <c r="AG643" s="294" t="s">
        <v>115</v>
      </c>
      <c r="AH643" s="294" t="s">
        <v>1910</v>
      </c>
      <c r="AI643" s="294" t="s">
        <v>1911</v>
      </c>
      <c r="AJ643" s="24"/>
      <c r="AK643" s="24"/>
      <c r="AL643" s="24"/>
    </row>
    <row r="644" spans="1:38" ht="12.75" customHeight="1">
      <c r="A644" s="22">
        <v>642</v>
      </c>
      <c r="B644" s="24" t="str">
        <f t="shared" si="0"/>
        <v>Expired stock</v>
      </c>
      <c r="C644" s="24" t="str">
        <f t="shared" si="1"/>
        <v>Input Option</v>
      </c>
      <c r="D644" s="24" t="str">
        <f t="shared" si="2"/>
        <v>Reason</v>
      </c>
      <c r="E644" s="24" t="s">
        <v>1970</v>
      </c>
      <c r="F644" s="24">
        <v>1</v>
      </c>
      <c r="G644" s="24" t="s">
        <v>1767</v>
      </c>
      <c r="H644" s="24"/>
      <c r="I644" s="283"/>
      <c r="J644" s="293"/>
      <c r="K644" s="293"/>
      <c r="L644" s="293"/>
      <c r="M644" s="293"/>
      <c r="N644" s="293" t="s">
        <v>1912</v>
      </c>
      <c r="O644" s="293"/>
      <c r="P644" s="293"/>
      <c r="Q644" s="24"/>
      <c r="R644" s="283"/>
      <c r="S644" s="293"/>
      <c r="T644" s="283"/>
      <c r="U644" s="283"/>
      <c r="V644" s="293"/>
      <c r="W644" s="24"/>
      <c r="X644" s="283"/>
      <c r="Y644" s="24"/>
      <c r="Z644" s="24"/>
      <c r="AA644" s="24"/>
      <c r="AB644" s="24"/>
      <c r="AC644" s="283"/>
      <c r="AD644" s="283"/>
      <c r="AE644" s="283"/>
      <c r="AF644" s="283"/>
      <c r="AG644" s="294" t="s">
        <v>115</v>
      </c>
      <c r="AH644" s="294" t="s">
        <v>1913</v>
      </c>
      <c r="AI644" s="294" t="s">
        <v>1914</v>
      </c>
      <c r="AJ644" s="24"/>
      <c r="AK644" s="24"/>
      <c r="AL644" s="24"/>
    </row>
    <row r="645" spans="1:38" ht="12.75" customHeight="1">
      <c r="A645" s="22">
        <v>643</v>
      </c>
      <c r="B645" s="24" t="str">
        <f t="shared" si="0"/>
        <v>Other (specify)</v>
      </c>
      <c r="C645" s="24" t="str">
        <f t="shared" si="1"/>
        <v>Input Option</v>
      </c>
      <c r="D645" s="24" t="str">
        <f t="shared" si="2"/>
        <v>Reason</v>
      </c>
      <c r="E645" s="24" t="s">
        <v>1970</v>
      </c>
      <c r="F645" s="24">
        <v>1</v>
      </c>
      <c r="G645" s="24" t="s">
        <v>1767</v>
      </c>
      <c r="H645" s="24"/>
      <c r="I645" s="283"/>
      <c r="J645" s="293"/>
      <c r="K645" s="293"/>
      <c r="L645" s="293"/>
      <c r="M645" s="293"/>
      <c r="N645" s="293" t="s">
        <v>405</v>
      </c>
      <c r="O645" s="293"/>
      <c r="P645" s="293"/>
      <c r="Q645" s="24"/>
      <c r="R645" s="283"/>
      <c r="S645" s="293"/>
      <c r="T645" s="283"/>
      <c r="U645" s="283"/>
      <c r="V645" s="293"/>
      <c r="W645" s="24"/>
      <c r="X645" s="283"/>
      <c r="Y645" s="24"/>
      <c r="Z645" s="24"/>
      <c r="AA645" s="24"/>
      <c r="AB645" s="24"/>
      <c r="AC645" s="283"/>
      <c r="AD645" s="283"/>
      <c r="AE645" s="283"/>
      <c r="AF645" s="283"/>
      <c r="AG645" s="294" t="s">
        <v>115</v>
      </c>
      <c r="AH645" s="294" t="s">
        <v>406</v>
      </c>
      <c r="AI645" s="294" t="s">
        <v>407</v>
      </c>
      <c r="AJ645" s="24"/>
      <c r="AK645" s="24"/>
      <c r="AL645" s="24"/>
    </row>
    <row r="646" spans="1:38" ht="12.75" customHeight="1">
      <c r="A646" s="22">
        <v>644</v>
      </c>
      <c r="B646" s="24" t="str">
        <f t="shared" si="0"/>
        <v>Specify</v>
      </c>
      <c r="C646" s="24" t="str">
        <f t="shared" si="1"/>
        <v>Data Element</v>
      </c>
      <c r="D646" s="24" t="str">
        <f t="shared" si="2"/>
        <v/>
      </c>
      <c r="E646" s="24" t="s">
        <v>1970</v>
      </c>
      <c r="F646" s="24">
        <v>1</v>
      </c>
      <c r="G646" s="24" t="s">
        <v>1767</v>
      </c>
      <c r="H646" s="24"/>
      <c r="I646" s="283"/>
      <c r="J646" s="196" t="s">
        <v>409</v>
      </c>
      <c r="K646" s="196" t="s">
        <v>1978</v>
      </c>
      <c r="L646" s="196" t="s">
        <v>1979</v>
      </c>
      <c r="M646" s="196" t="s">
        <v>111</v>
      </c>
      <c r="N646" s="196"/>
      <c r="O646" s="196"/>
      <c r="P646" s="196"/>
      <c r="Q646" s="24"/>
      <c r="R646" s="283"/>
      <c r="S646" s="196" t="s">
        <v>208</v>
      </c>
      <c r="T646" s="283"/>
      <c r="U646" s="283"/>
      <c r="V646" s="196" t="s">
        <v>115</v>
      </c>
      <c r="W646" s="24"/>
      <c r="X646" s="283"/>
      <c r="Y646" s="24"/>
      <c r="Z646" s="24"/>
      <c r="AA646" s="24"/>
      <c r="AB646" s="24"/>
      <c r="AC646" s="283"/>
      <c r="AD646" s="283"/>
      <c r="AE646" s="283"/>
      <c r="AF646" s="283"/>
      <c r="AG646" s="294" t="s">
        <v>1973</v>
      </c>
      <c r="AH646" s="294" t="s">
        <v>1800</v>
      </c>
      <c r="AI646" s="294" t="s">
        <v>1801</v>
      </c>
      <c r="AJ646" s="24"/>
      <c r="AK646" s="24"/>
      <c r="AL646" s="24"/>
    </row>
    <row r="647" spans="1:38" ht="12.75" customHeight="1">
      <c r="A647" s="22">
        <v>645</v>
      </c>
      <c r="B647" s="24" t="str">
        <f t="shared" si="0"/>
        <v>Hep B test date</v>
      </c>
      <c r="C647" s="24" t="str">
        <f t="shared" si="1"/>
        <v>Data Element</v>
      </c>
      <c r="D647" s="24" t="str">
        <f t="shared" si="2"/>
        <v/>
      </c>
      <c r="E647" s="24" t="s">
        <v>1970</v>
      </c>
      <c r="F647" s="24">
        <v>1</v>
      </c>
      <c r="G647" s="24" t="s">
        <v>1767</v>
      </c>
      <c r="H647" s="24"/>
      <c r="I647" s="283"/>
      <c r="J647" s="309" t="s">
        <v>1980</v>
      </c>
      <c r="K647" s="309" t="s">
        <v>1981</v>
      </c>
      <c r="L647" s="204" t="s">
        <v>1982</v>
      </c>
      <c r="M647" s="204" t="s">
        <v>140</v>
      </c>
      <c r="N647" s="196"/>
      <c r="O647" s="196"/>
      <c r="P647" s="196"/>
      <c r="Q647" s="24"/>
      <c r="R647" s="283"/>
      <c r="S647" s="309" t="s">
        <v>113</v>
      </c>
      <c r="T647" s="283"/>
      <c r="U647" s="283"/>
      <c r="V647" s="204" t="s">
        <v>115</v>
      </c>
      <c r="W647" s="24"/>
      <c r="X647" s="283"/>
      <c r="Y647" s="24"/>
      <c r="Z647" s="24"/>
      <c r="AA647" s="24"/>
      <c r="AB647" s="24"/>
      <c r="AC647" s="283"/>
      <c r="AD647" s="283"/>
      <c r="AE647" s="283"/>
      <c r="AF647" s="283"/>
      <c r="AG647" s="294" t="s">
        <v>1973</v>
      </c>
      <c r="AH647" s="294" t="s">
        <v>1804</v>
      </c>
      <c r="AI647" s="294" t="s">
        <v>1805</v>
      </c>
      <c r="AJ647" s="24"/>
      <c r="AK647" s="24"/>
      <c r="AL647" s="24"/>
    </row>
    <row r="648" spans="1:38" ht="12.75" customHeight="1">
      <c r="A648" s="22">
        <v>646</v>
      </c>
      <c r="B648" s="24" t="str">
        <f t="shared" si="0"/>
        <v>Hep B test type</v>
      </c>
      <c r="C648" s="24" t="str">
        <f t="shared" si="1"/>
        <v>Data Element</v>
      </c>
      <c r="D648" s="24" t="str">
        <f t="shared" si="2"/>
        <v/>
      </c>
      <c r="E648" s="24" t="s">
        <v>1970</v>
      </c>
      <c r="F648" s="24">
        <v>1</v>
      </c>
      <c r="G648" s="24" t="s">
        <v>1767</v>
      </c>
      <c r="H648" s="24"/>
      <c r="I648" s="283"/>
      <c r="J648" s="224" t="s">
        <v>1983</v>
      </c>
      <c r="K648" s="224" t="s">
        <v>1984</v>
      </c>
      <c r="L648" s="224" t="s">
        <v>1985</v>
      </c>
      <c r="M648" s="224" t="s">
        <v>202</v>
      </c>
      <c r="N648" s="224"/>
      <c r="O648" s="164"/>
      <c r="P648" s="164"/>
      <c r="Q648" s="24"/>
      <c r="R648" s="283"/>
      <c r="S648" s="224" t="s">
        <v>113</v>
      </c>
      <c r="T648" s="283"/>
      <c r="U648" s="283"/>
      <c r="V648" s="196" t="s">
        <v>115</v>
      </c>
      <c r="W648" s="24"/>
      <c r="X648" s="283"/>
      <c r="Y648" s="24"/>
      <c r="Z648" s="24"/>
      <c r="AA648" s="24"/>
      <c r="AB648" s="24"/>
      <c r="AC648" s="283"/>
      <c r="AD648" s="283"/>
      <c r="AE648" s="283"/>
      <c r="AF648" s="283"/>
      <c r="AG648" s="285" t="s">
        <v>115</v>
      </c>
      <c r="AH648" s="285" t="s">
        <v>1986</v>
      </c>
      <c r="AI648" s="285" t="s">
        <v>1987</v>
      </c>
      <c r="AJ648" s="24"/>
      <c r="AK648" s="24"/>
      <c r="AL648" s="24"/>
    </row>
    <row r="649" spans="1:38" ht="12.75" customHeight="1">
      <c r="A649" s="22">
        <v>647</v>
      </c>
      <c r="B649" s="24" t="str">
        <f t="shared" si="0"/>
        <v>HBsAg laboratory-based immunoassay (recommended)</v>
      </c>
      <c r="C649" s="24" t="str">
        <f t="shared" si="1"/>
        <v>Input Option</v>
      </c>
      <c r="D649" s="24" t="str">
        <f t="shared" si="2"/>
        <v>Hep B test type</v>
      </c>
      <c r="E649" s="24" t="s">
        <v>1970</v>
      </c>
      <c r="F649" s="24">
        <v>1</v>
      </c>
      <c r="G649" s="24" t="s">
        <v>1767</v>
      </c>
      <c r="H649" s="24"/>
      <c r="I649" s="283"/>
      <c r="J649" s="224"/>
      <c r="K649" s="224"/>
      <c r="L649" s="224"/>
      <c r="M649" s="224"/>
      <c r="N649" s="224" t="s">
        <v>1988</v>
      </c>
      <c r="O649" s="164"/>
      <c r="P649" s="164"/>
      <c r="Q649" s="24"/>
      <c r="R649" s="283"/>
      <c r="S649" s="224"/>
      <c r="T649" s="283"/>
      <c r="U649" s="283"/>
      <c r="V649" s="196"/>
      <c r="W649" s="24"/>
      <c r="X649" s="283"/>
      <c r="Y649" s="24"/>
      <c r="Z649" s="24"/>
      <c r="AA649" s="24"/>
      <c r="AB649" s="24"/>
      <c r="AC649" s="283"/>
      <c r="AD649" s="283"/>
      <c r="AE649" s="283"/>
      <c r="AF649" s="283"/>
      <c r="AG649" s="285" t="s">
        <v>115</v>
      </c>
      <c r="AH649" s="205" t="s">
        <v>1989</v>
      </c>
      <c r="AI649" s="285" t="s">
        <v>1990</v>
      </c>
      <c r="AJ649" s="24"/>
      <c r="AK649" s="24"/>
      <c r="AL649" s="24"/>
    </row>
    <row r="650" spans="1:38" ht="12.75" customHeight="1">
      <c r="A650" s="22">
        <v>648</v>
      </c>
      <c r="B650" s="24" t="str">
        <f t="shared" si="0"/>
        <v>HBsAg rapid diagnostic test (RDT)</v>
      </c>
      <c r="C650" s="24" t="str">
        <f t="shared" si="1"/>
        <v>Input Option</v>
      </c>
      <c r="D650" s="24" t="str">
        <f t="shared" si="2"/>
        <v>Hep B test type</v>
      </c>
      <c r="E650" s="24" t="s">
        <v>1970</v>
      </c>
      <c r="F650" s="24">
        <v>1</v>
      </c>
      <c r="G650" s="24" t="s">
        <v>1767</v>
      </c>
      <c r="H650" s="24"/>
      <c r="I650" s="283"/>
      <c r="J650" s="224"/>
      <c r="K650" s="224"/>
      <c r="L650" s="224"/>
      <c r="M650" s="224"/>
      <c r="N650" s="224" t="s">
        <v>1991</v>
      </c>
      <c r="O650" s="164"/>
      <c r="P650" s="164"/>
      <c r="Q650" s="24"/>
      <c r="R650" s="283"/>
      <c r="S650" s="224"/>
      <c r="T650" s="283"/>
      <c r="U650" s="283"/>
      <c r="V650" s="196"/>
      <c r="W650" s="24"/>
      <c r="X650" s="283"/>
      <c r="Y650" s="24"/>
      <c r="Z650" s="24"/>
      <c r="AA650" s="24"/>
      <c r="AB650" s="24"/>
      <c r="AC650" s="283"/>
      <c r="AD650" s="283"/>
      <c r="AE650" s="283"/>
      <c r="AF650" s="283"/>
      <c r="AG650" s="285" t="s">
        <v>115</v>
      </c>
      <c r="AH650" s="205" t="s">
        <v>1992</v>
      </c>
      <c r="AI650" s="285" t="s">
        <v>1993</v>
      </c>
      <c r="AJ650" s="24"/>
      <c r="AK650" s="24"/>
      <c r="AL650" s="24"/>
    </row>
    <row r="651" spans="1:38" ht="12.75" customHeight="1">
      <c r="A651" s="22">
        <v>649</v>
      </c>
      <c r="B651" s="24" t="str">
        <f t="shared" si="0"/>
        <v>Dried Blood Spot (DBS) HBsAg test</v>
      </c>
      <c r="C651" s="24" t="str">
        <f t="shared" si="1"/>
        <v>Input Option</v>
      </c>
      <c r="D651" s="24" t="str">
        <f t="shared" si="2"/>
        <v>Hep B test type</v>
      </c>
      <c r="E651" s="24" t="s">
        <v>1970</v>
      </c>
      <c r="F651" s="24">
        <v>1</v>
      </c>
      <c r="G651" s="24" t="s">
        <v>1767</v>
      </c>
      <c r="H651" s="24"/>
      <c r="I651" s="283"/>
      <c r="J651" s="224"/>
      <c r="K651" s="224"/>
      <c r="L651" s="224"/>
      <c r="M651" s="224"/>
      <c r="N651" s="224" t="s">
        <v>1994</v>
      </c>
      <c r="O651" s="164"/>
      <c r="P651" s="164"/>
      <c r="Q651" s="24"/>
      <c r="R651" s="283"/>
      <c r="S651" s="224"/>
      <c r="T651" s="283"/>
      <c r="U651" s="283"/>
      <c r="V651" s="196"/>
      <c r="W651" s="24"/>
      <c r="X651" s="283"/>
      <c r="Y651" s="24"/>
      <c r="Z651" s="24"/>
      <c r="AA651" s="24"/>
      <c r="AB651" s="24"/>
      <c r="AC651" s="283"/>
      <c r="AD651" s="283"/>
      <c r="AE651" s="283"/>
      <c r="AF651" s="283"/>
      <c r="AG651" s="285" t="s">
        <v>115</v>
      </c>
      <c r="AH651" s="205" t="s">
        <v>1995</v>
      </c>
      <c r="AI651" s="285" t="s">
        <v>1996</v>
      </c>
      <c r="AJ651" s="24"/>
      <c r="AK651" s="24"/>
      <c r="AL651" s="24"/>
    </row>
    <row r="652" spans="1:38" ht="12.75" customHeight="1">
      <c r="A652" s="22">
        <v>650</v>
      </c>
      <c r="B652" s="24" t="str">
        <f t="shared" si="0"/>
        <v>HBsAg laboratory-based immunoassay (recommended)</v>
      </c>
      <c r="C652" s="24" t="str">
        <f t="shared" si="1"/>
        <v>Data Element</v>
      </c>
      <c r="D652" s="24" t="str">
        <f t="shared" si="2"/>
        <v/>
      </c>
      <c r="E652" s="24" t="s">
        <v>1970</v>
      </c>
      <c r="F652" s="24">
        <v>1</v>
      </c>
      <c r="G652" s="24" t="s">
        <v>1767</v>
      </c>
      <c r="H652" s="24"/>
      <c r="I652" s="283"/>
      <c r="J652" s="224" t="s">
        <v>1988</v>
      </c>
      <c r="K652" s="224" t="s">
        <v>1997</v>
      </c>
      <c r="L652" s="224" t="s">
        <v>1998</v>
      </c>
      <c r="M652" s="224" t="s">
        <v>202</v>
      </c>
      <c r="N652" s="224"/>
      <c r="O652" s="164"/>
      <c r="P652" s="164"/>
      <c r="Q652" s="24"/>
      <c r="R652" s="283"/>
      <c r="S652" s="224" t="s">
        <v>113</v>
      </c>
      <c r="T652" s="283"/>
      <c r="U652" s="283"/>
      <c r="V652" s="196" t="s">
        <v>115</v>
      </c>
      <c r="W652" s="24"/>
      <c r="X652" s="283"/>
      <c r="Y652" s="24"/>
      <c r="Z652" s="24"/>
      <c r="AA652" s="24"/>
      <c r="AB652" s="24"/>
      <c r="AC652" s="283"/>
      <c r="AD652" s="283"/>
      <c r="AE652" s="283"/>
      <c r="AF652" s="283"/>
      <c r="AG652" s="285" t="s">
        <v>115</v>
      </c>
      <c r="AH652" s="205" t="s">
        <v>1989</v>
      </c>
      <c r="AI652" s="285" t="s">
        <v>1990</v>
      </c>
      <c r="AJ652" s="24"/>
      <c r="AK652" s="24"/>
      <c r="AL652" s="24"/>
    </row>
    <row r="653" spans="1:38" ht="12.75" customHeight="1">
      <c r="A653" s="22">
        <v>651</v>
      </c>
      <c r="B653" s="24" t="str">
        <f t="shared" si="0"/>
        <v>Positive</v>
      </c>
      <c r="C653" s="24" t="str">
        <f t="shared" si="1"/>
        <v>Input Option</v>
      </c>
      <c r="D653" s="24" t="str">
        <f t="shared" si="2"/>
        <v>HBsAg laboratory-based immunoassay (recommended)</v>
      </c>
      <c r="E653" s="24" t="s">
        <v>1970</v>
      </c>
      <c r="F653" s="24">
        <v>1</v>
      </c>
      <c r="G653" s="24" t="s">
        <v>1767</v>
      </c>
      <c r="H653" s="24"/>
      <c r="I653" s="283"/>
      <c r="J653" s="224"/>
      <c r="K653" s="224"/>
      <c r="L653" s="224"/>
      <c r="M653" s="224"/>
      <c r="N653" s="224" t="s">
        <v>1122</v>
      </c>
      <c r="O653" s="164"/>
      <c r="P653" s="164"/>
      <c r="Q653" s="24"/>
      <c r="R653" s="283"/>
      <c r="S653" s="224"/>
      <c r="T653" s="283"/>
      <c r="U653" s="283"/>
      <c r="V653" s="196"/>
      <c r="W653" s="24"/>
      <c r="X653" s="283"/>
      <c r="Y653" s="24"/>
      <c r="Z653" s="24"/>
      <c r="AA653" s="24"/>
      <c r="AB653" s="24"/>
      <c r="AC653" s="283"/>
      <c r="AD653" s="283"/>
      <c r="AE653" s="283"/>
      <c r="AF653" s="283"/>
      <c r="AG653" s="285" t="s">
        <v>115</v>
      </c>
      <c r="AH653" s="285" t="s">
        <v>1897</v>
      </c>
      <c r="AI653" s="285" t="s">
        <v>1125</v>
      </c>
      <c r="AJ653" s="24"/>
      <c r="AK653" s="24"/>
      <c r="AL653" s="24"/>
    </row>
    <row r="654" spans="1:38" ht="12.75" customHeight="1">
      <c r="A654" s="22">
        <v>652</v>
      </c>
      <c r="B654" s="24" t="str">
        <f t="shared" si="0"/>
        <v>Negative</v>
      </c>
      <c r="C654" s="24" t="str">
        <f t="shared" si="1"/>
        <v>Input Option</v>
      </c>
      <c r="D654" s="24" t="str">
        <f t="shared" si="2"/>
        <v>HBsAg laboratory-based immunoassay (recommended)</v>
      </c>
      <c r="E654" s="24" t="s">
        <v>1970</v>
      </c>
      <c r="F654" s="24">
        <v>1</v>
      </c>
      <c r="G654" s="24" t="s">
        <v>1767</v>
      </c>
      <c r="H654" s="24"/>
      <c r="I654" s="283"/>
      <c r="J654" s="224"/>
      <c r="K654" s="224"/>
      <c r="L654" s="224"/>
      <c r="M654" s="224"/>
      <c r="N654" s="224" t="s">
        <v>1126</v>
      </c>
      <c r="O654" s="164"/>
      <c r="P654" s="164"/>
      <c r="Q654" s="24"/>
      <c r="R654" s="283"/>
      <c r="S654" s="224"/>
      <c r="T654" s="283"/>
      <c r="U654" s="283"/>
      <c r="V654" s="196"/>
      <c r="W654" s="24"/>
      <c r="X654" s="283"/>
      <c r="Y654" s="24"/>
      <c r="Z654" s="24"/>
      <c r="AA654" s="24"/>
      <c r="AB654" s="24"/>
      <c r="AC654" s="283"/>
      <c r="AD654" s="283"/>
      <c r="AE654" s="283"/>
      <c r="AF654" s="283"/>
      <c r="AG654" s="285" t="s">
        <v>115</v>
      </c>
      <c r="AH654" s="285" t="s">
        <v>1128</v>
      </c>
      <c r="AI654" s="285" t="s">
        <v>1129</v>
      </c>
      <c r="AJ654" s="24"/>
      <c r="AK654" s="24"/>
      <c r="AL654" s="24"/>
    </row>
    <row r="655" spans="1:38" ht="12.75" customHeight="1">
      <c r="A655" s="22">
        <v>653</v>
      </c>
      <c r="B655" s="24" t="str">
        <f t="shared" si="0"/>
        <v>HBsAg rapid diagnostic test (RDT)</v>
      </c>
      <c r="C655" s="24" t="str">
        <f t="shared" si="1"/>
        <v>Data Element</v>
      </c>
      <c r="D655" s="24" t="str">
        <f t="shared" si="2"/>
        <v/>
      </c>
      <c r="E655" s="24" t="s">
        <v>1970</v>
      </c>
      <c r="F655" s="24">
        <v>1</v>
      </c>
      <c r="G655" s="24" t="s">
        <v>1767</v>
      </c>
      <c r="H655" s="24"/>
      <c r="I655" s="283"/>
      <c r="J655" s="224" t="s">
        <v>1991</v>
      </c>
      <c r="K655" s="224" t="s">
        <v>1999</v>
      </c>
      <c r="L655" s="224" t="s">
        <v>2000</v>
      </c>
      <c r="M655" s="224" t="s">
        <v>202</v>
      </c>
      <c r="N655" s="224"/>
      <c r="O655" s="164"/>
      <c r="P655" s="164"/>
      <c r="Q655" s="24"/>
      <c r="R655" s="283"/>
      <c r="S655" s="224" t="s">
        <v>113</v>
      </c>
      <c r="T655" s="283"/>
      <c r="U655" s="283"/>
      <c r="V655" s="196" t="s">
        <v>115</v>
      </c>
      <c r="W655" s="24"/>
      <c r="X655" s="283"/>
      <c r="Y655" s="24"/>
      <c r="Z655" s="24"/>
      <c r="AA655" s="24"/>
      <c r="AB655" s="24"/>
      <c r="AC655" s="283"/>
      <c r="AD655" s="283"/>
      <c r="AE655" s="283"/>
      <c r="AF655" s="283"/>
      <c r="AG655" s="285" t="s">
        <v>115</v>
      </c>
      <c r="AH655" s="205" t="s">
        <v>1992</v>
      </c>
      <c r="AI655" s="285" t="s">
        <v>1993</v>
      </c>
      <c r="AJ655" s="24"/>
      <c r="AK655" s="24"/>
      <c r="AL655" s="24"/>
    </row>
    <row r="656" spans="1:38" ht="12.75" customHeight="1">
      <c r="A656" s="22">
        <v>654</v>
      </c>
      <c r="B656" s="24" t="str">
        <f t="shared" si="0"/>
        <v>Positive</v>
      </c>
      <c r="C656" s="24" t="str">
        <f t="shared" si="1"/>
        <v>Input Option</v>
      </c>
      <c r="D656" s="24" t="str">
        <f t="shared" si="2"/>
        <v>HBsAg rapid diagnostic test (RDT)</v>
      </c>
      <c r="E656" s="24" t="s">
        <v>1970</v>
      </c>
      <c r="F656" s="24">
        <v>1</v>
      </c>
      <c r="G656" s="24" t="s">
        <v>1767</v>
      </c>
      <c r="H656" s="24"/>
      <c r="I656" s="283"/>
      <c r="J656" s="224"/>
      <c r="K656" s="224"/>
      <c r="L656" s="224"/>
      <c r="M656" s="224"/>
      <c r="N656" s="224" t="s">
        <v>1122</v>
      </c>
      <c r="O656" s="164"/>
      <c r="P656" s="164"/>
      <c r="Q656" s="24"/>
      <c r="R656" s="283"/>
      <c r="S656" s="224"/>
      <c r="T656" s="283"/>
      <c r="U656" s="283"/>
      <c r="V656" s="196"/>
      <c r="W656" s="24"/>
      <c r="X656" s="283"/>
      <c r="Y656" s="24"/>
      <c r="Z656" s="24"/>
      <c r="AA656" s="24"/>
      <c r="AB656" s="24"/>
      <c r="AC656" s="283"/>
      <c r="AD656" s="283"/>
      <c r="AE656" s="283"/>
      <c r="AF656" s="283"/>
      <c r="AG656" s="285" t="s">
        <v>115</v>
      </c>
      <c r="AH656" s="285" t="s">
        <v>1897</v>
      </c>
      <c r="AI656" s="285" t="s">
        <v>1125</v>
      </c>
      <c r="AJ656" s="24"/>
      <c r="AK656" s="24"/>
      <c r="AL656" s="24"/>
    </row>
    <row r="657" spans="1:38" ht="12.75" customHeight="1">
      <c r="A657" s="22">
        <v>655</v>
      </c>
      <c r="B657" s="24" t="str">
        <f t="shared" si="0"/>
        <v>Negative</v>
      </c>
      <c r="C657" s="24" t="str">
        <f t="shared" si="1"/>
        <v>Input Option</v>
      </c>
      <c r="D657" s="24" t="str">
        <f t="shared" si="2"/>
        <v>HBsAg rapid diagnostic test (RDT)</v>
      </c>
      <c r="E657" s="24" t="s">
        <v>1970</v>
      </c>
      <c r="F657" s="24">
        <v>1</v>
      </c>
      <c r="G657" s="24" t="s">
        <v>1767</v>
      </c>
      <c r="H657" s="24"/>
      <c r="I657" s="283"/>
      <c r="J657" s="224"/>
      <c r="K657" s="224"/>
      <c r="L657" s="224"/>
      <c r="M657" s="224"/>
      <c r="N657" s="224" t="s">
        <v>1126</v>
      </c>
      <c r="O657" s="164"/>
      <c r="P657" s="164"/>
      <c r="Q657" s="24"/>
      <c r="R657" s="283"/>
      <c r="S657" s="224"/>
      <c r="T657" s="283"/>
      <c r="U657" s="283"/>
      <c r="V657" s="196"/>
      <c r="W657" s="24"/>
      <c r="X657" s="283"/>
      <c r="Y657" s="24"/>
      <c r="Z657" s="24"/>
      <c r="AA657" s="24"/>
      <c r="AB657" s="24"/>
      <c r="AC657" s="283"/>
      <c r="AD657" s="283"/>
      <c r="AE657" s="283"/>
      <c r="AF657" s="283"/>
      <c r="AG657" s="285" t="s">
        <v>115</v>
      </c>
      <c r="AH657" s="285" t="s">
        <v>1128</v>
      </c>
      <c r="AI657" s="285" t="s">
        <v>1129</v>
      </c>
      <c r="AJ657" s="24"/>
      <c r="AK657" s="24"/>
      <c r="AL657" s="24"/>
    </row>
    <row r="658" spans="1:38" ht="12.75" customHeight="1">
      <c r="A658" s="22">
        <v>656</v>
      </c>
      <c r="B658" s="24" t="str">
        <f t="shared" si="0"/>
        <v>Dried Blood Spot (DBS) HBsAg test</v>
      </c>
      <c r="C658" s="24" t="str">
        <f t="shared" si="1"/>
        <v>Data Element</v>
      </c>
      <c r="D658" s="24" t="str">
        <f t="shared" si="2"/>
        <v/>
      </c>
      <c r="E658" s="24" t="s">
        <v>1970</v>
      </c>
      <c r="F658" s="24">
        <v>1</v>
      </c>
      <c r="G658" s="24" t="s">
        <v>1767</v>
      </c>
      <c r="H658" s="24"/>
      <c r="I658" s="283"/>
      <c r="J658" s="224" t="s">
        <v>1994</v>
      </c>
      <c r="K658" s="224" t="s">
        <v>2002</v>
      </c>
      <c r="L658" s="224" t="s">
        <v>2003</v>
      </c>
      <c r="M658" s="224" t="s">
        <v>202</v>
      </c>
      <c r="N658" s="224"/>
      <c r="O658" s="164"/>
      <c r="P658" s="164"/>
      <c r="Q658" s="24"/>
      <c r="R658" s="283"/>
      <c r="S658" s="224" t="s">
        <v>113</v>
      </c>
      <c r="T658" s="283"/>
      <c r="U658" s="283"/>
      <c r="V658" s="196" t="s">
        <v>115</v>
      </c>
      <c r="W658" s="24"/>
      <c r="X658" s="283"/>
      <c r="Y658" s="24"/>
      <c r="Z658" s="24"/>
      <c r="AA658" s="24"/>
      <c r="AB658" s="24"/>
      <c r="AC658" s="283"/>
      <c r="AD658" s="283"/>
      <c r="AE658" s="283"/>
      <c r="AF658" s="283"/>
      <c r="AG658" s="285" t="s">
        <v>115</v>
      </c>
      <c r="AH658" s="205" t="s">
        <v>1995</v>
      </c>
      <c r="AI658" s="285" t="s">
        <v>1996</v>
      </c>
      <c r="AJ658" s="24"/>
      <c r="AK658" s="24"/>
      <c r="AL658" s="24"/>
    </row>
    <row r="659" spans="1:38" ht="12.75" customHeight="1">
      <c r="A659" s="22">
        <v>657</v>
      </c>
      <c r="B659" s="24" t="str">
        <f t="shared" si="0"/>
        <v>Positive</v>
      </c>
      <c r="C659" s="24" t="str">
        <f t="shared" si="1"/>
        <v>Input Option</v>
      </c>
      <c r="D659" s="24" t="str">
        <f t="shared" si="2"/>
        <v>Dried Blood Spot (DBS) HBsAg test</v>
      </c>
      <c r="E659" s="24" t="s">
        <v>1970</v>
      </c>
      <c r="F659" s="24">
        <v>1</v>
      </c>
      <c r="G659" s="24" t="s">
        <v>1767</v>
      </c>
      <c r="H659" s="24"/>
      <c r="I659" s="283"/>
      <c r="J659" s="224"/>
      <c r="K659" s="224"/>
      <c r="L659" s="224"/>
      <c r="M659" s="224"/>
      <c r="N659" s="224" t="s">
        <v>1122</v>
      </c>
      <c r="O659" s="164"/>
      <c r="P659" s="164"/>
      <c r="Q659" s="24"/>
      <c r="R659" s="283"/>
      <c r="S659" s="224"/>
      <c r="T659" s="283"/>
      <c r="U659" s="283"/>
      <c r="V659" s="196"/>
      <c r="W659" s="24"/>
      <c r="X659" s="283"/>
      <c r="Y659" s="24"/>
      <c r="Z659" s="24"/>
      <c r="AA659" s="24"/>
      <c r="AB659" s="24"/>
      <c r="AC659" s="283"/>
      <c r="AD659" s="283"/>
      <c r="AE659" s="283"/>
      <c r="AF659" s="283"/>
      <c r="AG659" s="285" t="s">
        <v>115</v>
      </c>
      <c r="AH659" s="285" t="s">
        <v>1897</v>
      </c>
      <c r="AI659" s="285" t="s">
        <v>1125</v>
      </c>
      <c r="AJ659" s="24"/>
      <c r="AK659" s="24"/>
      <c r="AL659" s="24"/>
    </row>
    <row r="660" spans="1:38" ht="12.75" customHeight="1">
      <c r="A660" s="22">
        <v>658</v>
      </c>
      <c r="B660" s="24" t="str">
        <f t="shared" si="0"/>
        <v>Negative</v>
      </c>
      <c r="C660" s="24" t="str">
        <f t="shared" si="1"/>
        <v>Input Option</v>
      </c>
      <c r="D660" s="24" t="str">
        <f t="shared" si="2"/>
        <v>Dried Blood Spot (DBS) HBsAg test</v>
      </c>
      <c r="E660" s="24" t="s">
        <v>1970</v>
      </c>
      <c r="F660" s="24">
        <v>1</v>
      </c>
      <c r="G660" s="24" t="s">
        <v>1767</v>
      </c>
      <c r="H660" s="24"/>
      <c r="I660" s="164"/>
      <c r="J660" s="224"/>
      <c r="K660" s="224"/>
      <c r="L660" s="224"/>
      <c r="M660" s="224"/>
      <c r="N660" s="224" t="s">
        <v>1126</v>
      </c>
      <c r="O660" s="164"/>
      <c r="P660" s="164"/>
      <c r="Q660" s="24"/>
      <c r="R660" s="164"/>
      <c r="S660" s="224"/>
      <c r="T660" s="164"/>
      <c r="U660" s="164"/>
      <c r="V660" s="196"/>
      <c r="W660" s="24"/>
      <c r="X660" s="164"/>
      <c r="Y660" s="24"/>
      <c r="Z660" s="24"/>
      <c r="AA660" s="24"/>
      <c r="AB660" s="24"/>
      <c r="AC660" s="164"/>
      <c r="AD660" s="164"/>
      <c r="AE660" s="163"/>
      <c r="AF660" s="164"/>
      <c r="AG660" s="285" t="s">
        <v>115</v>
      </c>
      <c r="AH660" s="285" t="s">
        <v>1128</v>
      </c>
      <c r="AI660" s="285" t="s">
        <v>1129</v>
      </c>
      <c r="AJ660" s="24"/>
      <c r="AK660" s="24"/>
      <c r="AL660" s="24"/>
    </row>
    <row r="661" spans="1:38" ht="12.75" customHeight="1">
      <c r="A661" s="22">
        <v>659</v>
      </c>
      <c r="B661" s="24" t="str">
        <f t="shared" si="0"/>
        <v>hepb_positive</v>
      </c>
      <c r="C661" s="24" t="str">
        <f t="shared" si="1"/>
        <v>Calculation</v>
      </c>
      <c r="D661" s="24" t="str">
        <f t="shared" si="2"/>
        <v/>
      </c>
      <c r="E661" s="24" t="s">
        <v>1970</v>
      </c>
      <c r="F661" s="24">
        <v>1</v>
      </c>
      <c r="G661" s="24" t="s">
        <v>1767</v>
      </c>
      <c r="H661" s="24"/>
      <c r="I661" s="283"/>
      <c r="J661" s="297" t="s">
        <v>2007</v>
      </c>
      <c r="K661" s="297" t="s">
        <v>2006</v>
      </c>
      <c r="L661" s="297" t="s">
        <v>2008</v>
      </c>
      <c r="M661" s="297" t="s">
        <v>65</v>
      </c>
      <c r="N661" s="225"/>
      <c r="O661" s="297" t="s">
        <v>2009</v>
      </c>
      <c r="P661" s="225"/>
      <c r="Q661" s="24"/>
      <c r="R661" s="283"/>
      <c r="S661" s="297" t="s">
        <v>115</v>
      </c>
      <c r="T661" s="283"/>
      <c r="U661" s="283"/>
      <c r="V661" s="238" t="s">
        <v>115</v>
      </c>
      <c r="W661" s="24"/>
      <c r="X661" s="283"/>
      <c r="Y661" s="24"/>
      <c r="Z661" s="24"/>
      <c r="AA661" s="24"/>
      <c r="AB661" s="24"/>
      <c r="AC661" s="283"/>
      <c r="AD661" s="283"/>
      <c r="AE661" s="283"/>
      <c r="AF661" s="283"/>
      <c r="AG661" s="285" t="s">
        <v>115</v>
      </c>
      <c r="AH661" s="205" t="s">
        <v>2010</v>
      </c>
      <c r="AI661" s="285" t="s">
        <v>2011</v>
      </c>
      <c r="AJ661" s="24"/>
      <c r="AK661" s="24"/>
      <c r="AL661" s="24"/>
    </row>
    <row r="662" spans="1:38" ht="12.75" customHeight="1">
      <c r="A662" s="22">
        <v>660</v>
      </c>
      <c r="B662" s="24" t="str">
        <f t="shared" si="0"/>
        <v>Hepatitis C test</v>
      </c>
      <c r="C662" s="24" t="str">
        <f t="shared" si="1"/>
        <v>Data Element</v>
      </c>
      <c r="D662" s="24" t="str">
        <f t="shared" si="2"/>
        <v/>
      </c>
      <c r="E662" s="24" t="s">
        <v>2013</v>
      </c>
      <c r="F662" s="24">
        <v>1</v>
      </c>
      <c r="G662" s="24" t="s">
        <v>1767</v>
      </c>
      <c r="H662" s="24"/>
      <c r="I662" s="283"/>
      <c r="J662" s="224" t="s">
        <v>2012</v>
      </c>
      <c r="K662" s="224" t="s">
        <v>2014</v>
      </c>
      <c r="L662" s="224" t="s">
        <v>2015</v>
      </c>
      <c r="M662" s="224" t="s">
        <v>202</v>
      </c>
      <c r="N662" s="224"/>
      <c r="O662" s="164"/>
      <c r="P662" s="164"/>
      <c r="Q662" s="24"/>
      <c r="R662" s="283"/>
      <c r="S662" s="224" t="s">
        <v>113</v>
      </c>
      <c r="T662" s="283"/>
      <c r="U662" s="283"/>
      <c r="V662" s="164" t="s">
        <v>226</v>
      </c>
      <c r="W662" s="24"/>
      <c r="X662" s="283"/>
      <c r="Y662" s="24"/>
      <c r="Z662" s="24"/>
      <c r="AA662" s="24"/>
      <c r="AB662" s="24"/>
      <c r="AC662" s="283"/>
      <c r="AD662" s="283"/>
      <c r="AE662" s="283"/>
      <c r="AF662" s="283"/>
      <c r="AG662" s="285" t="s">
        <v>2016</v>
      </c>
      <c r="AH662" s="205" t="s">
        <v>1773</v>
      </c>
      <c r="AI662" s="285" t="s">
        <v>1774</v>
      </c>
      <c r="AJ662" s="24"/>
      <c r="AK662" s="24"/>
      <c r="AL662" s="24"/>
    </row>
    <row r="663" spans="1:38" ht="12.75" customHeight="1">
      <c r="A663" s="22">
        <v>661</v>
      </c>
      <c r="B663" s="24" t="str">
        <f t="shared" si="0"/>
        <v>Done today</v>
      </c>
      <c r="C663" s="24" t="str">
        <f t="shared" si="1"/>
        <v>Input Option</v>
      </c>
      <c r="D663" s="24" t="str">
        <f t="shared" si="2"/>
        <v>Hepatitis C test</v>
      </c>
      <c r="E663" s="24" t="s">
        <v>2013</v>
      </c>
      <c r="F663" s="24">
        <v>1</v>
      </c>
      <c r="G663" s="24" t="s">
        <v>1767</v>
      </c>
      <c r="H663" s="24"/>
      <c r="I663" s="283"/>
      <c r="J663" s="224"/>
      <c r="K663" s="224"/>
      <c r="L663" s="224"/>
      <c r="M663" s="224"/>
      <c r="N663" s="224" t="s">
        <v>1775</v>
      </c>
      <c r="O663" s="224"/>
      <c r="P663" s="224"/>
      <c r="Q663" s="24"/>
      <c r="R663" s="283"/>
      <c r="S663" s="224"/>
      <c r="T663" s="283"/>
      <c r="U663" s="283"/>
      <c r="V663" s="164"/>
      <c r="W663" s="24"/>
      <c r="X663" s="283"/>
      <c r="Y663" s="24"/>
      <c r="Z663" s="24"/>
      <c r="AA663" s="24"/>
      <c r="AB663" s="24"/>
      <c r="AC663" s="283"/>
      <c r="AD663" s="283"/>
      <c r="AE663" s="283"/>
      <c r="AF663" s="283"/>
      <c r="AG663" s="285" t="s">
        <v>115</v>
      </c>
      <c r="AH663" s="285" t="s">
        <v>1777</v>
      </c>
      <c r="AI663" s="285" t="s">
        <v>1778</v>
      </c>
      <c r="AJ663" s="24"/>
      <c r="AK663" s="24"/>
      <c r="AL663" s="24"/>
    </row>
    <row r="664" spans="1:38" ht="12.75" customHeight="1">
      <c r="A664" s="22">
        <v>662</v>
      </c>
      <c r="B664" s="24" t="str">
        <f t="shared" si="0"/>
        <v>Done earlier</v>
      </c>
      <c r="C664" s="24" t="str">
        <f t="shared" si="1"/>
        <v>Input Option</v>
      </c>
      <c r="D664" s="24" t="str">
        <f t="shared" si="2"/>
        <v>Hepatitis C test</v>
      </c>
      <c r="E664" s="24" t="s">
        <v>2013</v>
      </c>
      <c r="F664" s="24">
        <v>1</v>
      </c>
      <c r="G664" s="24" t="s">
        <v>1767</v>
      </c>
      <c r="H664" s="24"/>
      <c r="I664" s="283"/>
      <c r="J664" s="300"/>
      <c r="K664" s="300"/>
      <c r="L664" s="300"/>
      <c r="M664" s="300"/>
      <c r="N664" s="304" t="s">
        <v>1779</v>
      </c>
      <c r="O664" s="300"/>
      <c r="P664" s="300"/>
      <c r="Q664" s="24"/>
      <c r="R664" s="283"/>
      <c r="S664" s="300"/>
      <c r="T664" s="283"/>
      <c r="U664" s="283"/>
      <c r="V664" s="301"/>
      <c r="W664" s="24"/>
      <c r="X664" s="283"/>
      <c r="Y664" s="24"/>
      <c r="Z664" s="24"/>
      <c r="AA664" s="24"/>
      <c r="AB664" s="24"/>
      <c r="AC664" s="283"/>
      <c r="AD664" s="283"/>
      <c r="AE664" s="283"/>
      <c r="AF664" s="283"/>
      <c r="AG664" s="285" t="s">
        <v>115</v>
      </c>
      <c r="AH664" s="285" t="s">
        <v>1781</v>
      </c>
      <c r="AI664" s="285" t="s">
        <v>1782</v>
      </c>
      <c r="AJ664" s="24"/>
      <c r="AK664" s="24"/>
      <c r="AL664" s="24"/>
    </row>
    <row r="665" spans="1:38" ht="12.75" customHeight="1">
      <c r="A665" s="22">
        <v>663</v>
      </c>
      <c r="B665" s="24" t="str">
        <f t="shared" si="0"/>
        <v>Ordered</v>
      </c>
      <c r="C665" s="24" t="str">
        <f t="shared" si="1"/>
        <v>Input Option</v>
      </c>
      <c r="D665" s="24" t="str">
        <f t="shared" si="2"/>
        <v>Hepatitis C test</v>
      </c>
      <c r="E665" s="24" t="s">
        <v>2013</v>
      </c>
      <c r="F665" s="24">
        <v>1</v>
      </c>
      <c r="G665" s="24" t="s">
        <v>1767</v>
      </c>
      <c r="H665" s="24"/>
      <c r="I665" s="283"/>
      <c r="J665" s="300"/>
      <c r="K665" s="300"/>
      <c r="L665" s="300"/>
      <c r="M665" s="300"/>
      <c r="N665" s="304" t="s">
        <v>1783</v>
      </c>
      <c r="O665" s="300"/>
      <c r="P665" s="300"/>
      <c r="Q665" s="24"/>
      <c r="R665" s="283"/>
      <c r="S665" s="300"/>
      <c r="T665" s="283"/>
      <c r="U665" s="283"/>
      <c r="V665" s="301"/>
      <c r="W665" s="24"/>
      <c r="X665" s="283"/>
      <c r="Y665" s="24"/>
      <c r="Z665" s="24"/>
      <c r="AA665" s="24"/>
      <c r="AB665" s="24"/>
      <c r="AC665" s="283"/>
      <c r="AD665" s="283"/>
      <c r="AE665" s="283"/>
      <c r="AF665" s="283"/>
      <c r="AG665" s="285" t="s">
        <v>115</v>
      </c>
      <c r="AH665" s="285" t="s">
        <v>1784</v>
      </c>
      <c r="AI665" s="205" t="s">
        <v>1785</v>
      </c>
      <c r="AJ665" s="24"/>
      <c r="AK665" s="24"/>
      <c r="AL665" s="24"/>
    </row>
    <row r="666" spans="1:38" ht="12.75" customHeight="1">
      <c r="A666" s="22">
        <v>664</v>
      </c>
      <c r="B666" s="24" t="str">
        <f t="shared" si="0"/>
        <v>Not done</v>
      </c>
      <c r="C666" s="24" t="str">
        <f t="shared" si="1"/>
        <v>Input Option</v>
      </c>
      <c r="D666" s="24" t="str">
        <f t="shared" si="2"/>
        <v>Hepatitis C test</v>
      </c>
      <c r="E666" s="24" t="s">
        <v>2013</v>
      </c>
      <c r="F666" s="24">
        <v>1</v>
      </c>
      <c r="G666" s="24" t="s">
        <v>1767</v>
      </c>
      <c r="H666" s="24"/>
      <c r="I666" s="283"/>
      <c r="J666" s="300"/>
      <c r="K666" s="300"/>
      <c r="L666" s="300"/>
      <c r="M666" s="300"/>
      <c r="N666" s="304" t="s">
        <v>1468</v>
      </c>
      <c r="O666" s="300"/>
      <c r="P666" s="300"/>
      <c r="Q666" s="24"/>
      <c r="R666" s="283"/>
      <c r="S666" s="300"/>
      <c r="T666" s="283"/>
      <c r="U666" s="283"/>
      <c r="V666" s="301"/>
      <c r="W666" s="24"/>
      <c r="X666" s="283"/>
      <c r="Y666" s="24"/>
      <c r="Z666" s="24"/>
      <c r="AA666" s="24"/>
      <c r="AB666" s="24"/>
      <c r="AC666" s="283"/>
      <c r="AD666" s="283"/>
      <c r="AE666" s="283"/>
      <c r="AF666" s="283"/>
      <c r="AG666" s="285" t="s">
        <v>115</v>
      </c>
      <c r="AH666" s="285" t="s">
        <v>1469</v>
      </c>
      <c r="AI666" s="205" t="s">
        <v>1470</v>
      </c>
      <c r="AJ666" s="24"/>
      <c r="AK666" s="24"/>
      <c r="AL666" s="24"/>
    </row>
    <row r="667" spans="1:38" ht="12.75" customHeight="1">
      <c r="A667" s="22">
        <v>665</v>
      </c>
      <c r="B667" s="24" t="str">
        <f t="shared" si="0"/>
        <v>Reason</v>
      </c>
      <c r="C667" s="24" t="str">
        <f t="shared" si="1"/>
        <v>Data Element</v>
      </c>
      <c r="D667" s="24" t="str">
        <f t="shared" si="2"/>
        <v/>
      </c>
      <c r="E667" s="24" t="s">
        <v>2013</v>
      </c>
      <c r="F667" s="24">
        <v>1</v>
      </c>
      <c r="G667" s="24" t="s">
        <v>1767</v>
      </c>
      <c r="H667" s="24"/>
      <c r="I667" s="283"/>
      <c r="J667" s="300" t="s">
        <v>1376</v>
      </c>
      <c r="K667" s="300" t="s">
        <v>2018</v>
      </c>
      <c r="L667" s="300" t="s">
        <v>2019</v>
      </c>
      <c r="M667" s="300" t="s">
        <v>238</v>
      </c>
      <c r="N667" s="300"/>
      <c r="O667" s="300"/>
      <c r="P667" s="300"/>
      <c r="Q667" s="24"/>
      <c r="R667" s="283"/>
      <c r="S667" s="300" t="s">
        <v>113</v>
      </c>
      <c r="T667" s="283"/>
      <c r="U667" s="283"/>
      <c r="V667" s="301" t="s">
        <v>115</v>
      </c>
      <c r="W667" s="24"/>
      <c r="X667" s="283"/>
      <c r="Y667" s="24"/>
      <c r="Z667" s="24"/>
      <c r="AA667" s="24"/>
      <c r="AB667" s="24"/>
      <c r="AC667" s="283"/>
      <c r="AD667" s="283"/>
      <c r="AE667" s="283"/>
      <c r="AF667" s="283"/>
      <c r="AG667" s="285" t="s">
        <v>2016</v>
      </c>
      <c r="AH667" s="285" t="s">
        <v>1791</v>
      </c>
      <c r="AI667" s="285" t="s">
        <v>1792</v>
      </c>
      <c r="AJ667" s="24"/>
      <c r="AK667" s="24"/>
      <c r="AL667" s="24"/>
    </row>
    <row r="668" spans="1:38" ht="12.75" customHeight="1">
      <c r="A668" s="22">
        <v>666</v>
      </c>
      <c r="B668" s="24" t="str">
        <f t="shared" si="0"/>
        <v>Stock out</v>
      </c>
      <c r="C668" s="24" t="str">
        <f t="shared" si="1"/>
        <v>Input Option</v>
      </c>
      <c r="D668" s="24" t="str">
        <f t="shared" si="2"/>
        <v>Reason</v>
      </c>
      <c r="E668" s="24" t="s">
        <v>2013</v>
      </c>
      <c r="F668" s="24">
        <v>1</v>
      </c>
      <c r="G668" s="24" t="s">
        <v>1767</v>
      </c>
      <c r="H668" s="24"/>
      <c r="I668" s="283"/>
      <c r="J668" s="293"/>
      <c r="K668" s="293"/>
      <c r="L668" s="293"/>
      <c r="M668" s="293"/>
      <c r="N668" s="304" t="s">
        <v>1909</v>
      </c>
      <c r="O668" s="293"/>
      <c r="P668" s="293"/>
      <c r="Q668" s="24"/>
      <c r="R668" s="283"/>
      <c r="S668" s="293"/>
      <c r="T668" s="283"/>
      <c r="U668" s="283"/>
      <c r="V668" s="293"/>
      <c r="W668" s="24"/>
      <c r="X668" s="283"/>
      <c r="Y668" s="24"/>
      <c r="Z668" s="24"/>
      <c r="AA668" s="24"/>
      <c r="AB668" s="24"/>
      <c r="AC668" s="283"/>
      <c r="AD668" s="283"/>
      <c r="AE668" s="283"/>
      <c r="AF668" s="283"/>
      <c r="AG668" s="294" t="s">
        <v>115</v>
      </c>
      <c r="AH668" s="294" t="s">
        <v>1910</v>
      </c>
      <c r="AI668" s="294" t="s">
        <v>1911</v>
      </c>
      <c r="AJ668" s="24"/>
      <c r="AK668" s="24"/>
      <c r="AL668" s="24"/>
    </row>
    <row r="669" spans="1:38" ht="12.75" customHeight="1">
      <c r="A669" s="22">
        <v>667</v>
      </c>
      <c r="B669" s="24" t="str">
        <f t="shared" si="0"/>
        <v>Expired stock</v>
      </c>
      <c r="C669" s="24" t="str">
        <f t="shared" si="1"/>
        <v>Input Option</v>
      </c>
      <c r="D669" s="24" t="str">
        <f t="shared" si="2"/>
        <v>Reason</v>
      </c>
      <c r="E669" s="24" t="s">
        <v>2013</v>
      </c>
      <c r="F669" s="24">
        <v>1</v>
      </c>
      <c r="G669" s="24" t="s">
        <v>1767</v>
      </c>
      <c r="H669" s="24"/>
      <c r="I669" s="283"/>
      <c r="J669" s="293"/>
      <c r="K669" s="293"/>
      <c r="L669" s="293"/>
      <c r="M669" s="293"/>
      <c r="N669" s="293" t="s">
        <v>1912</v>
      </c>
      <c r="O669" s="293"/>
      <c r="P669" s="293"/>
      <c r="Q669" s="24"/>
      <c r="R669" s="283"/>
      <c r="S669" s="293"/>
      <c r="T669" s="283"/>
      <c r="U669" s="283"/>
      <c r="V669" s="293"/>
      <c r="W669" s="24"/>
      <c r="X669" s="283"/>
      <c r="Y669" s="24"/>
      <c r="Z669" s="24"/>
      <c r="AA669" s="24"/>
      <c r="AB669" s="24"/>
      <c r="AC669" s="283"/>
      <c r="AD669" s="283"/>
      <c r="AE669" s="283"/>
      <c r="AF669" s="283"/>
      <c r="AG669" s="294" t="s">
        <v>115</v>
      </c>
      <c r="AH669" s="294" t="s">
        <v>1913</v>
      </c>
      <c r="AI669" s="294" t="s">
        <v>1914</v>
      </c>
      <c r="AJ669" s="24"/>
      <c r="AK669" s="24"/>
      <c r="AL669" s="24"/>
    </row>
    <row r="670" spans="1:38" ht="12.75" customHeight="1">
      <c r="A670" s="22">
        <v>668</v>
      </c>
      <c r="B670" s="24" t="str">
        <f t="shared" si="0"/>
        <v>Other (specify)</v>
      </c>
      <c r="C670" s="24" t="str">
        <f t="shared" si="1"/>
        <v>Input Option</v>
      </c>
      <c r="D670" s="24" t="str">
        <f t="shared" si="2"/>
        <v>Reason</v>
      </c>
      <c r="E670" s="24" t="s">
        <v>2013</v>
      </c>
      <c r="F670" s="24">
        <v>1</v>
      </c>
      <c r="G670" s="24" t="s">
        <v>1767</v>
      </c>
      <c r="H670" s="24"/>
      <c r="I670" s="283"/>
      <c r="J670" s="293"/>
      <c r="K670" s="293"/>
      <c r="L670" s="293"/>
      <c r="M670" s="293"/>
      <c r="N670" s="293" t="s">
        <v>405</v>
      </c>
      <c r="O670" s="293"/>
      <c r="P670" s="293"/>
      <c r="Q670" s="24"/>
      <c r="R670" s="283"/>
      <c r="S670" s="293"/>
      <c r="T670" s="283"/>
      <c r="U670" s="283"/>
      <c r="V670" s="293"/>
      <c r="W670" s="24"/>
      <c r="X670" s="283"/>
      <c r="Y670" s="24"/>
      <c r="Z670" s="24"/>
      <c r="AA670" s="24"/>
      <c r="AB670" s="24"/>
      <c r="AC670" s="283"/>
      <c r="AD670" s="283"/>
      <c r="AE670" s="283"/>
      <c r="AF670" s="283"/>
      <c r="AG670" s="294" t="s">
        <v>115</v>
      </c>
      <c r="AH670" s="294" t="s">
        <v>406</v>
      </c>
      <c r="AI670" s="294" t="s">
        <v>407</v>
      </c>
      <c r="AJ670" s="24"/>
      <c r="AK670" s="24"/>
      <c r="AL670" s="24"/>
    </row>
    <row r="671" spans="1:38" ht="12.75" customHeight="1">
      <c r="A671" s="22">
        <v>669</v>
      </c>
      <c r="B671" s="24" t="str">
        <f t="shared" si="0"/>
        <v>Specify</v>
      </c>
      <c r="C671" s="24" t="str">
        <f t="shared" si="1"/>
        <v>Data Element</v>
      </c>
      <c r="D671" s="24" t="str">
        <f t="shared" si="2"/>
        <v/>
      </c>
      <c r="E671" s="24" t="s">
        <v>2013</v>
      </c>
      <c r="F671" s="24">
        <v>1</v>
      </c>
      <c r="G671" s="24" t="s">
        <v>1767</v>
      </c>
      <c r="H671" s="24"/>
      <c r="I671" s="283"/>
      <c r="J671" s="293" t="s">
        <v>409</v>
      </c>
      <c r="K671" s="293" t="s">
        <v>2022</v>
      </c>
      <c r="L671" s="293" t="s">
        <v>2023</v>
      </c>
      <c r="M671" s="293" t="s">
        <v>111</v>
      </c>
      <c r="N671" s="293"/>
      <c r="O671" s="293"/>
      <c r="P671" s="293"/>
      <c r="Q671" s="24"/>
      <c r="R671" s="283"/>
      <c r="S671" s="293" t="s">
        <v>208</v>
      </c>
      <c r="T671" s="283"/>
      <c r="U671" s="283"/>
      <c r="V671" s="293" t="s">
        <v>115</v>
      </c>
      <c r="W671" s="24"/>
      <c r="X671" s="283"/>
      <c r="Y671" s="24"/>
      <c r="Z671" s="24"/>
      <c r="AA671" s="24"/>
      <c r="AB671" s="24"/>
      <c r="AC671" s="283"/>
      <c r="AD671" s="283"/>
      <c r="AE671" s="283"/>
      <c r="AF671" s="283"/>
      <c r="AG671" s="294" t="s">
        <v>2016</v>
      </c>
      <c r="AH671" s="294" t="s">
        <v>1800</v>
      </c>
      <c r="AI671" s="294" t="s">
        <v>1801</v>
      </c>
      <c r="AJ671" s="24"/>
      <c r="AK671" s="24"/>
      <c r="AL671" s="24"/>
    </row>
    <row r="672" spans="1:38" ht="12.75" customHeight="1">
      <c r="A672" s="22">
        <v>670</v>
      </c>
      <c r="B672" s="24" t="str">
        <f t="shared" si="0"/>
        <v>Hep C test date</v>
      </c>
      <c r="C672" s="24" t="str">
        <f t="shared" si="1"/>
        <v>Data Element</v>
      </c>
      <c r="D672" s="24" t="str">
        <f t="shared" si="2"/>
        <v/>
      </c>
      <c r="E672" s="24" t="s">
        <v>2013</v>
      </c>
      <c r="F672" s="24">
        <v>1</v>
      </c>
      <c r="G672" s="24" t="s">
        <v>1767</v>
      </c>
      <c r="H672" s="24"/>
      <c r="I672" s="283"/>
      <c r="J672" s="346" t="s">
        <v>2024</v>
      </c>
      <c r="K672" s="346" t="s">
        <v>2026</v>
      </c>
      <c r="L672" s="304" t="s">
        <v>2027</v>
      </c>
      <c r="M672" s="304" t="s">
        <v>140</v>
      </c>
      <c r="N672" s="293"/>
      <c r="O672" s="293"/>
      <c r="P672" s="293"/>
      <c r="Q672" s="24"/>
      <c r="R672" s="283"/>
      <c r="S672" s="346" t="s">
        <v>113</v>
      </c>
      <c r="T672" s="283"/>
      <c r="U672" s="283"/>
      <c r="V672" s="304" t="s">
        <v>115</v>
      </c>
      <c r="W672" s="24"/>
      <c r="X672" s="283"/>
      <c r="Y672" s="24"/>
      <c r="Z672" s="24"/>
      <c r="AA672" s="24"/>
      <c r="AB672" s="24"/>
      <c r="AC672" s="283"/>
      <c r="AD672" s="283"/>
      <c r="AE672" s="283"/>
      <c r="AF672" s="283"/>
      <c r="AG672" s="294" t="s">
        <v>2016</v>
      </c>
      <c r="AH672" s="294" t="s">
        <v>1804</v>
      </c>
      <c r="AI672" s="294" t="s">
        <v>1805</v>
      </c>
      <c r="AJ672" s="24"/>
      <c r="AK672" s="24"/>
      <c r="AL672" s="24"/>
    </row>
    <row r="673" spans="1:38" ht="12.75" customHeight="1">
      <c r="A673" s="22">
        <v>671</v>
      </c>
      <c r="B673" s="24" t="str">
        <f t="shared" si="0"/>
        <v>Hep C test type</v>
      </c>
      <c r="C673" s="24" t="str">
        <f t="shared" si="1"/>
        <v>Data Element</v>
      </c>
      <c r="D673" s="24" t="str">
        <f t="shared" si="2"/>
        <v/>
      </c>
      <c r="E673" s="24" t="s">
        <v>2013</v>
      </c>
      <c r="F673" s="24">
        <v>1</v>
      </c>
      <c r="G673" s="24" t="s">
        <v>1767</v>
      </c>
      <c r="H673" s="24"/>
      <c r="I673" s="283"/>
      <c r="J673" s="204" t="s">
        <v>2028</v>
      </c>
      <c r="K673" s="196" t="s">
        <v>2029</v>
      </c>
      <c r="L673" s="196" t="s">
        <v>2030</v>
      </c>
      <c r="M673" s="196" t="s">
        <v>202</v>
      </c>
      <c r="N673" s="196"/>
      <c r="O673" s="196"/>
      <c r="P673" s="196"/>
      <c r="Q673" s="24"/>
      <c r="R673" s="283"/>
      <c r="S673" s="196" t="s">
        <v>113</v>
      </c>
      <c r="T673" s="283"/>
      <c r="U673" s="283"/>
      <c r="V673" s="196" t="s">
        <v>115</v>
      </c>
      <c r="W673" s="24"/>
      <c r="X673" s="283"/>
      <c r="Y673" s="24"/>
      <c r="Z673" s="24"/>
      <c r="AA673" s="24"/>
      <c r="AB673" s="24"/>
      <c r="AC673" s="283"/>
      <c r="AD673" s="283"/>
      <c r="AE673" s="283"/>
      <c r="AF673" s="283"/>
      <c r="AG673" s="294" t="s">
        <v>115</v>
      </c>
      <c r="AH673" s="294" t="s">
        <v>2031</v>
      </c>
      <c r="AI673" s="294" t="s">
        <v>2032</v>
      </c>
      <c r="AJ673" s="24"/>
      <c r="AK673" s="24"/>
      <c r="AL673" s="24"/>
    </row>
    <row r="674" spans="1:38" ht="12.75" customHeight="1">
      <c r="A674" s="22">
        <v>672</v>
      </c>
      <c r="B674" s="24" t="str">
        <f t="shared" si="0"/>
        <v>Anti-HCV laboratory-based immunoassay (recommended)</v>
      </c>
      <c r="C674" s="24" t="str">
        <f t="shared" si="1"/>
        <v>Input Option</v>
      </c>
      <c r="D674" s="24" t="str">
        <f t="shared" si="2"/>
        <v>Hep C test type</v>
      </c>
      <c r="E674" s="24" t="s">
        <v>2013</v>
      </c>
      <c r="F674" s="24">
        <v>1</v>
      </c>
      <c r="G674" s="24" t="s">
        <v>1767</v>
      </c>
      <c r="H674" s="24"/>
      <c r="I674" s="283"/>
      <c r="J674" s="196"/>
      <c r="K674" s="196"/>
      <c r="L674" s="196"/>
      <c r="M674" s="196"/>
      <c r="N674" s="196" t="s">
        <v>2033</v>
      </c>
      <c r="O674" s="196"/>
      <c r="P674" s="196"/>
      <c r="Q674" s="24"/>
      <c r="R674" s="283"/>
      <c r="S674" s="196"/>
      <c r="T674" s="283"/>
      <c r="U674" s="283"/>
      <c r="V674" s="196"/>
      <c r="W674" s="24"/>
      <c r="X674" s="283"/>
      <c r="Y674" s="24"/>
      <c r="Z674" s="24"/>
      <c r="AA674" s="24"/>
      <c r="AB674" s="24"/>
      <c r="AC674" s="283"/>
      <c r="AD674" s="283"/>
      <c r="AE674" s="283"/>
      <c r="AF674" s="283"/>
      <c r="AG674" s="294" t="s">
        <v>115</v>
      </c>
      <c r="AH674" s="294" t="s">
        <v>2034</v>
      </c>
      <c r="AI674" s="294" t="s">
        <v>2035</v>
      </c>
      <c r="AJ674" s="24"/>
      <c r="AK674" s="24"/>
      <c r="AL674" s="24"/>
    </row>
    <row r="675" spans="1:38" ht="12.75" customHeight="1">
      <c r="A675" s="22">
        <v>673</v>
      </c>
      <c r="B675" s="24" t="str">
        <f t="shared" si="0"/>
        <v>Anti-HCV rapid diagnostic test (RDT)</v>
      </c>
      <c r="C675" s="24" t="str">
        <f t="shared" si="1"/>
        <v>Input Option</v>
      </c>
      <c r="D675" s="24" t="str">
        <f t="shared" si="2"/>
        <v>Hep C test type</v>
      </c>
      <c r="E675" s="24" t="s">
        <v>2013</v>
      </c>
      <c r="F675" s="24">
        <v>1</v>
      </c>
      <c r="G675" s="24" t="s">
        <v>1767</v>
      </c>
      <c r="H675" s="24"/>
      <c r="I675" s="283"/>
      <c r="J675" s="196"/>
      <c r="K675" s="196"/>
      <c r="L675" s="196"/>
      <c r="M675" s="196"/>
      <c r="N675" s="196" t="s">
        <v>2036</v>
      </c>
      <c r="O675" s="196"/>
      <c r="P675" s="196"/>
      <c r="Q675" s="24"/>
      <c r="R675" s="283"/>
      <c r="S675" s="196"/>
      <c r="T675" s="283"/>
      <c r="U675" s="283"/>
      <c r="V675" s="196"/>
      <c r="W675" s="24"/>
      <c r="X675" s="283"/>
      <c r="Y675" s="24"/>
      <c r="Z675" s="24"/>
      <c r="AA675" s="24"/>
      <c r="AB675" s="24"/>
      <c r="AC675" s="283"/>
      <c r="AD675" s="283"/>
      <c r="AE675" s="283"/>
      <c r="AF675" s="283"/>
      <c r="AG675" s="294" t="s">
        <v>115</v>
      </c>
      <c r="AH675" s="294" t="s">
        <v>2037</v>
      </c>
      <c r="AI675" s="294" t="s">
        <v>2038</v>
      </c>
      <c r="AJ675" s="24"/>
      <c r="AK675" s="24"/>
      <c r="AL675" s="24"/>
    </row>
    <row r="676" spans="1:38" ht="12.75" customHeight="1">
      <c r="A676" s="22">
        <v>674</v>
      </c>
      <c r="B676" s="24" t="str">
        <f t="shared" si="0"/>
        <v>Dried Blood Spot (DBS) anti-HCV test</v>
      </c>
      <c r="C676" s="24" t="str">
        <f t="shared" si="1"/>
        <v>Input Option</v>
      </c>
      <c r="D676" s="24" t="str">
        <f t="shared" si="2"/>
        <v>Hep C test type</v>
      </c>
      <c r="E676" s="24" t="s">
        <v>2013</v>
      </c>
      <c r="F676" s="24">
        <v>1</v>
      </c>
      <c r="G676" s="24" t="s">
        <v>1767</v>
      </c>
      <c r="H676" s="24"/>
      <c r="I676" s="283"/>
      <c r="J676" s="196"/>
      <c r="K676" s="196"/>
      <c r="L676" s="196"/>
      <c r="M676" s="196"/>
      <c r="N676" s="196" t="s">
        <v>2039</v>
      </c>
      <c r="O676" s="196"/>
      <c r="P676" s="196"/>
      <c r="Q676" s="24"/>
      <c r="R676" s="283"/>
      <c r="S676" s="196"/>
      <c r="T676" s="283"/>
      <c r="U676" s="283"/>
      <c r="V676" s="196"/>
      <c r="W676" s="24"/>
      <c r="X676" s="283"/>
      <c r="Y676" s="24"/>
      <c r="Z676" s="24"/>
      <c r="AA676" s="24"/>
      <c r="AB676" s="24"/>
      <c r="AC676" s="283"/>
      <c r="AD676" s="283"/>
      <c r="AE676" s="283"/>
      <c r="AF676" s="283"/>
      <c r="AG676" s="294" t="s">
        <v>115</v>
      </c>
      <c r="AH676" s="294" t="s">
        <v>2040</v>
      </c>
      <c r="AI676" s="294" t="s">
        <v>2041</v>
      </c>
      <c r="AJ676" s="24"/>
      <c r="AK676" s="24"/>
      <c r="AL676" s="24"/>
    </row>
    <row r="677" spans="1:38" ht="12.75" customHeight="1">
      <c r="A677" s="22">
        <v>675</v>
      </c>
      <c r="B677" s="24" t="str">
        <f t="shared" si="0"/>
        <v>Anti-HCV laboratory-based immunoassay (recommended)</v>
      </c>
      <c r="C677" s="24" t="str">
        <f t="shared" si="1"/>
        <v>Data Element</v>
      </c>
      <c r="D677" s="24" t="str">
        <f t="shared" si="2"/>
        <v/>
      </c>
      <c r="E677" s="24" t="s">
        <v>2013</v>
      </c>
      <c r="F677" s="24">
        <v>1</v>
      </c>
      <c r="G677" s="24" t="s">
        <v>1767</v>
      </c>
      <c r="H677" s="24"/>
      <c r="I677" s="283"/>
      <c r="J677" s="224" t="s">
        <v>2033</v>
      </c>
      <c r="K677" s="224" t="s">
        <v>2042</v>
      </c>
      <c r="L677" s="224" t="s">
        <v>2043</v>
      </c>
      <c r="M677" s="224" t="s">
        <v>202</v>
      </c>
      <c r="N677" s="224"/>
      <c r="O677" s="164"/>
      <c r="P677" s="164"/>
      <c r="Q677" s="24"/>
      <c r="R677" s="283"/>
      <c r="S677" s="204" t="s">
        <v>113</v>
      </c>
      <c r="T677" s="283"/>
      <c r="U677" s="283"/>
      <c r="V677" s="164" t="s">
        <v>115</v>
      </c>
      <c r="W677" s="24"/>
      <c r="X677" s="283"/>
      <c r="Y677" s="24"/>
      <c r="Z677" s="24"/>
      <c r="AA677" s="24"/>
      <c r="AB677" s="24"/>
      <c r="AC677" s="283"/>
      <c r="AD677" s="283"/>
      <c r="AE677" s="283"/>
      <c r="AF677" s="283"/>
      <c r="AG677" s="285" t="s">
        <v>115</v>
      </c>
      <c r="AH677" s="294" t="s">
        <v>2034</v>
      </c>
      <c r="AI677" s="294" t="s">
        <v>2035</v>
      </c>
      <c r="AJ677" s="24"/>
      <c r="AK677" s="24"/>
      <c r="AL677" s="24"/>
    </row>
    <row r="678" spans="1:38" ht="12.75" customHeight="1">
      <c r="A678" s="22">
        <v>676</v>
      </c>
      <c r="B678" s="24" t="str">
        <f t="shared" si="0"/>
        <v>Positive</v>
      </c>
      <c r="C678" s="24" t="str">
        <f t="shared" si="1"/>
        <v>Input Option</v>
      </c>
      <c r="D678" s="24" t="str">
        <f t="shared" si="2"/>
        <v>Anti-HCV laboratory-based immunoassay (recommended)</v>
      </c>
      <c r="E678" s="24" t="s">
        <v>2013</v>
      </c>
      <c r="F678" s="24">
        <v>1</v>
      </c>
      <c r="G678" s="24" t="s">
        <v>1767</v>
      </c>
      <c r="H678" s="24"/>
      <c r="I678" s="283"/>
      <c r="J678" s="164"/>
      <c r="K678" s="224"/>
      <c r="L678" s="224"/>
      <c r="M678" s="224"/>
      <c r="N678" s="224" t="s">
        <v>1122</v>
      </c>
      <c r="O678" s="164"/>
      <c r="P678" s="164"/>
      <c r="Q678" s="24"/>
      <c r="R678" s="283"/>
      <c r="S678" s="204"/>
      <c r="T678" s="283"/>
      <c r="U678" s="283"/>
      <c r="V678" s="164"/>
      <c r="W678" s="24"/>
      <c r="X678" s="283"/>
      <c r="Y678" s="24"/>
      <c r="Z678" s="24"/>
      <c r="AA678" s="24"/>
      <c r="AB678" s="24"/>
      <c r="AC678" s="283"/>
      <c r="AD678" s="283"/>
      <c r="AE678" s="283"/>
      <c r="AF678" s="283"/>
      <c r="AG678" s="285" t="s">
        <v>115</v>
      </c>
      <c r="AH678" s="285" t="s">
        <v>1897</v>
      </c>
      <c r="AI678" s="285" t="s">
        <v>1125</v>
      </c>
      <c r="AJ678" s="24"/>
      <c r="AK678" s="24"/>
      <c r="AL678" s="24"/>
    </row>
    <row r="679" spans="1:38" ht="12.75" customHeight="1">
      <c r="A679" s="22">
        <v>677</v>
      </c>
      <c r="B679" s="24" t="str">
        <f t="shared" si="0"/>
        <v>Negative</v>
      </c>
      <c r="C679" s="24" t="str">
        <f t="shared" si="1"/>
        <v>Input Option</v>
      </c>
      <c r="D679" s="24" t="str">
        <f t="shared" si="2"/>
        <v>Anti-HCV laboratory-based immunoassay (recommended)</v>
      </c>
      <c r="E679" s="24" t="s">
        <v>2013</v>
      </c>
      <c r="F679" s="24">
        <v>1</v>
      </c>
      <c r="G679" s="24" t="s">
        <v>1767</v>
      </c>
      <c r="H679" s="24"/>
      <c r="I679" s="283"/>
      <c r="J679" s="164"/>
      <c r="K679" s="224"/>
      <c r="L679" s="224"/>
      <c r="M679" s="224"/>
      <c r="N679" s="224" t="s">
        <v>1126</v>
      </c>
      <c r="O679" s="164"/>
      <c r="P679" s="164"/>
      <c r="Q679" s="24"/>
      <c r="R679" s="283"/>
      <c r="S679" s="204"/>
      <c r="T679" s="283"/>
      <c r="U679" s="283"/>
      <c r="V679" s="164"/>
      <c r="W679" s="24"/>
      <c r="X679" s="283"/>
      <c r="Y679" s="24"/>
      <c r="Z679" s="24"/>
      <c r="AA679" s="24"/>
      <c r="AB679" s="24"/>
      <c r="AC679" s="283"/>
      <c r="AD679" s="283"/>
      <c r="AE679" s="283"/>
      <c r="AF679" s="283"/>
      <c r="AG679" s="285" t="s">
        <v>115</v>
      </c>
      <c r="AH679" s="285" t="s">
        <v>1128</v>
      </c>
      <c r="AI679" s="285" t="s">
        <v>1129</v>
      </c>
      <c r="AJ679" s="24"/>
      <c r="AK679" s="24"/>
      <c r="AL679" s="24"/>
    </row>
    <row r="680" spans="1:38" ht="12.75" customHeight="1">
      <c r="A680" s="22">
        <v>678</v>
      </c>
      <c r="B680" s="24" t="str">
        <f t="shared" si="0"/>
        <v>Anti-HCV rapid diagnostic test (RDT)</v>
      </c>
      <c r="C680" s="24" t="str">
        <f t="shared" si="1"/>
        <v>Data Element</v>
      </c>
      <c r="D680" s="24" t="str">
        <f t="shared" si="2"/>
        <v/>
      </c>
      <c r="E680" s="24" t="s">
        <v>2013</v>
      </c>
      <c r="F680" s="24">
        <v>1</v>
      </c>
      <c r="G680" s="24" t="s">
        <v>1767</v>
      </c>
      <c r="H680" s="24"/>
      <c r="I680" s="283"/>
      <c r="J680" s="164" t="s">
        <v>2036</v>
      </c>
      <c r="K680" s="224" t="s">
        <v>2045</v>
      </c>
      <c r="L680" s="224" t="s">
        <v>2046</v>
      </c>
      <c r="M680" s="224" t="s">
        <v>202</v>
      </c>
      <c r="N680" s="224"/>
      <c r="O680" s="164"/>
      <c r="P680" s="164"/>
      <c r="Q680" s="24"/>
      <c r="R680" s="283"/>
      <c r="S680" s="204" t="s">
        <v>113</v>
      </c>
      <c r="T680" s="283"/>
      <c r="U680" s="283"/>
      <c r="V680" s="164" t="s">
        <v>115</v>
      </c>
      <c r="W680" s="24"/>
      <c r="X680" s="283"/>
      <c r="Y680" s="24"/>
      <c r="Z680" s="24"/>
      <c r="AA680" s="24"/>
      <c r="AB680" s="24"/>
      <c r="AC680" s="283"/>
      <c r="AD680" s="283"/>
      <c r="AE680" s="283"/>
      <c r="AF680" s="283"/>
      <c r="AG680" s="285" t="s">
        <v>115</v>
      </c>
      <c r="AH680" s="294" t="s">
        <v>2037</v>
      </c>
      <c r="AI680" s="294" t="s">
        <v>2038</v>
      </c>
      <c r="AJ680" s="24"/>
      <c r="AK680" s="24"/>
      <c r="AL680" s="24"/>
    </row>
    <row r="681" spans="1:38" ht="12.75" customHeight="1">
      <c r="A681" s="22">
        <v>679</v>
      </c>
      <c r="B681" s="24" t="str">
        <f t="shared" si="0"/>
        <v>Positive</v>
      </c>
      <c r="C681" s="24" t="str">
        <f t="shared" si="1"/>
        <v>Input Option</v>
      </c>
      <c r="D681" s="24" t="str">
        <f t="shared" si="2"/>
        <v>Anti-HCV rapid diagnostic test (RDT)</v>
      </c>
      <c r="E681" s="24" t="s">
        <v>2013</v>
      </c>
      <c r="F681" s="24">
        <v>1</v>
      </c>
      <c r="G681" s="24" t="s">
        <v>1767</v>
      </c>
      <c r="H681" s="24"/>
      <c r="I681" s="283"/>
      <c r="J681" s="224"/>
      <c r="K681" s="224"/>
      <c r="L681" s="224"/>
      <c r="M681" s="224"/>
      <c r="N681" s="224" t="s">
        <v>1122</v>
      </c>
      <c r="O681" s="164"/>
      <c r="P681" s="164"/>
      <c r="Q681" s="24"/>
      <c r="R681" s="283"/>
      <c r="S681" s="204"/>
      <c r="T681" s="283"/>
      <c r="U681" s="283"/>
      <c r="V681" s="164"/>
      <c r="W681" s="24"/>
      <c r="X681" s="283"/>
      <c r="Y681" s="24"/>
      <c r="Z681" s="24"/>
      <c r="AA681" s="24"/>
      <c r="AB681" s="24"/>
      <c r="AC681" s="283"/>
      <c r="AD681" s="283"/>
      <c r="AE681" s="283"/>
      <c r="AF681" s="283"/>
      <c r="AG681" s="285" t="s">
        <v>115</v>
      </c>
      <c r="AH681" s="285" t="s">
        <v>1897</v>
      </c>
      <c r="AI681" s="285" t="s">
        <v>1125</v>
      </c>
      <c r="AJ681" s="24"/>
      <c r="AK681" s="24"/>
      <c r="AL681" s="24"/>
    </row>
    <row r="682" spans="1:38" ht="12.75" customHeight="1">
      <c r="A682" s="22">
        <v>680</v>
      </c>
      <c r="B682" s="24" t="str">
        <f t="shared" si="0"/>
        <v>Negative</v>
      </c>
      <c r="C682" s="24" t="str">
        <f t="shared" si="1"/>
        <v>Input Option</v>
      </c>
      <c r="D682" s="24" t="str">
        <f t="shared" si="2"/>
        <v>Anti-HCV rapid diagnostic test (RDT)</v>
      </c>
      <c r="E682" s="24" t="s">
        <v>2013</v>
      </c>
      <c r="F682" s="24">
        <v>1</v>
      </c>
      <c r="G682" s="24" t="s">
        <v>1767</v>
      </c>
      <c r="H682" s="24"/>
      <c r="I682" s="283"/>
      <c r="J682" s="224"/>
      <c r="K682" s="224"/>
      <c r="L682" s="224"/>
      <c r="M682" s="224"/>
      <c r="N682" s="224" t="s">
        <v>1126</v>
      </c>
      <c r="O682" s="164"/>
      <c r="P682" s="164"/>
      <c r="Q682" s="24"/>
      <c r="R682" s="283"/>
      <c r="S682" s="204"/>
      <c r="T682" s="283"/>
      <c r="U682" s="283"/>
      <c r="V682" s="164"/>
      <c r="W682" s="24"/>
      <c r="X682" s="283"/>
      <c r="Y682" s="24"/>
      <c r="Z682" s="24"/>
      <c r="AA682" s="24"/>
      <c r="AB682" s="24"/>
      <c r="AC682" s="283"/>
      <c r="AD682" s="283"/>
      <c r="AE682" s="283"/>
      <c r="AF682" s="283"/>
      <c r="AG682" s="285" t="s">
        <v>115</v>
      </c>
      <c r="AH682" s="285" t="s">
        <v>1128</v>
      </c>
      <c r="AI682" s="285" t="s">
        <v>1129</v>
      </c>
      <c r="AJ682" s="24"/>
      <c r="AK682" s="24"/>
      <c r="AL682" s="24"/>
    </row>
    <row r="683" spans="1:38" ht="12.75" customHeight="1">
      <c r="A683" s="22">
        <v>681</v>
      </c>
      <c r="B683" s="24" t="str">
        <f t="shared" si="0"/>
        <v>Dried Blood Spot (DBS) anti-HCV test</v>
      </c>
      <c r="C683" s="24" t="str">
        <f t="shared" si="1"/>
        <v>Data Element</v>
      </c>
      <c r="D683" s="24" t="str">
        <f t="shared" si="2"/>
        <v/>
      </c>
      <c r="E683" s="24" t="s">
        <v>2013</v>
      </c>
      <c r="F683" s="24">
        <v>1</v>
      </c>
      <c r="G683" s="24" t="s">
        <v>1767</v>
      </c>
      <c r="H683" s="24"/>
      <c r="I683" s="164"/>
      <c r="J683" s="224" t="s">
        <v>2039</v>
      </c>
      <c r="K683" s="224" t="s">
        <v>2047</v>
      </c>
      <c r="L683" s="224" t="s">
        <v>2048</v>
      </c>
      <c r="M683" s="224" t="s">
        <v>202</v>
      </c>
      <c r="N683" s="224"/>
      <c r="O683" s="164"/>
      <c r="P683" s="164"/>
      <c r="Q683" s="24"/>
      <c r="R683" s="164"/>
      <c r="S683" s="204" t="s">
        <v>113</v>
      </c>
      <c r="T683" s="164"/>
      <c r="U683" s="164"/>
      <c r="V683" s="164" t="s">
        <v>115</v>
      </c>
      <c r="W683" s="24"/>
      <c r="X683" s="164"/>
      <c r="Y683" s="24"/>
      <c r="Z683" s="24"/>
      <c r="AA683" s="24"/>
      <c r="AB683" s="24"/>
      <c r="AC683" s="164"/>
      <c r="AD683" s="164"/>
      <c r="AE683" s="164"/>
      <c r="AF683" s="164"/>
      <c r="AG683" s="294" t="s">
        <v>115</v>
      </c>
      <c r="AH683" s="294" t="s">
        <v>2040</v>
      </c>
      <c r="AI683" s="294" t="s">
        <v>2041</v>
      </c>
      <c r="AJ683" s="24"/>
      <c r="AK683" s="24"/>
      <c r="AL683" s="24"/>
    </row>
    <row r="684" spans="1:38" ht="12.75" customHeight="1">
      <c r="A684" s="22">
        <v>682</v>
      </c>
      <c r="B684" s="24" t="str">
        <f t="shared" si="0"/>
        <v>Positive</v>
      </c>
      <c r="C684" s="24" t="str">
        <f t="shared" si="1"/>
        <v>Input Option</v>
      </c>
      <c r="D684" s="24" t="str">
        <f t="shared" si="2"/>
        <v>Dried Blood Spot (DBS) anti-HCV test</v>
      </c>
      <c r="E684" s="24" t="s">
        <v>2013</v>
      </c>
      <c r="F684" s="24">
        <v>1</v>
      </c>
      <c r="G684" s="24" t="s">
        <v>1767</v>
      </c>
      <c r="H684" s="24"/>
      <c r="I684" s="283"/>
      <c r="J684" s="224"/>
      <c r="K684" s="224"/>
      <c r="L684" s="224"/>
      <c r="M684" s="224"/>
      <c r="N684" s="224" t="s">
        <v>1122</v>
      </c>
      <c r="O684" s="164"/>
      <c r="P684" s="164"/>
      <c r="Q684" s="24"/>
      <c r="R684" s="283"/>
      <c r="S684" s="204"/>
      <c r="T684" s="283"/>
      <c r="U684" s="283"/>
      <c r="V684" s="164"/>
      <c r="W684" s="24"/>
      <c r="X684" s="283"/>
      <c r="Y684" s="24"/>
      <c r="Z684" s="24"/>
      <c r="AA684" s="24"/>
      <c r="AB684" s="24"/>
      <c r="AC684" s="283"/>
      <c r="AD684" s="283"/>
      <c r="AE684" s="283"/>
      <c r="AF684" s="283"/>
      <c r="AG684" s="285" t="s">
        <v>115</v>
      </c>
      <c r="AH684" s="285" t="s">
        <v>1897</v>
      </c>
      <c r="AI684" s="285" t="s">
        <v>1125</v>
      </c>
      <c r="AJ684" s="24"/>
      <c r="AK684" s="24"/>
      <c r="AL684" s="24"/>
    </row>
    <row r="685" spans="1:38" ht="12.75" customHeight="1">
      <c r="A685" s="22">
        <v>683</v>
      </c>
      <c r="B685" s="24" t="str">
        <f t="shared" si="0"/>
        <v>Negative</v>
      </c>
      <c r="C685" s="24" t="str">
        <f t="shared" si="1"/>
        <v>Input Option</v>
      </c>
      <c r="D685" s="24" t="str">
        <f t="shared" si="2"/>
        <v>Dried Blood Spot (DBS) anti-HCV test</v>
      </c>
      <c r="E685" s="24" t="s">
        <v>2013</v>
      </c>
      <c r="F685" s="24">
        <v>1</v>
      </c>
      <c r="G685" s="24" t="s">
        <v>1767</v>
      </c>
      <c r="H685" s="24"/>
      <c r="I685" s="283"/>
      <c r="J685" s="224"/>
      <c r="K685" s="224"/>
      <c r="L685" s="224"/>
      <c r="M685" s="224"/>
      <c r="N685" s="224" t="s">
        <v>1126</v>
      </c>
      <c r="O685" s="164"/>
      <c r="P685" s="164"/>
      <c r="Q685" s="24"/>
      <c r="R685" s="283"/>
      <c r="S685" s="204"/>
      <c r="T685" s="283"/>
      <c r="U685" s="283"/>
      <c r="V685" s="164"/>
      <c r="W685" s="24"/>
      <c r="X685" s="283"/>
      <c r="Y685" s="24"/>
      <c r="Z685" s="24"/>
      <c r="AA685" s="24"/>
      <c r="AB685" s="24"/>
      <c r="AC685" s="283"/>
      <c r="AD685" s="283"/>
      <c r="AE685" s="283"/>
      <c r="AF685" s="283"/>
      <c r="AG685" s="285" t="s">
        <v>115</v>
      </c>
      <c r="AH685" s="285" t="s">
        <v>1128</v>
      </c>
      <c r="AI685" s="285" t="s">
        <v>1129</v>
      </c>
      <c r="AJ685" s="24"/>
      <c r="AK685" s="24"/>
      <c r="AL685" s="24"/>
    </row>
    <row r="686" spans="1:38" ht="12.75" customHeight="1">
      <c r="A686" s="22">
        <v>684</v>
      </c>
      <c r="B686" s="24" t="str">
        <f t="shared" si="0"/>
        <v>hepc_positive</v>
      </c>
      <c r="C686" s="24" t="str">
        <f t="shared" si="1"/>
        <v>Calculation</v>
      </c>
      <c r="D686" s="24" t="str">
        <f t="shared" si="2"/>
        <v/>
      </c>
      <c r="E686" s="24" t="s">
        <v>2013</v>
      </c>
      <c r="F686" s="24">
        <v>1</v>
      </c>
      <c r="G686" s="24" t="s">
        <v>1767</v>
      </c>
      <c r="H686" s="24"/>
      <c r="I686" s="283"/>
      <c r="J686" s="297" t="s">
        <v>2051</v>
      </c>
      <c r="K686" s="297" t="s">
        <v>2050</v>
      </c>
      <c r="L686" s="297" t="s">
        <v>2052</v>
      </c>
      <c r="M686" s="297" t="s">
        <v>65</v>
      </c>
      <c r="N686" s="225"/>
      <c r="O686" s="297" t="s">
        <v>2053</v>
      </c>
      <c r="P686" s="225"/>
      <c r="Q686" s="24"/>
      <c r="R686" s="283"/>
      <c r="S686" s="297" t="s">
        <v>115</v>
      </c>
      <c r="T686" s="283"/>
      <c r="U686" s="283"/>
      <c r="V686" s="298" t="s">
        <v>115</v>
      </c>
      <c r="W686" s="24"/>
      <c r="X686" s="283"/>
      <c r="Y686" s="24"/>
      <c r="Z686" s="24"/>
      <c r="AA686" s="24"/>
      <c r="AB686" s="24"/>
      <c r="AC686" s="283"/>
      <c r="AD686" s="283"/>
      <c r="AE686" s="283"/>
      <c r="AF686" s="283"/>
      <c r="AG686" s="285" t="s">
        <v>115</v>
      </c>
      <c r="AH686" s="205" t="s">
        <v>2054</v>
      </c>
      <c r="AI686" s="285" t="s">
        <v>2055</v>
      </c>
      <c r="AJ686" s="24"/>
      <c r="AK686" s="24"/>
      <c r="AL686" s="24"/>
    </row>
    <row r="687" spans="1:38" ht="12.75" customHeight="1">
      <c r="A687" s="22">
        <v>685</v>
      </c>
      <c r="B687" s="24" t="str">
        <f t="shared" si="0"/>
        <v>Syphilis test</v>
      </c>
      <c r="C687" s="24" t="str">
        <f t="shared" si="1"/>
        <v>Data Element</v>
      </c>
      <c r="D687" s="24" t="str">
        <f t="shared" si="2"/>
        <v/>
      </c>
      <c r="E687" s="24" t="s">
        <v>2057</v>
      </c>
      <c r="F687" s="24">
        <v>1</v>
      </c>
      <c r="G687" s="24" t="s">
        <v>1767</v>
      </c>
      <c r="H687" s="24"/>
      <c r="I687" s="283"/>
      <c r="J687" s="224" t="s">
        <v>2056</v>
      </c>
      <c r="K687" s="224" t="s">
        <v>2058</v>
      </c>
      <c r="L687" s="224" t="s">
        <v>2059</v>
      </c>
      <c r="M687" s="224" t="s">
        <v>202</v>
      </c>
      <c r="N687" s="224"/>
      <c r="O687" s="164"/>
      <c r="P687" s="164"/>
      <c r="Q687" s="24"/>
      <c r="R687" s="283"/>
      <c r="S687" s="224" t="s">
        <v>113</v>
      </c>
      <c r="T687" s="283"/>
      <c r="U687" s="283"/>
      <c r="V687" s="164" t="s">
        <v>1901</v>
      </c>
      <c r="W687" s="24"/>
      <c r="X687" s="283"/>
      <c r="Y687" s="24"/>
      <c r="Z687" s="24"/>
      <c r="AA687" s="24"/>
      <c r="AB687" s="24"/>
      <c r="AC687" s="283"/>
      <c r="AD687" s="283"/>
      <c r="AE687" s="283"/>
      <c r="AF687" s="283"/>
      <c r="AG687" s="285" t="s">
        <v>2060</v>
      </c>
      <c r="AH687" s="205" t="s">
        <v>1773</v>
      </c>
      <c r="AI687" s="285" t="s">
        <v>1774</v>
      </c>
      <c r="AJ687" s="24"/>
      <c r="AK687" s="24"/>
      <c r="AL687" s="24"/>
    </row>
    <row r="688" spans="1:38" ht="12.75" customHeight="1">
      <c r="A688" s="22">
        <v>686</v>
      </c>
      <c r="B688" s="24" t="str">
        <f t="shared" si="0"/>
        <v>Done today</v>
      </c>
      <c r="C688" s="24" t="str">
        <f t="shared" si="1"/>
        <v>Input Option</v>
      </c>
      <c r="D688" s="24" t="str">
        <f t="shared" si="2"/>
        <v>Syphilis test</v>
      </c>
      <c r="E688" s="24" t="s">
        <v>2057</v>
      </c>
      <c r="F688" s="24">
        <v>1</v>
      </c>
      <c r="G688" s="24" t="s">
        <v>1767</v>
      </c>
      <c r="H688" s="24"/>
      <c r="I688" s="283"/>
      <c r="J688" s="300"/>
      <c r="K688" s="300"/>
      <c r="L688" s="300"/>
      <c r="M688" s="300"/>
      <c r="N688" s="300" t="s">
        <v>1775</v>
      </c>
      <c r="O688" s="301"/>
      <c r="P688" s="301"/>
      <c r="Q688" s="24"/>
      <c r="R688" s="283"/>
      <c r="S688" s="300"/>
      <c r="T688" s="283"/>
      <c r="U688" s="283"/>
      <c r="V688" s="293"/>
      <c r="W688" s="24"/>
      <c r="X688" s="283"/>
      <c r="Y688" s="24"/>
      <c r="Z688" s="24"/>
      <c r="AA688" s="24"/>
      <c r="AB688" s="24"/>
      <c r="AC688" s="283"/>
      <c r="AD688" s="283"/>
      <c r="AE688" s="283"/>
      <c r="AF688" s="283"/>
      <c r="AG688" s="285" t="s">
        <v>115</v>
      </c>
      <c r="AH688" s="285" t="s">
        <v>1777</v>
      </c>
      <c r="AI688" s="285" t="s">
        <v>1778</v>
      </c>
      <c r="AJ688" s="24"/>
      <c r="AK688" s="24"/>
      <c r="AL688" s="24"/>
    </row>
    <row r="689" spans="1:38" ht="12.75" customHeight="1">
      <c r="A689" s="22">
        <v>687</v>
      </c>
      <c r="B689" s="24" t="str">
        <f t="shared" si="0"/>
        <v>Done earlier</v>
      </c>
      <c r="C689" s="24" t="str">
        <f t="shared" si="1"/>
        <v>Input Option</v>
      </c>
      <c r="D689" s="24" t="str">
        <f t="shared" si="2"/>
        <v>Syphilis test</v>
      </c>
      <c r="E689" s="24" t="s">
        <v>2057</v>
      </c>
      <c r="F689" s="24">
        <v>1</v>
      </c>
      <c r="G689" s="24" t="s">
        <v>1767</v>
      </c>
      <c r="H689" s="24"/>
      <c r="I689" s="283"/>
      <c r="J689" s="300"/>
      <c r="K689" s="300"/>
      <c r="L689" s="300"/>
      <c r="M689" s="300"/>
      <c r="N689" s="304" t="s">
        <v>1779</v>
      </c>
      <c r="O689" s="301"/>
      <c r="P689" s="301"/>
      <c r="Q689" s="24"/>
      <c r="R689" s="283"/>
      <c r="S689" s="300"/>
      <c r="T689" s="283"/>
      <c r="U689" s="283"/>
      <c r="V689" s="293"/>
      <c r="W689" s="24"/>
      <c r="X689" s="283"/>
      <c r="Y689" s="24"/>
      <c r="Z689" s="24"/>
      <c r="AA689" s="24"/>
      <c r="AB689" s="24"/>
      <c r="AC689" s="283"/>
      <c r="AD689" s="283"/>
      <c r="AE689" s="283"/>
      <c r="AF689" s="283"/>
      <c r="AG689" s="285" t="s">
        <v>115</v>
      </c>
      <c r="AH689" s="285" t="s">
        <v>1781</v>
      </c>
      <c r="AI689" s="285" t="s">
        <v>1782</v>
      </c>
      <c r="AJ689" s="24"/>
      <c r="AK689" s="24"/>
      <c r="AL689" s="24"/>
    </row>
    <row r="690" spans="1:38" ht="12.75" customHeight="1">
      <c r="A690" s="22">
        <v>688</v>
      </c>
      <c r="B690" s="24" t="str">
        <f t="shared" si="0"/>
        <v>Ordered</v>
      </c>
      <c r="C690" s="24" t="str">
        <f t="shared" si="1"/>
        <v>Input Option</v>
      </c>
      <c r="D690" s="24" t="str">
        <f t="shared" si="2"/>
        <v>Syphilis test</v>
      </c>
      <c r="E690" s="24" t="s">
        <v>2057</v>
      </c>
      <c r="F690" s="24">
        <v>1</v>
      </c>
      <c r="G690" s="24" t="s">
        <v>1767</v>
      </c>
      <c r="H690" s="24"/>
      <c r="I690" s="283"/>
      <c r="J690" s="300"/>
      <c r="K690" s="300"/>
      <c r="L690" s="300"/>
      <c r="M690" s="300"/>
      <c r="N690" s="304" t="s">
        <v>1783</v>
      </c>
      <c r="O690" s="301"/>
      <c r="P690" s="301"/>
      <c r="Q690" s="24"/>
      <c r="R690" s="283"/>
      <c r="S690" s="300"/>
      <c r="T690" s="283"/>
      <c r="U690" s="283"/>
      <c r="V690" s="293"/>
      <c r="W690" s="24"/>
      <c r="X690" s="283"/>
      <c r="Y690" s="24"/>
      <c r="Z690" s="24"/>
      <c r="AA690" s="24"/>
      <c r="AB690" s="24"/>
      <c r="AC690" s="283"/>
      <c r="AD690" s="283"/>
      <c r="AE690" s="283"/>
      <c r="AF690" s="283"/>
      <c r="AG690" s="285" t="s">
        <v>115</v>
      </c>
      <c r="AH690" s="285" t="s">
        <v>1784</v>
      </c>
      <c r="AI690" s="205" t="s">
        <v>1785</v>
      </c>
      <c r="AJ690" s="24"/>
      <c r="AK690" s="24"/>
      <c r="AL690" s="24"/>
    </row>
    <row r="691" spans="1:38" ht="12.75" customHeight="1">
      <c r="A691" s="22">
        <v>689</v>
      </c>
      <c r="B691" s="24" t="str">
        <f t="shared" si="0"/>
        <v>Not done</v>
      </c>
      <c r="C691" s="24" t="str">
        <f t="shared" si="1"/>
        <v>Input Option</v>
      </c>
      <c r="D691" s="24" t="str">
        <f t="shared" si="2"/>
        <v>Syphilis test</v>
      </c>
      <c r="E691" s="24" t="s">
        <v>2057</v>
      </c>
      <c r="F691" s="24">
        <v>1</v>
      </c>
      <c r="G691" s="24" t="s">
        <v>1767</v>
      </c>
      <c r="H691" s="24"/>
      <c r="I691" s="283"/>
      <c r="J691" s="300"/>
      <c r="K691" s="300"/>
      <c r="L691" s="300"/>
      <c r="M691" s="300"/>
      <c r="N691" s="304" t="s">
        <v>1468</v>
      </c>
      <c r="O691" s="301"/>
      <c r="P691" s="301"/>
      <c r="Q691" s="24"/>
      <c r="R691" s="283"/>
      <c r="S691" s="300"/>
      <c r="T691" s="283"/>
      <c r="U691" s="283"/>
      <c r="V691" s="293"/>
      <c r="W691" s="24"/>
      <c r="X691" s="283"/>
      <c r="Y691" s="24"/>
      <c r="Z691" s="24"/>
      <c r="AA691" s="24"/>
      <c r="AB691" s="24"/>
      <c r="AC691" s="283"/>
      <c r="AD691" s="283"/>
      <c r="AE691" s="283"/>
      <c r="AF691" s="283"/>
      <c r="AG691" s="285" t="s">
        <v>115</v>
      </c>
      <c r="AH691" s="285" t="s">
        <v>1469</v>
      </c>
      <c r="AI691" s="205" t="s">
        <v>1470</v>
      </c>
      <c r="AJ691" s="24"/>
      <c r="AK691" s="24"/>
      <c r="AL691" s="24"/>
    </row>
    <row r="692" spans="1:38" ht="12.75" customHeight="1">
      <c r="A692" s="22">
        <v>690</v>
      </c>
      <c r="B692" s="24" t="str">
        <f t="shared" si="0"/>
        <v>Reason</v>
      </c>
      <c r="C692" s="24" t="str">
        <f t="shared" si="1"/>
        <v>Data Element</v>
      </c>
      <c r="D692" s="24" t="str">
        <f t="shared" si="2"/>
        <v/>
      </c>
      <c r="E692" s="24" t="s">
        <v>2057</v>
      </c>
      <c r="F692" s="24">
        <v>1</v>
      </c>
      <c r="G692" s="24" t="s">
        <v>1767</v>
      </c>
      <c r="H692" s="24"/>
      <c r="I692" s="283"/>
      <c r="J692" s="300" t="s">
        <v>1376</v>
      </c>
      <c r="K692" s="300" t="s">
        <v>2065</v>
      </c>
      <c r="L692" s="300" t="s">
        <v>2066</v>
      </c>
      <c r="M692" s="300" t="s">
        <v>238</v>
      </c>
      <c r="N692" s="300"/>
      <c r="O692" s="300"/>
      <c r="P692" s="300"/>
      <c r="Q692" s="24"/>
      <c r="R692" s="283"/>
      <c r="S692" s="300" t="s">
        <v>113</v>
      </c>
      <c r="T692" s="283"/>
      <c r="U692" s="283"/>
      <c r="V692" s="301" t="s">
        <v>115</v>
      </c>
      <c r="W692" s="24"/>
      <c r="X692" s="283"/>
      <c r="Y692" s="24"/>
      <c r="Z692" s="24"/>
      <c r="AA692" s="24"/>
      <c r="AB692" s="24"/>
      <c r="AC692" s="283"/>
      <c r="AD692" s="283"/>
      <c r="AE692" s="283"/>
      <c r="AF692" s="283"/>
      <c r="AG692" s="285" t="s">
        <v>2060</v>
      </c>
      <c r="AH692" s="285" t="s">
        <v>1791</v>
      </c>
      <c r="AI692" s="285" t="s">
        <v>1792</v>
      </c>
      <c r="AJ692" s="24"/>
      <c r="AK692" s="24"/>
      <c r="AL692" s="24"/>
    </row>
    <row r="693" spans="1:38" ht="12.75" customHeight="1">
      <c r="A693" s="22">
        <v>691</v>
      </c>
      <c r="B693" s="24" t="str">
        <f t="shared" si="0"/>
        <v>Stock out</v>
      </c>
      <c r="C693" s="24" t="str">
        <f t="shared" si="1"/>
        <v>Input Option</v>
      </c>
      <c r="D693" s="24" t="str">
        <f t="shared" si="2"/>
        <v>Reason</v>
      </c>
      <c r="E693" s="24" t="s">
        <v>2057</v>
      </c>
      <c r="F693" s="24">
        <v>1</v>
      </c>
      <c r="G693" s="24" t="s">
        <v>1767</v>
      </c>
      <c r="H693" s="24"/>
      <c r="I693" s="283"/>
      <c r="J693" s="293"/>
      <c r="K693" s="293"/>
      <c r="L693" s="293"/>
      <c r="M693" s="293"/>
      <c r="N693" s="304" t="s">
        <v>1909</v>
      </c>
      <c r="O693" s="293"/>
      <c r="P693" s="293"/>
      <c r="Q693" s="24"/>
      <c r="R693" s="283"/>
      <c r="S693" s="293"/>
      <c r="T693" s="283"/>
      <c r="U693" s="283"/>
      <c r="V693" s="293"/>
      <c r="W693" s="24"/>
      <c r="X693" s="283"/>
      <c r="Y693" s="24"/>
      <c r="Z693" s="24"/>
      <c r="AA693" s="24"/>
      <c r="AB693" s="24"/>
      <c r="AC693" s="283"/>
      <c r="AD693" s="283"/>
      <c r="AE693" s="283"/>
      <c r="AF693" s="283"/>
      <c r="AG693" s="294" t="s">
        <v>115</v>
      </c>
      <c r="AH693" s="294" t="s">
        <v>1910</v>
      </c>
      <c r="AI693" s="294" t="s">
        <v>1911</v>
      </c>
      <c r="AJ693" s="24"/>
      <c r="AK693" s="24"/>
      <c r="AL693" s="24"/>
    </row>
    <row r="694" spans="1:38" ht="12.75" customHeight="1">
      <c r="A694" s="22">
        <v>692</v>
      </c>
      <c r="B694" s="24" t="str">
        <f t="shared" si="0"/>
        <v>Expired stock</v>
      </c>
      <c r="C694" s="24" t="str">
        <f t="shared" si="1"/>
        <v>Input Option</v>
      </c>
      <c r="D694" s="24" t="str">
        <f t="shared" si="2"/>
        <v>Reason</v>
      </c>
      <c r="E694" s="24" t="s">
        <v>2057</v>
      </c>
      <c r="F694" s="24">
        <v>1</v>
      </c>
      <c r="G694" s="24" t="s">
        <v>1767</v>
      </c>
      <c r="H694" s="24"/>
      <c r="I694" s="283"/>
      <c r="J694" s="293"/>
      <c r="K694" s="293"/>
      <c r="L694" s="293"/>
      <c r="M694" s="293"/>
      <c r="N694" s="293" t="s">
        <v>1912</v>
      </c>
      <c r="O694" s="293"/>
      <c r="P694" s="293"/>
      <c r="Q694" s="24"/>
      <c r="R694" s="283"/>
      <c r="S694" s="293"/>
      <c r="T694" s="283"/>
      <c r="U694" s="283"/>
      <c r="V694" s="293"/>
      <c r="W694" s="24"/>
      <c r="X694" s="283"/>
      <c r="Y694" s="24"/>
      <c r="Z694" s="24"/>
      <c r="AA694" s="24"/>
      <c r="AB694" s="24"/>
      <c r="AC694" s="283"/>
      <c r="AD694" s="283"/>
      <c r="AE694" s="283"/>
      <c r="AF694" s="283"/>
      <c r="AG694" s="294" t="s">
        <v>115</v>
      </c>
      <c r="AH694" s="294" t="s">
        <v>1913</v>
      </c>
      <c r="AI694" s="294" t="s">
        <v>1914</v>
      </c>
      <c r="AJ694" s="24"/>
      <c r="AK694" s="24"/>
      <c r="AL694" s="24"/>
    </row>
    <row r="695" spans="1:38" ht="12.75" customHeight="1">
      <c r="A695" s="22">
        <v>693</v>
      </c>
      <c r="B695" s="24" t="str">
        <f t="shared" si="0"/>
        <v>Other (specify)</v>
      </c>
      <c r="C695" s="24" t="str">
        <f t="shared" si="1"/>
        <v>Input Option</v>
      </c>
      <c r="D695" s="24" t="str">
        <f t="shared" si="2"/>
        <v>Reason</v>
      </c>
      <c r="E695" s="24" t="s">
        <v>2057</v>
      </c>
      <c r="F695" s="24">
        <v>1</v>
      </c>
      <c r="G695" s="24" t="s">
        <v>1767</v>
      </c>
      <c r="H695" s="24"/>
      <c r="I695" s="283"/>
      <c r="J695" s="196"/>
      <c r="K695" s="196"/>
      <c r="L695" s="196"/>
      <c r="M695" s="196"/>
      <c r="N695" s="196" t="s">
        <v>405</v>
      </c>
      <c r="O695" s="196"/>
      <c r="P695" s="196"/>
      <c r="Q695" s="24"/>
      <c r="R695" s="283"/>
      <c r="S695" s="196"/>
      <c r="T695" s="283"/>
      <c r="U695" s="283"/>
      <c r="V695" s="196"/>
      <c r="W695" s="24"/>
      <c r="X695" s="283"/>
      <c r="Y695" s="24"/>
      <c r="Z695" s="24"/>
      <c r="AA695" s="24"/>
      <c r="AB695" s="24"/>
      <c r="AC695" s="283"/>
      <c r="AD695" s="283"/>
      <c r="AE695" s="283"/>
      <c r="AF695" s="283"/>
      <c r="AG695" s="294" t="s">
        <v>115</v>
      </c>
      <c r="AH695" s="294" t="s">
        <v>406</v>
      </c>
      <c r="AI695" s="294" t="s">
        <v>407</v>
      </c>
      <c r="AJ695" s="24"/>
      <c r="AK695" s="24"/>
      <c r="AL695" s="24"/>
    </row>
    <row r="696" spans="1:38" ht="12.75" customHeight="1">
      <c r="A696" s="22">
        <v>694</v>
      </c>
      <c r="B696" s="24" t="str">
        <f t="shared" si="0"/>
        <v>Specify</v>
      </c>
      <c r="C696" s="24" t="str">
        <f t="shared" si="1"/>
        <v>Data Element</v>
      </c>
      <c r="D696" s="24" t="str">
        <f t="shared" si="2"/>
        <v/>
      </c>
      <c r="E696" s="24" t="s">
        <v>2057</v>
      </c>
      <c r="F696" s="24">
        <v>1</v>
      </c>
      <c r="G696" s="24" t="s">
        <v>1767</v>
      </c>
      <c r="H696" s="24"/>
      <c r="I696" s="283"/>
      <c r="J696" s="196" t="s">
        <v>409</v>
      </c>
      <c r="K696" s="196" t="s">
        <v>2068</v>
      </c>
      <c r="L696" s="196" t="s">
        <v>2069</v>
      </c>
      <c r="M696" s="196" t="s">
        <v>111</v>
      </c>
      <c r="N696" s="196"/>
      <c r="O696" s="196"/>
      <c r="P696" s="196"/>
      <c r="Q696" s="24"/>
      <c r="R696" s="283"/>
      <c r="S696" s="196" t="s">
        <v>208</v>
      </c>
      <c r="T696" s="283"/>
      <c r="U696" s="283"/>
      <c r="V696" s="196" t="s">
        <v>115</v>
      </c>
      <c r="W696" s="24"/>
      <c r="X696" s="283"/>
      <c r="Y696" s="24"/>
      <c r="Z696" s="24"/>
      <c r="AA696" s="24"/>
      <c r="AB696" s="24"/>
      <c r="AC696" s="283"/>
      <c r="AD696" s="283"/>
      <c r="AE696" s="283"/>
      <c r="AF696" s="283"/>
      <c r="AG696" s="294" t="s">
        <v>2060</v>
      </c>
      <c r="AH696" s="294" t="s">
        <v>1800</v>
      </c>
      <c r="AI696" s="294" t="s">
        <v>1801</v>
      </c>
      <c r="AJ696" s="24"/>
      <c r="AK696" s="24"/>
      <c r="AL696" s="24"/>
    </row>
    <row r="697" spans="1:38" ht="12.75" customHeight="1">
      <c r="A697" s="22">
        <v>695</v>
      </c>
      <c r="B697" s="24" t="str">
        <f t="shared" si="0"/>
        <v>Syphilis test date</v>
      </c>
      <c r="C697" s="24" t="str">
        <f t="shared" si="1"/>
        <v>Data Element</v>
      </c>
      <c r="D697" s="24" t="str">
        <f t="shared" si="2"/>
        <v/>
      </c>
      <c r="E697" s="24" t="s">
        <v>2057</v>
      </c>
      <c r="F697" s="24">
        <v>1</v>
      </c>
      <c r="G697" s="24" t="s">
        <v>1767</v>
      </c>
      <c r="H697" s="24"/>
      <c r="I697" s="283"/>
      <c r="J697" s="309" t="s">
        <v>2070</v>
      </c>
      <c r="K697" s="309" t="s">
        <v>2071</v>
      </c>
      <c r="L697" s="204" t="s">
        <v>2072</v>
      </c>
      <c r="M697" s="204" t="s">
        <v>140</v>
      </c>
      <c r="N697" s="196"/>
      <c r="O697" s="196"/>
      <c r="P697" s="196"/>
      <c r="Q697" s="24"/>
      <c r="R697" s="283"/>
      <c r="S697" s="309" t="s">
        <v>113</v>
      </c>
      <c r="T697" s="283"/>
      <c r="U697" s="283"/>
      <c r="V697" s="204" t="s">
        <v>115</v>
      </c>
      <c r="W697" s="24"/>
      <c r="X697" s="283"/>
      <c r="Y697" s="24"/>
      <c r="Z697" s="24"/>
      <c r="AA697" s="24"/>
      <c r="AB697" s="24"/>
      <c r="AC697" s="283"/>
      <c r="AD697" s="283"/>
      <c r="AE697" s="283"/>
      <c r="AF697" s="283"/>
      <c r="AG697" s="294" t="s">
        <v>2060</v>
      </c>
      <c r="AH697" s="294" t="s">
        <v>1804</v>
      </c>
      <c r="AI697" s="294" t="s">
        <v>1805</v>
      </c>
      <c r="AJ697" s="24"/>
      <c r="AK697" s="24"/>
      <c r="AL697" s="24"/>
    </row>
    <row r="698" spans="1:38" ht="12.75" customHeight="1">
      <c r="A698" s="22">
        <v>696</v>
      </c>
      <c r="B698" s="24" t="str">
        <f t="shared" si="0"/>
        <v>Syphilis test type</v>
      </c>
      <c r="C698" s="24" t="str">
        <f t="shared" si="1"/>
        <v>Data Element</v>
      </c>
      <c r="D698" s="24" t="str">
        <f t="shared" si="2"/>
        <v/>
      </c>
      <c r="E698" s="24" t="s">
        <v>2057</v>
      </c>
      <c r="F698" s="24">
        <v>1</v>
      </c>
      <c r="G698" s="24" t="s">
        <v>1767</v>
      </c>
      <c r="H698" s="24"/>
      <c r="I698" s="283"/>
      <c r="J698" s="196" t="s">
        <v>2073</v>
      </c>
      <c r="K698" s="204" t="s">
        <v>2074</v>
      </c>
      <c r="L698" s="196" t="s">
        <v>2075</v>
      </c>
      <c r="M698" s="196" t="s">
        <v>238</v>
      </c>
      <c r="N698" s="196"/>
      <c r="O698" s="196"/>
      <c r="P698" s="196"/>
      <c r="Q698" s="24"/>
      <c r="R698" s="283"/>
      <c r="S698" s="196" t="s">
        <v>113</v>
      </c>
      <c r="T698" s="283"/>
      <c r="U698" s="283"/>
      <c r="V698" s="196" t="s">
        <v>115</v>
      </c>
      <c r="W698" s="24"/>
      <c r="X698" s="283"/>
      <c r="Y698" s="24"/>
      <c r="Z698" s="24"/>
      <c r="AA698" s="24"/>
      <c r="AB698" s="24"/>
      <c r="AC698" s="283"/>
      <c r="AD698" s="283"/>
      <c r="AE698" s="283"/>
      <c r="AF698" s="283"/>
      <c r="AG698" s="294" t="s">
        <v>115</v>
      </c>
      <c r="AH698" s="294" t="s">
        <v>2076</v>
      </c>
      <c r="AI698" s="294" t="s">
        <v>2077</v>
      </c>
      <c r="AJ698" s="24"/>
      <c r="AK698" s="24"/>
      <c r="AL698" s="24"/>
    </row>
    <row r="699" spans="1:38" ht="12.75" customHeight="1">
      <c r="A699" s="22">
        <v>697</v>
      </c>
      <c r="B699" s="24" t="str">
        <f t="shared" si="0"/>
        <v>Rapid syphilis test</v>
      </c>
      <c r="C699" s="24" t="str">
        <f t="shared" si="1"/>
        <v>Input Option</v>
      </c>
      <c r="D699" s="24" t="str">
        <f t="shared" si="2"/>
        <v>Syphilis test type</v>
      </c>
      <c r="E699" s="24" t="s">
        <v>2057</v>
      </c>
      <c r="F699" s="24">
        <v>1</v>
      </c>
      <c r="G699" s="24" t="s">
        <v>1767</v>
      </c>
      <c r="H699" s="24"/>
      <c r="I699" s="283"/>
      <c r="J699" s="196"/>
      <c r="K699" s="196"/>
      <c r="L699" s="196"/>
      <c r="M699" s="196"/>
      <c r="N699" s="196" t="s">
        <v>2078</v>
      </c>
      <c r="O699" s="196"/>
      <c r="P699" s="196"/>
      <c r="Q699" s="24"/>
      <c r="R699" s="283"/>
      <c r="S699" s="196"/>
      <c r="T699" s="283"/>
      <c r="U699" s="283"/>
      <c r="V699" s="196"/>
      <c r="W699" s="24"/>
      <c r="X699" s="283"/>
      <c r="Y699" s="24"/>
      <c r="Z699" s="24"/>
      <c r="AA699" s="24"/>
      <c r="AB699" s="24"/>
      <c r="AC699" s="283"/>
      <c r="AD699" s="283"/>
      <c r="AE699" s="283"/>
      <c r="AF699" s="283"/>
      <c r="AG699" s="294" t="s">
        <v>115</v>
      </c>
      <c r="AH699" s="294" t="s">
        <v>2079</v>
      </c>
      <c r="AI699" s="294" t="s">
        <v>2080</v>
      </c>
      <c r="AJ699" s="24"/>
      <c r="AK699" s="24"/>
      <c r="AL699" s="24"/>
    </row>
    <row r="700" spans="1:38" ht="12.75" customHeight="1">
      <c r="A700" s="22">
        <v>698</v>
      </c>
      <c r="B700" s="24" t="str">
        <f t="shared" si="0"/>
        <v>Rapid plasma reagin test</v>
      </c>
      <c r="C700" s="24" t="str">
        <f t="shared" si="1"/>
        <v>Input Option</v>
      </c>
      <c r="D700" s="24" t="str">
        <f t="shared" si="2"/>
        <v>Syphilis test type</v>
      </c>
      <c r="E700" s="24" t="s">
        <v>2057</v>
      </c>
      <c r="F700" s="24">
        <v>1</v>
      </c>
      <c r="G700" s="24" t="s">
        <v>1767</v>
      </c>
      <c r="H700" s="24"/>
      <c r="I700" s="283"/>
      <c r="J700" s="196"/>
      <c r="K700" s="196"/>
      <c r="L700" s="196"/>
      <c r="M700" s="196"/>
      <c r="N700" s="196" t="s">
        <v>2081</v>
      </c>
      <c r="O700" s="196"/>
      <c r="P700" s="196"/>
      <c r="Q700" s="24"/>
      <c r="R700" s="283"/>
      <c r="S700" s="196"/>
      <c r="T700" s="283"/>
      <c r="U700" s="283"/>
      <c r="V700" s="196"/>
      <c r="W700" s="24"/>
      <c r="X700" s="283"/>
      <c r="Y700" s="24"/>
      <c r="Z700" s="24"/>
      <c r="AA700" s="24"/>
      <c r="AB700" s="24"/>
      <c r="AC700" s="283"/>
      <c r="AD700" s="283"/>
      <c r="AE700" s="283"/>
      <c r="AF700" s="283"/>
      <c r="AG700" s="294" t="s">
        <v>115</v>
      </c>
      <c r="AH700" s="294" t="s">
        <v>2082</v>
      </c>
      <c r="AI700" s="294" t="s">
        <v>2083</v>
      </c>
      <c r="AJ700" s="24"/>
      <c r="AK700" s="24"/>
      <c r="AL700" s="24"/>
    </row>
    <row r="701" spans="1:38" ht="12.75" customHeight="1">
      <c r="A701" s="22">
        <v>699</v>
      </c>
      <c r="B701" s="24" t="str">
        <f t="shared" si="0"/>
        <v>Off-site lab test</v>
      </c>
      <c r="C701" s="24" t="str">
        <f t="shared" si="1"/>
        <v>Input Option</v>
      </c>
      <c r="D701" s="24" t="str">
        <f t="shared" si="2"/>
        <v>Syphilis test type</v>
      </c>
      <c r="E701" s="24" t="s">
        <v>2057</v>
      </c>
      <c r="F701" s="24">
        <v>1</v>
      </c>
      <c r="G701" s="24" t="s">
        <v>1767</v>
      </c>
      <c r="H701" s="24"/>
      <c r="I701" s="283"/>
      <c r="J701" s="196"/>
      <c r="K701" s="196"/>
      <c r="L701" s="196"/>
      <c r="M701" s="196"/>
      <c r="N701" s="196" t="s">
        <v>2084</v>
      </c>
      <c r="O701" s="196"/>
      <c r="P701" s="196"/>
      <c r="Q701" s="24"/>
      <c r="R701" s="283"/>
      <c r="S701" s="196"/>
      <c r="T701" s="283"/>
      <c r="U701" s="283"/>
      <c r="V701" s="196"/>
      <c r="W701" s="24"/>
      <c r="X701" s="283"/>
      <c r="Y701" s="24"/>
      <c r="Z701" s="24"/>
      <c r="AA701" s="24"/>
      <c r="AB701" s="24"/>
      <c r="AC701" s="283"/>
      <c r="AD701" s="283"/>
      <c r="AE701" s="283"/>
      <c r="AF701" s="283"/>
      <c r="AG701" s="294" t="s">
        <v>115</v>
      </c>
      <c r="AH701" s="294" t="s">
        <v>2085</v>
      </c>
      <c r="AI701" s="294" t="s">
        <v>2086</v>
      </c>
      <c r="AJ701" s="24"/>
      <c r="AK701" s="24"/>
      <c r="AL701" s="24"/>
    </row>
    <row r="702" spans="1:38" ht="12.75" customHeight="1">
      <c r="A702" s="22">
        <v>700</v>
      </c>
      <c r="B702" s="24" t="str">
        <f t="shared" si="0"/>
        <v>Rapid syphilis test (RST)</v>
      </c>
      <c r="C702" s="24" t="str">
        <f t="shared" si="1"/>
        <v>Data Element</v>
      </c>
      <c r="D702" s="24" t="str">
        <f t="shared" si="2"/>
        <v/>
      </c>
      <c r="E702" s="24" t="s">
        <v>2057</v>
      </c>
      <c r="F702" s="24">
        <v>1</v>
      </c>
      <c r="G702" s="24" t="s">
        <v>1767</v>
      </c>
      <c r="H702" s="24"/>
      <c r="I702" s="283"/>
      <c r="J702" s="224" t="s">
        <v>2087</v>
      </c>
      <c r="K702" s="224" t="s">
        <v>2088</v>
      </c>
      <c r="L702" s="224" t="s">
        <v>2089</v>
      </c>
      <c r="M702" s="224" t="s">
        <v>202</v>
      </c>
      <c r="N702" s="224"/>
      <c r="O702" s="164"/>
      <c r="P702" s="164"/>
      <c r="Q702" s="24"/>
      <c r="R702" s="283"/>
      <c r="S702" s="224" t="s">
        <v>113</v>
      </c>
      <c r="T702" s="283"/>
      <c r="U702" s="283"/>
      <c r="V702" s="164" t="s">
        <v>115</v>
      </c>
      <c r="W702" s="24"/>
      <c r="X702" s="283"/>
      <c r="Y702" s="24"/>
      <c r="Z702" s="24"/>
      <c r="AA702" s="24"/>
      <c r="AB702" s="24"/>
      <c r="AC702" s="283"/>
      <c r="AD702" s="283"/>
      <c r="AE702" s="283"/>
      <c r="AF702" s="283"/>
      <c r="AG702" s="294" t="s">
        <v>115</v>
      </c>
      <c r="AH702" s="294" t="s">
        <v>2079</v>
      </c>
      <c r="AI702" s="294" t="s">
        <v>2080</v>
      </c>
      <c r="AJ702" s="24"/>
      <c r="AK702" s="24"/>
      <c r="AL702" s="24"/>
    </row>
    <row r="703" spans="1:38" ht="12.75" customHeight="1">
      <c r="A703" s="22">
        <v>701</v>
      </c>
      <c r="B703" s="24" t="str">
        <f t="shared" si="0"/>
        <v>Positive</v>
      </c>
      <c r="C703" s="24" t="str">
        <f t="shared" si="1"/>
        <v>Input Option</v>
      </c>
      <c r="D703" s="24" t="str">
        <f t="shared" si="2"/>
        <v>Rapid syphilis test (RST)</v>
      </c>
      <c r="E703" s="24" t="s">
        <v>2057</v>
      </c>
      <c r="F703" s="24">
        <v>1</v>
      </c>
      <c r="G703" s="24" t="s">
        <v>1767</v>
      </c>
      <c r="H703" s="24"/>
      <c r="I703" s="283"/>
      <c r="J703" s="224"/>
      <c r="K703" s="224"/>
      <c r="L703" s="224"/>
      <c r="M703" s="224"/>
      <c r="N703" s="224" t="s">
        <v>1122</v>
      </c>
      <c r="O703" s="164"/>
      <c r="P703" s="164"/>
      <c r="Q703" s="24"/>
      <c r="R703" s="283"/>
      <c r="S703" s="224"/>
      <c r="T703" s="283"/>
      <c r="U703" s="283"/>
      <c r="V703" s="164"/>
      <c r="W703" s="24"/>
      <c r="X703" s="283"/>
      <c r="Y703" s="24"/>
      <c r="Z703" s="24"/>
      <c r="AA703" s="24"/>
      <c r="AB703" s="24"/>
      <c r="AC703" s="283"/>
      <c r="AD703" s="283"/>
      <c r="AE703" s="283"/>
      <c r="AF703" s="283"/>
      <c r="AG703" s="205" t="s">
        <v>115</v>
      </c>
      <c r="AH703" s="285" t="s">
        <v>1897</v>
      </c>
      <c r="AI703" s="285" t="s">
        <v>1125</v>
      </c>
      <c r="AJ703" s="24"/>
      <c r="AK703" s="24"/>
      <c r="AL703" s="24"/>
    </row>
    <row r="704" spans="1:38" ht="12.75" customHeight="1">
      <c r="A704" s="22">
        <v>702</v>
      </c>
      <c r="B704" s="24" t="str">
        <f t="shared" si="0"/>
        <v>Negative</v>
      </c>
      <c r="C704" s="24" t="str">
        <f t="shared" si="1"/>
        <v>Input Option</v>
      </c>
      <c r="D704" s="24" t="str">
        <f t="shared" si="2"/>
        <v>Rapid syphilis test (RST)</v>
      </c>
      <c r="E704" s="24" t="s">
        <v>2057</v>
      </c>
      <c r="F704" s="24">
        <v>1</v>
      </c>
      <c r="G704" s="24" t="s">
        <v>1767</v>
      </c>
      <c r="H704" s="24"/>
      <c r="I704" s="283"/>
      <c r="J704" s="224"/>
      <c r="K704" s="224"/>
      <c r="L704" s="224"/>
      <c r="M704" s="224"/>
      <c r="N704" s="224" t="s">
        <v>1126</v>
      </c>
      <c r="O704" s="164"/>
      <c r="P704" s="164"/>
      <c r="Q704" s="24"/>
      <c r="R704" s="283"/>
      <c r="S704" s="224"/>
      <c r="T704" s="283"/>
      <c r="U704" s="283"/>
      <c r="V704" s="164"/>
      <c r="W704" s="24"/>
      <c r="X704" s="283"/>
      <c r="Y704" s="24"/>
      <c r="Z704" s="24"/>
      <c r="AA704" s="24"/>
      <c r="AB704" s="24"/>
      <c r="AC704" s="283"/>
      <c r="AD704" s="283"/>
      <c r="AE704" s="283"/>
      <c r="AF704" s="283"/>
      <c r="AG704" s="205" t="s">
        <v>115</v>
      </c>
      <c r="AH704" s="285" t="s">
        <v>1128</v>
      </c>
      <c r="AI704" s="285" t="s">
        <v>1129</v>
      </c>
      <c r="AJ704" s="24"/>
      <c r="AK704" s="24"/>
      <c r="AL704" s="24"/>
    </row>
    <row r="705" spans="1:38" ht="12.75" customHeight="1">
      <c r="A705" s="22">
        <v>703</v>
      </c>
      <c r="B705" s="24" t="str">
        <f t="shared" si="0"/>
        <v>Rapid plasma reagin (RPR) test</v>
      </c>
      <c r="C705" s="24" t="str">
        <f t="shared" si="1"/>
        <v>Data Element</v>
      </c>
      <c r="D705" s="24" t="str">
        <f t="shared" si="2"/>
        <v/>
      </c>
      <c r="E705" s="24" t="s">
        <v>2057</v>
      </c>
      <c r="F705" s="24">
        <v>1</v>
      </c>
      <c r="G705" s="24" t="s">
        <v>1767</v>
      </c>
      <c r="H705" s="24"/>
      <c r="I705" s="164"/>
      <c r="J705" s="224" t="s">
        <v>2090</v>
      </c>
      <c r="K705" s="224" t="s">
        <v>2091</v>
      </c>
      <c r="L705" s="224" t="s">
        <v>2092</v>
      </c>
      <c r="M705" s="224" t="s">
        <v>202</v>
      </c>
      <c r="N705" s="224"/>
      <c r="O705" s="164"/>
      <c r="P705" s="164"/>
      <c r="Q705" s="24"/>
      <c r="R705" s="164"/>
      <c r="S705" s="224" t="s">
        <v>113</v>
      </c>
      <c r="T705" s="164"/>
      <c r="U705" s="164"/>
      <c r="V705" s="164" t="s">
        <v>115</v>
      </c>
      <c r="W705" s="24"/>
      <c r="X705" s="164"/>
      <c r="Y705" s="24"/>
      <c r="Z705" s="24"/>
      <c r="AA705" s="24"/>
      <c r="AB705" s="24"/>
      <c r="AC705" s="164"/>
      <c r="AD705" s="164"/>
      <c r="AE705" s="164"/>
      <c r="AF705" s="164"/>
      <c r="AG705" s="294" t="s">
        <v>2060</v>
      </c>
      <c r="AH705" s="294" t="s">
        <v>2082</v>
      </c>
      <c r="AI705" s="294" t="s">
        <v>2083</v>
      </c>
      <c r="AJ705" s="24"/>
      <c r="AK705" s="24"/>
      <c r="AL705" s="24"/>
    </row>
    <row r="706" spans="1:38" ht="12.75" customHeight="1">
      <c r="A706" s="22">
        <v>704</v>
      </c>
      <c r="B706" s="24" t="str">
        <f t="shared" si="0"/>
        <v>Positive</v>
      </c>
      <c r="C706" s="24" t="str">
        <f t="shared" si="1"/>
        <v>Input Option</v>
      </c>
      <c r="D706" s="24" t="str">
        <f t="shared" si="2"/>
        <v>Rapid plasma reagin (RPR) test</v>
      </c>
      <c r="E706" s="24" t="s">
        <v>2057</v>
      </c>
      <c r="F706" s="24">
        <v>1</v>
      </c>
      <c r="G706" s="24" t="s">
        <v>1767</v>
      </c>
      <c r="H706" s="24"/>
      <c r="I706" s="283"/>
      <c r="J706" s="224"/>
      <c r="K706" s="224"/>
      <c r="L706" s="224"/>
      <c r="M706" s="224"/>
      <c r="N706" s="224" t="s">
        <v>1122</v>
      </c>
      <c r="O706" s="164"/>
      <c r="P706" s="164"/>
      <c r="Q706" s="24"/>
      <c r="R706" s="283"/>
      <c r="S706" s="224"/>
      <c r="T706" s="283"/>
      <c r="U706" s="283"/>
      <c r="V706" s="164"/>
      <c r="W706" s="24"/>
      <c r="X706" s="283"/>
      <c r="Y706" s="24"/>
      <c r="Z706" s="24"/>
      <c r="AA706" s="24"/>
      <c r="AB706" s="24"/>
      <c r="AC706" s="283"/>
      <c r="AD706" s="283"/>
      <c r="AE706" s="283"/>
      <c r="AF706" s="283"/>
      <c r="AG706" s="205" t="s">
        <v>115</v>
      </c>
      <c r="AH706" s="285" t="s">
        <v>1897</v>
      </c>
      <c r="AI706" s="285" t="s">
        <v>1125</v>
      </c>
      <c r="AJ706" s="24"/>
      <c r="AK706" s="24"/>
      <c r="AL706" s="24"/>
    </row>
    <row r="707" spans="1:38" ht="12.75" customHeight="1">
      <c r="A707" s="22">
        <v>705</v>
      </c>
      <c r="B707" s="24" t="str">
        <f t="shared" si="0"/>
        <v>Negative</v>
      </c>
      <c r="C707" s="24" t="str">
        <f t="shared" si="1"/>
        <v>Input Option</v>
      </c>
      <c r="D707" s="24" t="str">
        <f t="shared" si="2"/>
        <v>Rapid plasma reagin (RPR) test</v>
      </c>
      <c r="E707" s="24" t="s">
        <v>2057</v>
      </c>
      <c r="F707" s="24">
        <v>1</v>
      </c>
      <c r="G707" s="24" t="s">
        <v>1767</v>
      </c>
      <c r="H707" s="24"/>
      <c r="I707" s="283"/>
      <c r="J707" s="224"/>
      <c r="K707" s="224"/>
      <c r="L707" s="224"/>
      <c r="M707" s="224"/>
      <c r="N707" s="224" t="s">
        <v>1126</v>
      </c>
      <c r="O707" s="164"/>
      <c r="P707" s="164"/>
      <c r="Q707" s="24"/>
      <c r="R707" s="283"/>
      <c r="S707" s="224"/>
      <c r="T707" s="283"/>
      <c r="U707" s="283"/>
      <c r="V707" s="164"/>
      <c r="W707" s="24"/>
      <c r="X707" s="283"/>
      <c r="Y707" s="24"/>
      <c r="Z707" s="24"/>
      <c r="AA707" s="24"/>
      <c r="AB707" s="24"/>
      <c r="AC707" s="283"/>
      <c r="AD707" s="283"/>
      <c r="AE707" s="283"/>
      <c r="AF707" s="283"/>
      <c r="AG707" s="205" t="s">
        <v>115</v>
      </c>
      <c r="AH707" s="285" t="s">
        <v>1128</v>
      </c>
      <c r="AI707" s="285" t="s">
        <v>1129</v>
      </c>
      <c r="AJ707" s="24"/>
      <c r="AK707" s="24"/>
      <c r="AL707" s="24"/>
    </row>
    <row r="708" spans="1:38" ht="12.75" customHeight="1">
      <c r="A708" s="22">
        <v>706</v>
      </c>
      <c r="B708" s="24" t="str">
        <f t="shared" si="0"/>
        <v>Off-site lab test for syphilis</v>
      </c>
      <c r="C708" s="24" t="str">
        <f t="shared" si="1"/>
        <v>Data Element</v>
      </c>
      <c r="D708" s="24" t="str">
        <f t="shared" si="2"/>
        <v/>
      </c>
      <c r="E708" s="24" t="s">
        <v>2057</v>
      </c>
      <c r="F708" s="24">
        <v>1</v>
      </c>
      <c r="G708" s="24" t="s">
        <v>1767</v>
      </c>
      <c r="H708" s="24"/>
      <c r="I708" s="283"/>
      <c r="J708" s="224" t="s">
        <v>2093</v>
      </c>
      <c r="K708" s="224" t="s">
        <v>2094</v>
      </c>
      <c r="L708" s="224" t="s">
        <v>2095</v>
      </c>
      <c r="M708" s="224" t="s">
        <v>202</v>
      </c>
      <c r="N708" s="224"/>
      <c r="O708" s="164"/>
      <c r="P708" s="164"/>
      <c r="Q708" s="24"/>
      <c r="R708" s="283"/>
      <c r="S708" s="224" t="s">
        <v>113</v>
      </c>
      <c r="T708" s="283"/>
      <c r="U708" s="283"/>
      <c r="V708" s="164" t="s">
        <v>115</v>
      </c>
      <c r="W708" s="24"/>
      <c r="X708" s="283"/>
      <c r="Y708" s="24"/>
      <c r="Z708" s="24"/>
      <c r="AA708" s="24"/>
      <c r="AB708" s="24"/>
      <c r="AC708" s="283"/>
      <c r="AD708" s="283"/>
      <c r="AE708" s="283"/>
      <c r="AF708" s="283"/>
      <c r="AG708" s="285" t="s">
        <v>115</v>
      </c>
      <c r="AH708" s="205" t="s">
        <v>2085</v>
      </c>
      <c r="AI708" s="285" t="s">
        <v>2086</v>
      </c>
      <c r="AJ708" s="24"/>
      <c r="AK708" s="24"/>
      <c r="AL708" s="24"/>
    </row>
    <row r="709" spans="1:38" ht="12.75" customHeight="1">
      <c r="A709" s="22">
        <v>707</v>
      </c>
      <c r="B709" s="24" t="str">
        <f t="shared" si="0"/>
        <v>Positive</v>
      </c>
      <c r="C709" s="24" t="str">
        <f t="shared" si="1"/>
        <v>Input Option</v>
      </c>
      <c r="D709" s="24" t="str">
        <f t="shared" si="2"/>
        <v>Off-site lab test for syphilis</v>
      </c>
      <c r="E709" s="24" t="s">
        <v>2057</v>
      </c>
      <c r="F709" s="24">
        <v>1</v>
      </c>
      <c r="G709" s="24" t="s">
        <v>1767</v>
      </c>
      <c r="H709" s="24"/>
      <c r="I709" s="283"/>
      <c r="J709" s="224"/>
      <c r="K709" s="224"/>
      <c r="L709" s="224"/>
      <c r="M709" s="224"/>
      <c r="N709" s="224" t="s">
        <v>1122</v>
      </c>
      <c r="O709" s="164"/>
      <c r="P709" s="164"/>
      <c r="Q709" s="24"/>
      <c r="R709" s="283"/>
      <c r="S709" s="224"/>
      <c r="T709" s="283"/>
      <c r="U709" s="283"/>
      <c r="V709" s="164"/>
      <c r="W709" s="24"/>
      <c r="X709" s="283"/>
      <c r="Y709" s="24"/>
      <c r="Z709" s="24"/>
      <c r="AA709" s="24"/>
      <c r="AB709" s="24"/>
      <c r="AC709" s="283"/>
      <c r="AD709" s="283"/>
      <c r="AE709" s="283"/>
      <c r="AF709" s="283"/>
      <c r="AG709" s="205" t="s">
        <v>115</v>
      </c>
      <c r="AH709" s="285" t="s">
        <v>1897</v>
      </c>
      <c r="AI709" s="285" t="s">
        <v>1125</v>
      </c>
      <c r="AJ709" s="24"/>
      <c r="AK709" s="24"/>
      <c r="AL709" s="24"/>
    </row>
    <row r="710" spans="1:38" ht="12.75" customHeight="1">
      <c r="A710" s="22">
        <v>708</v>
      </c>
      <c r="B710" s="24" t="str">
        <f t="shared" si="0"/>
        <v>Negative</v>
      </c>
      <c r="C710" s="24" t="str">
        <f t="shared" si="1"/>
        <v>Input Option</v>
      </c>
      <c r="D710" s="24" t="str">
        <f t="shared" si="2"/>
        <v>Off-site lab test for syphilis</v>
      </c>
      <c r="E710" s="24" t="s">
        <v>2057</v>
      </c>
      <c r="F710" s="24">
        <v>1</v>
      </c>
      <c r="G710" s="24" t="s">
        <v>1767</v>
      </c>
      <c r="H710" s="24"/>
      <c r="I710" s="283"/>
      <c r="J710" s="224"/>
      <c r="K710" s="224"/>
      <c r="L710" s="224"/>
      <c r="M710" s="224"/>
      <c r="N710" s="224" t="s">
        <v>1126</v>
      </c>
      <c r="O710" s="164"/>
      <c r="P710" s="164"/>
      <c r="Q710" s="24"/>
      <c r="R710" s="283"/>
      <c r="S710" s="224"/>
      <c r="T710" s="283"/>
      <c r="U710" s="283"/>
      <c r="V710" s="164"/>
      <c r="W710" s="24"/>
      <c r="X710" s="283"/>
      <c r="Y710" s="24"/>
      <c r="Z710" s="24"/>
      <c r="AA710" s="24"/>
      <c r="AB710" s="24"/>
      <c r="AC710" s="283"/>
      <c r="AD710" s="283"/>
      <c r="AE710" s="283"/>
      <c r="AF710" s="283"/>
      <c r="AG710" s="205" t="s">
        <v>115</v>
      </c>
      <c r="AH710" s="285" t="s">
        <v>1128</v>
      </c>
      <c r="AI710" s="285" t="s">
        <v>1129</v>
      </c>
      <c r="AJ710" s="24"/>
      <c r="AK710" s="24"/>
      <c r="AL710" s="24"/>
    </row>
    <row r="711" spans="1:38" ht="12.75" customHeight="1">
      <c r="A711" s="22">
        <v>709</v>
      </c>
      <c r="B711" s="24" t="str">
        <f t="shared" si="0"/>
        <v>syphilis_positive</v>
      </c>
      <c r="C711" s="24" t="str">
        <f t="shared" si="1"/>
        <v>Calculation</v>
      </c>
      <c r="D711" s="24" t="str">
        <f t="shared" si="2"/>
        <v/>
      </c>
      <c r="E711" s="24" t="s">
        <v>2057</v>
      </c>
      <c r="F711" s="24">
        <v>1</v>
      </c>
      <c r="G711" s="24" t="s">
        <v>1767</v>
      </c>
      <c r="H711" s="24"/>
      <c r="I711" s="283"/>
      <c r="J711" s="297" t="s">
        <v>2097</v>
      </c>
      <c r="K711" s="297" t="s">
        <v>2096</v>
      </c>
      <c r="L711" s="297" t="s">
        <v>2098</v>
      </c>
      <c r="M711" s="297" t="s">
        <v>65</v>
      </c>
      <c r="N711" s="225"/>
      <c r="O711" s="297" t="s">
        <v>2099</v>
      </c>
      <c r="P711" s="225"/>
      <c r="Q711" s="24"/>
      <c r="R711" s="283"/>
      <c r="S711" s="297" t="s">
        <v>115</v>
      </c>
      <c r="T711" s="283"/>
      <c r="U711" s="283"/>
      <c r="V711" s="297" t="s">
        <v>115</v>
      </c>
      <c r="W711" s="24"/>
      <c r="X711" s="283"/>
      <c r="Y711" s="24"/>
      <c r="Z711" s="24"/>
      <c r="AA711" s="24"/>
      <c r="AB711" s="24"/>
      <c r="AC711" s="283"/>
      <c r="AD711" s="283"/>
      <c r="AE711" s="283"/>
      <c r="AF711" s="283"/>
      <c r="AG711" s="205" t="s">
        <v>115</v>
      </c>
      <c r="AH711" s="205" t="s">
        <v>2100</v>
      </c>
      <c r="AI711" s="285" t="s">
        <v>2101</v>
      </c>
      <c r="AJ711" s="24"/>
      <c r="AK711" s="24"/>
      <c r="AL711" s="24"/>
    </row>
    <row r="712" spans="1:38" ht="12.75" customHeight="1">
      <c r="A712" s="22">
        <v>710</v>
      </c>
      <c r="B712" s="24" t="str">
        <f t="shared" si="0"/>
        <v>Urine test</v>
      </c>
      <c r="C712" s="24" t="str">
        <f t="shared" si="1"/>
        <v>Data Element</v>
      </c>
      <c r="D712" s="24" t="str">
        <f t="shared" si="2"/>
        <v/>
      </c>
      <c r="E712" s="24" t="s">
        <v>2103</v>
      </c>
      <c r="F712" s="24">
        <v>1</v>
      </c>
      <c r="G712" s="24" t="s">
        <v>1767</v>
      </c>
      <c r="H712" s="24"/>
      <c r="I712" s="283"/>
      <c r="J712" s="224" t="s">
        <v>2102</v>
      </c>
      <c r="K712" s="224" t="s">
        <v>2104</v>
      </c>
      <c r="L712" s="224" t="s">
        <v>2105</v>
      </c>
      <c r="M712" s="224" t="s">
        <v>202</v>
      </c>
      <c r="N712" s="300"/>
      <c r="O712" s="301"/>
      <c r="P712" s="301"/>
      <c r="Q712" s="24"/>
      <c r="R712" s="283"/>
      <c r="S712" s="224" t="s">
        <v>113</v>
      </c>
      <c r="T712" s="283"/>
      <c r="U712" s="283"/>
      <c r="V712" s="164" t="s">
        <v>2106</v>
      </c>
      <c r="W712" s="24"/>
      <c r="X712" s="283"/>
      <c r="Y712" s="24"/>
      <c r="Z712" s="24"/>
      <c r="AA712" s="24"/>
      <c r="AB712" s="24"/>
      <c r="AC712" s="283"/>
      <c r="AD712" s="283"/>
      <c r="AE712" s="283"/>
      <c r="AF712" s="283"/>
      <c r="AG712" s="285" t="s">
        <v>2107</v>
      </c>
      <c r="AH712" s="205" t="s">
        <v>1773</v>
      </c>
      <c r="AI712" s="285" t="s">
        <v>1774</v>
      </c>
      <c r="AJ712" s="24"/>
      <c r="AK712" s="24"/>
      <c r="AL712" s="24"/>
    </row>
    <row r="713" spans="1:38" ht="12.75" customHeight="1">
      <c r="A713" s="22">
        <v>711</v>
      </c>
      <c r="B713" s="24" t="str">
        <f t="shared" si="0"/>
        <v>Done today</v>
      </c>
      <c r="C713" s="24" t="str">
        <f t="shared" si="1"/>
        <v>Input Option</v>
      </c>
      <c r="D713" s="24" t="str">
        <f t="shared" si="2"/>
        <v>Urine test</v>
      </c>
      <c r="E713" s="24" t="s">
        <v>2103</v>
      </c>
      <c r="F713" s="24">
        <v>1</v>
      </c>
      <c r="G713" s="24" t="s">
        <v>1767</v>
      </c>
      <c r="H713" s="24"/>
      <c r="I713" s="283"/>
      <c r="J713" s="224"/>
      <c r="K713" s="224"/>
      <c r="L713" s="224"/>
      <c r="M713" s="224"/>
      <c r="N713" s="224" t="s">
        <v>1775</v>
      </c>
      <c r="O713" s="224"/>
      <c r="P713" s="224"/>
      <c r="Q713" s="24"/>
      <c r="R713" s="283"/>
      <c r="S713" s="224"/>
      <c r="T713" s="283"/>
      <c r="U713" s="283"/>
      <c r="V713" s="164"/>
      <c r="W713" s="24"/>
      <c r="X713" s="283"/>
      <c r="Y713" s="24"/>
      <c r="Z713" s="24"/>
      <c r="AA713" s="24"/>
      <c r="AB713" s="24"/>
      <c r="AC713" s="283"/>
      <c r="AD713" s="283"/>
      <c r="AE713" s="283"/>
      <c r="AF713" s="283"/>
      <c r="AG713" s="285" t="s">
        <v>115</v>
      </c>
      <c r="AH713" s="285" t="s">
        <v>1777</v>
      </c>
      <c r="AI713" s="285" t="s">
        <v>1778</v>
      </c>
      <c r="AJ713" s="24"/>
      <c r="AK713" s="24"/>
      <c r="AL713" s="24"/>
    </row>
    <row r="714" spans="1:38" ht="12.75" customHeight="1">
      <c r="A714" s="22">
        <v>712</v>
      </c>
      <c r="B714" s="24" t="str">
        <f t="shared" si="0"/>
        <v>Done earlier</v>
      </c>
      <c r="C714" s="24" t="str">
        <f t="shared" si="1"/>
        <v>Input Option</v>
      </c>
      <c r="D714" s="24" t="str">
        <f t="shared" si="2"/>
        <v>Urine test</v>
      </c>
      <c r="E714" s="24" t="s">
        <v>2103</v>
      </c>
      <c r="F714" s="24">
        <v>1</v>
      </c>
      <c r="G714" s="24" t="s">
        <v>1767</v>
      </c>
      <c r="H714" s="24"/>
      <c r="I714" s="283"/>
      <c r="J714" s="300"/>
      <c r="K714" s="300"/>
      <c r="L714" s="300"/>
      <c r="M714" s="300"/>
      <c r="N714" s="304" t="s">
        <v>1779</v>
      </c>
      <c r="O714" s="300"/>
      <c r="P714" s="300"/>
      <c r="Q714" s="24"/>
      <c r="R714" s="283"/>
      <c r="S714" s="300"/>
      <c r="T714" s="283"/>
      <c r="U714" s="283"/>
      <c r="V714" s="301"/>
      <c r="W714" s="24"/>
      <c r="X714" s="283"/>
      <c r="Y714" s="24"/>
      <c r="Z714" s="24"/>
      <c r="AA714" s="24"/>
      <c r="AB714" s="24"/>
      <c r="AC714" s="283"/>
      <c r="AD714" s="283"/>
      <c r="AE714" s="283"/>
      <c r="AF714" s="283"/>
      <c r="AG714" s="285" t="s">
        <v>115</v>
      </c>
      <c r="AH714" s="285" t="s">
        <v>1781</v>
      </c>
      <c r="AI714" s="285" t="s">
        <v>1782</v>
      </c>
      <c r="AJ714" s="24"/>
      <c r="AK714" s="24"/>
      <c r="AL714" s="24"/>
    </row>
    <row r="715" spans="1:38" ht="12.75" customHeight="1">
      <c r="A715" s="22">
        <v>713</v>
      </c>
      <c r="B715" s="24" t="str">
        <f t="shared" si="0"/>
        <v>Ordered</v>
      </c>
      <c r="C715" s="24" t="str">
        <f t="shared" si="1"/>
        <v>Input Option</v>
      </c>
      <c r="D715" s="24" t="str">
        <f t="shared" si="2"/>
        <v>Urine test</v>
      </c>
      <c r="E715" s="24" t="s">
        <v>2103</v>
      </c>
      <c r="F715" s="24">
        <v>1</v>
      </c>
      <c r="G715" s="24" t="s">
        <v>1767</v>
      </c>
      <c r="H715" s="24"/>
      <c r="I715" s="283"/>
      <c r="J715" s="224"/>
      <c r="K715" s="224"/>
      <c r="L715" s="224"/>
      <c r="M715" s="224"/>
      <c r="N715" s="204" t="s">
        <v>1783</v>
      </c>
      <c r="O715" s="224"/>
      <c r="P715" s="224"/>
      <c r="Q715" s="24"/>
      <c r="R715" s="283"/>
      <c r="S715" s="224"/>
      <c r="T715" s="283"/>
      <c r="U715" s="283"/>
      <c r="V715" s="164"/>
      <c r="W715" s="24"/>
      <c r="X715" s="283"/>
      <c r="Y715" s="24"/>
      <c r="Z715" s="24"/>
      <c r="AA715" s="24"/>
      <c r="AB715" s="24"/>
      <c r="AC715" s="283"/>
      <c r="AD715" s="283"/>
      <c r="AE715" s="283"/>
      <c r="AF715" s="283"/>
      <c r="AG715" s="285" t="s">
        <v>115</v>
      </c>
      <c r="AH715" s="285" t="s">
        <v>1784</v>
      </c>
      <c r="AI715" s="205" t="s">
        <v>1785</v>
      </c>
      <c r="AJ715" s="24"/>
      <c r="AK715" s="24"/>
      <c r="AL715" s="24"/>
    </row>
    <row r="716" spans="1:38" ht="12.75" customHeight="1">
      <c r="A716" s="22">
        <v>714</v>
      </c>
      <c r="B716" s="24" t="str">
        <f t="shared" si="0"/>
        <v>Not done</v>
      </c>
      <c r="C716" s="24" t="str">
        <f t="shared" si="1"/>
        <v>Input Option</v>
      </c>
      <c r="D716" s="24" t="str">
        <f t="shared" si="2"/>
        <v>Urine test</v>
      </c>
      <c r="E716" s="24" t="s">
        <v>2103</v>
      </c>
      <c r="F716" s="24">
        <v>1</v>
      </c>
      <c r="G716" s="24" t="s">
        <v>1767</v>
      </c>
      <c r="H716" s="24"/>
      <c r="I716" s="283"/>
      <c r="J716" s="224"/>
      <c r="K716" s="224"/>
      <c r="L716" s="224"/>
      <c r="M716" s="224"/>
      <c r="N716" s="204" t="s">
        <v>1468</v>
      </c>
      <c r="O716" s="224"/>
      <c r="P716" s="224"/>
      <c r="Q716" s="24"/>
      <c r="R716" s="283"/>
      <c r="S716" s="224"/>
      <c r="T716" s="283"/>
      <c r="U716" s="283"/>
      <c r="V716" s="164"/>
      <c r="W716" s="24"/>
      <c r="X716" s="283"/>
      <c r="Y716" s="24"/>
      <c r="Z716" s="24"/>
      <c r="AA716" s="24"/>
      <c r="AB716" s="24"/>
      <c r="AC716" s="283"/>
      <c r="AD716" s="283"/>
      <c r="AE716" s="283"/>
      <c r="AF716" s="283"/>
      <c r="AG716" s="285" t="s">
        <v>115</v>
      </c>
      <c r="AH716" s="285" t="s">
        <v>1469</v>
      </c>
      <c r="AI716" s="205" t="s">
        <v>1470</v>
      </c>
      <c r="AJ716" s="24"/>
      <c r="AK716" s="24"/>
      <c r="AL716" s="24"/>
    </row>
    <row r="717" spans="1:38" ht="12.75" customHeight="1">
      <c r="A717" s="22">
        <v>715</v>
      </c>
      <c r="B717" s="24" t="str">
        <f t="shared" si="0"/>
        <v>Reason</v>
      </c>
      <c r="C717" s="24" t="str">
        <f t="shared" si="1"/>
        <v>Data Element</v>
      </c>
      <c r="D717" s="24" t="str">
        <f t="shared" si="2"/>
        <v/>
      </c>
      <c r="E717" s="24" t="s">
        <v>2103</v>
      </c>
      <c r="F717" s="24">
        <v>1</v>
      </c>
      <c r="G717" s="24" t="s">
        <v>1767</v>
      </c>
      <c r="H717" s="24"/>
      <c r="I717" s="283"/>
      <c r="J717" s="224" t="s">
        <v>1376</v>
      </c>
      <c r="K717" s="224" t="s">
        <v>2109</v>
      </c>
      <c r="L717" s="224" t="s">
        <v>2110</v>
      </c>
      <c r="M717" s="224" t="s">
        <v>238</v>
      </c>
      <c r="N717" s="224"/>
      <c r="O717" s="224"/>
      <c r="P717" s="224"/>
      <c r="Q717" s="24"/>
      <c r="R717" s="283"/>
      <c r="S717" s="224" t="s">
        <v>113</v>
      </c>
      <c r="T717" s="283"/>
      <c r="U717" s="283"/>
      <c r="V717" s="164" t="s">
        <v>115</v>
      </c>
      <c r="W717" s="24"/>
      <c r="X717" s="283"/>
      <c r="Y717" s="24"/>
      <c r="Z717" s="24"/>
      <c r="AA717" s="24"/>
      <c r="AB717" s="24"/>
      <c r="AC717" s="283"/>
      <c r="AD717" s="283"/>
      <c r="AE717" s="283"/>
      <c r="AF717" s="283"/>
      <c r="AG717" s="285" t="s">
        <v>2107</v>
      </c>
      <c r="AH717" s="285" t="s">
        <v>1791</v>
      </c>
      <c r="AI717" s="285" t="s">
        <v>1792</v>
      </c>
      <c r="AJ717" s="24"/>
      <c r="AK717" s="24"/>
      <c r="AL717" s="24"/>
    </row>
    <row r="718" spans="1:38" ht="12.75" customHeight="1">
      <c r="A718" s="22">
        <v>716</v>
      </c>
      <c r="B718" s="24" t="str">
        <f t="shared" si="0"/>
        <v>Stock out</v>
      </c>
      <c r="C718" s="24" t="str">
        <f t="shared" si="1"/>
        <v>Input Option</v>
      </c>
      <c r="D718" s="24" t="str">
        <f t="shared" si="2"/>
        <v>Reason</v>
      </c>
      <c r="E718" s="24" t="s">
        <v>2103</v>
      </c>
      <c r="F718" s="24">
        <v>1</v>
      </c>
      <c r="G718" s="24" t="s">
        <v>1767</v>
      </c>
      <c r="H718" s="24"/>
      <c r="I718" s="283"/>
      <c r="J718" s="224"/>
      <c r="K718" s="224"/>
      <c r="L718" s="224"/>
      <c r="M718" s="224"/>
      <c r="N718" s="304" t="s">
        <v>1909</v>
      </c>
      <c r="O718" s="224"/>
      <c r="P718" s="224"/>
      <c r="Q718" s="24"/>
      <c r="R718" s="283"/>
      <c r="S718" s="224"/>
      <c r="T718" s="283"/>
      <c r="U718" s="283"/>
      <c r="V718" s="164"/>
      <c r="W718" s="24"/>
      <c r="X718" s="283"/>
      <c r="Y718" s="24"/>
      <c r="Z718" s="24"/>
      <c r="AA718" s="24"/>
      <c r="AB718" s="24"/>
      <c r="AC718" s="283"/>
      <c r="AD718" s="283"/>
      <c r="AE718" s="283"/>
      <c r="AF718" s="283"/>
      <c r="AG718" s="285" t="s">
        <v>115</v>
      </c>
      <c r="AH718" s="205" t="s">
        <v>1910</v>
      </c>
      <c r="AI718" s="205" t="s">
        <v>1911</v>
      </c>
      <c r="AJ718" s="24"/>
      <c r="AK718" s="24"/>
      <c r="AL718" s="24"/>
    </row>
    <row r="719" spans="1:38" ht="12.75" customHeight="1">
      <c r="A719" s="22">
        <v>717</v>
      </c>
      <c r="B719" s="24" t="str">
        <f t="shared" si="0"/>
        <v>Expired stock</v>
      </c>
      <c r="C719" s="24" t="str">
        <f t="shared" si="1"/>
        <v>Input Option</v>
      </c>
      <c r="D719" s="24" t="str">
        <f t="shared" si="2"/>
        <v>Reason</v>
      </c>
      <c r="E719" s="24" t="s">
        <v>2103</v>
      </c>
      <c r="F719" s="24">
        <v>1</v>
      </c>
      <c r="G719" s="24" t="s">
        <v>1767</v>
      </c>
      <c r="H719" s="24"/>
      <c r="I719" s="283"/>
      <c r="J719" s="224"/>
      <c r="K719" s="224"/>
      <c r="L719" s="224"/>
      <c r="M719" s="224"/>
      <c r="N719" s="293" t="s">
        <v>1912</v>
      </c>
      <c r="O719" s="224"/>
      <c r="P719" s="224"/>
      <c r="Q719" s="24"/>
      <c r="R719" s="283"/>
      <c r="S719" s="224"/>
      <c r="T719" s="283"/>
      <c r="U719" s="283"/>
      <c r="V719" s="164"/>
      <c r="W719" s="24"/>
      <c r="X719" s="283"/>
      <c r="Y719" s="24"/>
      <c r="Z719" s="24"/>
      <c r="AA719" s="24"/>
      <c r="AB719" s="24"/>
      <c r="AC719" s="283"/>
      <c r="AD719" s="283"/>
      <c r="AE719" s="283"/>
      <c r="AF719" s="283"/>
      <c r="AG719" s="285" t="s">
        <v>115</v>
      </c>
      <c r="AH719" s="205" t="s">
        <v>1913</v>
      </c>
      <c r="AI719" s="205" t="s">
        <v>1914</v>
      </c>
      <c r="AJ719" s="24"/>
      <c r="AK719" s="24"/>
      <c r="AL719" s="24"/>
    </row>
    <row r="720" spans="1:38" ht="12.75" customHeight="1">
      <c r="A720" s="22">
        <v>718</v>
      </c>
      <c r="B720" s="24" t="str">
        <f t="shared" si="0"/>
        <v>Other (specify)</v>
      </c>
      <c r="C720" s="24" t="str">
        <f t="shared" si="1"/>
        <v>Input Option</v>
      </c>
      <c r="D720" s="24" t="str">
        <f t="shared" si="2"/>
        <v>Reason</v>
      </c>
      <c r="E720" s="24" t="s">
        <v>2103</v>
      </c>
      <c r="F720" s="24">
        <v>1</v>
      </c>
      <c r="G720" s="24" t="s">
        <v>1767</v>
      </c>
      <c r="H720" s="24"/>
      <c r="I720" s="283"/>
      <c r="J720" s="224"/>
      <c r="K720" s="224"/>
      <c r="L720" s="224"/>
      <c r="M720" s="224"/>
      <c r="N720" s="293" t="s">
        <v>405</v>
      </c>
      <c r="O720" s="224"/>
      <c r="P720" s="224"/>
      <c r="Q720" s="24"/>
      <c r="R720" s="283"/>
      <c r="S720" s="224"/>
      <c r="T720" s="283"/>
      <c r="U720" s="283"/>
      <c r="V720" s="164"/>
      <c r="W720" s="24"/>
      <c r="X720" s="283"/>
      <c r="Y720" s="24"/>
      <c r="Z720" s="24"/>
      <c r="AA720" s="24"/>
      <c r="AB720" s="24"/>
      <c r="AC720" s="283"/>
      <c r="AD720" s="283"/>
      <c r="AE720" s="283"/>
      <c r="AF720" s="283"/>
      <c r="AG720" s="285" t="s">
        <v>115</v>
      </c>
      <c r="AH720" s="285" t="s">
        <v>406</v>
      </c>
      <c r="AI720" s="285" t="s">
        <v>407</v>
      </c>
      <c r="AJ720" s="24"/>
      <c r="AK720" s="24"/>
      <c r="AL720" s="24"/>
    </row>
    <row r="721" spans="1:38" ht="12.75" customHeight="1">
      <c r="A721" s="22">
        <v>719</v>
      </c>
      <c r="B721" s="24" t="str">
        <f t="shared" si="0"/>
        <v>Specify</v>
      </c>
      <c r="C721" s="24" t="str">
        <f t="shared" si="1"/>
        <v>Data Element</v>
      </c>
      <c r="D721" s="24" t="str">
        <f t="shared" si="2"/>
        <v/>
      </c>
      <c r="E721" s="24" t="s">
        <v>2103</v>
      </c>
      <c r="F721" s="24">
        <v>1</v>
      </c>
      <c r="G721" s="24" t="s">
        <v>1767</v>
      </c>
      <c r="H721" s="24"/>
      <c r="I721" s="283"/>
      <c r="J721" s="224" t="s">
        <v>409</v>
      </c>
      <c r="K721" s="224" t="s">
        <v>2112</v>
      </c>
      <c r="L721" s="224" t="s">
        <v>2113</v>
      </c>
      <c r="M721" s="224" t="s">
        <v>111</v>
      </c>
      <c r="N721" s="224"/>
      <c r="O721" s="224"/>
      <c r="P721" s="224"/>
      <c r="Q721" s="24"/>
      <c r="R721" s="283"/>
      <c r="S721" s="224" t="s">
        <v>208</v>
      </c>
      <c r="T721" s="283"/>
      <c r="U721" s="283"/>
      <c r="V721" s="164" t="s">
        <v>115</v>
      </c>
      <c r="W721" s="24"/>
      <c r="X721" s="283"/>
      <c r="Y721" s="24"/>
      <c r="Z721" s="24"/>
      <c r="AA721" s="24"/>
      <c r="AB721" s="24"/>
      <c r="AC721" s="283"/>
      <c r="AD721" s="283"/>
      <c r="AE721" s="283"/>
      <c r="AF721" s="283"/>
      <c r="AG721" s="285" t="s">
        <v>2107</v>
      </c>
      <c r="AH721" s="294" t="s">
        <v>1800</v>
      </c>
      <c r="AI721" s="294" t="s">
        <v>1801</v>
      </c>
      <c r="AJ721" s="24"/>
      <c r="AK721" s="24"/>
      <c r="AL721" s="24"/>
    </row>
    <row r="722" spans="1:38" ht="12.75" customHeight="1">
      <c r="A722" s="22">
        <v>720</v>
      </c>
      <c r="B722" s="24" t="str">
        <f t="shared" si="0"/>
        <v>Urine test date</v>
      </c>
      <c r="C722" s="24" t="str">
        <f t="shared" si="1"/>
        <v>Data Element</v>
      </c>
      <c r="D722" s="24" t="str">
        <f t="shared" si="2"/>
        <v/>
      </c>
      <c r="E722" s="24" t="s">
        <v>2103</v>
      </c>
      <c r="F722" s="24">
        <v>1</v>
      </c>
      <c r="G722" s="24" t="s">
        <v>1767</v>
      </c>
      <c r="H722" s="24"/>
      <c r="I722" s="283"/>
      <c r="J722" s="346" t="s">
        <v>2114</v>
      </c>
      <c r="K722" s="346" t="s">
        <v>2115</v>
      </c>
      <c r="L722" s="304" t="s">
        <v>2116</v>
      </c>
      <c r="M722" s="304" t="s">
        <v>140</v>
      </c>
      <c r="N722" s="293"/>
      <c r="O722" s="293"/>
      <c r="P722" s="293"/>
      <c r="Q722" s="24"/>
      <c r="R722" s="283"/>
      <c r="S722" s="346" t="s">
        <v>113</v>
      </c>
      <c r="T722" s="283"/>
      <c r="U722" s="283"/>
      <c r="V722" s="304" t="s">
        <v>115</v>
      </c>
      <c r="W722" s="24"/>
      <c r="X722" s="283"/>
      <c r="Y722" s="24"/>
      <c r="Z722" s="24"/>
      <c r="AA722" s="24"/>
      <c r="AB722" s="24"/>
      <c r="AC722" s="283"/>
      <c r="AD722" s="283"/>
      <c r="AE722" s="283"/>
      <c r="AF722" s="283"/>
      <c r="AG722" s="294" t="s">
        <v>2107</v>
      </c>
      <c r="AH722" s="294" t="s">
        <v>1804</v>
      </c>
      <c r="AI722" s="294" t="s">
        <v>1805</v>
      </c>
      <c r="AJ722" s="24"/>
      <c r="AK722" s="24"/>
      <c r="AL722" s="24"/>
    </row>
    <row r="723" spans="1:38" ht="12.75" customHeight="1">
      <c r="A723" s="22">
        <v>721</v>
      </c>
      <c r="B723" s="24" t="str">
        <f t="shared" si="0"/>
        <v>Urine test type</v>
      </c>
      <c r="C723" s="24" t="str">
        <f t="shared" si="1"/>
        <v>Data Element</v>
      </c>
      <c r="D723" s="24" t="str">
        <f t="shared" si="2"/>
        <v/>
      </c>
      <c r="E723" s="24" t="s">
        <v>2103</v>
      </c>
      <c r="F723" s="24">
        <v>1</v>
      </c>
      <c r="G723" s="24" t="s">
        <v>1767</v>
      </c>
      <c r="H723" s="24"/>
      <c r="I723" s="283"/>
      <c r="J723" s="224" t="s">
        <v>2117</v>
      </c>
      <c r="K723" s="224" t="s">
        <v>2119</v>
      </c>
      <c r="L723" s="224" t="s">
        <v>2120</v>
      </c>
      <c r="M723" s="224" t="s">
        <v>238</v>
      </c>
      <c r="N723" s="224"/>
      <c r="O723" s="224"/>
      <c r="P723" s="224"/>
      <c r="Q723" s="24"/>
      <c r="R723" s="283"/>
      <c r="S723" s="224" t="s">
        <v>113</v>
      </c>
      <c r="T723" s="283"/>
      <c r="U723" s="283"/>
      <c r="V723" s="164" t="s">
        <v>115</v>
      </c>
      <c r="W723" s="24"/>
      <c r="X723" s="283"/>
      <c r="Y723" s="24"/>
      <c r="Z723" s="24"/>
      <c r="AA723" s="24"/>
      <c r="AB723" s="24"/>
      <c r="AC723" s="283"/>
      <c r="AD723" s="283"/>
      <c r="AE723" s="283"/>
      <c r="AF723" s="283"/>
      <c r="AG723" s="285" t="s">
        <v>115</v>
      </c>
      <c r="AH723" s="285" t="s">
        <v>2121</v>
      </c>
      <c r="AI723" s="285" t="s">
        <v>2122</v>
      </c>
      <c r="AJ723" s="24"/>
      <c r="AK723" s="24"/>
      <c r="AL723" s="24"/>
    </row>
    <row r="724" spans="1:38" ht="12.75" customHeight="1">
      <c r="A724" s="22">
        <v>722</v>
      </c>
      <c r="B724" s="24" t="str">
        <f t="shared" si="0"/>
        <v>Midstream urine culture (recommended)</v>
      </c>
      <c r="C724" s="24" t="str">
        <f t="shared" si="1"/>
        <v>Input Option</v>
      </c>
      <c r="D724" s="24" t="str">
        <f t="shared" si="2"/>
        <v>Urine test type</v>
      </c>
      <c r="E724" s="24" t="s">
        <v>2103</v>
      </c>
      <c r="F724" s="24">
        <v>1</v>
      </c>
      <c r="G724" s="24" t="s">
        <v>1767</v>
      </c>
      <c r="H724" s="24"/>
      <c r="I724" s="283"/>
      <c r="J724" s="224"/>
      <c r="K724" s="224"/>
      <c r="L724" s="224"/>
      <c r="M724" s="224"/>
      <c r="N724" s="224" t="s">
        <v>2123</v>
      </c>
      <c r="O724" s="164"/>
      <c r="P724" s="164"/>
      <c r="Q724" s="24"/>
      <c r="R724" s="283"/>
      <c r="S724" s="224"/>
      <c r="T724" s="283"/>
      <c r="U724" s="283"/>
      <c r="V724" s="164"/>
      <c r="W724" s="24"/>
      <c r="X724" s="283"/>
      <c r="Y724" s="24"/>
      <c r="Z724" s="24"/>
      <c r="AA724" s="24"/>
      <c r="AB724" s="24"/>
      <c r="AC724" s="283"/>
      <c r="AD724" s="283"/>
      <c r="AE724" s="283"/>
      <c r="AF724" s="283"/>
      <c r="AG724" s="285" t="s">
        <v>115</v>
      </c>
      <c r="AH724" s="285" t="s">
        <v>2124</v>
      </c>
      <c r="AI724" s="285" t="s">
        <v>2125</v>
      </c>
      <c r="AJ724" s="24"/>
      <c r="AK724" s="24"/>
      <c r="AL724" s="24"/>
    </row>
    <row r="725" spans="1:38" ht="12.75" customHeight="1">
      <c r="A725" s="22">
        <v>723</v>
      </c>
      <c r="B725" s="24" t="str">
        <f t="shared" si="0"/>
        <v>Midstream urine Gram-staining</v>
      </c>
      <c r="C725" s="24" t="str">
        <f t="shared" si="1"/>
        <v>Input Option</v>
      </c>
      <c r="D725" s="24" t="str">
        <f t="shared" si="2"/>
        <v>Urine test type</v>
      </c>
      <c r="E725" s="24" t="s">
        <v>2103</v>
      </c>
      <c r="F725" s="24">
        <v>1</v>
      </c>
      <c r="G725" s="24" t="s">
        <v>1767</v>
      </c>
      <c r="H725" s="24"/>
      <c r="I725" s="283"/>
      <c r="J725" s="224"/>
      <c r="K725" s="224"/>
      <c r="L725" s="224"/>
      <c r="M725" s="224"/>
      <c r="N725" s="224" t="s">
        <v>2126</v>
      </c>
      <c r="O725" s="164"/>
      <c r="P725" s="164"/>
      <c r="Q725" s="24"/>
      <c r="R725" s="283"/>
      <c r="S725" s="224"/>
      <c r="T725" s="283"/>
      <c r="U725" s="283"/>
      <c r="V725" s="164"/>
      <c r="W725" s="24"/>
      <c r="X725" s="283"/>
      <c r="Y725" s="24"/>
      <c r="Z725" s="24"/>
      <c r="AA725" s="24"/>
      <c r="AB725" s="24"/>
      <c r="AC725" s="283"/>
      <c r="AD725" s="283"/>
      <c r="AE725" s="283"/>
      <c r="AF725" s="283"/>
      <c r="AG725" s="285" t="s">
        <v>115</v>
      </c>
      <c r="AH725" s="205" t="s">
        <v>2127</v>
      </c>
      <c r="AI725" s="285" t="s">
        <v>2128</v>
      </c>
      <c r="AJ725" s="24"/>
      <c r="AK725" s="24"/>
      <c r="AL725" s="24"/>
    </row>
    <row r="726" spans="1:38" ht="12.75" customHeight="1">
      <c r="A726" s="22">
        <v>724</v>
      </c>
      <c r="B726" s="24" t="str">
        <f t="shared" si="0"/>
        <v>Urine dipstick</v>
      </c>
      <c r="C726" s="24" t="str">
        <f t="shared" si="1"/>
        <v>Input Option</v>
      </c>
      <c r="D726" s="24" t="str">
        <f t="shared" si="2"/>
        <v>Urine test type</v>
      </c>
      <c r="E726" s="24" t="s">
        <v>2103</v>
      </c>
      <c r="F726" s="24">
        <v>1</v>
      </c>
      <c r="G726" s="24" t="s">
        <v>1767</v>
      </c>
      <c r="H726" s="24"/>
      <c r="I726" s="283"/>
      <c r="J726" s="224"/>
      <c r="K726" s="224"/>
      <c r="L726" s="224"/>
      <c r="M726" s="224"/>
      <c r="N726" s="224" t="s">
        <v>2129</v>
      </c>
      <c r="O726" s="164"/>
      <c r="P726" s="164"/>
      <c r="Q726" s="24"/>
      <c r="R726" s="283"/>
      <c r="S726" s="224"/>
      <c r="T726" s="283"/>
      <c r="U726" s="283"/>
      <c r="V726" s="164"/>
      <c r="W726" s="24"/>
      <c r="X726" s="283"/>
      <c r="Y726" s="24"/>
      <c r="Z726" s="24"/>
      <c r="AA726" s="24"/>
      <c r="AB726" s="24"/>
      <c r="AC726" s="283"/>
      <c r="AD726" s="283"/>
      <c r="AE726" s="283"/>
      <c r="AF726" s="283"/>
      <c r="AG726" s="285" t="s">
        <v>115</v>
      </c>
      <c r="AH726" s="205" t="s">
        <v>2131</v>
      </c>
      <c r="AI726" s="285" t="s">
        <v>2132</v>
      </c>
      <c r="AJ726" s="24"/>
      <c r="AK726" s="24"/>
      <c r="AL726" s="24"/>
    </row>
    <row r="727" spans="1:38" ht="12.75" customHeight="1">
      <c r="A727" s="22">
        <v>725</v>
      </c>
      <c r="B727" s="24" t="str">
        <f t="shared" si="0"/>
        <v>Midstream urine culture (recommended)</v>
      </c>
      <c r="C727" s="24" t="str">
        <f t="shared" si="1"/>
        <v>Data Element</v>
      </c>
      <c r="D727" s="24" t="str">
        <f t="shared" si="2"/>
        <v/>
      </c>
      <c r="E727" s="24" t="s">
        <v>2103</v>
      </c>
      <c r="F727" s="24">
        <v>1</v>
      </c>
      <c r="G727" s="24" t="s">
        <v>1767</v>
      </c>
      <c r="H727" s="24"/>
      <c r="I727" s="283"/>
      <c r="J727" s="224" t="s">
        <v>2123</v>
      </c>
      <c r="K727" s="224" t="s">
        <v>2133</v>
      </c>
      <c r="L727" s="224" t="s">
        <v>2134</v>
      </c>
      <c r="M727" s="224" t="s">
        <v>202</v>
      </c>
      <c r="N727" s="224"/>
      <c r="O727" s="164"/>
      <c r="P727" s="164"/>
      <c r="Q727" s="24"/>
      <c r="R727" s="283"/>
      <c r="S727" s="224" t="s">
        <v>113</v>
      </c>
      <c r="T727" s="283"/>
      <c r="U727" s="283"/>
      <c r="V727" s="164" t="s">
        <v>115</v>
      </c>
      <c r="W727" s="24"/>
      <c r="X727" s="283"/>
      <c r="Y727" s="24"/>
      <c r="Z727" s="24"/>
      <c r="AA727" s="24"/>
      <c r="AB727" s="24"/>
      <c r="AC727" s="283"/>
      <c r="AD727" s="283"/>
      <c r="AE727" s="283"/>
      <c r="AF727" s="283"/>
      <c r="AG727" s="285" t="s">
        <v>115</v>
      </c>
      <c r="AH727" s="285" t="s">
        <v>2124</v>
      </c>
      <c r="AI727" s="285" t="s">
        <v>2125</v>
      </c>
      <c r="AJ727" s="24"/>
      <c r="AK727" s="24"/>
      <c r="AL727" s="24"/>
    </row>
    <row r="728" spans="1:38" ht="12.75" customHeight="1">
      <c r="A728" s="22">
        <v>726</v>
      </c>
      <c r="B728" s="24" t="str">
        <f t="shared" si="0"/>
        <v>Positive - any agent</v>
      </c>
      <c r="C728" s="24" t="str">
        <f t="shared" si="1"/>
        <v>Input Option</v>
      </c>
      <c r="D728" s="24" t="str">
        <f t="shared" si="2"/>
        <v>Midstream urine culture (recommended)</v>
      </c>
      <c r="E728" s="24" t="s">
        <v>2103</v>
      </c>
      <c r="F728" s="24">
        <v>1</v>
      </c>
      <c r="G728" s="24" t="s">
        <v>1767</v>
      </c>
      <c r="H728" s="24"/>
      <c r="I728" s="283"/>
      <c r="J728" s="224"/>
      <c r="K728" s="224"/>
      <c r="L728" s="224"/>
      <c r="M728" s="224"/>
      <c r="N728" s="224" t="s">
        <v>2135</v>
      </c>
      <c r="O728" s="164"/>
      <c r="P728" s="164"/>
      <c r="Q728" s="24"/>
      <c r="R728" s="283"/>
      <c r="S728" s="224"/>
      <c r="T728" s="283"/>
      <c r="U728" s="283"/>
      <c r="V728" s="164"/>
      <c r="W728" s="24"/>
      <c r="X728" s="283"/>
      <c r="Y728" s="24"/>
      <c r="Z728" s="24"/>
      <c r="AA728" s="24"/>
      <c r="AB728" s="24"/>
      <c r="AC728" s="283"/>
      <c r="AD728" s="283"/>
      <c r="AE728" s="283"/>
      <c r="AF728" s="283"/>
      <c r="AG728" s="285" t="s">
        <v>115</v>
      </c>
      <c r="AH728" s="205" t="s">
        <v>2136</v>
      </c>
      <c r="AI728" s="285" t="s">
        <v>2137</v>
      </c>
      <c r="AJ728" s="24"/>
      <c r="AK728" s="24"/>
      <c r="AL728" s="24"/>
    </row>
    <row r="729" spans="1:38" ht="12.75" customHeight="1">
      <c r="A729" s="22">
        <v>727</v>
      </c>
      <c r="B729" s="24" t="str">
        <f t="shared" si="0"/>
        <v>Positive - Group B Streptococcus (GBS)</v>
      </c>
      <c r="C729" s="24" t="str">
        <f t="shared" si="1"/>
        <v>Input Option</v>
      </c>
      <c r="D729" s="24" t="str">
        <f t="shared" si="2"/>
        <v>Midstream urine culture (recommended)</v>
      </c>
      <c r="E729" s="24" t="s">
        <v>2103</v>
      </c>
      <c r="F729" s="24">
        <v>1</v>
      </c>
      <c r="G729" s="24" t="s">
        <v>1767</v>
      </c>
      <c r="H729" s="24"/>
      <c r="I729" s="283"/>
      <c r="J729" s="224"/>
      <c r="K729" s="224"/>
      <c r="L729" s="224"/>
      <c r="M729" s="224"/>
      <c r="N729" s="224" t="s">
        <v>2138</v>
      </c>
      <c r="O729" s="164"/>
      <c r="P729" s="164"/>
      <c r="Q729" s="24"/>
      <c r="R729" s="283"/>
      <c r="S729" s="224"/>
      <c r="T729" s="283"/>
      <c r="U729" s="283"/>
      <c r="V729" s="164"/>
      <c r="W729" s="24"/>
      <c r="X729" s="283"/>
      <c r="Y729" s="24"/>
      <c r="Z729" s="24"/>
      <c r="AA729" s="24"/>
      <c r="AB729" s="24"/>
      <c r="AC729" s="283"/>
      <c r="AD729" s="283"/>
      <c r="AE729" s="283"/>
      <c r="AF729" s="283"/>
      <c r="AG729" s="285" t="s">
        <v>115</v>
      </c>
      <c r="AH729" s="205" t="s">
        <v>2139</v>
      </c>
      <c r="AI729" s="285" t="s">
        <v>2140</v>
      </c>
      <c r="AJ729" s="24"/>
      <c r="AK729" s="24"/>
      <c r="AL729" s="24"/>
    </row>
    <row r="730" spans="1:38" ht="12.75" customHeight="1">
      <c r="A730" s="22">
        <v>728</v>
      </c>
      <c r="B730" s="24" t="str">
        <f t="shared" si="0"/>
        <v>Negative</v>
      </c>
      <c r="C730" s="24" t="str">
        <f t="shared" si="1"/>
        <v>Input Option</v>
      </c>
      <c r="D730" s="24" t="str">
        <f t="shared" si="2"/>
        <v>Midstream urine culture (recommended)</v>
      </c>
      <c r="E730" s="24" t="s">
        <v>2103</v>
      </c>
      <c r="F730" s="24">
        <v>1</v>
      </c>
      <c r="G730" s="24" t="s">
        <v>1767</v>
      </c>
      <c r="H730" s="24"/>
      <c r="I730" s="283"/>
      <c r="J730" s="224"/>
      <c r="K730" s="224"/>
      <c r="L730" s="224"/>
      <c r="M730" s="224"/>
      <c r="N730" s="224" t="s">
        <v>1126</v>
      </c>
      <c r="O730" s="164"/>
      <c r="P730" s="164"/>
      <c r="Q730" s="24"/>
      <c r="R730" s="283"/>
      <c r="S730" s="224"/>
      <c r="T730" s="283"/>
      <c r="U730" s="283"/>
      <c r="V730" s="164"/>
      <c r="W730" s="24"/>
      <c r="X730" s="283"/>
      <c r="Y730" s="24"/>
      <c r="Z730" s="24"/>
      <c r="AA730" s="24"/>
      <c r="AB730" s="24"/>
      <c r="AC730" s="283"/>
      <c r="AD730" s="283"/>
      <c r="AE730" s="283"/>
      <c r="AF730" s="283"/>
      <c r="AG730" s="285" t="s">
        <v>115</v>
      </c>
      <c r="AH730" s="285" t="s">
        <v>2141</v>
      </c>
      <c r="AI730" s="285" t="s">
        <v>2142</v>
      </c>
      <c r="AJ730" s="24"/>
      <c r="AK730" s="24"/>
      <c r="AL730" s="24"/>
    </row>
    <row r="731" spans="1:38" ht="12.75" customHeight="1">
      <c r="A731" s="22">
        <v>729</v>
      </c>
      <c r="B731" s="24" t="str">
        <f t="shared" si="0"/>
        <v xml:space="preserve">Midstream urine Gram-staining  </v>
      </c>
      <c r="C731" s="24" t="str">
        <f t="shared" si="1"/>
        <v>Data Element</v>
      </c>
      <c r="D731" s="24" t="str">
        <f t="shared" si="2"/>
        <v/>
      </c>
      <c r="E731" s="24" t="s">
        <v>2103</v>
      </c>
      <c r="F731" s="24">
        <v>1</v>
      </c>
      <c r="G731" s="24" t="s">
        <v>1767</v>
      </c>
      <c r="H731" s="24"/>
      <c r="I731" s="283"/>
      <c r="J731" s="224" t="s">
        <v>2144</v>
      </c>
      <c r="K731" s="224" t="s">
        <v>2145</v>
      </c>
      <c r="L731" s="224" t="s">
        <v>2146</v>
      </c>
      <c r="M731" s="224" t="s">
        <v>202</v>
      </c>
      <c r="N731" s="224"/>
      <c r="O731" s="164"/>
      <c r="P731" s="164"/>
      <c r="Q731" s="24"/>
      <c r="R731" s="283"/>
      <c r="S731" s="224" t="s">
        <v>113</v>
      </c>
      <c r="T731" s="283"/>
      <c r="U731" s="283"/>
      <c r="V731" s="164" t="s">
        <v>115</v>
      </c>
      <c r="W731" s="24"/>
      <c r="X731" s="283"/>
      <c r="Y731" s="24"/>
      <c r="Z731" s="24"/>
      <c r="AA731" s="24"/>
      <c r="AB731" s="24"/>
      <c r="AC731" s="283"/>
      <c r="AD731" s="283"/>
      <c r="AE731" s="283"/>
      <c r="AF731" s="283"/>
      <c r="AG731" s="285" t="s">
        <v>115</v>
      </c>
      <c r="AH731" s="205" t="s">
        <v>2127</v>
      </c>
      <c r="AI731" s="285" t="s">
        <v>2128</v>
      </c>
      <c r="AJ731" s="24"/>
      <c r="AK731" s="24"/>
      <c r="AL731" s="24"/>
    </row>
    <row r="732" spans="1:38" ht="12.75" customHeight="1">
      <c r="A732" s="22">
        <v>730</v>
      </c>
      <c r="B732" s="24" t="str">
        <f t="shared" si="0"/>
        <v>Positive</v>
      </c>
      <c r="C732" s="24" t="str">
        <f t="shared" si="1"/>
        <v>Input Option</v>
      </c>
      <c r="D732" s="24" t="str">
        <f t="shared" si="2"/>
        <v xml:space="preserve">Midstream urine Gram-staining  </v>
      </c>
      <c r="E732" s="24" t="s">
        <v>2103</v>
      </c>
      <c r="F732" s="24">
        <v>1</v>
      </c>
      <c r="G732" s="24" t="s">
        <v>1767</v>
      </c>
      <c r="H732" s="24"/>
      <c r="I732" s="283"/>
      <c r="J732" s="196"/>
      <c r="K732" s="224"/>
      <c r="L732" s="224"/>
      <c r="M732" s="224"/>
      <c r="N732" s="224" t="s">
        <v>1122</v>
      </c>
      <c r="O732" s="224"/>
      <c r="P732" s="164"/>
      <c r="Q732" s="24"/>
      <c r="R732" s="283"/>
      <c r="S732" s="224"/>
      <c r="T732" s="283"/>
      <c r="U732" s="283"/>
      <c r="V732" s="164"/>
      <c r="W732" s="24"/>
      <c r="X732" s="283"/>
      <c r="Y732" s="24"/>
      <c r="Z732" s="24"/>
      <c r="AA732" s="24"/>
      <c r="AB732" s="24"/>
      <c r="AC732" s="283"/>
      <c r="AD732" s="283"/>
      <c r="AE732" s="283"/>
      <c r="AF732" s="283"/>
      <c r="AG732" s="285" t="s">
        <v>115</v>
      </c>
      <c r="AH732" s="285" t="s">
        <v>1897</v>
      </c>
      <c r="AI732" s="285" t="s">
        <v>1125</v>
      </c>
      <c r="AJ732" s="24"/>
      <c r="AK732" s="24"/>
      <c r="AL732" s="24"/>
    </row>
    <row r="733" spans="1:38" ht="12.75" customHeight="1">
      <c r="A733" s="22">
        <v>731</v>
      </c>
      <c r="B733" s="24" t="str">
        <f t="shared" si="0"/>
        <v>Negative</v>
      </c>
      <c r="C733" s="24" t="str">
        <f t="shared" si="1"/>
        <v>Input Option</v>
      </c>
      <c r="D733" s="24" t="str">
        <f t="shared" si="2"/>
        <v xml:space="preserve">Midstream urine Gram-staining  </v>
      </c>
      <c r="E733" s="24" t="s">
        <v>2103</v>
      </c>
      <c r="F733" s="24">
        <v>1</v>
      </c>
      <c r="G733" s="24" t="s">
        <v>1767</v>
      </c>
      <c r="H733" s="24"/>
      <c r="I733" s="283"/>
      <c r="J733" s="196"/>
      <c r="K733" s="224"/>
      <c r="L733" s="224"/>
      <c r="M733" s="224"/>
      <c r="N733" s="224" t="s">
        <v>1126</v>
      </c>
      <c r="O733" s="224"/>
      <c r="P733" s="164"/>
      <c r="Q733" s="24"/>
      <c r="R733" s="283"/>
      <c r="S733" s="224"/>
      <c r="T733" s="283"/>
      <c r="U733" s="283"/>
      <c r="V733" s="164"/>
      <c r="W733" s="24"/>
      <c r="X733" s="283"/>
      <c r="Y733" s="24"/>
      <c r="Z733" s="24"/>
      <c r="AA733" s="24"/>
      <c r="AB733" s="24"/>
      <c r="AC733" s="283"/>
      <c r="AD733" s="283"/>
      <c r="AE733" s="283"/>
      <c r="AF733" s="283"/>
      <c r="AG733" s="285" t="s">
        <v>115</v>
      </c>
      <c r="AH733" s="285" t="s">
        <v>1128</v>
      </c>
      <c r="AI733" s="285" t="s">
        <v>1129</v>
      </c>
      <c r="AJ733" s="24"/>
      <c r="AK733" s="24"/>
      <c r="AL733" s="24"/>
    </row>
    <row r="734" spans="1:38" ht="12.75" customHeight="1">
      <c r="A734" s="22">
        <v>732</v>
      </c>
      <c r="B734" s="24" t="str">
        <f t="shared" si="0"/>
        <v>Urine dipstick result - nitrites</v>
      </c>
      <c r="C734" s="24" t="str">
        <f t="shared" si="1"/>
        <v>Data Element</v>
      </c>
      <c r="D734" s="24" t="str">
        <f t="shared" si="2"/>
        <v/>
      </c>
      <c r="E734" s="24" t="s">
        <v>2103</v>
      </c>
      <c r="F734" s="24">
        <v>1</v>
      </c>
      <c r="G734" s="24" t="s">
        <v>1767</v>
      </c>
      <c r="H734" s="24"/>
      <c r="I734" s="283"/>
      <c r="J734" s="196" t="s">
        <v>2147</v>
      </c>
      <c r="K734" s="224" t="s">
        <v>2148</v>
      </c>
      <c r="L734" s="224" t="s">
        <v>2149</v>
      </c>
      <c r="M734" s="224" t="s">
        <v>202</v>
      </c>
      <c r="N734" s="224"/>
      <c r="O734" s="224"/>
      <c r="P734" s="164"/>
      <c r="Q734" s="24"/>
      <c r="R734" s="283"/>
      <c r="S734" s="224" t="s">
        <v>113</v>
      </c>
      <c r="T734" s="283"/>
      <c r="U734" s="283"/>
      <c r="V734" s="164" t="s">
        <v>115</v>
      </c>
      <c r="W734" s="24"/>
      <c r="X734" s="283"/>
      <c r="Y734" s="24"/>
      <c r="Z734" s="24"/>
      <c r="AA734" s="24"/>
      <c r="AB734" s="24"/>
      <c r="AC734" s="283"/>
      <c r="AD734" s="283"/>
      <c r="AE734" s="283"/>
      <c r="AF734" s="283"/>
      <c r="AG734" s="285" t="s">
        <v>115</v>
      </c>
      <c r="AH734" s="205" t="s">
        <v>2150</v>
      </c>
      <c r="AI734" s="285" t="s">
        <v>2151</v>
      </c>
      <c r="AJ734" s="24"/>
      <c r="AK734" s="24"/>
      <c r="AL734" s="24"/>
    </row>
    <row r="735" spans="1:38" ht="12.75" customHeight="1">
      <c r="A735" s="22">
        <v>733</v>
      </c>
      <c r="B735" s="24" t="str">
        <f t="shared" si="0"/>
        <v>None</v>
      </c>
      <c r="C735" s="24" t="str">
        <f t="shared" si="1"/>
        <v>Input Option</v>
      </c>
      <c r="D735" s="24" t="str">
        <f t="shared" si="2"/>
        <v>Urine dipstick result - nitrites</v>
      </c>
      <c r="E735" s="24" t="s">
        <v>2103</v>
      </c>
      <c r="F735" s="24">
        <v>1</v>
      </c>
      <c r="G735" s="24" t="s">
        <v>1767</v>
      </c>
      <c r="H735" s="24"/>
      <c r="I735" s="283"/>
      <c r="J735" s="196"/>
      <c r="K735" s="224"/>
      <c r="L735" s="224"/>
      <c r="M735" s="224"/>
      <c r="N735" s="224" t="s">
        <v>423</v>
      </c>
      <c r="O735" s="224"/>
      <c r="P735" s="164"/>
      <c r="Q735" s="24"/>
      <c r="R735" s="283"/>
      <c r="S735" s="224"/>
      <c r="T735" s="283"/>
      <c r="U735" s="283"/>
      <c r="V735" s="164"/>
      <c r="W735" s="24"/>
      <c r="X735" s="283"/>
      <c r="Y735" s="24"/>
      <c r="Z735" s="24"/>
      <c r="AA735" s="24"/>
      <c r="AB735" s="24"/>
      <c r="AC735" s="283"/>
      <c r="AD735" s="283"/>
      <c r="AE735" s="283"/>
      <c r="AF735" s="283"/>
      <c r="AG735" s="285" t="s">
        <v>115</v>
      </c>
      <c r="AH735" s="205" t="s">
        <v>424</v>
      </c>
      <c r="AI735" s="285" t="s">
        <v>425</v>
      </c>
      <c r="AJ735" s="24"/>
      <c r="AK735" s="24"/>
      <c r="AL735" s="24"/>
    </row>
    <row r="736" spans="1:38" ht="12.75" customHeight="1">
      <c r="A736" s="22">
        <v>734</v>
      </c>
      <c r="B736" s="24" t="str">
        <f t="shared" si="0"/>
        <v>+</v>
      </c>
      <c r="C736" s="24" t="str">
        <f t="shared" si="1"/>
        <v>Input Option</v>
      </c>
      <c r="D736" s="24" t="str">
        <f t="shared" si="2"/>
        <v>Urine dipstick result - nitrites</v>
      </c>
      <c r="E736" s="24" t="s">
        <v>2103</v>
      </c>
      <c r="F736" s="24">
        <v>1</v>
      </c>
      <c r="G736" s="24" t="s">
        <v>1767</v>
      </c>
      <c r="H736" s="24"/>
      <c r="I736" s="283"/>
      <c r="J736" s="196"/>
      <c r="K736" s="224"/>
      <c r="L736" s="224"/>
      <c r="M736" s="224"/>
      <c r="N736" s="347" t="s">
        <v>1421</v>
      </c>
      <c r="O736" s="224"/>
      <c r="P736" s="164"/>
      <c r="Q736" s="24"/>
      <c r="R736" s="283"/>
      <c r="S736" s="224"/>
      <c r="T736" s="283"/>
      <c r="U736" s="283"/>
      <c r="V736" s="164"/>
      <c r="W736" s="24"/>
      <c r="X736" s="283"/>
      <c r="Y736" s="24"/>
      <c r="Z736" s="24"/>
      <c r="AA736" s="24"/>
      <c r="AB736" s="24"/>
      <c r="AC736" s="283"/>
      <c r="AD736" s="283"/>
      <c r="AE736" s="283"/>
      <c r="AF736" s="283"/>
      <c r="AG736" s="285" t="s">
        <v>115</v>
      </c>
      <c r="AH736" s="285" t="s">
        <v>1422</v>
      </c>
      <c r="AI736" s="205" t="s">
        <v>1423</v>
      </c>
      <c r="AJ736" s="24"/>
      <c r="AK736" s="24"/>
      <c r="AL736" s="24"/>
    </row>
    <row r="737" spans="1:38" ht="12.75" customHeight="1">
      <c r="A737" s="22">
        <v>735</v>
      </c>
      <c r="B737" s="24" t="str">
        <f t="shared" si="0"/>
        <v>++</v>
      </c>
      <c r="C737" s="24" t="str">
        <f t="shared" si="1"/>
        <v>Input Option</v>
      </c>
      <c r="D737" s="24" t="str">
        <f t="shared" si="2"/>
        <v>Urine dipstick result - nitrites</v>
      </c>
      <c r="E737" s="24" t="s">
        <v>2103</v>
      </c>
      <c r="F737" s="24">
        <v>1</v>
      </c>
      <c r="G737" s="24" t="s">
        <v>1767</v>
      </c>
      <c r="H737" s="24"/>
      <c r="I737" s="283"/>
      <c r="J737" s="196"/>
      <c r="K737" s="224"/>
      <c r="L737" s="224"/>
      <c r="M737" s="224"/>
      <c r="N737" s="347" t="s">
        <v>1424</v>
      </c>
      <c r="O737" s="224"/>
      <c r="P737" s="164"/>
      <c r="Q737" s="24"/>
      <c r="R737" s="283"/>
      <c r="S737" s="224"/>
      <c r="T737" s="283"/>
      <c r="U737" s="283"/>
      <c r="V737" s="164"/>
      <c r="W737" s="24"/>
      <c r="X737" s="283"/>
      <c r="Y737" s="24"/>
      <c r="Z737" s="24"/>
      <c r="AA737" s="24"/>
      <c r="AB737" s="24"/>
      <c r="AC737" s="283"/>
      <c r="AD737" s="283"/>
      <c r="AE737" s="283"/>
      <c r="AF737" s="283"/>
      <c r="AG737" s="285" t="s">
        <v>115</v>
      </c>
      <c r="AH737" s="285" t="s">
        <v>1425</v>
      </c>
      <c r="AI737" s="285" t="s">
        <v>1426</v>
      </c>
      <c r="AJ737" s="24"/>
      <c r="AK737" s="24"/>
      <c r="AL737" s="24"/>
    </row>
    <row r="738" spans="1:38" ht="12.75" customHeight="1">
      <c r="A738" s="22">
        <v>736</v>
      </c>
      <c r="B738" s="24" t="str">
        <f t="shared" si="0"/>
        <v>+++</v>
      </c>
      <c r="C738" s="24" t="str">
        <f t="shared" si="1"/>
        <v>Input Option</v>
      </c>
      <c r="D738" s="24" t="str">
        <f t="shared" si="2"/>
        <v>Urine dipstick result - nitrites</v>
      </c>
      <c r="E738" s="24" t="s">
        <v>2103</v>
      </c>
      <c r="F738" s="24">
        <v>1</v>
      </c>
      <c r="G738" s="24" t="s">
        <v>1767</v>
      </c>
      <c r="H738" s="24"/>
      <c r="I738" s="283"/>
      <c r="J738" s="196"/>
      <c r="K738" s="224"/>
      <c r="L738" s="224"/>
      <c r="M738" s="224"/>
      <c r="N738" s="347" t="s">
        <v>1427</v>
      </c>
      <c r="O738" s="224"/>
      <c r="P738" s="164"/>
      <c r="Q738" s="24"/>
      <c r="R738" s="283"/>
      <c r="S738" s="224"/>
      <c r="T738" s="283"/>
      <c r="U738" s="283"/>
      <c r="V738" s="164"/>
      <c r="W738" s="24"/>
      <c r="X738" s="283"/>
      <c r="Y738" s="24"/>
      <c r="Z738" s="24"/>
      <c r="AA738" s="24"/>
      <c r="AB738" s="24"/>
      <c r="AC738" s="283"/>
      <c r="AD738" s="283"/>
      <c r="AE738" s="283"/>
      <c r="AF738" s="283"/>
      <c r="AG738" s="285" t="s">
        <v>115</v>
      </c>
      <c r="AH738" s="285" t="s">
        <v>1428</v>
      </c>
      <c r="AI738" s="285" t="s">
        <v>1429</v>
      </c>
      <c r="AJ738" s="24"/>
      <c r="AK738" s="24"/>
      <c r="AL738" s="24"/>
    </row>
    <row r="739" spans="1:38" ht="12.75" customHeight="1">
      <c r="A739" s="22">
        <v>737</v>
      </c>
      <c r="B739" s="24" t="str">
        <f t="shared" si="0"/>
        <v>++++</v>
      </c>
      <c r="C739" s="24" t="str">
        <f t="shared" si="1"/>
        <v>Input Option</v>
      </c>
      <c r="D739" s="24" t="str">
        <f t="shared" si="2"/>
        <v>Urine dipstick result - nitrites</v>
      </c>
      <c r="E739" s="24" t="s">
        <v>2103</v>
      </c>
      <c r="F739" s="24">
        <v>1</v>
      </c>
      <c r="G739" s="24" t="s">
        <v>1767</v>
      </c>
      <c r="H739" s="24"/>
      <c r="I739" s="283"/>
      <c r="J739" s="196"/>
      <c r="K739" s="224"/>
      <c r="L739" s="224"/>
      <c r="M739" s="224"/>
      <c r="N739" s="347" t="s">
        <v>1430</v>
      </c>
      <c r="O739" s="224"/>
      <c r="P739" s="164"/>
      <c r="Q739" s="24"/>
      <c r="R739" s="283"/>
      <c r="S739" s="224"/>
      <c r="T739" s="283"/>
      <c r="U739" s="283"/>
      <c r="V739" s="164"/>
      <c r="W739" s="24"/>
      <c r="X739" s="283"/>
      <c r="Y739" s="24"/>
      <c r="Z739" s="24"/>
      <c r="AA739" s="24"/>
      <c r="AB739" s="24"/>
      <c r="AC739" s="283"/>
      <c r="AD739" s="283"/>
      <c r="AE739" s="283"/>
      <c r="AF739" s="283"/>
      <c r="AG739" s="285" t="s">
        <v>115</v>
      </c>
      <c r="AH739" s="285" t="s">
        <v>1431</v>
      </c>
      <c r="AI739" s="285" t="s">
        <v>1432</v>
      </c>
      <c r="AJ739" s="24"/>
      <c r="AK739" s="24"/>
      <c r="AL739" s="24"/>
    </row>
    <row r="740" spans="1:38" ht="12.75" customHeight="1">
      <c r="A740" s="22">
        <v>738</v>
      </c>
      <c r="B740" s="24" t="str">
        <f t="shared" si="0"/>
        <v>Urine dipstick result - leukocytes</v>
      </c>
      <c r="C740" s="24" t="str">
        <f t="shared" si="1"/>
        <v>Data Element</v>
      </c>
      <c r="D740" s="24" t="str">
        <f t="shared" si="2"/>
        <v/>
      </c>
      <c r="E740" s="24" t="s">
        <v>2103</v>
      </c>
      <c r="F740" s="24">
        <v>1</v>
      </c>
      <c r="G740" s="24" t="s">
        <v>1767</v>
      </c>
      <c r="H740" s="24"/>
      <c r="I740" s="283"/>
      <c r="J740" s="196" t="s">
        <v>2153</v>
      </c>
      <c r="K740" s="224" t="s">
        <v>2154</v>
      </c>
      <c r="L740" s="224" t="s">
        <v>2155</v>
      </c>
      <c r="M740" s="224" t="s">
        <v>202</v>
      </c>
      <c r="N740" s="224"/>
      <c r="O740" s="224"/>
      <c r="P740" s="164"/>
      <c r="Q740" s="24"/>
      <c r="R740" s="283"/>
      <c r="S740" s="224" t="s">
        <v>113</v>
      </c>
      <c r="T740" s="283"/>
      <c r="U740" s="283"/>
      <c r="V740" s="164" t="s">
        <v>115</v>
      </c>
      <c r="W740" s="24"/>
      <c r="X740" s="283"/>
      <c r="Y740" s="24"/>
      <c r="Z740" s="24"/>
      <c r="AA740" s="24"/>
      <c r="AB740" s="24"/>
      <c r="AC740" s="283"/>
      <c r="AD740" s="283"/>
      <c r="AE740" s="283"/>
      <c r="AF740" s="283"/>
      <c r="AG740" s="285" t="s">
        <v>115</v>
      </c>
      <c r="AH740" s="205" t="s">
        <v>2156</v>
      </c>
      <c r="AI740" s="285" t="s">
        <v>2157</v>
      </c>
      <c r="AJ740" s="24"/>
      <c r="AK740" s="24"/>
      <c r="AL740" s="24"/>
    </row>
    <row r="741" spans="1:38" ht="12.75" customHeight="1">
      <c r="A741" s="22">
        <v>739</v>
      </c>
      <c r="B741" s="24" t="str">
        <f t="shared" si="0"/>
        <v>None</v>
      </c>
      <c r="C741" s="24" t="str">
        <f t="shared" si="1"/>
        <v>Input Option</v>
      </c>
      <c r="D741" s="24" t="str">
        <f t="shared" si="2"/>
        <v>Urine dipstick result - leukocytes</v>
      </c>
      <c r="E741" s="24" t="s">
        <v>2103</v>
      </c>
      <c r="F741" s="24">
        <v>1</v>
      </c>
      <c r="G741" s="24" t="s">
        <v>1767</v>
      </c>
      <c r="H741" s="24"/>
      <c r="I741" s="283"/>
      <c r="J741" s="196"/>
      <c r="K741" s="224"/>
      <c r="L741" s="224"/>
      <c r="M741" s="224"/>
      <c r="N741" s="224" t="s">
        <v>423</v>
      </c>
      <c r="O741" s="224"/>
      <c r="P741" s="164"/>
      <c r="Q741" s="24"/>
      <c r="R741" s="283"/>
      <c r="S741" s="224"/>
      <c r="T741" s="283"/>
      <c r="U741" s="283"/>
      <c r="V741" s="164"/>
      <c r="W741" s="24"/>
      <c r="X741" s="283"/>
      <c r="Y741" s="24"/>
      <c r="Z741" s="24"/>
      <c r="AA741" s="24"/>
      <c r="AB741" s="24"/>
      <c r="AC741" s="283"/>
      <c r="AD741" s="283"/>
      <c r="AE741" s="283"/>
      <c r="AF741" s="283"/>
      <c r="AG741" s="285" t="s">
        <v>115</v>
      </c>
      <c r="AH741" s="205" t="s">
        <v>424</v>
      </c>
      <c r="AI741" s="285" t="s">
        <v>425</v>
      </c>
      <c r="AJ741" s="24"/>
      <c r="AK741" s="24"/>
      <c r="AL741" s="24"/>
    </row>
    <row r="742" spans="1:38" ht="12.75" customHeight="1">
      <c r="A742" s="22">
        <v>740</v>
      </c>
      <c r="B742" s="24" t="str">
        <f t="shared" si="0"/>
        <v>+</v>
      </c>
      <c r="C742" s="24" t="str">
        <f t="shared" si="1"/>
        <v>Input Option</v>
      </c>
      <c r="D742" s="24" t="str">
        <f t="shared" si="2"/>
        <v>Urine dipstick result - leukocytes</v>
      </c>
      <c r="E742" s="24" t="s">
        <v>2103</v>
      </c>
      <c r="F742" s="24">
        <v>1</v>
      </c>
      <c r="G742" s="24" t="s">
        <v>1767</v>
      </c>
      <c r="H742" s="24"/>
      <c r="I742" s="283"/>
      <c r="J742" s="196"/>
      <c r="K742" s="224"/>
      <c r="L742" s="224"/>
      <c r="M742" s="224"/>
      <c r="N742" s="347" t="s">
        <v>1421</v>
      </c>
      <c r="O742" s="224"/>
      <c r="P742" s="164"/>
      <c r="Q742" s="24"/>
      <c r="R742" s="283"/>
      <c r="S742" s="224"/>
      <c r="T742" s="283"/>
      <c r="U742" s="283"/>
      <c r="V742" s="164"/>
      <c r="W742" s="24"/>
      <c r="X742" s="283"/>
      <c r="Y742" s="24"/>
      <c r="Z742" s="24"/>
      <c r="AA742" s="24"/>
      <c r="AB742" s="24"/>
      <c r="AC742" s="283"/>
      <c r="AD742" s="283"/>
      <c r="AE742" s="283"/>
      <c r="AF742" s="283"/>
      <c r="AG742" s="285" t="s">
        <v>115</v>
      </c>
      <c r="AH742" s="285" t="s">
        <v>1422</v>
      </c>
      <c r="AI742" s="205" t="s">
        <v>1423</v>
      </c>
      <c r="AJ742" s="24"/>
      <c r="AK742" s="24"/>
      <c r="AL742" s="24"/>
    </row>
    <row r="743" spans="1:38" ht="12.75" customHeight="1">
      <c r="A743" s="22">
        <v>741</v>
      </c>
      <c r="B743" s="24" t="str">
        <f t="shared" si="0"/>
        <v>++</v>
      </c>
      <c r="C743" s="24" t="str">
        <f t="shared" si="1"/>
        <v>Input Option</v>
      </c>
      <c r="D743" s="24" t="str">
        <f t="shared" si="2"/>
        <v>Urine dipstick result - leukocytes</v>
      </c>
      <c r="E743" s="24" t="s">
        <v>2103</v>
      </c>
      <c r="F743" s="24">
        <v>1</v>
      </c>
      <c r="G743" s="24" t="s">
        <v>1767</v>
      </c>
      <c r="H743" s="24"/>
      <c r="I743" s="283"/>
      <c r="J743" s="196"/>
      <c r="K743" s="224"/>
      <c r="L743" s="224"/>
      <c r="M743" s="224"/>
      <c r="N743" s="347" t="s">
        <v>1424</v>
      </c>
      <c r="O743" s="224"/>
      <c r="P743" s="164"/>
      <c r="Q743" s="24"/>
      <c r="R743" s="283"/>
      <c r="S743" s="224"/>
      <c r="T743" s="283"/>
      <c r="U743" s="283"/>
      <c r="V743" s="164"/>
      <c r="W743" s="24"/>
      <c r="X743" s="283"/>
      <c r="Y743" s="24"/>
      <c r="Z743" s="24"/>
      <c r="AA743" s="24"/>
      <c r="AB743" s="24"/>
      <c r="AC743" s="283"/>
      <c r="AD743" s="283"/>
      <c r="AE743" s="283"/>
      <c r="AF743" s="283"/>
      <c r="AG743" s="285" t="s">
        <v>115</v>
      </c>
      <c r="AH743" s="285" t="s">
        <v>1425</v>
      </c>
      <c r="AI743" s="285" t="s">
        <v>1426</v>
      </c>
      <c r="AJ743" s="24"/>
      <c r="AK743" s="24"/>
      <c r="AL743" s="24"/>
    </row>
    <row r="744" spans="1:38" ht="12.75" customHeight="1">
      <c r="A744" s="22">
        <v>742</v>
      </c>
      <c r="B744" s="24" t="str">
        <f t="shared" si="0"/>
        <v>+++</v>
      </c>
      <c r="C744" s="24" t="str">
        <f t="shared" si="1"/>
        <v>Input Option</v>
      </c>
      <c r="D744" s="24" t="str">
        <f t="shared" si="2"/>
        <v>Urine dipstick result - leukocytes</v>
      </c>
      <c r="E744" s="24" t="s">
        <v>2103</v>
      </c>
      <c r="F744" s="24">
        <v>1</v>
      </c>
      <c r="G744" s="24" t="s">
        <v>1767</v>
      </c>
      <c r="H744" s="24"/>
      <c r="I744" s="283"/>
      <c r="J744" s="196"/>
      <c r="K744" s="224"/>
      <c r="L744" s="224"/>
      <c r="M744" s="224"/>
      <c r="N744" s="347" t="s">
        <v>1427</v>
      </c>
      <c r="O744" s="224"/>
      <c r="P744" s="164"/>
      <c r="Q744" s="24"/>
      <c r="R744" s="283"/>
      <c r="S744" s="224"/>
      <c r="T744" s="283"/>
      <c r="U744" s="283"/>
      <c r="V744" s="164"/>
      <c r="W744" s="24"/>
      <c r="X744" s="283"/>
      <c r="Y744" s="24"/>
      <c r="Z744" s="24"/>
      <c r="AA744" s="24"/>
      <c r="AB744" s="24"/>
      <c r="AC744" s="283"/>
      <c r="AD744" s="283"/>
      <c r="AE744" s="283"/>
      <c r="AF744" s="283"/>
      <c r="AG744" s="285" t="s">
        <v>115</v>
      </c>
      <c r="AH744" s="285" t="s">
        <v>1428</v>
      </c>
      <c r="AI744" s="285" t="s">
        <v>1429</v>
      </c>
      <c r="AJ744" s="24"/>
      <c r="AK744" s="24"/>
      <c r="AL744" s="24"/>
    </row>
    <row r="745" spans="1:38" ht="12.75" customHeight="1">
      <c r="A745" s="22">
        <v>743</v>
      </c>
      <c r="B745" s="24" t="str">
        <f t="shared" si="0"/>
        <v>++++</v>
      </c>
      <c r="C745" s="24" t="str">
        <f t="shared" si="1"/>
        <v>Input Option</v>
      </c>
      <c r="D745" s="24" t="str">
        <f t="shared" si="2"/>
        <v>Urine dipstick result - leukocytes</v>
      </c>
      <c r="E745" s="24" t="s">
        <v>2103</v>
      </c>
      <c r="F745" s="24">
        <v>1</v>
      </c>
      <c r="G745" s="24" t="s">
        <v>1767</v>
      </c>
      <c r="H745" s="24"/>
      <c r="I745" s="283"/>
      <c r="J745" s="196"/>
      <c r="K745" s="224"/>
      <c r="L745" s="224"/>
      <c r="M745" s="224"/>
      <c r="N745" s="347" t="s">
        <v>1430</v>
      </c>
      <c r="O745" s="224"/>
      <c r="P745" s="164"/>
      <c r="Q745" s="24"/>
      <c r="R745" s="283"/>
      <c r="S745" s="224"/>
      <c r="T745" s="283"/>
      <c r="U745" s="283"/>
      <c r="V745" s="164"/>
      <c r="W745" s="24"/>
      <c r="X745" s="283"/>
      <c r="Y745" s="24"/>
      <c r="Z745" s="24"/>
      <c r="AA745" s="24"/>
      <c r="AB745" s="24"/>
      <c r="AC745" s="283"/>
      <c r="AD745" s="283"/>
      <c r="AE745" s="283"/>
      <c r="AF745" s="283"/>
      <c r="AG745" s="285" t="s">
        <v>115</v>
      </c>
      <c r="AH745" s="285" t="s">
        <v>1431</v>
      </c>
      <c r="AI745" s="285" t="s">
        <v>1432</v>
      </c>
      <c r="AJ745" s="24"/>
      <c r="AK745" s="24"/>
      <c r="AL745" s="24"/>
    </row>
    <row r="746" spans="1:38" ht="12.75" customHeight="1">
      <c r="A746" s="22">
        <v>744</v>
      </c>
      <c r="B746" s="24" t="str">
        <f t="shared" si="0"/>
        <v>Urine dipstick result - protein</v>
      </c>
      <c r="C746" s="24" t="str">
        <f t="shared" si="1"/>
        <v>Data Element</v>
      </c>
      <c r="D746" s="24" t="str">
        <f t="shared" si="2"/>
        <v/>
      </c>
      <c r="E746" s="24" t="s">
        <v>2103</v>
      </c>
      <c r="F746" s="24">
        <v>1</v>
      </c>
      <c r="G746" s="24" t="s">
        <v>1767</v>
      </c>
      <c r="H746" s="24"/>
      <c r="I746" s="283"/>
      <c r="J746" s="196" t="s">
        <v>1416</v>
      </c>
      <c r="K746" s="224" t="s">
        <v>1417</v>
      </c>
      <c r="L746" s="224" t="s">
        <v>2160</v>
      </c>
      <c r="M746" s="224" t="s">
        <v>202</v>
      </c>
      <c r="N746" s="224"/>
      <c r="O746" s="224"/>
      <c r="P746" s="164"/>
      <c r="Q746" s="24"/>
      <c r="R746" s="283"/>
      <c r="S746" s="224" t="s">
        <v>113</v>
      </c>
      <c r="T746" s="283"/>
      <c r="U746" s="283"/>
      <c r="V746" s="164" t="s">
        <v>115</v>
      </c>
      <c r="W746" s="24"/>
      <c r="X746" s="283"/>
      <c r="Y746" s="24"/>
      <c r="Z746" s="24"/>
      <c r="AA746" s="24"/>
      <c r="AB746" s="24"/>
      <c r="AC746" s="283"/>
      <c r="AD746" s="283"/>
      <c r="AE746" s="283"/>
      <c r="AF746" s="283"/>
      <c r="AG746" s="285" t="s">
        <v>2161</v>
      </c>
      <c r="AH746" s="205" t="s">
        <v>1419</v>
      </c>
      <c r="AI746" s="285" t="s">
        <v>1420</v>
      </c>
      <c r="AJ746" s="24"/>
      <c r="AK746" s="24"/>
      <c r="AL746" s="24"/>
    </row>
    <row r="747" spans="1:38" ht="12.75" customHeight="1">
      <c r="A747" s="22">
        <v>745</v>
      </c>
      <c r="B747" s="24" t="str">
        <f t="shared" si="0"/>
        <v>None</v>
      </c>
      <c r="C747" s="24" t="str">
        <f t="shared" si="1"/>
        <v>Input Option</v>
      </c>
      <c r="D747" s="24" t="str">
        <f t="shared" si="2"/>
        <v>Urine dipstick result - protein</v>
      </c>
      <c r="E747" s="24" t="s">
        <v>2103</v>
      </c>
      <c r="F747" s="24">
        <v>1</v>
      </c>
      <c r="G747" s="24" t="s">
        <v>1767</v>
      </c>
      <c r="H747" s="24"/>
      <c r="I747" s="283"/>
      <c r="J747" s="196"/>
      <c r="K747" s="224"/>
      <c r="L747" s="224"/>
      <c r="M747" s="224"/>
      <c r="N747" s="224" t="s">
        <v>423</v>
      </c>
      <c r="O747" s="224"/>
      <c r="P747" s="164"/>
      <c r="Q747" s="24"/>
      <c r="R747" s="283"/>
      <c r="S747" s="224"/>
      <c r="T747" s="283"/>
      <c r="U747" s="283"/>
      <c r="V747" s="164"/>
      <c r="W747" s="24"/>
      <c r="X747" s="283"/>
      <c r="Y747" s="24"/>
      <c r="Z747" s="24"/>
      <c r="AA747" s="24"/>
      <c r="AB747" s="24"/>
      <c r="AC747" s="283"/>
      <c r="AD747" s="283"/>
      <c r="AE747" s="283"/>
      <c r="AF747" s="283"/>
      <c r="AG747" s="285" t="s">
        <v>115</v>
      </c>
      <c r="AH747" s="205" t="s">
        <v>424</v>
      </c>
      <c r="AI747" s="285" t="s">
        <v>425</v>
      </c>
      <c r="AJ747" s="24"/>
      <c r="AK747" s="24"/>
      <c r="AL747" s="24"/>
    </row>
    <row r="748" spans="1:38" ht="12.75" customHeight="1">
      <c r="A748" s="22">
        <v>746</v>
      </c>
      <c r="B748" s="24" t="str">
        <f t="shared" si="0"/>
        <v>+</v>
      </c>
      <c r="C748" s="24" t="str">
        <f t="shared" si="1"/>
        <v>Input Option</v>
      </c>
      <c r="D748" s="24" t="str">
        <f t="shared" si="2"/>
        <v>Urine dipstick result - protein</v>
      </c>
      <c r="E748" s="24" t="s">
        <v>2103</v>
      </c>
      <c r="F748" s="24">
        <v>1</v>
      </c>
      <c r="G748" s="24" t="s">
        <v>1767</v>
      </c>
      <c r="H748" s="24"/>
      <c r="I748" s="283"/>
      <c r="J748" s="196"/>
      <c r="K748" s="224"/>
      <c r="L748" s="224"/>
      <c r="M748" s="224"/>
      <c r="N748" s="347" t="s">
        <v>1421</v>
      </c>
      <c r="O748" s="224"/>
      <c r="P748" s="164"/>
      <c r="Q748" s="24"/>
      <c r="R748" s="283"/>
      <c r="S748" s="224"/>
      <c r="T748" s="283"/>
      <c r="U748" s="283"/>
      <c r="V748" s="164"/>
      <c r="W748" s="24"/>
      <c r="X748" s="283"/>
      <c r="Y748" s="24"/>
      <c r="Z748" s="24"/>
      <c r="AA748" s="24"/>
      <c r="AB748" s="24"/>
      <c r="AC748" s="283"/>
      <c r="AD748" s="283"/>
      <c r="AE748" s="283"/>
      <c r="AF748" s="283"/>
      <c r="AG748" s="285" t="s">
        <v>115</v>
      </c>
      <c r="AH748" s="285" t="s">
        <v>1422</v>
      </c>
      <c r="AI748" s="205" t="s">
        <v>1423</v>
      </c>
      <c r="AJ748" s="24"/>
      <c r="AK748" s="24"/>
      <c r="AL748" s="24"/>
    </row>
    <row r="749" spans="1:38" ht="12.75" customHeight="1">
      <c r="A749" s="22">
        <v>747</v>
      </c>
      <c r="B749" s="24" t="str">
        <f t="shared" si="0"/>
        <v>++</v>
      </c>
      <c r="C749" s="24" t="str">
        <f t="shared" si="1"/>
        <v>Input Option</v>
      </c>
      <c r="D749" s="24" t="str">
        <f t="shared" si="2"/>
        <v>Urine dipstick result - protein</v>
      </c>
      <c r="E749" s="24" t="s">
        <v>2103</v>
      </c>
      <c r="F749" s="24">
        <v>1</v>
      </c>
      <c r="G749" s="24" t="s">
        <v>1767</v>
      </c>
      <c r="H749" s="24"/>
      <c r="I749" s="283"/>
      <c r="J749" s="196"/>
      <c r="K749" s="224"/>
      <c r="L749" s="224"/>
      <c r="M749" s="224"/>
      <c r="N749" s="347" t="s">
        <v>1424</v>
      </c>
      <c r="O749" s="224"/>
      <c r="P749" s="164"/>
      <c r="Q749" s="24"/>
      <c r="R749" s="283"/>
      <c r="S749" s="224"/>
      <c r="T749" s="283"/>
      <c r="U749" s="283"/>
      <c r="V749" s="164"/>
      <c r="W749" s="24"/>
      <c r="X749" s="283"/>
      <c r="Y749" s="24"/>
      <c r="Z749" s="24"/>
      <c r="AA749" s="24"/>
      <c r="AB749" s="24"/>
      <c r="AC749" s="283"/>
      <c r="AD749" s="283"/>
      <c r="AE749" s="283"/>
      <c r="AF749" s="283"/>
      <c r="AG749" s="285" t="s">
        <v>115</v>
      </c>
      <c r="AH749" s="285" t="s">
        <v>1425</v>
      </c>
      <c r="AI749" s="285" t="s">
        <v>1426</v>
      </c>
      <c r="AJ749" s="24"/>
      <c r="AK749" s="24"/>
      <c r="AL749" s="24"/>
    </row>
    <row r="750" spans="1:38" ht="12.75" customHeight="1">
      <c r="A750" s="22">
        <v>748</v>
      </c>
      <c r="B750" s="24" t="str">
        <f t="shared" si="0"/>
        <v>+++</v>
      </c>
      <c r="C750" s="24" t="str">
        <f t="shared" si="1"/>
        <v>Input Option</v>
      </c>
      <c r="D750" s="24" t="str">
        <f t="shared" si="2"/>
        <v>Urine dipstick result - protein</v>
      </c>
      <c r="E750" s="24" t="s">
        <v>2103</v>
      </c>
      <c r="F750" s="24">
        <v>1</v>
      </c>
      <c r="G750" s="24" t="s">
        <v>1767</v>
      </c>
      <c r="H750" s="24"/>
      <c r="I750" s="283"/>
      <c r="J750" s="196"/>
      <c r="K750" s="224"/>
      <c r="L750" s="224"/>
      <c r="M750" s="224"/>
      <c r="N750" s="347" t="s">
        <v>1427</v>
      </c>
      <c r="O750" s="224"/>
      <c r="P750" s="164"/>
      <c r="Q750" s="24"/>
      <c r="R750" s="283"/>
      <c r="S750" s="224"/>
      <c r="T750" s="283"/>
      <c r="U750" s="283"/>
      <c r="V750" s="164"/>
      <c r="W750" s="24"/>
      <c r="X750" s="283"/>
      <c r="Y750" s="24"/>
      <c r="Z750" s="24"/>
      <c r="AA750" s="24"/>
      <c r="AB750" s="24"/>
      <c r="AC750" s="283"/>
      <c r="AD750" s="283"/>
      <c r="AE750" s="283"/>
      <c r="AF750" s="283"/>
      <c r="AG750" s="285" t="s">
        <v>115</v>
      </c>
      <c r="AH750" s="285" t="s">
        <v>1428</v>
      </c>
      <c r="AI750" s="285" t="s">
        <v>1429</v>
      </c>
      <c r="AJ750" s="24"/>
      <c r="AK750" s="24"/>
      <c r="AL750" s="24"/>
    </row>
    <row r="751" spans="1:38" ht="12.75" customHeight="1">
      <c r="A751" s="22">
        <v>749</v>
      </c>
      <c r="B751" s="24">
        <f t="shared" si="0"/>
        <v>0</v>
      </c>
      <c r="C751" s="24" t="str">
        <f t="shared" si="1"/>
        <v>Data Element</v>
      </c>
      <c r="D751" s="24" t="str">
        <f t="shared" si="2"/>
        <v/>
      </c>
      <c r="E751" s="24" t="s">
        <v>2103</v>
      </c>
      <c r="F751" s="24">
        <v>1</v>
      </c>
      <c r="G751" s="24" t="s">
        <v>1767</v>
      </c>
      <c r="H751" s="24"/>
      <c r="I751" s="164"/>
      <c r="J751" s="164"/>
      <c r="K751" s="164"/>
      <c r="L751" s="164"/>
      <c r="M751" s="164"/>
      <c r="N751" s="164"/>
      <c r="O751" s="164"/>
      <c r="P751" s="164"/>
      <c r="Q751" s="24"/>
      <c r="R751" s="164"/>
      <c r="S751" s="164"/>
      <c r="T751" s="164"/>
      <c r="U751" s="164"/>
      <c r="V751" s="164"/>
      <c r="W751" s="24"/>
      <c r="X751" s="164"/>
      <c r="Y751" s="24"/>
      <c r="Z751" s="24"/>
      <c r="AA751" s="24"/>
      <c r="AB751" s="24"/>
      <c r="AC751" s="164"/>
      <c r="AD751" s="164"/>
      <c r="AE751" s="164"/>
      <c r="AF751" s="164"/>
      <c r="AG751" s="285" t="s">
        <v>115</v>
      </c>
      <c r="AH751" s="285" t="s">
        <v>1431</v>
      </c>
      <c r="AI751" s="285" t="s">
        <v>1432</v>
      </c>
      <c r="AJ751" s="24"/>
      <c r="AK751" s="24"/>
      <c r="AL751" s="24"/>
    </row>
    <row r="752" spans="1:38" ht="12.75" customHeight="1">
      <c r="A752" s="22">
        <v>750</v>
      </c>
      <c r="B752" s="24" t="str">
        <f t="shared" si="0"/>
        <v>Urine dipstick result - glucose</v>
      </c>
      <c r="C752" s="24" t="str">
        <f t="shared" si="1"/>
        <v>Data Element</v>
      </c>
      <c r="D752" s="24" t="str">
        <f t="shared" si="2"/>
        <v/>
      </c>
      <c r="E752" s="24" t="s">
        <v>2103</v>
      </c>
      <c r="F752" s="24">
        <v>1</v>
      </c>
      <c r="G752" s="24" t="s">
        <v>1767</v>
      </c>
      <c r="H752" s="24"/>
      <c r="I752" s="283"/>
      <c r="J752" s="196" t="s">
        <v>2164</v>
      </c>
      <c r="K752" s="224" t="s">
        <v>2165</v>
      </c>
      <c r="L752" s="224" t="s">
        <v>2166</v>
      </c>
      <c r="M752" s="224" t="s">
        <v>202</v>
      </c>
      <c r="N752" s="224"/>
      <c r="O752" s="224"/>
      <c r="P752" s="164"/>
      <c r="Q752" s="24"/>
      <c r="R752" s="283"/>
      <c r="S752" s="224" t="s">
        <v>113</v>
      </c>
      <c r="T752" s="283"/>
      <c r="U752" s="283"/>
      <c r="V752" s="164" t="s">
        <v>115</v>
      </c>
      <c r="W752" s="24"/>
      <c r="X752" s="283"/>
      <c r="Y752" s="24"/>
      <c r="Z752" s="24"/>
      <c r="AA752" s="24"/>
      <c r="AB752" s="24"/>
      <c r="AC752" s="283"/>
      <c r="AD752" s="283"/>
      <c r="AE752" s="283"/>
      <c r="AF752" s="283"/>
      <c r="AG752" s="285" t="s">
        <v>115</v>
      </c>
      <c r="AH752" s="205" t="s">
        <v>2167</v>
      </c>
      <c r="AI752" s="285" t="s">
        <v>2168</v>
      </c>
      <c r="AJ752" s="24"/>
      <c r="AK752" s="24"/>
      <c r="AL752" s="24"/>
    </row>
    <row r="753" spans="1:38" ht="12.75" customHeight="1">
      <c r="A753" s="22">
        <v>751</v>
      </c>
      <c r="B753" s="24" t="str">
        <f t="shared" si="0"/>
        <v>None</v>
      </c>
      <c r="C753" s="24" t="str">
        <f t="shared" si="1"/>
        <v>Input Option</v>
      </c>
      <c r="D753" s="24" t="str">
        <f t="shared" si="2"/>
        <v>Urine dipstick result - glucose</v>
      </c>
      <c r="E753" s="24" t="s">
        <v>2103</v>
      </c>
      <c r="F753" s="24">
        <v>1</v>
      </c>
      <c r="G753" s="24" t="s">
        <v>1767</v>
      </c>
      <c r="H753" s="24"/>
      <c r="I753" s="283"/>
      <c r="J753" s="300"/>
      <c r="K753" s="300"/>
      <c r="L753" s="300"/>
      <c r="M753" s="300"/>
      <c r="N753" s="300" t="s">
        <v>423</v>
      </c>
      <c r="O753" s="300"/>
      <c r="P753" s="300"/>
      <c r="Q753" s="24"/>
      <c r="R753" s="283"/>
      <c r="S753" s="300"/>
      <c r="T753" s="283"/>
      <c r="U753" s="283"/>
      <c r="V753" s="301"/>
      <c r="W753" s="24"/>
      <c r="X753" s="283"/>
      <c r="Y753" s="24"/>
      <c r="Z753" s="24"/>
      <c r="AA753" s="24"/>
      <c r="AB753" s="24"/>
      <c r="AC753" s="283"/>
      <c r="AD753" s="283"/>
      <c r="AE753" s="283"/>
      <c r="AF753" s="283"/>
      <c r="AG753" s="285" t="s">
        <v>115</v>
      </c>
      <c r="AH753" s="205" t="s">
        <v>424</v>
      </c>
      <c r="AI753" s="285" t="s">
        <v>425</v>
      </c>
      <c r="AJ753" s="24"/>
      <c r="AK753" s="24"/>
      <c r="AL753" s="24"/>
    </row>
    <row r="754" spans="1:38" ht="12.75" customHeight="1">
      <c r="A754" s="22">
        <v>752</v>
      </c>
      <c r="B754" s="24" t="str">
        <f t="shared" si="0"/>
        <v>+</v>
      </c>
      <c r="C754" s="24" t="str">
        <f t="shared" si="1"/>
        <v>Input Option</v>
      </c>
      <c r="D754" s="24" t="str">
        <f t="shared" si="2"/>
        <v>Urine dipstick result - glucose</v>
      </c>
      <c r="E754" s="24" t="s">
        <v>2103</v>
      </c>
      <c r="F754" s="24">
        <v>1</v>
      </c>
      <c r="G754" s="24" t="s">
        <v>1767</v>
      </c>
      <c r="H754" s="24"/>
      <c r="I754" s="283"/>
      <c r="J754" s="300"/>
      <c r="K754" s="300"/>
      <c r="L754" s="300"/>
      <c r="M754" s="300"/>
      <c r="N754" s="354" t="s">
        <v>1421</v>
      </c>
      <c r="O754" s="300"/>
      <c r="P754" s="300"/>
      <c r="Q754" s="24"/>
      <c r="R754" s="283"/>
      <c r="S754" s="300"/>
      <c r="T754" s="283"/>
      <c r="U754" s="283"/>
      <c r="V754" s="301"/>
      <c r="W754" s="24"/>
      <c r="X754" s="283"/>
      <c r="Y754" s="24"/>
      <c r="Z754" s="24"/>
      <c r="AA754" s="24"/>
      <c r="AB754" s="24"/>
      <c r="AC754" s="283"/>
      <c r="AD754" s="283"/>
      <c r="AE754" s="283"/>
      <c r="AF754" s="283"/>
      <c r="AG754" s="285" t="s">
        <v>115</v>
      </c>
      <c r="AH754" s="285" t="s">
        <v>1422</v>
      </c>
      <c r="AI754" s="205" t="s">
        <v>1423</v>
      </c>
      <c r="AJ754" s="24"/>
      <c r="AK754" s="24"/>
      <c r="AL754" s="24"/>
    </row>
    <row r="755" spans="1:38" ht="12.75" customHeight="1">
      <c r="A755" s="22">
        <v>753</v>
      </c>
      <c r="B755" s="24" t="str">
        <f t="shared" si="0"/>
        <v>++</v>
      </c>
      <c r="C755" s="24" t="str">
        <f t="shared" si="1"/>
        <v>Input Option</v>
      </c>
      <c r="D755" s="24" t="str">
        <f t="shared" si="2"/>
        <v>Urine dipstick result - glucose</v>
      </c>
      <c r="E755" s="24" t="s">
        <v>2103</v>
      </c>
      <c r="F755" s="24">
        <v>1</v>
      </c>
      <c r="G755" s="24" t="s">
        <v>1767</v>
      </c>
      <c r="H755" s="24"/>
      <c r="I755" s="283"/>
      <c r="J755" s="300"/>
      <c r="K755" s="300"/>
      <c r="L755" s="300"/>
      <c r="M755" s="300"/>
      <c r="N755" s="354" t="s">
        <v>1424</v>
      </c>
      <c r="O755" s="300"/>
      <c r="P755" s="300"/>
      <c r="Q755" s="24"/>
      <c r="R755" s="283"/>
      <c r="S755" s="300"/>
      <c r="T755" s="283"/>
      <c r="U755" s="283"/>
      <c r="V755" s="301"/>
      <c r="W755" s="24"/>
      <c r="X755" s="283"/>
      <c r="Y755" s="24"/>
      <c r="Z755" s="24"/>
      <c r="AA755" s="24"/>
      <c r="AB755" s="24"/>
      <c r="AC755" s="283"/>
      <c r="AD755" s="283"/>
      <c r="AE755" s="283"/>
      <c r="AF755" s="283"/>
      <c r="AG755" s="285" t="s">
        <v>115</v>
      </c>
      <c r="AH755" s="285" t="s">
        <v>1425</v>
      </c>
      <c r="AI755" s="285" t="s">
        <v>1426</v>
      </c>
      <c r="AJ755" s="24"/>
      <c r="AK755" s="24"/>
      <c r="AL755" s="24"/>
    </row>
    <row r="756" spans="1:38" ht="12.75" customHeight="1">
      <c r="A756" s="22">
        <v>754</v>
      </c>
      <c r="B756" s="24" t="str">
        <f t="shared" si="0"/>
        <v>+++</v>
      </c>
      <c r="C756" s="24" t="str">
        <f t="shared" si="1"/>
        <v>Input Option</v>
      </c>
      <c r="D756" s="24" t="str">
        <f t="shared" si="2"/>
        <v>Urine dipstick result - glucose</v>
      </c>
      <c r="E756" s="24" t="s">
        <v>2103</v>
      </c>
      <c r="F756" s="24">
        <v>1</v>
      </c>
      <c r="G756" s="24" t="s">
        <v>1767</v>
      </c>
      <c r="H756" s="24"/>
      <c r="I756" s="283"/>
      <c r="J756" s="300"/>
      <c r="K756" s="300"/>
      <c r="L756" s="300"/>
      <c r="M756" s="300"/>
      <c r="N756" s="354" t="s">
        <v>1427</v>
      </c>
      <c r="O756" s="300"/>
      <c r="P756" s="300"/>
      <c r="Q756" s="24"/>
      <c r="R756" s="283"/>
      <c r="S756" s="300"/>
      <c r="T756" s="283"/>
      <c r="U756" s="283"/>
      <c r="V756" s="301"/>
      <c r="W756" s="24"/>
      <c r="X756" s="283"/>
      <c r="Y756" s="24"/>
      <c r="Z756" s="24"/>
      <c r="AA756" s="24"/>
      <c r="AB756" s="24"/>
      <c r="AC756" s="283"/>
      <c r="AD756" s="283"/>
      <c r="AE756" s="283"/>
      <c r="AF756" s="283"/>
      <c r="AG756" s="285" t="s">
        <v>115</v>
      </c>
      <c r="AH756" s="285" t="s">
        <v>1428</v>
      </c>
      <c r="AI756" s="285" t="s">
        <v>1429</v>
      </c>
      <c r="AJ756" s="24"/>
      <c r="AK756" s="24"/>
      <c r="AL756" s="24"/>
    </row>
    <row r="757" spans="1:38" ht="12.75" customHeight="1">
      <c r="A757" s="22">
        <v>755</v>
      </c>
      <c r="B757" s="24" t="str">
        <f t="shared" si="0"/>
        <v>++++</v>
      </c>
      <c r="C757" s="24" t="str">
        <f t="shared" si="1"/>
        <v>Input Option</v>
      </c>
      <c r="D757" s="24" t="str">
        <f t="shared" si="2"/>
        <v>Urine dipstick result - glucose</v>
      </c>
      <c r="E757" s="24" t="s">
        <v>2103</v>
      </c>
      <c r="F757" s="24">
        <v>1</v>
      </c>
      <c r="G757" s="24" t="s">
        <v>1767</v>
      </c>
      <c r="H757" s="24"/>
      <c r="I757" s="283"/>
      <c r="J757" s="300"/>
      <c r="K757" s="300"/>
      <c r="L757" s="300"/>
      <c r="M757" s="300"/>
      <c r="N757" s="354" t="s">
        <v>1430</v>
      </c>
      <c r="O757" s="300"/>
      <c r="P757" s="300"/>
      <c r="Q757" s="24"/>
      <c r="R757" s="283"/>
      <c r="S757" s="300"/>
      <c r="T757" s="283"/>
      <c r="U757" s="283"/>
      <c r="V757" s="301"/>
      <c r="W757" s="24"/>
      <c r="X757" s="283"/>
      <c r="Y757" s="24"/>
      <c r="Z757" s="24"/>
      <c r="AA757" s="24"/>
      <c r="AB757" s="24"/>
      <c r="AC757" s="283"/>
      <c r="AD757" s="283"/>
      <c r="AE757" s="283"/>
      <c r="AF757" s="283"/>
      <c r="AG757" s="285" t="s">
        <v>115</v>
      </c>
      <c r="AH757" s="285" t="s">
        <v>1431</v>
      </c>
      <c r="AI757" s="285" t="s">
        <v>1432</v>
      </c>
      <c r="AJ757" s="24"/>
      <c r="AK757" s="24"/>
      <c r="AL757" s="24"/>
    </row>
    <row r="758" spans="1:38" ht="12.75" customHeight="1">
      <c r="A758" s="22">
        <v>756</v>
      </c>
      <c r="B758" s="24" t="str">
        <f t="shared" si="0"/>
        <v>asb_positive</v>
      </c>
      <c r="C758" s="24" t="str">
        <f t="shared" si="1"/>
        <v>Calculation</v>
      </c>
      <c r="D758" s="24" t="str">
        <f t="shared" si="2"/>
        <v/>
      </c>
      <c r="E758" s="24" t="s">
        <v>2103</v>
      </c>
      <c r="F758" s="24">
        <v>1</v>
      </c>
      <c r="G758" s="24" t="s">
        <v>1767</v>
      </c>
      <c r="H758" s="24"/>
      <c r="I758" s="283"/>
      <c r="J758" s="297" t="s">
        <v>2171</v>
      </c>
      <c r="K758" s="297" t="s">
        <v>2170</v>
      </c>
      <c r="L758" s="297" t="s">
        <v>2172</v>
      </c>
      <c r="M758" s="297" t="s">
        <v>65</v>
      </c>
      <c r="N758" s="225"/>
      <c r="O758" s="297" t="s">
        <v>2173</v>
      </c>
      <c r="P758" s="225"/>
      <c r="Q758" s="24"/>
      <c r="R758" s="283"/>
      <c r="S758" s="297" t="s">
        <v>115</v>
      </c>
      <c r="T758" s="283"/>
      <c r="U758" s="283"/>
      <c r="V758" s="234" t="s">
        <v>115</v>
      </c>
      <c r="W758" s="24"/>
      <c r="X758" s="283"/>
      <c r="Y758" s="24"/>
      <c r="Z758" s="24"/>
      <c r="AA758" s="24"/>
      <c r="AB758" s="24"/>
      <c r="AC758" s="283"/>
      <c r="AD758" s="283"/>
      <c r="AE758" s="283"/>
      <c r="AF758" s="283"/>
      <c r="AG758" s="285" t="s">
        <v>115</v>
      </c>
      <c r="AH758" s="205" t="s">
        <v>2174</v>
      </c>
      <c r="AI758" s="285" t="s">
        <v>2175</v>
      </c>
      <c r="AJ758" s="24"/>
      <c r="AK758" s="24"/>
      <c r="AL758" s="24"/>
    </row>
    <row r="759" spans="1:38" ht="12.75" customHeight="1">
      <c r="A759" s="22">
        <v>757</v>
      </c>
      <c r="B759" s="24" t="str">
        <f t="shared" si="0"/>
        <v>Blood glucose test</v>
      </c>
      <c r="C759" s="24" t="str">
        <f t="shared" si="1"/>
        <v>Data Element</v>
      </c>
      <c r="D759" s="24" t="str">
        <f t="shared" si="2"/>
        <v/>
      </c>
      <c r="E759" s="24" t="s">
        <v>2177</v>
      </c>
      <c r="F759" s="24">
        <v>1</v>
      </c>
      <c r="G759" s="24" t="s">
        <v>1767</v>
      </c>
      <c r="H759" s="24"/>
      <c r="I759" s="283"/>
      <c r="J759" s="224" t="s">
        <v>2176</v>
      </c>
      <c r="K759" s="224" t="s">
        <v>2178</v>
      </c>
      <c r="L759" s="224" t="s">
        <v>2179</v>
      </c>
      <c r="M759" s="224" t="s">
        <v>202</v>
      </c>
      <c r="N759" s="224"/>
      <c r="O759" s="164"/>
      <c r="P759" s="164"/>
      <c r="Q759" s="24"/>
      <c r="R759" s="283"/>
      <c r="S759" s="224" t="s">
        <v>113</v>
      </c>
      <c r="T759" s="283"/>
      <c r="U759" s="283"/>
      <c r="V759" s="164" t="s">
        <v>2180</v>
      </c>
      <c r="W759" s="24"/>
      <c r="X759" s="283"/>
      <c r="Y759" s="24"/>
      <c r="Z759" s="24"/>
      <c r="AA759" s="24"/>
      <c r="AB759" s="24"/>
      <c r="AC759" s="283"/>
      <c r="AD759" s="283"/>
      <c r="AE759" s="283"/>
      <c r="AF759" s="283"/>
      <c r="AG759" s="285" t="s">
        <v>2181</v>
      </c>
      <c r="AH759" s="205" t="s">
        <v>1773</v>
      </c>
      <c r="AI759" s="285" t="s">
        <v>1774</v>
      </c>
      <c r="AJ759" s="24"/>
      <c r="AK759" s="24"/>
      <c r="AL759" s="24"/>
    </row>
    <row r="760" spans="1:38" ht="12.75" customHeight="1">
      <c r="A760" s="22">
        <v>758</v>
      </c>
      <c r="B760" s="24" t="str">
        <f t="shared" si="0"/>
        <v>Done today</v>
      </c>
      <c r="C760" s="24" t="str">
        <f t="shared" si="1"/>
        <v>Input Option</v>
      </c>
      <c r="D760" s="24" t="str">
        <f t="shared" si="2"/>
        <v>Blood glucose test</v>
      </c>
      <c r="E760" s="24" t="s">
        <v>2177</v>
      </c>
      <c r="F760" s="24">
        <v>1</v>
      </c>
      <c r="G760" s="24" t="s">
        <v>1767</v>
      </c>
      <c r="H760" s="24"/>
      <c r="I760" s="283"/>
      <c r="J760" s="346"/>
      <c r="K760" s="346"/>
      <c r="L760" s="304"/>
      <c r="M760" s="304"/>
      <c r="N760" s="304" t="s">
        <v>1775</v>
      </c>
      <c r="O760" s="293"/>
      <c r="P760" s="293"/>
      <c r="Q760" s="24"/>
      <c r="R760" s="283"/>
      <c r="S760" s="346"/>
      <c r="T760" s="283"/>
      <c r="U760" s="283"/>
      <c r="V760" s="304"/>
      <c r="W760" s="24"/>
      <c r="X760" s="283"/>
      <c r="Y760" s="24"/>
      <c r="Z760" s="24"/>
      <c r="AA760" s="24"/>
      <c r="AB760" s="24"/>
      <c r="AC760" s="283"/>
      <c r="AD760" s="283"/>
      <c r="AE760" s="283"/>
      <c r="AF760" s="283"/>
      <c r="AG760" s="294" t="s">
        <v>115</v>
      </c>
      <c r="AH760" s="294" t="s">
        <v>1777</v>
      </c>
      <c r="AI760" s="294" t="s">
        <v>1778</v>
      </c>
      <c r="AJ760" s="24"/>
      <c r="AK760" s="24"/>
      <c r="AL760" s="24"/>
    </row>
    <row r="761" spans="1:38" ht="12.75" customHeight="1">
      <c r="A761" s="22">
        <v>759</v>
      </c>
      <c r="B761" s="24" t="str">
        <f t="shared" si="0"/>
        <v>Done earlier</v>
      </c>
      <c r="C761" s="24" t="str">
        <f t="shared" si="1"/>
        <v>Input Option</v>
      </c>
      <c r="D761" s="24" t="str">
        <f t="shared" si="2"/>
        <v>Blood glucose test</v>
      </c>
      <c r="E761" s="24" t="s">
        <v>2177</v>
      </c>
      <c r="F761" s="24">
        <v>1</v>
      </c>
      <c r="G761" s="24" t="s">
        <v>1767</v>
      </c>
      <c r="H761" s="24"/>
      <c r="I761" s="283"/>
      <c r="J761" s="346"/>
      <c r="K761" s="346"/>
      <c r="L761" s="304"/>
      <c r="M761" s="304"/>
      <c r="N761" s="304" t="s">
        <v>1779</v>
      </c>
      <c r="O761" s="293"/>
      <c r="P761" s="293"/>
      <c r="Q761" s="24"/>
      <c r="R761" s="283"/>
      <c r="S761" s="346"/>
      <c r="T761" s="283"/>
      <c r="U761" s="283"/>
      <c r="V761" s="304"/>
      <c r="W761" s="24"/>
      <c r="X761" s="283"/>
      <c r="Y761" s="24"/>
      <c r="Z761" s="24"/>
      <c r="AA761" s="24"/>
      <c r="AB761" s="24"/>
      <c r="AC761" s="283"/>
      <c r="AD761" s="283"/>
      <c r="AE761" s="283"/>
      <c r="AF761" s="283"/>
      <c r="AG761" s="294" t="s">
        <v>115</v>
      </c>
      <c r="AH761" s="294" t="s">
        <v>1781</v>
      </c>
      <c r="AI761" s="294" t="s">
        <v>1782</v>
      </c>
      <c r="AJ761" s="24"/>
      <c r="AK761" s="24"/>
      <c r="AL761" s="24"/>
    </row>
    <row r="762" spans="1:38" ht="12.75" customHeight="1">
      <c r="A762" s="22">
        <v>760</v>
      </c>
      <c r="B762" s="24" t="str">
        <f t="shared" si="0"/>
        <v>Ordered</v>
      </c>
      <c r="C762" s="24" t="str">
        <f t="shared" si="1"/>
        <v>Input Option</v>
      </c>
      <c r="D762" s="24" t="str">
        <f t="shared" si="2"/>
        <v>Blood glucose test</v>
      </c>
      <c r="E762" s="24" t="s">
        <v>2177</v>
      </c>
      <c r="F762" s="24">
        <v>1</v>
      </c>
      <c r="G762" s="24" t="s">
        <v>1767</v>
      </c>
      <c r="H762" s="24"/>
      <c r="I762" s="283"/>
      <c r="J762" s="346"/>
      <c r="K762" s="346"/>
      <c r="L762" s="304"/>
      <c r="M762" s="304"/>
      <c r="N762" s="304" t="s">
        <v>1783</v>
      </c>
      <c r="O762" s="293"/>
      <c r="P762" s="293"/>
      <c r="Q762" s="24"/>
      <c r="R762" s="283"/>
      <c r="S762" s="346"/>
      <c r="T762" s="283"/>
      <c r="U762" s="283"/>
      <c r="V762" s="304"/>
      <c r="W762" s="24"/>
      <c r="X762" s="283"/>
      <c r="Y762" s="24"/>
      <c r="Z762" s="24"/>
      <c r="AA762" s="24"/>
      <c r="AB762" s="24"/>
      <c r="AC762" s="283"/>
      <c r="AD762" s="283"/>
      <c r="AE762" s="283"/>
      <c r="AF762" s="283"/>
      <c r="AG762" s="294" t="s">
        <v>115</v>
      </c>
      <c r="AH762" s="294" t="s">
        <v>1784</v>
      </c>
      <c r="AI762" s="294" t="s">
        <v>1785</v>
      </c>
      <c r="AJ762" s="24"/>
      <c r="AK762" s="24"/>
      <c r="AL762" s="24"/>
    </row>
    <row r="763" spans="1:38" ht="12.75" customHeight="1">
      <c r="A763" s="22">
        <v>761</v>
      </c>
      <c r="B763" s="24" t="str">
        <f t="shared" si="0"/>
        <v>Not done</v>
      </c>
      <c r="C763" s="24" t="str">
        <f t="shared" si="1"/>
        <v>Input Option</v>
      </c>
      <c r="D763" s="24" t="str">
        <f t="shared" si="2"/>
        <v>Blood glucose test</v>
      </c>
      <c r="E763" s="24" t="s">
        <v>2177</v>
      </c>
      <c r="F763" s="24">
        <v>1</v>
      </c>
      <c r="G763" s="24" t="s">
        <v>1767</v>
      </c>
      <c r="H763" s="24"/>
      <c r="I763" s="283"/>
      <c r="J763" s="346"/>
      <c r="K763" s="346"/>
      <c r="L763" s="304"/>
      <c r="M763" s="304"/>
      <c r="N763" s="304" t="s">
        <v>1468</v>
      </c>
      <c r="O763" s="293"/>
      <c r="P763" s="293"/>
      <c r="Q763" s="24"/>
      <c r="R763" s="283"/>
      <c r="S763" s="346"/>
      <c r="T763" s="283"/>
      <c r="U763" s="283"/>
      <c r="V763" s="304"/>
      <c r="W763" s="24"/>
      <c r="X763" s="283"/>
      <c r="Y763" s="24"/>
      <c r="Z763" s="24"/>
      <c r="AA763" s="24"/>
      <c r="AB763" s="24"/>
      <c r="AC763" s="283"/>
      <c r="AD763" s="283"/>
      <c r="AE763" s="283"/>
      <c r="AF763" s="283"/>
      <c r="AG763" s="294" t="s">
        <v>115</v>
      </c>
      <c r="AH763" s="294" t="s">
        <v>1469</v>
      </c>
      <c r="AI763" s="294" t="s">
        <v>1470</v>
      </c>
      <c r="AJ763" s="24"/>
      <c r="AK763" s="24"/>
      <c r="AL763" s="24"/>
    </row>
    <row r="764" spans="1:38" ht="12.75" customHeight="1">
      <c r="A764" s="22">
        <v>762</v>
      </c>
      <c r="B764" s="24" t="str">
        <f t="shared" si="0"/>
        <v>Blood glucose test date</v>
      </c>
      <c r="C764" s="24" t="str">
        <f t="shared" si="1"/>
        <v>Data Element</v>
      </c>
      <c r="D764" s="24" t="str">
        <f t="shared" si="2"/>
        <v/>
      </c>
      <c r="E764" s="24" t="s">
        <v>2177</v>
      </c>
      <c r="F764" s="24">
        <v>1</v>
      </c>
      <c r="G764" s="24" t="s">
        <v>1767</v>
      </c>
      <c r="H764" s="24"/>
      <c r="I764" s="164"/>
      <c r="J764" s="346" t="s">
        <v>2182</v>
      </c>
      <c r="K764" s="346" t="s">
        <v>2183</v>
      </c>
      <c r="L764" s="304" t="s">
        <v>2184</v>
      </c>
      <c r="M764" s="304" t="s">
        <v>140</v>
      </c>
      <c r="N764" s="293"/>
      <c r="O764" s="293"/>
      <c r="P764" s="293"/>
      <c r="Q764" s="24"/>
      <c r="R764" s="164"/>
      <c r="S764" s="346" t="s">
        <v>113</v>
      </c>
      <c r="T764" s="164"/>
      <c r="U764" s="164"/>
      <c r="V764" s="304" t="s">
        <v>115</v>
      </c>
      <c r="W764" s="24"/>
      <c r="X764" s="164"/>
      <c r="Y764" s="24"/>
      <c r="Z764" s="24"/>
      <c r="AA764" s="24"/>
      <c r="AB764" s="24"/>
      <c r="AC764" s="164"/>
      <c r="AD764" s="164"/>
      <c r="AE764" s="164"/>
      <c r="AF764" s="164"/>
      <c r="AG764" s="294" t="s">
        <v>2181</v>
      </c>
      <c r="AH764" s="294" t="s">
        <v>1804</v>
      </c>
      <c r="AI764" s="294" t="s">
        <v>1805</v>
      </c>
      <c r="AJ764" s="24"/>
      <c r="AK764" s="24"/>
      <c r="AL764" s="24"/>
    </row>
    <row r="765" spans="1:38" ht="12.75" customHeight="1">
      <c r="A765" s="22">
        <v>763</v>
      </c>
      <c r="B765" s="24" t="str">
        <f t="shared" si="0"/>
        <v>Blood glucose test type</v>
      </c>
      <c r="C765" s="24" t="str">
        <f t="shared" si="1"/>
        <v>Data Element</v>
      </c>
      <c r="D765" s="24" t="str">
        <f t="shared" si="2"/>
        <v/>
      </c>
      <c r="E765" s="24" t="s">
        <v>2177</v>
      </c>
      <c r="F765" s="24">
        <v>1</v>
      </c>
      <c r="G765" s="24" t="s">
        <v>1767</v>
      </c>
      <c r="H765" s="24"/>
      <c r="I765" s="283"/>
      <c r="J765" s="224" t="s">
        <v>2185</v>
      </c>
      <c r="K765" s="224" t="s">
        <v>2186</v>
      </c>
      <c r="L765" s="224" t="s">
        <v>2187</v>
      </c>
      <c r="M765" s="224" t="s">
        <v>202</v>
      </c>
      <c r="N765" s="196"/>
      <c r="O765" s="164"/>
      <c r="P765" s="164"/>
      <c r="Q765" s="24"/>
      <c r="R765" s="283"/>
      <c r="S765" s="224" t="s">
        <v>113</v>
      </c>
      <c r="T765" s="283"/>
      <c r="U765" s="283"/>
      <c r="V765" s="196" t="s">
        <v>115</v>
      </c>
      <c r="W765" s="24"/>
      <c r="X765" s="283"/>
      <c r="Y765" s="24"/>
      <c r="Z765" s="24"/>
      <c r="AA765" s="24"/>
      <c r="AB765" s="24"/>
      <c r="AC765" s="283"/>
      <c r="AD765" s="283"/>
      <c r="AE765" s="283"/>
      <c r="AF765" s="283"/>
      <c r="AG765" s="285" t="s">
        <v>115</v>
      </c>
      <c r="AH765" s="285" t="s">
        <v>2188</v>
      </c>
      <c r="AI765" s="285" t="s">
        <v>2189</v>
      </c>
      <c r="AJ765" s="24"/>
      <c r="AK765" s="24"/>
      <c r="AL765" s="24"/>
    </row>
    <row r="766" spans="1:38" ht="12.75" customHeight="1">
      <c r="A766" s="22">
        <v>764</v>
      </c>
      <c r="B766" s="24" t="str">
        <f t="shared" si="0"/>
        <v>Fasting plasma glucose</v>
      </c>
      <c r="C766" s="24" t="str">
        <f t="shared" si="1"/>
        <v>Input Option</v>
      </c>
      <c r="D766" s="24" t="str">
        <f t="shared" si="2"/>
        <v>Blood glucose test type</v>
      </c>
      <c r="E766" s="24" t="s">
        <v>2177</v>
      </c>
      <c r="F766" s="24">
        <v>1</v>
      </c>
      <c r="G766" s="24" t="s">
        <v>1767</v>
      </c>
      <c r="H766" s="24"/>
      <c r="I766" s="283"/>
      <c r="J766" s="224"/>
      <c r="K766" s="224"/>
      <c r="L766" s="224"/>
      <c r="M766" s="224"/>
      <c r="N766" s="196" t="s">
        <v>2190</v>
      </c>
      <c r="O766" s="196"/>
      <c r="P766" s="204"/>
      <c r="Q766" s="24"/>
      <c r="R766" s="283"/>
      <c r="S766" s="224"/>
      <c r="T766" s="283"/>
      <c r="U766" s="283"/>
      <c r="V766" s="196"/>
      <c r="W766" s="24"/>
      <c r="X766" s="283"/>
      <c r="Y766" s="24"/>
      <c r="Z766" s="24"/>
      <c r="AA766" s="24"/>
      <c r="AB766" s="24"/>
      <c r="AC766" s="283"/>
      <c r="AD766" s="283"/>
      <c r="AE766" s="283"/>
      <c r="AF766" s="283"/>
      <c r="AG766" s="285" t="s">
        <v>115</v>
      </c>
      <c r="AH766" s="205" t="s">
        <v>2191</v>
      </c>
      <c r="AI766" s="285" t="s">
        <v>2192</v>
      </c>
      <c r="AJ766" s="24"/>
      <c r="AK766" s="24"/>
      <c r="AL766" s="24"/>
    </row>
    <row r="767" spans="1:38" ht="12.75" customHeight="1">
      <c r="A767" s="22">
        <v>765</v>
      </c>
      <c r="B767" s="24" t="str">
        <f t="shared" si="0"/>
        <v>75g OGTT</v>
      </c>
      <c r="C767" s="24" t="str">
        <f t="shared" si="1"/>
        <v>Input Option</v>
      </c>
      <c r="D767" s="24" t="str">
        <f t="shared" si="2"/>
        <v>Blood glucose test type</v>
      </c>
      <c r="E767" s="24" t="s">
        <v>2177</v>
      </c>
      <c r="F767" s="24">
        <v>1</v>
      </c>
      <c r="G767" s="24" t="s">
        <v>1767</v>
      </c>
      <c r="H767" s="24"/>
      <c r="I767" s="283"/>
      <c r="J767" s="224"/>
      <c r="K767" s="224"/>
      <c r="L767" s="224"/>
      <c r="M767" s="224"/>
      <c r="N767" s="204" t="s">
        <v>2193</v>
      </c>
      <c r="O767" s="196"/>
      <c r="P767" s="204"/>
      <c r="Q767" s="24"/>
      <c r="R767" s="283"/>
      <c r="S767" s="224"/>
      <c r="T767" s="283"/>
      <c r="U767" s="283"/>
      <c r="V767" s="196"/>
      <c r="W767" s="24"/>
      <c r="X767" s="283"/>
      <c r="Y767" s="24"/>
      <c r="Z767" s="24"/>
      <c r="AA767" s="24"/>
      <c r="AB767" s="24"/>
      <c r="AC767" s="283"/>
      <c r="AD767" s="283"/>
      <c r="AE767" s="283"/>
      <c r="AF767" s="283"/>
      <c r="AG767" s="285" t="s">
        <v>115</v>
      </c>
      <c r="AH767" s="205" t="s">
        <v>2194</v>
      </c>
      <c r="AI767" s="285" t="s">
        <v>2195</v>
      </c>
      <c r="AJ767" s="24"/>
      <c r="AK767" s="24"/>
      <c r="AL767" s="24"/>
    </row>
    <row r="768" spans="1:38" ht="12.75" customHeight="1">
      <c r="A768" s="22">
        <v>766</v>
      </c>
      <c r="B768" s="24" t="str">
        <f t="shared" si="0"/>
        <v>Random plasma glucose</v>
      </c>
      <c r="C768" s="24" t="str">
        <f t="shared" si="1"/>
        <v>Input Option</v>
      </c>
      <c r="D768" s="24" t="str">
        <f t="shared" si="2"/>
        <v>Blood glucose test type</v>
      </c>
      <c r="E768" s="24" t="s">
        <v>2177</v>
      </c>
      <c r="F768" s="24">
        <v>1</v>
      </c>
      <c r="G768" s="24" t="s">
        <v>1767</v>
      </c>
      <c r="H768" s="24"/>
      <c r="I768" s="283"/>
      <c r="J768" s="224"/>
      <c r="K768" s="224"/>
      <c r="L768" s="224"/>
      <c r="M768" s="224"/>
      <c r="N768" s="204" t="s">
        <v>2196</v>
      </c>
      <c r="O768" s="196"/>
      <c r="P768" s="204"/>
      <c r="Q768" s="24"/>
      <c r="R768" s="283"/>
      <c r="S768" s="224"/>
      <c r="T768" s="283"/>
      <c r="U768" s="283"/>
      <c r="V768" s="196"/>
      <c r="W768" s="24"/>
      <c r="X768" s="283"/>
      <c r="Y768" s="24"/>
      <c r="Z768" s="24"/>
      <c r="AA768" s="24"/>
      <c r="AB768" s="24"/>
      <c r="AC768" s="283"/>
      <c r="AD768" s="283"/>
      <c r="AE768" s="283"/>
      <c r="AF768" s="283"/>
      <c r="AG768" s="285" t="s">
        <v>115</v>
      </c>
      <c r="AH768" s="205" t="s">
        <v>2197</v>
      </c>
      <c r="AI768" s="285" t="s">
        <v>2198</v>
      </c>
      <c r="AJ768" s="24"/>
      <c r="AK768" s="24"/>
      <c r="AL768" s="24"/>
    </row>
    <row r="769" spans="1:38" ht="12.75" customHeight="1">
      <c r="A769" s="22">
        <v>767</v>
      </c>
      <c r="B769" s="24" t="str">
        <f t="shared" si="0"/>
        <v>Fasting plasma glucose results (mg/dl)</v>
      </c>
      <c r="C769" s="24" t="str">
        <f t="shared" si="1"/>
        <v>Data Element</v>
      </c>
      <c r="D769" s="24" t="str">
        <f t="shared" si="2"/>
        <v/>
      </c>
      <c r="E769" s="24" t="s">
        <v>2177</v>
      </c>
      <c r="F769" s="24">
        <v>1</v>
      </c>
      <c r="G769" s="24" t="s">
        <v>1767</v>
      </c>
      <c r="H769" s="24"/>
      <c r="I769" s="283"/>
      <c r="J769" s="224" t="s">
        <v>2199</v>
      </c>
      <c r="K769" s="224" t="s">
        <v>2200</v>
      </c>
      <c r="L769" s="224" t="s">
        <v>2201</v>
      </c>
      <c r="M769" s="224" t="s">
        <v>168</v>
      </c>
      <c r="N769" s="196"/>
      <c r="O769" s="196"/>
      <c r="P769" s="204"/>
      <c r="Q769" s="204" t="s">
        <v>2202</v>
      </c>
      <c r="R769" s="283"/>
      <c r="S769" s="224" t="s">
        <v>113</v>
      </c>
      <c r="T769" s="283"/>
      <c r="U769" s="283"/>
      <c r="V769" s="196" t="s">
        <v>115</v>
      </c>
      <c r="W769" s="24"/>
      <c r="X769" s="283"/>
      <c r="Y769" s="24"/>
      <c r="Z769" s="24"/>
      <c r="AA769" s="24"/>
      <c r="AB769" s="24"/>
      <c r="AC769" s="283"/>
      <c r="AD769" s="283"/>
      <c r="AE769" s="283"/>
      <c r="AF769" s="283"/>
      <c r="AG769" s="285" t="s">
        <v>115</v>
      </c>
      <c r="AH769" s="205" t="s">
        <v>2191</v>
      </c>
      <c r="AI769" s="285" t="s">
        <v>2192</v>
      </c>
      <c r="AJ769" s="24"/>
      <c r="AK769" s="24"/>
      <c r="AL769" s="24"/>
    </row>
    <row r="770" spans="1:38" ht="12.75" customHeight="1">
      <c r="A770" s="22">
        <v>768</v>
      </c>
      <c r="B770" s="24" t="str">
        <f t="shared" si="0"/>
        <v>75g OGTT - fasting glucose results (mg/dl)</v>
      </c>
      <c r="C770" s="24" t="str">
        <f t="shared" si="1"/>
        <v>Data Element</v>
      </c>
      <c r="D770" s="24" t="str">
        <f t="shared" si="2"/>
        <v/>
      </c>
      <c r="E770" s="24" t="s">
        <v>2177</v>
      </c>
      <c r="F770" s="24">
        <v>1</v>
      </c>
      <c r="G770" s="24" t="s">
        <v>1767</v>
      </c>
      <c r="H770" s="24"/>
      <c r="I770" s="283"/>
      <c r="J770" s="224" t="s">
        <v>2203</v>
      </c>
      <c r="K770" s="224" t="s">
        <v>2204</v>
      </c>
      <c r="L770" s="224" t="s">
        <v>2205</v>
      </c>
      <c r="M770" s="224" t="s">
        <v>168</v>
      </c>
      <c r="N770" s="164"/>
      <c r="O770" s="164"/>
      <c r="P770" s="224"/>
      <c r="Q770" s="224" t="s">
        <v>2202</v>
      </c>
      <c r="R770" s="283"/>
      <c r="S770" s="224" t="s">
        <v>113</v>
      </c>
      <c r="T770" s="283"/>
      <c r="U770" s="283"/>
      <c r="V770" s="196" t="s">
        <v>115</v>
      </c>
      <c r="W770" s="24"/>
      <c r="X770" s="283"/>
      <c r="Y770" s="24"/>
      <c r="Z770" s="24"/>
      <c r="AA770" s="24"/>
      <c r="AB770" s="24"/>
      <c r="AC770" s="283"/>
      <c r="AD770" s="283"/>
      <c r="AE770" s="283"/>
      <c r="AF770" s="283"/>
      <c r="AG770" s="285" t="s">
        <v>115</v>
      </c>
      <c r="AH770" s="205" t="s">
        <v>2194</v>
      </c>
      <c r="AI770" s="285" t="s">
        <v>2195</v>
      </c>
      <c r="AJ770" s="24"/>
      <c r="AK770" s="24"/>
      <c r="AL770" s="24"/>
    </row>
    <row r="771" spans="1:38" ht="12.75" customHeight="1">
      <c r="A771" s="22">
        <v>769</v>
      </c>
      <c r="B771" s="24" t="str">
        <f t="shared" si="0"/>
        <v>75g OGTT - 1 hr results (mg/dl)</v>
      </c>
      <c r="C771" s="24" t="str">
        <f t="shared" si="1"/>
        <v>Data Element</v>
      </c>
      <c r="D771" s="24" t="str">
        <f t="shared" si="2"/>
        <v/>
      </c>
      <c r="E771" s="24" t="s">
        <v>2177</v>
      </c>
      <c r="F771" s="24">
        <v>1</v>
      </c>
      <c r="G771" s="24" t="s">
        <v>1767</v>
      </c>
      <c r="H771" s="24"/>
      <c r="I771" s="283"/>
      <c r="J771" s="204" t="s">
        <v>2206</v>
      </c>
      <c r="K771" s="204" t="s">
        <v>2207</v>
      </c>
      <c r="L771" s="204" t="s">
        <v>2208</v>
      </c>
      <c r="M771" s="204" t="s">
        <v>168</v>
      </c>
      <c r="N771" s="196"/>
      <c r="O771" s="196"/>
      <c r="P771" s="204"/>
      <c r="Q771" s="204" t="s">
        <v>2202</v>
      </c>
      <c r="R771" s="283"/>
      <c r="S771" s="204" t="s">
        <v>113</v>
      </c>
      <c r="T771" s="283"/>
      <c r="U771" s="283"/>
      <c r="V771" s="293" t="s">
        <v>115</v>
      </c>
      <c r="W771" s="24"/>
      <c r="X771" s="283"/>
      <c r="Y771" s="24"/>
      <c r="Z771" s="24"/>
      <c r="AA771" s="24"/>
      <c r="AB771" s="24"/>
      <c r="AC771" s="283"/>
      <c r="AD771" s="283"/>
      <c r="AE771" s="283"/>
      <c r="AF771" s="283"/>
      <c r="AG771" s="285" t="s">
        <v>115</v>
      </c>
      <c r="AH771" s="205" t="s">
        <v>2209</v>
      </c>
      <c r="AI771" s="285" t="s">
        <v>2210</v>
      </c>
      <c r="AJ771" s="24"/>
      <c r="AK771" s="24"/>
      <c r="AL771" s="24"/>
    </row>
    <row r="772" spans="1:38" ht="12.75" customHeight="1">
      <c r="A772" s="22">
        <v>770</v>
      </c>
      <c r="B772" s="24" t="str">
        <f t="shared" si="0"/>
        <v>75g OGTT - 2 hrs results (mg/dl)</v>
      </c>
      <c r="C772" s="24" t="str">
        <f t="shared" si="1"/>
        <v>Data Element</v>
      </c>
      <c r="D772" s="24" t="str">
        <f t="shared" si="2"/>
        <v/>
      </c>
      <c r="E772" s="24" t="s">
        <v>2177</v>
      </c>
      <c r="F772" s="24">
        <v>1</v>
      </c>
      <c r="G772" s="24" t="s">
        <v>1767</v>
      </c>
      <c r="H772" s="24"/>
      <c r="I772" s="283"/>
      <c r="J772" s="204" t="s">
        <v>2211</v>
      </c>
      <c r="K772" s="204" t="s">
        <v>2212</v>
      </c>
      <c r="L772" s="204" t="s">
        <v>2213</v>
      </c>
      <c r="M772" s="204" t="s">
        <v>168</v>
      </c>
      <c r="N772" s="196"/>
      <c r="O772" s="196"/>
      <c r="P772" s="204"/>
      <c r="Q772" s="204" t="s">
        <v>2202</v>
      </c>
      <c r="R772" s="283"/>
      <c r="S772" s="204" t="s">
        <v>113</v>
      </c>
      <c r="T772" s="283"/>
      <c r="U772" s="283"/>
      <c r="V772" s="293" t="s">
        <v>115</v>
      </c>
      <c r="W772" s="24"/>
      <c r="X772" s="283"/>
      <c r="Y772" s="24"/>
      <c r="Z772" s="24"/>
      <c r="AA772" s="24"/>
      <c r="AB772" s="24"/>
      <c r="AC772" s="283"/>
      <c r="AD772" s="283"/>
      <c r="AE772" s="283"/>
      <c r="AF772" s="283"/>
      <c r="AG772" s="285" t="s">
        <v>115</v>
      </c>
      <c r="AH772" s="205" t="s">
        <v>2214</v>
      </c>
      <c r="AI772" s="285" t="s">
        <v>2215</v>
      </c>
      <c r="AJ772" s="24"/>
      <c r="AK772" s="24"/>
      <c r="AL772" s="24"/>
    </row>
    <row r="773" spans="1:38" ht="12.75" customHeight="1">
      <c r="A773" s="22">
        <v>771</v>
      </c>
      <c r="B773" s="24" t="str">
        <f t="shared" si="0"/>
        <v>Random plasma glucose results (mg/dl)</v>
      </c>
      <c r="C773" s="24" t="str">
        <f t="shared" si="1"/>
        <v>Data Element</v>
      </c>
      <c r="D773" s="24" t="str">
        <f t="shared" si="2"/>
        <v/>
      </c>
      <c r="E773" s="24" t="s">
        <v>2177</v>
      </c>
      <c r="F773" s="24">
        <v>1</v>
      </c>
      <c r="G773" s="24" t="s">
        <v>1767</v>
      </c>
      <c r="H773" s="24"/>
      <c r="I773" s="283"/>
      <c r="J773" s="204" t="s">
        <v>2216</v>
      </c>
      <c r="K773" s="204" t="s">
        <v>2217</v>
      </c>
      <c r="L773" s="204" t="s">
        <v>2218</v>
      </c>
      <c r="M773" s="204" t="s">
        <v>168</v>
      </c>
      <c r="N773" s="196"/>
      <c r="O773" s="204"/>
      <c r="P773" s="204"/>
      <c r="Q773" s="204" t="s">
        <v>2202</v>
      </c>
      <c r="R773" s="283"/>
      <c r="S773" s="204" t="s">
        <v>113</v>
      </c>
      <c r="T773" s="283"/>
      <c r="U773" s="283"/>
      <c r="V773" s="293" t="s">
        <v>115</v>
      </c>
      <c r="W773" s="24"/>
      <c r="X773" s="283"/>
      <c r="Y773" s="24"/>
      <c r="Z773" s="24"/>
      <c r="AA773" s="24"/>
      <c r="AB773" s="24"/>
      <c r="AC773" s="283"/>
      <c r="AD773" s="283"/>
      <c r="AE773" s="283"/>
      <c r="AF773" s="283"/>
      <c r="AG773" s="285" t="s">
        <v>115</v>
      </c>
      <c r="AH773" s="205" t="s">
        <v>2197</v>
      </c>
      <c r="AI773" s="285" t="s">
        <v>2198</v>
      </c>
      <c r="AJ773" s="24"/>
      <c r="AK773" s="24"/>
      <c r="AL773" s="24"/>
    </row>
    <row r="774" spans="1:38" ht="12.75" customHeight="1">
      <c r="A774" s="22">
        <v>772</v>
      </c>
      <c r="B774" s="24" t="str">
        <f t="shared" si="0"/>
        <v>gdm</v>
      </c>
      <c r="C774" s="24" t="str">
        <f t="shared" si="1"/>
        <v>Calculation</v>
      </c>
      <c r="D774" s="24" t="str">
        <f t="shared" si="2"/>
        <v/>
      </c>
      <c r="E774" s="24" t="s">
        <v>2177</v>
      </c>
      <c r="F774" s="24">
        <v>1</v>
      </c>
      <c r="G774" s="24" t="s">
        <v>1767</v>
      </c>
      <c r="H774" s="24"/>
      <c r="I774" s="283"/>
      <c r="J774" s="234" t="s">
        <v>2220</v>
      </c>
      <c r="K774" s="234" t="s">
        <v>2219</v>
      </c>
      <c r="L774" s="234" t="s">
        <v>2221</v>
      </c>
      <c r="M774" s="234" t="s">
        <v>65</v>
      </c>
      <c r="N774" s="249"/>
      <c r="O774" s="234" t="s">
        <v>2222</v>
      </c>
      <c r="P774" s="249"/>
      <c r="Q774" s="24"/>
      <c r="R774" s="283"/>
      <c r="S774" s="234" t="s">
        <v>115</v>
      </c>
      <c r="T774" s="283"/>
      <c r="U774" s="283"/>
      <c r="V774" s="328" t="s">
        <v>115</v>
      </c>
      <c r="W774" s="24"/>
      <c r="X774" s="283"/>
      <c r="Y774" s="24"/>
      <c r="Z774" s="24"/>
      <c r="AA774" s="24"/>
      <c r="AB774" s="24"/>
      <c r="AC774" s="283"/>
      <c r="AD774" s="283"/>
      <c r="AE774" s="283"/>
      <c r="AF774" s="283"/>
      <c r="AG774" s="285" t="s">
        <v>115</v>
      </c>
      <c r="AH774" s="205" t="s">
        <v>2223</v>
      </c>
      <c r="AI774" s="285" t="s">
        <v>2224</v>
      </c>
      <c r="AJ774" s="24"/>
      <c r="AK774" s="24"/>
      <c r="AL774" s="24"/>
    </row>
    <row r="775" spans="1:38" ht="12.75" customHeight="1">
      <c r="A775" s="22">
        <v>773</v>
      </c>
      <c r="B775" s="24" t="str">
        <f t="shared" si="0"/>
        <v>dm_in_preg</v>
      </c>
      <c r="C775" s="24" t="str">
        <f t="shared" si="1"/>
        <v>Calculation</v>
      </c>
      <c r="D775" s="24" t="str">
        <f t="shared" si="2"/>
        <v/>
      </c>
      <c r="E775" s="24" t="s">
        <v>2177</v>
      </c>
      <c r="F775" s="24">
        <v>1</v>
      </c>
      <c r="G775" s="24" t="s">
        <v>1767</v>
      </c>
      <c r="H775" s="24"/>
      <c r="I775" s="283"/>
      <c r="J775" s="234" t="s">
        <v>2226</v>
      </c>
      <c r="K775" s="234" t="s">
        <v>2225</v>
      </c>
      <c r="L775" s="234" t="s">
        <v>2227</v>
      </c>
      <c r="M775" s="234" t="s">
        <v>65</v>
      </c>
      <c r="N775" s="249"/>
      <c r="O775" s="234" t="s">
        <v>2228</v>
      </c>
      <c r="P775" s="249"/>
      <c r="Q775" s="24"/>
      <c r="R775" s="283"/>
      <c r="S775" s="234" t="s">
        <v>115</v>
      </c>
      <c r="T775" s="283"/>
      <c r="U775" s="283"/>
      <c r="V775" s="328" t="s">
        <v>115</v>
      </c>
      <c r="W775" s="24"/>
      <c r="X775" s="283"/>
      <c r="Y775" s="24"/>
      <c r="Z775" s="24"/>
      <c r="AA775" s="24"/>
      <c r="AB775" s="24"/>
      <c r="AC775" s="283"/>
      <c r="AD775" s="283"/>
      <c r="AE775" s="283"/>
      <c r="AF775" s="283"/>
      <c r="AG775" s="285" t="s">
        <v>115</v>
      </c>
      <c r="AH775" s="205" t="s">
        <v>2229</v>
      </c>
      <c r="AI775" s="285" t="s">
        <v>2230</v>
      </c>
      <c r="AJ775" s="24"/>
      <c r="AK775" s="24"/>
      <c r="AL775" s="24"/>
    </row>
    <row r="776" spans="1:38" ht="12.75" customHeight="1">
      <c r="A776" s="22">
        <v>774</v>
      </c>
      <c r="B776" s="24" t="str">
        <f t="shared" si="0"/>
        <v>Blood haemoglobin test</v>
      </c>
      <c r="C776" s="24" t="str">
        <f t="shared" si="1"/>
        <v>Data Element</v>
      </c>
      <c r="D776" s="24" t="str">
        <f t="shared" si="2"/>
        <v/>
      </c>
      <c r="E776" s="24" t="s">
        <v>2232</v>
      </c>
      <c r="F776" s="24">
        <v>1</v>
      </c>
      <c r="G776" s="24" t="s">
        <v>1767</v>
      </c>
      <c r="H776" s="24"/>
      <c r="I776" s="283"/>
      <c r="J776" s="224" t="s">
        <v>2231</v>
      </c>
      <c r="K776" s="224" t="s">
        <v>2233</v>
      </c>
      <c r="L776" s="224" t="s">
        <v>2234</v>
      </c>
      <c r="M776" s="224" t="s">
        <v>202</v>
      </c>
      <c r="N776" s="224"/>
      <c r="O776" s="164"/>
      <c r="P776" s="224"/>
      <c r="Q776" s="24"/>
      <c r="R776" s="283"/>
      <c r="S776" s="224" t="s">
        <v>113</v>
      </c>
      <c r="T776" s="283"/>
      <c r="U776" s="283"/>
      <c r="V776" s="224" t="s">
        <v>2235</v>
      </c>
      <c r="W776" s="24"/>
      <c r="X776" s="283"/>
      <c r="Y776" s="24"/>
      <c r="Z776" s="24"/>
      <c r="AA776" s="24"/>
      <c r="AB776" s="24"/>
      <c r="AC776" s="283"/>
      <c r="AD776" s="283"/>
      <c r="AE776" s="283"/>
      <c r="AF776" s="283"/>
      <c r="AG776" s="285" t="s">
        <v>2236</v>
      </c>
      <c r="AH776" s="205" t="s">
        <v>1773</v>
      </c>
      <c r="AI776" s="285" t="s">
        <v>1774</v>
      </c>
      <c r="AJ776" s="24"/>
      <c r="AK776" s="24"/>
      <c r="AL776" s="24"/>
    </row>
    <row r="777" spans="1:38" ht="12.75" customHeight="1">
      <c r="A777" s="22">
        <v>775</v>
      </c>
      <c r="B777" s="24" t="str">
        <f t="shared" si="0"/>
        <v>Done today</v>
      </c>
      <c r="C777" s="24" t="str">
        <f t="shared" si="1"/>
        <v>Input Option</v>
      </c>
      <c r="D777" s="24" t="str">
        <f t="shared" si="2"/>
        <v>Blood haemoglobin test</v>
      </c>
      <c r="E777" s="24" t="s">
        <v>2232</v>
      </c>
      <c r="F777" s="24">
        <v>1</v>
      </c>
      <c r="G777" s="24" t="s">
        <v>1767</v>
      </c>
      <c r="H777" s="24"/>
      <c r="I777" s="283"/>
      <c r="J777" s="224"/>
      <c r="K777" s="224"/>
      <c r="L777" s="224"/>
      <c r="M777" s="224"/>
      <c r="N777" s="304" t="s">
        <v>1775</v>
      </c>
      <c r="O777" s="164"/>
      <c r="P777" s="224"/>
      <c r="Q777" s="24"/>
      <c r="R777" s="283"/>
      <c r="S777" s="224"/>
      <c r="T777" s="283"/>
      <c r="U777" s="283"/>
      <c r="V777" s="164"/>
      <c r="W777" s="24"/>
      <c r="X777" s="283"/>
      <c r="Y777" s="24"/>
      <c r="Z777" s="24"/>
      <c r="AA777" s="24"/>
      <c r="AB777" s="24"/>
      <c r="AC777" s="283"/>
      <c r="AD777" s="283"/>
      <c r="AE777" s="283"/>
      <c r="AF777" s="283"/>
      <c r="AG777" s="285" t="s">
        <v>115</v>
      </c>
      <c r="AH777" s="285" t="s">
        <v>1777</v>
      </c>
      <c r="AI777" s="285" t="s">
        <v>1778</v>
      </c>
      <c r="AJ777" s="24"/>
      <c r="AK777" s="24"/>
      <c r="AL777" s="24"/>
    </row>
    <row r="778" spans="1:38" ht="12.75" customHeight="1">
      <c r="A778" s="22">
        <v>776</v>
      </c>
      <c r="B778" s="24" t="str">
        <f t="shared" si="0"/>
        <v>Done earlier</v>
      </c>
      <c r="C778" s="24" t="str">
        <f t="shared" si="1"/>
        <v>Input Option</v>
      </c>
      <c r="D778" s="24" t="str">
        <f t="shared" si="2"/>
        <v>Blood haemoglobin test</v>
      </c>
      <c r="E778" s="24" t="s">
        <v>2232</v>
      </c>
      <c r="F778" s="24">
        <v>1</v>
      </c>
      <c r="G778" s="24" t="s">
        <v>1767</v>
      </c>
      <c r="H778" s="24"/>
      <c r="I778" s="283"/>
      <c r="J778" s="224"/>
      <c r="K778" s="224"/>
      <c r="L778" s="224"/>
      <c r="M778" s="224"/>
      <c r="N778" s="304" t="s">
        <v>1779</v>
      </c>
      <c r="O778" s="164"/>
      <c r="P778" s="224"/>
      <c r="Q778" s="24"/>
      <c r="R778" s="283"/>
      <c r="S778" s="224"/>
      <c r="T778" s="283"/>
      <c r="U778" s="283"/>
      <c r="V778" s="164"/>
      <c r="W778" s="24"/>
      <c r="X778" s="283"/>
      <c r="Y778" s="24"/>
      <c r="Z778" s="24"/>
      <c r="AA778" s="24"/>
      <c r="AB778" s="24"/>
      <c r="AC778" s="283"/>
      <c r="AD778" s="283"/>
      <c r="AE778" s="283"/>
      <c r="AF778" s="283"/>
      <c r="AG778" s="285" t="s">
        <v>115</v>
      </c>
      <c r="AH778" s="285" t="s">
        <v>1781</v>
      </c>
      <c r="AI778" s="285" t="s">
        <v>1782</v>
      </c>
      <c r="AJ778" s="24"/>
      <c r="AK778" s="24"/>
      <c r="AL778" s="24"/>
    </row>
    <row r="779" spans="1:38" ht="12.75" customHeight="1">
      <c r="A779" s="22">
        <v>777</v>
      </c>
      <c r="B779" s="24" t="str">
        <f t="shared" si="0"/>
        <v>Ordered</v>
      </c>
      <c r="C779" s="24" t="str">
        <f t="shared" si="1"/>
        <v>Input Option</v>
      </c>
      <c r="D779" s="24" t="str">
        <f t="shared" si="2"/>
        <v>Blood haemoglobin test</v>
      </c>
      <c r="E779" s="24" t="s">
        <v>2232</v>
      </c>
      <c r="F779" s="24">
        <v>1</v>
      </c>
      <c r="G779" s="24" t="s">
        <v>1767</v>
      </c>
      <c r="H779" s="24"/>
      <c r="I779" s="283"/>
      <c r="J779" s="224"/>
      <c r="K779" s="224"/>
      <c r="L779" s="224"/>
      <c r="M779" s="224"/>
      <c r="N779" s="304" t="s">
        <v>1783</v>
      </c>
      <c r="O779" s="164"/>
      <c r="P779" s="224"/>
      <c r="Q779" s="24"/>
      <c r="R779" s="283"/>
      <c r="S779" s="224"/>
      <c r="T779" s="283"/>
      <c r="U779" s="283"/>
      <c r="V779" s="164"/>
      <c r="W779" s="24"/>
      <c r="X779" s="283"/>
      <c r="Y779" s="24"/>
      <c r="Z779" s="24"/>
      <c r="AA779" s="24"/>
      <c r="AB779" s="24"/>
      <c r="AC779" s="283"/>
      <c r="AD779" s="283"/>
      <c r="AE779" s="283"/>
      <c r="AF779" s="283"/>
      <c r="AG779" s="285" t="s">
        <v>115</v>
      </c>
      <c r="AH779" s="285" t="s">
        <v>1784</v>
      </c>
      <c r="AI779" s="205" t="s">
        <v>1785</v>
      </c>
      <c r="AJ779" s="24"/>
      <c r="AK779" s="24"/>
      <c r="AL779" s="24"/>
    </row>
    <row r="780" spans="1:38" ht="12.75" customHeight="1">
      <c r="A780" s="22">
        <v>778</v>
      </c>
      <c r="B780" s="24" t="str">
        <f t="shared" si="0"/>
        <v>Not done</v>
      </c>
      <c r="C780" s="24" t="str">
        <f t="shared" si="1"/>
        <v>Input Option</v>
      </c>
      <c r="D780" s="24" t="str">
        <f t="shared" si="2"/>
        <v>Blood haemoglobin test</v>
      </c>
      <c r="E780" s="24" t="s">
        <v>2232</v>
      </c>
      <c r="F780" s="24">
        <v>1</v>
      </c>
      <c r="G780" s="24" t="s">
        <v>1767</v>
      </c>
      <c r="H780" s="24"/>
      <c r="I780" s="283"/>
      <c r="J780" s="224"/>
      <c r="K780" s="224"/>
      <c r="L780" s="224"/>
      <c r="M780" s="224"/>
      <c r="N780" s="304" t="s">
        <v>1468</v>
      </c>
      <c r="O780" s="164"/>
      <c r="P780" s="224"/>
      <c r="Q780" s="24"/>
      <c r="R780" s="283"/>
      <c r="S780" s="224"/>
      <c r="T780" s="283"/>
      <c r="U780" s="283"/>
      <c r="V780" s="164"/>
      <c r="W780" s="24"/>
      <c r="X780" s="283"/>
      <c r="Y780" s="24"/>
      <c r="Z780" s="24"/>
      <c r="AA780" s="24"/>
      <c r="AB780" s="24"/>
      <c r="AC780" s="283"/>
      <c r="AD780" s="283"/>
      <c r="AE780" s="283"/>
      <c r="AF780" s="283"/>
      <c r="AG780" s="285" t="s">
        <v>115</v>
      </c>
      <c r="AH780" s="285" t="s">
        <v>1469</v>
      </c>
      <c r="AI780" s="205" t="s">
        <v>1470</v>
      </c>
      <c r="AJ780" s="24"/>
      <c r="AK780" s="24"/>
      <c r="AL780" s="24"/>
    </row>
    <row r="781" spans="1:38" ht="12.75" customHeight="1">
      <c r="A781" s="22">
        <v>779</v>
      </c>
      <c r="B781" s="24" t="str">
        <f t="shared" si="0"/>
        <v>Reason</v>
      </c>
      <c r="C781" s="24" t="str">
        <f t="shared" si="1"/>
        <v>Data Element</v>
      </c>
      <c r="D781" s="24" t="str">
        <f t="shared" si="2"/>
        <v/>
      </c>
      <c r="E781" s="24" t="s">
        <v>2232</v>
      </c>
      <c r="F781" s="24">
        <v>1</v>
      </c>
      <c r="G781" s="24" t="s">
        <v>1767</v>
      </c>
      <c r="H781" s="24"/>
      <c r="I781" s="283"/>
      <c r="J781" s="224" t="s">
        <v>1376</v>
      </c>
      <c r="K781" s="224" t="s">
        <v>2240</v>
      </c>
      <c r="L781" s="224" t="s">
        <v>2241</v>
      </c>
      <c r="M781" s="224" t="s">
        <v>238</v>
      </c>
      <c r="N781" s="224"/>
      <c r="O781" s="164"/>
      <c r="P781" s="224"/>
      <c r="Q781" s="24"/>
      <c r="R781" s="283"/>
      <c r="S781" s="224" t="s">
        <v>113</v>
      </c>
      <c r="T781" s="283"/>
      <c r="U781" s="283"/>
      <c r="V781" s="164" t="s">
        <v>115</v>
      </c>
      <c r="W781" s="24"/>
      <c r="X781" s="283"/>
      <c r="Y781" s="24"/>
      <c r="Z781" s="24"/>
      <c r="AA781" s="24"/>
      <c r="AB781" s="24"/>
      <c r="AC781" s="283"/>
      <c r="AD781" s="283"/>
      <c r="AE781" s="283"/>
      <c r="AF781" s="283"/>
      <c r="AG781" s="285" t="s">
        <v>2236</v>
      </c>
      <c r="AH781" s="205" t="s">
        <v>1791</v>
      </c>
      <c r="AI781" s="285" t="s">
        <v>1792</v>
      </c>
      <c r="AJ781" s="24"/>
      <c r="AK781" s="24"/>
      <c r="AL781" s="24"/>
    </row>
    <row r="782" spans="1:38" ht="12.75" customHeight="1">
      <c r="A782" s="22">
        <v>780</v>
      </c>
      <c r="B782" s="24" t="str">
        <f t="shared" si="0"/>
        <v>No supplies</v>
      </c>
      <c r="C782" s="24" t="str">
        <f t="shared" si="1"/>
        <v>Input Option</v>
      </c>
      <c r="D782" s="24" t="str">
        <f t="shared" si="2"/>
        <v>Reason</v>
      </c>
      <c r="E782" s="24" t="s">
        <v>2232</v>
      </c>
      <c r="F782" s="24">
        <v>1</v>
      </c>
      <c r="G782" s="24" t="s">
        <v>1767</v>
      </c>
      <c r="H782" s="24"/>
      <c r="I782" s="283"/>
      <c r="J782" s="293"/>
      <c r="K782" s="293"/>
      <c r="L782" s="196"/>
      <c r="M782" s="196"/>
      <c r="N782" s="204" t="s">
        <v>2243</v>
      </c>
      <c r="O782" s="196"/>
      <c r="P782" s="196"/>
      <c r="Q782" s="24"/>
      <c r="R782" s="283"/>
      <c r="S782" s="293"/>
      <c r="T782" s="283"/>
      <c r="U782" s="283"/>
      <c r="V782" s="293"/>
      <c r="W782" s="24"/>
      <c r="X782" s="283"/>
      <c r="Y782" s="24"/>
      <c r="Z782" s="24"/>
      <c r="AA782" s="24"/>
      <c r="AB782" s="24"/>
      <c r="AC782" s="283"/>
      <c r="AD782" s="283"/>
      <c r="AE782" s="283"/>
      <c r="AF782" s="283"/>
      <c r="AG782" s="294" t="s">
        <v>115</v>
      </c>
      <c r="AH782" s="294" t="s">
        <v>1910</v>
      </c>
      <c r="AI782" s="294" t="s">
        <v>1911</v>
      </c>
      <c r="AJ782" s="24"/>
      <c r="AK782" s="24"/>
      <c r="AL782" s="24"/>
    </row>
    <row r="783" spans="1:38" ht="12.75" customHeight="1">
      <c r="A783" s="22">
        <v>781</v>
      </c>
      <c r="B783" s="24" t="str">
        <f t="shared" si="0"/>
        <v>Expired</v>
      </c>
      <c r="C783" s="24" t="str">
        <f t="shared" si="1"/>
        <v>Input Option</v>
      </c>
      <c r="D783" s="24" t="str">
        <f t="shared" si="2"/>
        <v>Reason</v>
      </c>
      <c r="E783" s="24" t="s">
        <v>2232</v>
      </c>
      <c r="F783" s="24">
        <v>1</v>
      </c>
      <c r="G783" s="24" t="s">
        <v>1767</v>
      </c>
      <c r="H783" s="24"/>
      <c r="I783" s="283"/>
      <c r="J783" s="293"/>
      <c r="K783" s="293"/>
      <c r="L783" s="196"/>
      <c r="M783" s="196"/>
      <c r="N783" s="196" t="s">
        <v>2244</v>
      </c>
      <c r="O783" s="196"/>
      <c r="P783" s="196"/>
      <c r="Q783" s="24"/>
      <c r="R783" s="283"/>
      <c r="S783" s="293"/>
      <c r="T783" s="283"/>
      <c r="U783" s="283"/>
      <c r="V783" s="293"/>
      <c r="W783" s="24"/>
      <c r="X783" s="283"/>
      <c r="Y783" s="24"/>
      <c r="Z783" s="24"/>
      <c r="AA783" s="24"/>
      <c r="AB783" s="24"/>
      <c r="AC783" s="283"/>
      <c r="AD783" s="283"/>
      <c r="AE783" s="283"/>
      <c r="AF783" s="283"/>
      <c r="AG783" s="294" t="s">
        <v>115</v>
      </c>
      <c r="AH783" s="294" t="s">
        <v>1913</v>
      </c>
      <c r="AI783" s="294" t="s">
        <v>1914</v>
      </c>
      <c r="AJ783" s="24"/>
      <c r="AK783" s="24"/>
      <c r="AL783" s="24"/>
    </row>
    <row r="784" spans="1:38" ht="12.75" customHeight="1">
      <c r="A784" s="22">
        <v>782</v>
      </c>
      <c r="B784" s="24" t="str">
        <f t="shared" si="0"/>
        <v>Other</v>
      </c>
      <c r="C784" s="24" t="str">
        <f t="shared" si="1"/>
        <v>Input Option</v>
      </c>
      <c r="D784" s="24" t="str">
        <f t="shared" si="2"/>
        <v>Reason</v>
      </c>
      <c r="E784" s="24" t="s">
        <v>2232</v>
      </c>
      <c r="F784" s="24">
        <v>1</v>
      </c>
      <c r="G784" s="24" t="s">
        <v>1767</v>
      </c>
      <c r="H784" s="24"/>
      <c r="I784" s="164"/>
      <c r="J784" s="301"/>
      <c r="K784" s="301"/>
      <c r="L784" s="164"/>
      <c r="M784" s="164"/>
      <c r="N784" s="164" t="s">
        <v>1387</v>
      </c>
      <c r="O784" s="164"/>
      <c r="P784" s="164"/>
      <c r="Q784" s="24"/>
      <c r="R784" s="164"/>
      <c r="S784" s="301"/>
      <c r="T784" s="164"/>
      <c r="U784" s="164"/>
      <c r="V784" s="301"/>
      <c r="W784" s="24"/>
      <c r="X784" s="164"/>
      <c r="Y784" s="24"/>
      <c r="Z784" s="24"/>
      <c r="AA784" s="24"/>
      <c r="AB784" s="24"/>
      <c r="AC784" s="164"/>
      <c r="AD784" s="164"/>
      <c r="AE784" s="164"/>
      <c r="AF784" s="164"/>
      <c r="AG784" s="355" t="s">
        <v>115</v>
      </c>
      <c r="AH784" s="355" t="s">
        <v>406</v>
      </c>
      <c r="AI784" s="355" t="s">
        <v>407</v>
      </c>
      <c r="AJ784" s="24"/>
      <c r="AK784" s="24"/>
      <c r="AL784" s="24"/>
    </row>
    <row r="785" spans="1:38" ht="12.75" customHeight="1">
      <c r="A785" s="22">
        <v>783</v>
      </c>
      <c r="B785" s="24" t="str">
        <f t="shared" si="0"/>
        <v>Specify HB test not done</v>
      </c>
      <c r="C785" s="24" t="str">
        <f t="shared" si="1"/>
        <v>Data Element</v>
      </c>
      <c r="D785" s="24" t="str">
        <f t="shared" si="2"/>
        <v/>
      </c>
      <c r="E785" s="24" t="s">
        <v>2232</v>
      </c>
      <c r="F785" s="24">
        <v>1</v>
      </c>
      <c r="G785" s="24" t="s">
        <v>1767</v>
      </c>
      <c r="H785" s="24"/>
      <c r="I785" s="283"/>
      <c r="J785" s="293" t="s">
        <v>2246</v>
      </c>
      <c r="K785" s="293" t="s">
        <v>2247</v>
      </c>
      <c r="L785" s="196" t="s">
        <v>2248</v>
      </c>
      <c r="M785" s="196" t="s">
        <v>111</v>
      </c>
      <c r="N785" s="196"/>
      <c r="O785" s="196"/>
      <c r="P785" s="196"/>
      <c r="Q785" s="24"/>
      <c r="R785" s="283"/>
      <c r="S785" s="293" t="s">
        <v>208</v>
      </c>
      <c r="T785" s="283"/>
      <c r="U785" s="283"/>
      <c r="V785" s="293" t="s">
        <v>115</v>
      </c>
      <c r="W785" s="24"/>
      <c r="X785" s="283"/>
      <c r="Y785" s="24"/>
      <c r="Z785" s="24"/>
      <c r="AA785" s="24"/>
      <c r="AB785" s="24"/>
      <c r="AC785" s="283"/>
      <c r="AD785" s="283"/>
      <c r="AE785" s="283"/>
      <c r="AF785" s="283"/>
      <c r="AG785" s="294" t="s">
        <v>2236</v>
      </c>
      <c r="AH785" s="294" t="s">
        <v>1800</v>
      </c>
      <c r="AI785" s="294" t="s">
        <v>1801</v>
      </c>
      <c r="AJ785" s="24"/>
      <c r="AK785" s="24"/>
      <c r="AL785" s="24"/>
    </row>
    <row r="786" spans="1:38" ht="12.75" customHeight="1">
      <c r="A786" s="22">
        <v>784</v>
      </c>
      <c r="B786" s="24" t="str">
        <f t="shared" si="0"/>
        <v>Blood haemoglobin test date</v>
      </c>
      <c r="C786" s="24" t="str">
        <f t="shared" si="1"/>
        <v>Data Element</v>
      </c>
      <c r="D786" s="24" t="str">
        <f t="shared" si="2"/>
        <v/>
      </c>
      <c r="E786" s="24" t="s">
        <v>2232</v>
      </c>
      <c r="F786" s="24">
        <v>1</v>
      </c>
      <c r="G786" s="24" t="s">
        <v>1767</v>
      </c>
      <c r="H786" s="24"/>
      <c r="I786" s="283"/>
      <c r="J786" s="304" t="s">
        <v>2250</v>
      </c>
      <c r="K786" s="346" t="s">
        <v>2251</v>
      </c>
      <c r="L786" s="204" t="s">
        <v>2252</v>
      </c>
      <c r="M786" s="204" t="s">
        <v>140</v>
      </c>
      <c r="N786" s="293"/>
      <c r="O786" s="293"/>
      <c r="P786" s="293"/>
      <c r="Q786" s="24"/>
      <c r="R786" s="283"/>
      <c r="S786" s="346" t="s">
        <v>113</v>
      </c>
      <c r="T786" s="283"/>
      <c r="U786" s="283"/>
      <c r="V786" s="304" t="s">
        <v>115</v>
      </c>
      <c r="W786" s="24"/>
      <c r="X786" s="283"/>
      <c r="Y786" s="24"/>
      <c r="Z786" s="24"/>
      <c r="AA786" s="24"/>
      <c r="AB786" s="24"/>
      <c r="AC786" s="283"/>
      <c r="AD786" s="283"/>
      <c r="AE786" s="283"/>
      <c r="AF786" s="283"/>
      <c r="AG786" s="294" t="s">
        <v>2236</v>
      </c>
      <c r="AH786" s="294" t="s">
        <v>1804</v>
      </c>
      <c r="AI786" s="294" t="s">
        <v>1805</v>
      </c>
      <c r="AJ786" s="24"/>
      <c r="AK786" s="24"/>
      <c r="AL786" s="24"/>
    </row>
    <row r="787" spans="1:38" ht="12.75" customHeight="1">
      <c r="A787" s="22">
        <v>785</v>
      </c>
      <c r="B787" s="24" t="str">
        <f t="shared" si="0"/>
        <v>Blood haemoglobin test type</v>
      </c>
      <c r="C787" s="24" t="str">
        <f t="shared" si="1"/>
        <v>Data Element</v>
      </c>
      <c r="D787" s="24" t="str">
        <f t="shared" si="2"/>
        <v/>
      </c>
      <c r="E787" s="24" t="s">
        <v>2232</v>
      </c>
      <c r="F787" s="24">
        <v>1</v>
      </c>
      <c r="G787" s="24" t="s">
        <v>1767</v>
      </c>
      <c r="H787" s="24"/>
      <c r="I787" s="283"/>
      <c r="J787" s="293" t="s">
        <v>2253</v>
      </c>
      <c r="K787" s="293" t="s">
        <v>2254</v>
      </c>
      <c r="L787" s="196" t="s">
        <v>2255</v>
      </c>
      <c r="M787" s="196" t="s">
        <v>202</v>
      </c>
      <c r="N787" s="293"/>
      <c r="O787" s="293"/>
      <c r="P787" s="293"/>
      <c r="Q787" s="24"/>
      <c r="R787" s="283"/>
      <c r="S787" s="293" t="s">
        <v>113</v>
      </c>
      <c r="T787" s="283"/>
      <c r="U787" s="283"/>
      <c r="V787" s="293" t="s">
        <v>115</v>
      </c>
      <c r="W787" s="24"/>
      <c r="X787" s="283"/>
      <c r="Y787" s="24"/>
      <c r="Z787" s="24"/>
      <c r="AA787" s="24"/>
      <c r="AB787" s="24"/>
      <c r="AC787" s="283"/>
      <c r="AD787" s="283"/>
      <c r="AE787" s="283"/>
      <c r="AF787" s="283"/>
      <c r="AG787" s="294" t="s">
        <v>115</v>
      </c>
      <c r="AH787" s="294" t="s">
        <v>2257</v>
      </c>
      <c r="AI787" s="294" t="s">
        <v>2258</v>
      </c>
      <c r="AJ787" s="24"/>
      <c r="AK787" s="24"/>
      <c r="AL787" s="24"/>
    </row>
    <row r="788" spans="1:38" ht="12.75" customHeight="1">
      <c r="A788" s="22">
        <v>786</v>
      </c>
      <c r="B788" s="24" t="str">
        <f t="shared" si="0"/>
        <v>Complete blood count test (recommended)</v>
      </c>
      <c r="C788" s="24" t="str">
        <f t="shared" si="1"/>
        <v>Input Option</v>
      </c>
      <c r="D788" s="24" t="str">
        <f t="shared" si="2"/>
        <v>Blood haemoglobin test type</v>
      </c>
      <c r="E788" s="24" t="s">
        <v>2232</v>
      </c>
      <c r="F788" s="24">
        <v>1</v>
      </c>
      <c r="G788" s="24" t="s">
        <v>1767</v>
      </c>
      <c r="H788" s="24"/>
      <c r="I788" s="283"/>
      <c r="J788" s="293"/>
      <c r="K788" s="293"/>
      <c r="L788" s="196"/>
      <c r="M788" s="196"/>
      <c r="N788" s="293" t="s">
        <v>2259</v>
      </c>
      <c r="O788" s="293"/>
      <c r="P788" s="293"/>
      <c r="Q788" s="24"/>
      <c r="R788" s="283"/>
      <c r="S788" s="293"/>
      <c r="T788" s="283"/>
      <c r="U788" s="283"/>
      <c r="V788" s="293"/>
      <c r="W788" s="24"/>
      <c r="X788" s="283"/>
      <c r="Y788" s="24"/>
      <c r="Z788" s="24"/>
      <c r="AA788" s="24"/>
      <c r="AB788" s="24"/>
      <c r="AC788" s="283"/>
      <c r="AD788" s="283"/>
      <c r="AE788" s="283"/>
      <c r="AF788" s="283"/>
      <c r="AG788" s="294" t="s">
        <v>115</v>
      </c>
      <c r="AH788" s="294" t="s">
        <v>2260</v>
      </c>
      <c r="AI788" s="294" t="s">
        <v>2261</v>
      </c>
      <c r="AJ788" s="24"/>
      <c r="AK788" s="24"/>
      <c r="AL788" s="24"/>
    </row>
    <row r="789" spans="1:38" ht="12.75" customHeight="1">
      <c r="A789" s="22">
        <v>787</v>
      </c>
      <c r="B789" s="24" t="str">
        <f t="shared" si="0"/>
        <v>Hb test (haemoglobinometer)</v>
      </c>
      <c r="C789" s="24" t="str">
        <f t="shared" si="1"/>
        <v>Input Option</v>
      </c>
      <c r="D789" s="24" t="str">
        <f t="shared" si="2"/>
        <v>Blood haemoglobin test type</v>
      </c>
      <c r="E789" s="24" t="s">
        <v>2232</v>
      </c>
      <c r="F789" s="24">
        <v>1</v>
      </c>
      <c r="G789" s="24" t="s">
        <v>1767</v>
      </c>
      <c r="H789" s="24"/>
      <c r="I789" s="283"/>
      <c r="J789" s="293"/>
      <c r="K789" s="293"/>
      <c r="L789" s="196"/>
      <c r="M789" s="196"/>
      <c r="N789" s="293" t="s">
        <v>2262</v>
      </c>
      <c r="O789" s="293"/>
      <c r="P789" s="293"/>
      <c r="Q789" s="24"/>
      <c r="R789" s="283"/>
      <c r="S789" s="293"/>
      <c r="T789" s="283"/>
      <c r="U789" s="283"/>
      <c r="V789" s="293"/>
      <c r="W789" s="24"/>
      <c r="X789" s="283"/>
      <c r="Y789" s="24"/>
      <c r="Z789" s="24"/>
      <c r="AA789" s="24"/>
      <c r="AB789" s="24"/>
      <c r="AC789" s="283"/>
      <c r="AD789" s="283"/>
      <c r="AE789" s="283"/>
      <c r="AF789" s="283"/>
      <c r="AG789" s="294" t="s">
        <v>115</v>
      </c>
      <c r="AH789" s="294" t="s">
        <v>2264</v>
      </c>
      <c r="AI789" s="294" t="s">
        <v>2265</v>
      </c>
      <c r="AJ789" s="24"/>
      <c r="AK789" s="24"/>
      <c r="AL789" s="24"/>
    </row>
    <row r="790" spans="1:38" ht="12.75" customHeight="1">
      <c r="A790" s="22">
        <v>788</v>
      </c>
      <c r="B790" s="24" t="str">
        <f t="shared" si="0"/>
        <v>Hb test (haemoglobin colour scale)</v>
      </c>
      <c r="C790" s="24" t="str">
        <f t="shared" si="1"/>
        <v>Input Option</v>
      </c>
      <c r="D790" s="24" t="str">
        <f t="shared" si="2"/>
        <v>Blood haemoglobin test type</v>
      </c>
      <c r="E790" s="24" t="s">
        <v>2232</v>
      </c>
      <c r="F790" s="24">
        <v>1</v>
      </c>
      <c r="G790" s="24" t="s">
        <v>1767</v>
      </c>
      <c r="H790" s="24"/>
      <c r="I790" s="283"/>
      <c r="J790" s="293"/>
      <c r="K790" s="293"/>
      <c r="L790" s="196"/>
      <c r="M790" s="196"/>
      <c r="N790" s="196" t="s">
        <v>2266</v>
      </c>
      <c r="O790" s="196"/>
      <c r="P790" s="196"/>
      <c r="Q790" s="24"/>
      <c r="R790" s="283"/>
      <c r="S790" s="293"/>
      <c r="T790" s="283"/>
      <c r="U790" s="283"/>
      <c r="V790" s="293"/>
      <c r="W790" s="24"/>
      <c r="X790" s="283"/>
      <c r="Y790" s="24"/>
      <c r="Z790" s="24"/>
      <c r="AA790" s="24"/>
      <c r="AB790" s="24"/>
      <c r="AC790" s="283"/>
      <c r="AD790" s="283"/>
      <c r="AE790" s="283"/>
      <c r="AF790" s="283"/>
      <c r="AG790" s="294" t="s">
        <v>115</v>
      </c>
      <c r="AH790" s="294" t="s">
        <v>2267</v>
      </c>
      <c r="AI790" s="294" t="s">
        <v>2268</v>
      </c>
      <c r="AJ790" s="24"/>
      <c r="AK790" s="24"/>
      <c r="AL790" s="24"/>
    </row>
    <row r="791" spans="1:38" ht="12.75" customHeight="1">
      <c r="A791" s="22">
        <v>789</v>
      </c>
      <c r="B791" s="24" t="str">
        <f t="shared" si="0"/>
        <v>Complete blood count test result (g/dl) (recommended)</v>
      </c>
      <c r="C791" s="24" t="str">
        <f t="shared" si="1"/>
        <v>Data Element</v>
      </c>
      <c r="D791" s="24" t="str">
        <f t="shared" si="2"/>
        <v/>
      </c>
      <c r="E791" s="24" t="s">
        <v>2232</v>
      </c>
      <c r="F791" s="24">
        <v>1</v>
      </c>
      <c r="G791" s="24" t="s">
        <v>1767</v>
      </c>
      <c r="H791" s="24"/>
      <c r="I791" s="283"/>
      <c r="J791" s="300" t="s">
        <v>2269</v>
      </c>
      <c r="K791" s="300" t="s">
        <v>2270</v>
      </c>
      <c r="L791" s="300" t="s">
        <v>2271</v>
      </c>
      <c r="M791" s="300" t="s">
        <v>1318</v>
      </c>
      <c r="N791" s="301"/>
      <c r="O791" s="301"/>
      <c r="P791" s="263"/>
      <c r="Q791" s="300" t="s">
        <v>2272</v>
      </c>
      <c r="R791" s="283"/>
      <c r="S791" s="300" t="s">
        <v>113</v>
      </c>
      <c r="T791" s="283"/>
      <c r="U791" s="283"/>
      <c r="V791" s="301" t="s">
        <v>115</v>
      </c>
      <c r="W791" s="24"/>
      <c r="X791" s="283"/>
      <c r="Y791" s="24"/>
      <c r="Z791" s="24"/>
      <c r="AA791" s="24"/>
      <c r="AB791" s="24"/>
      <c r="AC791" s="283"/>
      <c r="AD791" s="283"/>
      <c r="AE791" s="283"/>
      <c r="AF791" s="283"/>
      <c r="AG791" s="285" t="s">
        <v>2273</v>
      </c>
      <c r="AH791" s="205" t="s">
        <v>2274</v>
      </c>
      <c r="AI791" s="285" t="s">
        <v>2275</v>
      </c>
      <c r="AJ791" s="24"/>
      <c r="AK791" s="24"/>
      <c r="AL791" s="24"/>
    </row>
    <row r="792" spans="1:38" ht="12.75" customHeight="1">
      <c r="A792" s="22">
        <v>790</v>
      </c>
      <c r="B792" s="24" t="str">
        <f t="shared" si="0"/>
        <v>Hb test result - haemoglobinometer (g/dl)</v>
      </c>
      <c r="C792" s="24" t="str">
        <f t="shared" si="1"/>
        <v>Data Element</v>
      </c>
      <c r="D792" s="24" t="str">
        <f t="shared" si="2"/>
        <v/>
      </c>
      <c r="E792" s="24" t="s">
        <v>2232</v>
      </c>
      <c r="F792" s="24">
        <v>1</v>
      </c>
      <c r="G792" s="24" t="s">
        <v>1767</v>
      </c>
      <c r="H792" s="24"/>
      <c r="I792" s="283"/>
      <c r="J792" s="300" t="s">
        <v>2276</v>
      </c>
      <c r="K792" s="300" t="s">
        <v>2277</v>
      </c>
      <c r="L792" s="300" t="s">
        <v>2278</v>
      </c>
      <c r="M792" s="300" t="s">
        <v>1318</v>
      </c>
      <c r="N792" s="301"/>
      <c r="O792" s="300"/>
      <c r="P792" s="263"/>
      <c r="Q792" s="300" t="s">
        <v>2272</v>
      </c>
      <c r="R792" s="283"/>
      <c r="S792" s="300" t="s">
        <v>113</v>
      </c>
      <c r="T792" s="283"/>
      <c r="U792" s="283"/>
      <c r="V792" s="301" t="s">
        <v>115</v>
      </c>
      <c r="W792" s="24"/>
      <c r="X792" s="283"/>
      <c r="Y792" s="24"/>
      <c r="Z792" s="24"/>
      <c r="AA792" s="24"/>
      <c r="AB792" s="24"/>
      <c r="AC792" s="283"/>
      <c r="AD792" s="283"/>
      <c r="AE792" s="283"/>
      <c r="AF792" s="283"/>
      <c r="AG792" s="285" t="s">
        <v>115</v>
      </c>
      <c r="AH792" s="294" t="s">
        <v>2264</v>
      </c>
      <c r="AI792" s="294" t="s">
        <v>2265</v>
      </c>
      <c r="AJ792" s="24"/>
      <c r="AK792" s="24"/>
      <c r="AL792" s="24"/>
    </row>
    <row r="793" spans="1:38" ht="12.75" customHeight="1">
      <c r="A793" s="22">
        <v>791</v>
      </c>
      <c r="B793" s="24" t="str">
        <f t="shared" si="0"/>
        <v>Hb test result - haemoglobin colour scale (g/dl)</v>
      </c>
      <c r="C793" s="24" t="str">
        <f t="shared" si="1"/>
        <v>Data Element</v>
      </c>
      <c r="D793" s="24" t="str">
        <f t="shared" si="2"/>
        <v/>
      </c>
      <c r="E793" s="24" t="s">
        <v>2232</v>
      </c>
      <c r="F793" s="24">
        <v>1</v>
      </c>
      <c r="G793" s="24" t="s">
        <v>1767</v>
      </c>
      <c r="H793" s="24"/>
      <c r="I793" s="283"/>
      <c r="J793" s="300" t="s">
        <v>2279</v>
      </c>
      <c r="K793" s="300" t="s">
        <v>2280</v>
      </c>
      <c r="L793" s="300" t="s">
        <v>2281</v>
      </c>
      <c r="M793" s="300" t="s">
        <v>168</v>
      </c>
      <c r="N793" s="301"/>
      <c r="O793" s="300"/>
      <c r="P793" s="263"/>
      <c r="Q793" s="300" t="s">
        <v>2272</v>
      </c>
      <c r="R793" s="283"/>
      <c r="S793" s="300" t="s">
        <v>113</v>
      </c>
      <c r="T793" s="283"/>
      <c r="U793" s="283"/>
      <c r="V793" s="301" t="s">
        <v>115</v>
      </c>
      <c r="W793" s="24"/>
      <c r="X793" s="283"/>
      <c r="Y793" s="24"/>
      <c r="Z793" s="24"/>
      <c r="AA793" s="24"/>
      <c r="AB793" s="24"/>
      <c r="AC793" s="283"/>
      <c r="AD793" s="283"/>
      <c r="AE793" s="283"/>
      <c r="AF793" s="283"/>
      <c r="AG793" s="285" t="s">
        <v>115</v>
      </c>
      <c r="AH793" s="294" t="s">
        <v>2267</v>
      </c>
      <c r="AI793" s="294" t="s">
        <v>2268</v>
      </c>
      <c r="AJ793" s="24"/>
      <c r="AK793" s="24"/>
      <c r="AL793" s="24"/>
    </row>
    <row r="794" spans="1:38" ht="12.75" customHeight="1">
      <c r="A794" s="22">
        <v>792</v>
      </c>
      <c r="B794" s="24" t="str">
        <f t="shared" si="0"/>
        <v>hb_result</v>
      </c>
      <c r="C794" s="24" t="str">
        <f t="shared" si="1"/>
        <v>Calculation</v>
      </c>
      <c r="D794" s="24" t="str">
        <f t="shared" si="2"/>
        <v/>
      </c>
      <c r="E794" s="24" t="s">
        <v>2232</v>
      </c>
      <c r="F794" s="24">
        <v>1</v>
      </c>
      <c r="G794" s="24" t="s">
        <v>1767</v>
      </c>
      <c r="H794" s="24"/>
      <c r="I794" s="283"/>
      <c r="J794" s="300" t="s">
        <v>115</v>
      </c>
      <c r="K794" s="300" t="s">
        <v>2282</v>
      </c>
      <c r="L794" s="300" t="s">
        <v>2283</v>
      </c>
      <c r="M794" s="300" t="s">
        <v>65</v>
      </c>
      <c r="N794" s="301"/>
      <c r="O794" s="300" t="s">
        <v>2284</v>
      </c>
      <c r="P794" s="300"/>
      <c r="Q794" s="263"/>
      <c r="R794" s="283"/>
      <c r="S794" s="300" t="s">
        <v>115</v>
      </c>
      <c r="T794" s="283"/>
      <c r="U794" s="283"/>
      <c r="V794" s="301" t="s">
        <v>115</v>
      </c>
      <c r="W794" s="24"/>
      <c r="X794" s="283"/>
      <c r="Y794" s="24"/>
      <c r="Z794" s="24"/>
      <c r="AA794" s="24"/>
      <c r="AB794" s="24"/>
      <c r="AC794" s="283"/>
      <c r="AD794" s="283"/>
      <c r="AE794" s="283"/>
      <c r="AF794" s="283"/>
      <c r="AG794" s="285" t="s">
        <v>115</v>
      </c>
      <c r="AH794" s="285" t="s">
        <v>115</v>
      </c>
      <c r="AI794" s="285" t="s">
        <v>115</v>
      </c>
      <c r="AJ794" s="24"/>
      <c r="AK794" s="24"/>
      <c r="AL794" s="24"/>
    </row>
    <row r="795" spans="1:38" ht="12.75" customHeight="1">
      <c r="A795" s="22">
        <v>793</v>
      </c>
      <c r="B795" s="24" t="str">
        <f t="shared" si="0"/>
        <v>anaemic</v>
      </c>
      <c r="C795" s="24" t="str">
        <f t="shared" si="1"/>
        <v>Calculation</v>
      </c>
      <c r="D795" s="24" t="str">
        <f t="shared" si="2"/>
        <v/>
      </c>
      <c r="E795" s="24" t="s">
        <v>2232</v>
      </c>
      <c r="F795" s="24">
        <v>1</v>
      </c>
      <c r="G795" s="24" t="s">
        <v>1767</v>
      </c>
      <c r="H795" s="24"/>
      <c r="I795" s="283"/>
      <c r="J795" s="320" t="s">
        <v>2286</v>
      </c>
      <c r="K795" s="320" t="s">
        <v>2285</v>
      </c>
      <c r="L795" s="320" t="s">
        <v>2287</v>
      </c>
      <c r="M795" s="320" t="s">
        <v>65</v>
      </c>
      <c r="N795" s="320"/>
      <c r="O795" s="320" t="s">
        <v>2288</v>
      </c>
      <c r="P795" s="301"/>
      <c r="Q795" s="263"/>
      <c r="R795" s="283"/>
      <c r="S795" s="321" t="s">
        <v>115</v>
      </c>
      <c r="T795" s="283"/>
      <c r="U795" s="283"/>
      <c r="V795" s="321" t="s">
        <v>115</v>
      </c>
      <c r="W795" s="24"/>
      <c r="X795" s="283"/>
      <c r="Y795" s="24"/>
      <c r="Z795" s="24"/>
      <c r="AA795" s="24"/>
      <c r="AB795" s="24"/>
      <c r="AC795" s="283"/>
      <c r="AD795" s="283"/>
      <c r="AE795" s="283"/>
      <c r="AF795" s="283"/>
      <c r="AG795" s="285" t="s">
        <v>115</v>
      </c>
      <c r="AH795" s="285" t="s">
        <v>2289</v>
      </c>
      <c r="AI795" s="285" t="s">
        <v>2290</v>
      </c>
      <c r="AJ795" s="24"/>
      <c r="AK795" s="24"/>
      <c r="AL795" s="24"/>
    </row>
    <row r="796" spans="1:38" ht="12.75" customHeight="1">
      <c r="A796" s="22">
        <v>794</v>
      </c>
      <c r="B796" s="24" t="str">
        <f t="shared" si="0"/>
        <v>Hematocrit (Ht)</v>
      </c>
      <c r="C796" s="24" t="str">
        <f t="shared" si="1"/>
        <v>Data Element</v>
      </c>
      <c r="D796" s="24" t="str">
        <f t="shared" si="2"/>
        <v/>
      </c>
      <c r="E796" s="24" t="s">
        <v>2232</v>
      </c>
      <c r="F796" s="24">
        <v>1</v>
      </c>
      <c r="G796" s="24" t="s">
        <v>1767</v>
      </c>
      <c r="H796" s="24"/>
      <c r="I796" s="283"/>
      <c r="J796" s="300" t="s">
        <v>2291</v>
      </c>
      <c r="K796" s="300" t="s">
        <v>2292</v>
      </c>
      <c r="L796" s="300" t="s">
        <v>2293</v>
      </c>
      <c r="M796" s="300" t="s">
        <v>1318</v>
      </c>
      <c r="N796" s="301"/>
      <c r="O796" s="301"/>
      <c r="P796" s="301"/>
      <c r="Q796" s="263"/>
      <c r="R796" s="283"/>
      <c r="S796" s="300" t="s">
        <v>208</v>
      </c>
      <c r="T796" s="283"/>
      <c r="U796" s="283"/>
      <c r="V796" s="301" t="s">
        <v>115</v>
      </c>
      <c r="W796" s="24"/>
      <c r="X796" s="283"/>
      <c r="Y796" s="24"/>
      <c r="Z796" s="24"/>
      <c r="AA796" s="24"/>
      <c r="AB796" s="24"/>
      <c r="AC796" s="283"/>
      <c r="AD796" s="283"/>
      <c r="AE796" s="283"/>
      <c r="AF796" s="283"/>
      <c r="AG796" s="285" t="s">
        <v>115</v>
      </c>
      <c r="AH796" s="285" t="s">
        <v>2294</v>
      </c>
      <c r="AI796" s="285" t="s">
        <v>2295</v>
      </c>
      <c r="AJ796" s="24"/>
      <c r="AK796" s="24"/>
      <c r="AL796" s="24"/>
    </row>
    <row r="797" spans="1:38" ht="12.75" customHeight="1">
      <c r="A797" s="22">
        <v>795</v>
      </c>
      <c r="B797" s="24" t="str">
        <f t="shared" si="0"/>
        <v>White blood cell (WBC) count</v>
      </c>
      <c r="C797" s="24" t="str">
        <f t="shared" si="1"/>
        <v>Data Element</v>
      </c>
      <c r="D797" s="24" t="str">
        <f t="shared" si="2"/>
        <v/>
      </c>
      <c r="E797" s="24" t="s">
        <v>2232</v>
      </c>
      <c r="F797" s="24">
        <v>1</v>
      </c>
      <c r="G797" s="24" t="s">
        <v>1767</v>
      </c>
      <c r="H797" s="24"/>
      <c r="I797" s="283"/>
      <c r="J797" s="356" t="s">
        <v>2296</v>
      </c>
      <c r="K797" s="300" t="s">
        <v>2297</v>
      </c>
      <c r="L797" s="300" t="s">
        <v>2298</v>
      </c>
      <c r="M797" s="300" t="s">
        <v>168</v>
      </c>
      <c r="N797" s="301"/>
      <c r="O797" s="301"/>
      <c r="P797" s="301"/>
      <c r="Q797" s="263"/>
      <c r="R797" s="283"/>
      <c r="S797" s="300" t="s">
        <v>208</v>
      </c>
      <c r="T797" s="283"/>
      <c r="U797" s="283"/>
      <c r="V797" s="301" t="s">
        <v>115</v>
      </c>
      <c r="W797" s="24"/>
      <c r="X797" s="283"/>
      <c r="Y797" s="24"/>
      <c r="Z797" s="24"/>
      <c r="AA797" s="24"/>
      <c r="AB797" s="24"/>
      <c r="AC797" s="283"/>
      <c r="AD797" s="283"/>
      <c r="AE797" s="283"/>
      <c r="AF797" s="283"/>
      <c r="AG797" s="285" t="s">
        <v>115</v>
      </c>
      <c r="AH797" s="285" t="s">
        <v>2299</v>
      </c>
      <c r="AI797" s="285" t="s">
        <v>2300</v>
      </c>
      <c r="AJ797" s="24"/>
      <c r="AK797" s="24"/>
      <c r="AL797" s="24"/>
    </row>
    <row r="798" spans="1:38" ht="12.75" customHeight="1">
      <c r="A798" s="22">
        <v>796</v>
      </c>
      <c r="B798" s="24" t="str">
        <f t="shared" si="0"/>
        <v>Platelet count</v>
      </c>
      <c r="C798" s="24" t="str">
        <f t="shared" si="1"/>
        <v>Data Element</v>
      </c>
      <c r="D798" s="24" t="str">
        <f t="shared" si="2"/>
        <v/>
      </c>
      <c r="E798" s="24" t="s">
        <v>2232</v>
      </c>
      <c r="F798" s="24">
        <v>1</v>
      </c>
      <c r="G798" s="24" t="s">
        <v>1767</v>
      </c>
      <c r="H798" s="24"/>
      <c r="I798" s="283"/>
      <c r="J798" s="352" t="s">
        <v>2301</v>
      </c>
      <c r="K798" s="224" t="s">
        <v>2302</v>
      </c>
      <c r="L798" s="224" t="s">
        <v>2303</v>
      </c>
      <c r="M798" s="224" t="s">
        <v>168</v>
      </c>
      <c r="N798" s="164"/>
      <c r="O798" s="164"/>
      <c r="P798" s="164"/>
      <c r="Q798" s="24"/>
      <c r="R798" s="283"/>
      <c r="S798" s="224" t="s">
        <v>208</v>
      </c>
      <c r="T798" s="283"/>
      <c r="U798" s="283"/>
      <c r="V798" s="164" t="s">
        <v>115</v>
      </c>
      <c r="W798" s="24"/>
      <c r="X798" s="283"/>
      <c r="Y798" s="24"/>
      <c r="Z798" s="24"/>
      <c r="AA798" s="24"/>
      <c r="AB798" s="24"/>
      <c r="AC798" s="283"/>
      <c r="AD798" s="283"/>
      <c r="AE798" s="283"/>
      <c r="AF798" s="283"/>
      <c r="AG798" s="285" t="s">
        <v>115</v>
      </c>
      <c r="AH798" s="285" t="s">
        <v>2304</v>
      </c>
      <c r="AI798" s="285" t="s">
        <v>2305</v>
      </c>
      <c r="AJ798" s="24"/>
      <c r="AK798" s="24"/>
      <c r="AL798" s="24"/>
    </row>
    <row r="799" spans="1:38" ht="12.75" customHeight="1">
      <c r="A799" s="22">
        <v>797</v>
      </c>
      <c r="B799" s="24" t="str">
        <f t="shared" si="0"/>
        <v>TB screening</v>
      </c>
      <c r="C799" s="24" t="str">
        <f t="shared" si="1"/>
        <v>Data Element</v>
      </c>
      <c r="D799" s="24" t="str">
        <f t="shared" si="2"/>
        <v/>
      </c>
      <c r="E799" s="24" t="s">
        <v>2307</v>
      </c>
      <c r="F799" s="24">
        <v>1</v>
      </c>
      <c r="G799" s="24" t="s">
        <v>1767</v>
      </c>
      <c r="H799" s="24"/>
      <c r="I799" s="283"/>
      <c r="J799" s="224" t="s">
        <v>2306</v>
      </c>
      <c r="K799" s="224" t="s">
        <v>2308</v>
      </c>
      <c r="L799" s="224" t="s">
        <v>2309</v>
      </c>
      <c r="M799" s="224" t="s">
        <v>202</v>
      </c>
      <c r="N799" s="224"/>
      <c r="O799" s="164"/>
      <c r="P799" s="164"/>
      <c r="Q799" s="24"/>
      <c r="R799" s="283"/>
      <c r="S799" s="224" t="s">
        <v>113</v>
      </c>
      <c r="T799" s="283"/>
      <c r="U799" s="283"/>
      <c r="V799" s="164" t="s">
        <v>226</v>
      </c>
      <c r="W799" s="24"/>
      <c r="X799" s="283"/>
      <c r="Y799" s="24"/>
      <c r="Z799" s="24"/>
      <c r="AA799" s="24"/>
      <c r="AB799" s="24"/>
      <c r="AC799" s="283"/>
      <c r="AD799" s="283"/>
      <c r="AE799" s="283"/>
      <c r="AF799" s="283"/>
      <c r="AG799" s="285" t="s">
        <v>2310</v>
      </c>
      <c r="AH799" s="205" t="s">
        <v>1773</v>
      </c>
      <c r="AI799" s="285" t="s">
        <v>1774</v>
      </c>
      <c r="AJ799" s="24"/>
      <c r="AK799" s="24"/>
      <c r="AL799" s="24"/>
    </row>
    <row r="800" spans="1:38" ht="12.75" customHeight="1">
      <c r="A800" s="22">
        <v>798</v>
      </c>
      <c r="B800" s="24" t="str">
        <f t="shared" si="0"/>
        <v>Done today</v>
      </c>
      <c r="C800" s="24" t="str">
        <f t="shared" si="1"/>
        <v>Input Option</v>
      </c>
      <c r="D800" s="24" t="str">
        <f t="shared" si="2"/>
        <v>TB screening</v>
      </c>
      <c r="E800" s="24" t="s">
        <v>2307</v>
      </c>
      <c r="F800" s="24">
        <v>1</v>
      </c>
      <c r="G800" s="24" t="s">
        <v>1767</v>
      </c>
      <c r="H800" s="24"/>
      <c r="I800" s="283"/>
      <c r="J800" s="224"/>
      <c r="K800" s="224"/>
      <c r="L800" s="224"/>
      <c r="M800" s="164"/>
      <c r="N800" s="304" t="s">
        <v>1775</v>
      </c>
      <c r="O800" s="164"/>
      <c r="P800" s="164"/>
      <c r="Q800" s="24"/>
      <c r="R800" s="283"/>
      <c r="S800" s="224"/>
      <c r="T800" s="283"/>
      <c r="U800" s="283"/>
      <c r="V800" s="164"/>
      <c r="W800" s="24"/>
      <c r="X800" s="283"/>
      <c r="Y800" s="24"/>
      <c r="Z800" s="24"/>
      <c r="AA800" s="24"/>
      <c r="AB800" s="24"/>
      <c r="AC800" s="283"/>
      <c r="AD800" s="283"/>
      <c r="AE800" s="283"/>
      <c r="AF800" s="283"/>
      <c r="AG800" s="285" t="s">
        <v>115</v>
      </c>
      <c r="AH800" s="285" t="s">
        <v>1777</v>
      </c>
      <c r="AI800" s="285" t="s">
        <v>1778</v>
      </c>
      <c r="AJ800" s="24"/>
      <c r="AK800" s="24"/>
      <c r="AL800" s="24"/>
    </row>
    <row r="801" spans="1:38" ht="12.75" customHeight="1">
      <c r="A801" s="22">
        <v>799</v>
      </c>
      <c r="B801" s="24" t="str">
        <f t="shared" si="0"/>
        <v>Done earlier</v>
      </c>
      <c r="C801" s="24" t="str">
        <f t="shared" si="1"/>
        <v>Input Option</v>
      </c>
      <c r="D801" s="24" t="str">
        <f t="shared" si="2"/>
        <v>TB screening</v>
      </c>
      <c r="E801" s="24" t="s">
        <v>2307</v>
      </c>
      <c r="F801" s="24">
        <v>1</v>
      </c>
      <c r="G801" s="24" t="s">
        <v>1767</v>
      </c>
      <c r="H801" s="24"/>
      <c r="I801" s="164"/>
      <c r="J801" s="224"/>
      <c r="K801" s="224"/>
      <c r="L801" s="224"/>
      <c r="M801" s="164"/>
      <c r="N801" s="304" t="s">
        <v>1779</v>
      </c>
      <c r="O801" s="164"/>
      <c r="P801" s="164"/>
      <c r="Q801" s="24"/>
      <c r="R801" s="164"/>
      <c r="S801" s="224"/>
      <c r="T801" s="164"/>
      <c r="U801" s="164"/>
      <c r="V801" s="164"/>
      <c r="W801" s="24"/>
      <c r="X801" s="164"/>
      <c r="Y801" s="24"/>
      <c r="Z801" s="24"/>
      <c r="AA801" s="24"/>
      <c r="AB801" s="24"/>
      <c r="AC801" s="164"/>
      <c r="AD801" s="164"/>
      <c r="AE801" s="164"/>
      <c r="AF801" s="164"/>
      <c r="AG801" s="285" t="s">
        <v>115</v>
      </c>
      <c r="AH801" s="285" t="s">
        <v>1781</v>
      </c>
      <c r="AI801" s="285" t="s">
        <v>1782</v>
      </c>
      <c r="AJ801" s="24"/>
      <c r="AK801" s="24"/>
      <c r="AL801" s="24"/>
    </row>
    <row r="802" spans="1:38" ht="12.75" customHeight="1">
      <c r="A802" s="22">
        <v>800</v>
      </c>
      <c r="B802" s="24" t="str">
        <f t="shared" si="0"/>
        <v>Ordered</v>
      </c>
      <c r="C802" s="24" t="str">
        <f t="shared" si="1"/>
        <v>Input Option</v>
      </c>
      <c r="D802" s="24" t="str">
        <f t="shared" si="2"/>
        <v>TB screening</v>
      </c>
      <c r="E802" s="24" t="s">
        <v>2307</v>
      </c>
      <c r="F802" s="24">
        <v>1</v>
      </c>
      <c r="G802" s="24" t="s">
        <v>1767</v>
      </c>
      <c r="H802" s="24"/>
      <c r="I802" s="283"/>
      <c r="J802" s="224"/>
      <c r="K802" s="224"/>
      <c r="L802" s="224"/>
      <c r="M802" s="164"/>
      <c r="N802" s="304" t="s">
        <v>1783</v>
      </c>
      <c r="O802" s="164"/>
      <c r="P802" s="164"/>
      <c r="Q802" s="24"/>
      <c r="R802" s="283"/>
      <c r="S802" s="224"/>
      <c r="T802" s="283"/>
      <c r="U802" s="283"/>
      <c r="V802" s="164"/>
      <c r="W802" s="24"/>
      <c r="X802" s="283"/>
      <c r="Y802" s="24"/>
      <c r="Z802" s="24"/>
      <c r="AA802" s="24"/>
      <c r="AB802" s="24"/>
      <c r="AC802" s="283"/>
      <c r="AD802" s="283"/>
      <c r="AE802" s="283"/>
      <c r="AF802" s="283"/>
      <c r="AG802" s="285" t="s">
        <v>115</v>
      </c>
      <c r="AH802" s="285" t="s">
        <v>1784</v>
      </c>
      <c r="AI802" s="205" t="s">
        <v>1785</v>
      </c>
      <c r="AJ802" s="24"/>
      <c r="AK802" s="24"/>
      <c r="AL802" s="24"/>
    </row>
    <row r="803" spans="1:38" ht="12.75" customHeight="1">
      <c r="A803" s="22">
        <v>801</v>
      </c>
      <c r="B803" s="24" t="str">
        <f t="shared" si="0"/>
        <v>Not done</v>
      </c>
      <c r="C803" s="24" t="str">
        <f t="shared" si="1"/>
        <v>Input Option</v>
      </c>
      <c r="D803" s="24" t="str">
        <f t="shared" si="2"/>
        <v>TB screening</v>
      </c>
      <c r="E803" s="24" t="s">
        <v>2307</v>
      </c>
      <c r="F803" s="24">
        <v>1</v>
      </c>
      <c r="G803" s="24" t="s">
        <v>1767</v>
      </c>
      <c r="H803" s="24"/>
      <c r="I803" s="283"/>
      <c r="J803" s="224"/>
      <c r="K803" s="224"/>
      <c r="L803" s="224"/>
      <c r="M803" s="164"/>
      <c r="N803" s="304" t="s">
        <v>1468</v>
      </c>
      <c r="O803" s="164"/>
      <c r="P803" s="164"/>
      <c r="Q803" s="24"/>
      <c r="R803" s="283"/>
      <c r="S803" s="224"/>
      <c r="T803" s="283"/>
      <c r="U803" s="283"/>
      <c r="V803" s="164"/>
      <c r="W803" s="24"/>
      <c r="X803" s="283"/>
      <c r="Y803" s="24"/>
      <c r="Z803" s="24"/>
      <c r="AA803" s="24"/>
      <c r="AB803" s="24"/>
      <c r="AC803" s="283"/>
      <c r="AD803" s="283"/>
      <c r="AE803" s="283"/>
      <c r="AF803" s="283"/>
      <c r="AG803" s="285" t="s">
        <v>115</v>
      </c>
      <c r="AH803" s="285" t="s">
        <v>1469</v>
      </c>
      <c r="AI803" s="205" t="s">
        <v>1470</v>
      </c>
      <c r="AJ803" s="24"/>
      <c r="AK803" s="24"/>
      <c r="AL803" s="24"/>
    </row>
    <row r="804" spans="1:38" ht="12.75" customHeight="1">
      <c r="A804" s="22">
        <v>802</v>
      </c>
      <c r="B804" s="24" t="str">
        <f t="shared" si="0"/>
        <v>Reason</v>
      </c>
      <c r="C804" s="24" t="str">
        <f t="shared" si="1"/>
        <v>Data Element</v>
      </c>
      <c r="D804" s="24" t="str">
        <f t="shared" si="2"/>
        <v/>
      </c>
      <c r="E804" s="24" t="s">
        <v>2307</v>
      </c>
      <c r="F804" s="24">
        <v>1</v>
      </c>
      <c r="G804" s="24" t="s">
        <v>1767</v>
      </c>
      <c r="H804" s="24"/>
      <c r="I804" s="283"/>
      <c r="J804" s="224" t="s">
        <v>1376</v>
      </c>
      <c r="K804" s="224" t="s">
        <v>2312</v>
      </c>
      <c r="L804" s="224" t="s">
        <v>2313</v>
      </c>
      <c r="M804" s="164" t="s">
        <v>238</v>
      </c>
      <c r="N804" s="164"/>
      <c r="O804" s="164"/>
      <c r="P804" s="164"/>
      <c r="Q804" s="24"/>
      <c r="R804" s="283"/>
      <c r="S804" s="224" t="s">
        <v>113</v>
      </c>
      <c r="T804" s="283"/>
      <c r="U804" s="283"/>
      <c r="V804" s="164" t="s">
        <v>115</v>
      </c>
      <c r="W804" s="24"/>
      <c r="X804" s="283"/>
      <c r="Y804" s="24"/>
      <c r="Z804" s="24"/>
      <c r="AA804" s="24"/>
      <c r="AB804" s="24"/>
      <c r="AC804" s="283"/>
      <c r="AD804" s="283"/>
      <c r="AE804" s="283"/>
      <c r="AF804" s="283"/>
      <c r="AG804" s="285" t="s">
        <v>2310</v>
      </c>
      <c r="AH804" s="205" t="s">
        <v>1791</v>
      </c>
      <c r="AI804" s="285" t="s">
        <v>1792</v>
      </c>
      <c r="AJ804" s="24"/>
      <c r="AK804" s="24"/>
      <c r="AL804" s="24"/>
    </row>
    <row r="805" spans="1:38" ht="12.75" customHeight="1">
      <c r="A805" s="22">
        <v>803</v>
      </c>
      <c r="B805" s="24" t="str">
        <f t="shared" si="0"/>
        <v>Sputum smear not available</v>
      </c>
      <c r="C805" s="24" t="str">
        <f t="shared" si="1"/>
        <v>Input Option</v>
      </c>
      <c r="D805" s="24" t="str">
        <f t="shared" si="2"/>
        <v>Reason</v>
      </c>
      <c r="E805" s="24" t="s">
        <v>2307</v>
      </c>
      <c r="F805" s="24">
        <v>1</v>
      </c>
      <c r="G805" s="24" t="s">
        <v>1767</v>
      </c>
      <c r="H805" s="24"/>
      <c r="I805" s="283"/>
      <c r="J805" s="293"/>
      <c r="K805" s="293"/>
      <c r="L805" s="293"/>
      <c r="M805" s="293"/>
      <c r="N805" s="304" t="s">
        <v>2314</v>
      </c>
      <c r="O805" s="293"/>
      <c r="P805" s="293"/>
      <c r="Q805" s="24"/>
      <c r="R805" s="283"/>
      <c r="S805" s="293"/>
      <c r="T805" s="283"/>
      <c r="U805" s="283"/>
      <c r="V805" s="293"/>
      <c r="W805" s="24"/>
      <c r="X805" s="283"/>
      <c r="Y805" s="24"/>
      <c r="Z805" s="24"/>
      <c r="AA805" s="24"/>
      <c r="AB805" s="24"/>
      <c r="AC805" s="283"/>
      <c r="AD805" s="283"/>
      <c r="AE805" s="283"/>
      <c r="AF805" s="283"/>
      <c r="AG805" s="294" t="s">
        <v>115</v>
      </c>
      <c r="AH805" s="294" t="s">
        <v>2315</v>
      </c>
      <c r="AI805" s="294" t="s">
        <v>2316</v>
      </c>
      <c r="AJ805" s="24"/>
      <c r="AK805" s="24"/>
      <c r="AL805" s="24"/>
    </row>
    <row r="806" spans="1:38" ht="12.75" customHeight="1">
      <c r="A806" s="22">
        <v>804</v>
      </c>
      <c r="B806" s="24" t="str">
        <f t="shared" si="0"/>
        <v>Sputum culture not available</v>
      </c>
      <c r="C806" s="24" t="str">
        <f t="shared" si="1"/>
        <v>Input Option</v>
      </c>
      <c r="D806" s="24" t="str">
        <f t="shared" si="2"/>
        <v>Reason</v>
      </c>
      <c r="E806" s="24" t="s">
        <v>2307</v>
      </c>
      <c r="F806" s="24">
        <v>1</v>
      </c>
      <c r="G806" s="24" t="s">
        <v>1767</v>
      </c>
      <c r="H806" s="24"/>
      <c r="I806" s="283"/>
      <c r="J806" s="293"/>
      <c r="K806" s="293"/>
      <c r="L806" s="293"/>
      <c r="M806" s="293"/>
      <c r="N806" s="293" t="s">
        <v>2317</v>
      </c>
      <c r="O806" s="293"/>
      <c r="P806" s="293"/>
      <c r="Q806" s="24"/>
      <c r="R806" s="283"/>
      <c r="S806" s="293"/>
      <c r="T806" s="283"/>
      <c r="U806" s="283"/>
      <c r="V806" s="293"/>
      <c r="W806" s="24"/>
      <c r="X806" s="283"/>
      <c r="Y806" s="24"/>
      <c r="Z806" s="24"/>
      <c r="AA806" s="24"/>
      <c r="AB806" s="24"/>
      <c r="AC806" s="283"/>
      <c r="AD806" s="283"/>
      <c r="AE806" s="283"/>
      <c r="AF806" s="283"/>
      <c r="AG806" s="294" t="s">
        <v>115</v>
      </c>
      <c r="AH806" s="294" t="s">
        <v>2318</v>
      </c>
      <c r="AI806" s="294" t="s">
        <v>2319</v>
      </c>
      <c r="AJ806" s="24"/>
      <c r="AK806" s="24"/>
      <c r="AL806" s="24"/>
    </row>
    <row r="807" spans="1:38" ht="12.75" customHeight="1">
      <c r="A807" s="22">
        <v>805</v>
      </c>
      <c r="B807" s="24" t="str">
        <f t="shared" si="0"/>
        <v>GeneXpert machine not available</v>
      </c>
      <c r="C807" s="24" t="str">
        <f t="shared" si="1"/>
        <v>Input Option</v>
      </c>
      <c r="D807" s="24" t="str">
        <f t="shared" si="2"/>
        <v>Reason</v>
      </c>
      <c r="E807" s="24" t="s">
        <v>2307</v>
      </c>
      <c r="F807" s="24">
        <v>1</v>
      </c>
      <c r="G807" s="24" t="s">
        <v>1767</v>
      </c>
      <c r="H807" s="24"/>
      <c r="I807" s="283"/>
      <c r="J807" s="293"/>
      <c r="K807" s="293"/>
      <c r="L807" s="293"/>
      <c r="M807" s="293"/>
      <c r="N807" s="293" t="s">
        <v>2320</v>
      </c>
      <c r="O807" s="293"/>
      <c r="P807" s="293"/>
      <c r="Q807" s="24"/>
      <c r="R807" s="283"/>
      <c r="S807" s="293"/>
      <c r="T807" s="283"/>
      <c r="U807" s="283"/>
      <c r="V807" s="293"/>
      <c r="W807" s="24"/>
      <c r="X807" s="283"/>
      <c r="Y807" s="24"/>
      <c r="Z807" s="24"/>
      <c r="AA807" s="24"/>
      <c r="AB807" s="24"/>
      <c r="AC807" s="283"/>
      <c r="AD807" s="283"/>
      <c r="AE807" s="283"/>
      <c r="AF807" s="283"/>
      <c r="AG807" s="294" t="s">
        <v>115</v>
      </c>
      <c r="AH807" s="294" t="s">
        <v>2321</v>
      </c>
      <c r="AI807" s="294" t="s">
        <v>2322</v>
      </c>
      <c r="AJ807" s="24"/>
      <c r="AK807" s="24"/>
      <c r="AL807" s="24"/>
    </row>
    <row r="808" spans="1:38" ht="12.75" customHeight="1">
      <c r="A808" s="22">
        <v>806</v>
      </c>
      <c r="B808" s="24" t="str">
        <f t="shared" si="0"/>
        <v>X-ray machine not available</v>
      </c>
      <c r="C808" s="24" t="str">
        <f t="shared" si="1"/>
        <v>Input Option</v>
      </c>
      <c r="D808" s="24" t="str">
        <f t="shared" si="2"/>
        <v>Reason</v>
      </c>
      <c r="E808" s="24" t="s">
        <v>2307</v>
      </c>
      <c r="F808" s="24">
        <v>1</v>
      </c>
      <c r="G808" s="24" t="s">
        <v>1767</v>
      </c>
      <c r="H808" s="24"/>
      <c r="I808" s="283"/>
      <c r="J808" s="293"/>
      <c r="K808" s="293"/>
      <c r="L808" s="293"/>
      <c r="M808" s="293"/>
      <c r="N808" s="293" t="s">
        <v>2323</v>
      </c>
      <c r="O808" s="293"/>
      <c r="P808" s="293"/>
      <c r="Q808" s="24"/>
      <c r="R808" s="283"/>
      <c r="S808" s="293"/>
      <c r="T808" s="283"/>
      <c r="U808" s="283"/>
      <c r="V808" s="293"/>
      <c r="W808" s="24"/>
      <c r="X808" s="283"/>
      <c r="Y808" s="24"/>
      <c r="Z808" s="24"/>
      <c r="AA808" s="24"/>
      <c r="AB808" s="24"/>
      <c r="AC808" s="283"/>
      <c r="AD808" s="283"/>
      <c r="AE808" s="283"/>
      <c r="AF808" s="283"/>
      <c r="AG808" s="294" t="s">
        <v>115</v>
      </c>
      <c r="AH808" s="294" t="s">
        <v>2325</v>
      </c>
      <c r="AI808" s="294" t="s">
        <v>2326</v>
      </c>
      <c r="AJ808" s="24"/>
      <c r="AK808" s="24"/>
      <c r="AL808" s="24"/>
    </row>
    <row r="809" spans="1:38" ht="12.75" customHeight="1">
      <c r="A809" s="22">
        <v>807</v>
      </c>
      <c r="B809" s="24" t="str">
        <f t="shared" si="0"/>
        <v>No sputum supplies available</v>
      </c>
      <c r="C809" s="24" t="str">
        <f t="shared" si="1"/>
        <v>Input Option</v>
      </c>
      <c r="D809" s="24" t="str">
        <f t="shared" si="2"/>
        <v>Reason</v>
      </c>
      <c r="E809" s="24" t="s">
        <v>2307</v>
      </c>
      <c r="F809" s="24">
        <v>1</v>
      </c>
      <c r="G809" s="24" t="s">
        <v>1767</v>
      </c>
      <c r="H809" s="24"/>
      <c r="I809" s="283"/>
      <c r="J809" s="293"/>
      <c r="K809" s="293"/>
      <c r="L809" s="293"/>
      <c r="M809" s="293"/>
      <c r="N809" s="293" t="s">
        <v>2327</v>
      </c>
      <c r="O809" s="293"/>
      <c r="P809" s="293"/>
      <c r="Q809" s="24"/>
      <c r="R809" s="283"/>
      <c r="S809" s="293"/>
      <c r="T809" s="283"/>
      <c r="U809" s="283"/>
      <c r="V809" s="293"/>
      <c r="W809" s="24"/>
      <c r="X809" s="283"/>
      <c r="Y809" s="24"/>
      <c r="Z809" s="24"/>
      <c r="AA809" s="24"/>
      <c r="AB809" s="24"/>
      <c r="AC809" s="283"/>
      <c r="AD809" s="283"/>
      <c r="AE809" s="283"/>
      <c r="AF809" s="283"/>
      <c r="AG809" s="294" t="s">
        <v>115</v>
      </c>
      <c r="AH809" s="294" t="s">
        <v>1910</v>
      </c>
      <c r="AI809" s="294" t="s">
        <v>1911</v>
      </c>
      <c r="AJ809" s="24"/>
      <c r="AK809" s="24"/>
      <c r="AL809" s="24"/>
    </row>
    <row r="810" spans="1:38" ht="12.75" customHeight="1">
      <c r="A810" s="22">
        <v>808</v>
      </c>
      <c r="B810" s="24" t="str">
        <f t="shared" si="0"/>
        <v>Machine not functioning</v>
      </c>
      <c r="C810" s="24" t="str">
        <f t="shared" si="1"/>
        <v>Input Option</v>
      </c>
      <c r="D810" s="24" t="str">
        <f t="shared" si="2"/>
        <v>Reason</v>
      </c>
      <c r="E810" s="24" t="s">
        <v>2307</v>
      </c>
      <c r="F810" s="24">
        <v>1</v>
      </c>
      <c r="G810" s="24" t="s">
        <v>1767</v>
      </c>
      <c r="H810" s="24"/>
      <c r="I810" s="283"/>
      <c r="J810" s="293"/>
      <c r="K810" s="293"/>
      <c r="L810" s="293"/>
      <c r="M810" s="293"/>
      <c r="N810" s="293" t="s">
        <v>2328</v>
      </c>
      <c r="O810" s="293"/>
      <c r="P810" s="293"/>
      <c r="Q810" s="24"/>
      <c r="R810" s="283"/>
      <c r="S810" s="293"/>
      <c r="T810" s="283"/>
      <c r="U810" s="283"/>
      <c r="V810" s="293"/>
      <c r="W810" s="24"/>
      <c r="X810" s="283"/>
      <c r="Y810" s="24"/>
      <c r="Z810" s="24"/>
      <c r="AA810" s="24"/>
      <c r="AB810" s="24"/>
      <c r="AC810" s="283"/>
      <c r="AD810" s="283"/>
      <c r="AE810" s="283"/>
      <c r="AF810" s="283"/>
      <c r="AG810" s="294" t="s">
        <v>115</v>
      </c>
      <c r="AH810" s="294" t="s">
        <v>2329</v>
      </c>
      <c r="AI810" s="294" t="s">
        <v>1386</v>
      </c>
      <c r="AJ810" s="24"/>
      <c r="AK810" s="24"/>
      <c r="AL810" s="24"/>
    </row>
    <row r="811" spans="1:38" ht="12.75" customHeight="1">
      <c r="A811" s="22">
        <v>809</v>
      </c>
      <c r="B811" s="24" t="str">
        <f t="shared" si="0"/>
        <v>Technician not available</v>
      </c>
      <c r="C811" s="24" t="str">
        <f t="shared" si="1"/>
        <v>Input Option</v>
      </c>
      <c r="D811" s="24" t="str">
        <f t="shared" si="2"/>
        <v>Reason</v>
      </c>
      <c r="E811" s="24" t="s">
        <v>2307</v>
      </c>
      <c r="F811" s="24">
        <v>1</v>
      </c>
      <c r="G811" s="24" t="s">
        <v>1767</v>
      </c>
      <c r="H811" s="24"/>
      <c r="I811" s="283"/>
      <c r="J811" s="293"/>
      <c r="K811" s="293"/>
      <c r="L811" s="293"/>
      <c r="M811" s="293"/>
      <c r="N811" s="293" t="s">
        <v>2330</v>
      </c>
      <c r="O811" s="293"/>
      <c r="P811" s="293"/>
      <c r="Q811" s="24"/>
      <c r="R811" s="283"/>
      <c r="S811" s="293"/>
      <c r="T811" s="283"/>
      <c r="U811" s="283"/>
      <c r="V811" s="293"/>
      <c r="W811" s="24"/>
      <c r="X811" s="283"/>
      <c r="Y811" s="24"/>
      <c r="Z811" s="24"/>
      <c r="AA811" s="24"/>
      <c r="AB811" s="24"/>
      <c r="AC811" s="283"/>
      <c r="AD811" s="283"/>
      <c r="AE811" s="283"/>
      <c r="AF811" s="283"/>
      <c r="AG811" s="294" t="s">
        <v>115</v>
      </c>
      <c r="AH811" s="294" t="s">
        <v>2332</v>
      </c>
      <c r="AI811" s="294" t="s">
        <v>2333</v>
      </c>
      <c r="AJ811" s="24"/>
      <c r="AK811" s="24"/>
      <c r="AL811" s="24"/>
    </row>
    <row r="812" spans="1:38" ht="12.75" customHeight="1">
      <c r="A812" s="22">
        <v>810</v>
      </c>
      <c r="B812" s="24" t="str">
        <f t="shared" si="0"/>
        <v>Other (specify)</v>
      </c>
      <c r="C812" s="24" t="str">
        <f t="shared" si="1"/>
        <v>Input Option</v>
      </c>
      <c r="D812" s="24" t="str">
        <f t="shared" si="2"/>
        <v>Reason</v>
      </c>
      <c r="E812" s="24" t="s">
        <v>2307</v>
      </c>
      <c r="F812" s="24">
        <v>1</v>
      </c>
      <c r="G812" s="24" t="s">
        <v>1767</v>
      </c>
      <c r="H812" s="24"/>
      <c r="I812" s="283"/>
      <c r="J812" s="293"/>
      <c r="K812" s="293"/>
      <c r="L812" s="293"/>
      <c r="M812" s="293"/>
      <c r="N812" s="293" t="s">
        <v>405</v>
      </c>
      <c r="O812" s="293"/>
      <c r="P812" s="293"/>
      <c r="Q812" s="24"/>
      <c r="R812" s="283"/>
      <c r="S812" s="293"/>
      <c r="T812" s="283"/>
      <c r="U812" s="283"/>
      <c r="V812" s="293"/>
      <c r="W812" s="24"/>
      <c r="X812" s="283"/>
      <c r="Y812" s="24"/>
      <c r="Z812" s="24"/>
      <c r="AA812" s="24"/>
      <c r="AB812" s="24"/>
      <c r="AC812" s="283"/>
      <c r="AD812" s="283"/>
      <c r="AE812" s="283"/>
      <c r="AF812" s="283"/>
      <c r="AG812" s="294" t="s">
        <v>115</v>
      </c>
      <c r="AH812" s="294" t="s">
        <v>406</v>
      </c>
      <c r="AI812" s="294" t="s">
        <v>407</v>
      </c>
      <c r="AJ812" s="24"/>
      <c r="AK812" s="24"/>
      <c r="AL812" s="24"/>
    </row>
    <row r="813" spans="1:38" ht="12.75" customHeight="1">
      <c r="A813" s="22">
        <v>811</v>
      </c>
      <c r="B813" s="24" t="str">
        <f t="shared" si="0"/>
        <v>Specify</v>
      </c>
      <c r="C813" s="24" t="str">
        <f t="shared" si="1"/>
        <v>Data Element</v>
      </c>
      <c r="D813" s="24" t="str">
        <f t="shared" si="2"/>
        <v/>
      </c>
      <c r="E813" s="24" t="s">
        <v>2307</v>
      </c>
      <c r="F813" s="24">
        <v>1</v>
      </c>
      <c r="G813" s="24" t="s">
        <v>1767</v>
      </c>
      <c r="H813" s="24"/>
      <c r="I813" s="283"/>
      <c r="J813" s="293" t="s">
        <v>409</v>
      </c>
      <c r="K813" s="293" t="s">
        <v>2335</v>
      </c>
      <c r="L813" s="293" t="s">
        <v>2336</v>
      </c>
      <c r="M813" s="293" t="s">
        <v>111</v>
      </c>
      <c r="N813" s="293"/>
      <c r="O813" s="293"/>
      <c r="P813" s="293"/>
      <c r="Q813" s="24"/>
      <c r="R813" s="283"/>
      <c r="S813" s="293" t="s">
        <v>208</v>
      </c>
      <c r="T813" s="283"/>
      <c r="U813" s="283"/>
      <c r="V813" s="293" t="s">
        <v>115</v>
      </c>
      <c r="W813" s="24"/>
      <c r="X813" s="283"/>
      <c r="Y813" s="24"/>
      <c r="Z813" s="24"/>
      <c r="AA813" s="24"/>
      <c r="AB813" s="24"/>
      <c r="AC813" s="283"/>
      <c r="AD813" s="283"/>
      <c r="AE813" s="283"/>
      <c r="AF813" s="283"/>
      <c r="AG813" s="294" t="s">
        <v>2310</v>
      </c>
      <c r="AH813" s="294" t="s">
        <v>1800</v>
      </c>
      <c r="AI813" s="294" t="s">
        <v>1801</v>
      </c>
      <c r="AJ813" s="24"/>
      <c r="AK813" s="24"/>
      <c r="AL813" s="24"/>
    </row>
    <row r="814" spans="1:38" ht="12.75" customHeight="1">
      <c r="A814" s="22">
        <v>812</v>
      </c>
      <c r="B814" s="24" t="str">
        <f t="shared" si="0"/>
        <v>TB screening date</v>
      </c>
      <c r="C814" s="24" t="str">
        <f t="shared" si="1"/>
        <v>Data Element</v>
      </c>
      <c r="D814" s="24" t="str">
        <f t="shared" si="2"/>
        <v/>
      </c>
      <c r="E814" s="24" t="s">
        <v>2307</v>
      </c>
      <c r="F814" s="24">
        <v>1</v>
      </c>
      <c r="G814" s="24" t="s">
        <v>1767</v>
      </c>
      <c r="H814" s="24"/>
      <c r="I814" s="283"/>
      <c r="J814" s="293" t="s">
        <v>2338</v>
      </c>
      <c r="K814" s="293" t="s">
        <v>2339</v>
      </c>
      <c r="L814" s="304" t="s">
        <v>2340</v>
      </c>
      <c r="M814" s="293" t="s">
        <v>140</v>
      </c>
      <c r="N814" s="293"/>
      <c r="O814" s="293"/>
      <c r="P814" s="293"/>
      <c r="Q814" s="24"/>
      <c r="R814" s="283"/>
      <c r="S814" s="293" t="s">
        <v>113</v>
      </c>
      <c r="T814" s="283"/>
      <c r="U814" s="283"/>
      <c r="V814" s="293" t="s">
        <v>115</v>
      </c>
      <c r="W814" s="24"/>
      <c r="X814" s="283"/>
      <c r="Y814" s="24"/>
      <c r="Z814" s="24"/>
      <c r="AA814" s="24"/>
      <c r="AB814" s="24"/>
      <c r="AC814" s="283"/>
      <c r="AD814" s="283"/>
      <c r="AE814" s="283"/>
      <c r="AF814" s="283"/>
      <c r="AG814" s="294" t="s">
        <v>2310</v>
      </c>
      <c r="AH814" s="294" t="s">
        <v>1804</v>
      </c>
      <c r="AI814" s="294" t="s">
        <v>1805</v>
      </c>
      <c r="AJ814" s="24"/>
      <c r="AK814" s="24"/>
      <c r="AL814" s="24"/>
    </row>
    <row r="815" spans="1:38" ht="12.75" customHeight="1">
      <c r="A815" s="22">
        <v>813</v>
      </c>
      <c r="B815" s="24" t="str">
        <f t="shared" si="0"/>
        <v>Record result</v>
      </c>
      <c r="C815" s="24" t="str">
        <f t="shared" si="1"/>
        <v>Data Element</v>
      </c>
      <c r="D815" s="24" t="str">
        <f t="shared" si="2"/>
        <v/>
      </c>
      <c r="E815" s="24" t="s">
        <v>2307</v>
      </c>
      <c r="F815" s="24">
        <v>1</v>
      </c>
      <c r="G815" s="24" t="s">
        <v>1767</v>
      </c>
      <c r="H815" s="24"/>
      <c r="I815" s="283"/>
      <c r="J815" s="224" t="s">
        <v>1926</v>
      </c>
      <c r="K815" s="224" t="s">
        <v>2342</v>
      </c>
      <c r="L815" s="224" t="s">
        <v>2343</v>
      </c>
      <c r="M815" s="224" t="s">
        <v>202</v>
      </c>
      <c r="N815" s="224"/>
      <c r="O815" s="164"/>
      <c r="P815" s="164"/>
      <c r="Q815" s="24"/>
      <c r="R815" s="283"/>
      <c r="S815" s="224" t="s">
        <v>113</v>
      </c>
      <c r="T815" s="283"/>
      <c r="U815" s="283"/>
      <c r="V815" s="196" t="s">
        <v>115</v>
      </c>
      <c r="W815" s="24"/>
      <c r="X815" s="283"/>
      <c r="Y815" s="24"/>
      <c r="Z815" s="24"/>
      <c r="AA815" s="24"/>
      <c r="AB815" s="24"/>
      <c r="AC815" s="283"/>
      <c r="AD815" s="283"/>
      <c r="AE815" s="283"/>
      <c r="AF815" s="283"/>
      <c r="AG815" s="285" t="s">
        <v>115</v>
      </c>
      <c r="AH815" s="205" t="s">
        <v>2344</v>
      </c>
      <c r="AI815" s="205" t="s">
        <v>2345</v>
      </c>
      <c r="AJ815" s="24"/>
      <c r="AK815" s="24"/>
      <c r="AL815" s="24"/>
    </row>
    <row r="816" spans="1:38" ht="12.75" customHeight="1">
      <c r="A816" s="22">
        <v>814</v>
      </c>
      <c r="B816" s="24" t="str">
        <f t="shared" si="0"/>
        <v>Positive</v>
      </c>
      <c r="C816" s="24" t="str">
        <f t="shared" si="1"/>
        <v>Input Option</v>
      </c>
      <c r="D816" s="24" t="str">
        <f t="shared" si="2"/>
        <v>Record result</v>
      </c>
      <c r="E816" s="24" t="s">
        <v>2307</v>
      </c>
      <c r="F816" s="24">
        <v>1</v>
      </c>
      <c r="G816" s="24" t="s">
        <v>1767</v>
      </c>
      <c r="H816" s="24"/>
      <c r="I816" s="283"/>
      <c r="J816" s="164"/>
      <c r="K816" s="164"/>
      <c r="L816" s="164"/>
      <c r="M816" s="164"/>
      <c r="N816" s="224" t="s">
        <v>1122</v>
      </c>
      <c r="O816" s="164"/>
      <c r="P816" s="164"/>
      <c r="Q816" s="24"/>
      <c r="R816" s="283"/>
      <c r="S816" s="164"/>
      <c r="T816" s="283"/>
      <c r="U816" s="283"/>
      <c r="V816" s="164"/>
      <c r="W816" s="24"/>
      <c r="X816" s="283"/>
      <c r="Y816" s="24"/>
      <c r="Z816" s="24"/>
      <c r="AA816" s="24"/>
      <c r="AB816" s="24"/>
      <c r="AC816" s="283"/>
      <c r="AD816" s="283"/>
      <c r="AE816" s="283"/>
      <c r="AF816" s="283"/>
      <c r="AG816" s="285" t="s">
        <v>115</v>
      </c>
      <c r="AH816" s="294" t="s">
        <v>1897</v>
      </c>
      <c r="AI816" s="294" t="s">
        <v>1125</v>
      </c>
      <c r="AJ816" s="24"/>
      <c r="AK816" s="24"/>
      <c r="AL816" s="24"/>
    </row>
    <row r="817" spans="1:40" ht="12.75" customHeight="1">
      <c r="A817" s="22">
        <v>815</v>
      </c>
      <c r="B817" s="24" t="str">
        <f t="shared" si="0"/>
        <v>Negative</v>
      </c>
      <c r="C817" s="24" t="str">
        <f t="shared" si="1"/>
        <v>Input Option</v>
      </c>
      <c r="D817" s="24" t="str">
        <f t="shared" si="2"/>
        <v>Record result</v>
      </c>
      <c r="E817" s="24" t="s">
        <v>2307</v>
      </c>
      <c r="F817" s="24">
        <v>1</v>
      </c>
      <c r="G817" s="24" t="s">
        <v>1767</v>
      </c>
      <c r="H817" s="24"/>
      <c r="I817" s="283"/>
      <c r="J817" s="164"/>
      <c r="K817" s="164"/>
      <c r="L817" s="164"/>
      <c r="M817" s="164"/>
      <c r="N817" s="297" t="s">
        <v>1126</v>
      </c>
      <c r="O817" s="164"/>
      <c r="P817" s="164"/>
      <c r="Q817" s="24"/>
      <c r="R817" s="283"/>
      <c r="S817" s="164"/>
      <c r="T817" s="283"/>
      <c r="U817" s="283"/>
      <c r="V817" s="164"/>
      <c r="W817" s="24"/>
      <c r="X817" s="283"/>
      <c r="Y817" s="24"/>
      <c r="Z817" s="24"/>
      <c r="AA817" s="24"/>
      <c r="AB817" s="24"/>
      <c r="AC817" s="283"/>
      <c r="AD817" s="283"/>
      <c r="AE817" s="283"/>
      <c r="AF817" s="283"/>
      <c r="AG817" s="285" t="s">
        <v>115</v>
      </c>
      <c r="AH817" s="294" t="s">
        <v>1128</v>
      </c>
      <c r="AI817" s="294" t="s">
        <v>1129</v>
      </c>
      <c r="AJ817" s="24"/>
      <c r="AK817" s="24"/>
      <c r="AL817" s="24"/>
    </row>
    <row r="818" spans="1:40" ht="12.75" customHeight="1">
      <c r="A818" s="22">
        <v>816</v>
      </c>
      <c r="B818" s="24" t="str">
        <f t="shared" si="0"/>
        <v>Inconclusive</v>
      </c>
      <c r="C818" s="24" t="str">
        <f t="shared" si="1"/>
        <v>Input Option</v>
      </c>
      <c r="D818" s="24" t="str">
        <f t="shared" si="2"/>
        <v>Record result</v>
      </c>
      <c r="E818" s="24" t="s">
        <v>2307</v>
      </c>
      <c r="F818" s="24">
        <v>1</v>
      </c>
      <c r="G818" s="24" t="s">
        <v>1767</v>
      </c>
      <c r="H818" s="24"/>
      <c r="I818" s="283"/>
      <c r="J818" s="164"/>
      <c r="K818" s="164"/>
      <c r="L818" s="164"/>
      <c r="M818" s="164"/>
      <c r="N818" s="297" t="s">
        <v>1932</v>
      </c>
      <c r="O818" s="164"/>
      <c r="P818" s="164"/>
      <c r="Q818" s="24"/>
      <c r="R818" s="283"/>
      <c r="S818" s="164"/>
      <c r="T818" s="283"/>
      <c r="U818" s="283"/>
      <c r="V818" s="164"/>
      <c r="W818" s="24"/>
      <c r="X818" s="283"/>
      <c r="Y818" s="24"/>
      <c r="Z818" s="24"/>
      <c r="AA818" s="24"/>
      <c r="AB818" s="24"/>
      <c r="AC818" s="283"/>
      <c r="AD818" s="283"/>
      <c r="AE818" s="283"/>
      <c r="AF818" s="283"/>
      <c r="AG818" s="285" t="s">
        <v>115</v>
      </c>
      <c r="AH818" s="205" t="s">
        <v>1934</v>
      </c>
      <c r="AI818" s="285" t="s">
        <v>1935</v>
      </c>
      <c r="AJ818" s="24"/>
      <c r="AK818" s="24"/>
      <c r="AL818" s="24"/>
    </row>
    <row r="819" spans="1:40" ht="12.75" customHeight="1">
      <c r="A819" s="22">
        <v>817</v>
      </c>
      <c r="B819" s="24" t="str">
        <f t="shared" si="0"/>
        <v>Incomplete (only symptoms)</v>
      </c>
      <c r="C819" s="24" t="str">
        <f t="shared" si="1"/>
        <v>Input Option</v>
      </c>
      <c r="D819" s="24" t="str">
        <f t="shared" si="2"/>
        <v>Record result</v>
      </c>
      <c r="E819" s="24" t="s">
        <v>2307</v>
      </c>
      <c r="F819" s="24">
        <v>1</v>
      </c>
      <c r="G819" s="24" t="s">
        <v>1767</v>
      </c>
      <c r="H819" s="24"/>
      <c r="I819" s="283"/>
      <c r="J819" s="164"/>
      <c r="K819" s="164"/>
      <c r="L819" s="164"/>
      <c r="M819" s="164"/>
      <c r="N819" s="297" t="s">
        <v>2347</v>
      </c>
      <c r="O819" s="164"/>
      <c r="P819" s="164"/>
      <c r="Q819" s="24"/>
      <c r="R819" s="283"/>
      <c r="S819" s="164"/>
      <c r="T819" s="283"/>
      <c r="U819" s="283"/>
      <c r="V819" s="164"/>
      <c r="W819" s="24"/>
      <c r="X819" s="283"/>
      <c r="Y819" s="24"/>
      <c r="Z819" s="24"/>
      <c r="AA819" s="24"/>
      <c r="AB819" s="24"/>
      <c r="AC819" s="283"/>
      <c r="AD819" s="283"/>
      <c r="AE819" s="283"/>
      <c r="AF819" s="283"/>
      <c r="AG819" s="285" t="s">
        <v>115</v>
      </c>
      <c r="AH819" s="205" t="s">
        <v>2349</v>
      </c>
      <c r="AI819" s="285" t="s">
        <v>946</v>
      </c>
      <c r="AJ819" s="24"/>
      <c r="AK819" s="24"/>
      <c r="AL819" s="24"/>
    </row>
    <row r="820" spans="1:40" ht="12.75" customHeight="1">
      <c r="A820" s="22">
        <v>818</v>
      </c>
      <c r="B820" s="24" t="str">
        <f t="shared" si="0"/>
        <v>Other test</v>
      </c>
      <c r="C820" s="24" t="str">
        <f t="shared" si="1"/>
        <v>Data Element</v>
      </c>
      <c r="D820" s="24" t="str">
        <f t="shared" si="2"/>
        <v/>
      </c>
      <c r="E820" s="24" t="s">
        <v>2351</v>
      </c>
      <c r="F820" s="24">
        <v>1</v>
      </c>
      <c r="G820" s="24" t="s">
        <v>1767</v>
      </c>
      <c r="H820" s="24"/>
      <c r="I820" s="283"/>
      <c r="J820" s="224" t="s">
        <v>2350</v>
      </c>
      <c r="K820" s="224" t="s">
        <v>2352</v>
      </c>
      <c r="L820" s="224" t="s">
        <v>2353</v>
      </c>
      <c r="M820" s="224" t="s">
        <v>202</v>
      </c>
      <c r="N820" s="164"/>
      <c r="O820" s="164"/>
      <c r="P820" s="164"/>
      <c r="Q820" s="24"/>
      <c r="R820" s="283"/>
      <c r="S820" s="224" t="s">
        <v>208</v>
      </c>
      <c r="T820" s="283"/>
      <c r="U820" s="283"/>
      <c r="V820" s="164" t="s">
        <v>2354</v>
      </c>
      <c r="W820" s="24"/>
      <c r="X820" s="283"/>
      <c r="Y820" s="24"/>
      <c r="Z820" s="24"/>
      <c r="AA820" s="24"/>
      <c r="AB820" s="24"/>
      <c r="AC820" s="283"/>
      <c r="AD820" s="283"/>
      <c r="AE820" s="283"/>
      <c r="AF820" s="283"/>
      <c r="AG820" s="285" t="s">
        <v>2355</v>
      </c>
      <c r="AH820" s="205" t="s">
        <v>1773</v>
      </c>
      <c r="AI820" s="285" t="s">
        <v>1774</v>
      </c>
      <c r="AJ820" s="24"/>
      <c r="AK820" s="24"/>
      <c r="AL820" s="24"/>
    </row>
    <row r="821" spans="1:40" ht="12.75" customHeight="1">
      <c r="A821" s="22">
        <v>819</v>
      </c>
      <c r="B821" s="24" t="str">
        <f t="shared" si="0"/>
        <v>Done today</v>
      </c>
      <c r="C821" s="24" t="str">
        <f t="shared" si="1"/>
        <v>Input Option</v>
      </c>
      <c r="D821" s="24" t="str">
        <f t="shared" si="2"/>
        <v>Other test</v>
      </c>
      <c r="E821" s="24" t="s">
        <v>2351</v>
      </c>
      <c r="F821" s="24">
        <v>1</v>
      </c>
      <c r="G821" s="24" t="s">
        <v>1767</v>
      </c>
      <c r="H821" s="24"/>
      <c r="I821" s="283"/>
      <c r="J821" s="224"/>
      <c r="K821" s="224"/>
      <c r="L821" s="224"/>
      <c r="M821" s="224"/>
      <c r="N821" s="164" t="s">
        <v>1775</v>
      </c>
      <c r="O821" s="164"/>
      <c r="P821" s="164"/>
      <c r="Q821" s="24"/>
      <c r="R821" s="283"/>
      <c r="S821" s="224"/>
      <c r="T821" s="283"/>
      <c r="U821" s="283"/>
      <c r="V821" s="164"/>
      <c r="W821" s="24"/>
      <c r="X821" s="283"/>
      <c r="Y821" s="24"/>
      <c r="Z821" s="24"/>
      <c r="AA821" s="24"/>
      <c r="AB821" s="24"/>
      <c r="AC821" s="283"/>
      <c r="AD821" s="283"/>
      <c r="AE821" s="283"/>
      <c r="AF821" s="283"/>
      <c r="AG821" s="285" t="s">
        <v>115</v>
      </c>
      <c r="AH821" s="285" t="s">
        <v>1777</v>
      </c>
      <c r="AI821" s="285" t="s">
        <v>1778</v>
      </c>
      <c r="AJ821" s="24"/>
      <c r="AK821" s="24"/>
      <c r="AL821" s="24"/>
    </row>
    <row r="822" spans="1:40" ht="12.75" customHeight="1">
      <c r="A822" s="22">
        <v>820</v>
      </c>
      <c r="B822" s="24" t="str">
        <f t="shared" si="0"/>
        <v>Done earlier</v>
      </c>
      <c r="C822" s="24" t="str">
        <f t="shared" si="1"/>
        <v>Input Option</v>
      </c>
      <c r="D822" s="24" t="str">
        <f t="shared" si="2"/>
        <v>Other test</v>
      </c>
      <c r="E822" s="24" t="s">
        <v>2351</v>
      </c>
      <c r="F822" s="24">
        <v>1</v>
      </c>
      <c r="G822" s="24" t="s">
        <v>1767</v>
      </c>
      <c r="H822" s="24"/>
      <c r="I822" s="283"/>
      <c r="J822" s="224"/>
      <c r="K822" s="224"/>
      <c r="L822" s="224"/>
      <c r="M822" s="224"/>
      <c r="N822" s="224" t="s">
        <v>1779</v>
      </c>
      <c r="O822" s="164"/>
      <c r="P822" s="164"/>
      <c r="Q822" s="24"/>
      <c r="R822" s="283"/>
      <c r="S822" s="224"/>
      <c r="T822" s="283"/>
      <c r="U822" s="283"/>
      <c r="V822" s="164"/>
      <c r="W822" s="24"/>
      <c r="X822" s="283"/>
      <c r="Y822" s="24"/>
      <c r="Z822" s="24"/>
      <c r="AA822" s="24"/>
      <c r="AB822" s="24"/>
      <c r="AC822" s="283"/>
      <c r="AD822" s="283"/>
      <c r="AE822" s="283"/>
      <c r="AF822" s="283"/>
      <c r="AG822" s="285" t="s">
        <v>115</v>
      </c>
      <c r="AH822" s="285" t="s">
        <v>1781</v>
      </c>
      <c r="AI822" s="285" t="s">
        <v>1782</v>
      </c>
      <c r="AJ822" s="24"/>
      <c r="AK822" s="24"/>
      <c r="AL822" s="24"/>
    </row>
    <row r="823" spans="1:40" ht="12.75" customHeight="1">
      <c r="A823" s="22">
        <v>821</v>
      </c>
      <c r="B823" s="24" t="str">
        <f t="shared" si="0"/>
        <v xml:space="preserve">Which test? </v>
      </c>
      <c r="C823" s="24" t="str">
        <f t="shared" si="1"/>
        <v>Data Element</v>
      </c>
      <c r="D823" s="24" t="str">
        <f t="shared" si="2"/>
        <v/>
      </c>
      <c r="E823" s="24" t="s">
        <v>2351</v>
      </c>
      <c r="F823" s="24">
        <v>1</v>
      </c>
      <c r="G823" s="24" t="s">
        <v>1767</v>
      </c>
      <c r="H823" s="24"/>
      <c r="I823" s="283"/>
      <c r="J823" s="224" t="s">
        <v>2356</v>
      </c>
      <c r="K823" s="224" t="s">
        <v>2357</v>
      </c>
      <c r="L823" s="224" t="s">
        <v>2358</v>
      </c>
      <c r="M823" s="224" t="s">
        <v>111</v>
      </c>
      <c r="N823" s="224"/>
      <c r="O823" s="164"/>
      <c r="P823" s="164"/>
      <c r="Q823" s="24"/>
      <c r="R823" s="283"/>
      <c r="S823" s="224" t="s">
        <v>208</v>
      </c>
      <c r="T823" s="283"/>
      <c r="U823" s="283"/>
      <c r="V823" s="164" t="s">
        <v>115</v>
      </c>
      <c r="W823" s="24"/>
      <c r="X823" s="283"/>
      <c r="Y823" s="24"/>
      <c r="Z823" s="24"/>
      <c r="AA823" s="24"/>
      <c r="AB823" s="24"/>
      <c r="AC823" s="283"/>
      <c r="AD823" s="283"/>
      <c r="AE823" s="283"/>
      <c r="AF823" s="283"/>
      <c r="AG823" s="285" t="s">
        <v>115</v>
      </c>
      <c r="AH823" s="205" t="s">
        <v>2360</v>
      </c>
      <c r="AI823" s="285" t="s">
        <v>2361</v>
      </c>
      <c r="AJ823" s="24"/>
      <c r="AK823" s="24"/>
      <c r="AL823" s="24"/>
    </row>
    <row r="824" spans="1:40" ht="12.75" customHeight="1">
      <c r="A824" s="22">
        <v>822</v>
      </c>
      <c r="B824" s="24" t="str">
        <f t="shared" si="0"/>
        <v>Test date</v>
      </c>
      <c r="C824" s="24" t="str">
        <f t="shared" si="1"/>
        <v>Data Element</v>
      </c>
      <c r="D824" s="24" t="str">
        <f t="shared" si="2"/>
        <v/>
      </c>
      <c r="E824" s="24" t="s">
        <v>2351</v>
      </c>
      <c r="F824" s="24">
        <v>1</v>
      </c>
      <c r="G824" s="24" t="s">
        <v>1767</v>
      </c>
      <c r="H824" s="24"/>
      <c r="I824" s="283"/>
      <c r="J824" s="224" t="s">
        <v>2362</v>
      </c>
      <c r="K824" s="224" t="s">
        <v>2363</v>
      </c>
      <c r="L824" s="224" t="s">
        <v>2364</v>
      </c>
      <c r="M824" s="224" t="s">
        <v>140</v>
      </c>
      <c r="N824" s="164"/>
      <c r="O824" s="164"/>
      <c r="P824" s="164"/>
      <c r="Q824" s="24"/>
      <c r="R824" s="283"/>
      <c r="S824" s="224" t="s">
        <v>208</v>
      </c>
      <c r="T824" s="283"/>
      <c r="U824" s="283"/>
      <c r="V824" s="164" t="s">
        <v>115</v>
      </c>
      <c r="W824" s="24"/>
      <c r="X824" s="283"/>
      <c r="Y824" s="24"/>
      <c r="Z824" s="24"/>
      <c r="AA824" s="24"/>
      <c r="AB824" s="24"/>
      <c r="AC824" s="283"/>
      <c r="AD824" s="283"/>
      <c r="AE824" s="283"/>
      <c r="AF824" s="283"/>
      <c r="AG824" s="285" t="s">
        <v>2355</v>
      </c>
      <c r="AH824" s="205" t="s">
        <v>1804</v>
      </c>
      <c r="AI824" s="285" t="s">
        <v>1805</v>
      </c>
      <c r="AJ824" s="24"/>
      <c r="AK824" s="24"/>
      <c r="AL824" s="24"/>
    </row>
    <row r="825" spans="1:40" ht="12.75" customHeight="1">
      <c r="A825" s="22">
        <v>823</v>
      </c>
      <c r="B825" s="24" t="str">
        <f t="shared" si="0"/>
        <v>Test result?</v>
      </c>
      <c r="C825" s="24" t="str">
        <f t="shared" ref="C825:C1230" si="3">IF(N825="",IF(M825="Calculation","Calculation",IF(M825="Toaster Message","Toaster Message","Data Element")),"Input Option")</f>
        <v>Data Element</v>
      </c>
      <c r="D825" s="24" t="str">
        <f t="shared" si="2"/>
        <v/>
      </c>
      <c r="E825" s="24" t="s">
        <v>2351</v>
      </c>
      <c r="F825" s="24">
        <v>1</v>
      </c>
      <c r="G825" s="24" t="s">
        <v>1767</v>
      </c>
      <c r="H825" s="24"/>
      <c r="I825" s="283"/>
      <c r="J825" s="224" t="s">
        <v>2365</v>
      </c>
      <c r="K825" s="224" t="s">
        <v>2366</v>
      </c>
      <c r="L825" s="224" t="s">
        <v>2367</v>
      </c>
      <c r="M825" s="224" t="s">
        <v>111</v>
      </c>
      <c r="N825" s="164"/>
      <c r="O825" s="164"/>
      <c r="P825" s="164"/>
      <c r="Q825" s="24"/>
      <c r="R825" s="283"/>
      <c r="S825" s="224" t="s">
        <v>208</v>
      </c>
      <c r="T825" s="283"/>
      <c r="U825" s="283"/>
      <c r="V825" s="164" t="s">
        <v>115</v>
      </c>
      <c r="W825" s="24"/>
      <c r="X825" s="283"/>
      <c r="Y825" s="24"/>
      <c r="Z825" s="24"/>
      <c r="AA825" s="24"/>
      <c r="AB825" s="24"/>
      <c r="AC825" s="283"/>
      <c r="AD825" s="283"/>
      <c r="AE825" s="283"/>
      <c r="AF825" s="283"/>
      <c r="AG825" s="285" t="s">
        <v>2355</v>
      </c>
      <c r="AH825" s="205" t="s">
        <v>2368</v>
      </c>
      <c r="AI825" s="285" t="s">
        <v>2369</v>
      </c>
      <c r="AJ825" s="24"/>
      <c r="AK825" s="24"/>
      <c r="AL825" s="24"/>
      <c r="AM825" s="225"/>
      <c r="AN825" s="225"/>
    </row>
    <row r="826" spans="1:40" ht="12.75" customHeight="1">
      <c r="A826" s="22">
        <v>824</v>
      </c>
      <c r="B826" s="24" t="str">
        <f t="shared" si="0"/>
        <v>Referred to hospital?</v>
      </c>
      <c r="C826" s="24" t="str">
        <f t="shared" si="3"/>
        <v>Data Element</v>
      </c>
      <c r="D826" s="24" t="str">
        <f t="shared" si="2"/>
        <v/>
      </c>
      <c r="E826" s="24" t="s">
        <v>2371</v>
      </c>
      <c r="F826" s="24">
        <v>1</v>
      </c>
      <c r="G826" s="24" t="s">
        <v>2372</v>
      </c>
      <c r="H826" s="24"/>
      <c r="I826" s="283"/>
      <c r="J826" s="297" t="s">
        <v>2370</v>
      </c>
      <c r="K826" s="297" t="s">
        <v>2373</v>
      </c>
      <c r="L826" s="297" t="s">
        <v>2374</v>
      </c>
      <c r="M826" s="297" t="s">
        <v>202</v>
      </c>
      <c r="N826" s="164"/>
      <c r="O826" s="164"/>
      <c r="P826" s="164"/>
      <c r="Q826" s="164"/>
      <c r="R826" s="283"/>
      <c r="S826" s="297" t="s">
        <v>113</v>
      </c>
      <c r="T826" s="283"/>
      <c r="U826" s="283"/>
      <c r="V826" s="204" t="s">
        <v>2375</v>
      </c>
      <c r="W826" s="225"/>
      <c r="X826" s="283"/>
      <c r="Y826" s="283"/>
      <c r="Z826" s="283"/>
      <c r="AA826" s="283"/>
      <c r="AB826" s="283"/>
      <c r="AC826" s="283"/>
      <c r="AD826" s="283"/>
      <c r="AE826" s="283"/>
      <c r="AF826" s="283"/>
      <c r="AG826" s="285" t="s">
        <v>115</v>
      </c>
      <c r="AH826" s="285" t="s">
        <v>2376</v>
      </c>
      <c r="AI826" s="285" t="s">
        <v>2377</v>
      </c>
      <c r="AJ826" s="225"/>
      <c r="AK826" s="225"/>
      <c r="AL826" s="24"/>
    </row>
    <row r="827" spans="1:40" ht="12.75" customHeight="1">
      <c r="A827" s="22">
        <v>825</v>
      </c>
      <c r="B827" s="24" t="str">
        <f t="shared" si="0"/>
        <v>Yes</v>
      </c>
      <c r="C827" s="24" t="str">
        <f t="shared" si="3"/>
        <v>Input Option</v>
      </c>
      <c r="D827" s="24" t="str">
        <f t="shared" si="2"/>
        <v>Referred to hospital?</v>
      </c>
      <c r="E827" s="24" t="s">
        <v>2371</v>
      </c>
      <c r="F827" s="24">
        <v>1</v>
      </c>
      <c r="G827" s="24" t="s">
        <v>2372</v>
      </c>
      <c r="H827" s="24"/>
      <c r="I827" s="283"/>
      <c r="J827" s="297"/>
      <c r="K827" s="297"/>
      <c r="L827" s="297"/>
      <c r="M827" s="297"/>
      <c r="N827" s="164" t="s">
        <v>113</v>
      </c>
      <c r="O827" s="164"/>
      <c r="P827" s="164"/>
      <c r="Q827" s="164"/>
      <c r="R827" s="283"/>
      <c r="S827" s="297"/>
      <c r="T827" s="283"/>
      <c r="U827" s="283"/>
      <c r="V827" s="204"/>
      <c r="W827" s="225"/>
      <c r="X827" s="283"/>
      <c r="Y827" s="283"/>
      <c r="Z827" s="283"/>
      <c r="AA827" s="283"/>
      <c r="AB827" s="283"/>
      <c r="AC827" s="283"/>
      <c r="AD827" s="283"/>
      <c r="AE827" s="283"/>
      <c r="AF827" s="283"/>
      <c r="AG827" s="285" t="s">
        <v>115</v>
      </c>
      <c r="AH827" s="285" t="s">
        <v>206</v>
      </c>
      <c r="AI827" s="285" t="s">
        <v>207</v>
      </c>
      <c r="AJ827" s="225"/>
      <c r="AK827" s="225"/>
      <c r="AL827" s="24"/>
    </row>
    <row r="828" spans="1:40" ht="12.75" customHeight="1">
      <c r="A828" s="22">
        <v>826</v>
      </c>
      <c r="B828" s="24" t="str">
        <f t="shared" si="0"/>
        <v>No</v>
      </c>
      <c r="C828" s="24" t="str">
        <f t="shared" si="3"/>
        <v>Input Option</v>
      </c>
      <c r="D828" s="24" t="str">
        <f t="shared" si="2"/>
        <v>Referred to hospital?</v>
      </c>
      <c r="E828" s="24" t="s">
        <v>2371</v>
      </c>
      <c r="F828" s="24">
        <v>1</v>
      </c>
      <c r="G828" s="24" t="s">
        <v>2372</v>
      </c>
      <c r="H828" s="24"/>
      <c r="I828" s="283"/>
      <c r="J828" s="164"/>
      <c r="K828" s="297"/>
      <c r="L828" s="164"/>
      <c r="M828" s="297"/>
      <c r="N828" s="224" t="s">
        <v>208</v>
      </c>
      <c r="O828" s="164"/>
      <c r="P828" s="164"/>
      <c r="Q828" s="164"/>
      <c r="R828" s="283"/>
      <c r="S828" s="164"/>
      <c r="T828" s="283"/>
      <c r="U828" s="283"/>
      <c r="V828" s="164"/>
      <c r="W828" s="225"/>
      <c r="X828" s="283"/>
      <c r="Y828" s="283"/>
      <c r="Z828" s="283"/>
      <c r="AA828" s="283"/>
      <c r="AB828" s="283"/>
      <c r="AC828" s="283"/>
      <c r="AD828" s="283"/>
      <c r="AE828" s="283"/>
      <c r="AF828" s="283"/>
      <c r="AG828" s="285" t="s">
        <v>115</v>
      </c>
      <c r="AH828" s="285" t="s">
        <v>209</v>
      </c>
      <c r="AI828" s="285" t="s">
        <v>210</v>
      </c>
      <c r="AJ828" s="225"/>
      <c r="AK828" s="225"/>
      <c r="AL828" s="24"/>
    </row>
    <row r="829" spans="1:40" ht="12.75" customHeight="1">
      <c r="A829" s="22">
        <v>827</v>
      </c>
      <c r="B829" s="24" t="s">
        <v>2378</v>
      </c>
      <c r="C829" s="24" t="str">
        <f t="shared" si="3"/>
        <v>Data Element</v>
      </c>
      <c r="D829" s="24" t="str">
        <f t="shared" si="2"/>
        <v/>
      </c>
      <c r="E829" s="24" t="s">
        <v>2371</v>
      </c>
      <c r="F829" s="24">
        <v>1</v>
      </c>
      <c r="G829" s="24" t="s">
        <v>2372</v>
      </c>
      <c r="H829" s="24"/>
      <c r="I829" s="283"/>
      <c r="J829" s="164" t="s">
        <v>1376</v>
      </c>
      <c r="K829" s="297" t="s">
        <v>2379</v>
      </c>
      <c r="L829" s="164" t="s">
        <v>2380</v>
      </c>
      <c r="M829" s="297" t="s">
        <v>238</v>
      </c>
      <c r="N829" s="224"/>
      <c r="O829" s="164"/>
      <c r="P829" s="164"/>
      <c r="Q829" s="164"/>
      <c r="R829" s="283"/>
      <c r="S829" s="164" t="s">
        <v>113</v>
      </c>
      <c r="T829" s="283"/>
      <c r="U829" s="283"/>
      <c r="V829" s="164" t="s">
        <v>115</v>
      </c>
      <c r="W829" s="225"/>
      <c r="X829" s="283"/>
      <c r="Y829" s="283"/>
      <c r="Z829" s="283"/>
      <c r="AA829" s="283"/>
      <c r="AB829" s="283"/>
      <c r="AC829" s="283"/>
      <c r="AD829" s="283"/>
      <c r="AE829" s="283"/>
      <c r="AF829" s="283"/>
      <c r="AG829" s="285" t="s">
        <v>115</v>
      </c>
      <c r="AH829" s="285" t="s">
        <v>2381</v>
      </c>
      <c r="AI829" s="285" t="s">
        <v>2382</v>
      </c>
      <c r="AJ829" s="225"/>
      <c r="AK829" s="225"/>
      <c r="AL829" s="24"/>
    </row>
    <row r="830" spans="1:40" ht="12.75" customHeight="1">
      <c r="A830" s="22">
        <v>828</v>
      </c>
      <c r="B830" s="24" t="str">
        <f t="shared" ref="B830:B832" si="4">IF(N830="",IF(M830="Calculation",K830,J830),N830)</f>
        <v>Woman refused</v>
      </c>
      <c r="C830" s="24" t="str">
        <f t="shared" si="3"/>
        <v>Input Option</v>
      </c>
      <c r="D830" s="24" t="str">
        <f t="shared" si="2"/>
        <v>Reason Not Referred to Hospital</v>
      </c>
      <c r="E830" s="24" t="s">
        <v>2371</v>
      </c>
      <c r="F830" s="24">
        <v>1</v>
      </c>
      <c r="G830" s="24" t="s">
        <v>2372</v>
      </c>
      <c r="H830" s="24"/>
      <c r="I830" s="283"/>
      <c r="J830" s="164"/>
      <c r="K830" s="297"/>
      <c r="L830" s="164"/>
      <c r="M830" s="297"/>
      <c r="N830" s="224" t="s">
        <v>2383</v>
      </c>
      <c r="O830" s="164"/>
      <c r="P830" s="164"/>
      <c r="Q830" s="164"/>
      <c r="R830" s="283"/>
      <c r="S830" s="164"/>
      <c r="T830" s="283"/>
      <c r="U830" s="283"/>
      <c r="V830" s="164"/>
      <c r="W830" s="225"/>
      <c r="X830" s="283"/>
      <c r="Y830" s="283"/>
      <c r="Z830" s="283"/>
      <c r="AA830" s="283"/>
      <c r="AB830" s="283"/>
      <c r="AC830" s="283"/>
      <c r="AD830" s="283"/>
      <c r="AE830" s="283"/>
      <c r="AF830" s="283"/>
      <c r="AG830" s="285" t="s">
        <v>115</v>
      </c>
      <c r="AH830" s="285" t="s">
        <v>2384</v>
      </c>
      <c r="AI830" s="285" t="s">
        <v>2385</v>
      </c>
      <c r="AJ830" s="225"/>
      <c r="AK830" s="225"/>
      <c r="AL830" s="24"/>
    </row>
    <row r="831" spans="1:40" ht="12.75" customHeight="1">
      <c r="A831" s="22">
        <v>829</v>
      </c>
      <c r="B831" s="24" t="str">
        <f t="shared" si="4"/>
        <v>Not necessary</v>
      </c>
      <c r="C831" s="24" t="str">
        <f t="shared" si="3"/>
        <v>Input Option</v>
      </c>
      <c r="D831" s="24" t="str">
        <f t="shared" si="2"/>
        <v>Reason Not Referred to Hospital</v>
      </c>
      <c r="E831" s="24" t="s">
        <v>2371</v>
      </c>
      <c r="F831" s="24">
        <v>1</v>
      </c>
      <c r="G831" s="24" t="s">
        <v>2372</v>
      </c>
      <c r="H831" s="24"/>
      <c r="I831" s="283"/>
      <c r="J831" s="196"/>
      <c r="K831" s="297"/>
      <c r="L831" s="164"/>
      <c r="M831" s="297"/>
      <c r="N831" s="224" t="s">
        <v>2386</v>
      </c>
      <c r="O831" s="164"/>
      <c r="P831" s="164"/>
      <c r="Q831" s="164"/>
      <c r="R831" s="283"/>
      <c r="S831" s="164"/>
      <c r="T831" s="283"/>
      <c r="U831" s="283"/>
      <c r="V831" s="164"/>
      <c r="W831" s="225"/>
      <c r="X831" s="283"/>
      <c r="Y831" s="283"/>
      <c r="Z831" s="283"/>
      <c r="AA831" s="283"/>
      <c r="AB831" s="283"/>
      <c r="AC831" s="283"/>
      <c r="AD831" s="283"/>
      <c r="AE831" s="283"/>
      <c r="AF831" s="283"/>
      <c r="AG831" s="285" t="s">
        <v>115</v>
      </c>
      <c r="AH831" s="285" t="s">
        <v>2387</v>
      </c>
      <c r="AI831" s="285" t="s">
        <v>2388</v>
      </c>
      <c r="AJ831" s="225"/>
      <c r="AK831" s="225"/>
      <c r="AL831" s="24"/>
    </row>
    <row r="832" spans="1:40" ht="12.75" customHeight="1">
      <c r="A832" s="22">
        <v>830</v>
      </c>
      <c r="B832" s="24" t="str">
        <f t="shared" si="4"/>
        <v>Other (specify)</v>
      </c>
      <c r="C832" s="24" t="str">
        <f t="shared" si="3"/>
        <v>Input Option</v>
      </c>
      <c r="D832" s="24" t="str">
        <f t="shared" si="2"/>
        <v>Reason Not Referred to Hospital</v>
      </c>
      <c r="E832" s="24" t="s">
        <v>2371</v>
      </c>
      <c r="F832" s="24">
        <v>1</v>
      </c>
      <c r="G832" s="24" t="s">
        <v>2372</v>
      </c>
      <c r="H832" s="24"/>
      <c r="I832" s="283"/>
      <c r="J832" s="196"/>
      <c r="K832" s="297"/>
      <c r="L832" s="164"/>
      <c r="M832" s="297"/>
      <c r="N832" s="224" t="s">
        <v>405</v>
      </c>
      <c r="O832" s="164"/>
      <c r="P832" s="164"/>
      <c r="Q832" s="164"/>
      <c r="R832" s="283"/>
      <c r="S832" s="164"/>
      <c r="T832" s="283"/>
      <c r="U832" s="283"/>
      <c r="V832" s="164"/>
      <c r="W832" s="225"/>
      <c r="X832" s="283"/>
      <c r="Y832" s="283"/>
      <c r="Z832" s="283"/>
      <c r="AA832" s="283"/>
      <c r="AB832" s="283"/>
      <c r="AC832" s="283"/>
      <c r="AD832" s="283"/>
      <c r="AE832" s="283"/>
      <c r="AF832" s="283"/>
      <c r="AG832" s="285" t="s">
        <v>115</v>
      </c>
      <c r="AH832" s="294" t="s">
        <v>406</v>
      </c>
      <c r="AI832" s="294" t="s">
        <v>407</v>
      </c>
      <c r="AJ832" s="225"/>
      <c r="AK832" s="225"/>
      <c r="AL832" s="24"/>
    </row>
    <row r="833" spans="1:38" ht="12.75" customHeight="1">
      <c r="A833" s="22">
        <v>831</v>
      </c>
      <c r="B833" s="24" t="s">
        <v>2389</v>
      </c>
      <c r="C833" s="24" t="str">
        <f t="shared" si="3"/>
        <v>Data Element</v>
      </c>
      <c r="D833" s="24" t="str">
        <f t="shared" si="2"/>
        <v/>
      </c>
      <c r="E833" s="24" t="s">
        <v>2371</v>
      </c>
      <c r="F833" s="24">
        <v>1</v>
      </c>
      <c r="G833" s="24" t="s">
        <v>2372</v>
      </c>
      <c r="H833" s="24"/>
      <c r="I833" s="283"/>
      <c r="J833" s="196" t="s">
        <v>409</v>
      </c>
      <c r="K833" s="297" t="s">
        <v>2390</v>
      </c>
      <c r="L833" s="164" t="s">
        <v>2391</v>
      </c>
      <c r="M833" s="297" t="s">
        <v>111</v>
      </c>
      <c r="N833" s="224"/>
      <c r="O833" s="164"/>
      <c r="P833" s="164"/>
      <c r="Q833" s="164"/>
      <c r="R833" s="283"/>
      <c r="S833" s="164" t="s">
        <v>208</v>
      </c>
      <c r="T833" s="283"/>
      <c r="U833" s="283"/>
      <c r="V833" s="164" t="s">
        <v>115</v>
      </c>
      <c r="W833" s="225"/>
      <c r="X833" s="283"/>
      <c r="Y833" s="283"/>
      <c r="Z833" s="283"/>
      <c r="AA833" s="283"/>
      <c r="AB833" s="283"/>
      <c r="AC833" s="283"/>
      <c r="AD833" s="283"/>
      <c r="AE833" s="283"/>
      <c r="AF833" s="283"/>
      <c r="AG833" s="285" t="s">
        <v>2392</v>
      </c>
      <c r="AH833" s="358" t="s">
        <v>415</v>
      </c>
      <c r="AI833" s="294" t="s">
        <v>416</v>
      </c>
      <c r="AJ833" s="225"/>
      <c r="AK833" s="225"/>
      <c r="AL833" s="24"/>
    </row>
    <row r="834" spans="1:38" ht="12.75" customHeight="1">
      <c r="A834" s="22">
        <v>832</v>
      </c>
      <c r="B834" s="24" t="str">
        <f t="shared" ref="B834:B836" si="5">IF(N834="",IF(M834="Calculation",K834,J834),N834)</f>
        <v>Caffeine reduction counseling</v>
      </c>
      <c r="C834" s="24" t="str">
        <f t="shared" si="3"/>
        <v>Data Element</v>
      </c>
      <c r="D834" s="24" t="str">
        <f t="shared" si="2"/>
        <v/>
      </c>
      <c r="E834" s="24" t="s">
        <v>2394</v>
      </c>
      <c r="F834" s="24">
        <v>1</v>
      </c>
      <c r="G834" s="24" t="s">
        <v>2372</v>
      </c>
      <c r="H834" s="24"/>
      <c r="I834" s="283"/>
      <c r="J834" s="224" t="s">
        <v>2393</v>
      </c>
      <c r="K834" s="297" t="s">
        <v>2395</v>
      </c>
      <c r="L834" s="204" t="s">
        <v>2396</v>
      </c>
      <c r="M834" s="297" t="s">
        <v>202</v>
      </c>
      <c r="N834" s="196"/>
      <c r="O834" s="164"/>
      <c r="P834" s="164"/>
      <c r="Q834" s="164"/>
      <c r="R834" s="283"/>
      <c r="S834" s="297" t="s">
        <v>113</v>
      </c>
      <c r="T834" s="283"/>
      <c r="U834" s="283"/>
      <c r="V834" s="204" t="s">
        <v>2375</v>
      </c>
      <c r="W834" s="225"/>
      <c r="X834" s="283"/>
      <c r="Y834" s="283"/>
      <c r="Z834" s="283"/>
      <c r="AA834" s="283"/>
      <c r="AB834" s="283"/>
      <c r="AC834" s="283"/>
      <c r="AD834" s="283"/>
      <c r="AE834" s="283"/>
      <c r="AF834" s="283"/>
      <c r="AG834" s="285" t="s">
        <v>2397</v>
      </c>
      <c r="AH834" s="353" t="s">
        <v>2398</v>
      </c>
      <c r="AI834" s="285" t="s">
        <v>2399</v>
      </c>
      <c r="AJ834" s="225"/>
      <c r="AK834" s="225"/>
      <c r="AL834" s="24"/>
    </row>
    <row r="835" spans="1:38" ht="12.75" customHeight="1">
      <c r="A835" s="22">
        <v>833</v>
      </c>
      <c r="B835" s="24" t="str">
        <f t="shared" si="5"/>
        <v>Done</v>
      </c>
      <c r="C835" s="24" t="str">
        <f t="shared" si="3"/>
        <v>Input Option</v>
      </c>
      <c r="D835" s="24" t="str">
        <f t="shared" si="2"/>
        <v>Caffeine reduction counseling</v>
      </c>
      <c r="E835" s="24" t="s">
        <v>2394</v>
      </c>
      <c r="F835" s="24">
        <v>1</v>
      </c>
      <c r="G835" s="24" t="s">
        <v>2372</v>
      </c>
      <c r="H835" s="24"/>
      <c r="I835" s="283"/>
      <c r="J835" s="164"/>
      <c r="K835" s="164"/>
      <c r="L835" s="164"/>
      <c r="M835" s="164"/>
      <c r="N835" s="196" t="s">
        <v>1673</v>
      </c>
      <c r="O835" s="164"/>
      <c r="P835" s="164"/>
      <c r="Q835" s="164"/>
      <c r="R835" s="283"/>
      <c r="S835" s="164"/>
      <c r="T835" s="283"/>
      <c r="U835" s="283"/>
      <c r="V835" s="164"/>
      <c r="W835" s="225"/>
      <c r="X835" s="283"/>
      <c r="Y835" s="283"/>
      <c r="Z835" s="283"/>
      <c r="AA835" s="283"/>
      <c r="AB835" s="283"/>
      <c r="AC835" s="283"/>
      <c r="AD835" s="283"/>
      <c r="AE835" s="283"/>
      <c r="AF835" s="283"/>
      <c r="AG835" s="285" t="s">
        <v>115</v>
      </c>
      <c r="AH835" s="353" t="s">
        <v>942</v>
      </c>
      <c r="AI835" s="205" t="s">
        <v>943</v>
      </c>
      <c r="AJ835" s="225"/>
      <c r="AK835" s="225"/>
      <c r="AL835" s="24"/>
    </row>
    <row r="836" spans="1:38" ht="12.75" customHeight="1">
      <c r="A836" s="22">
        <v>834</v>
      </c>
      <c r="B836" s="24" t="str">
        <f t="shared" si="5"/>
        <v>Not done</v>
      </c>
      <c r="C836" s="24" t="str">
        <f t="shared" si="3"/>
        <v>Input Option</v>
      </c>
      <c r="D836" s="24" t="str">
        <f t="shared" si="2"/>
        <v>Caffeine reduction counseling</v>
      </c>
      <c r="E836" s="24" t="s">
        <v>2394</v>
      </c>
      <c r="F836" s="24">
        <v>1</v>
      </c>
      <c r="G836" s="24" t="s">
        <v>2372</v>
      </c>
      <c r="H836" s="24"/>
      <c r="I836" s="283"/>
      <c r="J836" s="164"/>
      <c r="K836" s="164"/>
      <c r="L836" s="164"/>
      <c r="M836" s="164"/>
      <c r="N836" s="224" t="s">
        <v>1468</v>
      </c>
      <c r="O836" s="164"/>
      <c r="P836" s="164"/>
      <c r="Q836" s="164"/>
      <c r="R836" s="283"/>
      <c r="S836" s="164"/>
      <c r="T836" s="283"/>
      <c r="U836" s="283"/>
      <c r="V836" s="164"/>
      <c r="W836" s="225"/>
      <c r="X836" s="283"/>
      <c r="Y836" s="283"/>
      <c r="Z836" s="283"/>
      <c r="AA836" s="283"/>
      <c r="AB836" s="283"/>
      <c r="AC836" s="283"/>
      <c r="AD836" s="283"/>
      <c r="AE836" s="283"/>
      <c r="AF836" s="283"/>
      <c r="AG836" s="285" t="s">
        <v>115</v>
      </c>
      <c r="AH836" s="353" t="s">
        <v>1469</v>
      </c>
      <c r="AI836" s="205" t="s">
        <v>1470</v>
      </c>
      <c r="AJ836" s="225"/>
      <c r="AK836" s="225"/>
      <c r="AL836" s="24"/>
    </row>
    <row r="837" spans="1:38" ht="12.75" customHeight="1">
      <c r="A837" s="22">
        <v>835</v>
      </c>
      <c r="B837" s="24" t="s">
        <v>2400</v>
      </c>
      <c r="C837" s="24" t="str">
        <f t="shared" si="3"/>
        <v>Data Element</v>
      </c>
      <c r="D837" s="24" t="str">
        <f t="shared" si="2"/>
        <v/>
      </c>
      <c r="E837" s="24" t="s">
        <v>2394</v>
      </c>
      <c r="F837" s="24">
        <v>1</v>
      </c>
      <c r="G837" s="24" t="s">
        <v>2372</v>
      </c>
      <c r="H837" s="24"/>
      <c r="I837" s="283"/>
      <c r="J837" s="164" t="s">
        <v>1376</v>
      </c>
      <c r="K837" s="164" t="s">
        <v>2401</v>
      </c>
      <c r="L837" s="164" t="s">
        <v>2402</v>
      </c>
      <c r="M837" s="164" t="s">
        <v>238</v>
      </c>
      <c r="N837" s="224"/>
      <c r="O837" s="164"/>
      <c r="P837" s="164"/>
      <c r="Q837" s="164"/>
      <c r="R837" s="283"/>
      <c r="S837" s="164" t="s">
        <v>208</v>
      </c>
      <c r="T837" s="283"/>
      <c r="U837" s="283"/>
      <c r="V837" s="164" t="s">
        <v>115</v>
      </c>
      <c r="W837" s="225"/>
      <c r="X837" s="283"/>
      <c r="Y837" s="283"/>
      <c r="Z837" s="283"/>
      <c r="AA837" s="283"/>
      <c r="AB837" s="283"/>
      <c r="AC837" s="283"/>
      <c r="AD837" s="283"/>
      <c r="AE837" s="283"/>
      <c r="AF837" s="283"/>
      <c r="AG837" s="285" t="s">
        <v>2397</v>
      </c>
      <c r="AH837" s="353" t="s">
        <v>2403</v>
      </c>
      <c r="AI837" s="285" t="s">
        <v>2404</v>
      </c>
      <c r="AJ837" s="225"/>
      <c r="AK837" s="225"/>
      <c r="AL837" s="24"/>
    </row>
    <row r="838" spans="1:38" ht="12.75" customHeight="1">
      <c r="A838" s="22">
        <v>836</v>
      </c>
      <c r="B838" s="24" t="str">
        <f t="shared" ref="B838:B839" si="6">IF(N838="",IF(M838="Calculation",K838,J838),N838)</f>
        <v>Referred instead</v>
      </c>
      <c r="C838" s="24" t="str">
        <f t="shared" si="3"/>
        <v>Input Option</v>
      </c>
      <c r="D838" s="24" t="str">
        <f t="shared" si="2"/>
        <v>Reason Caffiene rediction not done</v>
      </c>
      <c r="E838" s="24" t="s">
        <v>2394</v>
      </c>
      <c r="F838" s="24">
        <v>1</v>
      </c>
      <c r="G838" s="24" t="s">
        <v>2372</v>
      </c>
      <c r="H838" s="24"/>
      <c r="I838" s="283"/>
      <c r="J838" s="293"/>
      <c r="K838" s="293"/>
      <c r="L838" s="196"/>
      <c r="M838" s="196"/>
      <c r="N838" s="204" t="s">
        <v>2405</v>
      </c>
      <c r="O838" s="196"/>
      <c r="P838" s="196"/>
      <c r="Q838" s="196"/>
      <c r="R838" s="283"/>
      <c r="S838" s="293"/>
      <c r="T838" s="283"/>
      <c r="U838" s="283"/>
      <c r="V838" s="293"/>
      <c r="W838" s="225"/>
      <c r="X838" s="283"/>
      <c r="Y838" s="283"/>
      <c r="Z838" s="283"/>
      <c r="AA838" s="283"/>
      <c r="AB838" s="283"/>
      <c r="AC838" s="283"/>
      <c r="AD838" s="283"/>
      <c r="AE838" s="283"/>
      <c r="AF838" s="283"/>
      <c r="AG838" s="294" t="s">
        <v>115</v>
      </c>
      <c r="AH838" s="358" t="s">
        <v>2406</v>
      </c>
      <c r="AI838" s="294" t="s">
        <v>2407</v>
      </c>
      <c r="AJ838" s="225"/>
      <c r="AK838" s="225"/>
      <c r="AL838" s="24"/>
    </row>
    <row r="839" spans="1:38" ht="12.75" customHeight="1">
      <c r="A839" s="22">
        <v>837</v>
      </c>
      <c r="B839" s="24" t="str">
        <f t="shared" si="6"/>
        <v>Other (specify)</v>
      </c>
      <c r="C839" s="24" t="str">
        <f t="shared" si="3"/>
        <v>Input Option</v>
      </c>
      <c r="D839" s="24" t="str">
        <f t="shared" si="2"/>
        <v>Reason Caffiene rediction not done</v>
      </c>
      <c r="E839" s="24" t="s">
        <v>2394</v>
      </c>
      <c r="F839" s="24">
        <v>1</v>
      </c>
      <c r="G839" s="24" t="s">
        <v>2372</v>
      </c>
      <c r="H839" s="24"/>
      <c r="I839" s="283"/>
      <c r="J839" s="293"/>
      <c r="K839" s="293"/>
      <c r="L839" s="196"/>
      <c r="M839" s="196"/>
      <c r="N839" s="204" t="s">
        <v>405</v>
      </c>
      <c r="O839" s="196"/>
      <c r="P839" s="196"/>
      <c r="Q839" s="196"/>
      <c r="R839" s="283"/>
      <c r="S839" s="293"/>
      <c r="T839" s="283"/>
      <c r="U839" s="283"/>
      <c r="V839" s="293"/>
      <c r="W839" s="225"/>
      <c r="X839" s="283"/>
      <c r="Y839" s="283"/>
      <c r="Z839" s="283"/>
      <c r="AA839" s="283"/>
      <c r="AB839" s="283"/>
      <c r="AC839" s="283"/>
      <c r="AD839" s="283"/>
      <c r="AE839" s="283"/>
      <c r="AF839" s="283"/>
      <c r="AG839" s="294" t="s">
        <v>115</v>
      </c>
      <c r="AH839" s="358" t="s">
        <v>406</v>
      </c>
      <c r="AI839" s="294" t="s">
        <v>407</v>
      </c>
      <c r="AJ839" s="225"/>
      <c r="AK839" s="225"/>
      <c r="AL839" s="24"/>
    </row>
    <row r="840" spans="1:38" ht="12.75" customHeight="1">
      <c r="A840" s="22">
        <v>838</v>
      </c>
      <c r="B840" s="24" t="s">
        <v>2408</v>
      </c>
      <c r="C840" s="24" t="str">
        <f t="shared" si="3"/>
        <v>Data Element</v>
      </c>
      <c r="D840" s="24" t="str">
        <f t="shared" si="2"/>
        <v/>
      </c>
      <c r="E840" s="24" t="s">
        <v>2394</v>
      </c>
      <c r="F840" s="24">
        <v>1</v>
      </c>
      <c r="G840" s="24" t="s">
        <v>2372</v>
      </c>
      <c r="H840" s="24"/>
      <c r="I840" s="283"/>
      <c r="J840" s="293" t="s">
        <v>409</v>
      </c>
      <c r="K840" s="293" t="s">
        <v>2409</v>
      </c>
      <c r="L840" s="196" t="s">
        <v>2410</v>
      </c>
      <c r="M840" s="196" t="s">
        <v>111</v>
      </c>
      <c r="N840" s="196"/>
      <c r="O840" s="196"/>
      <c r="P840" s="196"/>
      <c r="Q840" s="196"/>
      <c r="R840" s="283"/>
      <c r="S840" s="293" t="s">
        <v>208</v>
      </c>
      <c r="T840" s="283"/>
      <c r="U840" s="283"/>
      <c r="V840" s="293" t="s">
        <v>115</v>
      </c>
      <c r="W840" s="225"/>
      <c r="X840" s="283"/>
      <c r="Y840" s="283"/>
      <c r="Z840" s="283"/>
      <c r="AA840" s="283"/>
      <c r="AB840" s="283"/>
      <c r="AC840" s="283"/>
      <c r="AD840" s="283"/>
      <c r="AE840" s="283"/>
      <c r="AF840" s="283"/>
      <c r="AG840" s="294" t="s">
        <v>2397</v>
      </c>
      <c r="AH840" s="358" t="s">
        <v>2411</v>
      </c>
      <c r="AI840" s="294" t="s">
        <v>2412</v>
      </c>
      <c r="AJ840" s="225"/>
      <c r="AK840" s="225"/>
      <c r="AL840" s="24"/>
    </row>
    <row r="841" spans="1:38" ht="12.75" customHeight="1">
      <c r="A841" s="22">
        <v>839</v>
      </c>
      <c r="B841" s="24" t="str">
        <f t="shared" ref="B841:B843" si="7">IF(N841="",IF(M841="Calculation",K841,J841),N841)</f>
        <v>Tobacco cessation counseling</v>
      </c>
      <c r="C841" s="24" t="str">
        <f t="shared" si="3"/>
        <v>Data Element</v>
      </c>
      <c r="D841" s="24" t="str">
        <f t="shared" si="2"/>
        <v/>
      </c>
      <c r="E841" s="24" t="s">
        <v>2394</v>
      </c>
      <c r="F841" s="24">
        <v>1</v>
      </c>
      <c r="G841" s="24" t="s">
        <v>2372</v>
      </c>
      <c r="H841" s="24"/>
      <c r="I841" s="283"/>
      <c r="J841" s="224" t="s">
        <v>2413</v>
      </c>
      <c r="K841" s="164" t="s">
        <v>2414</v>
      </c>
      <c r="L841" s="204" t="s">
        <v>2415</v>
      </c>
      <c r="M841" s="297" t="s">
        <v>202</v>
      </c>
      <c r="N841" s="196"/>
      <c r="O841" s="164"/>
      <c r="P841" s="164"/>
      <c r="Q841" s="164"/>
      <c r="R841" s="283"/>
      <c r="S841" s="164" t="s">
        <v>113</v>
      </c>
      <c r="T841" s="283"/>
      <c r="U841" s="283"/>
      <c r="V841" s="204" t="s">
        <v>2375</v>
      </c>
      <c r="W841" s="225"/>
      <c r="X841" s="283"/>
      <c r="Y841" s="283"/>
      <c r="Z841" s="283"/>
      <c r="AA841" s="283"/>
      <c r="AB841" s="283"/>
      <c r="AC841" s="283"/>
      <c r="AD841" s="283"/>
      <c r="AE841" s="283"/>
      <c r="AF841" s="283"/>
      <c r="AG841" s="285" t="s">
        <v>2416</v>
      </c>
      <c r="AH841" s="353" t="s">
        <v>2398</v>
      </c>
      <c r="AI841" s="285" t="s">
        <v>2399</v>
      </c>
      <c r="AJ841" s="225"/>
      <c r="AK841" s="225"/>
      <c r="AL841" s="24"/>
    </row>
    <row r="842" spans="1:38" ht="12.75" customHeight="1">
      <c r="A842" s="22">
        <v>840</v>
      </c>
      <c r="B842" s="24" t="str">
        <f t="shared" si="7"/>
        <v>Done</v>
      </c>
      <c r="C842" s="24" t="str">
        <f t="shared" si="3"/>
        <v>Input Option</v>
      </c>
      <c r="D842" s="24" t="str">
        <f t="shared" si="2"/>
        <v>Tobacco cessation counseling</v>
      </c>
      <c r="E842" s="24" t="s">
        <v>2394</v>
      </c>
      <c r="F842" s="24">
        <v>1</v>
      </c>
      <c r="G842" s="24" t="s">
        <v>2372</v>
      </c>
      <c r="H842" s="24"/>
      <c r="I842" s="283"/>
      <c r="J842" s="164"/>
      <c r="K842" s="164"/>
      <c r="L842" s="164"/>
      <c r="M842" s="164"/>
      <c r="N842" s="196" t="s">
        <v>1673</v>
      </c>
      <c r="O842" s="164"/>
      <c r="P842" s="164"/>
      <c r="Q842" s="164"/>
      <c r="R842" s="283"/>
      <c r="S842" s="164"/>
      <c r="T842" s="283"/>
      <c r="U842" s="283"/>
      <c r="V842" s="164"/>
      <c r="W842" s="225"/>
      <c r="X842" s="283"/>
      <c r="Y842" s="283"/>
      <c r="Z842" s="283"/>
      <c r="AA842" s="283"/>
      <c r="AB842" s="283"/>
      <c r="AC842" s="283"/>
      <c r="AD842" s="283"/>
      <c r="AE842" s="283"/>
      <c r="AF842" s="283"/>
      <c r="AG842" s="285" t="s">
        <v>115</v>
      </c>
      <c r="AH842" s="353" t="s">
        <v>942</v>
      </c>
      <c r="AI842" s="205" t="s">
        <v>943</v>
      </c>
      <c r="AJ842" s="225"/>
      <c r="AK842" s="225"/>
      <c r="AL842" s="24"/>
    </row>
    <row r="843" spans="1:38" ht="12.75" customHeight="1">
      <c r="A843" s="22">
        <v>841</v>
      </c>
      <c r="B843" s="24" t="str">
        <f t="shared" si="7"/>
        <v>Not done</v>
      </c>
      <c r="C843" s="24" t="str">
        <f t="shared" si="3"/>
        <v>Input Option</v>
      </c>
      <c r="D843" s="24" t="str">
        <f t="shared" si="2"/>
        <v>Tobacco cessation counseling</v>
      </c>
      <c r="E843" s="24" t="s">
        <v>2394</v>
      </c>
      <c r="F843" s="24">
        <v>1</v>
      </c>
      <c r="G843" s="24" t="s">
        <v>2372</v>
      </c>
      <c r="H843" s="24"/>
      <c r="I843" s="283"/>
      <c r="J843" s="164"/>
      <c r="K843" s="164"/>
      <c r="L843" s="164"/>
      <c r="M843" s="164"/>
      <c r="N843" s="224" t="s">
        <v>1468</v>
      </c>
      <c r="O843" s="164"/>
      <c r="P843" s="164"/>
      <c r="Q843" s="164"/>
      <c r="R843" s="283"/>
      <c r="S843" s="164"/>
      <c r="T843" s="283"/>
      <c r="U843" s="283"/>
      <c r="V843" s="164"/>
      <c r="W843" s="225"/>
      <c r="X843" s="283"/>
      <c r="Y843" s="283"/>
      <c r="Z843" s="283"/>
      <c r="AA843" s="283"/>
      <c r="AB843" s="283"/>
      <c r="AC843" s="283"/>
      <c r="AD843" s="283"/>
      <c r="AE843" s="283"/>
      <c r="AF843" s="283"/>
      <c r="AG843" s="285" t="s">
        <v>115</v>
      </c>
      <c r="AH843" s="353" t="s">
        <v>1469</v>
      </c>
      <c r="AI843" s="205" t="s">
        <v>1470</v>
      </c>
      <c r="AJ843" s="225"/>
      <c r="AK843" s="225"/>
      <c r="AL843" s="24"/>
    </row>
    <row r="844" spans="1:38" ht="12.75" customHeight="1">
      <c r="A844" s="22">
        <v>842</v>
      </c>
      <c r="B844" s="24" t="s">
        <v>2417</v>
      </c>
      <c r="C844" s="24" t="str">
        <f t="shared" si="3"/>
        <v>Data Element</v>
      </c>
      <c r="D844" s="24" t="str">
        <f t="shared" si="2"/>
        <v/>
      </c>
      <c r="E844" s="24" t="s">
        <v>2394</v>
      </c>
      <c r="F844" s="24">
        <v>1</v>
      </c>
      <c r="G844" s="24" t="s">
        <v>2372</v>
      </c>
      <c r="H844" s="24"/>
      <c r="I844" s="283"/>
      <c r="J844" s="164" t="s">
        <v>1376</v>
      </c>
      <c r="K844" s="164" t="s">
        <v>2418</v>
      </c>
      <c r="L844" s="164" t="s">
        <v>2419</v>
      </c>
      <c r="M844" s="164" t="s">
        <v>238</v>
      </c>
      <c r="N844" s="224"/>
      <c r="O844" s="164"/>
      <c r="P844" s="164"/>
      <c r="Q844" s="164"/>
      <c r="R844" s="283"/>
      <c r="S844" s="164" t="s">
        <v>208</v>
      </c>
      <c r="T844" s="283"/>
      <c r="U844" s="283"/>
      <c r="V844" s="164" t="s">
        <v>115</v>
      </c>
      <c r="W844" s="225"/>
      <c r="X844" s="283"/>
      <c r="Y844" s="283"/>
      <c r="Z844" s="283"/>
      <c r="AA844" s="283"/>
      <c r="AB844" s="283"/>
      <c r="AC844" s="283"/>
      <c r="AD844" s="283"/>
      <c r="AE844" s="283"/>
      <c r="AF844" s="283"/>
      <c r="AG844" s="285" t="s">
        <v>2416</v>
      </c>
      <c r="AH844" s="353" t="s">
        <v>2403</v>
      </c>
      <c r="AI844" s="285" t="s">
        <v>2404</v>
      </c>
      <c r="AJ844" s="225"/>
      <c r="AK844" s="225"/>
      <c r="AL844" s="24"/>
    </row>
    <row r="845" spans="1:38" ht="12.75" customHeight="1">
      <c r="A845" s="22">
        <v>843</v>
      </c>
      <c r="B845" s="24" t="str">
        <f t="shared" ref="B845:B846" si="8">IF(N845="",IF(M845="Calculation",K845,J845),N845)</f>
        <v>Referred instead</v>
      </c>
      <c r="C845" s="24" t="str">
        <f t="shared" si="3"/>
        <v>Input Option</v>
      </c>
      <c r="D845" s="24" t="str">
        <f t="shared" si="2"/>
        <v>Reason Tobacco Cessation Not Done</v>
      </c>
      <c r="E845" s="24" t="s">
        <v>2394</v>
      </c>
      <c r="F845" s="24">
        <v>1</v>
      </c>
      <c r="G845" s="24" t="s">
        <v>2372</v>
      </c>
      <c r="H845" s="24"/>
      <c r="I845" s="283"/>
      <c r="J845" s="196"/>
      <c r="K845" s="196"/>
      <c r="L845" s="196"/>
      <c r="M845" s="196"/>
      <c r="N845" s="204" t="s">
        <v>2405</v>
      </c>
      <c r="O845" s="196"/>
      <c r="P845" s="196"/>
      <c r="Q845" s="196"/>
      <c r="R845" s="283"/>
      <c r="S845" s="196"/>
      <c r="T845" s="283"/>
      <c r="U845" s="283"/>
      <c r="V845" s="293"/>
      <c r="W845" s="225"/>
      <c r="X845" s="283"/>
      <c r="Y845" s="283"/>
      <c r="Z845" s="283"/>
      <c r="AA845" s="283"/>
      <c r="AB845" s="283"/>
      <c r="AC845" s="283"/>
      <c r="AD845" s="283"/>
      <c r="AE845" s="283"/>
      <c r="AF845" s="283"/>
      <c r="AG845" s="294" t="s">
        <v>115</v>
      </c>
      <c r="AH845" s="358" t="s">
        <v>2406</v>
      </c>
      <c r="AI845" s="294" t="s">
        <v>2407</v>
      </c>
      <c r="AJ845" s="225"/>
      <c r="AK845" s="225"/>
      <c r="AL845" s="24"/>
    </row>
    <row r="846" spans="1:38" ht="12.75" customHeight="1">
      <c r="A846" s="22">
        <v>844</v>
      </c>
      <c r="B846" s="24" t="str">
        <f t="shared" si="8"/>
        <v>Other (specify)</v>
      </c>
      <c r="C846" s="24" t="str">
        <f t="shared" si="3"/>
        <v>Input Option</v>
      </c>
      <c r="D846" s="24" t="str">
        <f t="shared" si="2"/>
        <v>Reason Tobacco Cessation Not Done</v>
      </c>
      <c r="E846" s="24" t="s">
        <v>2394</v>
      </c>
      <c r="F846" s="24">
        <v>1</v>
      </c>
      <c r="G846" s="24" t="s">
        <v>2372</v>
      </c>
      <c r="H846" s="24"/>
      <c r="I846" s="283"/>
      <c r="J846" s="196"/>
      <c r="K846" s="196"/>
      <c r="L846" s="196"/>
      <c r="M846" s="196"/>
      <c r="N846" s="204" t="s">
        <v>405</v>
      </c>
      <c r="O846" s="196"/>
      <c r="P846" s="196"/>
      <c r="Q846" s="196"/>
      <c r="R846" s="283"/>
      <c r="S846" s="196"/>
      <c r="T846" s="283"/>
      <c r="U846" s="283"/>
      <c r="V846" s="293"/>
      <c r="W846" s="225"/>
      <c r="X846" s="283"/>
      <c r="Y846" s="283"/>
      <c r="Z846" s="283"/>
      <c r="AA846" s="283"/>
      <c r="AB846" s="283"/>
      <c r="AC846" s="283"/>
      <c r="AD846" s="283"/>
      <c r="AE846" s="283"/>
      <c r="AF846" s="283"/>
      <c r="AG846" s="294" t="s">
        <v>115</v>
      </c>
      <c r="AH846" s="358" t="s">
        <v>406</v>
      </c>
      <c r="AI846" s="294" t="s">
        <v>407</v>
      </c>
      <c r="AJ846" s="225"/>
      <c r="AK846" s="225"/>
      <c r="AL846" s="24"/>
    </row>
    <row r="847" spans="1:38" ht="12.75" customHeight="1">
      <c r="A847" s="22">
        <v>845</v>
      </c>
      <c r="B847" s="24" t="s">
        <v>2420</v>
      </c>
      <c r="C847" s="24" t="str">
        <f t="shared" si="3"/>
        <v>Data Element</v>
      </c>
      <c r="D847" s="24" t="str">
        <f t="shared" si="2"/>
        <v/>
      </c>
      <c r="E847" s="24" t="s">
        <v>2394</v>
      </c>
      <c r="F847" s="24">
        <v>1</v>
      </c>
      <c r="G847" s="24" t="s">
        <v>2372</v>
      </c>
      <c r="H847" s="24"/>
      <c r="I847" s="283"/>
      <c r="J847" s="196" t="s">
        <v>409</v>
      </c>
      <c r="K847" s="196" t="s">
        <v>2421</v>
      </c>
      <c r="L847" s="196" t="s">
        <v>2410</v>
      </c>
      <c r="M847" s="196" t="s">
        <v>111</v>
      </c>
      <c r="N847" s="196"/>
      <c r="O847" s="196"/>
      <c r="P847" s="196"/>
      <c r="Q847" s="196"/>
      <c r="R847" s="283"/>
      <c r="S847" s="196" t="s">
        <v>208</v>
      </c>
      <c r="T847" s="283"/>
      <c r="U847" s="283"/>
      <c r="V847" s="293" t="s">
        <v>115</v>
      </c>
      <c r="W847" s="225"/>
      <c r="X847" s="283"/>
      <c r="Y847" s="283"/>
      <c r="Z847" s="283"/>
      <c r="AA847" s="283"/>
      <c r="AB847" s="283"/>
      <c r="AC847" s="283"/>
      <c r="AD847" s="283"/>
      <c r="AE847" s="283"/>
      <c r="AF847" s="283"/>
      <c r="AG847" s="294" t="s">
        <v>2416</v>
      </c>
      <c r="AH847" s="358" t="s">
        <v>2411</v>
      </c>
      <c r="AI847" s="294" t="s">
        <v>2412</v>
      </c>
      <c r="AJ847" s="225"/>
      <c r="AK847" s="225"/>
      <c r="AL847" s="24"/>
    </row>
    <row r="848" spans="1:38" ht="12.75" customHeight="1">
      <c r="A848" s="22">
        <v>846</v>
      </c>
      <c r="B848" s="24" t="str">
        <f t="shared" ref="B848:B850" si="9">IF(N848="",IF(M848="Calculation",K848,J848),N848)</f>
        <v>Second-hand smoke counseling</v>
      </c>
      <c r="C848" s="24" t="str">
        <f t="shared" si="3"/>
        <v>Data Element</v>
      </c>
      <c r="D848" s="24" t="str">
        <f t="shared" si="2"/>
        <v/>
      </c>
      <c r="E848" s="24" t="s">
        <v>2394</v>
      </c>
      <c r="F848" s="24">
        <v>1</v>
      </c>
      <c r="G848" s="24" t="s">
        <v>2372</v>
      </c>
      <c r="H848" s="24"/>
      <c r="I848" s="283"/>
      <c r="J848" s="224" t="s">
        <v>2422</v>
      </c>
      <c r="K848" s="164" t="s">
        <v>2423</v>
      </c>
      <c r="L848" s="204" t="s">
        <v>2424</v>
      </c>
      <c r="M848" s="297" t="s">
        <v>202</v>
      </c>
      <c r="N848" s="196"/>
      <c r="O848" s="164"/>
      <c r="P848" s="164"/>
      <c r="Q848" s="164"/>
      <c r="R848" s="283"/>
      <c r="S848" s="164" t="s">
        <v>113</v>
      </c>
      <c r="T848" s="283"/>
      <c r="U848" s="283"/>
      <c r="V848" s="304" t="s">
        <v>2375</v>
      </c>
      <c r="W848" s="225"/>
      <c r="X848" s="283"/>
      <c r="Y848" s="283"/>
      <c r="Z848" s="283"/>
      <c r="AA848" s="283"/>
      <c r="AB848" s="283"/>
      <c r="AC848" s="283"/>
      <c r="AD848" s="283"/>
      <c r="AE848" s="283"/>
      <c r="AF848" s="283"/>
      <c r="AG848" s="285" t="s">
        <v>2425</v>
      </c>
      <c r="AH848" s="353" t="s">
        <v>2398</v>
      </c>
      <c r="AI848" s="285" t="s">
        <v>2399</v>
      </c>
      <c r="AJ848" s="225"/>
      <c r="AK848" s="225"/>
      <c r="AL848" s="24"/>
    </row>
    <row r="849" spans="1:38" ht="12.75" customHeight="1">
      <c r="A849" s="22">
        <v>847</v>
      </c>
      <c r="B849" s="24" t="str">
        <f t="shared" si="9"/>
        <v>Done</v>
      </c>
      <c r="C849" s="24" t="str">
        <f t="shared" si="3"/>
        <v>Input Option</v>
      </c>
      <c r="D849" s="24" t="str">
        <f t="shared" si="2"/>
        <v>Second-hand smoke counseling</v>
      </c>
      <c r="E849" s="24" t="s">
        <v>2394</v>
      </c>
      <c r="F849" s="24">
        <v>1</v>
      </c>
      <c r="G849" s="24" t="s">
        <v>2372</v>
      </c>
      <c r="H849" s="24"/>
      <c r="I849" s="283"/>
      <c r="J849" s="164"/>
      <c r="K849" s="164"/>
      <c r="L849" s="164"/>
      <c r="M849" s="164"/>
      <c r="N849" s="196" t="s">
        <v>1673</v>
      </c>
      <c r="O849" s="164"/>
      <c r="P849" s="164"/>
      <c r="Q849" s="164"/>
      <c r="R849" s="283"/>
      <c r="S849" s="164"/>
      <c r="T849" s="283"/>
      <c r="U849" s="283"/>
      <c r="V849" s="293"/>
      <c r="W849" s="225"/>
      <c r="X849" s="283"/>
      <c r="Y849" s="283"/>
      <c r="Z849" s="283"/>
      <c r="AA849" s="283"/>
      <c r="AB849" s="283"/>
      <c r="AC849" s="283"/>
      <c r="AD849" s="283"/>
      <c r="AE849" s="283"/>
      <c r="AF849" s="283"/>
      <c r="AG849" s="285" t="s">
        <v>115</v>
      </c>
      <c r="AH849" s="353" t="s">
        <v>942</v>
      </c>
      <c r="AI849" s="205" t="s">
        <v>943</v>
      </c>
      <c r="AJ849" s="225"/>
      <c r="AK849" s="225"/>
      <c r="AL849" s="24"/>
    </row>
    <row r="850" spans="1:38" ht="12.75" customHeight="1">
      <c r="A850" s="22">
        <v>848</v>
      </c>
      <c r="B850" s="24" t="str">
        <f t="shared" si="9"/>
        <v>Not done</v>
      </c>
      <c r="C850" s="24" t="str">
        <f t="shared" si="3"/>
        <v>Input Option</v>
      </c>
      <c r="D850" s="24" t="str">
        <f t="shared" si="2"/>
        <v>Second-hand smoke counseling</v>
      </c>
      <c r="E850" s="24" t="s">
        <v>2394</v>
      </c>
      <c r="F850" s="24">
        <v>1</v>
      </c>
      <c r="G850" s="24" t="s">
        <v>2372</v>
      </c>
      <c r="H850" s="24"/>
      <c r="I850" s="283"/>
      <c r="J850" s="164"/>
      <c r="K850" s="164"/>
      <c r="L850" s="164"/>
      <c r="M850" s="164"/>
      <c r="N850" s="224" t="s">
        <v>1468</v>
      </c>
      <c r="O850" s="164"/>
      <c r="P850" s="164"/>
      <c r="Q850" s="164"/>
      <c r="R850" s="283"/>
      <c r="S850" s="164"/>
      <c r="T850" s="283"/>
      <c r="U850" s="283"/>
      <c r="V850" s="293"/>
      <c r="W850" s="225"/>
      <c r="X850" s="283"/>
      <c r="Y850" s="283"/>
      <c r="Z850" s="283"/>
      <c r="AA850" s="283"/>
      <c r="AB850" s="283"/>
      <c r="AC850" s="283"/>
      <c r="AD850" s="283"/>
      <c r="AE850" s="283"/>
      <c r="AF850" s="283"/>
      <c r="AG850" s="285" t="s">
        <v>115</v>
      </c>
      <c r="AH850" s="353" t="s">
        <v>1469</v>
      </c>
      <c r="AI850" s="205" t="s">
        <v>1470</v>
      </c>
      <c r="AJ850" s="225"/>
      <c r="AK850" s="225"/>
      <c r="AL850" s="24"/>
    </row>
    <row r="851" spans="1:38" ht="12.75" customHeight="1">
      <c r="A851" s="22">
        <v>849</v>
      </c>
      <c r="B851" s="24" t="s">
        <v>2427</v>
      </c>
      <c r="C851" s="24" t="str">
        <f t="shared" si="3"/>
        <v>Data Element</v>
      </c>
      <c r="D851" s="24" t="str">
        <f t="shared" si="2"/>
        <v/>
      </c>
      <c r="E851" s="24" t="s">
        <v>2394</v>
      </c>
      <c r="F851" s="24">
        <v>1</v>
      </c>
      <c r="G851" s="24" t="s">
        <v>2372</v>
      </c>
      <c r="H851" s="24"/>
      <c r="I851" s="283"/>
      <c r="J851" s="164" t="s">
        <v>1376</v>
      </c>
      <c r="K851" s="164" t="s">
        <v>2428</v>
      </c>
      <c r="L851" s="164" t="s">
        <v>2429</v>
      </c>
      <c r="M851" s="164" t="s">
        <v>238</v>
      </c>
      <c r="N851" s="224"/>
      <c r="O851" s="164"/>
      <c r="P851" s="164"/>
      <c r="Q851" s="164"/>
      <c r="R851" s="283"/>
      <c r="S851" s="164" t="s">
        <v>208</v>
      </c>
      <c r="T851" s="283"/>
      <c r="U851" s="283"/>
      <c r="V851" s="293" t="s">
        <v>115</v>
      </c>
      <c r="W851" s="225"/>
      <c r="X851" s="283"/>
      <c r="Y851" s="283"/>
      <c r="Z851" s="283"/>
      <c r="AA851" s="283"/>
      <c r="AB851" s="283"/>
      <c r="AC851" s="283"/>
      <c r="AD851" s="283"/>
      <c r="AE851" s="283"/>
      <c r="AF851" s="283"/>
      <c r="AG851" s="285" t="s">
        <v>2425</v>
      </c>
      <c r="AH851" s="353" t="s">
        <v>2403</v>
      </c>
      <c r="AI851" s="285" t="s">
        <v>2404</v>
      </c>
      <c r="AJ851" s="225"/>
      <c r="AK851" s="225"/>
      <c r="AL851" s="24"/>
    </row>
    <row r="852" spans="1:38" ht="12.75" customHeight="1">
      <c r="A852" s="22">
        <v>850</v>
      </c>
      <c r="B852" s="24" t="str">
        <f t="shared" ref="B852:B853" si="10">IF(N852="",IF(M852="Calculation",K852,J852),N852)</f>
        <v>Referred instead</v>
      </c>
      <c r="C852" s="24" t="str">
        <f t="shared" si="3"/>
        <v>Input Option</v>
      </c>
      <c r="D852" s="24" t="str">
        <f t="shared" si="2"/>
        <v>Reason Secondhand Smoke Counseling Not Done</v>
      </c>
      <c r="E852" s="24" t="s">
        <v>2394</v>
      </c>
      <c r="F852" s="24">
        <v>1</v>
      </c>
      <c r="G852" s="24" t="s">
        <v>2372</v>
      </c>
      <c r="H852" s="24"/>
      <c r="I852" s="283"/>
      <c r="J852" s="196"/>
      <c r="K852" s="196"/>
      <c r="L852" s="196"/>
      <c r="M852" s="196"/>
      <c r="N852" s="204" t="s">
        <v>2405</v>
      </c>
      <c r="O852" s="196"/>
      <c r="P852" s="196"/>
      <c r="Q852" s="196"/>
      <c r="R852" s="283"/>
      <c r="S852" s="196"/>
      <c r="T852" s="283"/>
      <c r="U852" s="283"/>
      <c r="V852" s="293"/>
      <c r="W852" s="225"/>
      <c r="X852" s="283"/>
      <c r="Y852" s="283"/>
      <c r="Z852" s="283"/>
      <c r="AA852" s="283"/>
      <c r="AB852" s="283"/>
      <c r="AC852" s="283"/>
      <c r="AD852" s="283"/>
      <c r="AE852" s="283"/>
      <c r="AF852" s="283"/>
      <c r="AG852" s="285" t="s">
        <v>115</v>
      </c>
      <c r="AH852" s="358" t="s">
        <v>2406</v>
      </c>
      <c r="AI852" s="294" t="s">
        <v>2407</v>
      </c>
      <c r="AJ852" s="225"/>
      <c r="AK852" s="225"/>
      <c r="AL852" s="24"/>
    </row>
    <row r="853" spans="1:38" ht="12.75" customHeight="1">
      <c r="A853" s="22">
        <v>851</v>
      </c>
      <c r="B853" s="24" t="str">
        <f t="shared" si="10"/>
        <v>Other (specify)</v>
      </c>
      <c r="C853" s="24" t="str">
        <f t="shared" si="3"/>
        <v>Input Option</v>
      </c>
      <c r="D853" s="24" t="str">
        <f t="shared" si="2"/>
        <v>Reason Secondhand Smoke Counseling Not Done</v>
      </c>
      <c r="E853" s="24" t="s">
        <v>2394</v>
      </c>
      <c r="F853" s="24">
        <v>1</v>
      </c>
      <c r="G853" s="24" t="s">
        <v>2372</v>
      </c>
      <c r="H853" s="24"/>
      <c r="I853" s="283"/>
      <c r="J853" s="196"/>
      <c r="K853" s="196"/>
      <c r="L853" s="196"/>
      <c r="M853" s="196"/>
      <c r="N853" s="204" t="s">
        <v>405</v>
      </c>
      <c r="O853" s="196"/>
      <c r="P853" s="196"/>
      <c r="Q853" s="196"/>
      <c r="R853" s="283"/>
      <c r="S853" s="196"/>
      <c r="T853" s="283"/>
      <c r="U853" s="283"/>
      <c r="V853" s="293"/>
      <c r="W853" s="225"/>
      <c r="X853" s="283"/>
      <c r="Y853" s="283"/>
      <c r="Z853" s="283"/>
      <c r="AA853" s="283"/>
      <c r="AB853" s="283"/>
      <c r="AC853" s="283"/>
      <c r="AD853" s="283"/>
      <c r="AE853" s="283"/>
      <c r="AF853" s="283"/>
      <c r="AG853" s="285" t="s">
        <v>115</v>
      </c>
      <c r="AH853" s="358" t="s">
        <v>406</v>
      </c>
      <c r="AI853" s="294" t="s">
        <v>407</v>
      </c>
      <c r="AJ853" s="225"/>
      <c r="AK853" s="225"/>
      <c r="AL853" s="24"/>
    </row>
    <row r="854" spans="1:38" ht="12.75" customHeight="1">
      <c r="A854" s="22">
        <v>852</v>
      </c>
      <c r="B854" s="24" t="s">
        <v>2431</v>
      </c>
      <c r="C854" s="24" t="str">
        <f t="shared" si="3"/>
        <v>Data Element</v>
      </c>
      <c r="D854" s="24" t="str">
        <f t="shared" si="2"/>
        <v/>
      </c>
      <c r="E854" s="24" t="s">
        <v>2394</v>
      </c>
      <c r="F854" s="24">
        <v>1</v>
      </c>
      <c r="G854" s="24" t="s">
        <v>2372</v>
      </c>
      <c r="H854" s="24"/>
      <c r="I854" s="283"/>
      <c r="J854" s="196" t="s">
        <v>409</v>
      </c>
      <c r="K854" s="196" t="s">
        <v>2432</v>
      </c>
      <c r="L854" s="196" t="s">
        <v>2410</v>
      </c>
      <c r="M854" s="196" t="s">
        <v>111</v>
      </c>
      <c r="N854" s="196"/>
      <c r="O854" s="196"/>
      <c r="P854" s="196"/>
      <c r="Q854" s="196"/>
      <c r="R854" s="283"/>
      <c r="S854" s="196" t="s">
        <v>208</v>
      </c>
      <c r="T854" s="283"/>
      <c r="U854" s="283"/>
      <c r="V854" s="293" t="s">
        <v>115</v>
      </c>
      <c r="W854" s="225"/>
      <c r="X854" s="283"/>
      <c r="Y854" s="283"/>
      <c r="Z854" s="283"/>
      <c r="AA854" s="283"/>
      <c r="AB854" s="283"/>
      <c r="AC854" s="283"/>
      <c r="AD854" s="283"/>
      <c r="AE854" s="283"/>
      <c r="AF854" s="283"/>
      <c r="AG854" s="294" t="s">
        <v>2425</v>
      </c>
      <c r="AH854" s="358" t="s">
        <v>2411</v>
      </c>
      <c r="AI854" s="294" t="s">
        <v>2412</v>
      </c>
      <c r="AJ854" s="225"/>
      <c r="AK854" s="225"/>
      <c r="AL854" s="24"/>
    </row>
    <row r="855" spans="1:38" ht="12.75" customHeight="1">
      <c r="A855" s="22">
        <v>853</v>
      </c>
      <c r="B855" s="24" t="str">
        <f t="shared" ref="B855:B857" si="11">IF(N855="",IF(M855="Calculation",K855,J855),N855)</f>
        <v>Condom counseling</v>
      </c>
      <c r="C855" s="24" t="str">
        <f t="shared" si="3"/>
        <v>Data Element</v>
      </c>
      <c r="D855" s="24" t="str">
        <f t="shared" si="2"/>
        <v/>
      </c>
      <c r="E855" s="24" t="s">
        <v>2394</v>
      </c>
      <c r="F855" s="24">
        <v>1</v>
      </c>
      <c r="G855" s="24" t="s">
        <v>2372</v>
      </c>
      <c r="H855" s="24"/>
      <c r="I855" s="283"/>
      <c r="J855" s="224" t="s">
        <v>2434</v>
      </c>
      <c r="K855" s="164" t="s">
        <v>2435</v>
      </c>
      <c r="L855" s="204" t="s">
        <v>2436</v>
      </c>
      <c r="M855" s="297" t="s">
        <v>202</v>
      </c>
      <c r="N855" s="196"/>
      <c r="O855" s="164"/>
      <c r="P855" s="164"/>
      <c r="Q855" s="164"/>
      <c r="R855" s="283"/>
      <c r="S855" s="164" t="s">
        <v>1459</v>
      </c>
      <c r="T855" s="283"/>
      <c r="U855" s="283"/>
      <c r="V855" s="304" t="s">
        <v>2375</v>
      </c>
      <c r="W855" s="225"/>
      <c r="X855" s="283"/>
      <c r="Y855" s="283"/>
      <c r="Z855" s="283"/>
      <c r="AA855" s="283"/>
      <c r="AB855" s="283"/>
      <c r="AC855" s="283"/>
      <c r="AD855" s="283"/>
      <c r="AE855" s="283"/>
      <c r="AF855" s="283"/>
      <c r="AG855" s="285" t="s">
        <v>2437</v>
      </c>
      <c r="AH855" s="353" t="s">
        <v>2398</v>
      </c>
      <c r="AI855" s="285" t="s">
        <v>2399</v>
      </c>
      <c r="AJ855" s="225"/>
      <c r="AK855" s="225"/>
      <c r="AL855" s="24"/>
    </row>
    <row r="856" spans="1:38" ht="12.75" customHeight="1">
      <c r="A856" s="22">
        <v>854</v>
      </c>
      <c r="B856" s="24" t="str">
        <f t="shared" si="11"/>
        <v>Done</v>
      </c>
      <c r="C856" s="24" t="str">
        <f t="shared" si="3"/>
        <v>Input Option</v>
      </c>
      <c r="D856" s="24" t="str">
        <f t="shared" si="2"/>
        <v>Condom counseling</v>
      </c>
      <c r="E856" s="24" t="s">
        <v>2394</v>
      </c>
      <c r="F856" s="24">
        <v>1</v>
      </c>
      <c r="G856" s="24" t="s">
        <v>2372</v>
      </c>
      <c r="H856" s="24"/>
      <c r="I856" s="283"/>
      <c r="J856" s="164"/>
      <c r="K856" s="164"/>
      <c r="L856" s="164"/>
      <c r="M856" s="164"/>
      <c r="N856" s="196" t="s">
        <v>1673</v>
      </c>
      <c r="O856" s="164"/>
      <c r="P856" s="164"/>
      <c r="Q856" s="164"/>
      <c r="R856" s="283"/>
      <c r="S856" s="164"/>
      <c r="T856" s="283"/>
      <c r="U856" s="283"/>
      <c r="V856" s="293"/>
      <c r="W856" s="225"/>
      <c r="X856" s="283"/>
      <c r="Y856" s="283"/>
      <c r="Z856" s="283"/>
      <c r="AA856" s="283"/>
      <c r="AB856" s="283"/>
      <c r="AC856" s="283"/>
      <c r="AD856" s="283"/>
      <c r="AE856" s="283"/>
      <c r="AF856" s="283"/>
      <c r="AG856" s="285" t="s">
        <v>115</v>
      </c>
      <c r="AH856" s="353" t="s">
        <v>942</v>
      </c>
      <c r="AI856" s="205" t="s">
        <v>943</v>
      </c>
      <c r="AJ856" s="225"/>
      <c r="AK856" s="225"/>
      <c r="AL856" s="24"/>
    </row>
    <row r="857" spans="1:38" ht="12.75" customHeight="1">
      <c r="A857" s="22">
        <v>855</v>
      </c>
      <c r="B857" s="24" t="str">
        <f t="shared" si="11"/>
        <v>Not done</v>
      </c>
      <c r="C857" s="24" t="str">
        <f t="shared" si="3"/>
        <v>Input Option</v>
      </c>
      <c r="D857" s="24" t="str">
        <f t="shared" si="2"/>
        <v>Condom counseling</v>
      </c>
      <c r="E857" s="24" t="s">
        <v>2394</v>
      </c>
      <c r="F857" s="24">
        <v>1</v>
      </c>
      <c r="G857" s="24" t="s">
        <v>2372</v>
      </c>
      <c r="H857" s="24"/>
      <c r="I857" s="283"/>
      <c r="J857" s="164"/>
      <c r="K857" s="164"/>
      <c r="L857" s="164"/>
      <c r="M857" s="164"/>
      <c r="N857" s="224" t="s">
        <v>1468</v>
      </c>
      <c r="O857" s="164"/>
      <c r="P857" s="164"/>
      <c r="Q857" s="164"/>
      <c r="R857" s="283"/>
      <c r="S857" s="164"/>
      <c r="T857" s="283"/>
      <c r="U857" s="283"/>
      <c r="V857" s="293"/>
      <c r="W857" s="225"/>
      <c r="X857" s="283"/>
      <c r="Y857" s="283"/>
      <c r="Z857" s="283"/>
      <c r="AA857" s="283"/>
      <c r="AB857" s="283"/>
      <c r="AC857" s="283"/>
      <c r="AD857" s="283"/>
      <c r="AE857" s="283"/>
      <c r="AF857" s="283"/>
      <c r="AG857" s="285" t="s">
        <v>115</v>
      </c>
      <c r="AH857" s="353" t="s">
        <v>1469</v>
      </c>
      <c r="AI857" s="205" t="s">
        <v>1470</v>
      </c>
      <c r="AJ857" s="225"/>
      <c r="AK857" s="225"/>
      <c r="AL857" s="24"/>
    </row>
    <row r="858" spans="1:38" ht="12.75" customHeight="1">
      <c r="A858" s="22">
        <v>856</v>
      </c>
      <c r="B858" s="24" t="s">
        <v>2438</v>
      </c>
      <c r="C858" s="24" t="str">
        <f t="shared" si="3"/>
        <v>Data Element</v>
      </c>
      <c r="D858" s="24" t="str">
        <f t="shared" si="2"/>
        <v/>
      </c>
      <c r="E858" s="24" t="s">
        <v>2394</v>
      </c>
      <c r="F858" s="24">
        <v>1</v>
      </c>
      <c r="G858" s="24" t="s">
        <v>2372</v>
      </c>
      <c r="H858" s="24"/>
      <c r="I858" s="283"/>
      <c r="J858" s="164" t="s">
        <v>1376</v>
      </c>
      <c r="K858" s="164" t="s">
        <v>2440</v>
      </c>
      <c r="L858" s="164" t="s">
        <v>2441</v>
      </c>
      <c r="M858" s="164" t="s">
        <v>238</v>
      </c>
      <c r="N858" s="224"/>
      <c r="O858" s="164"/>
      <c r="P858" s="164"/>
      <c r="Q858" s="164"/>
      <c r="R858" s="283"/>
      <c r="S858" s="164" t="s">
        <v>208</v>
      </c>
      <c r="T858" s="283"/>
      <c r="U858" s="283"/>
      <c r="V858" s="293" t="s">
        <v>115</v>
      </c>
      <c r="W858" s="225"/>
      <c r="X858" s="283"/>
      <c r="Y858" s="283"/>
      <c r="Z858" s="283"/>
      <c r="AA858" s="283"/>
      <c r="AB858" s="283"/>
      <c r="AC858" s="283"/>
      <c r="AD858" s="283"/>
      <c r="AE858" s="283"/>
      <c r="AF858" s="283"/>
      <c r="AG858" s="285" t="s">
        <v>2437</v>
      </c>
      <c r="AH858" s="353" t="s">
        <v>2403</v>
      </c>
      <c r="AI858" s="285" t="s">
        <v>2404</v>
      </c>
      <c r="AJ858" s="225"/>
      <c r="AK858" s="225"/>
      <c r="AL858" s="24"/>
    </row>
    <row r="859" spans="1:38" ht="12.75" customHeight="1">
      <c r="A859" s="22">
        <v>857</v>
      </c>
      <c r="B859" s="24" t="str">
        <f t="shared" ref="B859:B860" si="12">IF(N859="",IF(M859="Calculation",K859,J859),N859)</f>
        <v>Referred instead</v>
      </c>
      <c r="C859" s="24" t="str">
        <f t="shared" si="3"/>
        <v>Input Option</v>
      </c>
      <c r="D859" s="24" t="str">
        <f t="shared" si="2"/>
        <v>Reason Condom Counseling Not Done</v>
      </c>
      <c r="E859" s="24" t="s">
        <v>2394</v>
      </c>
      <c r="F859" s="24">
        <v>1</v>
      </c>
      <c r="G859" s="24" t="s">
        <v>2372</v>
      </c>
      <c r="H859" s="24"/>
      <c r="I859" s="283"/>
      <c r="J859" s="196"/>
      <c r="K859" s="196"/>
      <c r="L859" s="196"/>
      <c r="M859" s="196"/>
      <c r="N859" s="224" t="s">
        <v>2405</v>
      </c>
      <c r="O859" s="196"/>
      <c r="P859" s="196"/>
      <c r="Q859" s="196"/>
      <c r="R859" s="283"/>
      <c r="S859" s="196"/>
      <c r="T859" s="283"/>
      <c r="U859" s="283"/>
      <c r="V859" s="293"/>
      <c r="W859" s="225"/>
      <c r="X859" s="283"/>
      <c r="Y859" s="283"/>
      <c r="Z859" s="283"/>
      <c r="AA859" s="283"/>
      <c r="AB859" s="283"/>
      <c r="AC859" s="283"/>
      <c r="AD859" s="283"/>
      <c r="AE859" s="283"/>
      <c r="AF859" s="283"/>
      <c r="AG859" s="285" t="s">
        <v>115</v>
      </c>
      <c r="AH859" s="358" t="s">
        <v>2406</v>
      </c>
      <c r="AI859" s="294" t="s">
        <v>2407</v>
      </c>
      <c r="AJ859" s="225"/>
      <c r="AK859" s="225"/>
      <c r="AL859" s="24"/>
    </row>
    <row r="860" spans="1:38" ht="12.75" customHeight="1">
      <c r="A860" s="22">
        <v>858</v>
      </c>
      <c r="B860" s="24" t="str">
        <f t="shared" si="12"/>
        <v>Other (specify)</v>
      </c>
      <c r="C860" s="24" t="str">
        <f t="shared" si="3"/>
        <v>Input Option</v>
      </c>
      <c r="D860" s="24" t="str">
        <f t="shared" si="2"/>
        <v>Reason Condom Counseling Not Done</v>
      </c>
      <c r="E860" s="24" t="s">
        <v>2394</v>
      </c>
      <c r="F860" s="24">
        <v>1</v>
      </c>
      <c r="G860" s="24" t="s">
        <v>2372</v>
      </c>
      <c r="H860" s="24"/>
      <c r="I860" s="283"/>
      <c r="J860" s="196"/>
      <c r="K860" s="196"/>
      <c r="L860" s="196"/>
      <c r="M860" s="196"/>
      <c r="N860" s="204" t="s">
        <v>405</v>
      </c>
      <c r="O860" s="196"/>
      <c r="P860" s="196"/>
      <c r="Q860" s="196"/>
      <c r="R860" s="283"/>
      <c r="S860" s="196"/>
      <c r="T860" s="283"/>
      <c r="U860" s="283"/>
      <c r="V860" s="293"/>
      <c r="W860" s="225"/>
      <c r="X860" s="283"/>
      <c r="Y860" s="283"/>
      <c r="Z860" s="283"/>
      <c r="AA860" s="283"/>
      <c r="AB860" s="283"/>
      <c r="AC860" s="283"/>
      <c r="AD860" s="283"/>
      <c r="AE860" s="283"/>
      <c r="AF860" s="283"/>
      <c r="AG860" s="285" t="s">
        <v>115</v>
      </c>
      <c r="AH860" s="358" t="s">
        <v>406</v>
      </c>
      <c r="AI860" s="294" t="s">
        <v>407</v>
      </c>
      <c r="AJ860" s="225"/>
      <c r="AK860" s="225"/>
      <c r="AL860" s="24"/>
    </row>
    <row r="861" spans="1:38" ht="12.75" customHeight="1">
      <c r="A861" s="22">
        <v>859</v>
      </c>
      <c r="B861" s="24" t="s">
        <v>2442</v>
      </c>
      <c r="C861" s="24" t="str">
        <f t="shared" si="3"/>
        <v>Data Element</v>
      </c>
      <c r="D861" s="24" t="str">
        <f t="shared" si="2"/>
        <v/>
      </c>
      <c r="E861" s="24" t="s">
        <v>2394</v>
      </c>
      <c r="F861" s="24">
        <v>1</v>
      </c>
      <c r="G861" s="24" t="s">
        <v>2372</v>
      </c>
      <c r="H861" s="24"/>
      <c r="I861" s="283"/>
      <c r="J861" s="196" t="s">
        <v>409</v>
      </c>
      <c r="K861" s="196" t="s">
        <v>2443</v>
      </c>
      <c r="L861" s="196" t="s">
        <v>2410</v>
      </c>
      <c r="M861" s="196" t="s">
        <v>111</v>
      </c>
      <c r="N861" s="196"/>
      <c r="O861" s="196"/>
      <c r="P861" s="196"/>
      <c r="Q861" s="196"/>
      <c r="R861" s="283"/>
      <c r="S861" s="196" t="s">
        <v>208</v>
      </c>
      <c r="T861" s="283"/>
      <c r="U861" s="283"/>
      <c r="V861" s="293" t="s">
        <v>115</v>
      </c>
      <c r="W861" s="225"/>
      <c r="X861" s="283"/>
      <c r="Y861" s="283"/>
      <c r="Z861" s="283"/>
      <c r="AA861" s="283"/>
      <c r="AB861" s="283"/>
      <c r="AC861" s="283"/>
      <c r="AD861" s="283"/>
      <c r="AE861" s="283"/>
      <c r="AF861" s="283"/>
      <c r="AG861" s="294" t="s">
        <v>2437</v>
      </c>
      <c r="AH861" s="358" t="s">
        <v>2411</v>
      </c>
      <c r="AI861" s="294" t="s">
        <v>2412</v>
      </c>
      <c r="AJ861" s="225"/>
      <c r="AK861" s="225"/>
      <c r="AL861" s="24"/>
    </row>
    <row r="862" spans="1:38" ht="12.75" customHeight="1">
      <c r="A862" s="22">
        <v>860</v>
      </c>
      <c r="B862" s="24" t="str">
        <f t="shared" ref="B862:B864" si="13">IF(N862="",IF(M862="Calculation",K862,J862),N862)</f>
        <v>Alcohol / substance use counseling</v>
      </c>
      <c r="C862" s="24" t="str">
        <f t="shared" si="3"/>
        <v>Data Element</v>
      </c>
      <c r="D862" s="24" t="str">
        <f t="shared" si="2"/>
        <v/>
      </c>
      <c r="E862" s="24" t="s">
        <v>2394</v>
      </c>
      <c r="F862" s="24">
        <v>1</v>
      </c>
      <c r="G862" s="24" t="s">
        <v>2372</v>
      </c>
      <c r="H862" s="24"/>
      <c r="I862" s="283"/>
      <c r="J862" s="224" t="s">
        <v>2444</v>
      </c>
      <c r="K862" s="164" t="s">
        <v>2445</v>
      </c>
      <c r="L862" s="164" t="s">
        <v>2446</v>
      </c>
      <c r="M862" s="297" t="s">
        <v>202</v>
      </c>
      <c r="N862" s="196"/>
      <c r="O862" s="164"/>
      <c r="P862" s="164"/>
      <c r="Q862" s="164"/>
      <c r="R862" s="283"/>
      <c r="S862" s="164" t="s">
        <v>113</v>
      </c>
      <c r="T862" s="283"/>
      <c r="U862" s="283"/>
      <c r="V862" s="204" t="s">
        <v>2375</v>
      </c>
      <c r="W862" s="225"/>
      <c r="X862" s="283"/>
      <c r="Y862" s="283"/>
      <c r="Z862" s="283"/>
      <c r="AA862" s="283"/>
      <c r="AB862" s="283"/>
      <c r="AC862" s="283"/>
      <c r="AD862" s="283"/>
      <c r="AE862" s="283"/>
      <c r="AF862" s="283"/>
      <c r="AG862" s="285" t="s">
        <v>2447</v>
      </c>
      <c r="AH862" s="353" t="s">
        <v>2398</v>
      </c>
      <c r="AI862" s="285" t="s">
        <v>2399</v>
      </c>
      <c r="AJ862" s="225"/>
      <c r="AK862" s="225"/>
      <c r="AL862" s="24"/>
    </row>
    <row r="863" spans="1:38" ht="12.75" customHeight="1">
      <c r="A863" s="22">
        <v>861</v>
      </c>
      <c r="B863" s="24" t="str">
        <f t="shared" si="13"/>
        <v>Done</v>
      </c>
      <c r="C863" s="24" t="str">
        <f t="shared" si="3"/>
        <v>Input Option</v>
      </c>
      <c r="D863" s="24" t="str">
        <f t="shared" si="2"/>
        <v>Alcohol / substance use counseling</v>
      </c>
      <c r="E863" s="24" t="s">
        <v>2394</v>
      </c>
      <c r="F863" s="24">
        <v>1</v>
      </c>
      <c r="G863" s="24" t="s">
        <v>2372</v>
      </c>
      <c r="H863" s="24"/>
      <c r="I863" s="283"/>
      <c r="J863" s="164"/>
      <c r="K863" s="164"/>
      <c r="L863" s="164"/>
      <c r="M863" s="164"/>
      <c r="N863" s="196" t="s">
        <v>1673</v>
      </c>
      <c r="O863" s="164"/>
      <c r="P863" s="164"/>
      <c r="Q863" s="164"/>
      <c r="R863" s="283"/>
      <c r="S863" s="164"/>
      <c r="T863" s="283"/>
      <c r="U863" s="283"/>
      <c r="V863" s="164"/>
      <c r="W863" s="225"/>
      <c r="X863" s="283"/>
      <c r="Y863" s="283"/>
      <c r="Z863" s="283"/>
      <c r="AA863" s="283"/>
      <c r="AB863" s="283"/>
      <c r="AC863" s="283"/>
      <c r="AD863" s="283"/>
      <c r="AE863" s="283"/>
      <c r="AF863" s="283"/>
      <c r="AG863" s="285" t="s">
        <v>115</v>
      </c>
      <c r="AH863" s="353" t="s">
        <v>942</v>
      </c>
      <c r="AI863" s="205" t="s">
        <v>943</v>
      </c>
      <c r="AJ863" s="225"/>
      <c r="AK863" s="225"/>
      <c r="AL863" s="24"/>
    </row>
    <row r="864" spans="1:38" ht="12.75" customHeight="1">
      <c r="A864" s="22">
        <v>862</v>
      </c>
      <c r="B864" s="24" t="str">
        <f t="shared" si="13"/>
        <v>Not done</v>
      </c>
      <c r="C864" s="24" t="str">
        <f t="shared" si="3"/>
        <v>Input Option</v>
      </c>
      <c r="D864" s="24" t="str">
        <f t="shared" si="2"/>
        <v>Alcohol / substance use counseling</v>
      </c>
      <c r="E864" s="24" t="s">
        <v>2394</v>
      </c>
      <c r="F864" s="24">
        <v>1</v>
      </c>
      <c r="G864" s="24" t="s">
        <v>2372</v>
      </c>
      <c r="H864" s="24"/>
      <c r="I864" s="283"/>
      <c r="J864" s="164"/>
      <c r="K864" s="164"/>
      <c r="L864" s="164"/>
      <c r="M864" s="164"/>
      <c r="N864" s="224" t="s">
        <v>1468</v>
      </c>
      <c r="O864" s="164"/>
      <c r="P864" s="164"/>
      <c r="Q864" s="164"/>
      <c r="R864" s="283"/>
      <c r="S864" s="164"/>
      <c r="T864" s="283"/>
      <c r="U864" s="283"/>
      <c r="V864" s="164"/>
      <c r="W864" s="225"/>
      <c r="X864" s="283"/>
      <c r="Y864" s="283"/>
      <c r="Z864" s="283"/>
      <c r="AA864" s="283"/>
      <c r="AB864" s="283"/>
      <c r="AC864" s="283"/>
      <c r="AD864" s="283"/>
      <c r="AE864" s="283"/>
      <c r="AF864" s="283"/>
      <c r="AG864" s="285" t="s">
        <v>115</v>
      </c>
      <c r="AH864" s="353" t="s">
        <v>1469</v>
      </c>
      <c r="AI864" s="205" t="s">
        <v>1470</v>
      </c>
      <c r="AJ864" s="225"/>
      <c r="AK864" s="225"/>
      <c r="AL864" s="24"/>
    </row>
    <row r="865" spans="1:38" ht="12.75" customHeight="1">
      <c r="A865" s="22">
        <v>863</v>
      </c>
      <c r="B865" s="24" t="s">
        <v>2448</v>
      </c>
      <c r="C865" s="24" t="str">
        <f t="shared" si="3"/>
        <v>Data Element</v>
      </c>
      <c r="D865" s="24" t="str">
        <f t="shared" si="2"/>
        <v/>
      </c>
      <c r="E865" s="24" t="s">
        <v>2394</v>
      </c>
      <c r="F865" s="24">
        <v>1</v>
      </c>
      <c r="G865" s="24" t="s">
        <v>2372</v>
      </c>
      <c r="H865" s="24"/>
      <c r="I865" s="283"/>
      <c r="J865" s="164" t="s">
        <v>1376</v>
      </c>
      <c r="K865" s="164" t="s">
        <v>2449</v>
      </c>
      <c r="L865" s="164" t="s">
        <v>2450</v>
      </c>
      <c r="M865" s="164" t="s">
        <v>238</v>
      </c>
      <c r="N865" s="224"/>
      <c r="O865" s="164"/>
      <c r="P865" s="164"/>
      <c r="Q865" s="164"/>
      <c r="R865" s="283"/>
      <c r="S865" s="164" t="s">
        <v>208</v>
      </c>
      <c r="T865" s="283"/>
      <c r="U865" s="283"/>
      <c r="V865" s="164" t="s">
        <v>115</v>
      </c>
      <c r="W865" s="225"/>
      <c r="X865" s="283"/>
      <c r="Y865" s="283"/>
      <c r="Z865" s="283"/>
      <c r="AA865" s="283"/>
      <c r="AB865" s="283"/>
      <c r="AC865" s="283"/>
      <c r="AD865" s="283"/>
      <c r="AE865" s="283"/>
      <c r="AF865" s="283"/>
      <c r="AG865" s="285" t="s">
        <v>2447</v>
      </c>
      <c r="AH865" s="353" t="s">
        <v>2403</v>
      </c>
      <c r="AI865" s="285" t="s">
        <v>2404</v>
      </c>
      <c r="AJ865" s="225"/>
      <c r="AK865" s="225"/>
      <c r="AL865" s="24"/>
    </row>
    <row r="866" spans="1:38" ht="12.75" customHeight="1">
      <c r="A866" s="22">
        <v>864</v>
      </c>
      <c r="B866" s="24" t="str">
        <f t="shared" ref="B866:B867" si="14">IF(N866="",IF(M866="Calculation",K866,J866),N866)</f>
        <v>Referred instead</v>
      </c>
      <c r="C866" s="24" t="str">
        <f t="shared" si="3"/>
        <v>Input Option</v>
      </c>
      <c r="D866" s="24" t="str">
        <f t="shared" si="2"/>
        <v>Reason Alcohol/Substance Abuse Counseling Not Done</v>
      </c>
      <c r="E866" s="24" t="s">
        <v>2394</v>
      </c>
      <c r="F866" s="24">
        <v>1</v>
      </c>
      <c r="G866" s="24" t="s">
        <v>2372</v>
      </c>
      <c r="H866" s="24"/>
      <c r="I866" s="283"/>
      <c r="J866" s="293"/>
      <c r="K866" s="293"/>
      <c r="L866" s="196"/>
      <c r="M866" s="196"/>
      <c r="N866" s="204" t="s">
        <v>2405</v>
      </c>
      <c r="O866" s="196"/>
      <c r="P866" s="196"/>
      <c r="Q866" s="196"/>
      <c r="R866" s="283"/>
      <c r="S866" s="293"/>
      <c r="T866" s="283"/>
      <c r="U866" s="283"/>
      <c r="V866" s="293"/>
      <c r="W866" s="225"/>
      <c r="X866" s="283"/>
      <c r="Y866" s="283"/>
      <c r="Z866" s="283"/>
      <c r="AA866" s="283"/>
      <c r="AB866" s="283"/>
      <c r="AC866" s="283"/>
      <c r="AD866" s="283"/>
      <c r="AE866" s="283"/>
      <c r="AF866" s="283"/>
      <c r="AG866" s="294" t="s">
        <v>115</v>
      </c>
      <c r="AH866" s="358" t="s">
        <v>2406</v>
      </c>
      <c r="AI866" s="294" t="s">
        <v>2407</v>
      </c>
      <c r="AJ866" s="225"/>
      <c r="AK866" s="225"/>
      <c r="AL866" s="24"/>
    </row>
    <row r="867" spans="1:38" ht="12.75" customHeight="1">
      <c r="A867" s="22">
        <v>865</v>
      </c>
      <c r="B867" s="24" t="str">
        <f t="shared" si="14"/>
        <v>Other (specify)</v>
      </c>
      <c r="C867" s="24" t="str">
        <f t="shared" si="3"/>
        <v>Input Option</v>
      </c>
      <c r="D867" s="24" t="str">
        <f t="shared" si="2"/>
        <v>Reason Alcohol/Substance Abuse Counseling Not Done</v>
      </c>
      <c r="E867" s="24" t="s">
        <v>2394</v>
      </c>
      <c r="F867" s="24">
        <v>1</v>
      </c>
      <c r="G867" s="24" t="s">
        <v>2372</v>
      </c>
      <c r="H867" s="24"/>
      <c r="I867" s="283"/>
      <c r="J867" s="293"/>
      <c r="K867" s="293"/>
      <c r="L867" s="196"/>
      <c r="M867" s="196"/>
      <c r="N867" s="204" t="s">
        <v>405</v>
      </c>
      <c r="O867" s="196"/>
      <c r="P867" s="196"/>
      <c r="Q867" s="196"/>
      <c r="R867" s="283"/>
      <c r="S867" s="293"/>
      <c r="T867" s="283"/>
      <c r="U867" s="283"/>
      <c r="V867" s="293"/>
      <c r="W867" s="225"/>
      <c r="X867" s="283"/>
      <c r="Y867" s="283"/>
      <c r="Z867" s="283"/>
      <c r="AA867" s="283"/>
      <c r="AB867" s="283"/>
      <c r="AC867" s="283"/>
      <c r="AD867" s="283"/>
      <c r="AE867" s="283"/>
      <c r="AF867" s="283"/>
      <c r="AG867" s="294" t="s">
        <v>115</v>
      </c>
      <c r="AH867" s="358" t="s">
        <v>406</v>
      </c>
      <c r="AI867" s="294" t="s">
        <v>407</v>
      </c>
      <c r="AJ867" s="225"/>
      <c r="AK867" s="225"/>
      <c r="AL867" s="24"/>
    </row>
    <row r="868" spans="1:38" ht="12.75" customHeight="1">
      <c r="A868" s="22">
        <v>866</v>
      </c>
      <c r="B868" s="24" t="s">
        <v>2451</v>
      </c>
      <c r="C868" s="24" t="str">
        <f t="shared" si="3"/>
        <v>Data Element</v>
      </c>
      <c r="D868" s="24" t="str">
        <f t="shared" si="2"/>
        <v/>
      </c>
      <c r="E868" s="24" t="s">
        <v>2394</v>
      </c>
      <c r="F868" s="24">
        <v>1</v>
      </c>
      <c r="G868" s="24" t="s">
        <v>2372</v>
      </c>
      <c r="H868" s="24"/>
      <c r="I868" s="283"/>
      <c r="J868" s="293" t="s">
        <v>409</v>
      </c>
      <c r="K868" s="293" t="s">
        <v>2452</v>
      </c>
      <c r="L868" s="196" t="s">
        <v>2410</v>
      </c>
      <c r="M868" s="196" t="s">
        <v>111</v>
      </c>
      <c r="N868" s="196"/>
      <c r="O868" s="196"/>
      <c r="P868" s="196"/>
      <c r="Q868" s="196"/>
      <c r="R868" s="283"/>
      <c r="S868" s="293" t="s">
        <v>208</v>
      </c>
      <c r="T868" s="283"/>
      <c r="U868" s="283"/>
      <c r="V868" s="293" t="s">
        <v>115</v>
      </c>
      <c r="W868" s="225"/>
      <c r="X868" s="283"/>
      <c r="Y868" s="283"/>
      <c r="Z868" s="283"/>
      <c r="AA868" s="283"/>
      <c r="AB868" s="283"/>
      <c r="AC868" s="283"/>
      <c r="AD868" s="283"/>
      <c r="AE868" s="283"/>
      <c r="AF868" s="283"/>
      <c r="AG868" s="294" t="s">
        <v>2447</v>
      </c>
      <c r="AH868" s="358" t="s">
        <v>2411</v>
      </c>
      <c r="AI868" s="294" t="s">
        <v>2412</v>
      </c>
      <c r="AJ868" s="225"/>
      <c r="AK868" s="225"/>
      <c r="AL868" s="24"/>
    </row>
    <row r="869" spans="1:38" ht="12.75" customHeight="1">
      <c r="A869" s="22">
        <v>867</v>
      </c>
      <c r="B869" s="24" t="str">
        <f t="shared" ref="B869:B871" si="15">IF(N869="",IF(M869="Calculation",K869,J869),N869)</f>
        <v>Non-pharma measures to relieve nausea and vomiting counseling</v>
      </c>
      <c r="C869" s="24" t="str">
        <f t="shared" si="3"/>
        <v>Data Element</v>
      </c>
      <c r="D869" s="24" t="str">
        <f t="shared" si="2"/>
        <v/>
      </c>
      <c r="E869" s="24" t="s">
        <v>2454</v>
      </c>
      <c r="F869" s="24">
        <v>1</v>
      </c>
      <c r="G869" s="24" t="s">
        <v>2372</v>
      </c>
      <c r="H869" s="24"/>
      <c r="I869" s="283"/>
      <c r="J869" s="234" t="s">
        <v>2453</v>
      </c>
      <c r="K869" s="204" t="s">
        <v>2455</v>
      </c>
      <c r="L869" s="204" t="s">
        <v>2456</v>
      </c>
      <c r="M869" s="234" t="s">
        <v>202</v>
      </c>
      <c r="N869" s="196"/>
      <c r="O869" s="196"/>
      <c r="P869" s="196"/>
      <c r="Q869" s="164"/>
      <c r="R869" s="283"/>
      <c r="S869" s="204" t="s">
        <v>113</v>
      </c>
      <c r="T869" s="283"/>
      <c r="U869" s="283"/>
      <c r="V869" s="204" t="s">
        <v>2375</v>
      </c>
      <c r="W869" s="225"/>
      <c r="X869" s="283"/>
      <c r="Y869" s="283"/>
      <c r="Z869" s="283"/>
      <c r="AA869" s="283"/>
      <c r="AB869" s="283"/>
      <c r="AC869" s="283"/>
      <c r="AD869" s="283"/>
      <c r="AE869" s="283"/>
      <c r="AF869" s="283"/>
      <c r="AG869" s="285" t="s">
        <v>2457</v>
      </c>
      <c r="AH869" s="353" t="s">
        <v>2398</v>
      </c>
      <c r="AI869" s="285" t="s">
        <v>2399</v>
      </c>
      <c r="AJ869" s="225"/>
      <c r="AK869" s="225"/>
      <c r="AL869" s="24"/>
    </row>
    <row r="870" spans="1:38" ht="12.75" customHeight="1">
      <c r="A870" s="22">
        <v>868</v>
      </c>
      <c r="B870" s="24" t="str">
        <f t="shared" si="15"/>
        <v>Done</v>
      </c>
      <c r="C870" s="24" t="str">
        <f t="shared" si="3"/>
        <v>Input Option</v>
      </c>
      <c r="D870" s="24" t="str">
        <f t="shared" si="2"/>
        <v>Non-pharma measures to relieve nausea and vomiting counseling</v>
      </c>
      <c r="E870" s="24" t="s">
        <v>2454</v>
      </c>
      <c r="F870" s="24">
        <v>1</v>
      </c>
      <c r="G870" s="24" t="s">
        <v>2372</v>
      </c>
      <c r="H870" s="24"/>
      <c r="I870" s="283"/>
      <c r="J870" s="234"/>
      <c r="K870" s="204"/>
      <c r="L870" s="164"/>
      <c r="M870" s="234"/>
      <c r="N870" s="196" t="s">
        <v>1673</v>
      </c>
      <c r="O870" s="196"/>
      <c r="P870" s="196"/>
      <c r="Q870" s="164"/>
      <c r="R870" s="283"/>
      <c r="S870" s="204"/>
      <c r="T870" s="283"/>
      <c r="U870" s="283"/>
      <c r="V870" s="164"/>
      <c r="W870" s="225"/>
      <c r="X870" s="283"/>
      <c r="Y870" s="283"/>
      <c r="Z870" s="283"/>
      <c r="AA870" s="283"/>
      <c r="AB870" s="283"/>
      <c r="AC870" s="283"/>
      <c r="AD870" s="283"/>
      <c r="AE870" s="283"/>
      <c r="AF870" s="283"/>
      <c r="AG870" s="285" t="s">
        <v>115</v>
      </c>
      <c r="AH870" s="353" t="s">
        <v>942</v>
      </c>
      <c r="AI870" s="205" t="s">
        <v>943</v>
      </c>
      <c r="AJ870" s="225"/>
      <c r="AK870" s="225"/>
      <c r="AL870" s="24"/>
    </row>
    <row r="871" spans="1:38" ht="12.75" customHeight="1">
      <c r="A871" s="22">
        <v>869</v>
      </c>
      <c r="B871" s="24" t="str">
        <f t="shared" si="15"/>
        <v>Not done</v>
      </c>
      <c r="C871" s="24" t="str">
        <f t="shared" si="3"/>
        <v>Input Option</v>
      </c>
      <c r="D871" s="24" t="str">
        <f t="shared" si="2"/>
        <v>Non-pharma measures to relieve nausea and vomiting counseling</v>
      </c>
      <c r="E871" s="24" t="s">
        <v>2454</v>
      </c>
      <c r="F871" s="24">
        <v>1</v>
      </c>
      <c r="G871" s="24" t="s">
        <v>2372</v>
      </c>
      <c r="H871" s="24"/>
      <c r="I871" s="283"/>
      <c r="J871" s="234"/>
      <c r="K871" s="204"/>
      <c r="L871" s="164"/>
      <c r="M871" s="234"/>
      <c r="N871" s="224" t="s">
        <v>1468</v>
      </c>
      <c r="O871" s="196"/>
      <c r="P871" s="196"/>
      <c r="Q871" s="164"/>
      <c r="R871" s="283"/>
      <c r="S871" s="204"/>
      <c r="T871" s="283"/>
      <c r="U871" s="283"/>
      <c r="V871" s="164"/>
      <c r="W871" s="225"/>
      <c r="X871" s="283"/>
      <c r="Y871" s="283"/>
      <c r="Z871" s="283"/>
      <c r="AA871" s="283"/>
      <c r="AB871" s="283"/>
      <c r="AC871" s="283"/>
      <c r="AD871" s="283"/>
      <c r="AE871" s="283"/>
      <c r="AF871" s="283"/>
      <c r="AG871" s="285" t="s">
        <v>115</v>
      </c>
      <c r="AH871" s="353" t="s">
        <v>1469</v>
      </c>
      <c r="AI871" s="205" t="s">
        <v>1470</v>
      </c>
      <c r="AJ871" s="225"/>
      <c r="AK871" s="225"/>
      <c r="AL871" s="24"/>
    </row>
    <row r="872" spans="1:38" ht="12.75" customHeight="1">
      <c r="A872" s="22">
        <v>870</v>
      </c>
      <c r="B872" s="24" t="s">
        <v>2458</v>
      </c>
      <c r="C872" s="24" t="str">
        <f t="shared" si="3"/>
        <v>Data Element</v>
      </c>
      <c r="D872" s="24" t="str">
        <f t="shared" si="2"/>
        <v/>
      </c>
      <c r="E872" s="24" t="s">
        <v>2454</v>
      </c>
      <c r="F872" s="24">
        <v>1</v>
      </c>
      <c r="G872" s="24" t="s">
        <v>2372</v>
      </c>
      <c r="H872" s="24"/>
      <c r="I872" s="283"/>
      <c r="J872" s="234" t="s">
        <v>1376</v>
      </c>
      <c r="K872" s="204" t="s">
        <v>2459</v>
      </c>
      <c r="L872" s="164" t="s">
        <v>2460</v>
      </c>
      <c r="M872" s="234" t="s">
        <v>202</v>
      </c>
      <c r="N872" s="224"/>
      <c r="O872" s="196"/>
      <c r="P872" s="196"/>
      <c r="Q872" s="164"/>
      <c r="R872" s="283"/>
      <c r="S872" s="204" t="s">
        <v>208</v>
      </c>
      <c r="T872" s="283"/>
      <c r="U872" s="283"/>
      <c r="V872" s="164" t="s">
        <v>115</v>
      </c>
      <c r="W872" s="225"/>
      <c r="X872" s="283"/>
      <c r="Y872" s="283"/>
      <c r="Z872" s="283"/>
      <c r="AA872" s="283"/>
      <c r="AB872" s="283"/>
      <c r="AC872" s="283"/>
      <c r="AD872" s="283"/>
      <c r="AE872" s="283"/>
      <c r="AF872" s="283"/>
      <c r="AG872" s="285" t="s">
        <v>2457</v>
      </c>
      <c r="AH872" s="353" t="s">
        <v>2403</v>
      </c>
      <c r="AI872" s="285" t="s">
        <v>2404</v>
      </c>
      <c r="AJ872" s="225"/>
      <c r="AK872" s="225"/>
      <c r="AL872" s="24"/>
    </row>
    <row r="873" spans="1:38" ht="12.75" customHeight="1">
      <c r="A873" s="22">
        <v>871</v>
      </c>
      <c r="B873" s="24" t="str">
        <f t="shared" ref="B873:B874" si="16">IF(N873="",IF(M873="Calculation",K873,J873),N873)</f>
        <v>Referred instead</v>
      </c>
      <c r="C873" s="24" t="str">
        <f t="shared" si="3"/>
        <v>Input Option</v>
      </c>
      <c r="D873" s="24" t="str">
        <f t="shared" si="2"/>
        <v>Reason Non-pharma measures Not Done</v>
      </c>
      <c r="E873" s="24" t="s">
        <v>2454</v>
      </c>
      <c r="F873" s="24">
        <v>1</v>
      </c>
      <c r="G873" s="24" t="s">
        <v>2372</v>
      </c>
      <c r="H873" s="24"/>
      <c r="I873" s="283"/>
      <c r="J873" s="234"/>
      <c r="K873" s="204"/>
      <c r="L873" s="164"/>
      <c r="M873" s="234"/>
      <c r="N873" s="204" t="s">
        <v>2405</v>
      </c>
      <c r="O873" s="196"/>
      <c r="P873" s="196"/>
      <c r="Q873" s="164"/>
      <c r="R873" s="283"/>
      <c r="S873" s="204"/>
      <c r="T873" s="283"/>
      <c r="U873" s="283"/>
      <c r="V873" s="293"/>
      <c r="W873" s="225"/>
      <c r="X873" s="283"/>
      <c r="Y873" s="283"/>
      <c r="Z873" s="283"/>
      <c r="AA873" s="283"/>
      <c r="AB873" s="283"/>
      <c r="AC873" s="283"/>
      <c r="AD873" s="283"/>
      <c r="AE873" s="283"/>
      <c r="AF873" s="283"/>
      <c r="AG873" s="294" t="s">
        <v>115</v>
      </c>
      <c r="AH873" s="358" t="s">
        <v>2406</v>
      </c>
      <c r="AI873" s="294" t="s">
        <v>2407</v>
      </c>
      <c r="AJ873" s="225"/>
      <c r="AK873" s="225"/>
      <c r="AL873" s="24"/>
    </row>
    <row r="874" spans="1:38" ht="12.75" customHeight="1">
      <c r="A874" s="22">
        <v>872</v>
      </c>
      <c r="B874" s="24" t="str">
        <f t="shared" si="16"/>
        <v>Other (specify)</v>
      </c>
      <c r="C874" s="24" t="str">
        <f t="shared" si="3"/>
        <v>Input Option</v>
      </c>
      <c r="D874" s="24" t="str">
        <f t="shared" si="2"/>
        <v>Reason Non-pharma measures Not Done</v>
      </c>
      <c r="E874" s="24" t="s">
        <v>2454</v>
      </c>
      <c r="F874" s="24">
        <v>1</v>
      </c>
      <c r="G874" s="24" t="s">
        <v>2372</v>
      </c>
      <c r="H874" s="24"/>
      <c r="I874" s="283"/>
      <c r="J874" s="234"/>
      <c r="K874" s="204"/>
      <c r="L874" s="164"/>
      <c r="M874" s="234"/>
      <c r="N874" s="204" t="s">
        <v>405</v>
      </c>
      <c r="O874" s="196"/>
      <c r="P874" s="196"/>
      <c r="Q874" s="164"/>
      <c r="R874" s="283"/>
      <c r="S874" s="204"/>
      <c r="T874" s="283"/>
      <c r="U874" s="283"/>
      <c r="V874" s="293"/>
      <c r="W874" s="225"/>
      <c r="X874" s="283"/>
      <c r="Y874" s="283"/>
      <c r="Z874" s="283"/>
      <c r="AA874" s="283"/>
      <c r="AB874" s="283"/>
      <c r="AC874" s="283"/>
      <c r="AD874" s="283"/>
      <c r="AE874" s="283"/>
      <c r="AF874" s="283"/>
      <c r="AG874" s="294" t="s">
        <v>115</v>
      </c>
      <c r="AH874" s="358" t="s">
        <v>406</v>
      </c>
      <c r="AI874" s="294" t="s">
        <v>407</v>
      </c>
      <c r="AJ874" s="225"/>
      <c r="AK874" s="225"/>
      <c r="AL874" s="24"/>
    </row>
    <row r="875" spans="1:38" ht="12.75" customHeight="1">
      <c r="A875" s="22">
        <v>873</v>
      </c>
      <c r="B875" s="24" t="s">
        <v>2461</v>
      </c>
      <c r="C875" s="24" t="str">
        <f t="shared" si="3"/>
        <v>Data Element</v>
      </c>
      <c r="D875" s="24" t="str">
        <f t="shared" si="2"/>
        <v/>
      </c>
      <c r="E875" s="24" t="s">
        <v>2454</v>
      </c>
      <c r="F875" s="24">
        <v>1</v>
      </c>
      <c r="G875" s="24" t="s">
        <v>2372</v>
      </c>
      <c r="H875" s="24"/>
      <c r="I875" s="283"/>
      <c r="J875" s="234" t="s">
        <v>409</v>
      </c>
      <c r="K875" s="204" t="s">
        <v>2462</v>
      </c>
      <c r="L875" s="164" t="s">
        <v>2410</v>
      </c>
      <c r="M875" s="234" t="s">
        <v>111</v>
      </c>
      <c r="N875" s="196"/>
      <c r="O875" s="196"/>
      <c r="P875" s="196"/>
      <c r="Q875" s="164"/>
      <c r="R875" s="283"/>
      <c r="S875" s="204" t="s">
        <v>208</v>
      </c>
      <c r="T875" s="283"/>
      <c r="U875" s="283"/>
      <c r="V875" s="293" t="s">
        <v>115</v>
      </c>
      <c r="W875" s="225"/>
      <c r="X875" s="283"/>
      <c r="Y875" s="283"/>
      <c r="Z875" s="283"/>
      <c r="AA875" s="283"/>
      <c r="AB875" s="283"/>
      <c r="AC875" s="283"/>
      <c r="AD875" s="283"/>
      <c r="AE875" s="283"/>
      <c r="AF875" s="283"/>
      <c r="AG875" s="294" t="s">
        <v>2457</v>
      </c>
      <c r="AH875" s="358" t="s">
        <v>2411</v>
      </c>
      <c r="AI875" s="294" t="s">
        <v>2412</v>
      </c>
      <c r="AJ875" s="225"/>
      <c r="AK875" s="225"/>
      <c r="AL875" s="24"/>
    </row>
    <row r="876" spans="1:38" ht="12.75" customHeight="1">
      <c r="A876" s="22">
        <v>874</v>
      </c>
      <c r="B876" s="24" t="str">
        <f t="shared" ref="B876:B878" si="17">IF(N876="",IF(M876="Calculation",K876,J876),N876)</f>
        <v>Pharmacological treatments for nausea and vomiting counseling</v>
      </c>
      <c r="C876" s="24" t="str">
        <f t="shared" si="3"/>
        <v>Data Element</v>
      </c>
      <c r="D876" s="24" t="str">
        <f t="shared" si="2"/>
        <v/>
      </c>
      <c r="E876" s="24" t="s">
        <v>2454</v>
      </c>
      <c r="F876" s="24">
        <v>1</v>
      </c>
      <c r="G876" s="24" t="s">
        <v>2372</v>
      </c>
      <c r="H876" s="24"/>
      <c r="I876" s="283"/>
      <c r="J876" s="234" t="s">
        <v>2463</v>
      </c>
      <c r="K876" s="234" t="s">
        <v>2464</v>
      </c>
      <c r="L876" s="204" t="s">
        <v>2465</v>
      </c>
      <c r="M876" s="234" t="s">
        <v>202</v>
      </c>
      <c r="N876" s="196"/>
      <c r="O876" s="196"/>
      <c r="P876" s="196"/>
      <c r="Q876" s="164"/>
      <c r="R876" s="283"/>
      <c r="S876" s="234" t="s">
        <v>208</v>
      </c>
      <c r="T876" s="283"/>
      <c r="U876" s="283"/>
      <c r="V876" s="304" t="s">
        <v>2375</v>
      </c>
      <c r="W876" s="225"/>
      <c r="X876" s="283"/>
      <c r="Y876" s="283"/>
      <c r="Z876" s="283"/>
      <c r="AA876" s="283"/>
      <c r="AB876" s="283"/>
      <c r="AC876" s="283"/>
      <c r="AD876" s="283"/>
      <c r="AE876" s="283"/>
      <c r="AF876" s="283"/>
      <c r="AG876" s="285" t="s">
        <v>2466</v>
      </c>
      <c r="AH876" s="353" t="s">
        <v>2398</v>
      </c>
      <c r="AI876" s="285" t="s">
        <v>2399</v>
      </c>
      <c r="AJ876" s="225"/>
      <c r="AK876" s="225"/>
      <c r="AL876" s="24"/>
    </row>
    <row r="877" spans="1:38" ht="12.75" customHeight="1">
      <c r="A877" s="22">
        <v>875</v>
      </c>
      <c r="B877" s="24" t="str">
        <f t="shared" si="17"/>
        <v>Done</v>
      </c>
      <c r="C877" s="24" t="str">
        <f t="shared" si="3"/>
        <v>Input Option</v>
      </c>
      <c r="D877" s="24" t="str">
        <f t="shared" si="2"/>
        <v>Pharmacological treatments for nausea and vomiting counseling</v>
      </c>
      <c r="E877" s="24" t="s">
        <v>2454</v>
      </c>
      <c r="F877" s="24">
        <v>1</v>
      </c>
      <c r="G877" s="24" t="s">
        <v>2372</v>
      </c>
      <c r="H877" s="24"/>
      <c r="I877" s="283"/>
      <c r="J877" s="234"/>
      <c r="K877" s="234"/>
      <c r="L877" s="164"/>
      <c r="M877" s="234"/>
      <c r="N877" s="196" t="s">
        <v>1673</v>
      </c>
      <c r="O877" s="196"/>
      <c r="P877" s="196"/>
      <c r="Q877" s="164"/>
      <c r="R877" s="283"/>
      <c r="S877" s="204"/>
      <c r="T877" s="283"/>
      <c r="U877" s="283"/>
      <c r="V877" s="293"/>
      <c r="W877" s="225"/>
      <c r="X877" s="283"/>
      <c r="Y877" s="283"/>
      <c r="Z877" s="283"/>
      <c r="AA877" s="283"/>
      <c r="AB877" s="283"/>
      <c r="AC877" s="283"/>
      <c r="AD877" s="283"/>
      <c r="AE877" s="283"/>
      <c r="AF877" s="283"/>
      <c r="AG877" s="285" t="s">
        <v>115</v>
      </c>
      <c r="AH877" s="353" t="s">
        <v>942</v>
      </c>
      <c r="AI877" s="205" t="s">
        <v>943</v>
      </c>
      <c r="AJ877" s="225"/>
      <c r="AK877" s="225"/>
      <c r="AL877" s="24"/>
    </row>
    <row r="878" spans="1:38" ht="12.75" customHeight="1">
      <c r="A878" s="22">
        <v>876</v>
      </c>
      <c r="B878" s="24" t="str">
        <f t="shared" si="17"/>
        <v>Not done</v>
      </c>
      <c r="C878" s="24" t="str">
        <f t="shared" si="3"/>
        <v>Input Option</v>
      </c>
      <c r="D878" s="24" t="str">
        <f t="shared" si="2"/>
        <v>Pharmacological treatments for nausea and vomiting counseling</v>
      </c>
      <c r="E878" s="24" t="s">
        <v>2454</v>
      </c>
      <c r="F878" s="24">
        <v>1</v>
      </c>
      <c r="G878" s="24" t="s">
        <v>2372</v>
      </c>
      <c r="H878" s="24"/>
      <c r="I878" s="283"/>
      <c r="J878" s="234"/>
      <c r="K878" s="234"/>
      <c r="L878" s="164"/>
      <c r="M878" s="234"/>
      <c r="N878" s="196" t="s">
        <v>1468</v>
      </c>
      <c r="O878" s="196"/>
      <c r="P878" s="196"/>
      <c r="Q878" s="164"/>
      <c r="R878" s="283"/>
      <c r="S878" s="204"/>
      <c r="T878" s="283"/>
      <c r="U878" s="283"/>
      <c r="V878" s="293"/>
      <c r="W878" s="225"/>
      <c r="X878" s="283"/>
      <c r="Y878" s="283"/>
      <c r="Z878" s="283"/>
      <c r="AA878" s="283"/>
      <c r="AB878" s="283"/>
      <c r="AC878" s="283"/>
      <c r="AD878" s="283"/>
      <c r="AE878" s="283"/>
      <c r="AF878" s="283"/>
      <c r="AG878" s="285" t="s">
        <v>115</v>
      </c>
      <c r="AH878" s="353" t="s">
        <v>1469</v>
      </c>
      <c r="AI878" s="205" t="s">
        <v>1470</v>
      </c>
      <c r="AJ878" s="225"/>
      <c r="AK878" s="225"/>
      <c r="AL878" s="24"/>
    </row>
    <row r="879" spans="1:38" ht="12.75" customHeight="1">
      <c r="A879" s="22">
        <v>877</v>
      </c>
      <c r="B879" s="24" t="s">
        <v>2468</v>
      </c>
      <c r="C879" s="24" t="str">
        <f t="shared" si="3"/>
        <v>Data Element</v>
      </c>
      <c r="D879" s="24" t="str">
        <f t="shared" si="2"/>
        <v/>
      </c>
      <c r="E879" s="24" t="s">
        <v>2454</v>
      </c>
      <c r="F879" s="24">
        <v>1</v>
      </c>
      <c r="G879" s="24" t="s">
        <v>2372</v>
      </c>
      <c r="H879" s="24"/>
      <c r="I879" s="283"/>
      <c r="J879" s="234" t="s">
        <v>1376</v>
      </c>
      <c r="K879" s="234" t="s">
        <v>2469</v>
      </c>
      <c r="L879" s="164" t="s">
        <v>2470</v>
      </c>
      <c r="M879" s="234" t="s">
        <v>202</v>
      </c>
      <c r="N879" s="224"/>
      <c r="O879" s="196"/>
      <c r="P879" s="196"/>
      <c r="Q879" s="164"/>
      <c r="R879" s="283"/>
      <c r="S879" s="204" t="s">
        <v>208</v>
      </c>
      <c r="T879" s="283"/>
      <c r="U879" s="283"/>
      <c r="V879" s="293" t="s">
        <v>115</v>
      </c>
      <c r="W879" s="225"/>
      <c r="X879" s="283"/>
      <c r="Y879" s="283"/>
      <c r="Z879" s="283"/>
      <c r="AA879" s="283"/>
      <c r="AB879" s="283"/>
      <c r="AC879" s="283"/>
      <c r="AD879" s="283"/>
      <c r="AE879" s="283"/>
      <c r="AF879" s="283"/>
      <c r="AG879" s="285" t="s">
        <v>2466</v>
      </c>
      <c r="AH879" s="353" t="s">
        <v>2403</v>
      </c>
      <c r="AI879" s="285" t="s">
        <v>2404</v>
      </c>
      <c r="AJ879" s="225"/>
      <c r="AK879" s="225"/>
      <c r="AL879" s="24"/>
    </row>
    <row r="880" spans="1:38" ht="12.75" customHeight="1">
      <c r="A880" s="22">
        <v>878</v>
      </c>
      <c r="B880" s="24" t="str">
        <f t="shared" ref="B880:B881" si="18">IF(N880="",IF(M880="Calculation",K880,J880),N880)</f>
        <v>Referred instead</v>
      </c>
      <c r="C880" s="24" t="str">
        <f t="shared" si="3"/>
        <v>Input Option</v>
      </c>
      <c r="D880" s="24" t="str">
        <f t="shared" si="2"/>
        <v>Reason Pharmacological treatments for nausea and vomiting counseling not done</v>
      </c>
      <c r="E880" s="24" t="s">
        <v>2454</v>
      </c>
      <c r="F880" s="24">
        <v>1</v>
      </c>
      <c r="G880" s="24" t="s">
        <v>2372</v>
      </c>
      <c r="H880" s="24"/>
      <c r="I880" s="283"/>
      <c r="J880" s="234"/>
      <c r="K880" s="234"/>
      <c r="L880" s="164"/>
      <c r="M880" s="234"/>
      <c r="N880" s="204" t="s">
        <v>2405</v>
      </c>
      <c r="O880" s="196"/>
      <c r="P880" s="196"/>
      <c r="Q880" s="196"/>
      <c r="R880" s="283"/>
      <c r="S880" s="204"/>
      <c r="T880" s="283"/>
      <c r="U880" s="283"/>
      <c r="V880" s="293"/>
      <c r="W880" s="225"/>
      <c r="X880" s="283"/>
      <c r="Y880" s="283"/>
      <c r="Z880" s="283"/>
      <c r="AA880" s="283"/>
      <c r="AB880" s="283"/>
      <c r="AC880" s="283"/>
      <c r="AD880" s="283"/>
      <c r="AE880" s="283"/>
      <c r="AF880" s="283"/>
      <c r="AG880" s="294" t="s">
        <v>115</v>
      </c>
      <c r="AH880" s="358" t="s">
        <v>2406</v>
      </c>
      <c r="AI880" s="294" t="s">
        <v>2407</v>
      </c>
      <c r="AJ880" s="225"/>
      <c r="AK880" s="225"/>
      <c r="AL880" s="24"/>
    </row>
    <row r="881" spans="1:38" ht="12.75" customHeight="1">
      <c r="A881" s="22">
        <v>879</v>
      </c>
      <c r="B881" s="24" t="str">
        <f t="shared" si="18"/>
        <v>Other (specify)</v>
      </c>
      <c r="C881" s="24" t="str">
        <f t="shared" si="3"/>
        <v>Input Option</v>
      </c>
      <c r="D881" s="24" t="str">
        <f t="shared" si="2"/>
        <v>Reason Pharmacological treatments for nausea and vomiting counseling not done</v>
      </c>
      <c r="E881" s="24" t="s">
        <v>2454</v>
      </c>
      <c r="F881" s="24">
        <v>1</v>
      </c>
      <c r="G881" s="24" t="s">
        <v>2372</v>
      </c>
      <c r="H881" s="24"/>
      <c r="I881" s="283"/>
      <c r="J881" s="234"/>
      <c r="K881" s="234"/>
      <c r="L881" s="164"/>
      <c r="M881" s="234"/>
      <c r="N881" s="204" t="s">
        <v>405</v>
      </c>
      <c r="O881" s="196"/>
      <c r="P881" s="196"/>
      <c r="Q881" s="196"/>
      <c r="R881" s="283"/>
      <c r="S881" s="204"/>
      <c r="T881" s="283"/>
      <c r="U881" s="283"/>
      <c r="V881" s="293"/>
      <c r="W881" s="225"/>
      <c r="X881" s="283"/>
      <c r="Y881" s="283"/>
      <c r="Z881" s="283"/>
      <c r="AA881" s="283"/>
      <c r="AB881" s="283"/>
      <c r="AC881" s="283"/>
      <c r="AD881" s="283"/>
      <c r="AE881" s="283"/>
      <c r="AF881" s="283"/>
      <c r="AG881" s="294" t="s">
        <v>115</v>
      </c>
      <c r="AH881" s="358" t="s">
        <v>406</v>
      </c>
      <c r="AI881" s="294" t="s">
        <v>407</v>
      </c>
      <c r="AJ881" s="225"/>
      <c r="AK881" s="225"/>
      <c r="AL881" s="24"/>
    </row>
    <row r="882" spans="1:38" ht="12.75" customHeight="1">
      <c r="A882" s="22">
        <v>880</v>
      </c>
      <c r="B882" s="24" t="s">
        <v>2471</v>
      </c>
      <c r="C882" s="24" t="str">
        <f t="shared" si="3"/>
        <v>Data Element</v>
      </c>
      <c r="D882" s="24" t="str">
        <f t="shared" si="2"/>
        <v/>
      </c>
      <c r="E882" s="24" t="s">
        <v>2454</v>
      </c>
      <c r="F882" s="24">
        <v>1</v>
      </c>
      <c r="G882" s="24" t="s">
        <v>2372</v>
      </c>
      <c r="H882" s="24"/>
      <c r="I882" s="283"/>
      <c r="J882" s="234" t="s">
        <v>409</v>
      </c>
      <c r="K882" s="234" t="s">
        <v>2472</v>
      </c>
      <c r="L882" s="164" t="s">
        <v>2410</v>
      </c>
      <c r="M882" s="234" t="s">
        <v>111</v>
      </c>
      <c r="N882" s="196"/>
      <c r="O882" s="196"/>
      <c r="P882" s="196"/>
      <c r="Q882" s="164"/>
      <c r="R882" s="283"/>
      <c r="S882" s="204" t="s">
        <v>208</v>
      </c>
      <c r="T882" s="283"/>
      <c r="U882" s="283"/>
      <c r="V882" s="293" t="s">
        <v>115</v>
      </c>
      <c r="W882" s="225"/>
      <c r="X882" s="283"/>
      <c r="Y882" s="283"/>
      <c r="Z882" s="283"/>
      <c r="AA882" s="283"/>
      <c r="AB882" s="283"/>
      <c r="AC882" s="283"/>
      <c r="AD882" s="283"/>
      <c r="AE882" s="283"/>
      <c r="AF882" s="283"/>
      <c r="AG882" s="294" t="s">
        <v>2466</v>
      </c>
      <c r="AH882" s="358" t="s">
        <v>2411</v>
      </c>
      <c r="AI882" s="294" t="s">
        <v>2412</v>
      </c>
      <c r="AJ882" s="225"/>
      <c r="AK882" s="225"/>
      <c r="AL882" s="24"/>
    </row>
    <row r="883" spans="1:38" ht="12.75" customHeight="1">
      <c r="A883" s="22">
        <v>881</v>
      </c>
      <c r="B883" s="24" t="str">
        <f t="shared" ref="B883:B885" si="19">IF(N883="",IF(M883="Calculation",K883,J883),N883)</f>
        <v>Diet and lifestyle changes to prevent and relieve heartburn counseling</v>
      </c>
      <c r="C883" s="24" t="str">
        <f t="shared" si="3"/>
        <v>Data Element</v>
      </c>
      <c r="D883" s="24" t="str">
        <f t="shared" si="2"/>
        <v/>
      </c>
      <c r="E883" s="24" t="s">
        <v>2454</v>
      </c>
      <c r="F883" s="24">
        <v>1</v>
      </c>
      <c r="G883" s="24" t="s">
        <v>2372</v>
      </c>
      <c r="H883" s="24"/>
      <c r="I883" s="283"/>
      <c r="J883" s="234" t="s">
        <v>2474</v>
      </c>
      <c r="K883" s="234" t="s">
        <v>2475</v>
      </c>
      <c r="L883" s="204" t="s">
        <v>2476</v>
      </c>
      <c r="M883" s="234" t="s">
        <v>202</v>
      </c>
      <c r="N883" s="196"/>
      <c r="O883" s="196"/>
      <c r="P883" s="196"/>
      <c r="Q883" s="164"/>
      <c r="R883" s="283"/>
      <c r="S883" s="204" t="s">
        <v>113</v>
      </c>
      <c r="T883" s="283"/>
      <c r="U883" s="283"/>
      <c r="V883" s="304" t="s">
        <v>2375</v>
      </c>
      <c r="W883" s="225"/>
      <c r="X883" s="283"/>
      <c r="Y883" s="283"/>
      <c r="Z883" s="283"/>
      <c r="AA883" s="283"/>
      <c r="AB883" s="283"/>
      <c r="AC883" s="283"/>
      <c r="AD883" s="283"/>
      <c r="AE883" s="283"/>
      <c r="AF883" s="283"/>
      <c r="AG883" s="285" t="s">
        <v>2477</v>
      </c>
      <c r="AH883" s="353" t="s">
        <v>2398</v>
      </c>
      <c r="AI883" s="285" t="s">
        <v>2399</v>
      </c>
      <c r="AJ883" s="225"/>
      <c r="AK883" s="225"/>
      <c r="AL883" s="24"/>
    </row>
    <row r="884" spans="1:38" ht="12.75" customHeight="1">
      <c r="A884" s="22">
        <v>882</v>
      </c>
      <c r="B884" s="24" t="str">
        <f t="shared" si="19"/>
        <v>Done</v>
      </c>
      <c r="C884" s="24" t="str">
        <f t="shared" si="3"/>
        <v>Input Option</v>
      </c>
      <c r="D884" s="24" t="str">
        <f t="shared" si="2"/>
        <v>Diet and lifestyle changes to prevent and relieve heartburn counseling</v>
      </c>
      <c r="E884" s="24" t="s">
        <v>2454</v>
      </c>
      <c r="F884" s="24">
        <v>1</v>
      </c>
      <c r="G884" s="24" t="s">
        <v>2372</v>
      </c>
      <c r="H884" s="24"/>
      <c r="I884" s="283"/>
      <c r="J884" s="234"/>
      <c r="K884" s="234"/>
      <c r="L884" s="164"/>
      <c r="M884" s="234"/>
      <c r="N884" s="196" t="s">
        <v>1673</v>
      </c>
      <c r="O884" s="196"/>
      <c r="P884" s="196"/>
      <c r="Q884" s="164"/>
      <c r="R884" s="283"/>
      <c r="S884" s="204"/>
      <c r="T884" s="283"/>
      <c r="U884" s="283"/>
      <c r="V884" s="293"/>
      <c r="W884" s="225"/>
      <c r="X884" s="283"/>
      <c r="Y884" s="283"/>
      <c r="Z884" s="283"/>
      <c r="AA884" s="283"/>
      <c r="AB884" s="283"/>
      <c r="AC884" s="283"/>
      <c r="AD884" s="283"/>
      <c r="AE884" s="283"/>
      <c r="AF884" s="283"/>
      <c r="AG884" s="285" t="s">
        <v>115</v>
      </c>
      <c r="AH884" s="353" t="s">
        <v>942</v>
      </c>
      <c r="AI884" s="205" t="s">
        <v>943</v>
      </c>
      <c r="AJ884" s="225"/>
      <c r="AK884" s="225"/>
      <c r="AL884" s="24"/>
    </row>
    <row r="885" spans="1:38" ht="12.75" customHeight="1">
      <c r="A885" s="22">
        <v>883</v>
      </c>
      <c r="B885" s="24" t="str">
        <f t="shared" si="19"/>
        <v>Not done</v>
      </c>
      <c r="C885" s="24" t="str">
        <f t="shared" si="3"/>
        <v>Input Option</v>
      </c>
      <c r="D885" s="24" t="str">
        <f t="shared" si="2"/>
        <v>Diet and lifestyle changes to prevent and relieve heartburn counseling</v>
      </c>
      <c r="E885" s="24" t="s">
        <v>2454</v>
      </c>
      <c r="F885" s="24">
        <v>1</v>
      </c>
      <c r="G885" s="24" t="s">
        <v>2372</v>
      </c>
      <c r="H885" s="24"/>
      <c r="I885" s="283"/>
      <c r="J885" s="234"/>
      <c r="K885" s="234"/>
      <c r="L885" s="164"/>
      <c r="M885" s="234"/>
      <c r="N885" s="224" t="s">
        <v>1468</v>
      </c>
      <c r="O885" s="196"/>
      <c r="P885" s="196"/>
      <c r="Q885" s="164"/>
      <c r="R885" s="283"/>
      <c r="S885" s="204"/>
      <c r="T885" s="283"/>
      <c r="U885" s="283"/>
      <c r="V885" s="293"/>
      <c r="W885" s="225"/>
      <c r="X885" s="283"/>
      <c r="Y885" s="283"/>
      <c r="Z885" s="283"/>
      <c r="AA885" s="283"/>
      <c r="AB885" s="283"/>
      <c r="AC885" s="283"/>
      <c r="AD885" s="283"/>
      <c r="AE885" s="283"/>
      <c r="AF885" s="283"/>
      <c r="AG885" s="285" t="s">
        <v>115</v>
      </c>
      <c r="AH885" s="353" t="s">
        <v>1469</v>
      </c>
      <c r="AI885" s="205" t="s">
        <v>1470</v>
      </c>
      <c r="AJ885" s="225"/>
      <c r="AK885" s="225"/>
      <c r="AL885" s="24"/>
    </row>
    <row r="886" spans="1:38" ht="12.75" customHeight="1">
      <c r="A886" s="22">
        <v>884</v>
      </c>
      <c r="B886" s="24" t="s">
        <v>2479</v>
      </c>
      <c r="C886" s="24" t="str">
        <f t="shared" si="3"/>
        <v>Data Element</v>
      </c>
      <c r="D886" s="24" t="str">
        <f t="shared" si="2"/>
        <v/>
      </c>
      <c r="E886" s="24" t="s">
        <v>2454</v>
      </c>
      <c r="F886" s="24">
        <v>1</v>
      </c>
      <c r="G886" s="24" t="s">
        <v>2372</v>
      </c>
      <c r="H886" s="24"/>
      <c r="I886" s="283"/>
      <c r="J886" s="234" t="s">
        <v>1376</v>
      </c>
      <c r="K886" s="234" t="s">
        <v>2480</v>
      </c>
      <c r="L886" s="164" t="s">
        <v>2481</v>
      </c>
      <c r="M886" s="234" t="s">
        <v>202</v>
      </c>
      <c r="N886" s="224"/>
      <c r="O886" s="196"/>
      <c r="P886" s="196"/>
      <c r="Q886" s="164"/>
      <c r="R886" s="283"/>
      <c r="S886" s="204" t="s">
        <v>208</v>
      </c>
      <c r="T886" s="283"/>
      <c r="U886" s="283"/>
      <c r="V886" s="293" t="s">
        <v>115</v>
      </c>
      <c r="W886" s="225"/>
      <c r="X886" s="283"/>
      <c r="Y886" s="283"/>
      <c r="Z886" s="283"/>
      <c r="AA886" s="283"/>
      <c r="AB886" s="283"/>
      <c r="AC886" s="283"/>
      <c r="AD886" s="283"/>
      <c r="AE886" s="283"/>
      <c r="AF886" s="283"/>
      <c r="AG886" s="285" t="s">
        <v>2477</v>
      </c>
      <c r="AH886" s="353" t="s">
        <v>2403</v>
      </c>
      <c r="AI886" s="285" t="s">
        <v>2404</v>
      </c>
      <c r="AJ886" s="225"/>
      <c r="AK886" s="225"/>
      <c r="AL886" s="24"/>
    </row>
    <row r="887" spans="1:38" ht="12.75" customHeight="1">
      <c r="A887" s="22">
        <v>885</v>
      </c>
      <c r="B887" s="24" t="str">
        <f t="shared" ref="B887:B888" si="20">IF(N887="",IF(M887="Calculation",K887,J887),N887)</f>
        <v>Referred instead</v>
      </c>
      <c r="C887" s="24" t="str">
        <f t="shared" si="3"/>
        <v>Input Option</v>
      </c>
      <c r="D887" s="24" t="str">
        <f t="shared" si="2"/>
        <v>Reason Diet and lifestyle changes to prevent and relieve heartburn counseling not done</v>
      </c>
      <c r="E887" s="24" t="s">
        <v>2454</v>
      </c>
      <c r="F887" s="24">
        <v>1</v>
      </c>
      <c r="G887" s="24" t="s">
        <v>2372</v>
      </c>
      <c r="H887" s="24"/>
      <c r="I887" s="283"/>
      <c r="J887" s="234"/>
      <c r="K887" s="234"/>
      <c r="L887" s="164"/>
      <c r="M887" s="234"/>
      <c r="N887" s="204" t="s">
        <v>2405</v>
      </c>
      <c r="O887" s="196"/>
      <c r="P887" s="196"/>
      <c r="Q887" s="164"/>
      <c r="R887" s="283"/>
      <c r="S887" s="204"/>
      <c r="T887" s="283"/>
      <c r="U887" s="283"/>
      <c r="V887" s="293"/>
      <c r="W887" s="225"/>
      <c r="X887" s="283"/>
      <c r="Y887" s="283"/>
      <c r="Z887" s="283"/>
      <c r="AA887" s="283"/>
      <c r="AB887" s="283"/>
      <c r="AC887" s="283"/>
      <c r="AD887" s="283"/>
      <c r="AE887" s="283"/>
      <c r="AF887" s="283"/>
      <c r="AG887" s="294" t="s">
        <v>115</v>
      </c>
      <c r="AH887" s="358" t="s">
        <v>2406</v>
      </c>
      <c r="AI887" s="294" t="s">
        <v>2407</v>
      </c>
      <c r="AJ887" s="225"/>
      <c r="AK887" s="225"/>
      <c r="AL887" s="24"/>
    </row>
    <row r="888" spans="1:38" ht="12.75" customHeight="1">
      <c r="A888" s="22">
        <v>886</v>
      </c>
      <c r="B888" s="24" t="str">
        <f t="shared" si="20"/>
        <v>Other (specify)</v>
      </c>
      <c r="C888" s="24" t="str">
        <f t="shared" si="3"/>
        <v>Input Option</v>
      </c>
      <c r="D888" s="24" t="str">
        <f t="shared" si="2"/>
        <v>Reason Diet and lifestyle changes to prevent and relieve heartburn counseling not done</v>
      </c>
      <c r="E888" s="24" t="s">
        <v>2454</v>
      </c>
      <c r="F888" s="24">
        <v>1</v>
      </c>
      <c r="G888" s="24" t="s">
        <v>2372</v>
      </c>
      <c r="H888" s="24"/>
      <c r="I888" s="283"/>
      <c r="J888" s="234"/>
      <c r="K888" s="234"/>
      <c r="L888" s="164"/>
      <c r="M888" s="234"/>
      <c r="N888" s="204" t="s">
        <v>405</v>
      </c>
      <c r="O888" s="196"/>
      <c r="P888" s="196"/>
      <c r="Q888" s="164"/>
      <c r="R888" s="283"/>
      <c r="S888" s="204"/>
      <c r="T888" s="283"/>
      <c r="U888" s="283"/>
      <c r="V888" s="293"/>
      <c r="W888" s="225"/>
      <c r="X888" s="283"/>
      <c r="Y888" s="283"/>
      <c r="Z888" s="283"/>
      <c r="AA888" s="283"/>
      <c r="AB888" s="283"/>
      <c r="AC888" s="283"/>
      <c r="AD888" s="283"/>
      <c r="AE888" s="283"/>
      <c r="AF888" s="283"/>
      <c r="AG888" s="294" t="s">
        <v>115</v>
      </c>
      <c r="AH888" s="358" t="s">
        <v>406</v>
      </c>
      <c r="AI888" s="294" t="s">
        <v>407</v>
      </c>
      <c r="AJ888" s="225"/>
      <c r="AK888" s="225"/>
      <c r="AL888" s="24"/>
    </row>
    <row r="889" spans="1:38" ht="12.75" customHeight="1">
      <c r="A889" s="22">
        <v>887</v>
      </c>
      <c r="B889" s="24" t="s">
        <v>2483</v>
      </c>
      <c r="C889" s="24" t="str">
        <f t="shared" si="3"/>
        <v>Data Element</v>
      </c>
      <c r="D889" s="24" t="str">
        <f t="shared" si="2"/>
        <v/>
      </c>
      <c r="E889" s="24" t="s">
        <v>2454</v>
      </c>
      <c r="F889" s="24">
        <v>1</v>
      </c>
      <c r="G889" s="24" t="s">
        <v>2372</v>
      </c>
      <c r="H889" s="24"/>
      <c r="I889" s="283"/>
      <c r="J889" s="234" t="s">
        <v>409</v>
      </c>
      <c r="K889" s="234" t="s">
        <v>2484</v>
      </c>
      <c r="L889" s="164" t="s">
        <v>2410</v>
      </c>
      <c r="M889" s="234" t="s">
        <v>111</v>
      </c>
      <c r="N889" s="196"/>
      <c r="O889" s="196"/>
      <c r="P889" s="196"/>
      <c r="Q889" s="164"/>
      <c r="R889" s="283"/>
      <c r="S889" s="204" t="s">
        <v>208</v>
      </c>
      <c r="T889" s="283"/>
      <c r="U889" s="283"/>
      <c r="V889" s="293" t="s">
        <v>115</v>
      </c>
      <c r="W889" s="225"/>
      <c r="X889" s="283"/>
      <c r="Y889" s="283"/>
      <c r="Z889" s="283"/>
      <c r="AA889" s="283"/>
      <c r="AB889" s="283"/>
      <c r="AC889" s="283"/>
      <c r="AD889" s="283"/>
      <c r="AE889" s="283"/>
      <c r="AF889" s="283"/>
      <c r="AG889" s="294" t="s">
        <v>2477</v>
      </c>
      <c r="AH889" s="358" t="s">
        <v>2411</v>
      </c>
      <c r="AI889" s="294" t="s">
        <v>2412</v>
      </c>
      <c r="AJ889" s="225"/>
      <c r="AK889" s="225"/>
      <c r="AL889" s="24"/>
    </row>
    <row r="890" spans="1:38" ht="12.75" customHeight="1">
      <c r="A890" s="22">
        <v>888</v>
      </c>
      <c r="B890" s="24" t="str">
        <f t="shared" ref="B890:B892" si="21">IF(N890="",IF(M890="Calculation",K890,J890),N890)</f>
        <v>Antacid preparations to relieve heartburn counseling</v>
      </c>
      <c r="C890" s="24" t="str">
        <f t="shared" si="3"/>
        <v>Data Element</v>
      </c>
      <c r="D890" s="24" t="str">
        <f t="shared" si="2"/>
        <v/>
      </c>
      <c r="E890" s="24" t="s">
        <v>2454</v>
      </c>
      <c r="F890" s="24">
        <v>1</v>
      </c>
      <c r="G890" s="24" t="s">
        <v>2372</v>
      </c>
      <c r="H890" s="24"/>
      <c r="I890" s="283"/>
      <c r="J890" s="234" t="s">
        <v>2485</v>
      </c>
      <c r="K890" s="234" t="s">
        <v>2486</v>
      </c>
      <c r="L890" s="204" t="s">
        <v>2487</v>
      </c>
      <c r="M890" s="234" t="s">
        <v>202</v>
      </c>
      <c r="N890" s="196"/>
      <c r="O890" s="196"/>
      <c r="P890" s="196"/>
      <c r="Q890" s="164"/>
      <c r="R890" s="283"/>
      <c r="S890" s="196" t="s">
        <v>208</v>
      </c>
      <c r="T890" s="283"/>
      <c r="U890" s="283"/>
      <c r="V890" s="304" t="s">
        <v>2375</v>
      </c>
      <c r="W890" s="225"/>
      <c r="X890" s="283"/>
      <c r="Y890" s="283"/>
      <c r="Z890" s="283"/>
      <c r="AA890" s="283"/>
      <c r="AB890" s="283"/>
      <c r="AC890" s="283"/>
      <c r="AD890" s="283"/>
      <c r="AE890" s="283"/>
      <c r="AF890" s="283"/>
      <c r="AG890" s="285" t="s">
        <v>2488</v>
      </c>
      <c r="AH890" s="353" t="s">
        <v>2398</v>
      </c>
      <c r="AI890" s="285" t="s">
        <v>2399</v>
      </c>
      <c r="AJ890" s="225"/>
      <c r="AK890" s="225"/>
      <c r="AL890" s="24"/>
    </row>
    <row r="891" spans="1:38" ht="12.75" customHeight="1">
      <c r="A891" s="22">
        <v>889</v>
      </c>
      <c r="B891" s="24" t="str">
        <f t="shared" si="21"/>
        <v>Done</v>
      </c>
      <c r="C891" s="24" t="str">
        <f t="shared" si="3"/>
        <v>Input Option</v>
      </c>
      <c r="D891" s="24" t="str">
        <f t="shared" si="2"/>
        <v>Antacid preparations to relieve heartburn counseling</v>
      </c>
      <c r="E891" s="24" t="s">
        <v>2454</v>
      </c>
      <c r="F891" s="24">
        <v>1</v>
      </c>
      <c r="G891" s="24" t="s">
        <v>2372</v>
      </c>
      <c r="H891" s="24"/>
      <c r="I891" s="283"/>
      <c r="J891" s="234"/>
      <c r="K891" s="234"/>
      <c r="L891" s="164"/>
      <c r="M891" s="234"/>
      <c r="N891" s="196" t="s">
        <v>1673</v>
      </c>
      <c r="O891" s="196"/>
      <c r="P891" s="196"/>
      <c r="Q891" s="164"/>
      <c r="R891" s="283"/>
      <c r="S891" s="204"/>
      <c r="T891" s="283"/>
      <c r="U891" s="283"/>
      <c r="V891" s="293"/>
      <c r="W891" s="225"/>
      <c r="X891" s="283"/>
      <c r="Y891" s="283"/>
      <c r="Z891" s="283"/>
      <c r="AA891" s="283"/>
      <c r="AB891" s="283"/>
      <c r="AC891" s="283"/>
      <c r="AD891" s="283"/>
      <c r="AE891" s="283"/>
      <c r="AF891" s="283"/>
      <c r="AG891" s="285" t="s">
        <v>115</v>
      </c>
      <c r="AH891" s="353" t="s">
        <v>942</v>
      </c>
      <c r="AI891" s="205" t="s">
        <v>943</v>
      </c>
      <c r="AJ891" s="225"/>
      <c r="AK891" s="225"/>
      <c r="AL891" s="24"/>
    </row>
    <row r="892" spans="1:38" ht="12.75" customHeight="1">
      <c r="A892" s="22">
        <v>890</v>
      </c>
      <c r="B892" s="24" t="str">
        <f t="shared" si="21"/>
        <v>Not done</v>
      </c>
      <c r="C892" s="24" t="str">
        <f t="shared" si="3"/>
        <v>Input Option</v>
      </c>
      <c r="D892" s="24" t="str">
        <f t="shared" si="2"/>
        <v>Antacid preparations to relieve heartburn counseling</v>
      </c>
      <c r="E892" s="24" t="s">
        <v>2454</v>
      </c>
      <c r="F892" s="24">
        <v>1</v>
      </c>
      <c r="G892" s="24" t="s">
        <v>2372</v>
      </c>
      <c r="H892" s="24"/>
      <c r="I892" s="283"/>
      <c r="J892" s="234"/>
      <c r="K892" s="234"/>
      <c r="L892" s="164"/>
      <c r="M892" s="234"/>
      <c r="N892" s="224" t="s">
        <v>1468</v>
      </c>
      <c r="O892" s="196"/>
      <c r="P892" s="196"/>
      <c r="Q892" s="164"/>
      <c r="R892" s="283"/>
      <c r="S892" s="204"/>
      <c r="T892" s="283"/>
      <c r="U892" s="283"/>
      <c r="V892" s="293"/>
      <c r="W892" s="225"/>
      <c r="X892" s="283"/>
      <c r="Y892" s="283"/>
      <c r="Z892" s="283"/>
      <c r="AA892" s="283"/>
      <c r="AB892" s="283"/>
      <c r="AC892" s="283"/>
      <c r="AD892" s="283"/>
      <c r="AE892" s="283"/>
      <c r="AF892" s="283"/>
      <c r="AG892" s="285" t="s">
        <v>115</v>
      </c>
      <c r="AH892" s="353" t="s">
        <v>1469</v>
      </c>
      <c r="AI892" s="205" t="s">
        <v>1470</v>
      </c>
      <c r="AJ892" s="225"/>
      <c r="AK892" s="225"/>
      <c r="AL892" s="24"/>
    </row>
    <row r="893" spans="1:38" ht="12.75" customHeight="1">
      <c r="A893" s="22">
        <v>891</v>
      </c>
      <c r="B893" s="24" t="s">
        <v>2491</v>
      </c>
      <c r="C893" s="24" t="str">
        <f t="shared" si="3"/>
        <v>Data Element</v>
      </c>
      <c r="D893" s="24" t="str">
        <f t="shared" si="2"/>
        <v/>
      </c>
      <c r="E893" s="24" t="s">
        <v>2454</v>
      </c>
      <c r="F893" s="24">
        <v>1</v>
      </c>
      <c r="G893" s="24" t="s">
        <v>2372</v>
      </c>
      <c r="H893" s="24"/>
      <c r="I893" s="283"/>
      <c r="J893" s="234" t="s">
        <v>1376</v>
      </c>
      <c r="K893" s="234" t="s">
        <v>2492</v>
      </c>
      <c r="L893" s="164" t="s">
        <v>2493</v>
      </c>
      <c r="M893" s="234" t="s">
        <v>202</v>
      </c>
      <c r="N893" s="224"/>
      <c r="O893" s="196"/>
      <c r="P893" s="196"/>
      <c r="Q893" s="164"/>
      <c r="R893" s="283"/>
      <c r="S893" s="204" t="s">
        <v>208</v>
      </c>
      <c r="T893" s="283"/>
      <c r="U893" s="283"/>
      <c r="V893" s="293" t="s">
        <v>115</v>
      </c>
      <c r="W893" s="225"/>
      <c r="X893" s="283"/>
      <c r="Y893" s="283"/>
      <c r="Z893" s="283"/>
      <c r="AA893" s="283"/>
      <c r="AB893" s="283"/>
      <c r="AC893" s="283"/>
      <c r="AD893" s="283"/>
      <c r="AE893" s="283"/>
      <c r="AF893" s="283"/>
      <c r="AG893" s="285" t="s">
        <v>2488</v>
      </c>
      <c r="AH893" s="353" t="s">
        <v>2403</v>
      </c>
      <c r="AI893" s="285" t="s">
        <v>2404</v>
      </c>
      <c r="AJ893" s="225"/>
      <c r="AK893" s="225"/>
      <c r="AL893" s="24"/>
    </row>
    <row r="894" spans="1:38" ht="12.75" customHeight="1">
      <c r="A894" s="22">
        <v>892</v>
      </c>
      <c r="B894" s="24" t="str">
        <f t="shared" ref="B894:B895" si="22">IF(N894="",IF(M894="Calculation",K894,J894),N894)</f>
        <v>Referred instead</v>
      </c>
      <c r="C894" s="24" t="str">
        <f t="shared" si="3"/>
        <v>Input Option</v>
      </c>
      <c r="D894" s="24" t="str">
        <f t="shared" si="2"/>
        <v>Reason Antacid preparations to relieve heartburn counseling not done</v>
      </c>
      <c r="E894" s="24" t="s">
        <v>2454</v>
      </c>
      <c r="F894" s="24">
        <v>1</v>
      </c>
      <c r="G894" s="24" t="s">
        <v>2372</v>
      </c>
      <c r="H894" s="24"/>
      <c r="I894" s="283"/>
      <c r="J894" s="234"/>
      <c r="K894" s="234"/>
      <c r="L894" s="164"/>
      <c r="M894" s="234"/>
      <c r="N894" s="204" t="s">
        <v>2405</v>
      </c>
      <c r="O894" s="196"/>
      <c r="P894" s="196"/>
      <c r="Q894" s="164"/>
      <c r="R894" s="283"/>
      <c r="S894" s="204"/>
      <c r="T894" s="283"/>
      <c r="U894" s="283"/>
      <c r="V894" s="293"/>
      <c r="W894" s="225"/>
      <c r="X894" s="283"/>
      <c r="Y894" s="283"/>
      <c r="Z894" s="283"/>
      <c r="AA894" s="283"/>
      <c r="AB894" s="283"/>
      <c r="AC894" s="283"/>
      <c r="AD894" s="283"/>
      <c r="AE894" s="283"/>
      <c r="AF894" s="283"/>
      <c r="AG894" s="294" t="s">
        <v>115</v>
      </c>
      <c r="AH894" s="358" t="s">
        <v>2406</v>
      </c>
      <c r="AI894" s="294" t="s">
        <v>2407</v>
      </c>
      <c r="AJ894" s="225"/>
      <c r="AK894" s="225"/>
      <c r="AL894" s="24"/>
    </row>
    <row r="895" spans="1:38" ht="12.75" customHeight="1">
      <c r="A895" s="22">
        <v>893</v>
      </c>
      <c r="B895" s="24" t="str">
        <f t="shared" si="22"/>
        <v>Other (specify)</v>
      </c>
      <c r="C895" s="24" t="str">
        <f t="shared" si="3"/>
        <v>Input Option</v>
      </c>
      <c r="D895" s="24" t="str">
        <f t="shared" si="2"/>
        <v>Reason Antacid preparations to relieve heartburn counseling not done</v>
      </c>
      <c r="E895" s="24" t="s">
        <v>2454</v>
      </c>
      <c r="F895" s="24">
        <v>1</v>
      </c>
      <c r="G895" s="24" t="s">
        <v>2372</v>
      </c>
      <c r="H895" s="24"/>
      <c r="I895" s="283"/>
      <c r="J895" s="234"/>
      <c r="K895" s="234"/>
      <c r="L895" s="164"/>
      <c r="M895" s="234"/>
      <c r="N895" s="204" t="s">
        <v>405</v>
      </c>
      <c r="O895" s="196"/>
      <c r="P895" s="196"/>
      <c r="Q895" s="164"/>
      <c r="R895" s="283"/>
      <c r="S895" s="204"/>
      <c r="T895" s="283"/>
      <c r="U895" s="283"/>
      <c r="V895" s="293"/>
      <c r="W895" s="225"/>
      <c r="X895" s="283"/>
      <c r="Y895" s="283"/>
      <c r="Z895" s="283"/>
      <c r="AA895" s="283"/>
      <c r="AB895" s="283"/>
      <c r="AC895" s="283"/>
      <c r="AD895" s="283"/>
      <c r="AE895" s="283"/>
      <c r="AF895" s="283"/>
      <c r="AG895" s="294" t="s">
        <v>115</v>
      </c>
      <c r="AH895" s="358" t="s">
        <v>406</v>
      </c>
      <c r="AI895" s="294" t="s">
        <v>407</v>
      </c>
      <c r="AJ895" s="225"/>
      <c r="AK895" s="225"/>
      <c r="AL895" s="24"/>
    </row>
    <row r="896" spans="1:38" ht="12.75" customHeight="1">
      <c r="A896" s="22">
        <v>894</v>
      </c>
      <c r="B896" s="24" t="s">
        <v>2495</v>
      </c>
      <c r="C896" s="24" t="str">
        <f t="shared" si="3"/>
        <v>Data Element</v>
      </c>
      <c r="D896" s="24" t="str">
        <f t="shared" si="2"/>
        <v/>
      </c>
      <c r="E896" s="24" t="s">
        <v>2454</v>
      </c>
      <c r="F896" s="24">
        <v>1</v>
      </c>
      <c r="G896" s="24" t="s">
        <v>2372</v>
      </c>
      <c r="H896" s="24"/>
      <c r="I896" s="283"/>
      <c r="J896" s="234" t="s">
        <v>409</v>
      </c>
      <c r="K896" s="234" t="s">
        <v>2496</v>
      </c>
      <c r="L896" s="164" t="s">
        <v>2410</v>
      </c>
      <c r="M896" s="234" t="s">
        <v>111</v>
      </c>
      <c r="N896" s="196"/>
      <c r="O896" s="196"/>
      <c r="P896" s="196"/>
      <c r="Q896" s="164"/>
      <c r="R896" s="283"/>
      <c r="S896" s="204" t="s">
        <v>208</v>
      </c>
      <c r="T896" s="283"/>
      <c r="U896" s="283"/>
      <c r="V896" s="293" t="s">
        <v>115</v>
      </c>
      <c r="W896" s="225"/>
      <c r="X896" s="283"/>
      <c r="Y896" s="283"/>
      <c r="Z896" s="283"/>
      <c r="AA896" s="283"/>
      <c r="AB896" s="283"/>
      <c r="AC896" s="283"/>
      <c r="AD896" s="283"/>
      <c r="AE896" s="283"/>
      <c r="AF896" s="283"/>
      <c r="AG896" s="294" t="s">
        <v>2488</v>
      </c>
      <c r="AH896" s="358" t="s">
        <v>2411</v>
      </c>
      <c r="AI896" s="294" t="s">
        <v>2412</v>
      </c>
      <c r="AJ896" s="225"/>
      <c r="AK896" s="225"/>
      <c r="AL896" s="24"/>
    </row>
    <row r="897" spans="1:38" ht="12.75" customHeight="1">
      <c r="A897" s="22">
        <v>895</v>
      </c>
      <c r="B897" s="24" t="str">
        <f t="shared" ref="B897:B899" si="23">IF(N897="",IF(M897="Calculation",K897,J897),N897)</f>
        <v>Non-pharmacological treatment for the relief of leg cramps counseling</v>
      </c>
      <c r="C897" s="24" t="str">
        <f t="shared" si="3"/>
        <v>Data Element</v>
      </c>
      <c r="D897" s="24" t="str">
        <f t="shared" si="2"/>
        <v/>
      </c>
      <c r="E897" s="24" t="s">
        <v>2454</v>
      </c>
      <c r="F897" s="24">
        <v>1</v>
      </c>
      <c r="G897" s="24" t="s">
        <v>2372</v>
      </c>
      <c r="H897" s="24"/>
      <c r="I897" s="283"/>
      <c r="J897" s="234" t="s">
        <v>2498</v>
      </c>
      <c r="K897" s="234" t="s">
        <v>2499</v>
      </c>
      <c r="L897" s="204" t="s">
        <v>2500</v>
      </c>
      <c r="M897" s="234" t="s">
        <v>202</v>
      </c>
      <c r="N897" s="196"/>
      <c r="O897" s="196"/>
      <c r="P897" s="196"/>
      <c r="Q897" s="164"/>
      <c r="R897" s="283"/>
      <c r="S897" s="196" t="s">
        <v>113</v>
      </c>
      <c r="T897" s="283"/>
      <c r="U897" s="283"/>
      <c r="V897" s="304" t="s">
        <v>2375</v>
      </c>
      <c r="W897" s="225"/>
      <c r="X897" s="283"/>
      <c r="Y897" s="283"/>
      <c r="Z897" s="283"/>
      <c r="AA897" s="283"/>
      <c r="AB897" s="283"/>
      <c r="AC897" s="283"/>
      <c r="AD897" s="283"/>
      <c r="AE897" s="283"/>
      <c r="AF897" s="283"/>
      <c r="AG897" s="285" t="s">
        <v>2501</v>
      </c>
      <c r="AH897" s="353" t="s">
        <v>2398</v>
      </c>
      <c r="AI897" s="285" t="s">
        <v>2399</v>
      </c>
      <c r="AJ897" s="225"/>
      <c r="AK897" s="225"/>
      <c r="AL897" s="24"/>
    </row>
    <row r="898" spans="1:38" ht="12.75" customHeight="1">
      <c r="A898" s="22">
        <v>896</v>
      </c>
      <c r="B898" s="24" t="str">
        <f t="shared" si="23"/>
        <v>Done</v>
      </c>
      <c r="C898" s="24" t="str">
        <f t="shared" si="3"/>
        <v>Input Option</v>
      </c>
      <c r="D898" s="24" t="str">
        <f t="shared" si="2"/>
        <v>Non-pharmacological treatment for the relief of leg cramps counseling</v>
      </c>
      <c r="E898" s="24" t="s">
        <v>2454</v>
      </c>
      <c r="F898" s="24">
        <v>1</v>
      </c>
      <c r="G898" s="24" t="s">
        <v>2372</v>
      </c>
      <c r="H898" s="24"/>
      <c r="I898" s="283"/>
      <c r="J898" s="234"/>
      <c r="K898" s="234"/>
      <c r="L898" s="164"/>
      <c r="M898" s="234"/>
      <c r="N898" s="196" t="s">
        <v>1673</v>
      </c>
      <c r="O898" s="196"/>
      <c r="P898" s="196"/>
      <c r="Q898" s="164"/>
      <c r="R898" s="283"/>
      <c r="S898" s="204"/>
      <c r="T898" s="283"/>
      <c r="U898" s="283"/>
      <c r="V898" s="293"/>
      <c r="W898" s="225"/>
      <c r="X898" s="283"/>
      <c r="Y898" s="283"/>
      <c r="Z898" s="283"/>
      <c r="AA898" s="283"/>
      <c r="AB898" s="283"/>
      <c r="AC898" s="283"/>
      <c r="AD898" s="283"/>
      <c r="AE898" s="283"/>
      <c r="AF898" s="283"/>
      <c r="AG898" s="285" t="s">
        <v>115</v>
      </c>
      <c r="AH898" s="353" t="s">
        <v>942</v>
      </c>
      <c r="AI898" s="205" t="s">
        <v>943</v>
      </c>
      <c r="AJ898" s="225"/>
      <c r="AK898" s="225"/>
      <c r="AL898" s="24"/>
    </row>
    <row r="899" spans="1:38" ht="12.75" customHeight="1">
      <c r="A899" s="22">
        <v>897</v>
      </c>
      <c r="B899" s="24" t="str">
        <f t="shared" si="23"/>
        <v>Not done</v>
      </c>
      <c r="C899" s="24" t="str">
        <f t="shared" si="3"/>
        <v>Input Option</v>
      </c>
      <c r="D899" s="24" t="str">
        <f t="shared" si="2"/>
        <v>Non-pharmacological treatment for the relief of leg cramps counseling</v>
      </c>
      <c r="E899" s="24" t="s">
        <v>2454</v>
      </c>
      <c r="F899" s="24">
        <v>1</v>
      </c>
      <c r="G899" s="24" t="s">
        <v>2372</v>
      </c>
      <c r="H899" s="24"/>
      <c r="I899" s="283"/>
      <c r="J899" s="234"/>
      <c r="K899" s="234"/>
      <c r="L899" s="164"/>
      <c r="M899" s="234"/>
      <c r="N899" s="224" t="s">
        <v>1468</v>
      </c>
      <c r="O899" s="196"/>
      <c r="P899" s="196"/>
      <c r="Q899" s="164"/>
      <c r="R899" s="283"/>
      <c r="S899" s="204"/>
      <c r="T899" s="283"/>
      <c r="U899" s="283"/>
      <c r="V899" s="293"/>
      <c r="W899" s="225"/>
      <c r="X899" s="283"/>
      <c r="Y899" s="283"/>
      <c r="Z899" s="283"/>
      <c r="AA899" s="283"/>
      <c r="AB899" s="283"/>
      <c r="AC899" s="283"/>
      <c r="AD899" s="283"/>
      <c r="AE899" s="283"/>
      <c r="AF899" s="283"/>
      <c r="AG899" s="285" t="s">
        <v>115</v>
      </c>
      <c r="AH899" s="353" t="s">
        <v>1469</v>
      </c>
      <c r="AI899" s="205" t="s">
        <v>1470</v>
      </c>
      <c r="AJ899" s="225"/>
      <c r="AK899" s="225"/>
      <c r="AL899" s="24"/>
    </row>
    <row r="900" spans="1:38" ht="12.75" customHeight="1">
      <c r="A900" s="22">
        <v>898</v>
      </c>
      <c r="B900" s="24" t="s">
        <v>2503</v>
      </c>
      <c r="C900" s="24" t="str">
        <f t="shared" si="3"/>
        <v>Data Element</v>
      </c>
      <c r="D900" s="24" t="str">
        <f t="shared" si="2"/>
        <v/>
      </c>
      <c r="E900" s="24" t="s">
        <v>2454</v>
      </c>
      <c r="F900" s="24">
        <v>1</v>
      </c>
      <c r="G900" s="24" t="s">
        <v>2372</v>
      </c>
      <c r="H900" s="24"/>
      <c r="I900" s="283"/>
      <c r="J900" s="234" t="s">
        <v>1376</v>
      </c>
      <c r="K900" s="234" t="s">
        <v>2504</v>
      </c>
      <c r="L900" s="164" t="s">
        <v>2505</v>
      </c>
      <c r="M900" s="234" t="s">
        <v>202</v>
      </c>
      <c r="N900" s="224"/>
      <c r="O900" s="196"/>
      <c r="P900" s="196"/>
      <c r="Q900" s="164"/>
      <c r="R900" s="283"/>
      <c r="S900" s="204" t="s">
        <v>208</v>
      </c>
      <c r="T900" s="283"/>
      <c r="U900" s="283"/>
      <c r="V900" s="293" t="s">
        <v>115</v>
      </c>
      <c r="W900" s="225"/>
      <c r="X900" s="283"/>
      <c r="Y900" s="283"/>
      <c r="Z900" s="283"/>
      <c r="AA900" s="283"/>
      <c r="AB900" s="283"/>
      <c r="AC900" s="283"/>
      <c r="AD900" s="283"/>
      <c r="AE900" s="283"/>
      <c r="AF900" s="283"/>
      <c r="AG900" s="285" t="s">
        <v>2501</v>
      </c>
      <c r="AH900" s="353" t="s">
        <v>2403</v>
      </c>
      <c r="AI900" s="285" t="s">
        <v>2404</v>
      </c>
      <c r="AJ900" s="225"/>
      <c r="AK900" s="225"/>
      <c r="AL900" s="24"/>
    </row>
    <row r="901" spans="1:38" ht="12.75" customHeight="1">
      <c r="A901" s="22">
        <v>899</v>
      </c>
      <c r="B901" s="24" t="str">
        <f t="shared" ref="B901:B902" si="24">IF(N901="",IF(M901="Calculation",K901,J901),N901)</f>
        <v>Referred instead</v>
      </c>
      <c r="C901" s="24" t="str">
        <f t="shared" si="3"/>
        <v>Input Option</v>
      </c>
      <c r="D901" s="24" t="str">
        <f t="shared" si="2"/>
        <v>Reason Non-pharmacological treatment for the relief of leg cramps counseling not done</v>
      </c>
      <c r="E901" s="24" t="s">
        <v>2454</v>
      </c>
      <c r="F901" s="24">
        <v>1</v>
      </c>
      <c r="G901" s="24" t="s">
        <v>2372</v>
      </c>
      <c r="H901" s="24"/>
      <c r="I901" s="283"/>
      <c r="J901" s="234"/>
      <c r="K901" s="234"/>
      <c r="L901" s="164"/>
      <c r="M901" s="234"/>
      <c r="N901" s="204" t="s">
        <v>2405</v>
      </c>
      <c r="O901" s="196"/>
      <c r="P901" s="196"/>
      <c r="Q901" s="164"/>
      <c r="R901" s="283"/>
      <c r="S901" s="204"/>
      <c r="T901" s="283"/>
      <c r="U901" s="283"/>
      <c r="V901" s="293"/>
      <c r="W901" s="225"/>
      <c r="X901" s="283"/>
      <c r="Y901" s="283"/>
      <c r="Z901" s="283"/>
      <c r="AA901" s="283"/>
      <c r="AB901" s="283"/>
      <c r="AC901" s="283"/>
      <c r="AD901" s="283"/>
      <c r="AE901" s="283"/>
      <c r="AF901" s="283"/>
      <c r="AG901" s="294" t="s">
        <v>115</v>
      </c>
      <c r="AH901" s="358" t="s">
        <v>2406</v>
      </c>
      <c r="AI901" s="294" t="s">
        <v>2407</v>
      </c>
      <c r="AJ901" s="225"/>
      <c r="AK901" s="225"/>
      <c r="AL901" s="24"/>
    </row>
    <row r="902" spans="1:38" ht="12.75" customHeight="1">
      <c r="A902" s="22">
        <v>900</v>
      </c>
      <c r="B902" s="24" t="str">
        <f t="shared" si="24"/>
        <v>Other (specify)</v>
      </c>
      <c r="C902" s="24" t="str">
        <f t="shared" si="3"/>
        <v>Input Option</v>
      </c>
      <c r="D902" s="24" t="str">
        <f t="shared" si="2"/>
        <v>Reason Non-pharmacological treatment for the relief of leg cramps counseling not done</v>
      </c>
      <c r="E902" s="24" t="s">
        <v>2454</v>
      </c>
      <c r="F902" s="24">
        <v>1</v>
      </c>
      <c r="G902" s="24" t="s">
        <v>2372</v>
      </c>
      <c r="H902" s="24"/>
      <c r="I902" s="283"/>
      <c r="J902" s="234"/>
      <c r="K902" s="234"/>
      <c r="L902" s="164"/>
      <c r="M902" s="234"/>
      <c r="N902" s="204" t="s">
        <v>405</v>
      </c>
      <c r="O902" s="196"/>
      <c r="P902" s="196"/>
      <c r="Q902" s="164"/>
      <c r="R902" s="283"/>
      <c r="S902" s="204"/>
      <c r="T902" s="283"/>
      <c r="U902" s="283"/>
      <c r="V902" s="293"/>
      <c r="W902" s="225"/>
      <c r="X902" s="283"/>
      <c r="Y902" s="283"/>
      <c r="Z902" s="283"/>
      <c r="AA902" s="283"/>
      <c r="AB902" s="283"/>
      <c r="AC902" s="283"/>
      <c r="AD902" s="283"/>
      <c r="AE902" s="283"/>
      <c r="AF902" s="283"/>
      <c r="AG902" s="294" t="s">
        <v>115</v>
      </c>
      <c r="AH902" s="358" t="s">
        <v>406</v>
      </c>
      <c r="AI902" s="294" t="s">
        <v>407</v>
      </c>
      <c r="AJ902" s="225"/>
      <c r="AK902" s="225"/>
      <c r="AL902" s="24"/>
    </row>
    <row r="903" spans="1:38" ht="12.75" customHeight="1">
      <c r="A903" s="22">
        <v>901</v>
      </c>
      <c r="B903" s="24" t="s">
        <v>2508</v>
      </c>
      <c r="C903" s="24" t="str">
        <f t="shared" si="3"/>
        <v>Data Element</v>
      </c>
      <c r="D903" s="24" t="str">
        <f t="shared" si="2"/>
        <v/>
      </c>
      <c r="E903" s="24" t="s">
        <v>2454</v>
      </c>
      <c r="F903" s="24">
        <v>1</v>
      </c>
      <c r="G903" s="24" t="s">
        <v>2372</v>
      </c>
      <c r="H903" s="24"/>
      <c r="I903" s="283"/>
      <c r="J903" s="234" t="s">
        <v>409</v>
      </c>
      <c r="K903" s="234" t="s">
        <v>2509</v>
      </c>
      <c r="L903" s="164" t="s">
        <v>2410</v>
      </c>
      <c r="M903" s="234" t="s">
        <v>111</v>
      </c>
      <c r="N903" s="196"/>
      <c r="O903" s="196"/>
      <c r="P903" s="196"/>
      <c r="Q903" s="164"/>
      <c r="R903" s="283"/>
      <c r="S903" s="204" t="s">
        <v>208</v>
      </c>
      <c r="T903" s="283"/>
      <c r="U903" s="283"/>
      <c r="V903" s="293" t="s">
        <v>115</v>
      </c>
      <c r="W903" s="225"/>
      <c r="X903" s="283"/>
      <c r="Y903" s="283"/>
      <c r="Z903" s="283"/>
      <c r="AA903" s="283"/>
      <c r="AB903" s="283"/>
      <c r="AC903" s="283"/>
      <c r="AD903" s="283"/>
      <c r="AE903" s="283"/>
      <c r="AF903" s="283"/>
      <c r="AG903" s="294" t="s">
        <v>2501</v>
      </c>
      <c r="AH903" s="358" t="s">
        <v>2411</v>
      </c>
      <c r="AI903" s="294" t="s">
        <v>2412</v>
      </c>
      <c r="AJ903" s="225"/>
      <c r="AK903" s="225"/>
      <c r="AL903" s="24"/>
    </row>
    <row r="904" spans="1:38" ht="12.75" customHeight="1">
      <c r="A904" s="22">
        <v>902</v>
      </c>
      <c r="B904" s="24" t="str">
        <f t="shared" ref="B904:B906" si="25">IF(N904="",IF(M904="Calculation",K904,J904),N904)</f>
        <v>Magnesium and calcium to relieve leg cramps counseling</v>
      </c>
      <c r="C904" s="24" t="str">
        <f t="shared" si="3"/>
        <v>Data Element</v>
      </c>
      <c r="D904" s="24" t="str">
        <f t="shared" si="2"/>
        <v/>
      </c>
      <c r="E904" s="24" t="s">
        <v>2454</v>
      </c>
      <c r="F904" s="24">
        <v>1</v>
      </c>
      <c r="G904" s="24" t="s">
        <v>2372</v>
      </c>
      <c r="H904" s="24"/>
      <c r="I904" s="283"/>
      <c r="J904" s="234" t="s">
        <v>2510</v>
      </c>
      <c r="K904" s="234" t="s">
        <v>2511</v>
      </c>
      <c r="L904" s="204" t="s">
        <v>2512</v>
      </c>
      <c r="M904" s="234" t="s">
        <v>202</v>
      </c>
      <c r="N904" s="196"/>
      <c r="O904" s="196"/>
      <c r="P904" s="196"/>
      <c r="Q904" s="164"/>
      <c r="R904" s="283"/>
      <c r="S904" s="196" t="s">
        <v>208</v>
      </c>
      <c r="T904" s="283"/>
      <c r="U904" s="283"/>
      <c r="V904" s="304" t="s">
        <v>2375</v>
      </c>
      <c r="W904" s="225"/>
      <c r="X904" s="283"/>
      <c r="Y904" s="283"/>
      <c r="Z904" s="283"/>
      <c r="AA904" s="283"/>
      <c r="AB904" s="283"/>
      <c r="AC904" s="283"/>
      <c r="AD904" s="283"/>
      <c r="AE904" s="283"/>
      <c r="AF904" s="283"/>
      <c r="AG904" s="285" t="s">
        <v>2514</v>
      </c>
      <c r="AH904" s="353" t="s">
        <v>2398</v>
      </c>
      <c r="AI904" s="285" t="s">
        <v>2399</v>
      </c>
      <c r="AJ904" s="225"/>
      <c r="AK904" s="225"/>
      <c r="AL904" s="24"/>
    </row>
    <row r="905" spans="1:38" ht="12.75" customHeight="1">
      <c r="A905" s="22">
        <v>903</v>
      </c>
      <c r="B905" s="24" t="str">
        <f t="shared" si="25"/>
        <v>Done</v>
      </c>
      <c r="C905" s="24" t="str">
        <f t="shared" si="3"/>
        <v>Input Option</v>
      </c>
      <c r="D905" s="24" t="str">
        <f t="shared" si="2"/>
        <v>Magnesium and calcium to relieve leg cramps counseling</v>
      </c>
      <c r="E905" s="24" t="s">
        <v>2454</v>
      </c>
      <c r="F905" s="24">
        <v>1</v>
      </c>
      <c r="G905" s="24" t="s">
        <v>2372</v>
      </c>
      <c r="H905" s="24"/>
      <c r="I905" s="283"/>
      <c r="J905" s="234"/>
      <c r="K905" s="234"/>
      <c r="L905" s="164"/>
      <c r="M905" s="234"/>
      <c r="N905" s="196" t="s">
        <v>1673</v>
      </c>
      <c r="O905" s="196"/>
      <c r="P905" s="196"/>
      <c r="Q905" s="164"/>
      <c r="R905" s="283"/>
      <c r="S905" s="204"/>
      <c r="T905" s="283"/>
      <c r="U905" s="283"/>
      <c r="V905" s="304"/>
      <c r="W905" s="225"/>
      <c r="X905" s="283"/>
      <c r="Y905" s="283"/>
      <c r="Z905" s="283"/>
      <c r="AA905" s="283"/>
      <c r="AB905" s="283"/>
      <c r="AC905" s="283"/>
      <c r="AD905" s="283"/>
      <c r="AE905" s="283"/>
      <c r="AF905" s="283"/>
      <c r="AG905" s="285" t="s">
        <v>115</v>
      </c>
      <c r="AH905" s="353" t="s">
        <v>942</v>
      </c>
      <c r="AI905" s="205" t="s">
        <v>943</v>
      </c>
      <c r="AJ905" s="225"/>
      <c r="AK905" s="225"/>
      <c r="AL905" s="24"/>
    </row>
    <row r="906" spans="1:38" ht="12.75" customHeight="1">
      <c r="A906" s="22">
        <v>904</v>
      </c>
      <c r="B906" s="24" t="str">
        <f t="shared" si="25"/>
        <v>Not done</v>
      </c>
      <c r="C906" s="24" t="str">
        <f t="shared" si="3"/>
        <v>Input Option</v>
      </c>
      <c r="D906" s="24" t="str">
        <f t="shared" si="2"/>
        <v>Magnesium and calcium to relieve leg cramps counseling</v>
      </c>
      <c r="E906" s="24" t="s">
        <v>2454</v>
      </c>
      <c r="F906" s="24">
        <v>1</v>
      </c>
      <c r="G906" s="24" t="s">
        <v>2372</v>
      </c>
      <c r="H906" s="24"/>
      <c r="I906" s="283"/>
      <c r="J906" s="234"/>
      <c r="K906" s="234"/>
      <c r="L906" s="164"/>
      <c r="M906" s="234"/>
      <c r="N906" s="224" t="s">
        <v>1468</v>
      </c>
      <c r="O906" s="196"/>
      <c r="P906" s="196"/>
      <c r="Q906" s="164"/>
      <c r="R906" s="283"/>
      <c r="S906" s="204"/>
      <c r="T906" s="283"/>
      <c r="U906" s="283"/>
      <c r="V906" s="304"/>
      <c r="W906" s="225"/>
      <c r="X906" s="283"/>
      <c r="Y906" s="283"/>
      <c r="Z906" s="283"/>
      <c r="AA906" s="283"/>
      <c r="AB906" s="283"/>
      <c r="AC906" s="283"/>
      <c r="AD906" s="283"/>
      <c r="AE906" s="283"/>
      <c r="AF906" s="283"/>
      <c r="AG906" s="285" t="s">
        <v>115</v>
      </c>
      <c r="AH906" s="353" t="s">
        <v>1469</v>
      </c>
      <c r="AI906" s="205" t="s">
        <v>1470</v>
      </c>
      <c r="AJ906" s="225"/>
      <c r="AK906" s="225"/>
      <c r="AL906" s="24"/>
    </row>
    <row r="907" spans="1:38" ht="12.75" customHeight="1">
      <c r="A907" s="22">
        <v>905</v>
      </c>
      <c r="B907" s="24" t="s">
        <v>2515</v>
      </c>
      <c r="C907" s="24" t="str">
        <f t="shared" si="3"/>
        <v>Data Element</v>
      </c>
      <c r="D907" s="24" t="str">
        <f t="shared" si="2"/>
        <v/>
      </c>
      <c r="E907" s="24" t="s">
        <v>2454</v>
      </c>
      <c r="F907" s="24">
        <v>1</v>
      </c>
      <c r="G907" s="24" t="s">
        <v>2372</v>
      </c>
      <c r="H907" s="24"/>
      <c r="I907" s="283"/>
      <c r="J907" s="234" t="s">
        <v>1376</v>
      </c>
      <c r="K907" s="234" t="s">
        <v>2516</v>
      </c>
      <c r="L907" s="164" t="s">
        <v>2517</v>
      </c>
      <c r="M907" s="234" t="s">
        <v>202</v>
      </c>
      <c r="N907" s="224"/>
      <c r="O907" s="196"/>
      <c r="P907" s="196"/>
      <c r="Q907" s="164"/>
      <c r="R907" s="283"/>
      <c r="S907" s="204" t="s">
        <v>208</v>
      </c>
      <c r="T907" s="283"/>
      <c r="U907" s="283"/>
      <c r="V907" s="304" t="s">
        <v>115</v>
      </c>
      <c r="W907" s="225"/>
      <c r="X907" s="283"/>
      <c r="Y907" s="283"/>
      <c r="Z907" s="283"/>
      <c r="AA907" s="283"/>
      <c r="AB907" s="283"/>
      <c r="AC907" s="283"/>
      <c r="AD907" s="283"/>
      <c r="AE907" s="283"/>
      <c r="AF907" s="283"/>
      <c r="AG907" s="285" t="s">
        <v>2514</v>
      </c>
      <c r="AH907" s="353" t="s">
        <v>2403</v>
      </c>
      <c r="AI907" s="285" t="s">
        <v>2404</v>
      </c>
      <c r="AJ907" s="225"/>
      <c r="AK907" s="225"/>
      <c r="AL907" s="24"/>
    </row>
    <row r="908" spans="1:38" ht="12.75" customHeight="1">
      <c r="A908" s="22">
        <v>906</v>
      </c>
      <c r="B908" s="24" t="str">
        <f t="shared" ref="B908:B909" si="26">IF(N908="",IF(M908="Calculation",K908,J908),N908)</f>
        <v>Referred instead</v>
      </c>
      <c r="C908" s="24" t="str">
        <f t="shared" si="3"/>
        <v>Input Option</v>
      </c>
      <c r="D908" s="24" t="str">
        <f t="shared" si="2"/>
        <v>Reason Magnesium and calcium to relieve leg cramps counseling not done</v>
      </c>
      <c r="E908" s="24" t="s">
        <v>2454</v>
      </c>
      <c r="F908" s="24">
        <v>1</v>
      </c>
      <c r="G908" s="24" t="s">
        <v>2372</v>
      </c>
      <c r="H908" s="24"/>
      <c r="I908" s="283"/>
      <c r="J908" s="234"/>
      <c r="K908" s="234"/>
      <c r="L908" s="164"/>
      <c r="M908" s="234"/>
      <c r="N908" s="204" t="s">
        <v>2405</v>
      </c>
      <c r="O908" s="196"/>
      <c r="P908" s="196"/>
      <c r="Q908" s="164"/>
      <c r="R908" s="283"/>
      <c r="S908" s="204"/>
      <c r="T908" s="283"/>
      <c r="U908" s="283"/>
      <c r="V908" s="304"/>
      <c r="W908" s="225"/>
      <c r="X908" s="283"/>
      <c r="Y908" s="283"/>
      <c r="Z908" s="283"/>
      <c r="AA908" s="283"/>
      <c r="AB908" s="283"/>
      <c r="AC908" s="283"/>
      <c r="AD908" s="283"/>
      <c r="AE908" s="283"/>
      <c r="AF908" s="283"/>
      <c r="AG908" s="294" t="s">
        <v>115</v>
      </c>
      <c r="AH908" s="358" t="s">
        <v>2406</v>
      </c>
      <c r="AI908" s="294" t="s">
        <v>2407</v>
      </c>
      <c r="AJ908" s="225"/>
      <c r="AK908" s="225"/>
      <c r="AL908" s="24"/>
    </row>
    <row r="909" spans="1:38" ht="12.75" customHeight="1">
      <c r="A909" s="22">
        <v>907</v>
      </c>
      <c r="B909" s="24" t="str">
        <f t="shared" si="26"/>
        <v>Other (specify)</v>
      </c>
      <c r="C909" s="24" t="str">
        <f t="shared" si="3"/>
        <v>Input Option</v>
      </c>
      <c r="D909" s="24" t="str">
        <f t="shared" si="2"/>
        <v>Reason Magnesium and calcium to relieve leg cramps counseling not done</v>
      </c>
      <c r="E909" s="24" t="s">
        <v>2454</v>
      </c>
      <c r="F909" s="24">
        <v>1</v>
      </c>
      <c r="G909" s="24" t="s">
        <v>2372</v>
      </c>
      <c r="H909" s="24"/>
      <c r="I909" s="283"/>
      <c r="J909" s="234"/>
      <c r="K909" s="234"/>
      <c r="L909" s="164"/>
      <c r="M909" s="234"/>
      <c r="N909" s="204" t="s">
        <v>405</v>
      </c>
      <c r="O909" s="196"/>
      <c r="P909" s="196"/>
      <c r="Q909" s="164"/>
      <c r="R909" s="283"/>
      <c r="S909" s="204"/>
      <c r="T909" s="283"/>
      <c r="U909" s="283"/>
      <c r="V909" s="304"/>
      <c r="W909" s="225"/>
      <c r="X909" s="283"/>
      <c r="Y909" s="283"/>
      <c r="Z909" s="283"/>
      <c r="AA909" s="283"/>
      <c r="AB909" s="283"/>
      <c r="AC909" s="283"/>
      <c r="AD909" s="283"/>
      <c r="AE909" s="283"/>
      <c r="AF909" s="283"/>
      <c r="AG909" s="294" t="s">
        <v>115</v>
      </c>
      <c r="AH909" s="358" t="s">
        <v>406</v>
      </c>
      <c r="AI909" s="294" t="s">
        <v>407</v>
      </c>
      <c r="AJ909" s="225"/>
      <c r="AK909" s="225"/>
      <c r="AL909" s="24"/>
    </row>
    <row r="910" spans="1:38" ht="12.75" customHeight="1">
      <c r="A910" s="22">
        <v>908</v>
      </c>
      <c r="B910" s="24" t="s">
        <v>2518</v>
      </c>
      <c r="C910" s="24" t="str">
        <f t="shared" si="3"/>
        <v>Data Element</v>
      </c>
      <c r="D910" s="24" t="str">
        <f t="shared" si="2"/>
        <v/>
      </c>
      <c r="E910" s="24" t="s">
        <v>2454</v>
      </c>
      <c r="F910" s="24">
        <v>1</v>
      </c>
      <c r="G910" s="24" t="s">
        <v>2372</v>
      </c>
      <c r="H910" s="24"/>
      <c r="I910" s="283"/>
      <c r="J910" s="234" t="s">
        <v>409</v>
      </c>
      <c r="K910" s="234" t="s">
        <v>2519</v>
      </c>
      <c r="L910" s="164" t="s">
        <v>2410</v>
      </c>
      <c r="M910" s="234" t="s">
        <v>111</v>
      </c>
      <c r="N910" s="196"/>
      <c r="O910" s="196"/>
      <c r="P910" s="196"/>
      <c r="Q910" s="164"/>
      <c r="R910" s="283"/>
      <c r="S910" s="204" t="s">
        <v>208</v>
      </c>
      <c r="T910" s="283"/>
      <c r="U910" s="283"/>
      <c r="V910" s="304" t="s">
        <v>115</v>
      </c>
      <c r="W910" s="225"/>
      <c r="X910" s="283"/>
      <c r="Y910" s="283"/>
      <c r="Z910" s="283"/>
      <c r="AA910" s="283"/>
      <c r="AB910" s="283"/>
      <c r="AC910" s="283"/>
      <c r="AD910" s="283"/>
      <c r="AE910" s="283"/>
      <c r="AF910" s="283"/>
      <c r="AG910" s="294" t="s">
        <v>2514</v>
      </c>
      <c r="AH910" s="358" t="s">
        <v>2411</v>
      </c>
      <c r="AI910" s="294" t="s">
        <v>2412</v>
      </c>
      <c r="AJ910" s="225"/>
      <c r="AK910" s="225"/>
      <c r="AL910" s="24"/>
    </row>
    <row r="911" spans="1:38" ht="12.75" customHeight="1">
      <c r="A911" s="22">
        <v>909</v>
      </c>
      <c r="B911" s="24" t="str">
        <f t="shared" ref="B911:B913" si="27">IF(N911="",IF(M911="Calculation",K911,J911),N911)</f>
        <v>Dietary modifications to relieve constipation counseling</v>
      </c>
      <c r="C911" s="24" t="str">
        <f t="shared" si="3"/>
        <v>Data Element</v>
      </c>
      <c r="D911" s="24" t="str">
        <f t="shared" si="2"/>
        <v/>
      </c>
      <c r="E911" s="24" t="s">
        <v>2454</v>
      </c>
      <c r="F911" s="24">
        <v>1</v>
      </c>
      <c r="G911" s="24" t="s">
        <v>2372</v>
      </c>
      <c r="H911" s="24"/>
      <c r="I911" s="283"/>
      <c r="J911" s="234" t="s">
        <v>2520</v>
      </c>
      <c r="K911" s="234" t="s">
        <v>2521</v>
      </c>
      <c r="L911" s="204" t="s">
        <v>2522</v>
      </c>
      <c r="M911" s="234" t="s">
        <v>202</v>
      </c>
      <c r="N911" s="196"/>
      <c r="O911" s="196"/>
      <c r="P911" s="196"/>
      <c r="Q911" s="164"/>
      <c r="R911" s="283"/>
      <c r="S911" s="196" t="s">
        <v>113</v>
      </c>
      <c r="T911" s="283"/>
      <c r="U911" s="283"/>
      <c r="V911" s="304" t="s">
        <v>2375</v>
      </c>
      <c r="W911" s="225"/>
      <c r="X911" s="283"/>
      <c r="Y911" s="283"/>
      <c r="Z911" s="283"/>
      <c r="AA911" s="283"/>
      <c r="AB911" s="283"/>
      <c r="AC911" s="283"/>
      <c r="AD911" s="283"/>
      <c r="AE911" s="283"/>
      <c r="AF911" s="283"/>
      <c r="AG911" s="285" t="s">
        <v>2523</v>
      </c>
      <c r="AH911" s="353" t="s">
        <v>2398</v>
      </c>
      <c r="AI911" s="285" t="s">
        <v>2399</v>
      </c>
      <c r="AJ911" s="225"/>
      <c r="AK911" s="225"/>
      <c r="AL911" s="24"/>
    </row>
    <row r="912" spans="1:38" ht="12.75" customHeight="1">
      <c r="A912" s="22">
        <v>910</v>
      </c>
      <c r="B912" s="24" t="str">
        <f t="shared" si="27"/>
        <v>Done</v>
      </c>
      <c r="C912" s="24" t="str">
        <f t="shared" si="3"/>
        <v>Input Option</v>
      </c>
      <c r="D912" s="24" t="str">
        <f t="shared" si="2"/>
        <v>Dietary modifications to relieve constipation counseling</v>
      </c>
      <c r="E912" s="24" t="s">
        <v>2454</v>
      </c>
      <c r="F912" s="24">
        <v>1</v>
      </c>
      <c r="G912" s="24" t="s">
        <v>2372</v>
      </c>
      <c r="H912" s="24"/>
      <c r="I912" s="283"/>
      <c r="J912" s="234"/>
      <c r="K912" s="234"/>
      <c r="L912" s="164"/>
      <c r="M912" s="234"/>
      <c r="N912" s="196" t="s">
        <v>1673</v>
      </c>
      <c r="O912" s="196"/>
      <c r="P912" s="196"/>
      <c r="Q912" s="164"/>
      <c r="R912" s="283"/>
      <c r="S912" s="204"/>
      <c r="T912" s="283"/>
      <c r="U912" s="283"/>
      <c r="V912" s="304"/>
      <c r="W912" s="225"/>
      <c r="X912" s="283"/>
      <c r="Y912" s="283"/>
      <c r="Z912" s="283"/>
      <c r="AA912" s="283"/>
      <c r="AB912" s="283"/>
      <c r="AC912" s="283"/>
      <c r="AD912" s="283"/>
      <c r="AE912" s="283"/>
      <c r="AF912" s="283"/>
      <c r="AG912" s="285" t="s">
        <v>115</v>
      </c>
      <c r="AH912" s="353" t="s">
        <v>942</v>
      </c>
      <c r="AI912" s="205" t="s">
        <v>943</v>
      </c>
      <c r="AJ912" s="225"/>
      <c r="AK912" s="225"/>
      <c r="AL912" s="24"/>
    </row>
    <row r="913" spans="1:38" ht="12.75" customHeight="1">
      <c r="A913" s="22">
        <v>911</v>
      </c>
      <c r="B913" s="24" t="str">
        <f t="shared" si="27"/>
        <v>Not done</v>
      </c>
      <c r="C913" s="24" t="str">
        <f t="shared" si="3"/>
        <v>Input Option</v>
      </c>
      <c r="D913" s="24" t="str">
        <f t="shared" si="2"/>
        <v>Dietary modifications to relieve constipation counseling</v>
      </c>
      <c r="E913" s="24" t="s">
        <v>2454</v>
      </c>
      <c r="F913" s="24">
        <v>1</v>
      </c>
      <c r="G913" s="24" t="s">
        <v>2372</v>
      </c>
      <c r="H913" s="24"/>
      <c r="I913" s="283"/>
      <c r="J913" s="234"/>
      <c r="K913" s="234"/>
      <c r="L913" s="164"/>
      <c r="M913" s="234"/>
      <c r="N913" s="224" t="s">
        <v>1468</v>
      </c>
      <c r="O913" s="196"/>
      <c r="P913" s="196"/>
      <c r="Q913" s="164"/>
      <c r="R913" s="283"/>
      <c r="S913" s="204"/>
      <c r="T913" s="283"/>
      <c r="U913" s="283"/>
      <c r="V913" s="304"/>
      <c r="W913" s="225"/>
      <c r="X913" s="283"/>
      <c r="Y913" s="283"/>
      <c r="Z913" s="283"/>
      <c r="AA913" s="283"/>
      <c r="AB913" s="283"/>
      <c r="AC913" s="283"/>
      <c r="AD913" s="283"/>
      <c r="AE913" s="283"/>
      <c r="AF913" s="283"/>
      <c r="AG913" s="285" t="s">
        <v>115</v>
      </c>
      <c r="AH913" s="353" t="s">
        <v>1469</v>
      </c>
      <c r="AI913" s="205" t="s">
        <v>1470</v>
      </c>
      <c r="AJ913" s="225"/>
      <c r="AK913" s="225"/>
      <c r="AL913" s="24"/>
    </row>
    <row r="914" spans="1:38" ht="12.75" customHeight="1">
      <c r="A914" s="22">
        <v>912</v>
      </c>
      <c r="B914" s="24" t="s">
        <v>2524</v>
      </c>
      <c r="C914" s="24" t="str">
        <f t="shared" si="3"/>
        <v>Data Element</v>
      </c>
      <c r="D914" s="24" t="str">
        <f t="shared" si="2"/>
        <v/>
      </c>
      <c r="E914" s="24" t="s">
        <v>2454</v>
      </c>
      <c r="F914" s="24">
        <v>1</v>
      </c>
      <c r="G914" s="24" t="s">
        <v>2372</v>
      </c>
      <c r="H914" s="24"/>
      <c r="I914" s="283"/>
      <c r="J914" s="234" t="s">
        <v>1376</v>
      </c>
      <c r="K914" s="234" t="s">
        <v>2525</v>
      </c>
      <c r="L914" s="164" t="s">
        <v>2526</v>
      </c>
      <c r="M914" s="234" t="s">
        <v>202</v>
      </c>
      <c r="N914" s="224"/>
      <c r="O914" s="196"/>
      <c r="P914" s="196"/>
      <c r="Q914" s="164"/>
      <c r="R914" s="283"/>
      <c r="S914" s="204" t="s">
        <v>208</v>
      </c>
      <c r="T914" s="283"/>
      <c r="U914" s="283"/>
      <c r="V914" s="304" t="s">
        <v>115</v>
      </c>
      <c r="W914" s="225"/>
      <c r="X914" s="283"/>
      <c r="Y914" s="283"/>
      <c r="Z914" s="283"/>
      <c r="AA914" s="283"/>
      <c r="AB914" s="283"/>
      <c r="AC914" s="283"/>
      <c r="AD914" s="283"/>
      <c r="AE914" s="283"/>
      <c r="AF914" s="283"/>
      <c r="AG914" s="285" t="s">
        <v>2523</v>
      </c>
      <c r="AH914" s="353" t="s">
        <v>2403</v>
      </c>
      <c r="AI914" s="285" t="s">
        <v>2404</v>
      </c>
      <c r="AJ914" s="225"/>
      <c r="AK914" s="225"/>
      <c r="AL914" s="24"/>
    </row>
    <row r="915" spans="1:38" ht="12.75" customHeight="1">
      <c r="A915" s="22">
        <v>913</v>
      </c>
      <c r="B915" s="24" t="str">
        <f t="shared" ref="B915:B916" si="28">IF(N915="",IF(M915="Calculation",K915,J915),N915)</f>
        <v>Referred instead</v>
      </c>
      <c r="C915" s="24" t="str">
        <f t="shared" si="3"/>
        <v>Input Option</v>
      </c>
      <c r="D915" s="24" t="str">
        <f t="shared" si="2"/>
        <v>Reason Dietary modifications to relieve constipation counseling not done</v>
      </c>
      <c r="E915" s="24" t="s">
        <v>2454</v>
      </c>
      <c r="F915" s="24">
        <v>1</v>
      </c>
      <c r="G915" s="24" t="s">
        <v>2372</v>
      </c>
      <c r="H915" s="24"/>
      <c r="I915" s="283"/>
      <c r="J915" s="234"/>
      <c r="K915" s="234"/>
      <c r="L915" s="164"/>
      <c r="M915" s="234"/>
      <c r="N915" s="204" t="s">
        <v>2405</v>
      </c>
      <c r="O915" s="196"/>
      <c r="P915" s="196"/>
      <c r="Q915" s="164"/>
      <c r="R915" s="283"/>
      <c r="S915" s="204"/>
      <c r="T915" s="283"/>
      <c r="U915" s="283"/>
      <c r="V915" s="304"/>
      <c r="W915" s="225"/>
      <c r="X915" s="283"/>
      <c r="Y915" s="283"/>
      <c r="Z915" s="283"/>
      <c r="AA915" s="283"/>
      <c r="AB915" s="283"/>
      <c r="AC915" s="283"/>
      <c r="AD915" s="283"/>
      <c r="AE915" s="283"/>
      <c r="AF915" s="283"/>
      <c r="AG915" s="294" t="s">
        <v>115</v>
      </c>
      <c r="AH915" s="358" t="s">
        <v>2406</v>
      </c>
      <c r="AI915" s="294" t="s">
        <v>2407</v>
      </c>
      <c r="AJ915" s="225"/>
      <c r="AK915" s="225"/>
      <c r="AL915" s="24"/>
    </row>
    <row r="916" spans="1:38" ht="12.75" customHeight="1">
      <c r="A916" s="22">
        <v>914</v>
      </c>
      <c r="B916" s="24" t="str">
        <f t="shared" si="28"/>
        <v>Other (specify)</v>
      </c>
      <c r="C916" s="24" t="str">
        <f t="shared" si="3"/>
        <v>Input Option</v>
      </c>
      <c r="D916" s="24" t="str">
        <f t="shared" si="2"/>
        <v>Reason Dietary modifications to relieve constipation counseling not done</v>
      </c>
      <c r="E916" s="24" t="s">
        <v>2454</v>
      </c>
      <c r="F916" s="24">
        <v>1</v>
      </c>
      <c r="G916" s="24" t="s">
        <v>2372</v>
      </c>
      <c r="H916" s="24"/>
      <c r="I916" s="283"/>
      <c r="J916" s="234"/>
      <c r="K916" s="234"/>
      <c r="L916" s="164"/>
      <c r="M916" s="234"/>
      <c r="N916" s="204" t="s">
        <v>405</v>
      </c>
      <c r="O916" s="196"/>
      <c r="P916" s="196"/>
      <c r="Q916" s="164"/>
      <c r="R916" s="283"/>
      <c r="S916" s="204"/>
      <c r="T916" s="283"/>
      <c r="U916" s="283"/>
      <c r="V916" s="304"/>
      <c r="W916" s="225"/>
      <c r="X916" s="283"/>
      <c r="Y916" s="283"/>
      <c r="Z916" s="283"/>
      <c r="AA916" s="283"/>
      <c r="AB916" s="283"/>
      <c r="AC916" s="283"/>
      <c r="AD916" s="283"/>
      <c r="AE916" s="283"/>
      <c r="AF916" s="283"/>
      <c r="AG916" s="294" t="s">
        <v>115</v>
      </c>
      <c r="AH916" s="358" t="s">
        <v>406</v>
      </c>
      <c r="AI916" s="294" t="s">
        <v>407</v>
      </c>
      <c r="AJ916" s="225"/>
      <c r="AK916" s="225"/>
      <c r="AL916" s="24"/>
    </row>
    <row r="917" spans="1:38" ht="12.75" customHeight="1">
      <c r="A917" s="22">
        <v>915</v>
      </c>
      <c r="B917" s="24" t="s">
        <v>2528</v>
      </c>
      <c r="C917" s="24" t="str">
        <f t="shared" si="3"/>
        <v>Data Element</v>
      </c>
      <c r="D917" s="24" t="str">
        <f t="shared" si="2"/>
        <v/>
      </c>
      <c r="E917" s="24" t="s">
        <v>2454</v>
      </c>
      <c r="F917" s="24">
        <v>1</v>
      </c>
      <c r="G917" s="24" t="s">
        <v>2372</v>
      </c>
      <c r="H917" s="24"/>
      <c r="I917" s="283"/>
      <c r="J917" s="234" t="s">
        <v>409</v>
      </c>
      <c r="K917" s="234" t="s">
        <v>2529</v>
      </c>
      <c r="L917" s="164" t="s">
        <v>2410</v>
      </c>
      <c r="M917" s="234" t="s">
        <v>111</v>
      </c>
      <c r="N917" s="196"/>
      <c r="O917" s="196"/>
      <c r="P917" s="196"/>
      <c r="Q917" s="164"/>
      <c r="R917" s="283"/>
      <c r="S917" s="204" t="s">
        <v>208</v>
      </c>
      <c r="T917" s="283"/>
      <c r="U917" s="283"/>
      <c r="V917" s="304" t="s">
        <v>115</v>
      </c>
      <c r="W917" s="225"/>
      <c r="X917" s="283"/>
      <c r="Y917" s="283"/>
      <c r="Z917" s="283"/>
      <c r="AA917" s="283"/>
      <c r="AB917" s="283"/>
      <c r="AC917" s="283"/>
      <c r="AD917" s="283"/>
      <c r="AE917" s="283"/>
      <c r="AF917" s="283"/>
      <c r="AG917" s="294" t="s">
        <v>2523</v>
      </c>
      <c r="AH917" s="358" t="s">
        <v>2411</v>
      </c>
      <c r="AI917" s="294" t="s">
        <v>2412</v>
      </c>
      <c r="AJ917" s="225"/>
      <c r="AK917" s="225"/>
      <c r="AL917" s="24"/>
    </row>
    <row r="918" spans="1:38" ht="12.75" customHeight="1">
      <c r="A918" s="22">
        <v>916</v>
      </c>
      <c r="B918" s="24" t="str">
        <f t="shared" ref="B918:B920" si="29">IF(N918="",IF(M918="Calculation",K918,J918),N918)</f>
        <v>Wheat bran or other fiber supplements to relieve constipation counseling</v>
      </c>
      <c r="C918" s="24" t="str">
        <f t="shared" si="3"/>
        <v>Data Element</v>
      </c>
      <c r="D918" s="24" t="str">
        <f t="shared" si="2"/>
        <v/>
      </c>
      <c r="E918" s="24" t="s">
        <v>2454</v>
      </c>
      <c r="F918" s="24">
        <v>1</v>
      </c>
      <c r="G918" s="24" t="s">
        <v>2372</v>
      </c>
      <c r="H918" s="24"/>
      <c r="I918" s="283"/>
      <c r="J918" s="234" t="s">
        <v>2530</v>
      </c>
      <c r="K918" s="234" t="s">
        <v>2531</v>
      </c>
      <c r="L918" s="204" t="s">
        <v>2532</v>
      </c>
      <c r="M918" s="234" t="s">
        <v>202</v>
      </c>
      <c r="N918" s="196"/>
      <c r="O918" s="196"/>
      <c r="P918" s="196"/>
      <c r="Q918" s="164"/>
      <c r="R918" s="283"/>
      <c r="S918" s="196" t="s">
        <v>208</v>
      </c>
      <c r="T918" s="283"/>
      <c r="U918" s="283"/>
      <c r="V918" s="304" t="s">
        <v>2375</v>
      </c>
      <c r="W918" s="225"/>
      <c r="X918" s="283"/>
      <c r="Y918" s="283"/>
      <c r="Z918" s="283"/>
      <c r="AA918" s="283"/>
      <c r="AB918" s="283"/>
      <c r="AC918" s="283"/>
      <c r="AD918" s="283"/>
      <c r="AE918" s="283"/>
      <c r="AF918" s="283"/>
      <c r="AG918" s="285" t="s">
        <v>2533</v>
      </c>
      <c r="AH918" s="353" t="s">
        <v>2398</v>
      </c>
      <c r="AI918" s="285" t="s">
        <v>2399</v>
      </c>
      <c r="AJ918" s="225"/>
      <c r="AK918" s="225"/>
      <c r="AL918" s="24"/>
    </row>
    <row r="919" spans="1:38" ht="12.75" customHeight="1">
      <c r="A919" s="22">
        <v>917</v>
      </c>
      <c r="B919" s="24" t="str">
        <f t="shared" si="29"/>
        <v>Done</v>
      </c>
      <c r="C919" s="24" t="str">
        <f t="shared" si="3"/>
        <v>Input Option</v>
      </c>
      <c r="D919" s="24" t="str">
        <f t="shared" si="2"/>
        <v>Wheat bran or other fiber supplements to relieve constipation counseling</v>
      </c>
      <c r="E919" s="24" t="s">
        <v>2454</v>
      </c>
      <c r="F919" s="24">
        <v>1</v>
      </c>
      <c r="G919" s="24" t="s">
        <v>2372</v>
      </c>
      <c r="H919" s="24"/>
      <c r="I919" s="283"/>
      <c r="J919" s="234"/>
      <c r="K919" s="234"/>
      <c r="L919" s="164"/>
      <c r="M919" s="234"/>
      <c r="N919" s="196" t="s">
        <v>1673</v>
      </c>
      <c r="O919" s="196"/>
      <c r="P919" s="196"/>
      <c r="Q919" s="164"/>
      <c r="R919" s="283"/>
      <c r="S919" s="204"/>
      <c r="T919" s="283"/>
      <c r="U919" s="283"/>
      <c r="V919" s="304"/>
      <c r="W919" s="225"/>
      <c r="X919" s="283"/>
      <c r="Y919" s="283"/>
      <c r="Z919" s="283"/>
      <c r="AA919" s="283"/>
      <c r="AB919" s="283"/>
      <c r="AC919" s="283"/>
      <c r="AD919" s="283"/>
      <c r="AE919" s="283"/>
      <c r="AF919" s="283"/>
      <c r="AG919" s="285" t="s">
        <v>115</v>
      </c>
      <c r="AH919" s="353" t="s">
        <v>942</v>
      </c>
      <c r="AI919" s="205" t="s">
        <v>943</v>
      </c>
      <c r="AJ919" s="225"/>
      <c r="AK919" s="225"/>
      <c r="AL919" s="24"/>
    </row>
    <row r="920" spans="1:38" ht="12.75" customHeight="1">
      <c r="A920" s="22">
        <v>918</v>
      </c>
      <c r="B920" s="24" t="str">
        <f t="shared" si="29"/>
        <v>Not done</v>
      </c>
      <c r="C920" s="24" t="str">
        <f t="shared" si="3"/>
        <v>Input Option</v>
      </c>
      <c r="D920" s="24" t="str">
        <f t="shared" si="2"/>
        <v>Wheat bran or other fiber supplements to relieve constipation counseling</v>
      </c>
      <c r="E920" s="24" t="s">
        <v>2454</v>
      </c>
      <c r="F920" s="24">
        <v>1</v>
      </c>
      <c r="G920" s="24" t="s">
        <v>2372</v>
      </c>
      <c r="H920" s="24"/>
      <c r="I920" s="283"/>
      <c r="J920" s="234"/>
      <c r="K920" s="234"/>
      <c r="L920" s="164"/>
      <c r="M920" s="234"/>
      <c r="N920" s="224" t="s">
        <v>1468</v>
      </c>
      <c r="O920" s="196"/>
      <c r="P920" s="196"/>
      <c r="Q920" s="164"/>
      <c r="R920" s="283"/>
      <c r="S920" s="204"/>
      <c r="T920" s="283"/>
      <c r="U920" s="283"/>
      <c r="V920" s="304"/>
      <c r="W920" s="225"/>
      <c r="X920" s="283"/>
      <c r="Y920" s="283"/>
      <c r="Z920" s="283"/>
      <c r="AA920" s="283"/>
      <c r="AB920" s="283"/>
      <c r="AC920" s="283"/>
      <c r="AD920" s="283"/>
      <c r="AE920" s="283"/>
      <c r="AF920" s="283"/>
      <c r="AG920" s="285" t="s">
        <v>115</v>
      </c>
      <c r="AH920" s="353" t="s">
        <v>1469</v>
      </c>
      <c r="AI920" s="205" t="s">
        <v>1470</v>
      </c>
      <c r="AJ920" s="225"/>
      <c r="AK920" s="225"/>
      <c r="AL920" s="24"/>
    </row>
    <row r="921" spans="1:38" ht="12.75" customHeight="1">
      <c r="A921" s="22">
        <v>919</v>
      </c>
      <c r="B921" s="24" t="s">
        <v>2534</v>
      </c>
      <c r="C921" s="24" t="str">
        <f t="shared" si="3"/>
        <v>Data Element</v>
      </c>
      <c r="D921" s="24" t="str">
        <f t="shared" si="2"/>
        <v/>
      </c>
      <c r="E921" s="24" t="s">
        <v>2454</v>
      </c>
      <c r="F921" s="24">
        <v>1</v>
      </c>
      <c r="G921" s="24" t="s">
        <v>2372</v>
      </c>
      <c r="H921" s="24"/>
      <c r="I921" s="283"/>
      <c r="J921" s="234" t="s">
        <v>1376</v>
      </c>
      <c r="K921" s="234" t="s">
        <v>2535</v>
      </c>
      <c r="L921" s="164" t="s">
        <v>2536</v>
      </c>
      <c r="M921" s="234" t="s">
        <v>202</v>
      </c>
      <c r="N921" s="224"/>
      <c r="O921" s="196"/>
      <c r="P921" s="196"/>
      <c r="Q921" s="164"/>
      <c r="R921" s="283"/>
      <c r="S921" s="204" t="s">
        <v>208</v>
      </c>
      <c r="T921" s="283"/>
      <c r="U921" s="283"/>
      <c r="V921" s="304" t="s">
        <v>115</v>
      </c>
      <c r="W921" s="225"/>
      <c r="X921" s="283"/>
      <c r="Y921" s="283"/>
      <c r="Z921" s="283"/>
      <c r="AA921" s="283"/>
      <c r="AB921" s="283"/>
      <c r="AC921" s="283"/>
      <c r="AD921" s="283"/>
      <c r="AE921" s="283"/>
      <c r="AF921" s="283"/>
      <c r="AG921" s="285" t="s">
        <v>2533</v>
      </c>
      <c r="AH921" s="353" t="s">
        <v>2403</v>
      </c>
      <c r="AI921" s="285" t="s">
        <v>2404</v>
      </c>
      <c r="AJ921" s="225"/>
      <c r="AK921" s="225"/>
      <c r="AL921" s="24"/>
    </row>
    <row r="922" spans="1:38" ht="12.75" customHeight="1">
      <c r="A922" s="22">
        <v>920</v>
      </c>
      <c r="B922" s="24" t="str">
        <f t="shared" ref="B922:B923" si="30">IF(N922="",IF(M922="Calculation",K922,J922),N922)</f>
        <v>Referred instead</v>
      </c>
      <c r="C922" s="24" t="str">
        <f t="shared" si="3"/>
        <v>Input Option</v>
      </c>
      <c r="D922" s="24" t="str">
        <f t="shared" si="2"/>
        <v>Reason Wheat bran or other fiber supplements to relieve constipation counseling not done</v>
      </c>
      <c r="E922" s="24" t="s">
        <v>2454</v>
      </c>
      <c r="F922" s="24">
        <v>1</v>
      </c>
      <c r="G922" s="24" t="s">
        <v>2372</v>
      </c>
      <c r="H922" s="24"/>
      <c r="I922" s="283"/>
      <c r="J922" s="234"/>
      <c r="K922" s="234"/>
      <c r="L922" s="164"/>
      <c r="M922" s="234"/>
      <c r="N922" s="204" t="s">
        <v>2405</v>
      </c>
      <c r="O922" s="196"/>
      <c r="P922" s="196"/>
      <c r="Q922" s="164"/>
      <c r="R922" s="283"/>
      <c r="S922" s="204"/>
      <c r="T922" s="283"/>
      <c r="U922" s="283"/>
      <c r="V922" s="304"/>
      <c r="W922" s="225"/>
      <c r="X922" s="283"/>
      <c r="Y922" s="283"/>
      <c r="Z922" s="283"/>
      <c r="AA922" s="283"/>
      <c r="AB922" s="283"/>
      <c r="AC922" s="283"/>
      <c r="AD922" s="283"/>
      <c r="AE922" s="283"/>
      <c r="AF922" s="283"/>
      <c r="AG922" s="294" t="s">
        <v>115</v>
      </c>
      <c r="AH922" s="358" t="s">
        <v>2406</v>
      </c>
      <c r="AI922" s="294" t="s">
        <v>2407</v>
      </c>
      <c r="AJ922" s="225"/>
      <c r="AK922" s="225"/>
      <c r="AL922" s="24"/>
    </row>
    <row r="923" spans="1:38" ht="12.75" customHeight="1">
      <c r="A923" s="22">
        <v>921</v>
      </c>
      <c r="B923" s="24" t="str">
        <f t="shared" si="30"/>
        <v>Other (specify)</v>
      </c>
      <c r="C923" s="24" t="str">
        <f t="shared" si="3"/>
        <v>Input Option</v>
      </c>
      <c r="D923" s="24" t="str">
        <f t="shared" si="2"/>
        <v>Reason Wheat bran or other fiber supplements to relieve constipation counseling not done</v>
      </c>
      <c r="E923" s="24" t="s">
        <v>2454</v>
      </c>
      <c r="F923" s="24">
        <v>1</v>
      </c>
      <c r="G923" s="24" t="s">
        <v>2372</v>
      </c>
      <c r="H923" s="24"/>
      <c r="I923" s="283"/>
      <c r="J923" s="234"/>
      <c r="K923" s="234"/>
      <c r="L923" s="164"/>
      <c r="M923" s="234"/>
      <c r="N923" s="204" t="s">
        <v>405</v>
      </c>
      <c r="O923" s="196"/>
      <c r="P923" s="196"/>
      <c r="Q923" s="164"/>
      <c r="R923" s="283"/>
      <c r="S923" s="204"/>
      <c r="T923" s="283"/>
      <c r="U923" s="283"/>
      <c r="V923" s="304"/>
      <c r="W923" s="225"/>
      <c r="X923" s="283"/>
      <c r="Y923" s="283"/>
      <c r="Z923" s="283"/>
      <c r="AA923" s="283"/>
      <c r="AB923" s="283"/>
      <c r="AC923" s="283"/>
      <c r="AD923" s="283"/>
      <c r="AE923" s="283"/>
      <c r="AF923" s="283"/>
      <c r="AG923" s="294" t="s">
        <v>115</v>
      </c>
      <c r="AH923" s="358" t="s">
        <v>406</v>
      </c>
      <c r="AI923" s="294" t="s">
        <v>407</v>
      </c>
      <c r="AJ923" s="225"/>
      <c r="AK923" s="225"/>
      <c r="AL923" s="24"/>
    </row>
    <row r="924" spans="1:38" ht="12.75" customHeight="1">
      <c r="A924" s="22">
        <v>922</v>
      </c>
      <c r="B924" s="24" t="s">
        <v>2537</v>
      </c>
      <c r="C924" s="24" t="str">
        <f t="shared" si="3"/>
        <v>Data Element</v>
      </c>
      <c r="D924" s="24" t="str">
        <f t="shared" si="2"/>
        <v/>
      </c>
      <c r="E924" s="24" t="s">
        <v>2454</v>
      </c>
      <c r="F924" s="24">
        <v>1</v>
      </c>
      <c r="G924" s="24" t="s">
        <v>2372</v>
      </c>
      <c r="H924" s="24"/>
      <c r="I924" s="283"/>
      <c r="J924" s="297" t="s">
        <v>409</v>
      </c>
      <c r="K924" s="234" t="s">
        <v>2538</v>
      </c>
      <c r="L924" s="164" t="s">
        <v>2410</v>
      </c>
      <c r="M924" s="234" t="s">
        <v>111</v>
      </c>
      <c r="N924" s="196"/>
      <c r="O924" s="196"/>
      <c r="P924" s="196"/>
      <c r="Q924" s="164"/>
      <c r="R924" s="283"/>
      <c r="S924" s="204" t="s">
        <v>208</v>
      </c>
      <c r="T924" s="283"/>
      <c r="U924" s="283"/>
      <c r="V924" s="304" t="s">
        <v>115</v>
      </c>
      <c r="W924" s="225"/>
      <c r="X924" s="283"/>
      <c r="Y924" s="283"/>
      <c r="Z924" s="283"/>
      <c r="AA924" s="283"/>
      <c r="AB924" s="283"/>
      <c r="AC924" s="283"/>
      <c r="AD924" s="283"/>
      <c r="AE924" s="283"/>
      <c r="AF924" s="283"/>
      <c r="AG924" s="294" t="s">
        <v>2533</v>
      </c>
      <c r="AH924" s="358" t="s">
        <v>2411</v>
      </c>
      <c r="AI924" s="294" t="s">
        <v>2412</v>
      </c>
      <c r="AJ924" s="225"/>
      <c r="AK924" s="225"/>
      <c r="AL924" s="24"/>
    </row>
    <row r="925" spans="1:38" ht="12.75" customHeight="1">
      <c r="A925" s="22">
        <v>923</v>
      </c>
      <c r="B925" s="24" t="str">
        <f t="shared" ref="B925:B927" si="31">IF(N925="",IF(M925="Calculation",K925,J925),N925)</f>
        <v>Regular exercise, physiotherapy, support belts and acupuncture to relieve low back and pelvic pain counseling</v>
      </c>
      <c r="C925" s="24" t="str">
        <f t="shared" si="3"/>
        <v>Data Element</v>
      </c>
      <c r="D925" s="24" t="str">
        <f t="shared" si="2"/>
        <v/>
      </c>
      <c r="E925" s="24" t="s">
        <v>2454</v>
      </c>
      <c r="F925" s="24">
        <v>1</v>
      </c>
      <c r="G925" s="24" t="s">
        <v>2372</v>
      </c>
      <c r="H925" s="24"/>
      <c r="I925" s="283"/>
      <c r="J925" s="234" t="s">
        <v>2539</v>
      </c>
      <c r="K925" s="234" t="s">
        <v>2540</v>
      </c>
      <c r="L925" s="204" t="s">
        <v>2541</v>
      </c>
      <c r="M925" s="234" t="s">
        <v>202</v>
      </c>
      <c r="N925" s="196"/>
      <c r="O925" s="196"/>
      <c r="P925" s="196"/>
      <c r="Q925" s="196"/>
      <c r="R925" s="283"/>
      <c r="S925" s="196" t="s">
        <v>113</v>
      </c>
      <c r="T925" s="283"/>
      <c r="U925" s="283"/>
      <c r="V925" s="304" t="s">
        <v>2375</v>
      </c>
      <c r="W925" s="225"/>
      <c r="X925" s="283"/>
      <c r="Y925" s="283"/>
      <c r="Z925" s="283"/>
      <c r="AA925" s="283"/>
      <c r="AB925" s="283"/>
      <c r="AC925" s="283"/>
      <c r="AD925" s="283"/>
      <c r="AE925" s="283"/>
      <c r="AF925" s="283"/>
      <c r="AG925" s="285" t="s">
        <v>2542</v>
      </c>
      <c r="AH925" s="353" t="s">
        <v>2398</v>
      </c>
      <c r="AI925" s="285" t="s">
        <v>2399</v>
      </c>
      <c r="AJ925" s="225"/>
      <c r="AK925" s="225"/>
      <c r="AL925" s="24"/>
    </row>
    <row r="926" spans="1:38" ht="12.75" customHeight="1">
      <c r="A926" s="22">
        <v>924</v>
      </c>
      <c r="B926" s="24" t="str">
        <f t="shared" si="31"/>
        <v>Done</v>
      </c>
      <c r="C926" s="24" t="str">
        <f t="shared" si="3"/>
        <v>Input Option</v>
      </c>
      <c r="D926" s="24" t="str">
        <f t="shared" si="2"/>
        <v>Regular exercise, physiotherapy, support belts and acupuncture to relieve low back and pelvic pain counseling</v>
      </c>
      <c r="E926" s="24" t="s">
        <v>2454</v>
      </c>
      <c r="F926" s="24">
        <v>1</v>
      </c>
      <c r="G926" s="24" t="s">
        <v>2372</v>
      </c>
      <c r="H926" s="24"/>
      <c r="I926" s="283"/>
      <c r="J926" s="234"/>
      <c r="K926" s="234"/>
      <c r="L926" s="164"/>
      <c r="M926" s="234"/>
      <c r="N926" s="196" t="s">
        <v>1673</v>
      </c>
      <c r="O926" s="196"/>
      <c r="P926" s="196"/>
      <c r="Q926" s="164"/>
      <c r="R926" s="283"/>
      <c r="S926" s="204"/>
      <c r="T926" s="283"/>
      <c r="U926" s="283"/>
      <c r="V926" s="304"/>
      <c r="W926" s="225"/>
      <c r="X926" s="283"/>
      <c r="Y926" s="283"/>
      <c r="Z926" s="283"/>
      <c r="AA926" s="283"/>
      <c r="AB926" s="283"/>
      <c r="AC926" s="283"/>
      <c r="AD926" s="283"/>
      <c r="AE926" s="283"/>
      <c r="AF926" s="283"/>
      <c r="AG926" s="285" t="s">
        <v>115</v>
      </c>
      <c r="AH926" s="353" t="s">
        <v>942</v>
      </c>
      <c r="AI926" s="205" t="s">
        <v>943</v>
      </c>
      <c r="AJ926" s="225"/>
      <c r="AK926" s="225"/>
      <c r="AL926" s="24"/>
    </row>
    <row r="927" spans="1:38" ht="12.75" customHeight="1">
      <c r="A927" s="22">
        <v>925</v>
      </c>
      <c r="B927" s="24" t="str">
        <f t="shared" si="31"/>
        <v>Not done</v>
      </c>
      <c r="C927" s="24" t="str">
        <f t="shared" si="3"/>
        <v>Input Option</v>
      </c>
      <c r="D927" s="24" t="str">
        <f t="shared" si="2"/>
        <v>Regular exercise, physiotherapy, support belts and acupuncture to relieve low back and pelvic pain counseling</v>
      </c>
      <c r="E927" s="24" t="s">
        <v>2454</v>
      </c>
      <c r="F927" s="24">
        <v>1</v>
      </c>
      <c r="G927" s="24" t="s">
        <v>2372</v>
      </c>
      <c r="H927" s="24"/>
      <c r="I927" s="283"/>
      <c r="J927" s="234"/>
      <c r="K927" s="234"/>
      <c r="L927" s="164"/>
      <c r="M927" s="234"/>
      <c r="N927" s="224" t="s">
        <v>1468</v>
      </c>
      <c r="O927" s="196"/>
      <c r="P927" s="196"/>
      <c r="Q927" s="164"/>
      <c r="R927" s="283"/>
      <c r="S927" s="204"/>
      <c r="T927" s="283"/>
      <c r="U927" s="283"/>
      <c r="V927" s="304"/>
      <c r="W927" s="225"/>
      <c r="X927" s="283"/>
      <c r="Y927" s="283"/>
      <c r="Z927" s="283"/>
      <c r="AA927" s="283"/>
      <c r="AB927" s="283"/>
      <c r="AC927" s="283"/>
      <c r="AD927" s="283"/>
      <c r="AE927" s="283"/>
      <c r="AF927" s="283"/>
      <c r="AG927" s="285" t="s">
        <v>115</v>
      </c>
      <c r="AH927" s="353" t="s">
        <v>1469</v>
      </c>
      <c r="AI927" s="205" t="s">
        <v>1470</v>
      </c>
      <c r="AJ927" s="225"/>
      <c r="AK927" s="225"/>
      <c r="AL927" s="24"/>
    </row>
    <row r="928" spans="1:38" ht="12.75" customHeight="1">
      <c r="A928" s="22">
        <v>926</v>
      </c>
      <c r="B928" s="24" t="s">
        <v>2543</v>
      </c>
      <c r="C928" s="24" t="str">
        <f t="shared" si="3"/>
        <v>Data Element</v>
      </c>
      <c r="D928" s="24" t="str">
        <f t="shared" si="2"/>
        <v/>
      </c>
      <c r="E928" s="24" t="s">
        <v>2454</v>
      </c>
      <c r="F928" s="24">
        <v>1</v>
      </c>
      <c r="G928" s="24" t="s">
        <v>2372</v>
      </c>
      <c r="H928" s="24"/>
      <c r="I928" s="283"/>
      <c r="J928" s="234" t="s">
        <v>1376</v>
      </c>
      <c r="K928" s="234" t="s">
        <v>2544</v>
      </c>
      <c r="L928" s="164" t="s">
        <v>2545</v>
      </c>
      <c r="M928" s="234" t="s">
        <v>202</v>
      </c>
      <c r="N928" s="224"/>
      <c r="O928" s="196"/>
      <c r="P928" s="196"/>
      <c r="Q928" s="164"/>
      <c r="R928" s="283"/>
      <c r="S928" s="204" t="s">
        <v>208</v>
      </c>
      <c r="T928" s="283"/>
      <c r="U928" s="283"/>
      <c r="V928" s="304" t="s">
        <v>115</v>
      </c>
      <c r="W928" s="225"/>
      <c r="X928" s="283"/>
      <c r="Y928" s="283"/>
      <c r="Z928" s="283"/>
      <c r="AA928" s="283"/>
      <c r="AB928" s="283"/>
      <c r="AC928" s="283"/>
      <c r="AD928" s="283"/>
      <c r="AE928" s="283"/>
      <c r="AF928" s="283"/>
      <c r="AG928" s="285" t="s">
        <v>2542</v>
      </c>
      <c r="AH928" s="353" t="s">
        <v>2403</v>
      </c>
      <c r="AI928" s="285" t="s">
        <v>2404</v>
      </c>
      <c r="AJ928" s="225"/>
      <c r="AK928" s="225"/>
      <c r="AL928" s="24"/>
    </row>
    <row r="929" spans="1:38" ht="12.75" customHeight="1">
      <c r="A929" s="22">
        <v>927</v>
      </c>
      <c r="B929" s="24" t="str">
        <f t="shared" ref="B929:B930" si="32">IF(N929="",IF(M929="Calculation",K929,J929),N929)</f>
        <v>Referred instead</v>
      </c>
      <c r="C929" s="24" t="str">
        <f t="shared" si="3"/>
        <v>Input Option</v>
      </c>
      <c r="D929" s="24" t="str">
        <f t="shared" si="2"/>
        <v>Reason Regular exercise, physiotherapy, support belts and acupuncture to relieve low back and pelvic pain counseling not done</v>
      </c>
      <c r="E929" s="24" t="s">
        <v>2454</v>
      </c>
      <c r="F929" s="24">
        <v>1</v>
      </c>
      <c r="G929" s="24" t="s">
        <v>2372</v>
      </c>
      <c r="H929" s="24"/>
      <c r="I929" s="283"/>
      <c r="J929" s="234"/>
      <c r="K929" s="234"/>
      <c r="L929" s="164"/>
      <c r="M929" s="234"/>
      <c r="N929" s="204" t="s">
        <v>2405</v>
      </c>
      <c r="O929" s="196"/>
      <c r="P929" s="196"/>
      <c r="Q929" s="164"/>
      <c r="R929" s="283"/>
      <c r="S929" s="204"/>
      <c r="T929" s="283"/>
      <c r="U929" s="283"/>
      <c r="V929" s="304"/>
      <c r="W929" s="225"/>
      <c r="X929" s="283"/>
      <c r="Y929" s="283"/>
      <c r="Z929" s="283"/>
      <c r="AA929" s="283"/>
      <c r="AB929" s="283"/>
      <c r="AC929" s="283"/>
      <c r="AD929" s="283"/>
      <c r="AE929" s="283"/>
      <c r="AF929" s="283"/>
      <c r="AG929" s="294" t="s">
        <v>115</v>
      </c>
      <c r="AH929" s="358" t="s">
        <v>2406</v>
      </c>
      <c r="AI929" s="294" t="s">
        <v>2407</v>
      </c>
      <c r="AJ929" s="225"/>
      <c r="AK929" s="225"/>
      <c r="AL929" s="24"/>
    </row>
    <row r="930" spans="1:38" ht="12.75" customHeight="1">
      <c r="A930" s="22">
        <v>928</v>
      </c>
      <c r="B930" s="24" t="str">
        <f t="shared" si="32"/>
        <v>Other (specify)</v>
      </c>
      <c r="C930" s="24" t="str">
        <f t="shared" si="3"/>
        <v>Input Option</v>
      </c>
      <c r="D930" s="24" t="str">
        <f t="shared" si="2"/>
        <v>Reason Regular exercise, physiotherapy, support belts and acupuncture to relieve low back and pelvic pain counseling not done</v>
      </c>
      <c r="E930" s="24" t="s">
        <v>2454</v>
      </c>
      <c r="F930" s="24">
        <v>1</v>
      </c>
      <c r="G930" s="24" t="s">
        <v>2372</v>
      </c>
      <c r="H930" s="24"/>
      <c r="I930" s="283"/>
      <c r="J930" s="234"/>
      <c r="K930" s="234"/>
      <c r="L930" s="164"/>
      <c r="M930" s="234"/>
      <c r="N930" s="204" t="s">
        <v>405</v>
      </c>
      <c r="O930" s="196"/>
      <c r="P930" s="196"/>
      <c r="Q930" s="164"/>
      <c r="R930" s="283"/>
      <c r="S930" s="204"/>
      <c r="T930" s="283"/>
      <c r="U930" s="283"/>
      <c r="V930" s="304"/>
      <c r="W930" s="225"/>
      <c r="X930" s="283"/>
      <c r="Y930" s="283"/>
      <c r="Z930" s="283"/>
      <c r="AA930" s="283"/>
      <c r="AB930" s="283"/>
      <c r="AC930" s="283"/>
      <c r="AD930" s="283"/>
      <c r="AE930" s="283"/>
      <c r="AF930" s="283"/>
      <c r="AG930" s="294" t="s">
        <v>115</v>
      </c>
      <c r="AH930" s="358" t="s">
        <v>406</v>
      </c>
      <c r="AI930" s="294" t="s">
        <v>407</v>
      </c>
      <c r="AJ930" s="225"/>
      <c r="AK930" s="225"/>
      <c r="AL930" s="24"/>
    </row>
    <row r="931" spans="1:38" ht="12.75" customHeight="1">
      <c r="A931" s="22">
        <v>929</v>
      </c>
      <c r="B931" s="24" t="s">
        <v>2548</v>
      </c>
      <c r="C931" s="24" t="str">
        <f t="shared" si="3"/>
        <v>Data Element</v>
      </c>
      <c r="D931" s="24" t="str">
        <f t="shared" si="2"/>
        <v/>
      </c>
      <c r="E931" s="24" t="s">
        <v>2454</v>
      </c>
      <c r="F931" s="24">
        <v>1</v>
      </c>
      <c r="G931" s="24" t="s">
        <v>2372</v>
      </c>
      <c r="H931" s="24"/>
      <c r="I931" s="283"/>
      <c r="J931" s="234" t="s">
        <v>409</v>
      </c>
      <c r="K931" s="234" t="s">
        <v>2549</v>
      </c>
      <c r="L931" s="164" t="s">
        <v>2410</v>
      </c>
      <c r="M931" s="234" t="s">
        <v>111</v>
      </c>
      <c r="N931" s="196"/>
      <c r="O931" s="196"/>
      <c r="P931" s="196"/>
      <c r="Q931" s="164"/>
      <c r="R931" s="283"/>
      <c r="S931" s="204" t="s">
        <v>208</v>
      </c>
      <c r="T931" s="283"/>
      <c r="U931" s="283"/>
      <c r="V931" s="304" t="s">
        <v>115</v>
      </c>
      <c r="W931" s="225"/>
      <c r="X931" s="283"/>
      <c r="Y931" s="283"/>
      <c r="Z931" s="283"/>
      <c r="AA931" s="283"/>
      <c r="AB931" s="283"/>
      <c r="AC931" s="283"/>
      <c r="AD931" s="283"/>
      <c r="AE931" s="283"/>
      <c r="AF931" s="283"/>
      <c r="AG931" s="294" t="s">
        <v>2542</v>
      </c>
      <c r="AH931" s="358" t="s">
        <v>2411</v>
      </c>
      <c r="AI931" s="294" t="s">
        <v>2412</v>
      </c>
      <c r="AJ931" s="225"/>
      <c r="AK931" s="225"/>
      <c r="AL931" s="24"/>
    </row>
    <row r="932" spans="1:38" ht="12.75" customHeight="1">
      <c r="A932" s="22">
        <v>930</v>
      </c>
      <c r="B932" s="24" t="str">
        <f t="shared" ref="B932:B934" si="33">IF(N932="",IF(M932="Calculation",K932,J932),N932)</f>
        <v>Non-pharmacological options for varicose veins and oedema counseling</v>
      </c>
      <c r="C932" s="24" t="str">
        <f t="shared" si="3"/>
        <v>Data Element</v>
      </c>
      <c r="D932" s="24" t="str">
        <f t="shared" si="2"/>
        <v/>
      </c>
      <c r="E932" s="24" t="s">
        <v>2454</v>
      </c>
      <c r="F932" s="24">
        <v>1</v>
      </c>
      <c r="G932" s="24" t="s">
        <v>2372</v>
      </c>
      <c r="H932" s="24"/>
      <c r="I932" s="283"/>
      <c r="J932" s="234" t="s">
        <v>2550</v>
      </c>
      <c r="K932" s="234" t="s">
        <v>2551</v>
      </c>
      <c r="L932" s="204" t="s">
        <v>2552</v>
      </c>
      <c r="M932" s="234" t="s">
        <v>202</v>
      </c>
      <c r="N932" s="196"/>
      <c r="O932" s="196"/>
      <c r="P932" s="196"/>
      <c r="Q932" s="164"/>
      <c r="R932" s="283"/>
      <c r="S932" s="196" t="s">
        <v>113</v>
      </c>
      <c r="T932" s="283"/>
      <c r="U932" s="283"/>
      <c r="V932" s="304" t="s">
        <v>2375</v>
      </c>
      <c r="W932" s="225"/>
      <c r="X932" s="283"/>
      <c r="Y932" s="283"/>
      <c r="Z932" s="283"/>
      <c r="AA932" s="283"/>
      <c r="AB932" s="283"/>
      <c r="AC932" s="283"/>
      <c r="AD932" s="283"/>
      <c r="AE932" s="283"/>
      <c r="AF932" s="283"/>
      <c r="AG932" s="285" t="s">
        <v>2554</v>
      </c>
      <c r="AH932" s="353" t="s">
        <v>2398</v>
      </c>
      <c r="AI932" s="285" t="s">
        <v>2399</v>
      </c>
      <c r="AJ932" s="225"/>
      <c r="AK932" s="225"/>
      <c r="AL932" s="24"/>
    </row>
    <row r="933" spans="1:38" ht="12.75" customHeight="1">
      <c r="A933" s="22">
        <v>931</v>
      </c>
      <c r="B933" s="24" t="str">
        <f t="shared" si="33"/>
        <v>Done</v>
      </c>
      <c r="C933" s="24" t="str">
        <f t="shared" si="3"/>
        <v>Input Option</v>
      </c>
      <c r="D933" s="24" t="str">
        <f t="shared" si="2"/>
        <v>Non-pharmacological options for varicose veins and oedema counseling</v>
      </c>
      <c r="E933" s="24" t="s">
        <v>2454</v>
      </c>
      <c r="F933" s="24">
        <v>1</v>
      </c>
      <c r="G933" s="24" t="s">
        <v>2372</v>
      </c>
      <c r="H933" s="24"/>
      <c r="I933" s="283"/>
      <c r="J933" s="234"/>
      <c r="K933" s="234"/>
      <c r="L933" s="164"/>
      <c r="M933" s="234"/>
      <c r="N933" s="196" t="s">
        <v>1673</v>
      </c>
      <c r="O933" s="196"/>
      <c r="P933" s="196"/>
      <c r="Q933" s="164"/>
      <c r="R933" s="283"/>
      <c r="S933" s="204"/>
      <c r="T933" s="283"/>
      <c r="U933" s="283"/>
      <c r="V933" s="304"/>
      <c r="W933" s="225"/>
      <c r="X933" s="283"/>
      <c r="Y933" s="283"/>
      <c r="Z933" s="283"/>
      <c r="AA933" s="283"/>
      <c r="AB933" s="283"/>
      <c r="AC933" s="283"/>
      <c r="AD933" s="283"/>
      <c r="AE933" s="283"/>
      <c r="AF933" s="283"/>
      <c r="AG933" s="285" t="s">
        <v>115</v>
      </c>
      <c r="AH933" s="353" t="s">
        <v>942</v>
      </c>
      <c r="AI933" s="205" t="s">
        <v>943</v>
      </c>
      <c r="AJ933" s="225"/>
      <c r="AK933" s="225"/>
      <c r="AL933" s="24"/>
    </row>
    <row r="934" spans="1:38" ht="12.75" customHeight="1">
      <c r="A934" s="22">
        <v>932</v>
      </c>
      <c r="B934" s="24" t="str">
        <f t="shared" si="33"/>
        <v>Not done</v>
      </c>
      <c r="C934" s="24" t="str">
        <f t="shared" si="3"/>
        <v>Input Option</v>
      </c>
      <c r="D934" s="24" t="str">
        <f t="shared" si="2"/>
        <v>Non-pharmacological options for varicose veins and oedema counseling</v>
      </c>
      <c r="E934" s="24" t="s">
        <v>2454</v>
      </c>
      <c r="F934" s="24">
        <v>1</v>
      </c>
      <c r="G934" s="24" t="s">
        <v>2372</v>
      </c>
      <c r="H934" s="24"/>
      <c r="I934" s="283"/>
      <c r="J934" s="234"/>
      <c r="K934" s="234"/>
      <c r="L934" s="164"/>
      <c r="M934" s="234"/>
      <c r="N934" s="224" t="s">
        <v>1468</v>
      </c>
      <c r="O934" s="196"/>
      <c r="P934" s="196"/>
      <c r="Q934" s="164"/>
      <c r="R934" s="283"/>
      <c r="S934" s="204"/>
      <c r="T934" s="283"/>
      <c r="U934" s="283"/>
      <c r="V934" s="304"/>
      <c r="W934" s="225"/>
      <c r="X934" s="283"/>
      <c r="Y934" s="283"/>
      <c r="Z934" s="283"/>
      <c r="AA934" s="283"/>
      <c r="AB934" s="283"/>
      <c r="AC934" s="283"/>
      <c r="AD934" s="283"/>
      <c r="AE934" s="283"/>
      <c r="AF934" s="283"/>
      <c r="AG934" s="285" t="s">
        <v>115</v>
      </c>
      <c r="AH934" s="353" t="s">
        <v>1469</v>
      </c>
      <c r="AI934" s="205" t="s">
        <v>1470</v>
      </c>
      <c r="AJ934" s="225"/>
      <c r="AK934" s="225"/>
      <c r="AL934" s="24"/>
    </row>
    <row r="935" spans="1:38" ht="12.75" customHeight="1">
      <c r="A935" s="22">
        <v>933</v>
      </c>
      <c r="B935" s="24" t="s">
        <v>2556</v>
      </c>
      <c r="C935" s="24" t="str">
        <f t="shared" si="3"/>
        <v>Data Element</v>
      </c>
      <c r="D935" s="24" t="str">
        <f t="shared" si="2"/>
        <v/>
      </c>
      <c r="E935" s="24" t="s">
        <v>2454</v>
      </c>
      <c r="F935" s="24">
        <v>1</v>
      </c>
      <c r="G935" s="24" t="s">
        <v>2372</v>
      </c>
      <c r="H935" s="24"/>
      <c r="I935" s="283"/>
      <c r="J935" s="234" t="s">
        <v>1376</v>
      </c>
      <c r="K935" s="234" t="s">
        <v>2557</v>
      </c>
      <c r="L935" s="164" t="s">
        <v>2558</v>
      </c>
      <c r="M935" s="234" t="s">
        <v>202</v>
      </c>
      <c r="N935" s="224"/>
      <c r="O935" s="196"/>
      <c r="P935" s="196"/>
      <c r="Q935" s="164"/>
      <c r="R935" s="283"/>
      <c r="S935" s="204" t="s">
        <v>208</v>
      </c>
      <c r="T935" s="283"/>
      <c r="U935" s="283"/>
      <c r="V935" s="304" t="s">
        <v>115</v>
      </c>
      <c r="W935" s="225"/>
      <c r="X935" s="283"/>
      <c r="Y935" s="283"/>
      <c r="Z935" s="283"/>
      <c r="AA935" s="283"/>
      <c r="AB935" s="283"/>
      <c r="AC935" s="283"/>
      <c r="AD935" s="283"/>
      <c r="AE935" s="283"/>
      <c r="AF935" s="283"/>
      <c r="AG935" s="285" t="s">
        <v>2554</v>
      </c>
      <c r="AH935" s="353" t="s">
        <v>2403</v>
      </c>
      <c r="AI935" s="285" t="s">
        <v>2404</v>
      </c>
      <c r="AJ935" s="225"/>
      <c r="AK935" s="225"/>
      <c r="AL935" s="24"/>
    </row>
    <row r="936" spans="1:38" ht="12.75" customHeight="1">
      <c r="A936" s="22">
        <v>934</v>
      </c>
      <c r="B936" s="24" t="str">
        <f t="shared" ref="B936:B937" si="34">IF(N936="",IF(M936="Calculation",K936,J936),N936)</f>
        <v>Referred instead</v>
      </c>
      <c r="C936" s="24" t="str">
        <f t="shared" si="3"/>
        <v>Input Option</v>
      </c>
      <c r="D936" s="24" t="str">
        <f t="shared" si="2"/>
        <v>Reason Non-pharmacological options for varicose veins and oedema counseling not done</v>
      </c>
      <c r="E936" s="24" t="s">
        <v>2454</v>
      </c>
      <c r="F936" s="24">
        <v>1</v>
      </c>
      <c r="G936" s="24" t="s">
        <v>2372</v>
      </c>
      <c r="H936" s="24"/>
      <c r="I936" s="283"/>
      <c r="J936" s="234"/>
      <c r="K936" s="234"/>
      <c r="L936" s="164"/>
      <c r="M936" s="234"/>
      <c r="N936" s="204" t="s">
        <v>2405</v>
      </c>
      <c r="O936" s="196"/>
      <c r="P936" s="196"/>
      <c r="Q936" s="164"/>
      <c r="R936" s="283"/>
      <c r="S936" s="204"/>
      <c r="T936" s="283"/>
      <c r="U936" s="283"/>
      <c r="V936" s="304"/>
      <c r="W936" s="225"/>
      <c r="X936" s="283"/>
      <c r="Y936" s="283"/>
      <c r="Z936" s="283"/>
      <c r="AA936" s="283"/>
      <c r="AB936" s="283"/>
      <c r="AC936" s="283"/>
      <c r="AD936" s="283"/>
      <c r="AE936" s="283"/>
      <c r="AF936" s="283"/>
      <c r="AG936" s="294" t="s">
        <v>115</v>
      </c>
      <c r="AH936" s="358" t="s">
        <v>2406</v>
      </c>
      <c r="AI936" s="294" t="s">
        <v>2407</v>
      </c>
      <c r="AJ936" s="225"/>
      <c r="AK936" s="225"/>
      <c r="AL936" s="24"/>
    </row>
    <row r="937" spans="1:38" ht="12.75" customHeight="1">
      <c r="A937" s="22">
        <v>935</v>
      </c>
      <c r="B937" s="24" t="str">
        <f t="shared" si="34"/>
        <v>Other (specify)</v>
      </c>
      <c r="C937" s="24" t="str">
        <f t="shared" si="3"/>
        <v>Input Option</v>
      </c>
      <c r="D937" s="24" t="str">
        <f t="shared" si="2"/>
        <v>Reason Non-pharmacological options for varicose veins and oedema counseling not done</v>
      </c>
      <c r="E937" s="24" t="s">
        <v>2454</v>
      </c>
      <c r="F937" s="24">
        <v>1</v>
      </c>
      <c r="G937" s="24" t="s">
        <v>2372</v>
      </c>
      <c r="H937" s="24"/>
      <c r="I937" s="283"/>
      <c r="J937" s="234"/>
      <c r="K937" s="234"/>
      <c r="L937" s="164"/>
      <c r="M937" s="234"/>
      <c r="N937" s="204" t="s">
        <v>405</v>
      </c>
      <c r="O937" s="196"/>
      <c r="P937" s="196"/>
      <c r="Q937" s="164"/>
      <c r="R937" s="283"/>
      <c r="S937" s="204"/>
      <c r="T937" s="283"/>
      <c r="U937" s="283"/>
      <c r="V937" s="304"/>
      <c r="W937" s="225"/>
      <c r="X937" s="283"/>
      <c r="Y937" s="283"/>
      <c r="Z937" s="283"/>
      <c r="AA937" s="283"/>
      <c r="AB937" s="283"/>
      <c r="AC937" s="283"/>
      <c r="AD937" s="283"/>
      <c r="AE937" s="283"/>
      <c r="AF937" s="283"/>
      <c r="AG937" s="294" t="s">
        <v>115</v>
      </c>
      <c r="AH937" s="358" t="s">
        <v>406</v>
      </c>
      <c r="AI937" s="294" t="s">
        <v>407</v>
      </c>
      <c r="AJ937" s="225"/>
      <c r="AK937" s="225"/>
      <c r="AL937" s="24"/>
    </row>
    <row r="938" spans="1:38" ht="12.75" customHeight="1">
      <c r="A938" s="22">
        <v>936</v>
      </c>
      <c r="B938" s="24" t="s">
        <v>2559</v>
      </c>
      <c r="C938" s="24" t="str">
        <f t="shared" si="3"/>
        <v>Data Element</v>
      </c>
      <c r="D938" s="24" t="str">
        <f t="shared" si="2"/>
        <v/>
      </c>
      <c r="E938" s="24" t="s">
        <v>2454</v>
      </c>
      <c r="F938" s="24">
        <v>1</v>
      </c>
      <c r="G938" s="24" t="s">
        <v>2372</v>
      </c>
      <c r="H938" s="24"/>
      <c r="I938" s="283"/>
      <c r="J938" s="234" t="s">
        <v>409</v>
      </c>
      <c r="K938" s="234" t="s">
        <v>2560</v>
      </c>
      <c r="L938" s="164" t="s">
        <v>2410</v>
      </c>
      <c r="M938" s="234" t="s">
        <v>111</v>
      </c>
      <c r="N938" s="196"/>
      <c r="O938" s="196"/>
      <c r="P938" s="196"/>
      <c r="Q938" s="164"/>
      <c r="R938" s="283"/>
      <c r="S938" s="204" t="s">
        <v>208</v>
      </c>
      <c r="T938" s="283"/>
      <c r="U938" s="283"/>
      <c r="V938" s="304" t="s">
        <v>115</v>
      </c>
      <c r="W938" s="225"/>
      <c r="X938" s="283"/>
      <c r="Y938" s="283"/>
      <c r="Z938" s="283"/>
      <c r="AA938" s="283"/>
      <c r="AB938" s="283"/>
      <c r="AC938" s="283"/>
      <c r="AD938" s="283"/>
      <c r="AE938" s="283"/>
      <c r="AF938" s="283"/>
      <c r="AG938" s="294" t="s">
        <v>2554</v>
      </c>
      <c r="AH938" s="358" t="s">
        <v>2411</v>
      </c>
      <c r="AI938" s="294" t="s">
        <v>2412</v>
      </c>
      <c r="AJ938" s="225"/>
      <c r="AK938" s="225"/>
      <c r="AL938" s="24"/>
    </row>
    <row r="939" spans="1:38" ht="12.75" customHeight="1">
      <c r="A939" s="22">
        <v>937</v>
      </c>
      <c r="B939" s="24" t="str">
        <f t="shared" ref="B939:B944" si="35">IF(N939="",IF(M939="Calculation",K939,J939),N939)</f>
        <v>mag_calc</v>
      </c>
      <c r="C939" s="24" t="str">
        <f t="shared" si="3"/>
        <v>Calculation</v>
      </c>
      <c r="D939" s="24" t="str">
        <f t="shared" si="2"/>
        <v/>
      </c>
      <c r="E939" s="24" t="s">
        <v>2454</v>
      </c>
      <c r="F939" s="24">
        <v>1</v>
      </c>
      <c r="G939" s="24" t="s">
        <v>2372</v>
      </c>
      <c r="H939" s="24"/>
      <c r="I939" s="283"/>
      <c r="J939" s="298" t="s">
        <v>115</v>
      </c>
      <c r="K939" s="298" t="s">
        <v>2561</v>
      </c>
      <c r="L939" s="298" t="s">
        <v>2562</v>
      </c>
      <c r="M939" s="298" t="s">
        <v>65</v>
      </c>
      <c r="N939" s="164"/>
      <c r="O939" s="298" t="s">
        <v>2563</v>
      </c>
      <c r="P939" s="298"/>
      <c r="Q939" s="164"/>
      <c r="R939" s="283"/>
      <c r="S939" s="298" t="s">
        <v>115</v>
      </c>
      <c r="T939" s="283"/>
      <c r="U939" s="283"/>
      <c r="V939" s="298" t="s">
        <v>115</v>
      </c>
      <c r="W939" s="225"/>
      <c r="X939" s="283"/>
      <c r="Y939" s="283"/>
      <c r="Z939" s="283"/>
      <c r="AA939" s="283"/>
      <c r="AB939" s="283"/>
      <c r="AC939" s="283"/>
      <c r="AD939" s="283"/>
      <c r="AE939" s="283"/>
      <c r="AF939" s="283"/>
      <c r="AG939" s="285" t="s">
        <v>115</v>
      </c>
      <c r="AH939" s="285" t="s">
        <v>115</v>
      </c>
      <c r="AI939" s="285" t="s">
        <v>115</v>
      </c>
      <c r="AJ939" s="225"/>
      <c r="AK939" s="225"/>
      <c r="AL939" s="24"/>
    </row>
    <row r="940" spans="1:38" ht="12.75" customHeight="1">
      <c r="A940" s="22">
        <v>938</v>
      </c>
      <c r="B940" s="24" t="str">
        <f t="shared" si="35"/>
        <v>nausea_pharma</v>
      </c>
      <c r="C940" s="24" t="str">
        <f t="shared" si="3"/>
        <v>Calculation</v>
      </c>
      <c r="D940" s="24" t="str">
        <f t="shared" si="2"/>
        <v/>
      </c>
      <c r="E940" s="24" t="s">
        <v>2454</v>
      </c>
      <c r="F940" s="24">
        <v>1</v>
      </c>
      <c r="G940" s="24" t="s">
        <v>2372</v>
      </c>
      <c r="H940" s="24"/>
      <c r="I940" s="283"/>
      <c r="J940" s="298" t="s">
        <v>115</v>
      </c>
      <c r="K940" s="298" t="s">
        <v>2564</v>
      </c>
      <c r="L940" s="298" t="s">
        <v>2565</v>
      </c>
      <c r="M940" s="298" t="s">
        <v>65</v>
      </c>
      <c r="N940" s="164"/>
      <c r="O940" s="298" t="s">
        <v>2566</v>
      </c>
      <c r="P940" s="298"/>
      <c r="Q940" s="164"/>
      <c r="R940" s="283"/>
      <c r="S940" s="298" t="s">
        <v>115</v>
      </c>
      <c r="T940" s="283"/>
      <c r="U940" s="283"/>
      <c r="V940" s="298" t="s">
        <v>115</v>
      </c>
      <c r="W940" s="225"/>
      <c r="X940" s="283"/>
      <c r="Y940" s="283"/>
      <c r="Z940" s="283"/>
      <c r="AA940" s="283"/>
      <c r="AB940" s="283"/>
      <c r="AC940" s="283"/>
      <c r="AD940" s="283"/>
      <c r="AE940" s="283"/>
      <c r="AF940" s="283"/>
      <c r="AG940" s="285" t="s">
        <v>115</v>
      </c>
      <c r="AH940" s="285" t="s">
        <v>115</v>
      </c>
      <c r="AI940" s="285" t="s">
        <v>115</v>
      </c>
      <c r="AJ940" s="225"/>
      <c r="AK940" s="225"/>
      <c r="AL940" s="24"/>
    </row>
    <row r="941" spans="1:38" ht="12.75" customHeight="1">
      <c r="A941" s="22">
        <v>939</v>
      </c>
      <c r="B941" s="24" t="str">
        <f t="shared" si="35"/>
        <v>antacid</v>
      </c>
      <c r="C941" s="24" t="str">
        <f t="shared" si="3"/>
        <v>Calculation</v>
      </c>
      <c r="D941" s="24" t="str">
        <f t="shared" si="2"/>
        <v/>
      </c>
      <c r="E941" s="24" t="s">
        <v>2454</v>
      </c>
      <c r="F941" s="24">
        <v>1</v>
      </c>
      <c r="G941" s="24" t="s">
        <v>2372</v>
      </c>
      <c r="H941" s="24"/>
      <c r="I941" s="283"/>
      <c r="J941" s="298" t="s">
        <v>115</v>
      </c>
      <c r="K941" s="298" t="s">
        <v>2567</v>
      </c>
      <c r="L941" s="298" t="s">
        <v>2568</v>
      </c>
      <c r="M941" s="298" t="s">
        <v>65</v>
      </c>
      <c r="N941" s="164"/>
      <c r="O941" s="298" t="s">
        <v>2569</v>
      </c>
      <c r="P941" s="298"/>
      <c r="Q941" s="164"/>
      <c r="R941" s="283"/>
      <c r="S941" s="298" t="s">
        <v>115</v>
      </c>
      <c r="T941" s="283"/>
      <c r="U941" s="283"/>
      <c r="V941" s="298" t="s">
        <v>115</v>
      </c>
      <c r="W941" s="225"/>
      <c r="X941" s="283"/>
      <c r="Y941" s="283"/>
      <c r="Z941" s="283"/>
      <c r="AA941" s="283"/>
      <c r="AB941" s="283"/>
      <c r="AC941" s="283"/>
      <c r="AD941" s="283"/>
      <c r="AE941" s="283"/>
      <c r="AF941" s="283"/>
      <c r="AG941" s="285" t="s">
        <v>115</v>
      </c>
      <c r="AH941" s="285" t="s">
        <v>115</v>
      </c>
      <c r="AI941" s="285" t="s">
        <v>115</v>
      </c>
      <c r="AJ941" s="225"/>
      <c r="AK941" s="225"/>
      <c r="AL941" s="24"/>
    </row>
    <row r="942" spans="1:38" ht="12.75" customHeight="1">
      <c r="A942" s="22">
        <v>940</v>
      </c>
      <c r="B942" s="24" t="str">
        <f t="shared" si="35"/>
        <v>Healthy eating and keeping physically active counseling</v>
      </c>
      <c r="C942" s="24" t="str">
        <f t="shared" si="3"/>
        <v>Data Element</v>
      </c>
      <c r="D942" s="24" t="str">
        <f t="shared" si="2"/>
        <v/>
      </c>
      <c r="E942" s="24" t="s">
        <v>2571</v>
      </c>
      <c r="F942" s="24">
        <v>1</v>
      </c>
      <c r="G942" s="24" t="s">
        <v>2372</v>
      </c>
      <c r="H942" s="24"/>
      <c r="I942" s="283"/>
      <c r="J942" s="204" t="s">
        <v>2570</v>
      </c>
      <c r="K942" s="204" t="s">
        <v>2572</v>
      </c>
      <c r="L942" s="204" t="s">
        <v>2573</v>
      </c>
      <c r="M942" s="204" t="s">
        <v>202</v>
      </c>
      <c r="N942" s="196"/>
      <c r="O942" s="196"/>
      <c r="P942" s="196"/>
      <c r="Q942" s="196"/>
      <c r="R942" s="283"/>
      <c r="S942" s="204" t="s">
        <v>113</v>
      </c>
      <c r="T942" s="283"/>
      <c r="U942" s="283"/>
      <c r="V942" s="204" t="s">
        <v>1277</v>
      </c>
      <c r="W942" s="225"/>
      <c r="X942" s="283"/>
      <c r="Y942" s="283"/>
      <c r="Z942" s="283"/>
      <c r="AA942" s="283"/>
      <c r="AB942" s="283"/>
      <c r="AC942" s="283"/>
      <c r="AD942" s="283"/>
      <c r="AE942" s="283"/>
      <c r="AF942" s="283"/>
      <c r="AG942" s="285" t="s">
        <v>2574</v>
      </c>
      <c r="AH942" s="357" t="s">
        <v>2398</v>
      </c>
      <c r="AI942" s="285" t="s">
        <v>2399</v>
      </c>
      <c r="AJ942" s="225"/>
      <c r="AK942" s="225"/>
      <c r="AL942" s="24"/>
    </row>
    <row r="943" spans="1:38" ht="12.75" customHeight="1">
      <c r="A943" s="22">
        <v>941</v>
      </c>
      <c r="B943" s="24" t="str">
        <f t="shared" si="35"/>
        <v>Done</v>
      </c>
      <c r="C943" s="24" t="str">
        <f t="shared" si="3"/>
        <v>Input Option</v>
      </c>
      <c r="D943" s="24" t="str">
        <f t="shared" si="2"/>
        <v>Healthy eating and keeping physically active counseling</v>
      </c>
      <c r="E943" s="24" t="s">
        <v>2571</v>
      </c>
      <c r="F943" s="24">
        <v>1</v>
      </c>
      <c r="G943" s="24" t="s">
        <v>2372</v>
      </c>
      <c r="H943" s="24"/>
      <c r="I943" s="283"/>
      <c r="J943" s="164"/>
      <c r="K943" s="204"/>
      <c r="L943" s="164"/>
      <c r="M943" s="164"/>
      <c r="N943" s="196" t="s">
        <v>1673</v>
      </c>
      <c r="O943" s="164"/>
      <c r="P943" s="164"/>
      <c r="Q943" s="164"/>
      <c r="R943" s="283"/>
      <c r="S943" s="164"/>
      <c r="T943" s="283"/>
      <c r="U943" s="283"/>
      <c r="V943" s="204"/>
      <c r="W943" s="225"/>
      <c r="X943" s="283"/>
      <c r="Y943" s="283"/>
      <c r="Z943" s="283"/>
      <c r="AA943" s="283"/>
      <c r="AB943" s="283"/>
      <c r="AC943" s="283"/>
      <c r="AD943" s="283"/>
      <c r="AE943" s="283"/>
      <c r="AF943" s="283"/>
      <c r="AG943" s="285" t="s">
        <v>115</v>
      </c>
      <c r="AH943" s="357" t="s">
        <v>942</v>
      </c>
      <c r="AI943" s="205" t="s">
        <v>943</v>
      </c>
      <c r="AJ943" s="225"/>
      <c r="AK943" s="225"/>
      <c r="AL943" s="24"/>
    </row>
    <row r="944" spans="1:38" ht="12.75" customHeight="1">
      <c r="A944" s="22">
        <v>942</v>
      </c>
      <c r="B944" s="24" t="str">
        <f t="shared" si="35"/>
        <v>Not done</v>
      </c>
      <c r="C944" s="24" t="str">
        <f t="shared" si="3"/>
        <v>Input Option</v>
      </c>
      <c r="D944" s="24" t="str">
        <f t="shared" si="2"/>
        <v>Healthy eating and keeping physically active counseling</v>
      </c>
      <c r="E944" s="24" t="s">
        <v>2571</v>
      </c>
      <c r="F944" s="24">
        <v>1</v>
      </c>
      <c r="G944" s="24" t="s">
        <v>2372</v>
      </c>
      <c r="H944" s="24"/>
      <c r="I944" s="283"/>
      <c r="J944" s="164"/>
      <c r="K944" s="204"/>
      <c r="L944" s="164"/>
      <c r="M944" s="164"/>
      <c r="N944" s="224" t="s">
        <v>1468</v>
      </c>
      <c r="O944" s="164"/>
      <c r="P944" s="164"/>
      <c r="Q944" s="164"/>
      <c r="R944" s="283"/>
      <c r="S944" s="164"/>
      <c r="T944" s="283"/>
      <c r="U944" s="283"/>
      <c r="V944" s="204"/>
      <c r="W944" s="225"/>
      <c r="X944" s="283"/>
      <c r="Y944" s="283"/>
      <c r="Z944" s="283"/>
      <c r="AA944" s="283"/>
      <c r="AB944" s="283"/>
      <c r="AC944" s="283"/>
      <c r="AD944" s="283"/>
      <c r="AE944" s="283"/>
      <c r="AF944" s="283"/>
      <c r="AG944" s="285" t="s">
        <v>115</v>
      </c>
      <c r="AH944" s="357" t="s">
        <v>1469</v>
      </c>
      <c r="AI944" s="205" t="s">
        <v>1470</v>
      </c>
      <c r="AJ944" s="225"/>
      <c r="AK944" s="225"/>
      <c r="AL944" s="24"/>
    </row>
    <row r="945" spans="1:38" ht="12.75" customHeight="1">
      <c r="A945" s="22">
        <v>943</v>
      </c>
      <c r="B945" s="24" t="s">
        <v>2575</v>
      </c>
      <c r="C945" s="24" t="str">
        <f t="shared" si="3"/>
        <v>Data Element</v>
      </c>
      <c r="D945" s="24" t="str">
        <f t="shared" si="2"/>
        <v/>
      </c>
      <c r="E945" s="24" t="s">
        <v>2571</v>
      </c>
      <c r="F945" s="24">
        <v>1</v>
      </c>
      <c r="G945" s="24" t="s">
        <v>2372</v>
      </c>
      <c r="H945" s="24"/>
      <c r="I945" s="283"/>
      <c r="J945" s="164" t="s">
        <v>1376</v>
      </c>
      <c r="K945" s="204" t="s">
        <v>2576</v>
      </c>
      <c r="L945" s="164" t="s">
        <v>2577</v>
      </c>
      <c r="M945" s="164" t="s">
        <v>238</v>
      </c>
      <c r="N945" s="224"/>
      <c r="O945" s="164"/>
      <c r="P945" s="164"/>
      <c r="Q945" s="164"/>
      <c r="R945" s="283"/>
      <c r="S945" s="164" t="s">
        <v>113</v>
      </c>
      <c r="T945" s="283"/>
      <c r="U945" s="283"/>
      <c r="V945" s="204" t="s">
        <v>115</v>
      </c>
      <c r="W945" s="225"/>
      <c r="X945" s="283"/>
      <c r="Y945" s="283"/>
      <c r="Z945" s="283"/>
      <c r="AA945" s="283"/>
      <c r="AB945" s="283"/>
      <c r="AC945" s="283"/>
      <c r="AD945" s="283"/>
      <c r="AE945" s="283"/>
      <c r="AF945" s="283"/>
      <c r="AG945" s="285" t="s">
        <v>2574</v>
      </c>
      <c r="AH945" s="357" t="s">
        <v>2403</v>
      </c>
      <c r="AI945" s="285" t="s">
        <v>2404</v>
      </c>
      <c r="AJ945" s="225"/>
      <c r="AK945" s="225"/>
      <c r="AL945" s="24"/>
    </row>
    <row r="946" spans="1:38" ht="12.75" customHeight="1">
      <c r="A946" s="22">
        <v>944</v>
      </c>
      <c r="B946" s="24" t="str">
        <f t="shared" ref="B946:B947" si="36">IF(N946="",IF(M946="Calculation",K946,J946),N946)</f>
        <v>Referred instead</v>
      </c>
      <c r="C946" s="24" t="str">
        <f t="shared" si="3"/>
        <v>Input Option</v>
      </c>
      <c r="D946" s="24" t="str">
        <f t="shared" si="2"/>
        <v>Reason Healthy eating and keeping physically active counseling not done</v>
      </c>
      <c r="E946" s="24" t="s">
        <v>2571</v>
      </c>
      <c r="F946" s="24">
        <v>1</v>
      </c>
      <c r="G946" s="24" t="s">
        <v>2372</v>
      </c>
      <c r="H946" s="24"/>
      <c r="I946" s="283"/>
      <c r="J946" s="196"/>
      <c r="K946" s="196"/>
      <c r="L946" s="196"/>
      <c r="M946" s="196"/>
      <c r="N946" s="224" t="s">
        <v>2405</v>
      </c>
      <c r="O946" s="196"/>
      <c r="P946" s="196"/>
      <c r="Q946" s="196"/>
      <c r="R946" s="283"/>
      <c r="S946" s="196"/>
      <c r="T946" s="283"/>
      <c r="U946" s="283"/>
      <c r="V946" s="196"/>
      <c r="W946" s="225"/>
      <c r="X946" s="283"/>
      <c r="Y946" s="283"/>
      <c r="Z946" s="283"/>
      <c r="AA946" s="283"/>
      <c r="AB946" s="283"/>
      <c r="AC946" s="283"/>
      <c r="AD946" s="283"/>
      <c r="AE946" s="283"/>
      <c r="AF946" s="283"/>
      <c r="AG946" s="294" t="s">
        <v>115</v>
      </c>
      <c r="AH946" s="380" t="s">
        <v>2406</v>
      </c>
      <c r="AI946" s="294" t="s">
        <v>2407</v>
      </c>
      <c r="AJ946" s="225"/>
      <c r="AK946" s="225"/>
      <c r="AL946" s="24"/>
    </row>
    <row r="947" spans="1:38" ht="12.75" customHeight="1">
      <c r="A947" s="22">
        <v>945</v>
      </c>
      <c r="B947" s="24" t="str">
        <f t="shared" si="36"/>
        <v>Other (specify)</v>
      </c>
      <c r="C947" s="24" t="str">
        <f t="shared" si="3"/>
        <v>Input Option</v>
      </c>
      <c r="D947" s="24" t="str">
        <f t="shared" si="2"/>
        <v>Reason Healthy eating and keeping physically active counseling not done</v>
      </c>
      <c r="E947" s="24" t="s">
        <v>2571</v>
      </c>
      <c r="F947" s="24">
        <v>1</v>
      </c>
      <c r="G947" s="24" t="s">
        <v>2372</v>
      </c>
      <c r="H947" s="24"/>
      <c r="I947" s="283"/>
      <c r="J947" s="196"/>
      <c r="K947" s="196"/>
      <c r="L947" s="196"/>
      <c r="M947" s="196"/>
      <c r="N947" s="204" t="s">
        <v>405</v>
      </c>
      <c r="O947" s="196"/>
      <c r="P947" s="196"/>
      <c r="Q947" s="196"/>
      <c r="R947" s="283"/>
      <c r="S947" s="196"/>
      <c r="T947" s="283"/>
      <c r="U947" s="283"/>
      <c r="V947" s="196"/>
      <c r="W947" s="225"/>
      <c r="X947" s="283"/>
      <c r="Y947" s="283"/>
      <c r="Z947" s="283"/>
      <c r="AA947" s="283"/>
      <c r="AB947" s="283"/>
      <c r="AC947" s="283"/>
      <c r="AD947" s="283"/>
      <c r="AE947" s="283"/>
      <c r="AF947" s="283"/>
      <c r="AG947" s="294" t="s">
        <v>115</v>
      </c>
      <c r="AH947" s="380" t="s">
        <v>406</v>
      </c>
      <c r="AI947" s="294" t="s">
        <v>407</v>
      </c>
      <c r="AJ947" s="225"/>
      <c r="AK947" s="225"/>
      <c r="AL947" s="24"/>
    </row>
    <row r="948" spans="1:38" ht="12.75" customHeight="1">
      <c r="A948" s="22">
        <v>946</v>
      </c>
      <c r="B948" s="24" t="s">
        <v>2578</v>
      </c>
      <c r="C948" s="24" t="str">
        <f t="shared" si="3"/>
        <v>Data Element</v>
      </c>
      <c r="D948" s="24" t="str">
        <f t="shared" si="2"/>
        <v/>
      </c>
      <c r="E948" s="24" t="s">
        <v>2571</v>
      </c>
      <c r="F948" s="24">
        <v>1</v>
      </c>
      <c r="G948" s="24" t="s">
        <v>2372</v>
      </c>
      <c r="H948" s="24"/>
      <c r="I948" s="283"/>
      <c r="J948" s="196" t="s">
        <v>409</v>
      </c>
      <c r="K948" s="196" t="s">
        <v>2579</v>
      </c>
      <c r="L948" s="196" t="s">
        <v>2410</v>
      </c>
      <c r="M948" s="196" t="s">
        <v>111</v>
      </c>
      <c r="N948" s="196"/>
      <c r="O948" s="196"/>
      <c r="P948" s="196"/>
      <c r="Q948" s="196"/>
      <c r="R948" s="283"/>
      <c r="S948" s="196" t="s">
        <v>208</v>
      </c>
      <c r="T948" s="283"/>
      <c r="U948" s="283"/>
      <c r="V948" s="196" t="s">
        <v>115</v>
      </c>
      <c r="W948" s="225"/>
      <c r="X948" s="283"/>
      <c r="Y948" s="283"/>
      <c r="Z948" s="283"/>
      <c r="AA948" s="283"/>
      <c r="AB948" s="283"/>
      <c r="AC948" s="283"/>
      <c r="AD948" s="283"/>
      <c r="AE948" s="283"/>
      <c r="AF948" s="283"/>
      <c r="AG948" s="294" t="s">
        <v>2574</v>
      </c>
      <c r="AH948" s="380" t="s">
        <v>2411</v>
      </c>
      <c r="AI948" s="294" t="s">
        <v>2412</v>
      </c>
      <c r="AJ948" s="225"/>
      <c r="AK948" s="225"/>
      <c r="AL948" s="24"/>
    </row>
    <row r="949" spans="1:38" ht="12.75" customHeight="1">
      <c r="A949" s="22">
        <v>947</v>
      </c>
      <c r="B949" s="24" t="str">
        <f t="shared" ref="B949:B951" si="37">IF(N949="",IF(M949="Calculation",K949,J949),N949)</f>
        <v>Increase daily energy and protein intake counseling</v>
      </c>
      <c r="C949" s="24" t="str">
        <f t="shared" si="3"/>
        <v>Data Element</v>
      </c>
      <c r="D949" s="24" t="str">
        <f t="shared" si="2"/>
        <v/>
      </c>
      <c r="E949" s="24" t="s">
        <v>2571</v>
      </c>
      <c r="F949" s="24">
        <v>1</v>
      </c>
      <c r="G949" s="24" t="s">
        <v>2372</v>
      </c>
      <c r="H949" s="24"/>
      <c r="I949" s="283"/>
      <c r="J949" s="204" t="s">
        <v>2580</v>
      </c>
      <c r="K949" s="204" t="s">
        <v>2581</v>
      </c>
      <c r="L949" s="204" t="s">
        <v>2582</v>
      </c>
      <c r="M949" s="204" t="s">
        <v>202</v>
      </c>
      <c r="N949" s="196"/>
      <c r="O949" s="196"/>
      <c r="P949" s="196"/>
      <c r="Q949" s="196"/>
      <c r="R949" s="283"/>
      <c r="S949" s="204" t="s">
        <v>113</v>
      </c>
      <c r="T949" s="283"/>
      <c r="U949" s="283"/>
      <c r="V949" s="204" t="s">
        <v>2375</v>
      </c>
      <c r="W949" s="225"/>
      <c r="X949" s="283"/>
      <c r="Y949" s="283"/>
      <c r="Z949" s="283"/>
      <c r="AA949" s="283"/>
      <c r="AB949" s="283"/>
      <c r="AC949" s="283"/>
      <c r="AD949" s="283"/>
      <c r="AE949" s="283"/>
      <c r="AF949" s="283"/>
      <c r="AG949" s="285" t="s">
        <v>2583</v>
      </c>
      <c r="AH949" s="357" t="s">
        <v>2398</v>
      </c>
      <c r="AI949" s="285" t="s">
        <v>2399</v>
      </c>
      <c r="AJ949" s="225"/>
      <c r="AK949" s="225"/>
      <c r="AL949" s="24"/>
    </row>
    <row r="950" spans="1:38" ht="12.75" customHeight="1">
      <c r="A950" s="22">
        <v>948</v>
      </c>
      <c r="B950" s="24" t="str">
        <f t="shared" si="37"/>
        <v>Done</v>
      </c>
      <c r="C950" s="24" t="str">
        <f t="shared" si="3"/>
        <v>Input Option</v>
      </c>
      <c r="D950" s="24" t="str">
        <f t="shared" si="2"/>
        <v>Increase daily energy and protein intake counseling</v>
      </c>
      <c r="E950" s="24" t="s">
        <v>2571</v>
      </c>
      <c r="F950" s="24">
        <v>1</v>
      </c>
      <c r="G950" s="24" t="s">
        <v>2372</v>
      </c>
      <c r="H950" s="24"/>
      <c r="I950" s="283"/>
      <c r="J950" s="164"/>
      <c r="K950" s="204"/>
      <c r="L950" s="164"/>
      <c r="M950" s="164"/>
      <c r="N950" s="196" t="s">
        <v>1673</v>
      </c>
      <c r="O950" s="164"/>
      <c r="P950" s="164"/>
      <c r="Q950" s="164"/>
      <c r="R950" s="283"/>
      <c r="S950" s="164"/>
      <c r="T950" s="283"/>
      <c r="U950" s="283"/>
      <c r="V950" s="204"/>
      <c r="W950" s="225"/>
      <c r="X950" s="283"/>
      <c r="Y950" s="283"/>
      <c r="Z950" s="283"/>
      <c r="AA950" s="283"/>
      <c r="AB950" s="283"/>
      <c r="AC950" s="283"/>
      <c r="AD950" s="283"/>
      <c r="AE950" s="283"/>
      <c r="AF950" s="283"/>
      <c r="AG950" s="285" t="s">
        <v>115</v>
      </c>
      <c r="AH950" s="357" t="s">
        <v>942</v>
      </c>
      <c r="AI950" s="205" t="s">
        <v>943</v>
      </c>
      <c r="AJ950" s="225"/>
      <c r="AK950" s="225"/>
      <c r="AL950" s="24"/>
    </row>
    <row r="951" spans="1:38" ht="12.75" customHeight="1">
      <c r="A951" s="22">
        <v>949</v>
      </c>
      <c r="B951" s="24" t="str">
        <f t="shared" si="37"/>
        <v>Not done</v>
      </c>
      <c r="C951" s="24" t="str">
        <f t="shared" si="3"/>
        <v>Input Option</v>
      </c>
      <c r="D951" s="24" t="str">
        <f t="shared" si="2"/>
        <v>Increase daily energy and protein intake counseling</v>
      </c>
      <c r="E951" s="24" t="s">
        <v>2571</v>
      </c>
      <c r="F951" s="24">
        <v>1</v>
      </c>
      <c r="G951" s="24" t="s">
        <v>2372</v>
      </c>
      <c r="H951" s="24"/>
      <c r="I951" s="283"/>
      <c r="J951" s="164"/>
      <c r="K951" s="204"/>
      <c r="L951" s="164"/>
      <c r="M951" s="164"/>
      <c r="N951" s="224" t="s">
        <v>1468</v>
      </c>
      <c r="O951" s="164"/>
      <c r="P951" s="164"/>
      <c r="Q951" s="164"/>
      <c r="R951" s="283"/>
      <c r="S951" s="164"/>
      <c r="T951" s="283"/>
      <c r="U951" s="283"/>
      <c r="V951" s="204"/>
      <c r="W951" s="225"/>
      <c r="X951" s="283"/>
      <c r="Y951" s="283"/>
      <c r="Z951" s="283"/>
      <c r="AA951" s="283"/>
      <c r="AB951" s="283"/>
      <c r="AC951" s="283"/>
      <c r="AD951" s="283"/>
      <c r="AE951" s="283"/>
      <c r="AF951" s="283"/>
      <c r="AG951" s="285" t="s">
        <v>115</v>
      </c>
      <c r="AH951" s="357" t="s">
        <v>1469</v>
      </c>
      <c r="AI951" s="205" t="s">
        <v>1470</v>
      </c>
      <c r="AJ951" s="225"/>
      <c r="AK951" s="225"/>
      <c r="AL951" s="24"/>
    </row>
    <row r="952" spans="1:38" ht="12.75" customHeight="1">
      <c r="A952" s="22">
        <v>950</v>
      </c>
      <c r="B952" s="24" t="s">
        <v>2584</v>
      </c>
      <c r="C952" s="24" t="str">
        <f t="shared" si="3"/>
        <v>Data Element</v>
      </c>
      <c r="D952" s="24" t="str">
        <f t="shared" si="2"/>
        <v/>
      </c>
      <c r="E952" s="24" t="s">
        <v>2571</v>
      </c>
      <c r="F952" s="24">
        <v>1</v>
      </c>
      <c r="G952" s="24" t="s">
        <v>2372</v>
      </c>
      <c r="H952" s="24"/>
      <c r="I952" s="283"/>
      <c r="J952" s="164" t="s">
        <v>1376</v>
      </c>
      <c r="K952" s="204" t="s">
        <v>2585</v>
      </c>
      <c r="L952" s="164" t="s">
        <v>2586</v>
      </c>
      <c r="M952" s="164" t="s">
        <v>238</v>
      </c>
      <c r="N952" s="224"/>
      <c r="O952" s="164"/>
      <c r="P952" s="164"/>
      <c r="Q952" s="164"/>
      <c r="R952" s="283"/>
      <c r="S952" s="164" t="s">
        <v>113</v>
      </c>
      <c r="T952" s="283"/>
      <c r="U952" s="283"/>
      <c r="V952" s="204" t="s">
        <v>115</v>
      </c>
      <c r="W952" s="225"/>
      <c r="X952" s="283"/>
      <c r="Y952" s="283"/>
      <c r="Z952" s="283"/>
      <c r="AA952" s="283"/>
      <c r="AB952" s="283"/>
      <c r="AC952" s="283"/>
      <c r="AD952" s="283"/>
      <c r="AE952" s="283"/>
      <c r="AF952" s="283"/>
      <c r="AG952" s="285" t="s">
        <v>2583</v>
      </c>
      <c r="AH952" s="357" t="s">
        <v>2403</v>
      </c>
      <c r="AI952" s="285" t="s">
        <v>2404</v>
      </c>
      <c r="AJ952" s="225"/>
      <c r="AK952" s="225"/>
      <c r="AL952" s="24"/>
    </row>
    <row r="953" spans="1:38" ht="12.75" customHeight="1">
      <c r="A953" s="22">
        <v>951</v>
      </c>
      <c r="B953" s="24" t="str">
        <f t="shared" ref="B953:B954" si="38">IF(N953="",IF(M953="Calculation",K953,J953),N953)</f>
        <v>Referred instead</v>
      </c>
      <c r="C953" s="24" t="str">
        <f t="shared" si="3"/>
        <v>Input Option</v>
      </c>
      <c r="D953" s="24" t="str">
        <f t="shared" si="2"/>
        <v>Reason Increase daily energy and protein intake counseling not done</v>
      </c>
      <c r="E953" s="24" t="s">
        <v>2571</v>
      </c>
      <c r="F953" s="24">
        <v>1</v>
      </c>
      <c r="G953" s="24" t="s">
        <v>2372</v>
      </c>
      <c r="H953" s="24"/>
      <c r="I953" s="283"/>
      <c r="J953" s="164"/>
      <c r="K953" s="204"/>
      <c r="L953" s="164"/>
      <c r="M953" s="164"/>
      <c r="N953" s="204" t="s">
        <v>2405</v>
      </c>
      <c r="O953" s="164"/>
      <c r="P953" s="164"/>
      <c r="Q953" s="164"/>
      <c r="R953" s="283"/>
      <c r="S953" s="164"/>
      <c r="T953" s="283"/>
      <c r="U953" s="283"/>
      <c r="V953" s="204"/>
      <c r="W953" s="225"/>
      <c r="X953" s="283"/>
      <c r="Y953" s="283"/>
      <c r="Z953" s="283"/>
      <c r="AA953" s="283"/>
      <c r="AB953" s="283"/>
      <c r="AC953" s="283"/>
      <c r="AD953" s="283"/>
      <c r="AE953" s="283"/>
      <c r="AF953" s="283"/>
      <c r="AG953" s="285" t="s">
        <v>115</v>
      </c>
      <c r="AH953" s="359" t="s">
        <v>2406</v>
      </c>
      <c r="AI953" s="205" t="s">
        <v>2407</v>
      </c>
      <c r="AJ953" s="225"/>
      <c r="AK953" s="225"/>
      <c r="AL953" s="24"/>
    </row>
    <row r="954" spans="1:38" ht="12.75" customHeight="1">
      <c r="A954" s="22">
        <v>952</v>
      </c>
      <c r="B954" s="24" t="str">
        <f t="shared" si="38"/>
        <v>Other (specify)</v>
      </c>
      <c r="C954" s="24" t="str">
        <f t="shared" si="3"/>
        <v>Input Option</v>
      </c>
      <c r="D954" s="24" t="str">
        <f t="shared" si="2"/>
        <v>Reason Increase daily energy and protein intake counseling not done</v>
      </c>
      <c r="E954" s="24" t="s">
        <v>2571</v>
      </c>
      <c r="F954" s="24">
        <v>1</v>
      </c>
      <c r="G954" s="24" t="s">
        <v>2372</v>
      </c>
      <c r="H954" s="24"/>
      <c r="I954" s="283"/>
      <c r="J954" s="164"/>
      <c r="K954" s="204"/>
      <c r="L954" s="164"/>
      <c r="M954" s="164"/>
      <c r="N954" s="204" t="s">
        <v>405</v>
      </c>
      <c r="O954" s="164"/>
      <c r="P954" s="164"/>
      <c r="Q954" s="164"/>
      <c r="R954" s="283"/>
      <c r="S954" s="164"/>
      <c r="T954" s="283"/>
      <c r="U954" s="283"/>
      <c r="V954" s="204"/>
      <c r="W954" s="225"/>
      <c r="X954" s="283"/>
      <c r="Y954" s="283"/>
      <c r="Z954" s="283"/>
      <c r="AA954" s="283"/>
      <c r="AB954" s="283"/>
      <c r="AC954" s="283"/>
      <c r="AD954" s="283"/>
      <c r="AE954" s="283"/>
      <c r="AF954" s="283"/>
      <c r="AG954" s="285" t="s">
        <v>115</v>
      </c>
      <c r="AH954" s="359" t="s">
        <v>406</v>
      </c>
      <c r="AI954" s="205" t="s">
        <v>407</v>
      </c>
      <c r="AJ954" s="225"/>
      <c r="AK954" s="225"/>
      <c r="AL954" s="24"/>
    </row>
    <row r="955" spans="1:38" ht="12.75" customHeight="1">
      <c r="A955" s="22">
        <v>953</v>
      </c>
      <c r="B955" s="24" t="s">
        <v>2587</v>
      </c>
      <c r="C955" s="24" t="str">
        <f t="shared" si="3"/>
        <v>Data Element</v>
      </c>
      <c r="D955" s="24" t="str">
        <f t="shared" si="2"/>
        <v/>
      </c>
      <c r="E955" s="24" t="s">
        <v>2571</v>
      </c>
      <c r="F955" s="24">
        <v>1</v>
      </c>
      <c r="G955" s="24" t="s">
        <v>2372</v>
      </c>
      <c r="H955" s="24"/>
      <c r="I955" s="283"/>
      <c r="J955" s="293" t="s">
        <v>409</v>
      </c>
      <c r="K955" s="293" t="s">
        <v>2588</v>
      </c>
      <c r="L955" s="196" t="s">
        <v>2410</v>
      </c>
      <c r="M955" s="196" t="s">
        <v>111</v>
      </c>
      <c r="N955" s="196"/>
      <c r="O955" s="196"/>
      <c r="P955" s="196"/>
      <c r="Q955" s="196"/>
      <c r="R955" s="283"/>
      <c r="S955" s="293" t="s">
        <v>208</v>
      </c>
      <c r="T955" s="283"/>
      <c r="U955" s="283"/>
      <c r="V955" s="304" t="s">
        <v>115</v>
      </c>
      <c r="W955" s="225"/>
      <c r="X955" s="283"/>
      <c r="Y955" s="283"/>
      <c r="Z955" s="283"/>
      <c r="AA955" s="283"/>
      <c r="AB955" s="283"/>
      <c r="AC955" s="283"/>
      <c r="AD955" s="283"/>
      <c r="AE955" s="283"/>
      <c r="AF955" s="283"/>
      <c r="AG955" s="294" t="s">
        <v>2583</v>
      </c>
      <c r="AH955" s="380" t="s">
        <v>2411</v>
      </c>
      <c r="AI955" s="294" t="s">
        <v>2412</v>
      </c>
      <c r="AJ955" s="225"/>
      <c r="AK955" s="225"/>
      <c r="AL955" s="24"/>
    </row>
    <row r="956" spans="1:38" ht="12.75" customHeight="1">
      <c r="A956" s="22">
        <v>954</v>
      </c>
      <c r="B956" s="24" t="str">
        <f t="shared" ref="B956:B958" si="39">IF(N956="",IF(M956="Calculation",K956,J956),N956)</f>
        <v>Balanced energy and protein dietary supplementation counseling</v>
      </c>
      <c r="C956" s="24" t="str">
        <f t="shared" si="3"/>
        <v>Data Element</v>
      </c>
      <c r="D956" s="24" t="str">
        <f t="shared" si="2"/>
        <v/>
      </c>
      <c r="E956" s="24" t="s">
        <v>2571</v>
      </c>
      <c r="F956" s="24">
        <v>1</v>
      </c>
      <c r="G956" s="24" t="s">
        <v>2372</v>
      </c>
      <c r="H956" s="24"/>
      <c r="I956" s="283"/>
      <c r="J956" s="204" t="s">
        <v>2589</v>
      </c>
      <c r="K956" s="204" t="s">
        <v>2590</v>
      </c>
      <c r="L956" s="204" t="s">
        <v>2591</v>
      </c>
      <c r="M956" s="204" t="s">
        <v>202</v>
      </c>
      <c r="N956" s="196"/>
      <c r="O956" s="196"/>
      <c r="P956" s="196"/>
      <c r="Q956" s="196"/>
      <c r="R956" s="283"/>
      <c r="S956" s="204" t="s">
        <v>113</v>
      </c>
      <c r="T956" s="283"/>
      <c r="U956" s="283"/>
      <c r="V956" s="204" t="s">
        <v>2375</v>
      </c>
      <c r="W956" s="225"/>
      <c r="X956" s="283"/>
      <c r="Y956" s="283"/>
      <c r="Z956" s="283"/>
      <c r="AA956" s="283"/>
      <c r="AB956" s="283"/>
      <c r="AC956" s="283"/>
      <c r="AD956" s="283"/>
      <c r="AE956" s="283"/>
      <c r="AF956" s="283"/>
      <c r="AG956" s="285" t="s">
        <v>2592</v>
      </c>
      <c r="AH956" s="357" t="s">
        <v>2398</v>
      </c>
      <c r="AI956" s="285" t="s">
        <v>2399</v>
      </c>
      <c r="AJ956" s="225"/>
      <c r="AK956" s="225"/>
      <c r="AL956" s="24"/>
    </row>
    <row r="957" spans="1:38" ht="12.75" customHeight="1">
      <c r="A957" s="22">
        <v>955</v>
      </c>
      <c r="B957" s="24" t="str">
        <f t="shared" si="39"/>
        <v>Done</v>
      </c>
      <c r="C957" s="24" t="str">
        <f t="shared" si="3"/>
        <v>Input Option</v>
      </c>
      <c r="D957" s="24" t="str">
        <f t="shared" si="2"/>
        <v>Balanced energy and protein dietary supplementation counseling</v>
      </c>
      <c r="E957" s="24" t="s">
        <v>2571</v>
      </c>
      <c r="F957" s="24">
        <v>1</v>
      </c>
      <c r="G957" s="24" t="s">
        <v>2372</v>
      </c>
      <c r="H957" s="24"/>
      <c r="I957" s="283"/>
      <c r="J957" s="204"/>
      <c r="K957" s="204"/>
      <c r="L957" s="204"/>
      <c r="M957" s="204"/>
      <c r="N957" s="196" t="s">
        <v>1673</v>
      </c>
      <c r="O957" s="196"/>
      <c r="P957" s="196"/>
      <c r="Q957" s="196"/>
      <c r="R957" s="283"/>
      <c r="S957" s="204"/>
      <c r="T957" s="283"/>
      <c r="U957" s="283"/>
      <c r="V957" s="204"/>
      <c r="W957" s="225"/>
      <c r="X957" s="283"/>
      <c r="Y957" s="283"/>
      <c r="Z957" s="283"/>
      <c r="AA957" s="283"/>
      <c r="AB957" s="283"/>
      <c r="AC957" s="283"/>
      <c r="AD957" s="283"/>
      <c r="AE957" s="283"/>
      <c r="AF957" s="283"/>
      <c r="AG957" s="285" t="s">
        <v>115</v>
      </c>
      <c r="AH957" s="357" t="s">
        <v>942</v>
      </c>
      <c r="AI957" s="205" t="s">
        <v>943</v>
      </c>
      <c r="AJ957" s="225"/>
      <c r="AK957" s="225"/>
      <c r="AL957" s="24"/>
    </row>
    <row r="958" spans="1:38" ht="12.75" customHeight="1">
      <c r="A958" s="22">
        <v>956</v>
      </c>
      <c r="B958" s="24" t="str">
        <f t="shared" si="39"/>
        <v>Not done</v>
      </c>
      <c r="C958" s="24" t="str">
        <f t="shared" si="3"/>
        <v>Input Option</v>
      </c>
      <c r="D958" s="24" t="str">
        <f t="shared" si="2"/>
        <v>Balanced energy and protein dietary supplementation counseling</v>
      </c>
      <c r="E958" s="24" t="s">
        <v>2571</v>
      </c>
      <c r="F958" s="24">
        <v>1</v>
      </c>
      <c r="G958" s="24" t="s">
        <v>2372</v>
      </c>
      <c r="H958" s="24"/>
      <c r="I958" s="283"/>
      <c r="J958" s="204"/>
      <c r="K958" s="204"/>
      <c r="L958" s="204"/>
      <c r="M958" s="204"/>
      <c r="N958" s="224" t="s">
        <v>1468</v>
      </c>
      <c r="O958" s="196"/>
      <c r="P958" s="196"/>
      <c r="Q958" s="196"/>
      <c r="R958" s="283"/>
      <c r="S958" s="204"/>
      <c r="T958" s="283"/>
      <c r="U958" s="283"/>
      <c r="V958" s="204"/>
      <c r="W958" s="225"/>
      <c r="X958" s="283"/>
      <c r="Y958" s="283"/>
      <c r="Z958" s="283"/>
      <c r="AA958" s="283"/>
      <c r="AB958" s="283"/>
      <c r="AC958" s="283"/>
      <c r="AD958" s="283"/>
      <c r="AE958" s="283"/>
      <c r="AF958" s="283"/>
      <c r="AG958" s="285" t="s">
        <v>115</v>
      </c>
      <c r="AH958" s="357" t="s">
        <v>1469</v>
      </c>
      <c r="AI958" s="205" t="s">
        <v>1470</v>
      </c>
      <c r="AJ958" s="225"/>
      <c r="AK958" s="225"/>
      <c r="AL958" s="24"/>
    </row>
    <row r="959" spans="1:38" ht="12.75" customHeight="1">
      <c r="A959" s="22">
        <v>957</v>
      </c>
      <c r="B959" s="24" t="s">
        <v>2593</v>
      </c>
      <c r="C959" s="24" t="str">
        <f t="shared" si="3"/>
        <v>Data Element</v>
      </c>
      <c r="D959" s="24" t="str">
        <f t="shared" si="2"/>
        <v/>
      </c>
      <c r="E959" s="24" t="s">
        <v>2571</v>
      </c>
      <c r="F959" s="24">
        <v>1</v>
      </c>
      <c r="G959" s="24" t="s">
        <v>2372</v>
      </c>
      <c r="H959" s="24"/>
      <c r="I959" s="283"/>
      <c r="J959" s="164" t="s">
        <v>1376</v>
      </c>
      <c r="K959" s="204" t="s">
        <v>2594</v>
      </c>
      <c r="L959" s="164" t="s">
        <v>2595</v>
      </c>
      <c r="M959" s="164" t="s">
        <v>238</v>
      </c>
      <c r="N959" s="224"/>
      <c r="O959" s="164"/>
      <c r="P959" s="164"/>
      <c r="Q959" s="164"/>
      <c r="R959" s="283"/>
      <c r="S959" s="164" t="s">
        <v>113</v>
      </c>
      <c r="T959" s="283"/>
      <c r="U959" s="283"/>
      <c r="V959" s="204" t="s">
        <v>115</v>
      </c>
      <c r="W959" s="225"/>
      <c r="X959" s="283"/>
      <c r="Y959" s="283"/>
      <c r="Z959" s="283"/>
      <c r="AA959" s="283"/>
      <c r="AB959" s="283"/>
      <c r="AC959" s="283"/>
      <c r="AD959" s="283"/>
      <c r="AE959" s="283"/>
      <c r="AF959" s="283"/>
      <c r="AG959" s="285" t="s">
        <v>2592</v>
      </c>
      <c r="AH959" s="357" t="s">
        <v>2403</v>
      </c>
      <c r="AI959" s="285" t="s">
        <v>2404</v>
      </c>
      <c r="AJ959" s="225"/>
      <c r="AK959" s="225"/>
      <c r="AL959" s="24"/>
    </row>
    <row r="960" spans="1:38" ht="12.75" customHeight="1">
      <c r="A960" s="22">
        <v>958</v>
      </c>
      <c r="B960" s="24" t="str">
        <f t="shared" ref="B960:B961" si="40">IF(N960="",IF(M960="Calculation",K960,J960),N960)</f>
        <v>Referred instead</v>
      </c>
      <c r="C960" s="24" t="str">
        <f t="shared" si="3"/>
        <v>Input Option</v>
      </c>
      <c r="D960" s="24" t="str">
        <f t="shared" si="2"/>
        <v>Reason Balanced energy and protein dietary supplementation counseling not done</v>
      </c>
      <c r="E960" s="24" t="s">
        <v>2571</v>
      </c>
      <c r="F960" s="24">
        <v>1</v>
      </c>
      <c r="G960" s="24" t="s">
        <v>2372</v>
      </c>
      <c r="H960" s="24"/>
      <c r="I960" s="283"/>
      <c r="J960" s="164"/>
      <c r="K960" s="204"/>
      <c r="L960" s="164"/>
      <c r="M960" s="164"/>
      <c r="N960" s="204" t="s">
        <v>2405</v>
      </c>
      <c r="O960" s="164"/>
      <c r="P960" s="164"/>
      <c r="Q960" s="164"/>
      <c r="R960" s="283"/>
      <c r="S960" s="164"/>
      <c r="T960" s="283"/>
      <c r="U960" s="283"/>
      <c r="V960" s="204"/>
      <c r="W960" s="225"/>
      <c r="X960" s="283"/>
      <c r="Y960" s="283"/>
      <c r="Z960" s="283"/>
      <c r="AA960" s="283"/>
      <c r="AB960" s="283"/>
      <c r="AC960" s="283"/>
      <c r="AD960" s="283"/>
      <c r="AE960" s="283"/>
      <c r="AF960" s="283"/>
      <c r="AG960" s="285" t="s">
        <v>115</v>
      </c>
      <c r="AH960" s="359" t="s">
        <v>2406</v>
      </c>
      <c r="AI960" s="205" t="s">
        <v>2407</v>
      </c>
      <c r="AJ960" s="225"/>
      <c r="AK960" s="225"/>
      <c r="AL960" s="24"/>
    </row>
    <row r="961" spans="1:38" ht="12.75" customHeight="1">
      <c r="A961" s="22">
        <v>959</v>
      </c>
      <c r="B961" s="24" t="str">
        <f t="shared" si="40"/>
        <v>Other (specify)</v>
      </c>
      <c r="C961" s="24" t="str">
        <f t="shared" si="3"/>
        <v>Input Option</v>
      </c>
      <c r="D961" s="24" t="str">
        <f t="shared" si="2"/>
        <v>Reason Balanced energy and protein dietary supplementation counseling not done</v>
      </c>
      <c r="E961" s="24" t="s">
        <v>2571</v>
      </c>
      <c r="F961" s="24">
        <v>1</v>
      </c>
      <c r="G961" s="24" t="s">
        <v>2372</v>
      </c>
      <c r="H961" s="24"/>
      <c r="I961" s="283"/>
      <c r="J961" s="164"/>
      <c r="K961" s="204"/>
      <c r="L961" s="164"/>
      <c r="M961" s="164"/>
      <c r="N961" s="204" t="s">
        <v>405</v>
      </c>
      <c r="O961" s="164"/>
      <c r="P961" s="164"/>
      <c r="Q961" s="164"/>
      <c r="R961" s="283"/>
      <c r="S961" s="164"/>
      <c r="T961" s="283"/>
      <c r="U961" s="283"/>
      <c r="V961" s="204"/>
      <c r="W961" s="225"/>
      <c r="X961" s="283"/>
      <c r="Y961" s="283"/>
      <c r="Z961" s="283"/>
      <c r="AA961" s="283"/>
      <c r="AB961" s="283"/>
      <c r="AC961" s="283"/>
      <c r="AD961" s="283"/>
      <c r="AE961" s="283"/>
      <c r="AF961" s="283"/>
      <c r="AG961" s="285" t="s">
        <v>115</v>
      </c>
      <c r="AH961" s="359" t="s">
        <v>406</v>
      </c>
      <c r="AI961" s="205" t="s">
        <v>407</v>
      </c>
      <c r="AJ961" s="225"/>
      <c r="AK961" s="225"/>
      <c r="AL961" s="24"/>
    </row>
    <row r="962" spans="1:38" ht="12.75" customHeight="1">
      <c r="A962" s="22">
        <v>960</v>
      </c>
      <c r="B962" s="24" t="s">
        <v>2596</v>
      </c>
      <c r="C962" s="24" t="str">
        <f t="shared" si="3"/>
        <v>Data Element</v>
      </c>
      <c r="D962" s="24" t="str">
        <f t="shared" si="2"/>
        <v/>
      </c>
      <c r="E962" s="24" t="s">
        <v>2571</v>
      </c>
      <c r="F962" s="24">
        <v>1</v>
      </c>
      <c r="G962" s="24" t="s">
        <v>2372</v>
      </c>
      <c r="H962" s="24"/>
      <c r="I962" s="283"/>
      <c r="J962" s="293" t="s">
        <v>409</v>
      </c>
      <c r="K962" s="293" t="s">
        <v>2597</v>
      </c>
      <c r="L962" s="196" t="s">
        <v>2410</v>
      </c>
      <c r="M962" s="196" t="s">
        <v>111</v>
      </c>
      <c r="N962" s="196"/>
      <c r="O962" s="196"/>
      <c r="P962" s="196"/>
      <c r="Q962" s="196"/>
      <c r="R962" s="283"/>
      <c r="S962" s="293" t="s">
        <v>208</v>
      </c>
      <c r="T962" s="283"/>
      <c r="U962" s="283"/>
      <c r="V962" s="304" t="s">
        <v>115</v>
      </c>
      <c r="W962" s="225"/>
      <c r="X962" s="283"/>
      <c r="Y962" s="283"/>
      <c r="Z962" s="283"/>
      <c r="AA962" s="283"/>
      <c r="AB962" s="283"/>
      <c r="AC962" s="283"/>
      <c r="AD962" s="283"/>
      <c r="AE962" s="283"/>
      <c r="AF962" s="283"/>
      <c r="AG962" s="294" t="s">
        <v>2592</v>
      </c>
      <c r="AH962" s="380" t="s">
        <v>2411</v>
      </c>
      <c r="AI962" s="294" t="s">
        <v>2412</v>
      </c>
      <c r="AJ962" s="225"/>
      <c r="AK962" s="225"/>
      <c r="AL962" s="24"/>
    </row>
    <row r="963" spans="1:38" ht="12.75" customHeight="1">
      <c r="A963" s="22">
        <v>961</v>
      </c>
      <c r="B963" s="24" t="str">
        <f t="shared" ref="B963:B984" si="41">IF(N963="",IF(M963="Calculation",K963,J963),N963)</f>
        <v>Hypertension counseling</v>
      </c>
      <c r="C963" s="24" t="str">
        <f t="shared" si="3"/>
        <v>Data Element</v>
      </c>
      <c r="D963" s="24" t="str">
        <f t="shared" si="2"/>
        <v/>
      </c>
      <c r="E963" s="24" t="s">
        <v>2599</v>
      </c>
      <c r="F963" s="24">
        <v>1</v>
      </c>
      <c r="G963" s="24" t="s">
        <v>2372</v>
      </c>
      <c r="H963" s="24"/>
      <c r="I963" s="283"/>
      <c r="J963" s="164" t="s">
        <v>2598</v>
      </c>
      <c r="K963" s="164" t="s">
        <v>2600</v>
      </c>
      <c r="L963" s="164"/>
      <c r="M963" s="204" t="s">
        <v>202</v>
      </c>
      <c r="N963" s="196"/>
      <c r="O963" s="164"/>
      <c r="P963" s="164"/>
      <c r="Q963" s="164"/>
      <c r="R963" s="283"/>
      <c r="S963" s="164" t="s">
        <v>208</v>
      </c>
      <c r="T963" s="283"/>
      <c r="U963" s="283"/>
      <c r="V963" s="204" t="s">
        <v>2375</v>
      </c>
      <c r="W963" s="225"/>
      <c r="X963" s="283"/>
      <c r="Y963" s="283"/>
      <c r="Z963" s="283"/>
      <c r="AA963" s="283"/>
      <c r="AB963" s="283"/>
      <c r="AC963" s="283"/>
      <c r="AD963" s="283"/>
      <c r="AE963" s="283"/>
      <c r="AF963" s="283"/>
      <c r="AG963" s="285" t="s">
        <v>2601</v>
      </c>
      <c r="AH963" s="357" t="s">
        <v>2398</v>
      </c>
      <c r="AI963" s="285" t="s">
        <v>2399</v>
      </c>
      <c r="AJ963" s="225"/>
      <c r="AK963" s="225"/>
      <c r="AL963" s="24"/>
    </row>
    <row r="964" spans="1:38" ht="12.75" customHeight="1">
      <c r="A964" s="22">
        <v>962</v>
      </c>
      <c r="B964" s="24" t="str">
        <f t="shared" si="41"/>
        <v>Done</v>
      </c>
      <c r="C964" s="24" t="str">
        <f t="shared" si="3"/>
        <v>Input Option</v>
      </c>
      <c r="D964" s="24" t="str">
        <f t="shared" si="2"/>
        <v>Hypertension counseling</v>
      </c>
      <c r="E964" s="24" t="s">
        <v>2599</v>
      </c>
      <c r="F964" s="24">
        <v>1</v>
      </c>
      <c r="G964" s="24" t="s">
        <v>2372</v>
      </c>
      <c r="H964" s="24"/>
      <c r="I964" s="283"/>
      <c r="J964" s="164"/>
      <c r="K964" s="164"/>
      <c r="L964" s="164"/>
      <c r="M964" s="204"/>
      <c r="N964" s="196" t="s">
        <v>1673</v>
      </c>
      <c r="O964" s="164"/>
      <c r="P964" s="164"/>
      <c r="Q964" s="164"/>
      <c r="R964" s="283"/>
      <c r="S964" s="164"/>
      <c r="T964" s="283"/>
      <c r="U964" s="283"/>
      <c r="V964" s="204"/>
      <c r="W964" s="225"/>
      <c r="X964" s="283"/>
      <c r="Y964" s="283"/>
      <c r="Z964" s="283"/>
      <c r="AA964" s="283"/>
      <c r="AB964" s="283"/>
      <c r="AC964" s="283"/>
      <c r="AD964" s="283"/>
      <c r="AE964" s="283"/>
      <c r="AF964" s="283"/>
      <c r="AG964" s="285" t="s">
        <v>115</v>
      </c>
      <c r="AH964" s="357" t="s">
        <v>942</v>
      </c>
      <c r="AI964" s="205" t="s">
        <v>943</v>
      </c>
      <c r="AJ964" s="225"/>
      <c r="AK964" s="225"/>
      <c r="AL964" s="24"/>
    </row>
    <row r="965" spans="1:38" ht="12.75" customHeight="1">
      <c r="A965" s="22">
        <v>963</v>
      </c>
      <c r="B965" s="24" t="str">
        <f t="shared" si="41"/>
        <v>Not done</v>
      </c>
      <c r="C965" s="24" t="str">
        <f t="shared" si="3"/>
        <v>Input Option</v>
      </c>
      <c r="D965" s="24" t="str">
        <f t="shared" si="2"/>
        <v>Hypertension counseling</v>
      </c>
      <c r="E965" s="24" t="s">
        <v>2599</v>
      </c>
      <c r="F965" s="24">
        <v>1</v>
      </c>
      <c r="G965" s="24" t="s">
        <v>2372</v>
      </c>
      <c r="H965" s="24"/>
      <c r="I965" s="283"/>
      <c r="J965" s="164"/>
      <c r="K965" s="164"/>
      <c r="L965" s="164"/>
      <c r="M965" s="204"/>
      <c r="N965" s="196" t="s">
        <v>1468</v>
      </c>
      <c r="O965" s="164"/>
      <c r="P965" s="164"/>
      <c r="Q965" s="164"/>
      <c r="R965" s="283"/>
      <c r="S965" s="164"/>
      <c r="T965" s="283"/>
      <c r="U965" s="283"/>
      <c r="V965" s="204"/>
      <c r="W965" s="225"/>
      <c r="X965" s="283"/>
      <c r="Y965" s="283"/>
      <c r="Z965" s="283"/>
      <c r="AA965" s="283"/>
      <c r="AB965" s="283"/>
      <c r="AC965" s="283"/>
      <c r="AD965" s="283"/>
      <c r="AE965" s="283"/>
      <c r="AF965" s="283"/>
      <c r="AG965" s="285" t="s">
        <v>115</v>
      </c>
      <c r="AH965" s="357" t="s">
        <v>1469</v>
      </c>
      <c r="AI965" s="205" t="s">
        <v>1470</v>
      </c>
      <c r="AJ965" s="225"/>
      <c r="AK965" s="225"/>
      <c r="AL965" s="24"/>
    </row>
    <row r="966" spans="1:38" ht="12.75" customHeight="1">
      <c r="A966" s="22">
        <v>964</v>
      </c>
      <c r="B966" s="24" t="str">
        <f t="shared" si="41"/>
        <v>HIV positive counseling</v>
      </c>
      <c r="C966" s="24" t="str">
        <f t="shared" si="3"/>
        <v>Data Element</v>
      </c>
      <c r="D966" s="24" t="str">
        <f t="shared" si="2"/>
        <v/>
      </c>
      <c r="E966" s="24" t="s">
        <v>2602</v>
      </c>
      <c r="F966" s="24">
        <v>1</v>
      </c>
      <c r="G966" s="24" t="s">
        <v>2372</v>
      </c>
      <c r="H966" s="24"/>
      <c r="I966" s="283"/>
      <c r="J966" s="164" t="s">
        <v>1942</v>
      </c>
      <c r="K966" s="164" t="s">
        <v>2603</v>
      </c>
      <c r="L966" s="164"/>
      <c r="M966" s="164" t="s">
        <v>202</v>
      </c>
      <c r="N966" s="224"/>
      <c r="O966" s="164"/>
      <c r="P966" s="164"/>
      <c r="Q966" s="164"/>
      <c r="R966" s="283"/>
      <c r="S966" s="164" t="s">
        <v>208</v>
      </c>
      <c r="T966" s="283"/>
      <c r="U966" s="283"/>
      <c r="V966" s="224" t="s">
        <v>2375</v>
      </c>
      <c r="W966" s="225"/>
      <c r="X966" s="283"/>
      <c r="Y966" s="283"/>
      <c r="Z966" s="283"/>
      <c r="AA966" s="283"/>
      <c r="AB966" s="283"/>
      <c r="AC966" s="283"/>
      <c r="AD966" s="283"/>
      <c r="AE966" s="283"/>
      <c r="AF966" s="283"/>
      <c r="AG966" s="285" t="s">
        <v>2604</v>
      </c>
      <c r="AH966" s="357" t="s">
        <v>2398</v>
      </c>
      <c r="AI966" s="285" t="s">
        <v>2399</v>
      </c>
      <c r="AJ966" s="225"/>
      <c r="AK966" s="225"/>
      <c r="AL966" s="24"/>
    </row>
    <row r="967" spans="1:38" ht="12.75" customHeight="1">
      <c r="A967" s="22">
        <v>965</v>
      </c>
      <c r="B967" s="24" t="str">
        <f t="shared" si="41"/>
        <v>Done</v>
      </c>
      <c r="C967" s="24" t="str">
        <f t="shared" si="3"/>
        <v>Input Option</v>
      </c>
      <c r="D967" s="24" t="str">
        <f t="shared" si="2"/>
        <v>HIV positive counseling</v>
      </c>
      <c r="E967" s="24" t="s">
        <v>2602</v>
      </c>
      <c r="F967" s="24">
        <v>1</v>
      </c>
      <c r="G967" s="24" t="s">
        <v>2372</v>
      </c>
      <c r="H967" s="24"/>
      <c r="I967" s="283"/>
      <c r="J967" s="164"/>
      <c r="K967" s="164"/>
      <c r="L967" s="164"/>
      <c r="M967" s="164"/>
      <c r="N967" s="224" t="s">
        <v>1673</v>
      </c>
      <c r="O967" s="164"/>
      <c r="P967" s="164"/>
      <c r="Q967" s="164"/>
      <c r="R967" s="283"/>
      <c r="S967" s="164"/>
      <c r="T967" s="283"/>
      <c r="U967" s="283"/>
      <c r="V967" s="164"/>
      <c r="W967" s="225"/>
      <c r="X967" s="283"/>
      <c r="Y967" s="283"/>
      <c r="Z967" s="283"/>
      <c r="AA967" s="283"/>
      <c r="AB967" s="283"/>
      <c r="AC967" s="283"/>
      <c r="AD967" s="283"/>
      <c r="AE967" s="283"/>
      <c r="AF967" s="283"/>
      <c r="AG967" s="285" t="s">
        <v>115</v>
      </c>
      <c r="AH967" s="357" t="s">
        <v>942</v>
      </c>
      <c r="AI967" s="285" t="s">
        <v>943</v>
      </c>
      <c r="AJ967" s="225"/>
      <c r="AK967" s="225"/>
      <c r="AL967" s="24"/>
    </row>
    <row r="968" spans="1:38" ht="12.75" customHeight="1">
      <c r="A968" s="22">
        <v>966</v>
      </c>
      <c r="B968" s="24" t="str">
        <f t="shared" si="41"/>
        <v>Not done</v>
      </c>
      <c r="C968" s="24" t="str">
        <f t="shared" si="3"/>
        <v>Input Option</v>
      </c>
      <c r="D968" s="24" t="str">
        <f t="shared" si="2"/>
        <v>HIV positive counseling</v>
      </c>
      <c r="E968" s="24" t="s">
        <v>2602</v>
      </c>
      <c r="F968" s="24">
        <v>1</v>
      </c>
      <c r="G968" s="24" t="s">
        <v>2372</v>
      </c>
      <c r="H968" s="24"/>
      <c r="I968" s="283"/>
      <c r="J968" s="164"/>
      <c r="K968" s="164"/>
      <c r="L968" s="164"/>
      <c r="M968" s="164"/>
      <c r="N968" s="224" t="s">
        <v>1468</v>
      </c>
      <c r="O968" s="164"/>
      <c r="P968" s="164"/>
      <c r="Q968" s="164"/>
      <c r="R968" s="283"/>
      <c r="S968" s="164"/>
      <c r="T968" s="283"/>
      <c r="U968" s="283"/>
      <c r="V968" s="164"/>
      <c r="W968" s="225"/>
      <c r="X968" s="283"/>
      <c r="Y968" s="283"/>
      <c r="Z968" s="283"/>
      <c r="AA968" s="283"/>
      <c r="AB968" s="283"/>
      <c r="AC968" s="283"/>
      <c r="AD968" s="283"/>
      <c r="AE968" s="283"/>
      <c r="AF968" s="283"/>
      <c r="AG968" s="285" t="s">
        <v>115</v>
      </c>
      <c r="AH968" s="357" t="s">
        <v>1469</v>
      </c>
      <c r="AI968" s="285" t="s">
        <v>1470</v>
      </c>
      <c r="AJ968" s="225"/>
      <c r="AK968" s="225"/>
      <c r="AL968" s="24"/>
    </row>
    <row r="969" spans="1:38" ht="12.75" customHeight="1">
      <c r="A969" s="22">
        <v>967</v>
      </c>
      <c r="B969" s="24" t="str">
        <f t="shared" si="41"/>
        <v>Hepatitis B positive counseling</v>
      </c>
      <c r="C969" s="24" t="str">
        <f t="shared" si="3"/>
        <v>Data Element</v>
      </c>
      <c r="D969" s="24" t="str">
        <f t="shared" si="2"/>
        <v/>
      </c>
      <c r="E969" s="24" t="s">
        <v>2606</v>
      </c>
      <c r="F969" s="24">
        <v>1</v>
      </c>
      <c r="G969" s="24" t="s">
        <v>2372</v>
      </c>
      <c r="H969" s="24"/>
      <c r="I969" s="283"/>
      <c r="J969" s="164" t="s">
        <v>2605</v>
      </c>
      <c r="K969" s="164" t="s">
        <v>2607</v>
      </c>
      <c r="L969" s="164"/>
      <c r="M969" s="164" t="s">
        <v>202</v>
      </c>
      <c r="N969" s="196"/>
      <c r="O969" s="164"/>
      <c r="P969" s="164"/>
      <c r="Q969" s="164"/>
      <c r="R969" s="283"/>
      <c r="S969" s="164" t="s">
        <v>208</v>
      </c>
      <c r="T969" s="283"/>
      <c r="U969" s="283"/>
      <c r="V969" s="204" t="s">
        <v>2375</v>
      </c>
      <c r="W969" s="225"/>
      <c r="X969" s="283"/>
      <c r="Y969" s="283"/>
      <c r="Z969" s="283"/>
      <c r="AA969" s="283"/>
      <c r="AB969" s="283"/>
      <c r="AC969" s="283"/>
      <c r="AD969" s="283"/>
      <c r="AE969" s="283"/>
      <c r="AF969" s="283"/>
      <c r="AG969" s="285" t="s">
        <v>2608</v>
      </c>
      <c r="AH969" s="357" t="s">
        <v>2398</v>
      </c>
      <c r="AI969" s="285" t="s">
        <v>2399</v>
      </c>
      <c r="AJ969" s="225"/>
      <c r="AK969" s="225"/>
      <c r="AL969" s="24"/>
    </row>
    <row r="970" spans="1:38" ht="12.75" customHeight="1">
      <c r="A970" s="22">
        <v>968</v>
      </c>
      <c r="B970" s="24" t="str">
        <f t="shared" si="41"/>
        <v>Done</v>
      </c>
      <c r="C970" s="24" t="str">
        <f t="shared" si="3"/>
        <v>Input Option</v>
      </c>
      <c r="D970" s="24" t="str">
        <f t="shared" si="2"/>
        <v>Hepatitis B positive counseling</v>
      </c>
      <c r="E970" s="24" t="s">
        <v>2606</v>
      </c>
      <c r="F970" s="24">
        <v>1</v>
      </c>
      <c r="G970" s="24" t="s">
        <v>2372</v>
      </c>
      <c r="H970" s="24"/>
      <c r="I970" s="283"/>
      <c r="J970" s="164"/>
      <c r="K970" s="164"/>
      <c r="L970" s="164"/>
      <c r="M970" s="164"/>
      <c r="N970" s="196" t="s">
        <v>1673</v>
      </c>
      <c r="O970" s="164"/>
      <c r="P970" s="164"/>
      <c r="Q970" s="164"/>
      <c r="R970" s="283"/>
      <c r="S970" s="164"/>
      <c r="T970" s="283"/>
      <c r="U970" s="283"/>
      <c r="V970" s="204"/>
      <c r="W970" s="225"/>
      <c r="X970" s="283"/>
      <c r="Y970" s="283"/>
      <c r="Z970" s="283"/>
      <c r="AA970" s="283"/>
      <c r="AB970" s="283"/>
      <c r="AC970" s="283"/>
      <c r="AD970" s="283"/>
      <c r="AE970" s="283"/>
      <c r="AF970" s="283"/>
      <c r="AG970" s="285" t="s">
        <v>115</v>
      </c>
      <c r="AH970" s="357" t="s">
        <v>942</v>
      </c>
      <c r="AI970" s="205" t="s">
        <v>943</v>
      </c>
      <c r="AJ970" s="225"/>
      <c r="AK970" s="225"/>
      <c r="AL970" s="24"/>
    </row>
    <row r="971" spans="1:38" ht="12.75" customHeight="1">
      <c r="A971" s="22">
        <v>969</v>
      </c>
      <c r="B971" s="24" t="str">
        <f t="shared" si="41"/>
        <v>Not done</v>
      </c>
      <c r="C971" s="24" t="str">
        <f t="shared" si="3"/>
        <v>Input Option</v>
      </c>
      <c r="D971" s="24" t="str">
        <f t="shared" si="2"/>
        <v>Hepatitis B positive counseling</v>
      </c>
      <c r="E971" s="24" t="s">
        <v>2606</v>
      </c>
      <c r="F971" s="24">
        <v>1</v>
      </c>
      <c r="G971" s="24" t="s">
        <v>2372</v>
      </c>
      <c r="H971" s="24"/>
      <c r="I971" s="283"/>
      <c r="J971" s="164"/>
      <c r="K971" s="164"/>
      <c r="L971" s="164"/>
      <c r="M971" s="164"/>
      <c r="N971" s="196" t="s">
        <v>1468</v>
      </c>
      <c r="O971" s="164"/>
      <c r="P971" s="164"/>
      <c r="Q971" s="164"/>
      <c r="R971" s="283"/>
      <c r="S971" s="164"/>
      <c r="T971" s="283"/>
      <c r="U971" s="283"/>
      <c r="V971" s="204"/>
      <c r="W971" s="225"/>
      <c r="X971" s="283"/>
      <c r="Y971" s="283"/>
      <c r="Z971" s="283"/>
      <c r="AA971" s="283"/>
      <c r="AB971" s="283"/>
      <c r="AC971" s="283"/>
      <c r="AD971" s="283"/>
      <c r="AE971" s="283"/>
      <c r="AF971" s="283"/>
      <c r="AG971" s="285" t="s">
        <v>115</v>
      </c>
      <c r="AH971" s="357" t="s">
        <v>1469</v>
      </c>
      <c r="AI971" s="205" t="s">
        <v>1470</v>
      </c>
      <c r="AJ971" s="225"/>
      <c r="AK971" s="225"/>
      <c r="AL971" s="24"/>
    </row>
    <row r="972" spans="1:38" ht="12.75" customHeight="1">
      <c r="A972" s="22">
        <v>970</v>
      </c>
      <c r="B972" s="24" t="str">
        <f t="shared" si="41"/>
        <v>Hepatitis C positive counseling</v>
      </c>
      <c r="C972" s="24" t="str">
        <f t="shared" si="3"/>
        <v>Data Element</v>
      </c>
      <c r="D972" s="24" t="str">
        <f t="shared" si="2"/>
        <v/>
      </c>
      <c r="E972" s="24" t="s">
        <v>2610</v>
      </c>
      <c r="F972" s="24">
        <v>1</v>
      </c>
      <c r="G972" s="24" t="s">
        <v>2372</v>
      </c>
      <c r="H972" s="24"/>
      <c r="I972" s="283"/>
      <c r="J972" s="164" t="s">
        <v>2609</v>
      </c>
      <c r="K972" s="164" t="s">
        <v>2611</v>
      </c>
      <c r="L972" s="164"/>
      <c r="M972" s="164" t="s">
        <v>202</v>
      </c>
      <c r="N972" s="196"/>
      <c r="O972" s="164"/>
      <c r="P972" s="164"/>
      <c r="Q972" s="164"/>
      <c r="R972" s="283"/>
      <c r="S972" s="164" t="s">
        <v>208</v>
      </c>
      <c r="T972" s="283"/>
      <c r="U972" s="283"/>
      <c r="V972" s="224" t="s">
        <v>2375</v>
      </c>
      <c r="W972" s="225"/>
      <c r="X972" s="283"/>
      <c r="Y972" s="283"/>
      <c r="Z972" s="283"/>
      <c r="AA972" s="283"/>
      <c r="AB972" s="283"/>
      <c r="AC972" s="283"/>
      <c r="AD972" s="283"/>
      <c r="AE972" s="283"/>
      <c r="AF972" s="283"/>
      <c r="AG972" s="285" t="s">
        <v>2612</v>
      </c>
      <c r="AH972" s="357" t="s">
        <v>2398</v>
      </c>
      <c r="AI972" s="285" t="s">
        <v>2399</v>
      </c>
      <c r="AJ972" s="225"/>
      <c r="AK972" s="225"/>
      <c r="AL972" s="24"/>
    </row>
    <row r="973" spans="1:38" ht="12.75" customHeight="1">
      <c r="A973" s="22">
        <v>971</v>
      </c>
      <c r="B973" s="24" t="str">
        <f t="shared" si="41"/>
        <v>Done</v>
      </c>
      <c r="C973" s="24" t="str">
        <f t="shared" si="3"/>
        <v>Input Option</v>
      </c>
      <c r="D973" s="24" t="str">
        <f t="shared" si="2"/>
        <v>Hepatitis C positive counseling</v>
      </c>
      <c r="E973" s="24" t="s">
        <v>2610</v>
      </c>
      <c r="F973" s="24">
        <v>1</v>
      </c>
      <c r="G973" s="24" t="s">
        <v>2372</v>
      </c>
      <c r="H973" s="24"/>
      <c r="I973" s="283"/>
      <c r="J973" s="164"/>
      <c r="K973" s="164"/>
      <c r="L973" s="164"/>
      <c r="M973" s="164"/>
      <c r="N973" s="196" t="s">
        <v>1673</v>
      </c>
      <c r="O973" s="164"/>
      <c r="P973" s="164"/>
      <c r="Q973" s="164"/>
      <c r="R973" s="283"/>
      <c r="S973" s="164"/>
      <c r="T973" s="283"/>
      <c r="U973" s="283"/>
      <c r="V973" s="204"/>
      <c r="W973" s="225"/>
      <c r="X973" s="283"/>
      <c r="Y973" s="283"/>
      <c r="Z973" s="283"/>
      <c r="AA973" s="283"/>
      <c r="AB973" s="283"/>
      <c r="AC973" s="283"/>
      <c r="AD973" s="283"/>
      <c r="AE973" s="283"/>
      <c r="AF973" s="283"/>
      <c r="AG973" s="285" t="s">
        <v>115</v>
      </c>
      <c r="AH973" s="357" t="s">
        <v>942</v>
      </c>
      <c r="AI973" s="205" t="s">
        <v>943</v>
      </c>
      <c r="AJ973" s="225"/>
      <c r="AK973" s="225"/>
      <c r="AL973" s="24"/>
    </row>
    <row r="974" spans="1:38" ht="12.75" customHeight="1">
      <c r="A974" s="22">
        <v>972</v>
      </c>
      <c r="B974" s="24" t="str">
        <f t="shared" si="41"/>
        <v>Not done</v>
      </c>
      <c r="C974" s="24" t="str">
        <f t="shared" si="3"/>
        <v>Input Option</v>
      </c>
      <c r="D974" s="24" t="str">
        <f t="shared" si="2"/>
        <v>Hepatitis C positive counseling</v>
      </c>
      <c r="E974" s="24" t="s">
        <v>2610</v>
      </c>
      <c r="F974" s="24">
        <v>1</v>
      </c>
      <c r="G974" s="24" t="s">
        <v>2372</v>
      </c>
      <c r="H974" s="24"/>
      <c r="I974" s="283"/>
      <c r="J974" s="164"/>
      <c r="K974" s="164"/>
      <c r="L974" s="164"/>
      <c r="M974" s="164"/>
      <c r="N974" s="196" t="s">
        <v>1468</v>
      </c>
      <c r="O974" s="164"/>
      <c r="P974" s="164"/>
      <c r="Q974" s="164"/>
      <c r="R974" s="283"/>
      <c r="S974" s="164"/>
      <c r="T974" s="283"/>
      <c r="U974" s="283"/>
      <c r="V974" s="204"/>
      <c r="W974" s="225"/>
      <c r="X974" s="283"/>
      <c r="Y974" s="283"/>
      <c r="Z974" s="283"/>
      <c r="AA974" s="283"/>
      <c r="AB974" s="283"/>
      <c r="AC974" s="283"/>
      <c r="AD974" s="283"/>
      <c r="AE974" s="283"/>
      <c r="AF974" s="283"/>
      <c r="AG974" s="285" t="s">
        <v>115</v>
      </c>
      <c r="AH974" s="357" t="s">
        <v>1469</v>
      </c>
      <c r="AI974" s="205" t="s">
        <v>1470</v>
      </c>
      <c r="AJ974" s="225"/>
      <c r="AK974" s="225"/>
      <c r="AL974" s="24"/>
    </row>
    <row r="975" spans="1:38" ht="12.75" customHeight="1">
      <c r="A975" s="22">
        <v>973</v>
      </c>
      <c r="B975" s="24" t="str">
        <f t="shared" si="41"/>
        <v>Syphilis counselling and treatment</v>
      </c>
      <c r="C975" s="24" t="str">
        <f t="shared" si="3"/>
        <v>Data Element</v>
      </c>
      <c r="D975" s="24" t="str">
        <f t="shared" si="2"/>
        <v/>
      </c>
      <c r="E975" s="24" t="s">
        <v>2614</v>
      </c>
      <c r="F975" s="24">
        <v>1</v>
      </c>
      <c r="G975" s="24" t="s">
        <v>2372</v>
      </c>
      <c r="H975" s="24"/>
      <c r="I975" s="283"/>
      <c r="J975" s="224" t="s">
        <v>2613</v>
      </c>
      <c r="K975" s="164" t="s">
        <v>2615</v>
      </c>
      <c r="L975" s="164"/>
      <c r="M975" s="164" t="s">
        <v>202</v>
      </c>
      <c r="N975" s="196"/>
      <c r="O975" s="164"/>
      <c r="P975" s="164"/>
      <c r="Q975" s="164"/>
      <c r="R975" s="283"/>
      <c r="S975" s="164" t="s">
        <v>208</v>
      </c>
      <c r="T975" s="283"/>
      <c r="U975" s="283"/>
      <c r="V975" s="204" t="s">
        <v>2375</v>
      </c>
      <c r="W975" s="225"/>
      <c r="X975" s="283"/>
      <c r="Y975" s="283"/>
      <c r="Z975" s="283"/>
      <c r="AA975" s="283"/>
      <c r="AB975" s="283"/>
      <c r="AC975" s="283"/>
      <c r="AD975" s="283"/>
      <c r="AE975" s="283"/>
      <c r="AF975" s="283"/>
      <c r="AG975" s="285" t="s">
        <v>2617</v>
      </c>
      <c r="AH975" s="357" t="s">
        <v>2398</v>
      </c>
      <c r="AI975" s="285" t="s">
        <v>2399</v>
      </c>
      <c r="AJ975" s="225"/>
      <c r="AK975" s="225"/>
      <c r="AL975" s="24"/>
    </row>
    <row r="976" spans="1:38" ht="12.75" customHeight="1">
      <c r="A976" s="22">
        <v>974</v>
      </c>
      <c r="B976" s="24" t="str">
        <f t="shared" si="41"/>
        <v>Done</v>
      </c>
      <c r="C976" s="24" t="str">
        <f t="shared" si="3"/>
        <v>Input Option</v>
      </c>
      <c r="D976" s="24" t="str">
        <f t="shared" si="2"/>
        <v>Syphilis counselling and treatment</v>
      </c>
      <c r="E976" s="24" t="s">
        <v>2614</v>
      </c>
      <c r="F976" s="24">
        <v>1</v>
      </c>
      <c r="G976" s="24" t="s">
        <v>2372</v>
      </c>
      <c r="H976" s="24"/>
      <c r="I976" s="283"/>
      <c r="J976" s="224"/>
      <c r="K976" s="164"/>
      <c r="L976" s="164"/>
      <c r="M976" s="164"/>
      <c r="N976" s="196" t="s">
        <v>1673</v>
      </c>
      <c r="O976" s="164"/>
      <c r="P976" s="164"/>
      <c r="Q976" s="164"/>
      <c r="R976" s="283"/>
      <c r="S976" s="164"/>
      <c r="T976" s="283"/>
      <c r="U976" s="283"/>
      <c r="V976" s="204"/>
      <c r="W976" s="225"/>
      <c r="X976" s="283"/>
      <c r="Y976" s="283"/>
      <c r="Z976" s="283"/>
      <c r="AA976" s="283"/>
      <c r="AB976" s="283"/>
      <c r="AC976" s="283"/>
      <c r="AD976" s="283"/>
      <c r="AE976" s="283"/>
      <c r="AF976" s="283"/>
      <c r="AG976" s="285" t="s">
        <v>115</v>
      </c>
      <c r="AH976" s="357" t="s">
        <v>942</v>
      </c>
      <c r="AI976" s="205" t="s">
        <v>943</v>
      </c>
      <c r="AJ976" s="225"/>
      <c r="AK976" s="225"/>
      <c r="AL976" s="24"/>
    </row>
    <row r="977" spans="1:38" ht="12.75" customHeight="1">
      <c r="A977" s="22">
        <v>975</v>
      </c>
      <c r="B977" s="24" t="str">
        <f t="shared" si="41"/>
        <v>Not done</v>
      </c>
      <c r="C977" s="24" t="str">
        <f t="shared" si="3"/>
        <v>Input Option</v>
      </c>
      <c r="D977" s="24" t="str">
        <f t="shared" si="2"/>
        <v>Syphilis counselling and treatment</v>
      </c>
      <c r="E977" s="24" t="s">
        <v>2614</v>
      </c>
      <c r="F977" s="24">
        <v>1</v>
      </c>
      <c r="G977" s="24" t="s">
        <v>2372</v>
      </c>
      <c r="H977" s="24"/>
      <c r="I977" s="283"/>
      <c r="J977" s="224"/>
      <c r="K977" s="164"/>
      <c r="L977" s="164"/>
      <c r="M977" s="164"/>
      <c r="N977" s="196" t="s">
        <v>1468</v>
      </c>
      <c r="O977" s="164"/>
      <c r="P977" s="164"/>
      <c r="Q977" s="164"/>
      <c r="R977" s="283"/>
      <c r="S977" s="164"/>
      <c r="T977" s="283"/>
      <c r="U977" s="283"/>
      <c r="V977" s="204"/>
      <c r="W977" s="225"/>
      <c r="X977" s="283"/>
      <c r="Y977" s="283"/>
      <c r="Z977" s="283"/>
      <c r="AA977" s="283"/>
      <c r="AB977" s="283"/>
      <c r="AC977" s="283"/>
      <c r="AD977" s="283"/>
      <c r="AE977" s="283"/>
      <c r="AF977" s="283"/>
      <c r="AG977" s="285" t="s">
        <v>115</v>
      </c>
      <c r="AH977" s="357" t="s">
        <v>1469</v>
      </c>
      <c r="AI977" s="205" t="s">
        <v>1470</v>
      </c>
      <c r="AJ977" s="225"/>
      <c r="AK977" s="225"/>
      <c r="AL977" s="24"/>
    </row>
    <row r="978" spans="1:38" ht="12.75" customHeight="1">
      <c r="A978" s="22">
        <v>976</v>
      </c>
      <c r="B978" s="24" t="str">
        <f t="shared" si="41"/>
        <v>Syphilis counselling and further testing</v>
      </c>
      <c r="C978" s="24" t="str">
        <f t="shared" si="3"/>
        <v>Data Element</v>
      </c>
      <c r="D978" s="24" t="str">
        <f t="shared" si="2"/>
        <v/>
      </c>
      <c r="E978" s="24" t="s">
        <v>2614</v>
      </c>
      <c r="F978" s="24">
        <v>1</v>
      </c>
      <c r="G978" s="24" t="s">
        <v>2372</v>
      </c>
      <c r="H978" s="24"/>
      <c r="I978" s="283"/>
      <c r="J978" s="224" t="s">
        <v>2618</v>
      </c>
      <c r="K978" s="164" t="s">
        <v>2620</v>
      </c>
      <c r="L978" s="164"/>
      <c r="M978" s="164" t="s">
        <v>202</v>
      </c>
      <c r="N978" s="196"/>
      <c r="O978" s="164"/>
      <c r="P978" s="164"/>
      <c r="Q978" s="164"/>
      <c r="R978" s="283"/>
      <c r="S978" s="164" t="s">
        <v>208</v>
      </c>
      <c r="T978" s="283"/>
      <c r="U978" s="283"/>
      <c r="V978" s="204" t="s">
        <v>2375</v>
      </c>
      <c r="W978" s="225"/>
      <c r="X978" s="283"/>
      <c r="Y978" s="283"/>
      <c r="Z978" s="283"/>
      <c r="AA978" s="283"/>
      <c r="AB978" s="283"/>
      <c r="AC978" s="283"/>
      <c r="AD978" s="283"/>
      <c r="AE978" s="283"/>
      <c r="AF978" s="283"/>
      <c r="AG978" s="285" t="s">
        <v>2621</v>
      </c>
      <c r="AH978" s="357" t="s">
        <v>2398</v>
      </c>
      <c r="AI978" s="285" t="s">
        <v>2399</v>
      </c>
      <c r="AJ978" s="225"/>
      <c r="AK978" s="225"/>
      <c r="AL978" s="24"/>
    </row>
    <row r="979" spans="1:38" ht="12.75" customHeight="1">
      <c r="A979" s="22">
        <v>977</v>
      </c>
      <c r="B979" s="24" t="str">
        <f t="shared" si="41"/>
        <v>Done</v>
      </c>
      <c r="C979" s="24" t="str">
        <f t="shared" si="3"/>
        <v>Input Option</v>
      </c>
      <c r="D979" s="24" t="str">
        <f t="shared" si="2"/>
        <v>Syphilis counselling and further testing</v>
      </c>
      <c r="E979" s="24" t="s">
        <v>2614</v>
      </c>
      <c r="F979" s="24">
        <v>1</v>
      </c>
      <c r="G979" s="24" t="s">
        <v>2372</v>
      </c>
      <c r="H979" s="24"/>
      <c r="I979" s="283"/>
      <c r="J979" s="224"/>
      <c r="K979" s="164"/>
      <c r="L979" s="164"/>
      <c r="M979" s="164"/>
      <c r="N979" s="196" t="s">
        <v>1673</v>
      </c>
      <c r="O979" s="164"/>
      <c r="P979" s="164"/>
      <c r="Q979" s="164"/>
      <c r="R979" s="283"/>
      <c r="S979" s="164"/>
      <c r="T979" s="283"/>
      <c r="U979" s="283"/>
      <c r="V979" s="204"/>
      <c r="W979" s="225"/>
      <c r="X979" s="283"/>
      <c r="Y979" s="283"/>
      <c r="Z979" s="283"/>
      <c r="AA979" s="283"/>
      <c r="AB979" s="283"/>
      <c r="AC979" s="283"/>
      <c r="AD979" s="283"/>
      <c r="AE979" s="283"/>
      <c r="AF979" s="283"/>
      <c r="AG979" s="285" t="s">
        <v>115</v>
      </c>
      <c r="AH979" s="357" t="s">
        <v>942</v>
      </c>
      <c r="AI979" s="205" t="s">
        <v>943</v>
      </c>
      <c r="AJ979" s="225"/>
      <c r="AK979" s="225"/>
      <c r="AL979" s="24"/>
    </row>
    <row r="980" spans="1:38" ht="12.75" customHeight="1">
      <c r="A980" s="22">
        <v>978</v>
      </c>
      <c r="B980" s="24" t="str">
        <f t="shared" si="41"/>
        <v>Not done</v>
      </c>
      <c r="C980" s="24" t="str">
        <f t="shared" si="3"/>
        <v>Input Option</v>
      </c>
      <c r="D980" s="24" t="str">
        <f t="shared" si="2"/>
        <v>Syphilis counselling and further testing</v>
      </c>
      <c r="E980" s="24" t="s">
        <v>2614</v>
      </c>
      <c r="F980" s="24">
        <v>1</v>
      </c>
      <c r="G980" s="24" t="s">
        <v>2372</v>
      </c>
      <c r="H980" s="24"/>
      <c r="I980" s="283"/>
      <c r="J980" s="224"/>
      <c r="K980" s="164"/>
      <c r="L980" s="164"/>
      <c r="M980" s="164"/>
      <c r="N980" s="196" t="s">
        <v>1468</v>
      </c>
      <c r="O980" s="164"/>
      <c r="P980" s="164"/>
      <c r="Q980" s="164"/>
      <c r="R980" s="283"/>
      <c r="S980" s="164"/>
      <c r="T980" s="283"/>
      <c r="U980" s="283"/>
      <c r="V980" s="204"/>
      <c r="W980" s="225"/>
      <c r="X980" s="283"/>
      <c r="Y980" s="283"/>
      <c r="Z980" s="283"/>
      <c r="AA980" s="283"/>
      <c r="AB980" s="283"/>
      <c r="AC980" s="283"/>
      <c r="AD980" s="283"/>
      <c r="AE980" s="283"/>
      <c r="AF980" s="283"/>
      <c r="AG980" s="285" t="s">
        <v>115</v>
      </c>
      <c r="AH980" s="357" t="s">
        <v>1469</v>
      </c>
      <c r="AI980" s="205" t="s">
        <v>1470</v>
      </c>
      <c r="AJ980" s="225"/>
      <c r="AK980" s="225"/>
      <c r="AL980" s="24"/>
    </row>
    <row r="981" spans="1:38" ht="12.75" customHeight="1">
      <c r="A981" s="22">
        <v>979</v>
      </c>
      <c r="B981" s="24" t="str">
        <f t="shared" si="41"/>
        <v>penicillin</v>
      </c>
      <c r="C981" s="24" t="str">
        <f t="shared" si="3"/>
        <v>Calculation</v>
      </c>
      <c r="D981" s="24" t="str">
        <f t="shared" si="2"/>
        <v/>
      </c>
      <c r="E981" s="24" t="s">
        <v>2614</v>
      </c>
      <c r="F981" s="24">
        <v>1</v>
      </c>
      <c r="G981" s="24" t="s">
        <v>2372</v>
      </c>
      <c r="H981" s="24"/>
      <c r="I981" s="283"/>
      <c r="J981" s="298" t="s">
        <v>115</v>
      </c>
      <c r="K981" s="298" t="s">
        <v>2622</v>
      </c>
      <c r="L981" s="298" t="s">
        <v>2623</v>
      </c>
      <c r="M981" s="298" t="s">
        <v>65</v>
      </c>
      <c r="N981" s="164"/>
      <c r="O981" s="298" t="s">
        <v>2624</v>
      </c>
      <c r="P981" s="298"/>
      <c r="Q981" s="164"/>
      <c r="R981" s="283"/>
      <c r="S981" s="298" t="s">
        <v>115</v>
      </c>
      <c r="T981" s="283"/>
      <c r="U981" s="283"/>
      <c r="V981" s="298" t="s">
        <v>115</v>
      </c>
      <c r="W981" s="225"/>
      <c r="X981" s="283"/>
      <c r="Y981" s="283"/>
      <c r="Z981" s="283"/>
      <c r="AA981" s="283"/>
      <c r="AB981" s="283"/>
      <c r="AC981" s="283"/>
      <c r="AD981" s="283"/>
      <c r="AE981" s="283"/>
      <c r="AF981" s="283"/>
      <c r="AG981" s="285" t="s">
        <v>115</v>
      </c>
      <c r="AH981" s="285" t="s">
        <v>115</v>
      </c>
      <c r="AI981" s="285" t="s">
        <v>115</v>
      </c>
      <c r="AJ981" s="225"/>
      <c r="AK981" s="225"/>
      <c r="AL981" s="24"/>
    </row>
    <row r="982" spans="1:38" ht="12.75" customHeight="1">
      <c r="A982" s="22">
        <v>980</v>
      </c>
      <c r="B982" s="24" t="str">
        <f t="shared" si="41"/>
        <v>Seven-day antibiotic regimen for asymptomatic bacteriuria (ASB)</v>
      </c>
      <c r="C982" s="24" t="str">
        <f t="shared" si="3"/>
        <v>Data Element</v>
      </c>
      <c r="D982" s="24" t="str">
        <f t="shared" si="2"/>
        <v/>
      </c>
      <c r="E982" s="24" t="s">
        <v>2627</v>
      </c>
      <c r="F982" s="24">
        <v>1</v>
      </c>
      <c r="G982" s="24" t="s">
        <v>2372</v>
      </c>
      <c r="H982" s="24"/>
      <c r="I982" s="283"/>
      <c r="J982" s="234" t="s">
        <v>2626</v>
      </c>
      <c r="K982" s="164" t="s">
        <v>2628</v>
      </c>
      <c r="L982" s="164"/>
      <c r="M982" s="164" t="s">
        <v>202</v>
      </c>
      <c r="N982" s="196"/>
      <c r="O982" s="164"/>
      <c r="P982" s="164"/>
      <c r="Q982" s="164"/>
      <c r="R982" s="283"/>
      <c r="S982" s="164" t="s">
        <v>113</v>
      </c>
      <c r="T982" s="283"/>
      <c r="U982" s="283"/>
      <c r="V982" s="204" t="s">
        <v>2375</v>
      </c>
      <c r="W982" s="225"/>
      <c r="X982" s="283"/>
      <c r="Y982" s="283"/>
      <c r="Z982" s="283"/>
      <c r="AA982" s="283"/>
      <c r="AB982" s="283"/>
      <c r="AC982" s="283"/>
      <c r="AD982" s="283"/>
      <c r="AE982" s="283"/>
      <c r="AF982" s="283"/>
      <c r="AG982" s="285" t="s">
        <v>2629</v>
      </c>
      <c r="AH982" s="357" t="s">
        <v>2630</v>
      </c>
      <c r="AI982" s="285" t="s">
        <v>2631</v>
      </c>
      <c r="AJ982" s="225"/>
      <c r="AK982" s="225"/>
      <c r="AL982" s="24"/>
    </row>
    <row r="983" spans="1:38" ht="12.75" customHeight="1">
      <c r="A983" s="22">
        <v>981</v>
      </c>
      <c r="B983" s="24" t="str">
        <f t="shared" si="41"/>
        <v>Done</v>
      </c>
      <c r="C983" s="24" t="str">
        <f t="shared" si="3"/>
        <v>Input Option</v>
      </c>
      <c r="D983" s="24" t="str">
        <f t="shared" si="2"/>
        <v>Seven-day antibiotic regimen for asymptomatic bacteriuria (ASB)</v>
      </c>
      <c r="E983" s="24" t="s">
        <v>2627</v>
      </c>
      <c r="F983" s="24">
        <v>1</v>
      </c>
      <c r="G983" s="24" t="s">
        <v>2372</v>
      </c>
      <c r="H983" s="24"/>
      <c r="I983" s="283"/>
      <c r="J983" s="164"/>
      <c r="K983" s="164"/>
      <c r="L983" s="164"/>
      <c r="M983" s="164"/>
      <c r="N983" s="196" t="s">
        <v>1673</v>
      </c>
      <c r="O983" s="164"/>
      <c r="P983" s="164"/>
      <c r="Q983" s="164"/>
      <c r="R983" s="283"/>
      <c r="S983" s="164"/>
      <c r="T983" s="283"/>
      <c r="U983" s="283"/>
      <c r="V983" s="164"/>
      <c r="W983" s="225"/>
      <c r="X983" s="283"/>
      <c r="Y983" s="283"/>
      <c r="Z983" s="283"/>
      <c r="AA983" s="283"/>
      <c r="AB983" s="283"/>
      <c r="AC983" s="283"/>
      <c r="AD983" s="283"/>
      <c r="AE983" s="283"/>
      <c r="AF983" s="283"/>
      <c r="AG983" s="285" t="s">
        <v>115</v>
      </c>
      <c r="AH983" s="357" t="s">
        <v>942</v>
      </c>
      <c r="AI983" s="205" t="s">
        <v>943</v>
      </c>
      <c r="AJ983" s="225"/>
      <c r="AK983" s="225"/>
      <c r="AL983" s="24"/>
    </row>
    <row r="984" spans="1:38" ht="12.75" customHeight="1">
      <c r="A984" s="22">
        <v>982</v>
      </c>
      <c r="B984" s="24" t="str">
        <f t="shared" si="41"/>
        <v>Not done</v>
      </c>
      <c r="C984" s="24" t="str">
        <f t="shared" si="3"/>
        <v>Input Option</v>
      </c>
      <c r="D984" s="24" t="str">
        <f t="shared" si="2"/>
        <v>Seven-day antibiotic regimen for asymptomatic bacteriuria (ASB)</v>
      </c>
      <c r="E984" s="24" t="s">
        <v>2627</v>
      </c>
      <c r="F984" s="24">
        <v>1</v>
      </c>
      <c r="G984" s="24" t="s">
        <v>2372</v>
      </c>
      <c r="H984" s="24"/>
      <c r="I984" s="283"/>
      <c r="J984" s="164"/>
      <c r="K984" s="164"/>
      <c r="L984" s="164"/>
      <c r="M984" s="164"/>
      <c r="N984" s="196" t="s">
        <v>1468</v>
      </c>
      <c r="O984" s="164"/>
      <c r="P984" s="164"/>
      <c r="Q984" s="164"/>
      <c r="R984" s="283"/>
      <c r="S984" s="164"/>
      <c r="T984" s="283"/>
      <c r="U984" s="283"/>
      <c r="V984" s="164"/>
      <c r="W984" s="225"/>
      <c r="X984" s="283"/>
      <c r="Y984" s="283"/>
      <c r="Z984" s="283"/>
      <c r="AA984" s="283"/>
      <c r="AB984" s="283"/>
      <c r="AC984" s="283"/>
      <c r="AD984" s="283"/>
      <c r="AE984" s="283"/>
      <c r="AF984" s="283"/>
      <c r="AG984" s="285" t="s">
        <v>115</v>
      </c>
      <c r="AH984" s="357" t="s">
        <v>1469</v>
      </c>
      <c r="AI984" s="205" t="s">
        <v>1470</v>
      </c>
      <c r="AJ984" s="225"/>
      <c r="AK984" s="225"/>
      <c r="AL984" s="24"/>
    </row>
    <row r="985" spans="1:38" ht="12.75" customHeight="1">
      <c r="A985" s="22">
        <v>983</v>
      </c>
      <c r="B985" s="24" t="s">
        <v>2632</v>
      </c>
      <c r="C985" s="24" t="str">
        <f t="shared" si="3"/>
        <v>Data Element</v>
      </c>
      <c r="D985" s="24" t="str">
        <f t="shared" si="2"/>
        <v/>
      </c>
      <c r="E985" s="24" t="s">
        <v>2627</v>
      </c>
      <c r="F985" s="24">
        <v>1</v>
      </c>
      <c r="G985" s="24" t="s">
        <v>2372</v>
      </c>
      <c r="H985" s="24"/>
      <c r="I985" s="283"/>
      <c r="J985" s="164" t="s">
        <v>1376</v>
      </c>
      <c r="K985" s="164" t="s">
        <v>2633</v>
      </c>
      <c r="L985" s="164" t="s">
        <v>2634</v>
      </c>
      <c r="M985" s="164" t="s">
        <v>202</v>
      </c>
      <c r="N985" s="224"/>
      <c r="O985" s="164"/>
      <c r="P985" s="164"/>
      <c r="Q985" s="164"/>
      <c r="R985" s="283"/>
      <c r="S985" s="164" t="s">
        <v>113</v>
      </c>
      <c r="T985" s="283"/>
      <c r="U985" s="283"/>
      <c r="V985" s="164" t="s">
        <v>115</v>
      </c>
      <c r="W985" s="225"/>
      <c r="X985" s="283"/>
      <c r="Y985" s="283"/>
      <c r="Z985" s="283"/>
      <c r="AA985" s="283"/>
      <c r="AB985" s="283"/>
      <c r="AC985" s="283"/>
      <c r="AD985" s="283"/>
      <c r="AE985" s="283"/>
      <c r="AF985" s="283"/>
      <c r="AG985" s="285" t="s">
        <v>2629</v>
      </c>
      <c r="AH985" s="357" t="s">
        <v>2635</v>
      </c>
      <c r="AI985" s="285" t="s">
        <v>2636</v>
      </c>
      <c r="AJ985" s="225"/>
      <c r="AK985" s="225"/>
      <c r="AL985" s="24"/>
    </row>
    <row r="986" spans="1:38" ht="12.75" customHeight="1">
      <c r="A986" s="22">
        <v>984</v>
      </c>
      <c r="B986" s="24" t="str">
        <f t="shared" ref="B986:B987" si="42">IF(N986="",IF(M986="Calculation",K986,J986),N986)</f>
        <v>Stock out</v>
      </c>
      <c r="C986" s="24" t="str">
        <f t="shared" si="3"/>
        <v>Input Option</v>
      </c>
      <c r="D986" s="24" t="str">
        <f t="shared" si="2"/>
        <v>Reason Seven-day antibiotic regimen for asymptomatic bacteriuria (ASB) not done</v>
      </c>
      <c r="E986" s="24" t="s">
        <v>2627</v>
      </c>
      <c r="F986" s="24">
        <v>1</v>
      </c>
      <c r="G986" s="24" t="s">
        <v>2372</v>
      </c>
      <c r="H986" s="24"/>
      <c r="I986" s="283"/>
      <c r="J986" s="196"/>
      <c r="K986" s="164"/>
      <c r="L986" s="196"/>
      <c r="M986" s="196"/>
      <c r="N986" s="224" t="s">
        <v>1909</v>
      </c>
      <c r="O986" s="196"/>
      <c r="P986" s="196"/>
      <c r="Q986" s="196"/>
      <c r="R986" s="283"/>
      <c r="S986" s="196"/>
      <c r="T986" s="283"/>
      <c r="U986" s="283"/>
      <c r="V986" s="196"/>
      <c r="W986" s="225"/>
      <c r="X986" s="283"/>
      <c r="Y986" s="283"/>
      <c r="Z986" s="283"/>
      <c r="AA986" s="283"/>
      <c r="AB986" s="283"/>
      <c r="AC986" s="283"/>
      <c r="AD986" s="283"/>
      <c r="AE986" s="283"/>
      <c r="AF986" s="283"/>
      <c r="AG986" s="285" t="s">
        <v>115</v>
      </c>
      <c r="AH986" s="359" t="s">
        <v>2637</v>
      </c>
      <c r="AI986" s="205" t="s">
        <v>2638</v>
      </c>
      <c r="AJ986" s="225"/>
      <c r="AK986" s="225"/>
      <c r="AL986" s="24"/>
    </row>
    <row r="987" spans="1:38" ht="12.75" customHeight="1">
      <c r="A987" s="22">
        <v>985</v>
      </c>
      <c r="B987" s="24" t="str">
        <f t="shared" si="42"/>
        <v>Other (specify)</v>
      </c>
      <c r="C987" s="24" t="str">
        <f t="shared" si="3"/>
        <v>Input Option</v>
      </c>
      <c r="D987" s="24" t="str">
        <f t="shared" si="2"/>
        <v>Reason Seven-day antibiotic regimen for asymptomatic bacteriuria (ASB) not done</v>
      </c>
      <c r="E987" s="24" t="s">
        <v>2627</v>
      </c>
      <c r="F987" s="24">
        <v>1</v>
      </c>
      <c r="G987" s="24" t="s">
        <v>2372</v>
      </c>
      <c r="H987" s="24"/>
      <c r="I987" s="283"/>
      <c r="J987" s="196"/>
      <c r="K987" s="164"/>
      <c r="L987" s="196"/>
      <c r="M987" s="196"/>
      <c r="N987" s="204" t="s">
        <v>405</v>
      </c>
      <c r="O987" s="196"/>
      <c r="P987" s="196"/>
      <c r="Q987" s="196"/>
      <c r="R987" s="283"/>
      <c r="S987" s="196"/>
      <c r="T987" s="283"/>
      <c r="U987" s="283"/>
      <c r="V987" s="196"/>
      <c r="W987" s="225"/>
      <c r="X987" s="283"/>
      <c r="Y987" s="283"/>
      <c r="Z987" s="283"/>
      <c r="AA987" s="283"/>
      <c r="AB987" s="283"/>
      <c r="AC987" s="283"/>
      <c r="AD987" s="283"/>
      <c r="AE987" s="283"/>
      <c r="AF987" s="283"/>
      <c r="AG987" s="285" t="s">
        <v>115</v>
      </c>
      <c r="AH987" s="359" t="s">
        <v>406</v>
      </c>
      <c r="AI987" s="205" t="s">
        <v>407</v>
      </c>
      <c r="AJ987" s="225"/>
      <c r="AK987" s="225"/>
      <c r="AL987" s="24"/>
    </row>
    <row r="988" spans="1:38" ht="12.75" customHeight="1">
      <c r="A988" s="22">
        <v>986</v>
      </c>
      <c r="B988" s="24" t="s">
        <v>2639</v>
      </c>
      <c r="C988" s="24" t="str">
        <f t="shared" si="3"/>
        <v>Data Element</v>
      </c>
      <c r="D988" s="24" t="str">
        <f t="shared" si="2"/>
        <v/>
      </c>
      <c r="E988" s="24" t="s">
        <v>2627</v>
      </c>
      <c r="F988" s="24">
        <v>1</v>
      </c>
      <c r="G988" s="24" t="s">
        <v>2372</v>
      </c>
      <c r="H988" s="24"/>
      <c r="I988" s="283"/>
      <c r="J988" s="196" t="s">
        <v>409</v>
      </c>
      <c r="K988" s="164" t="s">
        <v>2640</v>
      </c>
      <c r="L988" s="196" t="s">
        <v>2641</v>
      </c>
      <c r="M988" s="196" t="s">
        <v>111</v>
      </c>
      <c r="N988" s="196"/>
      <c r="O988" s="196"/>
      <c r="P988" s="196"/>
      <c r="Q988" s="196"/>
      <c r="R988" s="283"/>
      <c r="S988" s="196" t="s">
        <v>208</v>
      </c>
      <c r="T988" s="283"/>
      <c r="U988" s="283"/>
      <c r="V988" s="196" t="s">
        <v>115</v>
      </c>
      <c r="W988" s="225"/>
      <c r="X988" s="283"/>
      <c r="Y988" s="283"/>
      <c r="Z988" s="283"/>
      <c r="AA988" s="283"/>
      <c r="AB988" s="283"/>
      <c r="AC988" s="283"/>
      <c r="AD988" s="283"/>
      <c r="AE988" s="283"/>
      <c r="AF988" s="283"/>
      <c r="AG988" s="285" t="s">
        <v>2629</v>
      </c>
      <c r="AH988" s="357" t="s">
        <v>2642</v>
      </c>
      <c r="AI988" s="285" t="s">
        <v>2643</v>
      </c>
      <c r="AJ988" s="225"/>
      <c r="AK988" s="225"/>
      <c r="AL988" s="24"/>
    </row>
    <row r="989" spans="1:38" ht="12.75" customHeight="1">
      <c r="A989" s="22">
        <v>987</v>
      </c>
      <c r="B989" s="24" t="str">
        <f t="shared" ref="B989:B995" si="43">IF(N989="",IF(M989="Calculation",K989,J989),N989)</f>
        <v>antibiotic</v>
      </c>
      <c r="C989" s="24" t="str">
        <f t="shared" si="3"/>
        <v>Calculation</v>
      </c>
      <c r="D989" s="24" t="str">
        <f t="shared" si="2"/>
        <v/>
      </c>
      <c r="E989" s="24" t="s">
        <v>2627</v>
      </c>
      <c r="F989" s="24">
        <v>1</v>
      </c>
      <c r="G989" s="24" t="s">
        <v>2372</v>
      </c>
      <c r="H989" s="24"/>
      <c r="I989" s="283"/>
      <c r="J989" s="238" t="s">
        <v>115</v>
      </c>
      <c r="K989" s="238" t="s">
        <v>2644</v>
      </c>
      <c r="L989" s="238" t="s">
        <v>2645</v>
      </c>
      <c r="M989" s="238" t="s">
        <v>65</v>
      </c>
      <c r="N989" s="196"/>
      <c r="O989" s="238" t="s">
        <v>2646</v>
      </c>
      <c r="P989" s="238"/>
      <c r="Q989" s="196"/>
      <c r="R989" s="283"/>
      <c r="S989" s="238" t="s">
        <v>115</v>
      </c>
      <c r="T989" s="283"/>
      <c r="U989" s="283"/>
      <c r="V989" s="238" t="s">
        <v>115</v>
      </c>
      <c r="W989" s="225"/>
      <c r="X989" s="283"/>
      <c r="Y989" s="283"/>
      <c r="Z989" s="283"/>
      <c r="AA989" s="283"/>
      <c r="AB989" s="283"/>
      <c r="AC989" s="283"/>
      <c r="AD989" s="283"/>
      <c r="AE989" s="283"/>
      <c r="AF989" s="283"/>
      <c r="AG989" s="285" t="s">
        <v>115</v>
      </c>
      <c r="AH989" s="285" t="s">
        <v>115</v>
      </c>
      <c r="AI989" s="285" t="s">
        <v>115</v>
      </c>
      <c r="AJ989" s="225"/>
      <c r="AK989" s="225"/>
      <c r="AL989" s="24"/>
    </row>
    <row r="990" spans="1:38" ht="12.75" customHeight="1">
      <c r="A990" s="22">
        <v>988</v>
      </c>
      <c r="B990" s="24" t="str">
        <f t="shared" si="43"/>
        <v>Diabetes counseling</v>
      </c>
      <c r="C990" s="24" t="str">
        <f t="shared" si="3"/>
        <v>Data Element</v>
      </c>
      <c r="D990" s="24" t="str">
        <f t="shared" si="2"/>
        <v/>
      </c>
      <c r="E990" s="24" t="s">
        <v>2648</v>
      </c>
      <c r="F990" s="24">
        <v>1</v>
      </c>
      <c r="G990" s="24" t="s">
        <v>2372</v>
      </c>
      <c r="H990" s="24"/>
      <c r="I990" s="283"/>
      <c r="J990" s="224" t="s">
        <v>2647</v>
      </c>
      <c r="K990" s="164" t="s">
        <v>2649</v>
      </c>
      <c r="L990" s="164"/>
      <c r="M990" s="164" t="s">
        <v>202</v>
      </c>
      <c r="N990" s="196"/>
      <c r="O990" s="164"/>
      <c r="P990" s="164"/>
      <c r="Q990" s="164"/>
      <c r="R990" s="283"/>
      <c r="S990" s="164" t="s">
        <v>208</v>
      </c>
      <c r="T990" s="283"/>
      <c r="U990" s="283"/>
      <c r="V990" s="204" t="s">
        <v>2375</v>
      </c>
      <c r="W990" s="225"/>
      <c r="X990" s="283"/>
      <c r="Y990" s="283"/>
      <c r="Z990" s="283"/>
      <c r="AA990" s="283"/>
      <c r="AB990" s="283"/>
      <c r="AC990" s="283"/>
      <c r="AD990" s="283"/>
      <c r="AE990" s="283"/>
      <c r="AF990" s="283"/>
      <c r="AG990" s="285" t="s">
        <v>2650</v>
      </c>
      <c r="AH990" s="357" t="s">
        <v>2398</v>
      </c>
      <c r="AI990" s="285" t="s">
        <v>2399</v>
      </c>
      <c r="AJ990" s="225"/>
      <c r="AK990" s="225"/>
      <c r="AL990" s="24"/>
    </row>
    <row r="991" spans="1:38" ht="12.75" customHeight="1">
      <c r="A991" s="22">
        <v>989</v>
      </c>
      <c r="B991" s="24" t="str">
        <f t="shared" si="43"/>
        <v>Done</v>
      </c>
      <c r="C991" s="24" t="str">
        <f t="shared" si="3"/>
        <v>Input Option</v>
      </c>
      <c r="D991" s="24" t="str">
        <f t="shared" si="2"/>
        <v>Diabetes counseling</v>
      </c>
      <c r="E991" s="24" t="s">
        <v>2648</v>
      </c>
      <c r="F991" s="24">
        <v>1</v>
      </c>
      <c r="G991" s="24" t="s">
        <v>2372</v>
      </c>
      <c r="H991" s="24"/>
      <c r="I991" s="283"/>
      <c r="J991" s="224"/>
      <c r="K991" s="164"/>
      <c r="L991" s="164"/>
      <c r="M991" s="164"/>
      <c r="N991" s="196" t="s">
        <v>1673</v>
      </c>
      <c r="O991" s="164"/>
      <c r="P991" s="164"/>
      <c r="Q991" s="164"/>
      <c r="R991" s="283"/>
      <c r="S991" s="164"/>
      <c r="T991" s="283"/>
      <c r="U991" s="283"/>
      <c r="V991" s="204"/>
      <c r="W991" s="225"/>
      <c r="X991" s="283"/>
      <c r="Y991" s="283"/>
      <c r="Z991" s="283"/>
      <c r="AA991" s="283"/>
      <c r="AB991" s="283"/>
      <c r="AC991" s="283"/>
      <c r="AD991" s="283"/>
      <c r="AE991" s="283"/>
      <c r="AF991" s="283"/>
      <c r="AG991" s="285" t="s">
        <v>115</v>
      </c>
      <c r="AH991" s="357" t="s">
        <v>942</v>
      </c>
      <c r="AI991" s="205" t="s">
        <v>943</v>
      </c>
      <c r="AJ991" s="225"/>
      <c r="AK991" s="225"/>
      <c r="AL991" s="24"/>
    </row>
    <row r="992" spans="1:38" ht="12.75" customHeight="1">
      <c r="A992" s="22">
        <v>990</v>
      </c>
      <c r="B992" s="24" t="str">
        <f t="shared" si="43"/>
        <v>Not done</v>
      </c>
      <c r="C992" s="24" t="str">
        <f t="shared" si="3"/>
        <v>Input Option</v>
      </c>
      <c r="D992" s="24" t="str">
        <f t="shared" si="2"/>
        <v>Diabetes counseling</v>
      </c>
      <c r="E992" s="24" t="s">
        <v>2648</v>
      </c>
      <c r="F992" s="24">
        <v>1</v>
      </c>
      <c r="G992" s="24" t="s">
        <v>2372</v>
      </c>
      <c r="H992" s="24"/>
      <c r="I992" s="283"/>
      <c r="J992" s="224"/>
      <c r="K992" s="164"/>
      <c r="L992" s="164"/>
      <c r="M992" s="164"/>
      <c r="N992" s="196" t="s">
        <v>1468</v>
      </c>
      <c r="O992" s="164"/>
      <c r="P992" s="164"/>
      <c r="Q992" s="164"/>
      <c r="R992" s="283"/>
      <c r="S992" s="164"/>
      <c r="T992" s="283"/>
      <c r="U992" s="283"/>
      <c r="V992" s="204"/>
      <c r="W992" s="225"/>
      <c r="X992" s="283"/>
      <c r="Y992" s="283"/>
      <c r="Z992" s="283"/>
      <c r="AA992" s="283"/>
      <c r="AB992" s="283"/>
      <c r="AC992" s="283"/>
      <c r="AD992" s="283"/>
      <c r="AE992" s="283"/>
      <c r="AF992" s="283"/>
      <c r="AG992" s="285" t="s">
        <v>115</v>
      </c>
      <c r="AH992" s="357" t="s">
        <v>1469</v>
      </c>
      <c r="AI992" s="205" t="s">
        <v>1470</v>
      </c>
      <c r="AJ992" s="225"/>
      <c r="AK992" s="225"/>
      <c r="AL992" s="24"/>
    </row>
    <row r="993" spans="1:38" ht="12.75" customHeight="1">
      <c r="A993" s="22">
        <v>991</v>
      </c>
      <c r="B993" s="24" t="str">
        <f t="shared" si="43"/>
        <v>Prescribe daily dose of 120 mg iron and 2.8 mg folic acid</v>
      </c>
      <c r="C993" s="24" t="str">
        <f t="shared" si="3"/>
        <v>Data Element</v>
      </c>
      <c r="D993" s="24" t="str">
        <f t="shared" si="2"/>
        <v/>
      </c>
      <c r="E993" s="24" t="s">
        <v>2653</v>
      </c>
      <c r="F993" s="24">
        <v>1</v>
      </c>
      <c r="G993" s="24" t="s">
        <v>2372</v>
      </c>
      <c r="H993" s="24"/>
      <c r="I993" s="283"/>
      <c r="J993" s="224" t="s">
        <v>2652</v>
      </c>
      <c r="K993" s="164" t="s">
        <v>2654</v>
      </c>
      <c r="L993" s="164"/>
      <c r="M993" s="164" t="s">
        <v>202</v>
      </c>
      <c r="N993" s="196"/>
      <c r="O993" s="164"/>
      <c r="P993" s="164"/>
      <c r="Q993" s="164"/>
      <c r="R993" s="283"/>
      <c r="S993" s="164" t="s">
        <v>113</v>
      </c>
      <c r="T993" s="283"/>
      <c r="U993" s="283"/>
      <c r="V993" s="164" t="s">
        <v>2656</v>
      </c>
      <c r="W993" s="225"/>
      <c r="X993" s="283"/>
      <c r="Y993" s="283"/>
      <c r="Z993" s="283"/>
      <c r="AA993" s="283"/>
      <c r="AB993" s="283"/>
      <c r="AC993" s="283"/>
      <c r="AD993" s="283"/>
      <c r="AE993" s="283"/>
      <c r="AF993" s="283"/>
      <c r="AG993" s="285" t="s">
        <v>2657</v>
      </c>
      <c r="AH993" s="357" t="s">
        <v>2630</v>
      </c>
      <c r="AI993" s="285" t="s">
        <v>2631</v>
      </c>
      <c r="AJ993" s="225"/>
      <c r="AK993" s="225"/>
      <c r="AL993" s="24"/>
    </row>
    <row r="994" spans="1:38" ht="12.75" customHeight="1">
      <c r="A994" s="22">
        <v>992</v>
      </c>
      <c r="B994" s="24" t="str">
        <f t="shared" si="43"/>
        <v>Done</v>
      </c>
      <c r="C994" s="24" t="str">
        <f t="shared" si="3"/>
        <v>Input Option</v>
      </c>
      <c r="D994" s="24" t="str">
        <f t="shared" si="2"/>
        <v>Prescribe daily dose of 120 mg iron and 2.8 mg folic acid</v>
      </c>
      <c r="E994" s="24" t="s">
        <v>2653</v>
      </c>
      <c r="F994" s="24">
        <v>1</v>
      </c>
      <c r="G994" s="24" t="s">
        <v>2372</v>
      </c>
      <c r="H994" s="24"/>
      <c r="I994" s="283"/>
      <c r="J994" s="164"/>
      <c r="K994" s="164"/>
      <c r="L994" s="164"/>
      <c r="M994" s="164"/>
      <c r="N994" s="196" t="s">
        <v>1673</v>
      </c>
      <c r="O994" s="164"/>
      <c r="P994" s="164"/>
      <c r="Q994" s="164"/>
      <c r="R994" s="283"/>
      <c r="S994" s="164"/>
      <c r="T994" s="283"/>
      <c r="U994" s="283"/>
      <c r="V994" s="164"/>
      <c r="W994" s="225"/>
      <c r="X994" s="283"/>
      <c r="Y994" s="283"/>
      <c r="Z994" s="283"/>
      <c r="AA994" s="283"/>
      <c r="AB994" s="283"/>
      <c r="AC994" s="283"/>
      <c r="AD994" s="283"/>
      <c r="AE994" s="283"/>
      <c r="AF994" s="283"/>
      <c r="AG994" s="285" t="s">
        <v>115</v>
      </c>
      <c r="AH994" s="357" t="s">
        <v>942</v>
      </c>
      <c r="AI994" s="205" t="s">
        <v>943</v>
      </c>
      <c r="AJ994" s="225"/>
      <c r="AK994" s="225"/>
      <c r="AL994" s="24"/>
    </row>
    <row r="995" spans="1:38" ht="12.75" customHeight="1">
      <c r="A995" s="22">
        <v>993</v>
      </c>
      <c r="B995" s="24" t="str">
        <f t="shared" si="43"/>
        <v>Not done</v>
      </c>
      <c r="C995" s="24" t="str">
        <f t="shared" si="3"/>
        <v>Input Option</v>
      </c>
      <c r="D995" s="24" t="str">
        <f t="shared" si="2"/>
        <v>Prescribe daily dose of 120 mg iron and 2.8 mg folic acid</v>
      </c>
      <c r="E995" s="24" t="s">
        <v>2653</v>
      </c>
      <c r="F995" s="24">
        <v>1</v>
      </c>
      <c r="G995" s="24" t="s">
        <v>2372</v>
      </c>
      <c r="H995" s="24"/>
      <c r="I995" s="283"/>
      <c r="J995" s="164"/>
      <c r="K995" s="164"/>
      <c r="L995" s="164"/>
      <c r="M995" s="164"/>
      <c r="N995" s="196" t="s">
        <v>1468</v>
      </c>
      <c r="O995" s="164"/>
      <c r="P995" s="164"/>
      <c r="Q995" s="164"/>
      <c r="R995" s="283"/>
      <c r="S995" s="164"/>
      <c r="T995" s="283"/>
      <c r="U995" s="283"/>
      <c r="V995" s="164"/>
      <c r="W995" s="225"/>
      <c r="X995" s="283"/>
      <c r="Y995" s="283"/>
      <c r="Z995" s="283"/>
      <c r="AA995" s="283"/>
      <c r="AB995" s="283"/>
      <c r="AC995" s="283"/>
      <c r="AD995" s="283"/>
      <c r="AE995" s="283"/>
      <c r="AF995" s="283"/>
      <c r="AG995" s="285" t="s">
        <v>115</v>
      </c>
      <c r="AH995" s="357" t="s">
        <v>1469</v>
      </c>
      <c r="AI995" s="205" t="s">
        <v>1470</v>
      </c>
      <c r="AJ995" s="225"/>
      <c r="AK995" s="225"/>
      <c r="AL995" s="24"/>
    </row>
    <row r="996" spans="1:38" ht="12.75" customHeight="1">
      <c r="A996" s="22">
        <v>994</v>
      </c>
      <c r="B996" s="24" t="s">
        <v>2658</v>
      </c>
      <c r="C996" s="24" t="str">
        <f t="shared" si="3"/>
        <v>Data Element</v>
      </c>
      <c r="D996" s="24" t="str">
        <f t="shared" si="2"/>
        <v/>
      </c>
      <c r="E996" s="24" t="s">
        <v>2653</v>
      </c>
      <c r="F996" s="24">
        <v>1</v>
      </c>
      <c r="G996" s="24" t="s">
        <v>2372</v>
      </c>
      <c r="H996" s="24"/>
      <c r="I996" s="283"/>
      <c r="J996" s="164" t="s">
        <v>1376</v>
      </c>
      <c r="K996" s="164" t="s">
        <v>2659</v>
      </c>
      <c r="L996" s="164" t="s">
        <v>2660</v>
      </c>
      <c r="M996" s="164" t="s">
        <v>238</v>
      </c>
      <c r="N996" s="224"/>
      <c r="O996" s="164"/>
      <c r="P996" s="164"/>
      <c r="Q996" s="164"/>
      <c r="R996" s="283"/>
      <c r="S996" s="164" t="s">
        <v>113</v>
      </c>
      <c r="T996" s="283"/>
      <c r="U996" s="283"/>
      <c r="V996" s="164" t="s">
        <v>115</v>
      </c>
      <c r="W996" s="225"/>
      <c r="X996" s="283"/>
      <c r="Y996" s="283"/>
      <c r="Z996" s="283"/>
      <c r="AA996" s="283"/>
      <c r="AB996" s="283"/>
      <c r="AC996" s="283"/>
      <c r="AD996" s="283"/>
      <c r="AE996" s="283"/>
      <c r="AF996" s="283"/>
      <c r="AG996" s="285" t="s">
        <v>2657</v>
      </c>
      <c r="AH996" s="357" t="s">
        <v>2635</v>
      </c>
      <c r="AI996" s="285" t="s">
        <v>2636</v>
      </c>
      <c r="AJ996" s="225"/>
      <c r="AK996" s="225"/>
      <c r="AL996" s="24"/>
    </row>
    <row r="997" spans="1:38" ht="12.75" customHeight="1">
      <c r="A997" s="22">
        <v>995</v>
      </c>
      <c r="B997" s="24" t="str">
        <f t="shared" ref="B997:B999" si="44">IF(N997="",IF(M997="Calculation",K997,J997),N997)</f>
        <v>Referred instead</v>
      </c>
      <c r="C997" s="24" t="str">
        <f t="shared" si="3"/>
        <v>Input Option</v>
      </c>
      <c r="D997" s="24" t="str">
        <f t="shared" si="2"/>
        <v>Reason Prescribe daily dose of 120 mg iron and 2.8 mg folic acid not done</v>
      </c>
      <c r="E997" s="24" t="s">
        <v>2653</v>
      </c>
      <c r="F997" s="24">
        <v>1</v>
      </c>
      <c r="G997" s="24" t="s">
        <v>2372</v>
      </c>
      <c r="H997" s="24"/>
      <c r="I997" s="283"/>
      <c r="J997" s="196"/>
      <c r="K997" s="164"/>
      <c r="L997" s="196"/>
      <c r="M997" s="196"/>
      <c r="N997" s="224" t="s">
        <v>2405</v>
      </c>
      <c r="O997" s="196"/>
      <c r="P997" s="196"/>
      <c r="Q997" s="196"/>
      <c r="R997" s="283"/>
      <c r="S997" s="196"/>
      <c r="T997" s="283"/>
      <c r="U997" s="283"/>
      <c r="V997" s="196"/>
      <c r="W997" s="225"/>
      <c r="X997" s="283"/>
      <c r="Y997" s="283"/>
      <c r="Z997" s="283"/>
      <c r="AA997" s="283"/>
      <c r="AB997" s="283"/>
      <c r="AC997" s="283"/>
      <c r="AD997" s="283"/>
      <c r="AE997" s="283"/>
      <c r="AF997" s="283"/>
      <c r="AG997" s="285" t="s">
        <v>115</v>
      </c>
      <c r="AH997" s="359" t="s">
        <v>2406</v>
      </c>
      <c r="AI997" s="205" t="s">
        <v>2407</v>
      </c>
      <c r="AJ997" s="225"/>
      <c r="AK997" s="225"/>
      <c r="AL997" s="24"/>
    </row>
    <row r="998" spans="1:38" ht="12.75" customHeight="1">
      <c r="A998" s="22">
        <v>996</v>
      </c>
      <c r="B998" s="24" t="str">
        <f t="shared" si="44"/>
        <v>Side effects prevent woman from taking it</v>
      </c>
      <c r="C998" s="24" t="str">
        <f t="shared" si="3"/>
        <v>Input Option</v>
      </c>
      <c r="D998" s="24" t="str">
        <f t="shared" si="2"/>
        <v>Reason Prescribe daily dose of 120 mg iron and 2.8 mg folic acid not done</v>
      </c>
      <c r="E998" s="24" t="s">
        <v>2653</v>
      </c>
      <c r="F998" s="24">
        <v>1</v>
      </c>
      <c r="G998" s="24" t="s">
        <v>2372</v>
      </c>
      <c r="H998" s="24"/>
      <c r="I998" s="283"/>
      <c r="J998" s="196"/>
      <c r="K998" s="164"/>
      <c r="L998" s="196"/>
      <c r="M998" s="196"/>
      <c r="N998" s="204" t="s">
        <v>2662</v>
      </c>
      <c r="O998" s="196"/>
      <c r="P998" s="196"/>
      <c r="Q998" s="196"/>
      <c r="R998" s="283"/>
      <c r="S998" s="196"/>
      <c r="T998" s="283"/>
      <c r="U998" s="283"/>
      <c r="V998" s="196"/>
      <c r="W998" s="225"/>
      <c r="X998" s="283"/>
      <c r="Y998" s="283"/>
      <c r="Z998" s="283"/>
      <c r="AA998" s="283"/>
      <c r="AB998" s="283"/>
      <c r="AC998" s="283"/>
      <c r="AD998" s="283"/>
      <c r="AE998" s="283"/>
      <c r="AF998" s="283"/>
      <c r="AG998" s="285" t="s">
        <v>115</v>
      </c>
      <c r="AH998" s="359" t="s">
        <v>1166</v>
      </c>
      <c r="AI998" s="205" t="s">
        <v>1167</v>
      </c>
      <c r="AJ998" s="225"/>
      <c r="AK998" s="225"/>
      <c r="AL998" s="24"/>
    </row>
    <row r="999" spans="1:38" ht="12.75" customHeight="1">
      <c r="A999" s="22">
        <v>997</v>
      </c>
      <c r="B999" s="24" t="str">
        <f t="shared" si="44"/>
        <v>Other (specify)</v>
      </c>
      <c r="C999" s="24" t="str">
        <f t="shared" si="3"/>
        <v>Input Option</v>
      </c>
      <c r="D999" s="24" t="str">
        <f t="shared" si="2"/>
        <v>Reason Prescribe daily dose of 120 mg iron and 2.8 mg folic acid not done</v>
      </c>
      <c r="E999" s="24" t="s">
        <v>2653</v>
      </c>
      <c r="F999" s="24">
        <v>1</v>
      </c>
      <c r="G999" s="24" t="s">
        <v>2372</v>
      </c>
      <c r="H999" s="24"/>
      <c r="I999" s="283"/>
      <c r="J999" s="196"/>
      <c r="K999" s="164"/>
      <c r="L999" s="196"/>
      <c r="M999" s="196"/>
      <c r="N999" s="204" t="s">
        <v>405</v>
      </c>
      <c r="O999" s="196"/>
      <c r="P999" s="196"/>
      <c r="Q999" s="196"/>
      <c r="R999" s="283"/>
      <c r="S999" s="196"/>
      <c r="T999" s="283"/>
      <c r="U999" s="283"/>
      <c r="V999" s="196"/>
      <c r="W999" s="225"/>
      <c r="X999" s="283"/>
      <c r="Y999" s="283"/>
      <c r="Z999" s="283"/>
      <c r="AA999" s="283"/>
      <c r="AB999" s="283"/>
      <c r="AC999" s="283"/>
      <c r="AD999" s="283"/>
      <c r="AE999" s="283"/>
      <c r="AF999" s="283"/>
      <c r="AG999" s="285" t="s">
        <v>115</v>
      </c>
      <c r="AH999" s="359" t="s">
        <v>406</v>
      </c>
      <c r="AI999" s="205" t="s">
        <v>407</v>
      </c>
      <c r="AJ999" s="225"/>
      <c r="AK999" s="225"/>
      <c r="AL999" s="24"/>
    </row>
    <row r="1000" spans="1:38" ht="12.75" customHeight="1">
      <c r="A1000" s="22">
        <v>998</v>
      </c>
      <c r="B1000" s="24" t="s">
        <v>2663</v>
      </c>
      <c r="C1000" s="24" t="str">
        <f t="shared" si="3"/>
        <v>Data Element</v>
      </c>
      <c r="D1000" s="24" t="str">
        <f t="shared" si="2"/>
        <v/>
      </c>
      <c r="E1000" s="24" t="s">
        <v>2653</v>
      </c>
      <c r="F1000" s="24">
        <v>1</v>
      </c>
      <c r="G1000" s="24" t="s">
        <v>2372</v>
      </c>
      <c r="H1000" s="24"/>
      <c r="I1000" s="283"/>
      <c r="J1000" s="196" t="s">
        <v>409</v>
      </c>
      <c r="K1000" s="164" t="s">
        <v>2664</v>
      </c>
      <c r="L1000" s="196" t="s">
        <v>2641</v>
      </c>
      <c r="M1000" s="196" t="s">
        <v>111</v>
      </c>
      <c r="N1000" s="196"/>
      <c r="O1000" s="196"/>
      <c r="P1000" s="196"/>
      <c r="Q1000" s="196"/>
      <c r="R1000" s="283"/>
      <c r="S1000" s="196" t="s">
        <v>208</v>
      </c>
      <c r="T1000" s="283"/>
      <c r="U1000" s="283"/>
      <c r="V1000" s="196" t="s">
        <v>115</v>
      </c>
      <c r="W1000" s="225"/>
      <c r="X1000" s="283"/>
      <c r="Y1000" s="283"/>
      <c r="Z1000" s="283"/>
      <c r="AA1000" s="283"/>
      <c r="AB1000" s="283"/>
      <c r="AC1000" s="283"/>
      <c r="AD1000" s="283"/>
      <c r="AE1000" s="283"/>
      <c r="AF1000" s="283"/>
      <c r="AG1000" s="285" t="s">
        <v>2657</v>
      </c>
      <c r="AH1000" s="357" t="s">
        <v>2642</v>
      </c>
      <c r="AI1000" s="285" t="s">
        <v>2643</v>
      </c>
      <c r="AJ1000" s="225"/>
      <c r="AK1000" s="225"/>
      <c r="AL1000" s="24"/>
    </row>
    <row r="1001" spans="1:38" ht="12.75" customHeight="1">
      <c r="A1001" s="22">
        <v>999</v>
      </c>
      <c r="B1001" s="24" t="str">
        <f t="shared" ref="B1001:B1007" si="45">IF(N1001="",IF(M1001="Calculation",K1001,J1001),N1001)</f>
        <v>ifa_medication</v>
      </c>
      <c r="C1001" s="24" t="str">
        <f t="shared" si="3"/>
        <v>Calculation</v>
      </c>
      <c r="D1001" s="24" t="str">
        <f t="shared" si="2"/>
        <v/>
      </c>
      <c r="E1001" s="24" t="s">
        <v>2653</v>
      </c>
      <c r="F1001" s="24">
        <v>1</v>
      </c>
      <c r="G1001" s="24" t="s">
        <v>2372</v>
      </c>
      <c r="H1001" s="24"/>
      <c r="I1001" s="283"/>
      <c r="J1001" s="298" t="s">
        <v>115</v>
      </c>
      <c r="K1001" s="298" t="s">
        <v>2665</v>
      </c>
      <c r="L1001" s="298" t="s">
        <v>2666</v>
      </c>
      <c r="M1001" s="298" t="s">
        <v>65</v>
      </c>
      <c r="N1001" s="164"/>
      <c r="O1001" s="298" t="s">
        <v>2667</v>
      </c>
      <c r="P1001" s="298"/>
      <c r="Q1001" s="164"/>
      <c r="R1001" s="283"/>
      <c r="S1001" s="298" t="s">
        <v>115</v>
      </c>
      <c r="T1001" s="283"/>
      <c r="U1001" s="283"/>
      <c r="V1001" s="298" t="s">
        <v>115</v>
      </c>
      <c r="W1001" s="225"/>
      <c r="X1001" s="283"/>
      <c r="Y1001" s="283"/>
      <c r="Z1001" s="283"/>
      <c r="AA1001" s="283"/>
      <c r="AB1001" s="283"/>
      <c r="AC1001" s="283"/>
      <c r="AD1001" s="283"/>
      <c r="AE1001" s="283"/>
      <c r="AF1001" s="283"/>
      <c r="AG1001" s="285" t="s">
        <v>115</v>
      </c>
      <c r="AH1001" s="285" t="s">
        <v>115</v>
      </c>
      <c r="AI1001" s="285" t="s">
        <v>115</v>
      </c>
      <c r="AJ1001" s="225"/>
      <c r="AK1001" s="225"/>
      <c r="AL1001" s="24"/>
    </row>
    <row r="1002" spans="1:38" ht="12.75" customHeight="1">
      <c r="A1002" s="22">
        <v>1000</v>
      </c>
      <c r="B1002" s="24" t="str">
        <f t="shared" si="45"/>
        <v>TB screening positive counseling</v>
      </c>
      <c r="C1002" s="24" t="str">
        <f t="shared" si="3"/>
        <v>Data Element</v>
      </c>
      <c r="D1002" s="24" t="str">
        <f t="shared" si="2"/>
        <v/>
      </c>
      <c r="E1002" s="24" t="s">
        <v>2669</v>
      </c>
      <c r="F1002" s="24">
        <v>1</v>
      </c>
      <c r="G1002" s="24" t="s">
        <v>2372</v>
      </c>
      <c r="H1002" s="24"/>
      <c r="I1002" s="283"/>
      <c r="J1002" s="297" t="s">
        <v>2668</v>
      </c>
      <c r="K1002" s="297" t="s">
        <v>2670</v>
      </c>
      <c r="L1002" s="297"/>
      <c r="M1002" s="297" t="s">
        <v>202</v>
      </c>
      <c r="N1002" s="164"/>
      <c r="O1002" s="164"/>
      <c r="P1002" s="164"/>
      <c r="Q1002" s="164"/>
      <c r="R1002" s="283"/>
      <c r="S1002" s="297" t="s">
        <v>208</v>
      </c>
      <c r="T1002" s="283"/>
      <c r="U1002" s="283"/>
      <c r="V1002" s="204" t="s">
        <v>2375</v>
      </c>
      <c r="W1002" s="225"/>
      <c r="X1002" s="283"/>
      <c r="Y1002" s="283"/>
      <c r="Z1002" s="283"/>
      <c r="AA1002" s="283"/>
      <c r="AB1002" s="283"/>
      <c r="AC1002" s="283"/>
      <c r="AD1002" s="283"/>
      <c r="AE1002" s="283"/>
      <c r="AF1002" s="283"/>
      <c r="AG1002" s="285" t="s">
        <v>2671</v>
      </c>
      <c r="AH1002" s="357" t="s">
        <v>2398</v>
      </c>
      <c r="AI1002" s="285" t="s">
        <v>2399</v>
      </c>
      <c r="AJ1002" s="225"/>
      <c r="AK1002" s="225"/>
      <c r="AL1002" s="24"/>
    </row>
    <row r="1003" spans="1:38" ht="12.75" customHeight="1">
      <c r="A1003" s="22">
        <v>1001</v>
      </c>
      <c r="B1003" s="24" t="str">
        <f t="shared" si="45"/>
        <v>Done</v>
      </c>
      <c r="C1003" s="24" t="str">
        <f t="shared" si="3"/>
        <v>Input Option</v>
      </c>
      <c r="D1003" s="24" t="str">
        <f t="shared" si="2"/>
        <v>TB screening positive counseling</v>
      </c>
      <c r="E1003" s="24" t="s">
        <v>2669</v>
      </c>
      <c r="F1003" s="24">
        <v>1</v>
      </c>
      <c r="G1003" s="24" t="s">
        <v>2372</v>
      </c>
      <c r="H1003" s="24"/>
      <c r="I1003" s="283"/>
      <c r="J1003" s="297"/>
      <c r="K1003" s="297"/>
      <c r="L1003" s="297"/>
      <c r="M1003" s="297"/>
      <c r="N1003" s="164" t="s">
        <v>1673</v>
      </c>
      <c r="O1003" s="164"/>
      <c r="P1003" s="164"/>
      <c r="Q1003" s="164"/>
      <c r="R1003" s="283"/>
      <c r="S1003" s="297"/>
      <c r="T1003" s="283"/>
      <c r="U1003" s="283"/>
      <c r="V1003" s="204"/>
      <c r="W1003" s="225"/>
      <c r="X1003" s="283"/>
      <c r="Y1003" s="283"/>
      <c r="Z1003" s="283"/>
      <c r="AA1003" s="283"/>
      <c r="AB1003" s="283"/>
      <c r="AC1003" s="283"/>
      <c r="AD1003" s="283"/>
      <c r="AE1003" s="283"/>
      <c r="AF1003" s="283"/>
      <c r="AG1003" s="285" t="s">
        <v>115</v>
      </c>
      <c r="AH1003" s="357" t="s">
        <v>942</v>
      </c>
      <c r="AI1003" s="205" t="s">
        <v>943</v>
      </c>
      <c r="AJ1003" s="225"/>
      <c r="AK1003" s="225"/>
      <c r="AL1003" s="24"/>
    </row>
    <row r="1004" spans="1:38" ht="12.75" customHeight="1">
      <c r="A1004" s="22">
        <v>1002</v>
      </c>
      <c r="B1004" s="24" t="str">
        <f t="shared" si="45"/>
        <v>Not done</v>
      </c>
      <c r="C1004" s="24" t="str">
        <f t="shared" si="3"/>
        <v>Input Option</v>
      </c>
      <c r="D1004" s="24" t="str">
        <f t="shared" si="2"/>
        <v>TB screening positive counseling</v>
      </c>
      <c r="E1004" s="24" t="s">
        <v>2669</v>
      </c>
      <c r="F1004" s="24">
        <v>1</v>
      </c>
      <c r="G1004" s="24" t="s">
        <v>2372</v>
      </c>
      <c r="H1004" s="24"/>
      <c r="I1004" s="283"/>
      <c r="J1004" s="297"/>
      <c r="K1004" s="297"/>
      <c r="L1004" s="297"/>
      <c r="M1004" s="297"/>
      <c r="N1004" s="164" t="s">
        <v>1468</v>
      </c>
      <c r="O1004" s="164"/>
      <c r="P1004" s="164"/>
      <c r="Q1004" s="164"/>
      <c r="R1004" s="283"/>
      <c r="S1004" s="297"/>
      <c r="T1004" s="283"/>
      <c r="U1004" s="283"/>
      <c r="V1004" s="204"/>
      <c r="W1004" s="225"/>
      <c r="X1004" s="283"/>
      <c r="Y1004" s="283"/>
      <c r="Z1004" s="283"/>
      <c r="AA1004" s="283"/>
      <c r="AB1004" s="283"/>
      <c r="AC1004" s="283"/>
      <c r="AD1004" s="283"/>
      <c r="AE1004" s="283"/>
      <c r="AF1004" s="283"/>
      <c r="AG1004" s="285" t="s">
        <v>115</v>
      </c>
      <c r="AH1004" s="357" t="s">
        <v>1469</v>
      </c>
      <c r="AI1004" s="205" t="s">
        <v>1470</v>
      </c>
      <c r="AJ1004" s="225"/>
      <c r="AK1004" s="225"/>
      <c r="AL1004" s="24"/>
    </row>
    <row r="1005" spans="1:38" ht="12.75" customHeight="1">
      <c r="A1005" s="22">
        <v>1003</v>
      </c>
      <c r="B1005" s="24" t="str">
        <f t="shared" si="45"/>
        <v>Prescribe aspirin 75 mg daily until delivery (starting at 12 weeks gestation)</v>
      </c>
      <c r="C1005" s="24" t="str">
        <f t="shared" si="3"/>
        <v>Data Element</v>
      </c>
      <c r="D1005" s="24" t="str">
        <f t="shared" si="2"/>
        <v/>
      </c>
      <c r="E1005" s="24" t="s">
        <v>2673</v>
      </c>
      <c r="F1005" s="24">
        <v>1</v>
      </c>
      <c r="G1005" s="24" t="s">
        <v>2372</v>
      </c>
      <c r="H1005" s="24"/>
      <c r="I1005" s="283"/>
      <c r="J1005" s="224" t="s">
        <v>2672</v>
      </c>
      <c r="K1005" s="164" t="s">
        <v>2674</v>
      </c>
      <c r="L1005" s="164"/>
      <c r="M1005" s="164" t="s">
        <v>202</v>
      </c>
      <c r="N1005" s="164"/>
      <c r="O1005" s="164"/>
      <c r="P1005" s="164"/>
      <c r="Q1005" s="164"/>
      <c r="R1005" s="283"/>
      <c r="S1005" s="164" t="s">
        <v>113</v>
      </c>
      <c r="T1005" s="283"/>
      <c r="U1005" s="283"/>
      <c r="V1005" s="164" t="s">
        <v>2675</v>
      </c>
      <c r="W1005" s="225"/>
      <c r="X1005" s="283"/>
      <c r="Y1005" s="283"/>
      <c r="Z1005" s="283"/>
      <c r="AA1005" s="283"/>
      <c r="AB1005" s="283"/>
      <c r="AC1005" s="283"/>
      <c r="AD1005" s="283"/>
      <c r="AE1005" s="283"/>
      <c r="AF1005" s="283"/>
      <c r="AG1005" s="285" t="s">
        <v>2676</v>
      </c>
      <c r="AH1005" s="285" t="s">
        <v>2630</v>
      </c>
      <c r="AI1005" s="285" t="s">
        <v>2631</v>
      </c>
      <c r="AJ1005" s="225"/>
      <c r="AK1005" s="225"/>
      <c r="AL1005" s="24"/>
    </row>
    <row r="1006" spans="1:38" ht="12.75" customHeight="1">
      <c r="A1006" s="22">
        <v>1004</v>
      </c>
      <c r="B1006" s="24" t="str">
        <f t="shared" si="45"/>
        <v>Done</v>
      </c>
      <c r="C1006" s="24" t="str">
        <f t="shared" si="3"/>
        <v>Input Option</v>
      </c>
      <c r="D1006" s="24" t="str">
        <f t="shared" si="2"/>
        <v>Prescribe aspirin 75 mg daily until delivery (starting at 12 weeks gestation)</v>
      </c>
      <c r="E1006" s="24" t="s">
        <v>2673</v>
      </c>
      <c r="F1006" s="24">
        <v>1</v>
      </c>
      <c r="G1006" s="24" t="s">
        <v>2372</v>
      </c>
      <c r="H1006" s="24"/>
      <c r="I1006" s="283"/>
      <c r="J1006" s="164"/>
      <c r="K1006" s="164"/>
      <c r="L1006" s="164"/>
      <c r="M1006" s="164"/>
      <c r="N1006" s="164" t="s">
        <v>1673</v>
      </c>
      <c r="O1006" s="164"/>
      <c r="P1006" s="164"/>
      <c r="Q1006" s="164"/>
      <c r="R1006" s="283"/>
      <c r="S1006" s="164"/>
      <c r="T1006" s="283"/>
      <c r="U1006" s="283"/>
      <c r="V1006" s="164"/>
      <c r="W1006" s="225"/>
      <c r="X1006" s="283"/>
      <c r="Y1006" s="283"/>
      <c r="Z1006" s="283"/>
      <c r="AA1006" s="283"/>
      <c r="AB1006" s="283"/>
      <c r="AC1006" s="283"/>
      <c r="AD1006" s="283"/>
      <c r="AE1006" s="283"/>
      <c r="AF1006" s="283"/>
      <c r="AG1006" s="285" t="s">
        <v>115</v>
      </c>
      <c r="AH1006" s="285" t="s">
        <v>942</v>
      </c>
      <c r="AI1006" s="205" t="s">
        <v>943</v>
      </c>
      <c r="AJ1006" s="225"/>
      <c r="AK1006" s="225"/>
      <c r="AL1006" s="24"/>
    </row>
    <row r="1007" spans="1:38" ht="12.75" customHeight="1">
      <c r="A1007" s="22">
        <v>1005</v>
      </c>
      <c r="B1007" s="24" t="str">
        <f t="shared" si="45"/>
        <v>Not done</v>
      </c>
      <c r="C1007" s="24" t="str">
        <f t="shared" si="3"/>
        <v>Input Option</v>
      </c>
      <c r="D1007" s="24" t="str">
        <f t="shared" si="2"/>
        <v>Prescribe aspirin 75 mg daily until delivery (starting at 12 weeks gestation)</v>
      </c>
      <c r="E1007" s="24" t="s">
        <v>2673</v>
      </c>
      <c r="F1007" s="24">
        <v>1</v>
      </c>
      <c r="G1007" s="24" t="s">
        <v>2372</v>
      </c>
      <c r="H1007" s="24"/>
      <c r="I1007" s="283"/>
      <c r="J1007" s="164"/>
      <c r="K1007" s="164"/>
      <c r="L1007" s="164"/>
      <c r="M1007" s="164"/>
      <c r="N1007" s="164" t="s">
        <v>1468</v>
      </c>
      <c r="O1007" s="164"/>
      <c r="P1007" s="164"/>
      <c r="Q1007" s="164"/>
      <c r="R1007" s="283"/>
      <c r="S1007" s="164"/>
      <c r="T1007" s="283"/>
      <c r="U1007" s="283"/>
      <c r="V1007" s="164"/>
      <c r="W1007" s="225"/>
      <c r="X1007" s="283"/>
      <c r="Y1007" s="283"/>
      <c r="Z1007" s="283"/>
      <c r="AA1007" s="283"/>
      <c r="AB1007" s="283"/>
      <c r="AC1007" s="283"/>
      <c r="AD1007" s="283"/>
      <c r="AE1007" s="283"/>
      <c r="AF1007" s="283"/>
      <c r="AG1007" s="285" t="s">
        <v>115</v>
      </c>
      <c r="AH1007" s="285" t="s">
        <v>1469</v>
      </c>
      <c r="AI1007" s="205" t="s">
        <v>1470</v>
      </c>
      <c r="AJ1007" s="225"/>
      <c r="AK1007" s="225"/>
      <c r="AL1007" s="24"/>
    </row>
    <row r="1008" spans="1:38" ht="12.75" customHeight="1">
      <c r="A1008" s="22">
        <v>1006</v>
      </c>
      <c r="B1008" s="24" t="s">
        <v>2678</v>
      </c>
      <c r="C1008" s="24" t="str">
        <f t="shared" si="3"/>
        <v>Data Element</v>
      </c>
      <c r="D1008" s="24" t="str">
        <f t="shared" si="2"/>
        <v/>
      </c>
      <c r="E1008" s="24" t="s">
        <v>2673</v>
      </c>
      <c r="F1008" s="24">
        <v>1</v>
      </c>
      <c r="G1008" s="24" t="s">
        <v>2372</v>
      </c>
      <c r="H1008" s="24"/>
      <c r="I1008" s="283"/>
      <c r="J1008" s="164" t="s">
        <v>1376</v>
      </c>
      <c r="K1008" s="164" t="s">
        <v>2679</v>
      </c>
      <c r="L1008" s="164" t="s">
        <v>2680</v>
      </c>
      <c r="M1008" s="164" t="s">
        <v>202</v>
      </c>
      <c r="N1008" s="224"/>
      <c r="O1008" s="164"/>
      <c r="P1008" s="164"/>
      <c r="Q1008" s="164"/>
      <c r="R1008" s="283"/>
      <c r="S1008" s="164" t="s">
        <v>113</v>
      </c>
      <c r="T1008" s="283"/>
      <c r="U1008" s="283"/>
      <c r="V1008" s="164" t="s">
        <v>115</v>
      </c>
      <c r="W1008" s="225"/>
      <c r="X1008" s="283"/>
      <c r="Y1008" s="283"/>
      <c r="Z1008" s="283"/>
      <c r="AA1008" s="283"/>
      <c r="AB1008" s="283"/>
      <c r="AC1008" s="283"/>
      <c r="AD1008" s="283"/>
      <c r="AE1008" s="283"/>
      <c r="AF1008" s="283"/>
      <c r="AG1008" s="285" t="s">
        <v>2676</v>
      </c>
      <c r="AH1008" s="285" t="s">
        <v>2635</v>
      </c>
      <c r="AI1008" s="285" t="s">
        <v>2636</v>
      </c>
      <c r="AJ1008" s="225"/>
      <c r="AK1008" s="225"/>
      <c r="AL1008" s="24"/>
    </row>
    <row r="1009" spans="1:38" ht="12.75" customHeight="1">
      <c r="A1009" s="22">
        <v>1007</v>
      </c>
      <c r="B1009" s="24" t="str">
        <f t="shared" ref="B1009:B1012" si="46">IF(N1009="",IF(M1009="Calculation",K1009,J1009),N1009)</f>
        <v>No stock</v>
      </c>
      <c r="C1009" s="24" t="str">
        <f t="shared" si="3"/>
        <v>Input Option</v>
      </c>
      <c r="D1009" s="24" t="str">
        <f t="shared" si="2"/>
        <v>Reason Prescribe aspirin 75 mg daily until delivery (starting at 12 weeks gestation) not done</v>
      </c>
      <c r="E1009" s="24" t="s">
        <v>2673</v>
      </c>
      <c r="F1009" s="24">
        <v>1</v>
      </c>
      <c r="G1009" s="24" t="s">
        <v>2372</v>
      </c>
      <c r="H1009" s="24"/>
      <c r="I1009" s="283"/>
      <c r="J1009" s="196"/>
      <c r="K1009" s="164"/>
      <c r="L1009" s="196"/>
      <c r="M1009" s="196"/>
      <c r="N1009" s="224" t="s">
        <v>2681</v>
      </c>
      <c r="O1009" s="196"/>
      <c r="P1009" s="196"/>
      <c r="Q1009" s="196"/>
      <c r="R1009" s="283"/>
      <c r="S1009" s="196"/>
      <c r="T1009" s="283"/>
      <c r="U1009" s="283"/>
      <c r="V1009" s="196"/>
      <c r="W1009" s="225"/>
      <c r="X1009" s="283"/>
      <c r="Y1009" s="283"/>
      <c r="Z1009" s="283"/>
      <c r="AA1009" s="283"/>
      <c r="AB1009" s="283"/>
      <c r="AC1009" s="283"/>
      <c r="AD1009" s="283"/>
      <c r="AE1009" s="283"/>
      <c r="AF1009" s="283"/>
      <c r="AG1009" s="285" t="s">
        <v>115</v>
      </c>
      <c r="AH1009" s="205" t="s">
        <v>2637</v>
      </c>
      <c r="AI1009" s="205" t="s">
        <v>2638</v>
      </c>
      <c r="AJ1009" s="225"/>
      <c r="AK1009" s="225"/>
      <c r="AL1009" s="24"/>
    </row>
    <row r="1010" spans="1:38" ht="12.75" customHeight="1">
      <c r="A1010" s="22">
        <v>1008</v>
      </c>
      <c r="B1010" s="24" t="str">
        <f t="shared" si="46"/>
        <v>Side effects</v>
      </c>
      <c r="C1010" s="24" t="str">
        <f t="shared" si="3"/>
        <v>Input Option</v>
      </c>
      <c r="D1010" s="24" t="str">
        <f t="shared" si="2"/>
        <v>Reason Prescribe aspirin 75 mg daily until delivery (starting at 12 weeks gestation) not done</v>
      </c>
      <c r="E1010" s="24" t="s">
        <v>2673</v>
      </c>
      <c r="F1010" s="24">
        <v>1</v>
      </c>
      <c r="G1010" s="24" t="s">
        <v>2372</v>
      </c>
      <c r="H1010" s="24"/>
      <c r="I1010" s="283"/>
      <c r="J1010" s="196"/>
      <c r="K1010" s="164"/>
      <c r="L1010" s="196"/>
      <c r="M1010" s="196"/>
      <c r="N1010" s="204" t="s">
        <v>2682</v>
      </c>
      <c r="O1010" s="196"/>
      <c r="P1010" s="196"/>
      <c r="Q1010" s="196"/>
      <c r="R1010" s="283"/>
      <c r="S1010" s="196"/>
      <c r="T1010" s="283"/>
      <c r="U1010" s="283"/>
      <c r="V1010" s="196"/>
      <c r="W1010" s="225"/>
      <c r="X1010" s="283"/>
      <c r="Y1010" s="283"/>
      <c r="Z1010" s="283"/>
      <c r="AA1010" s="283"/>
      <c r="AB1010" s="283"/>
      <c r="AC1010" s="283"/>
      <c r="AD1010" s="283"/>
      <c r="AE1010" s="283"/>
      <c r="AF1010" s="283"/>
      <c r="AG1010" s="285" t="s">
        <v>115</v>
      </c>
      <c r="AH1010" s="205" t="s">
        <v>1166</v>
      </c>
      <c r="AI1010" s="205" t="s">
        <v>1167</v>
      </c>
      <c r="AJ1010" s="225"/>
      <c r="AK1010" s="225"/>
      <c r="AL1010" s="24"/>
    </row>
    <row r="1011" spans="1:38" ht="12.75" customHeight="1">
      <c r="A1011" s="22">
        <v>1009</v>
      </c>
      <c r="B1011" s="24" t="str">
        <f t="shared" si="46"/>
        <v>Allergy</v>
      </c>
      <c r="C1011" s="24" t="str">
        <f t="shared" si="3"/>
        <v>Input Option</v>
      </c>
      <c r="D1011" s="24" t="str">
        <f t="shared" si="2"/>
        <v>Reason Prescribe aspirin 75 mg daily until delivery (starting at 12 weeks gestation) not done</v>
      </c>
      <c r="E1011" s="24" t="s">
        <v>2673</v>
      </c>
      <c r="F1011" s="24">
        <v>1</v>
      </c>
      <c r="G1011" s="24" t="s">
        <v>2372</v>
      </c>
      <c r="H1011" s="24"/>
      <c r="I1011" s="283"/>
      <c r="J1011" s="196"/>
      <c r="K1011" s="164"/>
      <c r="L1011" s="196"/>
      <c r="M1011" s="196"/>
      <c r="N1011" s="204" t="s">
        <v>2684</v>
      </c>
      <c r="O1011" s="196"/>
      <c r="P1011" s="196"/>
      <c r="Q1011" s="196"/>
      <c r="R1011" s="283"/>
      <c r="S1011" s="196"/>
      <c r="T1011" s="283"/>
      <c r="U1011" s="283"/>
      <c r="V1011" s="196"/>
      <c r="W1011" s="225"/>
      <c r="X1011" s="283"/>
      <c r="Y1011" s="283"/>
      <c r="Z1011" s="283"/>
      <c r="AA1011" s="283"/>
      <c r="AB1011" s="283"/>
      <c r="AC1011" s="283"/>
      <c r="AD1011" s="283"/>
      <c r="AE1011" s="283"/>
      <c r="AF1011" s="283"/>
      <c r="AG1011" s="285" t="s">
        <v>115</v>
      </c>
      <c r="AH1011" s="205" t="s">
        <v>2685</v>
      </c>
      <c r="AI1011" s="205" t="s">
        <v>2686</v>
      </c>
      <c r="AJ1011" s="225"/>
      <c r="AK1011" s="225"/>
      <c r="AL1011" s="24"/>
    </row>
    <row r="1012" spans="1:38" ht="12.75" customHeight="1">
      <c r="A1012" s="22">
        <v>1010</v>
      </c>
      <c r="B1012" s="24" t="str">
        <f t="shared" si="46"/>
        <v>Other (specify)</v>
      </c>
      <c r="C1012" s="24" t="str">
        <f t="shared" si="3"/>
        <v>Input Option</v>
      </c>
      <c r="D1012" s="24" t="str">
        <f t="shared" si="2"/>
        <v>Reason Prescribe aspirin 75 mg daily until delivery (starting at 12 weeks gestation) not done</v>
      </c>
      <c r="E1012" s="24" t="s">
        <v>2673</v>
      </c>
      <c r="F1012" s="24">
        <v>1</v>
      </c>
      <c r="G1012" s="24" t="s">
        <v>2372</v>
      </c>
      <c r="H1012" s="24"/>
      <c r="I1012" s="283"/>
      <c r="J1012" s="196"/>
      <c r="K1012" s="164"/>
      <c r="L1012" s="196"/>
      <c r="M1012" s="196"/>
      <c r="N1012" s="204" t="s">
        <v>405</v>
      </c>
      <c r="O1012" s="196"/>
      <c r="P1012" s="196"/>
      <c r="Q1012" s="196"/>
      <c r="R1012" s="283"/>
      <c r="S1012" s="196"/>
      <c r="T1012" s="283"/>
      <c r="U1012" s="283"/>
      <c r="V1012" s="196"/>
      <c r="W1012" s="225"/>
      <c r="X1012" s="283"/>
      <c r="Y1012" s="283"/>
      <c r="Z1012" s="283"/>
      <c r="AA1012" s="283"/>
      <c r="AB1012" s="283"/>
      <c r="AC1012" s="283"/>
      <c r="AD1012" s="283"/>
      <c r="AE1012" s="283"/>
      <c r="AF1012" s="283"/>
      <c r="AG1012" s="285" t="s">
        <v>115</v>
      </c>
      <c r="AH1012" s="205" t="s">
        <v>406</v>
      </c>
      <c r="AI1012" s="205" t="s">
        <v>407</v>
      </c>
      <c r="AJ1012" s="225"/>
      <c r="AK1012" s="225"/>
      <c r="AL1012" s="24"/>
    </row>
    <row r="1013" spans="1:38" ht="12.75" customHeight="1">
      <c r="A1013" s="22">
        <v>1011</v>
      </c>
      <c r="B1013" s="24" t="s">
        <v>2687</v>
      </c>
      <c r="C1013" s="24" t="str">
        <f t="shared" si="3"/>
        <v>Data Element</v>
      </c>
      <c r="D1013" s="24" t="str">
        <f t="shared" si="2"/>
        <v/>
      </c>
      <c r="E1013" s="24" t="s">
        <v>2673</v>
      </c>
      <c r="F1013" s="24">
        <v>1</v>
      </c>
      <c r="G1013" s="24" t="s">
        <v>2372</v>
      </c>
      <c r="H1013" s="24"/>
      <c r="I1013" s="283"/>
      <c r="J1013" s="196" t="s">
        <v>409</v>
      </c>
      <c r="K1013" s="164" t="s">
        <v>2688</v>
      </c>
      <c r="L1013" s="196" t="s">
        <v>2689</v>
      </c>
      <c r="M1013" s="196" t="s">
        <v>111</v>
      </c>
      <c r="N1013" s="196"/>
      <c r="O1013" s="196"/>
      <c r="P1013" s="196"/>
      <c r="Q1013" s="196"/>
      <c r="R1013" s="283"/>
      <c r="S1013" s="196" t="s">
        <v>208</v>
      </c>
      <c r="T1013" s="283"/>
      <c r="U1013" s="283"/>
      <c r="V1013" s="196" t="s">
        <v>115</v>
      </c>
      <c r="W1013" s="225"/>
      <c r="X1013" s="283"/>
      <c r="Y1013" s="283"/>
      <c r="Z1013" s="283"/>
      <c r="AA1013" s="283"/>
      <c r="AB1013" s="283"/>
      <c r="AC1013" s="283"/>
      <c r="AD1013" s="283"/>
      <c r="AE1013" s="283"/>
      <c r="AF1013" s="283"/>
      <c r="AG1013" s="285" t="s">
        <v>2676</v>
      </c>
      <c r="AH1013" s="285" t="s">
        <v>2642</v>
      </c>
      <c r="AI1013" s="285" t="s">
        <v>2643</v>
      </c>
      <c r="AJ1013" s="225"/>
      <c r="AK1013" s="225"/>
      <c r="AL1013" s="24"/>
    </row>
    <row r="1014" spans="1:38" ht="12.75" customHeight="1">
      <c r="A1014" s="22">
        <v>1012</v>
      </c>
      <c r="B1014" s="24" t="str">
        <f t="shared" ref="B1014:B1016" si="47">IF(N1014="",IF(M1014="Calculation",K1014,J1014),N1014)</f>
        <v xml:space="preserve">Prescribe aspirin 75 mg daily until delivery (starting at 12 weeks gestation) and ensure that she continues to take her daily calcium supplement of 1.5 to 2 g until delivery </v>
      </c>
      <c r="C1014" s="24" t="str">
        <f t="shared" si="3"/>
        <v>Data Element</v>
      </c>
      <c r="D1014" s="24" t="str">
        <f t="shared" si="2"/>
        <v/>
      </c>
      <c r="E1014" s="24" t="s">
        <v>2673</v>
      </c>
      <c r="F1014" s="24">
        <v>1</v>
      </c>
      <c r="G1014" s="24" t="s">
        <v>2372</v>
      </c>
      <c r="H1014" s="24"/>
      <c r="I1014" s="283"/>
      <c r="J1014" s="204" t="s">
        <v>2690</v>
      </c>
      <c r="K1014" s="164" t="s">
        <v>2691</v>
      </c>
      <c r="L1014" s="164"/>
      <c r="M1014" s="164" t="s">
        <v>202</v>
      </c>
      <c r="N1014" s="164"/>
      <c r="O1014" s="164"/>
      <c r="P1014" s="164"/>
      <c r="Q1014" s="164"/>
      <c r="R1014" s="283"/>
      <c r="S1014" s="164" t="s">
        <v>113</v>
      </c>
      <c r="T1014" s="283"/>
      <c r="U1014" s="283"/>
      <c r="V1014" s="234" t="s">
        <v>2675</v>
      </c>
      <c r="W1014" s="225"/>
      <c r="X1014" s="283"/>
      <c r="Y1014" s="283"/>
      <c r="Z1014" s="283"/>
      <c r="AA1014" s="283"/>
      <c r="AB1014" s="283"/>
      <c r="AC1014" s="283"/>
      <c r="AD1014" s="283"/>
      <c r="AE1014" s="283"/>
      <c r="AF1014" s="283"/>
      <c r="AG1014" s="285" t="s">
        <v>2676</v>
      </c>
      <c r="AH1014" s="285" t="s">
        <v>2630</v>
      </c>
      <c r="AI1014" s="285" t="s">
        <v>2631</v>
      </c>
      <c r="AJ1014" s="225"/>
      <c r="AK1014" s="225"/>
      <c r="AL1014" s="24"/>
    </row>
    <row r="1015" spans="1:38" ht="12.75" customHeight="1">
      <c r="A1015" s="22">
        <v>1013</v>
      </c>
      <c r="B1015" s="24" t="str">
        <f t="shared" si="47"/>
        <v>Done</v>
      </c>
      <c r="C1015" s="24" t="str">
        <f t="shared" si="3"/>
        <v>Input Option</v>
      </c>
      <c r="D1015" s="24" t="str">
        <f t="shared" si="2"/>
        <v xml:space="preserve">Prescribe aspirin 75 mg daily until delivery (starting at 12 weeks gestation) and ensure that she continues to take her daily calcium supplement of 1.5 to 2 g until delivery </v>
      </c>
      <c r="E1015" s="24" t="s">
        <v>2673</v>
      </c>
      <c r="F1015" s="24">
        <v>1</v>
      </c>
      <c r="G1015" s="24" t="s">
        <v>2372</v>
      </c>
      <c r="H1015" s="24"/>
      <c r="I1015" s="283"/>
      <c r="J1015" s="164"/>
      <c r="K1015" s="164"/>
      <c r="L1015" s="164"/>
      <c r="M1015" s="164"/>
      <c r="N1015" s="164" t="s">
        <v>1673</v>
      </c>
      <c r="O1015" s="164"/>
      <c r="P1015" s="164"/>
      <c r="Q1015" s="164"/>
      <c r="R1015" s="283"/>
      <c r="S1015" s="164"/>
      <c r="T1015" s="283"/>
      <c r="U1015" s="283"/>
      <c r="V1015" s="196"/>
      <c r="W1015" s="225"/>
      <c r="X1015" s="283"/>
      <c r="Y1015" s="283"/>
      <c r="Z1015" s="283"/>
      <c r="AA1015" s="283"/>
      <c r="AB1015" s="283"/>
      <c r="AC1015" s="283"/>
      <c r="AD1015" s="283"/>
      <c r="AE1015" s="283"/>
      <c r="AF1015" s="283"/>
      <c r="AG1015" s="285" t="s">
        <v>115</v>
      </c>
      <c r="AH1015" s="285" t="s">
        <v>942</v>
      </c>
      <c r="AI1015" s="205" t="s">
        <v>943</v>
      </c>
      <c r="AJ1015" s="225"/>
      <c r="AK1015" s="225"/>
      <c r="AL1015" s="24"/>
    </row>
    <row r="1016" spans="1:38" ht="12.75" customHeight="1">
      <c r="A1016" s="22">
        <v>1014</v>
      </c>
      <c r="B1016" s="24" t="str">
        <f t="shared" si="47"/>
        <v>Not done</v>
      </c>
      <c r="C1016" s="24" t="str">
        <f t="shared" si="3"/>
        <v>Input Option</v>
      </c>
      <c r="D1016" s="24" t="str">
        <f t="shared" si="2"/>
        <v xml:space="preserve">Prescribe aspirin 75 mg daily until delivery (starting at 12 weeks gestation) and ensure that she continues to take her daily calcium supplement of 1.5 to 2 g until delivery </v>
      </c>
      <c r="E1016" s="24" t="s">
        <v>2673</v>
      </c>
      <c r="F1016" s="24">
        <v>1</v>
      </c>
      <c r="G1016" s="24" t="s">
        <v>2372</v>
      </c>
      <c r="H1016" s="24"/>
      <c r="I1016" s="283"/>
      <c r="J1016" s="164"/>
      <c r="K1016" s="164"/>
      <c r="L1016" s="164"/>
      <c r="M1016" s="164"/>
      <c r="N1016" s="164" t="s">
        <v>1468</v>
      </c>
      <c r="O1016" s="164"/>
      <c r="P1016" s="164"/>
      <c r="Q1016" s="164"/>
      <c r="R1016" s="283"/>
      <c r="S1016" s="164"/>
      <c r="T1016" s="283"/>
      <c r="U1016" s="283"/>
      <c r="V1016" s="196"/>
      <c r="W1016" s="225"/>
      <c r="X1016" s="283"/>
      <c r="Y1016" s="283"/>
      <c r="Z1016" s="283"/>
      <c r="AA1016" s="283"/>
      <c r="AB1016" s="283"/>
      <c r="AC1016" s="283"/>
      <c r="AD1016" s="283"/>
      <c r="AE1016" s="283"/>
      <c r="AF1016" s="283"/>
      <c r="AG1016" s="285" t="s">
        <v>115</v>
      </c>
      <c r="AH1016" s="285" t="s">
        <v>1469</v>
      </c>
      <c r="AI1016" s="205" t="s">
        <v>1470</v>
      </c>
      <c r="AJ1016" s="225"/>
      <c r="AK1016" s="225"/>
      <c r="AL1016" s="24"/>
    </row>
    <row r="1017" spans="1:38" ht="12.75" customHeight="1">
      <c r="A1017" s="22">
        <v>1015</v>
      </c>
      <c r="B1017" s="24" t="s">
        <v>2692</v>
      </c>
      <c r="C1017" s="24" t="str">
        <f t="shared" si="3"/>
        <v>Data Element</v>
      </c>
      <c r="D1017" s="24" t="str">
        <f t="shared" si="2"/>
        <v/>
      </c>
      <c r="E1017" s="24" t="s">
        <v>2673</v>
      </c>
      <c r="F1017" s="24">
        <v>1</v>
      </c>
      <c r="G1017" s="24" t="s">
        <v>2372</v>
      </c>
      <c r="H1017" s="24"/>
      <c r="I1017" s="283"/>
      <c r="J1017" s="164" t="s">
        <v>1376</v>
      </c>
      <c r="K1017" s="164" t="s">
        <v>2693</v>
      </c>
      <c r="L1017" s="164" t="s">
        <v>2694</v>
      </c>
      <c r="M1017" s="164" t="s">
        <v>202</v>
      </c>
      <c r="N1017" s="224"/>
      <c r="O1017" s="164"/>
      <c r="P1017" s="164"/>
      <c r="Q1017" s="164"/>
      <c r="R1017" s="283"/>
      <c r="S1017" s="164" t="s">
        <v>113</v>
      </c>
      <c r="T1017" s="283"/>
      <c r="U1017" s="283"/>
      <c r="V1017" s="196" t="s">
        <v>115</v>
      </c>
      <c r="W1017" s="225"/>
      <c r="X1017" s="283"/>
      <c r="Y1017" s="283"/>
      <c r="Z1017" s="283"/>
      <c r="AA1017" s="283"/>
      <c r="AB1017" s="283"/>
      <c r="AC1017" s="283"/>
      <c r="AD1017" s="283"/>
      <c r="AE1017" s="283"/>
      <c r="AF1017" s="283"/>
      <c r="AG1017" s="285" t="s">
        <v>2676</v>
      </c>
      <c r="AH1017" s="285" t="s">
        <v>2635</v>
      </c>
      <c r="AI1017" s="285" t="s">
        <v>2636</v>
      </c>
      <c r="AJ1017" s="225"/>
      <c r="AK1017" s="225"/>
      <c r="AL1017" s="24"/>
    </row>
    <row r="1018" spans="1:38" ht="12.75" customHeight="1">
      <c r="A1018" s="22">
        <v>1016</v>
      </c>
      <c r="B1018" s="24" t="str">
        <f t="shared" ref="B1018:B1021" si="48">IF(N1018="",IF(M1018="Calculation",K1018,J1018),N1018)</f>
        <v>No stock</v>
      </c>
      <c r="C1018" s="24" t="str">
        <f t="shared" si="3"/>
        <v>Input Option</v>
      </c>
      <c r="D1018" s="24" t="str">
        <f t="shared" si="2"/>
        <v>Reason Prescribe aspirin 75 mg daily until delivery (starting at 12 weeks gestation) and ensure that she continues to take her daily calcium supplement of 1.5 to 2 g until delivery not done</v>
      </c>
      <c r="E1018" s="24" t="s">
        <v>2673</v>
      </c>
      <c r="F1018" s="24">
        <v>1</v>
      </c>
      <c r="G1018" s="24" t="s">
        <v>2372</v>
      </c>
      <c r="H1018" s="24"/>
      <c r="I1018" s="283"/>
      <c r="J1018" s="196"/>
      <c r="K1018" s="164"/>
      <c r="L1018" s="196"/>
      <c r="M1018" s="196"/>
      <c r="N1018" s="224" t="s">
        <v>2681</v>
      </c>
      <c r="O1018" s="196"/>
      <c r="P1018" s="196"/>
      <c r="Q1018" s="196"/>
      <c r="R1018" s="283"/>
      <c r="S1018" s="196"/>
      <c r="T1018" s="283"/>
      <c r="U1018" s="283"/>
      <c r="V1018" s="196"/>
      <c r="W1018" s="225"/>
      <c r="X1018" s="283"/>
      <c r="Y1018" s="283"/>
      <c r="Z1018" s="283"/>
      <c r="AA1018" s="283"/>
      <c r="AB1018" s="283"/>
      <c r="AC1018" s="283"/>
      <c r="AD1018" s="283"/>
      <c r="AE1018" s="283"/>
      <c r="AF1018" s="283"/>
      <c r="AG1018" s="285" t="s">
        <v>115</v>
      </c>
      <c r="AH1018" s="205" t="s">
        <v>2637</v>
      </c>
      <c r="AI1018" s="205" t="s">
        <v>2638</v>
      </c>
      <c r="AJ1018" s="225"/>
      <c r="AK1018" s="225"/>
      <c r="AL1018" s="24"/>
    </row>
    <row r="1019" spans="1:38" ht="12.75" customHeight="1">
      <c r="A1019" s="22">
        <v>1017</v>
      </c>
      <c r="B1019" s="24" t="str">
        <f t="shared" si="48"/>
        <v>Side effects</v>
      </c>
      <c r="C1019" s="24" t="str">
        <f t="shared" si="3"/>
        <v>Input Option</v>
      </c>
      <c r="D1019" s="24" t="str">
        <f t="shared" si="2"/>
        <v>Reason Prescribe aspirin 75 mg daily until delivery (starting at 12 weeks gestation) and ensure that she continues to take her daily calcium supplement of 1.5 to 2 g until delivery not done</v>
      </c>
      <c r="E1019" s="24" t="s">
        <v>2673</v>
      </c>
      <c r="F1019" s="24">
        <v>1</v>
      </c>
      <c r="G1019" s="24" t="s">
        <v>2372</v>
      </c>
      <c r="H1019" s="24"/>
      <c r="I1019" s="283"/>
      <c r="J1019" s="196"/>
      <c r="K1019" s="164"/>
      <c r="L1019" s="196"/>
      <c r="M1019" s="196"/>
      <c r="N1019" s="204" t="s">
        <v>2682</v>
      </c>
      <c r="O1019" s="196"/>
      <c r="P1019" s="196"/>
      <c r="Q1019" s="196"/>
      <c r="R1019" s="283"/>
      <c r="S1019" s="196"/>
      <c r="T1019" s="283"/>
      <c r="U1019" s="283"/>
      <c r="V1019" s="196"/>
      <c r="W1019" s="225"/>
      <c r="X1019" s="283"/>
      <c r="Y1019" s="283"/>
      <c r="Z1019" s="283"/>
      <c r="AA1019" s="283"/>
      <c r="AB1019" s="283"/>
      <c r="AC1019" s="283"/>
      <c r="AD1019" s="283"/>
      <c r="AE1019" s="283"/>
      <c r="AF1019" s="283"/>
      <c r="AG1019" s="285" t="s">
        <v>115</v>
      </c>
      <c r="AH1019" s="205" t="s">
        <v>1166</v>
      </c>
      <c r="AI1019" s="205" t="s">
        <v>1167</v>
      </c>
      <c r="AJ1019" s="225"/>
      <c r="AK1019" s="225"/>
      <c r="AL1019" s="24"/>
    </row>
    <row r="1020" spans="1:38" ht="12.75" customHeight="1">
      <c r="A1020" s="22">
        <v>1018</v>
      </c>
      <c r="B1020" s="24" t="str">
        <f t="shared" si="48"/>
        <v>Allergy</v>
      </c>
      <c r="C1020" s="24" t="str">
        <f t="shared" si="3"/>
        <v>Input Option</v>
      </c>
      <c r="D1020" s="24" t="str">
        <f t="shared" si="2"/>
        <v>Reason Prescribe aspirin 75 mg daily until delivery (starting at 12 weeks gestation) and ensure that she continues to take her daily calcium supplement of 1.5 to 2 g until delivery not done</v>
      </c>
      <c r="E1020" s="24" t="s">
        <v>2673</v>
      </c>
      <c r="F1020" s="24">
        <v>1</v>
      </c>
      <c r="G1020" s="24" t="s">
        <v>2372</v>
      </c>
      <c r="H1020" s="24"/>
      <c r="I1020" s="283"/>
      <c r="J1020" s="196"/>
      <c r="K1020" s="164"/>
      <c r="L1020" s="196"/>
      <c r="M1020" s="196"/>
      <c r="N1020" s="204" t="s">
        <v>2684</v>
      </c>
      <c r="O1020" s="196"/>
      <c r="P1020" s="196"/>
      <c r="Q1020" s="196"/>
      <c r="R1020" s="283"/>
      <c r="S1020" s="196"/>
      <c r="T1020" s="283"/>
      <c r="U1020" s="283"/>
      <c r="V1020" s="196"/>
      <c r="W1020" s="225"/>
      <c r="X1020" s="283"/>
      <c r="Y1020" s="283"/>
      <c r="Z1020" s="283"/>
      <c r="AA1020" s="283"/>
      <c r="AB1020" s="283"/>
      <c r="AC1020" s="283"/>
      <c r="AD1020" s="283"/>
      <c r="AE1020" s="283"/>
      <c r="AF1020" s="283"/>
      <c r="AG1020" s="285" t="s">
        <v>115</v>
      </c>
      <c r="AH1020" s="205" t="s">
        <v>2685</v>
      </c>
      <c r="AI1020" s="205" t="s">
        <v>2686</v>
      </c>
      <c r="AJ1020" s="225"/>
      <c r="AK1020" s="225"/>
      <c r="AL1020" s="24"/>
    </row>
    <row r="1021" spans="1:38" ht="12.75" customHeight="1">
      <c r="A1021" s="22">
        <v>1019</v>
      </c>
      <c r="B1021" s="24" t="str">
        <f t="shared" si="48"/>
        <v>Other (specify)</v>
      </c>
      <c r="C1021" s="24" t="str">
        <f t="shared" si="3"/>
        <v>Input Option</v>
      </c>
      <c r="D1021" s="24" t="str">
        <f t="shared" si="2"/>
        <v>Reason Prescribe aspirin 75 mg daily until delivery (starting at 12 weeks gestation) and ensure that she continues to take her daily calcium supplement of 1.5 to 2 g until delivery not done</v>
      </c>
      <c r="E1021" s="24" t="s">
        <v>2673</v>
      </c>
      <c r="F1021" s="24">
        <v>1</v>
      </c>
      <c r="G1021" s="24" t="s">
        <v>2372</v>
      </c>
      <c r="H1021" s="24"/>
      <c r="I1021" s="283"/>
      <c r="J1021" s="196"/>
      <c r="K1021" s="164"/>
      <c r="L1021" s="196"/>
      <c r="M1021" s="196"/>
      <c r="N1021" s="204" t="s">
        <v>405</v>
      </c>
      <c r="O1021" s="196"/>
      <c r="P1021" s="196"/>
      <c r="Q1021" s="196"/>
      <c r="R1021" s="283"/>
      <c r="S1021" s="196"/>
      <c r="T1021" s="283"/>
      <c r="U1021" s="283"/>
      <c r="V1021" s="196"/>
      <c r="W1021" s="225"/>
      <c r="X1021" s="283"/>
      <c r="Y1021" s="283"/>
      <c r="Z1021" s="283"/>
      <c r="AA1021" s="283"/>
      <c r="AB1021" s="283"/>
      <c r="AC1021" s="283"/>
      <c r="AD1021" s="283"/>
      <c r="AE1021" s="283"/>
      <c r="AF1021" s="283"/>
      <c r="AG1021" s="285" t="s">
        <v>115</v>
      </c>
      <c r="AH1021" s="205" t="s">
        <v>406</v>
      </c>
      <c r="AI1021" s="205" t="s">
        <v>407</v>
      </c>
      <c r="AJ1021" s="225"/>
      <c r="AK1021" s="225"/>
      <c r="AL1021" s="24"/>
    </row>
    <row r="1022" spans="1:38" ht="12.75" customHeight="1">
      <c r="A1022" s="22">
        <v>1020</v>
      </c>
      <c r="B1022" s="24" t="s">
        <v>2695</v>
      </c>
      <c r="C1022" s="24" t="str">
        <f t="shared" si="3"/>
        <v>Data Element</v>
      </c>
      <c r="D1022" s="24" t="str">
        <f t="shared" si="2"/>
        <v/>
      </c>
      <c r="E1022" s="24" t="s">
        <v>2673</v>
      </c>
      <c r="F1022" s="24">
        <v>1</v>
      </c>
      <c r="G1022" s="24" t="s">
        <v>2372</v>
      </c>
      <c r="H1022" s="24"/>
      <c r="I1022" s="283"/>
      <c r="J1022" s="196" t="s">
        <v>409</v>
      </c>
      <c r="K1022" s="164" t="s">
        <v>2696</v>
      </c>
      <c r="L1022" s="196" t="s">
        <v>2697</v>
      </c>
      <c r="M1022" s="196" t="s">
        <v>111</v>
      </c>
      <c r="N1022" s="196"/>
      <c r="O1022" s="196"/>
      <c r="P1022" s="196"/>
      <c r="Q1022" s="196"/>
      <c r="R1022" s="283"/>
      <c r="S1022" s="196" t="s">
        <v>208</v>
      </c>
      <c r="T1022" s="283"/>
      <c r="U1022" s="283"/>
      <c r="V1022" s="196" t="s">
        <v>115</v>
      </c>
      <c r="W1022" s="225"/>
      <c r="X1022" s="283"/>
      <c r="Y1022" s="283"/>
      <c r="Z1022" s="283"/>
      <c r="AA1022" s="283"/>
      <c r="AB1022" s="283"/>
      <c r="AC1022" s="283"/>
      <c r="AD1022" s="283"/>
      <c r="AE1022" s="283"/>
      <c r="AF1022" s="283"/>
      <c r="AG1022" s="285" t="s">
        <v>2676</v>
      </c>
      <c r="AH1022" s="285" t="s">
        <v>2642</v>
      </c>
      <c r="AI1022" s="285" t="s">
        <v>2643</v>
      </c>
      <c r="AJ1022" s="225"/>
      <c r="AK1022" s="225"/>
      <c r="AL1022" s="24"/>
    </row>
    <row r="1023" spans="1:38" ht="12.75" customHeight="1">
      <c r="A1023" s="22">
        <v>1021</v>
      </c>
      <c r="B1023" s="24" t="str">
        <f t="shared" ref="B1023:B1029" si="49">IF(N1023="",IF(M1023="Calculation",K1023,J1023),N1023)</f>
        <v>aspirin</v>
      </c>
      <c r="C1023" s="24" t="str">
        <f t="shared" si="3"/>
        <v>Calculation</v>
      </c>
      <c r="D1023" s="24" t="str">
        <f t="shared" si="2"/>
        <v/>
      </c>
      <c r="E1023" s="24" t="s">
        <v>2673</v>
      </c>
      <c r="F1023" s="24">
        <v>1</v>
      </c>
      <c r="G1023" s="24" t="s">
        <v>2372</v>
      </c>
      <c r="H1023" s="24"/>
      <c r="I1023" s="283"/>
      <c r="J1023" s="298" t="s">
        <v>115</v>
      </c>
      <c r="K1023" s="298" t="s">
        <v>2698</v>
      </c>
      <c r="L1023" s="298" t="s">
        <v>2699</v>
      </c>
      <c r="M1023" s="298" t="s">
        <v>65</v>
      </c>
      <c r="N1023" s="164"/>
      <c r="O1023" s="298" t="s">
        <v>2700</v>
      </c>
      <c r="P1023" s="298"/>
      <c r="Q1023" s="164"/>
      <c r="R1023" s="283"/>
      <c r="S1023" s="298" t="s">
        <v>115</v>
      </c>
      <c r="T1023" s="283"/>
      <c r="U1023" s="283"/>
      <c r="V1023" s="298" t="s">
        <v>115</v>
      </c>
      <c r="W1023" s="225"/>
      <c r="X1023" s="283"/>
      <c r="Y1023" s="283"/>
      <c r="Z1023" s="283"/>
      <c r="AA1023" s="283"/>
      <c r="AB1023" s="283"/>
      <c r="AC1023" s="283"/>
      <c r="AD1023" s="283"/>
      <c r="AE1023" s="283"/>
      <c r="AF1023" s="283"/>
      <c r="AG1023" s="285" t="s">
        <v>115</v>
      </c>
      <c r="AH1023" s="285" t="s">
        <v>115</v>
      </c>
      <c r="AI1023" s="285" t="s">
        <v>115</v>
      </c>
      <c r="AJ1023" s="225"/>
      <c r="AK1023" s="225"/>
      <c r="AL1023" s="24"/>
    </row>
    <row r="1024" spans="1:38" ht="12.75" customHeight="1">
      <c r="A1024" s="22">
        <v>1022</v>
      </c>
      <c r="B1024" s="24" t="str">
        <f t="shared" si="49"/>
        <v>HIV risk counseling</v>
      </c>
      <c r="C1024" s="24" t="str">
        <f t="shared" si="3"/>
        <v>Data Element</v>
      </c>
      <c r="D1024" s="24" t="str">
        <f t="shared" si="2"/>
        <v/>
      </c>
      <c r="E1024" s="24" t="s">
        <v>2703</v>
      </c>
      <c r="F1024" s="24">
        <v>1</v>
      </c>
      <c r="G1024" s="24" t="s">
        <v>2372</v>
      </c>
      <c r="H1024" s="24"/>
      <c r="I1024" s="283"/>
      <c r="J1024" s="164" t="s">
        <v>2702</v>
      </c>
      <c r="K1024" s="164" t="s">
        <v>2704</v>
      </c>
      <c r="L1024" s="164"/>
      <c r="M1024" s="164" t="s">
        <v>202</v>
      </c>
      <c r="N1024" s="164"/>
      <c r="O1024" s="164"/>
      <c r="P1024" s="164"/>
      <c r="Q1024" s="164"/>
      <c r="R1024" s="283"/>
      <c r="S1024" s="164" t="s">
        <v>208</v>
      </c>
      <c r="T1024" s="283"/>
      <c r="U1024" s="283"/>
      <c r="V1024" s="204" t="s">
        <v>2375</v>
      </c>
      <c r="W1024" s="225"/>
      <c r="X1024" s="283"/>
      <c r="Y1024" s="283"/>
      <c r="Z1024" s="283"/>
      <c r="AA1024" s="283"/>
      <c r="AB1024" s="283"/>
      <c r="AC1024" s="283"/>
      <c r="AD1024" s="283"/>
      <c r="AE1024" s="283"/>
      <c r="AF1024" s="283"/>
      <c r="AG1024" s="285" t="s">
        <v>2705</v>
      </c>
      <c r="AH1024" s="357" t="s">
        <v>2398</v>
      </c>
      <c r="AI1024" s="285" t="s">
        <v>2399</v>
      </c>
      <c r="AJ1024" s="225"/>
      <c r="AK1024" s="225"/>
      <c r="AL1024" s="24"/>
    </row>
    <row r="1025" spans="1:38" ht="12.75" customHeight="1">
      <c r="A1025" s="22">
        <v>1023</v>
      </c>
      <c r="B1025" s="24" t="str">
        <f t="shared" si="49"/>
        <v>Done</v>
      </c>
      <c r="C1025" s="24" t="str">
        <f t="shared" si="3"/>
        <v>Input Option</v>
      </c>
      <c r="D1025" s="24" t="str">
        <f t="shared" si="2"/>
        <v>HIV risk counseling</v>
      </c>
      <c r="E1025" s="24" t="s">
        <v>2703</v>
      </c>
      <c r="F1025" s="24">
        <v>1</v>
      </c>
      <c r="G1025" s="24" t="s">
        <v>2372</v>
      </c>
      <c r="H1025" s="24"/>
      <c r="I1025" s="283"/>
      <c r="J1025" s="164"/>
      <c r="K1025" s="164"/>
      <c r="L1025" s="164"/>
      <c r="M1025" s="164"/>
      <c r="N1025" s="164" t="s">
        <v>1673</v>
      </c>
      <c r="O1025" s="164"/>
      <c r="P1025" s="164"/>
      <c r="Q1025" s="164"/>
      <c r="R1025" s="283"/>
      <c r="S1025" s="164"/>
      <c r="T1025" s="283"/>
      <c r="U1025" s="283"/>
      <c r="V1025" s="204"/>
      <c r="W1025" s="225"/>
      <c r="X1025" s="283"/>
      <c r="Y1025" s="283"/>
      <c r="Z1025" s="283"/>
      <c r="AA1025" s="283"/>
      <c r="AB1025" s="283"/>
      <c r="AC1025" s="283"/>
      <c r="AD1025" s="283"/>
      <c r="AE1025" s="283"/>
      <c r="AF1025" s="283"/>
      <c r="AG1025" s="285" t="s">
        <v>115</v>
      </c>
      <c r="AH1025" s="357" t="s">
        <v>942</v>
      </c>
      <c r="AI1025" s="205" t="s">
        <v>943</v>
      </c>
      <c r="AJ1025" s="225"/>
      <c r="AK1025" s="225"/>
      <c r="AL1025" s="24"/>
    </row>
    <row r="1026" spans="1:38" ht="12.75" customHeight="1">
      <c r="A1026" s="22">
        <v>1024</v>
      </c>
      <c r="B1026" s="24" t="str">
        <f t="shared" si="49"/>
        <v>Not done</v>
      </c>
      <c r="C1026" s="24" t="str">
        <f t="shared" si="3"/>
        <v>Input Option</v>
      </c>
      <c r="D1026" s="24" t="str">
        <f t="shared" si="2"/>
        <v>HIV risk counseling</v>
      </c>
      <c r="E1026" s="24" t="s">
        <v>2703</v>
      </c>
      <c r="F1026" s="24">
        <v>1</v>
      </c>
      <c r="G1026" s="24" t="s">
        <v>2372</v>
      </c>
      <c r="H1026" s="24"/>
      <c r="I1026" s="283"/>
      <c r="J1026" s="164"/>
      <c r="K1026" s="164"/>
      <c r="L1026" s="164"/>
      <c r="M1026" s="164"/>
      <c r="N1026" s="164" t="s">
        <v>1468</v>
      </c>
      <c r="O1026" s="164"/>
      <c r="P1026" s="164"/>
      <c r="Q1026" s="164"/>
      <c r="R1026" s="283"/>
      <c r="S1026" s="164"/>
      <c r="T1026" s="283"/>
      <c r="U1026" s="283"/>
      <c r="V1026" s="204"/>
      <c r="W1026" s="225"/>
      <c r="X1026" s="283"/>
      <c r="Y1026" s="283"/>
      <c r="Z1026" s="283"/>
      <c r="AA1026" s="283"/>
      <c r="AB1026" s="283"/>
      <c r="AC1026" s="283"/>
      <c r="AD1026" s="283"/>
      <c r="AE1026" s="283"/>
      <c r="AF1026" s="283"/>
      <c r="AG1026" s="285" t="s">
        <v>115</v>
      </c>
      <c r="AH1026" s="380" t="s">
        <v>1469</v>
      </c>
      <c r="AI1026" s="294" t="s">
        <v>1470</v>
      </c>
      <c r="AJ1026" s="225"/>
      <c r="AK1026" s="225"/>
      <c r="AL1026" s="24"/>
    </row>
    <row r="1027" spans="1:38" ht="12.75" customHeight="1">
      <c r="A1027" s="22">
        <v>1025</v>
      </c>
      <c r="B1027" s="24" t="str">
        <f t="shared" si="49"/>
        <v>PrEP for HIV prevention counseling</v>
      </c>
      <c r="C1027" s="24" t="str">
        <f t="shared" si="3"/>
        <v>Data Element</v>
      </c>
      <c r="D1027" s="24" t="str">
        <f t="shared" si="2"/>
        <v/>
      </c>
      <c r="E1027" s="24" t="s">
        <v>2707</v>
      </c>
      <c r="F1027" s="24">
        <v>1</v>
      </c>
      <c r="G1027" s="24" t="s">
        <v>2372</v>
      </c>
      <c r="H1027" s="24"/>
      <c r="I1027" s="283"/>
      <c r="J1027" s="164" t="s">
        <v>2706</v>
      </c>
      <c r="K1027" s="164" t="s">
        <v>2708</v>
      </c>
      <c r="L1027" s="164"/>
      <c r="M1027" s="164" t="s">
        <v>202</v>
      </c>
      <c r="N1027" s="164"/>
      <c r="O1027" s="164"/>
      <c r="P1027" s="164"/>
      <c r="Q1027" s="164"/>
      <c r="R1027" s="283"/>
      <c r="S1027" s="164" t="s">
        <v>113</v>
      </c>
      <c r="T1027" s="283"/>
      <c r="U1027" s="283"/>
      <c r="V1027" s="204" t="s">
        <v>2375</v>
      </c>
      <c r="W1027" s="225"/>
      <c r="X1027" s="283"/>
      <c r="Y1027" s="283"/>
      <c r="Z1027" s="283"/>
      <c r="AA1027" s="283"/>
      <c r="AB1027" s="283"/>
      <c r="AC1027" s="283"/>
      <c r="AD1027" s="283"/>
      <c r="AE1027" s="283"/>
      <c r="AF1027" s="283"/>
      <c r="AG1027" s="285" t="s">
        <v>2709</v>
      </c>
      <c r="AH1027" s="380" t="s">
        <v>2398</v>
      </c>
      <c r="AI1027" s="294" t="s">
        <v>2399</v>
      </c>
      <c r="AJ1027" s="225"/>
      <c r="AK1027" s="225"/>
      <c r="AL1027" s="24"/>
    </row>
    <row r="1028" spans="1:38" ht="12.75" customHeight="1">
      <c r="A1028" s="22">
        <v>1026</v>
      </c>
      <c r="B1028" s="24" t="str">
        <f t="shared" si="49"/>
        <v>Done</v>
      </c>
      <c r="C1028" s="24" t="str">
        <f t="shared" si="3"/>
        <v>Input Option</v>
      </c>
      <c r="D1028" s="24" t="str">
        <f t="shared" si="2"/>
        <v>PrEP for HIV prevention counseling</v>
      </c>
      <c r="E1028" s="24" t="s">
        <v>2707</v>
      </c>
      <c r="F1028" s="24">
        <v>1</v>
      </c>
      <c r="G1028" s="24" t="s">
        <v>2372</v>
      </c>
      <c r="H1028" s="24"/>
      <c r="I1028" s="283"/>
      <c r="J1028" s="164"/>
      <c r="K1028" s="164"/>
      <c r="L1028" s="164"/>
      <c r="M1028" s="164"/>
      <c r="N1028" s="164" t="s">
        <v>1673</v>
      </c>
      <c r="O1028" s="164"/>
      <c r="P1028" s="164"/>
      <c r="Q1028" s="164"/>
      <c r="R1028" s="283"/>
      <c r="S1028" s="164"/>
      <c r="T1028" s="283"/>
      <c r="U1028" s="283"/>
      <c r="V1028" s="164"/>
      <c r="W1028" s="225"/>
      <c r="X1028" s="283"/>
      <c r="Y1028" s="283"/>
      <c r="Z1028" s="283"/>
      <c r="AA1028" s="283"/>
      <c r="AB1028" s="283"/>
      <c r="AC1028" s="283"/>
      <c r="AD1028" s="283"/>
      <c r="AE1028" s="283"/>
      <c r="AF1028" s="283"/>
      <c r="AG1028" s="285" t="s">
        <v>115</v>
      </c>
      <c r="AH1028" s="380" t="s">
        <v>942</v>
      </c>
      <c r="AI1028" s="294" t="s">
        <v>943</v>
      </c>
      <c r="AJ1028" s="225"/>
      <c r="AK1028" s="225"/>
      <c r="AL1028" s="24"/>
    </row>
    <row r="1029" spans="1:38" ht="12.75" customHeight="1">
      <c r="A1029" s="22">
        <v>1027</v>
      </c>
      <c r="B1029" s="24" t="str">
        <f t="shared" si="49"/>
        <v>Not done</v>
      </c>
      <c r="C1029" s="24" t="str">
        <f t="shared" si="3"/>
        <v>Input Option</v>
      </c>
      <c r="D1029" s="24" t="str">
        <f t="shared" si="2"/>
        <v>PrEP for HIV prevention counseling</v>
      </c>
      <c r="E1029" s="24" t="s">
        <v>2707</v>
      </c>
      <c r="F1029" s="24">
        <v>1</v>
      </c>
      <c r="G1029" s="24" t="s">
        <v>2372</v>
      </c>
      <c r="H1029" s="24"/>
      <c r="I1029" s="283"/>
      <c r="J1029" s="164"/>
      <c r="K1029" s="164"/>
      <c r="L1029" s="164"/>
      <c r="M1029" s="164"/>
      <c r="N1029" s="164" t="s">
        <v>1468</v>
      </c>
      <c r="O1029" s="164"/>
      <c r="P1029" s="164"/>
      <c r="Q1029" s="164"/>
      <c r="R1029" s="283"/>
      <c r="S1029" s="164"/>
      <c r="T1029" s="283"/>
      <c r="U1029" s="283"/>
      <c r="V1029" s="164"/>
      <c r="W1029" s="225"/>
      <c r="X1029" s="283"/>
      <c r="Y1029" s="283"/>
      <c r="Z1029" s="283"/>
      <c r="AA1029" s="283"/>
      <c r="AB1029" s="283"/>
      <c r="AC1029" s="283"/>
      <c r="AD1029" s="283"/>
      <c r="AE1029" s="283"/>
      <c r="AF1029" s="283"/>
      <c r="AG1029" s="285" t="s">
        <v>115</v>
      </c>
      <c r="AH1029" s="380" t="s">
        <v>1469</v>
      </c>
      <c r="AI1029" s="294" t="s">
        <v>1470</v>
      </c>
      <c r="AJ1029" s="225"/>
      <c r="AK1029" s="225"/>
      <c r="AL1029" s="24"/>
    </row>
    <row r="1030" spans="1:38" ht="12.75" customHeight="1">
      <c r="A1030" s="22">
        <v>1028</v>
      </c>
      <c r="B1030" s="24" t="s">
        <v>2710</v>
      </c>
      <c r="C1030" s="24" t="str">
        <f t="shared" si="3"/>
        <v>Data Element</v>
      </c>
      <c r="D1030" s="24" t="str">
        <f t="shared" si="2"/>
        <v/>
      </c>
      <c r="E1030" s="24" t="s">
        <v>2707</v>
      </c>
      <c r="F1030" s="24">
        <v>1</v>
      </c>
      <c r="G1030" s="24" t="s">
        <v>2372</v>
      </c>
      <c r="H1030" s="24"/>
      <c r="I1030" s="283"/>
      <c r="J1030" s="164" t="s">
        <v>1376</v>
      </c>
      <c r="K1030" s="164" t="s">
        <v>2711</v>
      </c>
      <c r="L1030" s="164" t="s">
        <v>2634</v>
      </c>
      <c r="M1030" s="164" t="s">
        <v>238</v>
      </c>
      <c r="N1030" s="224"/>
      <c r="O1030" s="164"/>
      <c r="P1030" s="164"/>
      <c r="Q1030" s="164"/>
      <c r="R1030" s="283"/>
      <c r="S1030" s="164" t="s">
        <v>113</v>
      </c>
      <c r="T1030" s="283"/>
      <c r="U1030" s="283"/>
      <c r="V1030" s="164" t="s">
        <v>115</v>
      </c>
      <c r="W1030" s="225"/>
      <c r="X1030" s="283"/>
      <c r="Y1030" s="283"/>
      <c r="Z1030" s="283"/>
      <c r="AA1030" s="283"/>
      <c r="AB1030" s="283"/>
      <c r="AC1030" s="283"/>
      <c r="AD1030" s="283"/>
      <c r="AE1030" s="283"/>
      <c r="AF1030" s="283"/>
      <c r="AG1030" s="285" t="s">
        <v>115</v>
      </c>
      <c r="AH1030" s="380" t="s">
        <v>2712</v>
      </c>
      <c r="AI1030" s="294" t="s">
        <v>2713</v>
      </c>
      <c r="AJ1030" s="225"/>
      <c r="AK1030" s="225"/>
      <c r="AL1030" s="24"/>
    </row>
    <row r="1031" spans="1:38" ht="12.75" customHeight="1">
      <c r="A1031" s="22">
        <v>1029</v>
      </c>
      <c r="B1031" s="24" t="str">
        <f t="shared" ref="B1031:B1034" si="50">IF(N1031="",IF(M1031="Calculation",K1031,J1031),N1031)</f>
        <v>Referred instead</v>
      </c>
      <c r="C1031" s="24" t="str">
        <f t="shared" si="3"/>
        <v>Input Option</v>
      </c>
      <c r="D1031" s="24" t="str">
        <f t="shared" si="2"/>
        <v>Reason PrEP for HIV prevention counseling not done</v>
      </c>
      <c r="E1031" s="24" t="s">
        <v>2707</v>
      </c>
      <c r="F1031" s="24">
        <v>1</v>
      </c>
      <c r="G1031" s="24" t="s">
        <v>2372</v>
      </c>
      <c r="H1031" s="24"/>
      <c r="I1031" s="283"/>
      <c r="J1031" s="196"/>
      <c r="K1031" s="164"/>
      <c r="L1031" s="196"/>
      <c r="M1031" s="196"/>
      <c r="N1031" s="224" t="s">
        <v>2405</v>
      </c>
      <c r="O1031" s="196"/>
      <c r="P1031" s="196"/>
      <c r="Q1031" s="196"/>
      <c r="R1031" s="283"/>
      <c r="S1031" s="196"/>
      <c r="T1031" s="283"/>
      <c r="U1031" s="283"/>
      <c r="V1031" s="196"/>
      <c r="W1031" s="225"/>
      <c r="X1031" s="283"/>
      <c r="Y1031" s="283"/>
      <c r="Z1031" s="283"/>
      <c r="AA1031" s="283"/>
      <c r="AB1031" s="283"/>
      <c r="AC1031" s="283"/>
      <c r="AD1031" s="283"/>
      <c r="AE1031" s="283"/>
      <c r="AF1031" s="283"/>
      <c r="AG1031" s="285" t="s">
        <v>115</v>
      </c>
      <c r="AH1031" s="380" t="s">
        <v>2406</v>
      </c>
      <c r="AI1031" s="294" t="s">
        <v>2407</v>
      </c>
      <c r="AJ1031" s="225"/>
      <c r="AK1031" s="225"/>
      <c r="AL1031" s="24"/>
    </row>
    <row r="1032" spans="1:38" ht="12.75" customHeight="1">
      <c r="A1032" s="22">
        <v>1030</v>
      </c>
      <c r="B1032" s="24" t="str">
        <f t="shared" si="50"/>
        <v>No drugs available</v>
      </c>
      <c r="C1032" s="24" t="str">
        <f t="shared" si="3"/>
        <v>Input Option</v>
      </c>
      <c r="D1032" s="24" t="str">
        <f t="shared" si="2"/>
        <v>Reason PrEP for HIV prevention counseling not done</v>
      </c>
      <c r="E1032" s="24" t="s">
        <v>2707</v>
      </c>
      <c r="F1032" s="24">
        <v>1</v>
      </c>
      <c r="G1032" s="24" t="s">
        <v>2372</v>
      </c>
      <c r="H1032" s="24"/>
      <c r="I1032" s="283"/>
      <c r="J1032" s="196"/>
      <c r="K1032" s="164"/>
      <c r="L1032" s="196"/>
      <c r="M1032" s="196"/>
      <c r="N1032" s="204" t="s">
        <v>2714</v>
      </c>
      <c r="O1032" s="196"/>
      <c r="P1032" s="196"/>
      <c r="Q1032" s="196"/>
      <c r="R1032" s="283"/>
      <c r="S1032" s="196"/>
      <c r="T1032" s="283"/>
      <c r="U1032" s="283"/>
      <c r="V1032" s="196"/>
      <c r="W1032" s="225"/>
      <c r="X1032" s="283"/>
      <c r="Y1032" s="283"/>
      <c r="Z1032" s="283"/>
      <c r="AA1032" s="283"/>
      <c r="AB1032" s="283"/>
      <c r="AC1032" s="283"/>
      <c r="AD1032" s="283"/>
      <c r="AE1032" s="283"/>
      <c r="AF1032" s="283"/>
      <c r="AG1032" s="285" t="s">
        <v>115</v>
      </c>
      <c r="AH1032" s="380" t="s">
        <v>2637</v>
      </c>
      <c r="AI1032" s="294" t="s">
        <v>2638</v>
      </c>
      <c r="AJ1032" s="225"/>
      <c r="AK1032" s="225"/>
      <c r="AL1032" s="24"/>
    </row>
    <row r="1033" spans="1:38" ht="12.75" customHeight="1">
      <c r="A1033" s="22">
        <v>1031</v>
      </c>
      <c r="B1033" s="24" t="str">
        <f t="shared" si="50"/>
        <v>Woman did not accept</v>
      </c>
      <c r="C1033" s="24" t="str">
        <f t="shared" si="3"/>
        <v>Input Option</v>
      </c>
      <c r="D1033" s="24" t="str">
        <f t="shared" si="2"/>
        <v>Reason PrEP for HIV prevention counseling not done</v>
      </c>
      <c r="E1033" s="24" t="s">
        <v>2707</v>
      </c>
      <c r="F1033" s="24">
        <v>1</v>
      </c>
      <c r="G1033" s="24" t="s">
        <v>2372</v>
      </c>
      <c r="H1033" s="24"/>
      <c r="I1033" s="283"/>
      <c r="J1033" s="196"/>
      <c r="K1033" s="164"/>
      <c r="L1033" s="196"/>
      <c r="M1033" s="196"/>
      <c r="N1033" s="204" t="s">
        <v>2715</v>
      </c>
      <c r="O1033" s="196"/>
      <c r="P1033" s="196"/>
      <c r="Q1033" s="196"/>
      <c r="R1033" s="283"/>
      <c r="S1033" s="196"/>
      <c r="T1033" s="283"/>
      <c r="U1033" s="283"/>
      <c r="V1033" s="196"/>
      <c r="W1033" s="225"/>
      <c r="X1033" s="283"/>
      <c r="Y1033" s="283"/>
      <c r="Z1033" s="283"/>
      <c r="AA1033" s="283"/>
      <c r="AB1033" s="283"/>
      <c r="AC1033" s="283"/>
      <c r="AD1033" s="283"/>
      <c r="AE1033" s="283"/>
      <c r="AF1033" s="283"/>
      <c r="AG1033" s="285" t="s">
        <v>115</v>
      </c>
      <c r="AH1033" s="380" t="s">
        <v>2716</v>
      </c>
      <c r="AI1033" s="294" t="s">
        <v>2717</v>
      </c>
      <c r="AJ1033" s="225"/>
      <c r="AK1033" s="225"/>
      <c r="AL1033" s="24"/>
    </row>
    <row r="1034" spans="1:38" ht="12.75" customHeight="1">
      <c r="A1034" s="22">
        <v>1032</v>
      </c>
      <c r="B1034" s="24" t="str">
        <f t="shared" si="50"/>
        <v>Other (specify)</v>
      </c>
      <c r="C1034" s="24" t="str">
        <f t="shared" si="3"/>
        <v>Input Option</v>
      </c>
      <c r="D1034" s="24" t="str">
        <f t="shared" si="2"/>
        <v>Reason PrEP for HIV prevention counseling not done</v>
      </c>
      <c r="E1034" s="24" t="s">
        <v>2707</v>
      </c>
      <c r="F1034" s="24">
        <v>1</v>
      </c>
      <c r="G1034" s="24" t="s">
        <v>2372</v>
      </c>
      <c r="H1034" s="24"/>
      <c r="I1034" s="283"/>
      <c r="J1034" s="196"/>
      <c r="K1034" s="164"/>
      <c r="L1034" s="196"/>
      <c r="M1034" s="196"/>
      <c r="N1034" s="204" t="s">
        <v>405</v>
      </c>
      <c r="O1034" s="196"/>
      <c r="P1034" s="196"/>
      <c r="Q1034" s="196"/>
      <c r="R1034" s="283"/>
      <c r="S1034" s="196"/>
      <c r="T1034" s="283"/>
      <c r="U1034" s="283"/>
      <c r="V1034" s="196"/>
      <c r="W1034" s="225"/>
      <c r="X1034" s="283"/>
      <c r="Y1034" s="283"/>
      <c r="Z1034" s="283"/>
      <c r="AA1034" s="283"/>
      <c r="AB1034" s="283"/>
      <c r="AC1034" s="283"/>
      <c r="AD1034" s="283"/>
      <c r="AE1034" s="283"/>
      <c r="AF1034" s="283"/>
      <c r="AG1034" s="285" t="s">
        <v>115</v>
      </c>
      <c r="AH1034" s="380" t="s">
        <v>406</v>
      </c>
      <c r="AI1034" s="294" t="s">
        <v>407</v>
      </c>
      <c r="AJ1034" s="225"/>
      <c r="AK1034" s="225"/>
      <c r="AL1034" s="24"/>
    </row>
    <row r="1035" spans="1:38" ht="12.75" customHeight="1">
      <c r="A1035" s="22">
        <v>1033</v>
      </c>
      <c r="B1035" s="24" t="s">
        <v>2718</v>
      </c>
      <c r="C1035" s="24" t="str">
        <f t="shared" si="3"/>
        <v>Data Element</v>
      </c>
      <c r="D1035" s="24" t="str">
        <f t="shared" si="2"/>
        <v/>
      </c>
      <c r="E1035" s="24" t="s">
        <v>2707</v>
      </c>
      <c r="F1035" s="24">
        <v>1</v>
      </c>
      <c r="G1035" s="24" t="s">
        <v>2372</v>
      </c>
      <c r="H1035" s="24"/>
      <c r="I1035" s="283"/>
      <c r="J1035" s="196" t="s">
        <v>409</v>
      </c>
      <c r="K1035" s="164" t="s">
        <v>2719</v>
      </c>
      <c r="L1035" s="196" t="s">
        <v>2720</v>
      </c>
      <c r="M1035" s="196" t="s">
        <v>111</v>
      </c>
      <c r="N1035" s="196"/>
      <c r="O1035" s="196"/>
      <c r="P1035" s="196"/>
      <c r="Q1035" s="196"/>
      <c r="R1035" s="283"/>
      <c r="S1035" s="196" t="s">
        <v>208</v>
      </c>
      <c r="T1035" s="283"/>
      <c r="U1035" s="283"/>
      <c r="V1035" s="196" t="s">
        <v>115</v>
      </c>
      <c r="W1035" s="225"/>
      <c r="X1035" s="283"/>
      <c r="Y1035" s="283"/>
      <c r="Z1035" s="283"/>
      <c r="AA1035" s="283"/>
      <c r="AB1035" s="283"/>
      <c r="AC1035" s="283"/>
      <c r="AD1035" s="283"/>
      <c r="AE1035" s="283"/>
      <c r="AF1035" s="283"/>
      <c r="AG1035" s="205" t="s">
        <v>2721</v>
      </c>
      <c r="AH1035" s="380" t="s">
        <v>415</v>
      </c>
      <c r="AI1035" s="294" t="s">
        <v>416</v>
      </c>
      <c r="AJ1035" s="225"/>
      <c r="AK1035" s="225"/>
      <c r="AL1035" s="24"/>
    </row>
    <row r="1036" spans="1:38" ht="12.75" customHeight="1">
      <c r="A1036" s="22">
        <v>1034</v>
      </c>
      <c r="B1036" s="24" t="str">
        <f t="shared" ref="B1036:B1080" si="51">IF(N1036="",IF(M1036="Calculation",K1036,J1036),N1036)</f>
        <v>prep</v>
      </c>
      <c r="C1036" s="24" t="str">
        <f t="shared" si="3"/>
        <v>Calculation</v>
      </c>
      <c r="D1036" s="24" t="str">
        <f t="shared" si="2"/>
        <v/>
      </c>
      <c r="E1036" s="24" t="s">
        <v>2707</v>
      </c>
      <c r="F1036" s="24">
        <v>1</v>
      </c>
      <c r="G1036" s="24" t="s">
        <v>2372</v>
      </c>
      <c r="H1036" s="24"/>
      <c r="I1036" s="283"/>
      <c r="J1036" s="298" t="s">
        <v>115</v>
      </c>
      <c r="K1036" s="298" t="s">
        <v>2722</v>
      </c>
      <c r="L1036" s="298" t="s">
        <v>2723</v>
      </c>
      <c r="M1036" s="298" t="s">
        <v>65</v>
      </c>
      <c r="N1036" s="164"/>
      <c r="O1036" s="298" t="s">
        <v>2724</v>
      </c>
      <c r="P1036" s="298"/>
      <c r="Q1036" s="164"/>
      <c r="R1036" s="283"/>
      <c r="S1036" s="298" t="s">
        <v>115</v>
      </c>
      <c r="T1036" s="283"/>
      <c r="U1036" s="283"/>
      <c r="V1036" s="298" t="s">
        <v>115</v>
      </c>
      <c r="W1036" s="225"/>
      <c r="X1036" s="283"/>
      <c r="Y1036" s="283"/>
      <c r="Z1036" s="283"/>
      <c r="AA1036" s="283"/>
      <c r="AB1036" s="283"/>
      <c r="AC1036" s="283"/>
      <c r="AD1036" s="283"/>
      <c r="AE1036" s="283"/>
      <c r="AF1036" s="283"/>
      <c r="AG1036" s="285" t="s">
        <v>115</v>
      </c>
      <c r="AH1036" s="285" t="s">
        <v>115</v>
      </c>
      <c r="AI1036" s="285" t="s">
        <v>115</v>
      </c>
      <c r="AJ1036" s="225"/>
      <c r="AK1036" s="225"/>
      <c r="AL1036" s="24"/>
    </row>
    <row r="1037" spans="1:38" ht="12.75" customHeight="1">
      <c r="A1037" s="22">
        <v>1035</v>
      </c>
      <c r="B1037" s="24">
        <f t="shared" si="51"/>
        <v>0</v>
      </c>
      <c r="C1037" s="24" t="str">
        <f t="shared" si="3"/>
        <v>Data Element</v>
      </c>
      <c r="D1037" s="24" t="str">
        <f t="shared" si="2"/>
        <v/>
      </c>
      <c r="E1037" s="24" t="s">
        <v>2726</v>
      </c>
      <c r="F1037" s="24">
        <v>1</v>
      </c>
      <c r="G1037" s="24" t="s">
        <v>2372</v>
      </c>
      <c r="H1037" s="24"/>
      <c r="I1037" s="283"/>
      <c r="J1037" s="164">
        <v>0</v>
      </c>
      <c r="K1037" s="164" t="s">
        <v>2727</v>
      </c>
      <c r="L1037" s="164"/>
      <c r="M1037" s="196" t="s">
        <v>202</v>
      </c>
      <c r="N1037" s="164"/>
      <c r="O1037" s="164"/>
      <c r="P1037" s="164"/>
      <c r="Q1037" s="164"/>
      <c r="R1037" s="283"/>
      <c r="S1037" s="164" t="s">
        <v>208</v>
      </c>
      <c r="T1037" s="283"/>
      <c r="U1037" s="283"/>
      <c r="V1037" s="204" t="s">
        <v>2375</v>
      </c>
      <c r="W1037" s="225"/>
      <c r="X1037" s="283"/>
      <c r="Y1037" s="283"/>
      <c r="Z1037" s="283"/>
      <c r="AA1037" s="283"/>
      <c r="AB1037" s="283"/>
      <c r="AC1037" s="283"/>
      <c r="AD1037" s="283"/>
      <c r="AE1037" s="283"/>
      <c r="AF1037" s="283"/>
      <c r="AG1037" s="285" t="s">
        <v>2728</v>
      </c>
      <c r="AH1037" s="357" t="s">
        <v>2398</v>
      </c>
      <c r="AI1037" s="285" t="s">
        <v>2399</v>
      </c>
      <c r="AJ1037" s="225"/>
      <c r="AK1037" s="225"/>
      <c r="AL1037" s="24"/>
    </row>
    <row r="1038" spans="1:38" ht="12.75" customHeight="1">
      <c r="A1038" s="22">
        <v>1036</v>
      </c>
      <c r="B1038" s="24" t="str">
        <f t="shared" si="51"/>
        <v>Done</v>
      </c>
      <c r="C1038" s="24" t="str">
        <f t="shared" si="3"/>
        <v>Input Option</v>
      </c>
      <c r="D1038" s="24">
        <f t="shared" si="2"/>
        <v>0</v>
      </c>
      <c r="E1038" s="24" t="s">
        <v>2726</v>
      </c>
      <c r="F1038" s="24">
        <v>1</v>
      </c>
      <c r="G1038" s="24" t="s">
        <v>2372</v>
      </c>
      <c r="H1038" s="24"/>
      <c r="I1038" s="283"/>
      <c r="J1038" s="164"/>
      <c r="K1038" s="164"/>
      <c r="L1038" s="164"/>
      <c r="M1038" s="196"/>
      <c r="N1038" s="164" t="s">
        <v>1673</v>
      </c>
      <c r="O1038" s="164"/>
      <c r="P1038" s="164"/>
      <c r="Q1038" s="164"/>
      <c r="R1038" s="283"/>
      <c r="S1038" s="164"/>
      <c r="T1038" s="283"/>
      <c r="U1038" s="283"/>
      <c r="V1038" s="204"/>
      <c r="W1038" s="225"/>
      <c r="X1038" s="283"/>
      <c r="Y1038" s="283"/>
      <c r="Z1038" s="283"/>
      <c r="AA1038" s="283"/>
      <c r="AB1038" s="283"/>
      <c r="AC1038" s="283"/>
      <c r="AD1038" s="283"/>
      <c r="AE1038" s="283"/>
      <c r="AF1038" s="283"/>
      <c r="AG1038" s="285" t="s">
        <v>115</v>
      </c>
      <c r="AH1038" s="357" t="s">
        <v>942</v>
      </c>
      <c r="AI1038" s="205" t="s">
        <v>943</v>
      </c>
      <c r="AJ1038" s="225"/>
      <c r="AK1038" s="225"/>
      <c r="AL1038" s="24"/>
    </row>
    <row r="1039" spans="1:38" ht="12.75" customHeight="1">
      <c r="A1039" s="22">
        <v>1037</v>
      </c>
      <c r="B1039" s="24" t="str">
        <f t="shared" si="51"/>
        <v>Not done</v>
      </c>
      <c r="C1039" s="24" t="str">
        <f t="shared" si="3"/>
        <v>Input Option</v>
      </c>
      <c r="D1039" s="24">
        <f t="shared" si="2"/>
        <v>0</v>
      </c>
      <c r="E1039" s="24" t="s">
        <v>2726</v>
      </c>
      <c r="F1039" s="24">
        <v>1</v>
      </c>
      <c r="G1039" s="24" t="s">
        <v>2372</v>
      </c>
      <c r="H1039" s="24"/>
      <c r="I1039" s="283"/>
      <c r="J1039" s="164"/>
      <c r="K1039" s="164"/>
      <c r="L1039" s="164"/>
      <c r="M1039" s="196"/>
      <c r="N1039" s="164" t="s">
        <v>1468</v>
      </c>
      <c r="O1039" s="164"/>
      <c r="P1039" s="164"/>
      <c r="Q1039" s="164"/>
      <c r="R1039" s="283"/>
      <c r="S1039" s="164"/>
      <c r="T1039" s="283"/>
      <c r="U1039" s="283"/>
      <c r="V1039" s="204"/>
      <c r="W1039" s="225"/>
      <c r="X1039" s="283"/>
      <c r="Y1039" s="283"/>
      <c r="Z1039" s="283"/>
      <c r="AA1039" s="283"/>
      <c r="AB1039" s="283"/>
      <c r="AC1039" s="283"/>
      <c r="AD1039" s="283"/>
      <c r="AE1039" s="283"/>
      <c r="AF1039" s="283"/>
      <c r="AG1039" s="285" t="s">
        <v>115</v>
      </c>
      <c r="AH1039" s="357" t="s">
        <v>1469</v>
      </c>
      <c r="AI1039" s="205" t="s">
        <v>1470</v>
      </c>
      <c r="AJ1039" s="225"/>
      <c r="AK1039" s="225"/>
      <c r="AL1039" s="24"/>
    </row>
    <row r="1040" spans="1:38" ht="12.75" customHeight="1">
      <c r="A1040" s="22">
        <v>1038</v>
      </c>
      <c r="B1040" s="24" t="str">
        <f t="shared" si="51"/>
        <v>Seeking care for danger signs counseling</v>
      </c>
      <c r="C1040" s="24" t="str">
        <f t="shared" si="3"/>
        <v>Data Element</v>
      </c>
      <c r="D1040" s="24" t="str">
        <f t="shared" si="2"/>
        <v/>
      </c>
      <c r="E1040" s="24" t="s">
        <v>2730</v>
      </c>
      <c r="F1040" s="24">
        <v>1</v>
      </c>
      <c r="G1040" s="24" t="s">
        <v>2372</v>
      </c>
      <c r="H1040" s="24"/>
      <c r="I1040" s="283"/>
      <c r="J1040" s="204" t="s">
        <v>2729</v>
      </c>
      <c r="K1040" s="196" t="s">
        <v>2731</v>
      </c>
      <c r="L1040" s="196"/>
      <c r="M1040" s="196" t="s">
        <v>202</v>
      </c>
      <c r="N1040" s="164"/>
      <c r="O1040" s="196"/>
      <c r="P1040" s="196"/>
      <c r="Q1040" s="196"/>
      <c r="R1040" s="283"/>
      <c r="S1040" s="196" t="s">
        <v>208</v>
      </c>
      <c r="T1040" s="283"/>
      <c r="U1040" s="283"/>
      <c r="V1040" s="296" t="s">
        <v>1277</v>
      </c>
      <c r="W1040" s="225"/>
      <c r="X1040" s="283"/>
      <c r="Y1040" s="283"/>
      <c r="Z1040" s="283"/>
      <c r="AA1040" s="283"/>
      <c r="AB1040" s="283"/>
      <c r="AC1040" s="283"/>
      <c r="AD1040" s="283"/>
      <c r="AE1040" s="283"/>
      <c r="AF1040" s="283"/>
      <c r="AG1040" s="285" t="s">
        <v>2732</v>
      </c>
      <c r="AH1040" s="357" t="s">
        <v>2398</v>
      </c>
      <c r="AI1040" s="285" t="s">
        <v>2399</v>
      </c>
      <c r="AJ1040" s="225"/>
      <c r="AK1040" s="225"/>
      <c r="AL1040" s="24"/>
    </row>
    <row r="1041" spans="1:38" ht="12.75" customHeight="1">
      <c r="A1041" s="22">
        <v>1039</v>
      </c>
      <c r="B1041" s="24" t="str">
        <f t="shared" si="51"/>
        <v>Done</v>
      </c>
      <c r="C1041" s="24" t="str">
        <f t="shared" si="3"/>
        <v>Input Option</v>
      </c>
      <c r="D1041" s="24" t="str">
        <f t="shared" si="2"/>
        <v>Seeking care for danger signs counseling</v>
      </c>
      <c r="E1041" s="24" t="s">
        <v>2730</v>
      </c>
      <c r="F1041" s="24">
        <v>1</v>
      </c>
      <c r="G1041" s="24" t="s">
        <v>2372</v>
      </c>
      <c r="H1041" s="24"/>
      <c r="I1041" s="283"/>
      <c r="J1041" s="204"/>
      <c r="K1041" s="164"/>
      <c r="L1041" s="164"/>
      <c r="M1041" s="164"/>
      <c r="N1041" s="164" t="s">
        <v>1673</v>
      </c>
      <c r="O1041" s="164"/>
      <c r="P1041" s="164"/>
      <c r="Q1041" s="164"/>
      <c r="R1041" s="283"/>
      <c r="S1041" s="164"/>
      <c r="T1041" s="283"/>
      <c r="U1041" s="283"/>
      <c r="V1041" s="296"/>
      <c r="W1041" s="225"/>
      <c r="X1041" s="283"/>
      <c r="Y1041" s="283"/>
      <c r="Z1041" s="283"/>
      <c r="AA1041" s="283"/>
      <c r="AB1041" s="283"/>
      <c r="AC1041" s="283"/>
      <c r="AD1041" s="283"/>
      <c r="AE1041" s="283"/>
      <c r="AF1041" s="283"/>
      <c r="AG1041" s="285" t="s">
        <v>115</v>
      </c>
      <c r="AH1041" s="357" t="s">
        <v>942</v>
      </c>
      <c r="AI1041" s="205" t="s">
        <v>943</v>
      </c>
      <c r="AJ1041" s="225"/>
      <c r="AK1041" s="225"/>
      <c r="AL1041" s="24"/>
    </row>
    <row r="1042" spans="1:38" ht="12.75" customHeight="1">
      <c r="A1042" s="22">
        <v>1040</v>
      </c>
      <c r="B1042" s="24" t="str">
        <f t="shared" si="51"/>
        <v>Not done</v>
      </c>
      <c r="C1042" s="24" t="str">
        <f t="shared" si="3"/>
        <v>Input Option</v>
      </c>
      <c r="D1042" s="24" t="str">
        <f t="shared" si="2"/>
        <v>Seeking care for danger signs counseling</v>
      </c>
      <c r="E1042" s="24" t="s">
        <v>2730</v>
      </c>
      <c r="F1042" s="24">
        <v>1</v>
      </c>
      <c r="G1042" s="24" t="s">
        <v>2372</v>
      </c>
      <c r="H1042" s="24"/>
      <c r="I1042" s="283"/>
      <c r="J1042" s="204"/>
      <c r="K1042" s="164"/>
      <c r="L1042" s="164"/>
      <c r="M1042" s="164"/>
      <c r="N1042" s="164" t="s">
        <v>1468</v>
      </c>
      <c r="O1042" s="164"/>
      <c r="P1042" s="164"/>
      <c r="Q1042" s="164"/>
      <c r="R1042" s="283"/>
      <c r="S1042" s="164"/>
      <c r="T1042" s="283"/>
      <c r="U1042" s="283"/>
      <c r="V1042" s="296"/>
      <c r="W1042" s="225"/>
      <c r="X1042" s="283"/>
      <c r="Y1042" s="283"/>
      <c r="Z1042" s="283"/>
      <c r="AA1042" s="283"/>
      <c r="AB1042" s="283"/>
      <c r="AC1042" s="283"/>
      <c r="AD1042" s="283"/>
      <c r="AE1042" s="283"/>
      <c r="AF1042" s="283"/>
      <c r="AG1042" s="285" t="s">
        <v>115</v>
      </c>
      <c r="AH1042" s="357" t="s">
        <v>1469</v>
      </c>
      <c r="AI1042" s="205" t="s">
        <v>1470</v>
      </c>
      <c r="AJ1042" s="225"/>
      <c r="AK1042" s="225"/>
      <c r="AL1042" s="24"/>
    </row>
    <row r="1043" spans="1:38" ht="12.75" customHeight="1">
      <c r="A1043" s="22">
        <v>1041</v>
      </c>
      <c r="B1043" s="24" t="str">
        <f t="shared" si="51"/>
        <v xml:space="preserve">Counseling on going immediately to the hospital if severe danger signs </v>
      </c>
      <c r="C1043" s="24" t="str">
        <f t="shared" si="3"/>
        <v>Data Element</v>
      </c>
      <c r="D1043" s="24" t="str">
        <f t="shared" si="2"/>
        <v/>
      </c>
      <c r="E1043" s="24" t="s">
        <v>2730</v>
      </c>
      <c r="F1043" s="24">
        <v>1</v>
      </c>
      <c r="G1043" s="24" t="s">
        <v>2372</v>
      </c>
      <c r="H1043" s="24"/>
      <c r="I1043" s="283"/>
      <c r="J1043" s="204" t="s">
        <v>2733</v>
      </c>
      <c r="K1043" s="164" t="s">
        <v>2734</v>
      </c>
      <c r="L1043" s="164"/>
      <c r="M1043" s="164" t="s">
        <v>202</v>
      </c>
      <c r="N1043" s="164"/>
      <c r="O1043" s="164"/>
      <c r="P1043" s="164"/>
      <c r="Q1043" s="164"/>
      <c r="R1043" s="283"/>
      <c r="S1043" s="164" t="s">
        <v>208</v>
      </c>
      <c r="T1043" s="283"/>
      <c r="U1043" s="283"/>
      <c r="V1043" s="296" t="s">
        <v>1277</v>
      </c>
      <c r="W1043" s="225"/>
      <c r="X1043" s="283"/>
      <c r="Y1043" s="283"/>
      <c r="Z1043" s="283"/>
      <c r="AA1043" s="283"/>
      <c r="AB1043" s="283"/>
      <c r="AC1043" s="283"/>
      <c r="AD1043" s="283"/>
      <c r="AE1043" s="283"/>
      <c r="AF1043" s="283"/>
      <c r="AG1043" s="285" t="s">
        <v>115</v>
      </c>
      <c r="AH1043" s="285" t="s">
        <v>115</v>
      </c>
      <c r="AI1043" s="285" t="s">
        <v>115</v>
      </c>
      <c r="AJ1043" s="225"/>
      <c r="AK1043" s="225"/>
      <c r="AL1043" s="24"/>
    </row>
    <row r="1044" spans="1:38" ht="12.75" customHeight="1">
      <c r="A1044" s="22">
        <v>1042</v>
      </c>
      <c r="B1044" s="24" t="str">
        <f t="shared" si="51"/>
        <v>Done</v>
      </c>
      <c r="C1044" s="24" t="str">
        <f t="shared" si="3"/>
        <v>Input Option</v>
      </c>
      <c r="D1044" s="24" t="str">
        <f t="shared" si="2"/>
        <v xml:space="preserve">Counseling on going immediately to the hospital if severe danger signs </v>
      </c>
      <c r="E1044" s="24" t="s">
        <v>2730</v>
      </c>
      <c r="F1044" s="24">
        <v>1</v>
      </c>
      <c r="G1044" s="24" t="s">
        <v>2372</v>
      </c>
      <c r="H1044" s="24"/>
      <c r="I1044" s="283"/>
      <c r="J1044" s="204"/>
      <c r="K1044" s="164"/>
      <c r="L1044" s="164"/>
      <c r="M1044" s="164"/>
      <c r="N1044" s="164" t="s">
        <v>1673</v>
      </c>
      <c r="O1044" s="164"/>
      <c r="P1044" s="164"/>
      <c r="Q1044" s="164"/>
      <c r="R1044" s="283"/>
      <c r="S1044" s="164"/>
      <c r="T1044" s="283"/>
      <c r="U1044" s="283"/>
      <c r="V1044" s="296"/>
      <c r="W1044" s="225"/>
      <c r="X1044" s="283"/>
      <c r="Y1044" s="283"/>
      <c r="Z1044" s="283"/>
      <c r="AA1044" s="283"/>
      <c r="AB1044" s="283"/>
      <c r="AC1044" s="283"/>
      <c r="AD1044" s="283"/>
      <c r="AE1044" s="283"/>
      <c r="AF1044" s="283"/>
      <c r="AG1044" s="285" t="s">
        <v>115</v>
      </c>
      <c r="AH1044" s="285" t="s">
        <v>115</v>
      </c>
      <c r="AI1044" s="285" t="s">
        <v>115</v>
      </c>
      <c r="AJ1044" s="225"/>
      <c r="AK1044" s="225"/>
      <c r="AL1044" s="24"/>
    </row>
    <row r="1045" spans="1:38" ht="12.75" customHeight="1">
      <c r="A1045" s="22">
        <v>1043</v>
      </c>
      <c r="B1045" s="24" t="str">
        <f t="shared" si="51"/>
        <v>Not done</v>
      </c>
      <c r="C1045" s="24" t="str">
        <f t="shared" si="3"/>
        <v>Input Option</v>
      </c>
      <c r="D1045" s="24" t="str">
        <f t="shared" si="2"/>
        <v xml:space="preserve">Counseling on going immediately to the hospital if severe danger signs </v>
      </c>
      <c r="E1045" s="24" t="s">
        <v>2730</v>
      </c>
      <c r="F1045" s="24">
        <v>1</v>
      </c>
      <c r="G1045" s="24" t="s">
        <v>2372</v>
      </c>
      <c r="H1045" s="24"/>
      <c r="I1045" s="283"/>
      <c r="J1045" s="204"/>
      <c r="K1045" s="164"/>
      <c r="L1045" s="164"/>
      <c r="M1045" s="164"/>
      <c r="N1045" s="164" t="s">
        <v>1468</v>
      </c>
      <c r="O1045" s="164"/>
      <c r="P1045" s="164"/>
      <c r="Q1045" s="164"/>
      <c r="R1045" s="283"/>
      <c r="S1045" s="164"/>
      <c r="T1045" s="283"/>
      <c r="U1045" s="283"/>
      <c r="V1045" s="296"/>
      <c r="W1045" s="225"/>
      <c r="X1045" s="283"/>
      <c r="Y1045" s="283"/>
      <c r="Z1045" s="283"/>
      <c r="AA1045" s="283"/>
      <c r="AB1045" s="283"/>
      <c r="AC1045" s="283"/>
      <c r="AD1045" s="283"/>
      <c r="AE1045" s="283"/>
      <c r="AF1045" s="283"/>
      <c r="AG1045" s="285" t="s">
        <v>115</v>
      </c>
      <c r="AH1045" s="285" t="s">
        <v>115</v>
      </c>
      <c r="AI1045" s="285" t="s">
        <v>115</v>
      </c>
      <c r="AJ1045" s="225"/>
      <c r="AK1045" s="225"/>
      <c r="AL1045" s="24"/>
    </row>
    <row r="1046" spans="1:38" ht="12.75" customHeight="1">
      <c r="A1046" s="22">
        <v>1044</v>
      </c>
      <c r="B1046" s="24" t="str">
        <f t="shared" si="51"/>
        <v>ANC contact schedule counseling</v>
      </c>
      <c r="C1046" s="24" t="str">
        <f t="shared" si="3"/>
        <v>Data Element</v>
      </c>
      <c r="D1046" s="24" t="str">
        <f t="shared" si="2"/>
        <v/>
      </c>
      <c r="E1046" s="24" t="s">
        <v>2736</v>
      </c>
      <c r="F1046" s="24">
        <v>1</v>
      </c>
      <c r="G1046" s="24" t="s">
        <v>2372</v>
      </c>
      <c r="H1046" s="24"/>
      <c r="I1046" s="283"/>
      <c r="J1046" s="224" t="s">
        <v>2735</v>
      </c>
      <c r="K1046" s="164" t="s">
        <v>2737</v>
      </c>
      <c r="L1046" s="164"/>
      <c r="M1046" s="204" t="s">
        <v>202</v>
      </c>
      <c r="N1046" s="164"/>
      <c r="O1046" s="164"/>
      <c r="P1046" s="164"/>
      <c r="Q1046" s="164"/>
      <c r="R1046" s="283"/>
      <c r="S1046" s="164" t="s">
        <v>208</v>
      </c>
      <c r="T1046" s="283"/>
      <c r="U1046" s="283"/>
      <c r="V1046" s="296" t="s">
        <v>1277</v>
      </c>
      <c r="W1046" s="225"/>
      <c r="X1046" s="283"/>
      <c r="Y1046" s="283"/>
      <c r="Z1046" s="283"/>
      <c r="AA1046" s="283"/>
      <c r="AB1046" s="283"/>
      <c r="AC1046" s="283"/>
      <c r="AD1046" s="283"/>
      <c r="AE1046" s="283"/>
      <c r="AF1046" s="283"/>
      <c r="AG1046" s="285" t="s">
        <v>2738</v>
      </c>
      <c r="AH1046" s="357" t="s">
        <v>2398</v>
      </c>
      <c r="AI1046" s="285" t="s">
        <v>2399</v>
      </c>
      <c r="AJ1046" s="225"/>
      <c r="AK1046" s="225"/>
      <c r="AL1046" s="24"/>
    </row>
    <row r="1047" spans="1:38" ht="12.75" customHeight="1">
      <c r="A1047" s="22">
        <v>1045</v>
      </c>
      <c r="B1047" s="24" t="str">
        <f t="shared" si="51"/>
        <v>Done</v>
      </c>
      <c r="C1047" s="24" t="str">
        <f t="shared" si="3"/>
        <v>Input Option</v>
      </c>
      <c r="D1047" s="24" t="str">
        <f t="shared" si="2"/>
        <v>ANC contact schedule counseling</v>
      </c>
      <c r="E1047" s="24" t="s">
        <v>2736</v>
      </c>
      <c r="F1047" s="24">
        <v>1</v>
      </c>
      <c r="G1047" s="24" t="s">
        <v>2372</v>
      </c>
      <c r="H1047" s="24"/>
      <c r="I1047" s="283"/>
      <c r="J1047" s="224"/>
      <c r="K1047" s="164"/>
      <c r="L1047" s="164"/>
      <c r="M1047" s="204"/>
      <c r="N1047" s="164" t="s">
        <v>1673</v>
      </c>
      <c r="O1047" s="164"/>
      <c r="P1047" s="164"/>
      <c r="Q1047" s="164"/>
      <c r="R1047" s="283"/>
      <c r="S1047" s="164"/>
      <c r="T1047" s="283"/>
      <c r="U1047" s="283"/>
      <c r="V1047" s="296"/>
      <c r="W1047" s="225"/>
      <c r="X1047" s="283"/>
      <c r="Y1047" s="283"/>
      <c r="Z1047" s="283"/>
      <c r="AA1047" s="283"/>
      <c r="AB1047" s="283"/>
      <c r="AC1047" s="283"/>
      <c r="AD1047" s="283"/>
      <c r="AE1047" s="283"/>
      <c r="AF1047" s="283"/>
      <c r="AG1047" s="285" t="s">
        <v>115</v>
      </c>
      <c r="AH1047" s="357" t="s">
        <v>942</v>
      </c>
      <c r="AI1047" s="205" t="s">
        <v>943</v>
      </c>
      <c r="AJ1047" s="225"/>
      <c r="AK1047" s="225"/>
      <c r="AL1047" s="24"/>
    </row>
    <row r="1048" spans="1:38" ht="12.75" customHeight="1">
      <c r="A1048" s="22">
        <v>1046</v>
      </c>
      <c r="B1048" s="24" t="str">
        <f t="shared" si="51"/>
        <v>Not done</v>
      </c>
      <c r="C1048" s="24" t="str">
        <f t="shared" si="3"/>
        <v>Input Option</v>
      </c>
      <c r="D1048" s="24" t="str">
        <f t="shared" si="2"/>
        <v>ANC contact schedule counseling</v>
      </c>
      <c r="E1048" s="24" t="s">
        <v>2736</v>
      </c>
      <c r="F1048" s="24">
        <v>1</v>
      </c>
      <c r="G1048" s="24" t="s">
        <v>2372</v>
      </c>
      <c r="H1048" s="24"/>
      <c r="I1048" s="283"/>
      <c r="J1048" s="224"/>
      <c r="K1048" s="164"/>
      <c r="L1048" s="164"/>
      <c r="M1048" s="204"/>
      <c r="N1048" s="164" t="s">
        <v>1468</v>
      </c>
      <c r="O1048" s="164"/>
      <c r="P1048" s="164"/>
      <c r="Q1048" s="164"/>
      <c r="R1048" s="283"/>
      <c r="S1048" s="164"/>
      <c r="T1048" s="283"/>
      <c r="U1048" s="283"/>
      <c r="V1048" s="296"/>
      <c r="W1048" s="225"/>
      <c r="X1048" s="283"/>
      <c r="Y1048" s="283"/>
      <c r="Z1048" s="283"/>
      <c r="AA1048" s="283"/>
      <c r="AB1048" s="283"/>
      <c r="AC1048" s="283"/>
      <c r="AD1048" s="283"/>
      <c r="AE1048" s="283"/>
      <c r="AF1048" s="283"/>
      <c r="AG1048" s="285" t="s">
        <v>115</v>
      </c>
      <c r="AH1048" s="357" t="s">
        <v>1469</v>
      </c>
      <c r="AI1048" s="205" t="s">
        <v>1470</v>
      </c>
      <c r="AJ1048" s="225"/>
      <c r="AK1048" s="225"/>
      <c r="AL1048" s="24"/>
    </row>
    <row r="1049" spans="1:38" ht="12.75" customHeight="1">
      <c r="A1049" s="22">
        <v>1047</v>
      </c>
      <c r="B1049" s="24" t="str">
        <f t="shared" si="51"/>
        <v>Planned birth place</v>
      </c>
      <c r="C1049" s="24" t="str">
        <f t="shared" si="3"/>
        <v>Data Element</v>
      </c>
      <c r="D1049" s="24" t="str">
        <f t="shared" si="2"/>
        <v/>
      </c>
      <c r="E1049" s="24" t="s">
        <v>2740</v>
      </c>
      <c r="F1049" s="24">
        <v>1</v>
      </c>
      <c r="G1049" s="24" t="s">
        <v>2372</v>
      </c>
      <c r="H1049" s="24"/>
      <c r="I1049" s="283"/>
      <c r="J1049" s="204" t="s">
        <v>2739</v>
      </c>
      <c r="K1049" s="204" t="s">
        <v>2741</v>
      </c>
      <c r="L1049" s="164"/>
      <c r="M1049" s="164" t="s">
        <v>202</v>
      </c>
      <c r="N1049" s="224"/>
      <c r="O1049" s="164"/>
      <c r="P1049" s="164"/>
      <c r="Q1049" s="164"/>
      <c r="R1049" s="283"/>
      <c r="S1049" s="164" t="s">
        <v>208</v>
      </c>
      <c r="T1049" s="283"/>
      <c r="U1049" s="283"/>
      <c r="V1049" s="204" t="s">
        <v>2742</v>
      </c>
      <c r="W1049" s="225"/>
      <c r="X1049" s="283"/>
      <c r="Y1049" s="283"/>
      <c r="Z1049" s="283"/>
      <c r="AA1049" s="283"/>
      <c r="AB1049" s="283"/>
      <c r="AC1049" s="283"/>
      <c r="AD1049" s="283"/>
      <c r="AE1049" s="283"/>
      <c r="AF1049" s="283"/>
      <c r="AG1049" s="285" t="s">
        <v>115</v>
      </c>
      <c r="AH1049" s="285" t="s">
        <v>2743</v>
      </c>
      <c r="AI1049" s="285" t="s">
        <v>2744</v>
      </c>
      <c r="AJ1049" s="225"/>
      <c r="AK1049" s="225"/>
      <c r="AL1049" s="24"/>
    </row>
    <row r="1050" spans="1:38" ht="12.75" customHeight="1">
      <c r="A1050" s="22">
        <v>1048</v>
      </c>
      <c r="B1050" s="24" t="str">
        <f t="shared" si="51"/>
        <v>Facility</v>
      </c>
      <c r="C1050" s="24" t="str">
        <f t="shared" si="3"/>
        <v>Input Option</v>
      </c>
      <c r="D1050" s="24" t="str">
        <f t="shared" si="2"/>
        <v>Planned birth place</v>
      </c>
      <c r="E1050" s="24" t="s">
        <v>2740</v>
      </c>
      <c r="F1050" s="24">
        <v>1</v>
      </c>
      <c r="G1050" s="24" t="s">
        <v>2372</v>
      </c>
      <c r="H1050" s="24"/>
      <c r="I1050" s="283"/>
      <c r="J1050" s="297"/>
      <c r="K1050" s="297"/>
      <c r="L1050" s="297"/>
      <c r="M1050" s="297"/>
      <c r="N1050" s="224" t="s">
        <v>2745</v>
      </c>
      <c r="O1050" s="164"/>
      <c r="P1050" s="164"/>
      <c r="Q1050" s="164"/>
      <c r="R1050" s="283"/>
      <c r="S1050" s="297"/>
      <c r="T1050" s="283"/>
      <c r="U1050" s="283"/>
      <c r="V1050" s="164"/>
      <c r="W1050" s="225"/>
      <c r="X1050" s="283"/>
      <c r="Y1050" s="283"/>
      <c r="Z1050" s="283"/>
      <c r="AA1050" s="283"/>
      <c r="AB1050" s="283"/>
      <c r="AC1050" s="283"/>
      <c r="AD1050" s="283"/>
      <c r="AE1050" s="283"/>
      <c r="AF1050" s="283"/>
      <c r="AG1050" s="285" t="s">
        <v>115</v>
      </c>
      <c r="AH1050" s="205" t="s">
        <v>2746</v>
      </c>
      <c r="AI1050" s="285" t="s">
        <v>2747</v>
      </c>
      <c r="AJ1050" s="225"/>
      <c r="AK1050" s="225"/>
      <c r="AL1050" s="24"/>
    </row>
    <row r="1051" spans="1:38" ht="12.75" customHeight="1">
      <c r="A1051" s="22">
        <v>1049</v>
      </c>
      <c r="B1051" s="24" t="str">
        <f t="shared" si="51"/>
        <v>Facility (elective C-section)</v>
      </c>
      <c r="C1051" s="24" t="str">
        <f t="shared" si="3"/>
        <v>Input Option</v>
      </c>
      <c r="D1051" s="24" t="str">
        <f t="shared" si="2"/>
        <v>Planned birth place</v>
      </c>
      <c r="E1051" s="24" t="s">
        <v>2740</v>
      </c>
      <c r="F1051" s="24">
        <v>1</v>
      </c>
      <c r="G1051" s="24" t="s">
        <v>2372</v>
      </c>
      <c r="H1051" s="24"/>
      <c r="I1051" s="283"/>
      <c r="J1051" s="297"/>
      <c r="K1051" s="297"/>
      <c r="L1051" s="297"/>
      <c r="M1051" s="297"/>
      <c r="N1051" s="164" t="s">
        <v>2748</v>
      </c>
      <c r="O1051" s="164"/>
      <c r="P1051" s="164"/>
      <c r="Q1051" s="164"/>
      <c r="R1051" s="283"/>
      <c r="S1051" s="297"/>
      <c r="T1051" s="283"/>
      <c r="U1051" s="283"/>
      <c r="V1051" s="164"/>
      <c r="W1051" s="225"/>
      <c r="X1051" s="283"/>
      <c r="Y1051" s="283"/>
      <c r="Z1051" s="283"/>
      <c r="AA1051" s="283"/>
      <c r="AB1051" s="283"/>
      <c r="AC1051" s="283"/>
      <c r="AD1051" s="283"/>
      <c r="AE1051" s="283"/>
      <c r="AF1051" s="283"/>
      <c r="AG1051" s="285" t="s">
        <v>115</v>
      </c>
      <c r="AH1051" s="205" t="s">
        <v>2749</v>
      </c>
      <c r="AI1051" s="285" t="s">
        <v>2750</v>
      </c>
      <c r="AJ1051" s="225"/>
      <c r="AK1051" s="225"/>
      <c r="AL1051" s="24"/>
    </row>
    <row r="1052" spans="1:38" ht="12.75" customHeight="1">
      <c r="A1052" s="22">
        <v>1050</v>
      </c>
      <c r="B1052" s="24" t="str">
        <f t="shared" si="51"/>
        <v>Home</v>
      </c>
      <c r="C1052" s="24" t="str">
        <f t="shared" si="3"/>
        <v>Input Option</v>
      </c>
      <c r="D1052" s="24" t="str">
        <f t="shared" si="2"/>
        <v>Planned birth place</v>
      </c>
      <c r="E1052" s="24" t="s">
        <v>2740</v>
      </c>
      <c r="F1052" s="24">
        <v>1</v>
      </c>
      <c r="G1052" s="24" t="s">
        <v>2372</v>
      </c>
      <c r="H1052" s="24"/>
      <c r="I1052" s="283"/>
      <c r="J1052" s="297"/>
      <c r="K1052" s="297"/>
      <c r="L1052" s="297"/>
      <c r="M1052" s="297"/>
      <c r="N1052" s="164" t="s">
        <v>2751</v>
      </c>
      <c r="O1052" s="164"/>
      <c r="P1052" s="164"/>
      <c r="Q1052" s="164"/>
      <c r="R1052" s="283"/>
      <c r="S1052" s="297"/>
      <c r="T1052" s="283"/>
      <c r="U1052" s="283"/>
      <c r="V1052" s="164"/>
      <c r="W1052" s="225"/>
      <c r="X1052" s="283"/>
      <c r="Y1052" s="283"/>
      <c r="Z1052" s="283"/>
      <c r="AA1052" s="283"/>
      <c r="AB1052" s="283"/>
      <c r="AC1052" s="283"/>
      <c r="AD1052" s="283"/>
      <c r="AE1052" s="283"/>
      <c r="AF1052" s="283"/>
      <c r="AG1052" s="285" t="s">
        <v>115</v>
      </c>
      <c r="AH1052" s="205" t="s">
        <v>2752</v>
      </c>
      <c r="AI1052" s="285" t="s">
        <v>2753</v>
      </c>
      <c r="AJ1052" s="225"/>
      <c r="AK1052" s="225"/>
      <c r="AL1052" s="24"/>
    </row>
    <row r="1053" spans="1:38" ht="12.75" customHeight="1">
      <c r="A1053" s="22">
        <v>1051</v>
      </c>
      <c r="B1053" s="24" t="str">
        <f t="shared" si="51"/>
        <v>Other</v>
      </c>
      <c r="C1053" s="24" t="str">
        <f t="shared" si="3"/>
        <v>Input Option</v>
      </c>
      <c r="D1053" s="24" t="str">
        <f t="shared" si="2"/>
        <v>Planned birth place</v>
      </c>
      <c r="E1053" s="24" t="s">
        <v>2740</v>
      </c>
      <c r="F1053" s="24">
        <v>1</v>
      </c>
      <c r="G1053" s="24" t="s">
        <v>2372</v>
      </c>
      <c r="H1053" s="24"/>
      <c r="I1053" s="283"/>
      <c r="J1053" s="297"/>
      <c r="K1053" s="297"/>
      <c r="L1053" s="297"/>
      <c r="M1053" s="297"/>
      <c r="N1053" s="164" t="s">
        <v>1387</v>
      </c>
      <c r="O1053" s="164"/>
      <c r="P1053" s="164"/>
      <c r="Q1053" s="164"/>
      <c r="R1053" s="283"/>
      <c r="S1053" s="297"/>
      <c r="T1053" s="283"/>
      <c r="U1053" s="283"/>
      <c r="V1053" s="164"/>
      <c r="W1053" s="225"/>
      <c r="X1053" s="283"/>
      <c r="Y1053" s="283"/>
      <c r="Z1053" s="283"/>
      <c r="AA1053" s="283"/>
      <c r="AB1053" s="283"/>
      <c r="AC1053" s="283"/>
      <c r="AD1053" s="283"/>
      <c r="AE1053" s="283"/>
      <c r="AF1053" s="283"/>
      <c r="AG1053" s="285" t="s">
        <v>115</v>
      </c>
      <c r="AH1053" s="205" t="s">
        <v>406</v>
      </c>
      <c r="AI1053" s="205" t="s">
        <v>407</v>
      </c>
      <c r="AJ1053" s="225"/>
      <c r="AK1053" s="225"/>
      <c r="AL1053" s="24"/>
    </row>
    <row r="1054" spans="1:38" ht="12.75" customHeight="1">
      <c r="A1054" s="22">
        <v>1052</v>
      </c>
      <c r="B1054" s="24" t="str">
        <f t="shared" si="51"/>
        <v>Birth preparedness and complications readiness counseling</v>
      </c>
      <c r="C1054" s="24" t="str">
        <f t="shared" si="3"/>
        <v>Data Element</v>
      </c>
      <c r="D1054" s="24" t="str">
        <f t="shared" si="2"/>
        <v/>
      </c>
      <c r="E1054" s="24" t="s">
        <v>2740</v>
      </c>
      <c r="F1054" s="24">
        <v>1</v>
      </c>
      <c r="G1054" s="24" t="s">
        <v>2372</v>
      </c>
      <c r="H1054" s="24"/>
      <c r="I1054" s="283"/>
      <c r="J1054" s="164" t="s">
        <v>2754</v>
      </c>
      <c r="K1054" s="164" t="s">
        <v>2755</v>
      </c>
      <c r="L1054" s="164"/>
      <c r="M1054" s="204" t="s">
        <v>202</v>
      </c>
      <c r="N1054" s="164"/>
      <c r="O1054" s="164"/>
      <c r="P1054" s="164"/>
      <c r="Q1054" s="164"/>
      <c r="R1054" s="283"/>
      <c r="S1054" s="164" t="s">
        <v>208</v>
      </c>
      <c r="T1054" s="283"/>
      <c r="U1054" s="283"/>
      <c r="V1054" s="164" t="s">
        <v>1277</v>
      </c>
      <c r="W1054" s="225"/>
      <c r="X1054" s="283"/>
      <c r="Y1054" s="283"/>
      <c r="Z1054" s="283"/>
      <c r="AA1054" s="283"/>
      <c r="AB1054" s="283"/>
      <c r="AC1054" s="283"/>
      <c r="AD1054" s="283"/>
      <c r="AE1054" s="283"/>
      <c r="AF1054" s="283"/>
      <c r="AG1054" s="285" t="s">
        <v>2757</v>
      </c>
      <c r="AH1054" s="285" t="s">
        <v>2398</v>
      </c>
      <c r="AI1054" s="285" t="s">
        <v>2399</v>
      </c>
      <c r="AJ1054" s="225"/>
      <c r="AK1054" s="225"/>
      <c r="AL1054" s="24"/>
    </row>
    <row r="1055" spans="1:38" ht="12.75" customHeight="1">
      <c r="A1055" s="22">
        <v>1053</v>
      </c>
      <c r="B1055" s="24" t="str">
        <f t="shared" si="51"/>
        <v>Done</v>
      </c>
      <c r="C1055" s="24" t="str">
        <f t="shared" si="3"/>
        <v>Input Option</v>
      </c>
      <c r="D1055" s="24" t="str">
        <f t="shared" si="2"/>
        <v>Birth preparedness and complications readiness counseling</v>
      </c>
      <c r="E1055" s="24" t="s">
        <v>2740</v>
      </c>
      <c r="F1055" s="24">
        <v>1</v>
      </c>
      <c r="G1055" s="24" t="s">
        <v>2372</v>
      </c>
      <c r="H1055" s="24"/>
      <c r="I1055" s="283"/>
      <c r="J1055" s="297"/>
      <c r="K1055" s="297"/>
      <c r="L1055" s="297"/>
      <c r="M1055" s="234"/>
      <c r="N1055" s="164" t="s">
        <v>1673</v>
      </c>
      <c r="O1055" s="164"/>
      <c r="P1055" s="164"/>
      <c r="Q1055" s="164"/>
      <c r="R1055" s="283"/>
      <c r="S1055" s="164"/>
      <c r="T1055" s="283"/>
      <c r="U1055" s="283"/>
      <c r="V1055" s="164"/>
      <c r="W1055" s="225"/>
      <c r="X1055" s="283"/>
      <c r="Y1055" s="283"/>
      <c r="Z1055" s="283"/>
      <c r="AA1055" s="283"/>
      <c r="AB1055" s="283"/>
      <c r="AC1055" s="283"/>
      <c r="AD1055" s="283"/>
      <c r="AE1055" s="283"/>
      <c r="AF1055" s="283"/>
      <c r="AG1055" s="285" t="s">
        <v>115</v>
      </c>
      <c r="AH1055" s="285" t="s">
        <v>942</v>
      </c>
      <c r="AI1055" s="205" t="s">
        <v>943</v>
      </c>
      <c r="AJ1055" s="225"/>
      <c r="AK1055" s="225"/>
      <c r="AL1055" s="24"/>
    </row>
    <row r="1056" spans="1:38" ht="12.75" customHeight="1">
      <c r="A1056" s="22">
        <v>1054</v>
      </c>
      <c r="B1056" s="24" t="str">
        <f t="shared" si="51"/>
        <v>Not done</v>
      </c>
      <c r="C1056" s="24" t="str">
        <f t="shared" si="3"/>
        <v>Input Option</v>
      </c>
      <c r="D1056" s="24" t="str">
        <f t="shared" si="2"/>
        <v>Birth preparedness and complications readiness counseling</v>
      </c>
      <c r="E1056" s="24" t="s">
        <v>2740</v>
      </c>
      <c r="F1056" s="24">
        <v>1</v>
      </c>
      <c r="G1056" s="24" t="s">
        <v>2372</v>
      </c>
      <c r="H1056" s="24"/>
      <c r="I1056" s="283"/>
      <c r="J1056" s="297"/>
      <c r="K1056" s="297"/>
      <c r="L1056" s="297"/>
      <c r="M1056" s="234"/>
      <c r="N1056" s="164" t="s">
        <v>1468</v>
      </c>
      <c r="O1056" s="164"/>
      <c r="P1056" s="164"/>
      <c r="Q1056" s="164"/>
      <c r="R1056" s="283"/>
      <c r="S1056" s="164"/>
      <c r="T1056" s="283"/>
      <c r="U1056" s="283"/>
      <c r="V1056" s="164"/>
      <c r="W1056" s="225"/>
      <c r="X1056" s="283"/>
      <c r="Y1056" s="283"/>
      <c r="Z1056" s="283"/>
      <c r="AA1056" s="283"/>
      <c r="AB1056" s="283"/>
      <c r="AC1056" s="283"/>
      <c r="AD1056" s="283"/>
      <c r="AE1056" s="283"/>
      <c r="AF1056" s="283"/>
      <c r="AG1056" s="285" t="s">
        <v>115</v>
      </c>
      <c r="AH1056" s="285" t="s">
        <v>1469</v>
      </c>
      <c r="AI1056" s="205" t="s">
        <v>1470</v>
      </c>
      <c r="AJ1056" s="225"/>
      <c r="AK1056" s="225"/>
      <c r="AL1056" s="24"/>
    </row>
    <row r="1057" spans="1:38" ht="12.75" customHeight="1">
      <c r="A1057" s="22">
        <v>1055</v>
      </c>
      <c r="B1057" s="24" t="str">
        <f t="shared" si="51"/>
        <v>Rh factor negative counseling</v>
      </c>
      <c r="C1057" s="24" t="str">
        <f t="shared" si="3"/>
        <v>Data Element</v>
      </c>
      <c r="D1057" s="24" t="str">
        <f t="shared" si="2"/>
        <v/>
      </c>
      <c r="E1057" s="24" t="s">
        <v>2740</v>
      </c>
      <c r="F1057" s="24">
        <v>1</v>
      </c>
      <c r="G1057" s="24" t="s">
        <v>2372</v>
      </c>
      <c r="H1057" s="24"/>
      <c r="I1057" s="283"/>
      <c r="J1057" s="297" t="s">
        <v>2759</v>
      </c>
      <c r="K1057" s="297" t="s">
        <v>2760</v>
      </c>
      <c r="L1057" s="297"/>
      <c r="M1057" s="234" t="s">
        <v>202</v>
      </c>
      <c r="N1057" s="164"/>
      <c r="O1057" s="164"/>
      <c r="P1057" s="164"/>
      <c r="Q1057" s="164"/>
      <c r="R1057" s="283"/>
      <c r="S1057" s="164" t="s">
        <v>208</v>
      </c>
      <c r="T1057" s="283"/>
      <c r="U1057" s="283"/>
      <c r="V1057" s="164" t="s">
        <v>1277</v>
      </c>
      <c r="W1057" s="225"/>
      <c r="X1057" s="283"/>
      <c r="Y1057" s="283"/>
      <c r="Z1057" s="283"/>
      <c r="AA1057" s="283"/>
      <c r="AB1057" s="283"/>
      <c r="AC1057" s="283"/>
      <c r="AD1057" s="283"/>
      <c r="AE1057" s="283"/>
      <c r="AF1057" s="283"/>
      <c r="AG1057" s="285" t="s">
        <v>2761</v>
      </c>
      <c r="AH1057" s="285" t="s">
        <v>2398</v>
      </c>
      <c r="AI1057" s="285" t="s">
        <v>2399</v>
      </c>
      <c r="AJ1057" s="225"/>
      <c r="AK1057" s="225"/>
      <c r="AL1057" s="24"/>
    </row>
    <row r="1058" spans="1:38" ht="12.75" customHeight="1">
      <c r="A1058" s="22">
        <v>1056</v>
      </c>
      <c r="B1058" s="24" t="str">
        <f t="shared" si="51"/>
        <v>Done</v>
      </c>
      <c r="C1058" s="24" t="str">
        <f t="shared" si="3"/>
        <v>Input Option</v>
      </c>
      <c r="D1058" s="24" t="str">
        <f t="shared" si="2"/>
        <v>Rh factor negative counseling</v>
      </c>
      <c r="E1058" s="24" t="s">
        <v>2740</v>
      </c>
      <c r="F1058" s="24">
        <v>1</v>
      </c>
      <c r="G1058" s="24" t="s">
        <v>2372</v>
      </c>
      <c r="H1058" s="24"/>
      <c r="I1058" s="283"/>
      <c r="J1058" s="297"/>
      <c r="K1058" s="297"/>
      <c r="L1058" s="297"/>
      <c r="M1058" s="234"/>
      <c r="N1058" s="164" t="s">
        <v>1673</v>
      </c>
      <c r="O1058" s="164"/>
      <c r="P1058" s="164"/>
      <c r="Q1058" s="164"/>
      <c r="R1058" s="283"/>
      <c r="S1058" s="164"/>
      <c r="T1058" s="283"/>
      <c r="U1058" s="283"/>
      <c r="V1058" s="164"/>
      <c r="W1058" s="225"/>
      <c r="X1058" s="283"/>
      <c r="Y1058" s="283"/>
      <c r="Z1058" s="283"/>
      <c r="AA1058" s="283"/>
      <c r="AB1058" s="283"/>
      <c r="AC1058" s="283"/>
      <c r="AD1058" s="283"/>
      <c r="AE1058" s="283"/>
      <c r="AF1058" s="283"/>
      <c r="AG1058" s="285" t="s">
        <v>115</v>
      </c>
      <c r="AH1058" s="285" t="s">
        <v>942</v>
      </c>
      <c r="AI1058" s="205" t="s">
        <v>943</v>
      </c>
      <c r="AJ1058" s="225"/>
      <c r="AK1058" s="225"/>
      <c r="AL1058" s="24"/>
    </row>
    <row r="1059" spans="1:38" ht="12.75" customHeight="1">
      <c r="A1059" s="22">
        <v>1057</v>
      </c>
      <c r="B1059" s="24" t="str">
        <f t="shared" si="51"/>
        <v>Not done</v>
      </c>
      <c r="C1059" s="24" t="str">
        <f t="shared" si="3"/>
        <v>Input Option</v>
      </c>
      <c r="D1059" s="24" t="str">
        <f t="shared" si="2"/>
        <v>Rh factor negative counseling</v>
      </c>
      <c r="E1059" s="24" t="s">
        <v>2740</v>
      </c>
      <c r="F1059" s="24">
        <v>1</v>
      </c>
      <c r="G1059" s="24" t="s">
        <v>2372</v>
      </c>
      <c r="H1059" s="24"/>
      <c r="I1059" s="283"/>
      <c r="J1059" s="297"/>
      <c r="K1059" s="297"/>
      <c r="L1059" s="297"/>
      <c r="M1059" s="234"/>
      <c r="N1059" s="164" t="s">
        <v>1468</v>
      </c>
      <c r="O1059" s="164"/>
      <c r="P1059" s="164"/>
      <c r="Q1059" s="164"/>
      <c r="R1059" s="283"/>
      <c r="S1059" s="164"/>
      <c r="T1059" s="283"/>
      <c r="U1059" s="283"/>
      <c r="V1059" s="164"/>
      <c r="W1059" s="225"/>
      <c r="X1059" s="283"/>
      <c r="Y1059" s="283"/>
      <c r="Z1059" s="283"/>
      <c r="AA1059" s="283"/>
      <c r="AB1059" s="283"/>
      <c r="AC1059" s="283"/>
      <c r="AD1059" s="283"/>
      <c r="AE1059" s="283"/>
      <c r="AF1059" s="283"/>
      <c r="AG1059" s="285" t="s">
        <v>115</v>
      </c>
      <c r="AH1059" s="285" t="s">
        <v>1469</v>
      </c>
      <c r="AI1059" s="205" t="s">
        <v>1470</v>
      </c>
      <c r="AJ1059" s="225"/>
      <c r="AK1059" s="225"/>
      <c r="AL1059" s="24"/>
    </row>
    <row r="1060" spans="1:38" ht="12.75" customHeight="1">
      <c r="A1060" s="22">
        <v>1058</v>
      </c>
      <c r="B1060" s="24" t="str">
        <f t="shared" si="51"/>
        <v>Intrapartum antibiotic to prevent early neonatal Group B Streptococcus (GBS) infection counseling</v>
      </c>
      <c r="C1060" s="24" t="str">
        <f t="shared" si="3"/>
        <v>Data Element</v>
      </c>
      <c r="D1060" s="24" t="str">
        <f t="shared" si="2"/>
        <v/>
      </c>
      <c r="E1060" s="24" t="s">
        <v>2740</v>
      </c>
      <c r="F1060" s="24">
        <v>1</v>
      </c>
      <c r="G1060" s="24" t="s">
        <v>2372</v>
      </c>
      <c r="H1060" s="24"/>
      <c r="I1060" s="283"/>
      <c r="J1060" s="164" t="s">
        <v>2762</v>
      </c>
      <c r="K1060" s="164" t="s">
        <v>2763</v>
      </c>
      <c r="L1060" s="164"/>
      <c r="M1060" s="164" t="s">
        <v>202</v>
      </c>
      <c r="N1060" s="164"/>
      <c r="O1060" s="164"/>
      <c r="P1060" s="164"/>
      <c r="Q1060" s="164"/>
      <c r="R1060" s="283"/>
      <c r="S1060" s="164" t="s">
        <v>208</v>
      </c>
      <c r="T1060" s="283"/>
      <c r="U1060" s="283"/>
      <c r="V1060" s="164" t="s">
        <v>1277</v>
      </c>
      <c r="W1060" s="225"/>
      <c r="X1060" s="283"/>
      <c r="Y1060" s="283"/>
      <c r="Z1060" s="283"/>
      <c r="AA1060" s="283"/>
      <c r="AB1060" s="283"/>
      <c r="AC1060" s="283"/>
      <c r="AD1060" s="283"/>
      <c r="AE1060" s="283"/>
      <c r="AF1060" s="283"/>
      <c r="AG1060" s="285" t="s">
        <v>2765</v>
      </c>
      <c r="AH1060" s="285" t="s">
        <v>2398</v>
      </c>
      <c r="AI1060" s="285" t="s">
        <v>2399</v>
      </c>
      <c r="AJ1060" s="225"/>
      <c r="AK1060" s="225"/>
      <c r="AL1060" s="24"/>
    </row>
    <row r="1061" spans="1:38" ht="12.75" customHeight="1">
      <c r="A1061" s="22">
        <v>1059</v>
      </c>
      <c r="B1061" s="24" t="str">
        <f t="shared" si="51"/>
        <v>Done</v>
      </c>
      <c r="C1061" s="24" t="str">
        <f t="shared" si="3"/>
        <v>Input Option</v>
      </c>
      <c r="D1061" s="24" t="str">
        <f t="shared" si="2"/>
        <v>Intrapartum antibiotic to prevent early neonatal Group B Streptococcus (GBS) infection counseling</v>
      </c>
      <c r="E1061" s="24" t="s">
        <v>2740</v>
      </c>
      <c r="F1061" s="24">
        <v>1</v>
      </c>
      <c r="G1061" s="24" t="s">
        <v>2372</v>
      </c>
      <c r="H1061" s="24"/>
      <c r="I1061" s="283"/>
      <c r="J1061" s="164"/>
      <c r="K1061" s="164"/>
      <c r="L1061" s="164"/>
      <c r="M1061" s="164"/>
      <c r="N1061" s="164" t="s">
        <v>1673</v>
      </c>
      <c r="O1061" s="164"/>
      <c r="P1061" s="164"/>
      <c r="Q1061" s="164"/>
      <c r="R1061" s="283"/>
      <c r="S1061" s="164"/>
      <c r="T1061" s="283"/>
      <c r="U1061" s="283"/>
      <c r="V1061" s="164"/>
      <c r="W1061" s="225"/>
      <c r="X1061" s="283"/>
      <c r="Y1061" s="283"/>
      <c r="Z1061" s="283"/>
      <c r="AA1061" s="283"/>
      <c r="AB1061" s="283"/>
      <c r="AC1061" s="283"/>
      <c r="AD1061" s="283"/>
      <c r="AE1061" s="283"/>
      <c r="AF1061" s="283"/>
      <c r="AG1061" s="285" t="s">
        <v>115</v>
      </c>
      <c r="AH1061" s="285" t="s">
        <v>942</v>
      </c>
      <c r="AI1061" s="205" t="s">
        <v>943</v>
      </c>
      <c r="AJ1061" s="225"/>
      <c r="AK1061" s="225"/>
      <c r="AL1061" s="24"/>
    </row>
    <row r="1062" spans="1:38" ht="12.75" customHeight="1">
      <c r="A1062" s="22">
        <v>1060</v>
      </c>
      <c r="B1062" s="24" t="str">
        <f t="shared" si="51"/>
        <v>Not done</v>
      </c>
      <c r="C1062" s="24" t="str">
        <f t="shared" si="3"/>
        <v>Input Option</v>
      </c>
      <c r="D1062" s="24" t="str">
        <f t="shared" si="2"/>
        <v>Intrapartum antibiotic to prevent early neonatal Group B Streptococcus (GBS) infection counseling</v>
      </c>
      <c r="E1062" s="24" t="s">
        <v>2740</v>
      </c>
      <c r="F1062" s="24">
        <v>1</v>
      </c>
      <c r="G1062" s="24" t="s">
        <v>2372</v>
      </c>
      <c r="H1062" s="24"/>
      <c r="I1062" s="283"/>
      <c r="J1062" s="164"/>
      <c r="K1062" s="164"/>
      <c r="L1062" s="164"/>
      <c r="M1062" s="164"/>
      <c r="N1062" s="164" t="s">
        <v>1468</v>
      </c>
      <c r="O1062" s="164"/>
      <c r="P1062" s="164"/>
      <c r="Q1062" s="164"/>
      <c r="R1062" s="283"/>
      <c r="S1062" s="164"/>
      <c r="T1062" s="283"/>
      <c r="U1062" s="283"/>
      <c r="V1062" s="164"/>
      <c r="W1062" s="225"/>
      <c r="X1062" s="283"/>
      <c r="Y1062" s="283"/>
      <c r="Z1062" s="283"/>
      <c r="AA1062" s="283"/>
      <c r="AB1062" s="283"/>
      <c r="AC1062" s="283"/>
      <c r="AD1062" s="283"/>
      <c r="AE1062" s="283"/>
      <c r="AF1062" s="283"/>
      <c r="AG1062" s="285" t="s">
        <v>115</v>
      </c>
      <c r="AH1062" s="285" t="s">
        <v>1469</v>
      </c>
      <c r="AI1062" s="205" t="s">
        <v>1470</v>
      </c>
      <c r="AJ1062" s="225"/>
      <c r="AK1062" s="225"/>
      <c r="AL1062" s="24"/>
    </row>
    <row r="1063" spans="1:38" ht="12.75" customHeight="1">
      <c r="A1063" s="22">
        <v>1061</v>
      </c>
      <c r="B1063" s="24" t="str">
        <f t="shared" si="51"/>
        <v xml:space="preserve">Postpartum family planning counseling </v>
      </c>
      <c r="C1063" s="24" t="str">
        <f t="shared" si="3"/>
        <v>Data Element</v>
      </c>
      <c r="D1063" s="24" t="str">
        <f t="shared" si="2"/>
        <v/>
      </c>
      <c r="E1063" s="24" t="s">
        <v>2768</v>
      </c>
      <c r="F1063" s="24">
        <v>1</v>
      </c>
      <c r="G1063" s="24" t="s">
        <v>2372</v>
      </c>
      <c r="H1063" s="24"/>
      <c r="I1063" s="283"/>
      <c r="J1063" s="164" t="s">
        <v>2767</v>
      </c>
      <c r="K1063" s="297" t="s">
        <v>2769</v>
      </c>
      <c r="L1063" s="164"/>
      <c r="M1063" s="164" t="s">
        <v>202</v>
      </c>
      <c r="N1063" s="164"/>
      <c r="O1063" s="164"/>
      <c r="P1063" s="164"/>
      <c r="Q1063" s="164"/>
      <c r="R1063" s="283"/>
      <c r="S1063" s="164" t="s">
        <v>113</v>
      </c>
      <c r="T1063" s="283"/>
      <c r="U1063" s="283"/>
      <c r="V1063" s="164" t="s">
        <v>2770</v>
      </c>
      <c r="W1063" s="225"/>
      <c r="X1063" s="283"/>
      <c r="Y1063" s="283"/>
      <c r="Z1063" s="283"/>
      <c r="AA1063" s="283"/>
      <c r="AB1063" s="283"/>
      <c r="AC1063" s="283"/>
      <c r="AD1063" s="283"/>
      <c r="AE1063" s="283"/>
      <c r="AF1063" s="283"/>
      <c r="AG1063" s="285" t="s">
        <v>2771</v>
      </c>
      <c r="AH1063" s="285" t="s">
        <v>2398</v>
      </c>
      <c r="AI1063" s="285" t="s">
        <v>2399</v>
      </c>
      <c r="AJ1063" s="225"/>
      <c r="AK1063" s="225"/>
      <c r="AL1063" s="24"/>
    </row>
    <row r="1064" spans="1:38" ht="12.75" customHeight="1">
      <c r="A1064" s="22">
        <v>1062</v>
      </c>
      <c r="B1064" s="24" t="str">
        <f t="shared" si="51"/>
        <v>Done</v>
      </c>
      <c r="C1064" s="24" t="str">
        <f t="shared" si="3"/>
        <v>Input Option</v>
      </c>
      <c r="D1064" s="24" t="str">
        <f t="shared" si="2"/>
        <v xml:space="preserve">Postpartum family planning counseling </v>
      </c>
      <c r="E1064" s="24" t="s">
        <v>2768</v>
      </c>
      <c r="F1064" s="24">
        <v>1</v>
      </c>
      <c r="G1064" s="24" t="s">
        <v>2372</v>
      </c>
      <c r="H1064" s="24"/>
      <c r="I1064" s="283"/>
      <c r="J1064" s="204"/>
      <c r="K1064" s="204"/>
      <c r="L1064" s="196"/>
      <c r="M1064" s="204"/>
      <c r="N1064" s="164" t="s">
        <v>1673</v>
      </c>
      <c r="O1064" s="196"/>
      <c r="P1064" s="196"/>
      <c r="Q1064" s="196"/>
      <c r="R1064" s="283"/>
      <c r="S1064" s="204"/>
      <c r="T1064" s="283"/>
      <c r="U1064" s="283"/>
      <c r="V1064" s="164"/>
      <c r="W1064" s="225"/>
      <c r="X1064" s="283"/>
      <c r="Y1064" s="283"/>
      <c r="Z1064" s="283"/>
      <c r="AA1064" s="283"/>
      <c r="AB1064" s="283"/>
      <c r="AC1064" s="283"/>
      <c r="AD1064" s="283"/>
      <c r="AE1064" s="283"/>
      <c r="AF1064" s="283"/>
      <c r="AG1064" s="285" t="s">
        <v>115</v>
      </c>
      <c r="AH1064" s="285" t="s">
        <v>942</v>
      </c>
      <c r="AI1064" s="205" t="s">
        <v>943</v>
      </c>
      <c r="AJ1064" s="225"/>
      <c r="AK1064" s="225"/>
      <c r="AL1064" s="24"/>
    </row>
    <row r="1065" spans="1:38" ht="12.75" customHeight="1">
      <c r="A1065" s="22">
        <v>1063</v>
      </c>
      <c r="B1065" s="24" t="str">
        <f t="shared" si="51"/>
        <v>Not done</v>
      </c>
      <c r="C1065" s="24" t="str">
        <f t="shared" si="3"/>
        <v>Input Option</v>
      </c>
      <c r="D1065" s="24" t="str">
        <f t="shared" si="2"/>
        <v xml:space="preserve">Postpartum family planning counseling </v>
      </c>
      <c r="E1065" s="24" t="s">
        <v>2768</v>
      </c>
      <c r="F1065" s="24">
        <v>1</v>
      </c>
      <c r="G1065" s="24" t="s">
        <v>2372</v>
      </c>
      <c r="H1065" s="24"/>
      <c r="I1065" s="283"/>
      <c r="J1065" s="204"/>
      <c r="K1065" s="204"/>
      <c r="L1065" s="196"/>
      <c r="M1065" s="204"/>
      <c r="N1065" s="164" t="s">
        <v>1468</v>
      </c>
      <c r="O1065" s="196"/>
      <c r="P1065" s="196"/>
      <c r="Q1065" s="196"/>
      <c r="R1065" s="283"/>
      <c r="S1065" s="204"/>
      <c r="T1065" s="283"/>
      <c r="U1065" s="283"/>
      <c r="V1065" s="164"/>
      <c r="W1065" s="225"/>
      <c r="X1065" s="283"/>
      <c r="Y1065" s="283"/>
      <c r="Z1065" s="283"/>
      <c r="AA1065" s="283"/>
      <c r="AB1065" s="283"/>
      <c r="AC1065" s="283"/>
      <c r="AD1065" s="283"/>
      <c r="AE1065" s="283"/>
      <c r="AF1065" s="283"/>
      <c r="AG1065" s="285" t="s">
        <v>115</v>
      </c>
      <c r="AH1065" s="285" t="s">
        <v>1469</v>
      </c>
      <c r="AI1065" s="205" t="s">
        <v>1470</v>
      </c>
      <c r="AJ1065" s="225"/>
      <c r="AK1065" s="225"/>
      <c r="AL1065" s="24"/>
    </row>
    <row r="1066" spans="1:38" ht="12.75" customHeight="1">
      <c r="A1066" s="22">
        <v>1064</v>
      </c>
      <c r="B1066" s="24" t="str">
        <f t="shared" si="51"/>
        <v>FP method accepted</v>
      </c>
      <c r="C1066" s="24" t="str">
        <f t="shared" si="3"/>
        <v>Data Element</v>
      </c>
      <c r="D1066" s="24" t="str">
        <f t="shared" si="2"/>
        <v/>
      </c>
      <c r="E1066" s="24" t="s">
        <v>2768</v>
      </c>
      <c r="F1066" s="24">
        <v>1</v>
      </c>
      <c r="G1066" s="24" t="s">
        <v>2372</v>
      </c>
      <c r="H1066" s="24"/>
      <c r="I1066" s="283"/>
      <c r="J1066" s="204" t="s">
        <v>2773</v>
      </c>
      <c r="K1066" s="204" t="s">
        <v>2774</v>
      </c>
      <c r="L1066" s="196"/>
      <c r="M1066" s="204" t="s">
        <v>202</v>
      </c>
      <c r="N1066" s="196"/>
      <c r="O1066" s="196"/>
      <c r="P1066" s="196"/>
      <c r="Q1066" s="196"/>
      <c r="R1066" s="283"/>
      <c r="S1066" s="204" t="s">
        <v>208</v>
      </c>
      <c r="T1066" s="283"/>
      <c r="U1066" s="283"/>
      <c r="V1066" s="164" t="s">
        <v>2770</v>
      </c>
      <c r="W1066" s="225"/>
      <c r="X1066" s="283"/>
      <c r="Y1066" s="283"/>
      <c r="Z1066" s="283"/>
      <c r="AA1066" s="283"/>
      <c r="AB1066" s="283"/>
      <c r="AC1066" s="283"/>
      <c r="AD1066" s="283"/>
      <c r="AE1066" s="283"/>
      <c r="AF1066" s="283"/>
      <c r="AG1066" s="205" t="s">
        <v>115</v>
      </c>
      <c r="AH1066" s="205" t="s">
        <v>2776</v>
      </c>
      <c r="AI1066" s="205" t="s">
        <v>2777</v>
      </c>
      <c r="AJ1066" s="225"/>
      <c r="AK1066" s="225"/>
      <c r="AL1066" s="24"/>
    </row>
    <row r="1067" spans="1:38" ht="12.75" customHeight="1">
      <c r="A1067" s="22">
        <v>1065</v>
      </c>
      <c r="B1067" s="24" t="str">
        <f t="shared" si="51"/>
        <v>Oral contraceptive</v>
      </c>
      <c r="C1067" s="24" t="str">
        <f t="shared" si="3"/>
        <v>Input Option</v>
      </c>
      <c r="D1067" s="24" t="str">
        <f t="shared" si="2"/>
        <v>FP method accepted</v>
      </c>
      <c r="E1067" s="24" t="s">
        <v>2768</v>
      </c>
      <c r="F1067" s="24">
        <v>1</v>
      </c>
      <c r="G1067" s="24" t="s">
        <v>2372</v>
      </c>
      <c r="H1067" s="24"/>
      <c r="I1067" s="283"/>
      <c r="J1067" s="164"/>
      <c r="K1067" s="164"/>
      <c r="L1067" s="164"/>
      <c r="M1067" s="164"/>
      <c r="N1067" s="196" t="s">
        <v>2778</v>
      </c>
      <c r="O1067" s="164"/>
      <c r="P1067" s="164"/>
      <c r="Q1067" s="164"/>
      <c r="R1067" s="283"/>
      <c r="S1067" s="164"/>
      <c r="T1067" s="283"/>
      <c r="U1067" s="283"/>
      <c r="V1067" s="164"/>
      <c r="W1067" s="225"/>
      <c r="X1067" s="283"/>
      <c r="Y1067" s="283"/>
      <c r="Z1067" s="283"/>
      <c r="AA1067" s="283"/>
      <c r="AB1067" s="283"/>
      <c r="AC1067" s="283"/>
      <c r="AD1067" s="283"/>
      <c r="AE1067" s="283"/>
      <c r="AF1067" s="283"/>
      <c r="AG1067" s="205" t="s">
        <v>115</v>
      </c>
      <c r="AH1067" s="205" t="s">
        <v>2779</v>
      </c>
      <c r="AI1067" s="285" t="s">
        <v>2780</v>
      </c>
      <c r="AJ1067" s="225"/>
      <c r="AK1067" s="225"/>
      <c r="AL1067" s="24"/>
    </row>
    <row r="1068" spans="1:38" ht="12.75" customHeight="1">
      <c r="A1068" s="22">
        <v>1066</v>
      </c>
      <c r="B1068" s="24" t="str">
        <f t="shared" si="51"/>
        <v>Injectable</v>
      </c>
      <c r="C1068" s="24" t="str">
        <f t="shared" si="3"/>
        <v>Input Option</v>
      </c>
      <c r="D1068" s="24" t="str">
        <f t="shared" si="2"/>
        <v>FP method accepted</v>
      </c>
      <c r="E1068" s="24" t="s">
        <v>2768</v>
      </c>
      <c r="F1068" s="24">
        <v>1</v>
      </c>
      <c r="G1068" s="24" t="s">
        <v>2372</v>
      </c>
      <c r="H1068" s="24"/>
      <c r="I1068" s="283"/>
      <c r="J1068" s="164"/>
      <c r="K1068" s="164"/>
      <c r="L1068" s="164"/>
      <c r="M1068" s="164"/>
      <c r="N1068" s="224" t="s">
        <v>2781</v>
      </c>
      <c r="O1068" s="164"/>
      <c r="P1068" s="164"/>
      <c r="Q1068" s="164"/>
      <c r="R1068" s="283"/>
      <c r="S1068" s="164"/>
      <c r="T1068" s="283"/>
      <c r="U1068" s="283"/>
      <c r="V1068" s="164"/>
      <c r="W1068" s="225"/>
      <c r="X1068" s="283"/>
      <c r="Y1068" s="283"/>
      <c r="Z1068" s="283"/>
      <c r="AA1068" s="283"/>
      <c r="AB1068" s="283"/>
      <c r="AC1068" s="283"/>
      <c r="AD1068" s="283"/>
      <c r="AE1068" s="283"/>
      <c r="AF1068" s="283"/>
      <c r="AG1068" s="205" t="s">
        <v>115</v>
      </c>
      <c r="AH1068" s="205" t="s">
        <v>2783</v>
      </c>
      <c r="AI1068" s="285" t="s">
        <v>2784</v>
      </c>
      <c r="AJ1068" s="225"/>
      <c r="AK1068" s="225"/>
      <c r="AL1068" s="24"/>
    </row>
    <row r="1069" spans="1:38" ht="12.75" customHeight="1">
      <c r="A1069" s="22">
        <v>1067</v>
      </c>
      <c r="B1069" s="24" t="str">
        <f t="shared" si="51"/>
        <v>Implant</v>
      </c>
      <c r="C1069" s="24" t="str">
        <f t="shared" si="3"/>
        <v>Input Option</v>
      </c>
      <c r="D1069" s="24" t="str">
        <f t="shared" si="2"/>
        <v>FP method accepted</v>
      </c>
      <c r="E1069" s="24" t="s">
        <v>2768</v>
      </c>
      <c r="F1069" s="24">
        <v>1</v>
      </c>
      <c r="G1069" s="24" t="s">
        <v>2372</v>
      </c>
      <c r="H1069" s="24"/>
      <c r="I1069" s="283"/>
      <c r="J1069" s="164"/>
      <c r="K1069" s="164"/>
      <c r="L1069" s="164"/>
      <c r="M1069" s="164"/>
      <c r="N1069" s="224" t="s">
        <v>2785</v>
      </c>
      <c r="O1069" s="164"/>
      <c r="P1069" s="164"/>
      <c r="Q1069" s="164"/>
      <c r="R1069" s="283"/>
      <c r="S1069" s="164"/>
      <c r="T1069" s="283"/>
      <c r="U1069" s="283"/>
      <c r="V1069" s="164"/>
      <c r="W1069" s="225"/>
      <c r="X1069" s="283"/>
      <c r="Y1069" s="283"/>
      <c r="Z1069" s="283"/>
      <c r="AA1069" s="283"/>
      <c r="AB1069" s="283"/>
      <c r="AC1069" s="283"/>
      <c r="AD1069" s="283"/>
      <c r="AE1069" s="283"/>
      <c r="AF1069" s="283"/>
      <c r="AG1069" s="205" t="s">
        <v>115</v>
      </c>
      <c r="AH1069" s="205" t="s">
        <v>2786</v>
      </c>
      <c r="AI1069" s="285" t="s">
        <v>2787</v>
      </c>
      <c r="AJ1069" s="225"/>
      <c r="AK1069" s="225"/>
      <c r="AL1069" s="24"/>
    </row>
    <row r="1070" spans="1:38" ht="12.75" customHeight="1">
      <c r="A1070" s="22">
        <v>1068</v>
      </c>
      <c r="B1070" s="24" t="str">
        <f t="shared" si="51"/>
        <v>IUD</v>
      </c>
      <c r="C1070" s="24" t="str">
        <f t="shared" si="3"/>
        <v>Input Option</v>
      </c>
      <c r="D1070" s="24" t="str">
        <f t="shared" si="2"/>
        <v>FP method accepted</v>
      </c>
      <c r="E1070" s="24" t="s">
        <v>2768</v>
      </c>
      <c r="F1070" s="24">
        <v>1</v>
      </c>
      <c r="G1070" s="24" t="s">
        <v>2372</v>
      </c>
      <c r="H1070" s="24"/>
      <c r="I1070" s="283"/>
      <c r="J1070" s="164"/>
      <c r="K1070" s="164"/>
      <c r="L1070" s="164"/>
      <c r="M1070" s="164"/>
      <c r="N1070" s="224" t="s">
        <v>2788</v>
      </c>
      <c r="O1070" s="164"/>
      <c r="P1070" s="164"/>
      <c r="Q1070" s="164"/>
      <c r="R1070" s="283"/>
      <c r="S1070" s="164"/>
      <c r="T1070" s="283"/>
      <c r="U1070" s="283"/>
      <c r="V1070" s="164"/>
      <c r="W1070" s="225"/>
      <c r="X1070" s="283"/>
      <c r="Y1070" s="283"/>
      <c r="Z1070" s="283"/>
      <c r="AA1070" s="283"/>
      <c r="AB1070" s="283"/>
      <c r="AC1070" s="283"/>
      <c r="AD1070" s="283"/>
      <c r="AE1070" s="283"/>
      <c r="AF1070" s="283"/>
      <c r="AG1070" s="205" t="s">
        <v>115</v>
      </c>
      <c r="AH1070" s="205" t="s">
        <v>2790</v>
      </c>
      <c r="AI1070" s="285" t="s">
        <v>2791</v>
      </c>
      <c r="AJ1070" s="225"/>
      <c r="AK1070" s="225"/>
      <c r="AL1070" s="24"/>
    </row>
    <row r="1071" spans="1:38" ht="12.75" customHeight="1">
      <c r="A1071" s="22">
        <v>1069</v>
      </c>
      <c r="B1071" s="24" t="str">
        <f t="shared" si="51"/>
        <v>Vaginal ring</v>
      </c>
      <c r="C1071" s="24" t="str">
        <f t="shared" si="3"/>
        <v>Input Option</v>
      </c>
      <c r="D1071" s="24" t="str">
        <f t="shared" si="2"/>
        <v>FP method accepted</v>
      </c>
      <c r="E1071" s="24" t="s">
        <v>2768</v>
      </c>
      <c r="F1071" s="24">
        <v>1</v>
      </c>
      <c r="G1071" s="24" t="s">
        <v>2372</v>
      </c>
      <c r="H1071" s="24"/>
      <c r="I1071" s="283"/>
      <c r="J1071" s="164"/>
      <c r="K1071" s="164"/>
      <c r="L1071" s="164"/>
      <c r="M1071" s="164"/>
      <c r="N1071" s="224" t="s">
        <v>2792</v>
      </c>
      <c r="O1071" s="164"/>
      <c r="P1071" s="164"/>
      <c r="Q1071" s="164"/>
      <c r="R1071" s="283"/>
      <c r="S1071" s="164"/>
      <c r="T1071" s="283"/>
      <c r="U1071" s="283"/>
      <c r="V1071" s="164"/>
      <c r="W1071" s="225"/>
      <c r="X1071" s="283"/>
      <c r="Y1071" s="283"/>
      <c r="Z1071" s="283"/>
      <c r="AA1071" s="283"/>
      <c r="AB1071" s="283"/>
      <c r="AC1071" s="283"/>
      <c r="AD1071" s="283"/>
      <c r="AE1071" s="283"/>
      <c r="AF1071" s="283"/>
      <c r="AG1071" s="205" t="s">
        <v>115</v>
      </c>
      <c r="AH1071" s="285" t="s">
        <v>2793</v>
      </c>
      <c r="AI1071" s="285" t="s">
        <v>2794</v>
      </c>
      <c r="AJ1071" s="225"/>
      <c r="AK1071" s="225"/>
      <c r="AL1071" s="24"/>
    </row>
    <row r="1072" spans="1:38" ht="12.75" customHeight="1">
      <c r="A1072" s="22">
        <v>1070</v>
      </c>
      <c r="B1072" s="24" t="str">
        <f t="shared" si="51"/>
        <v>Tubal ligation</v>
      </c>
      <c r="C1072" s="24" t="str">
        <f t="shared" si="3"/>
        <v>Input Option</v>
      </c>
      <c r="D1072" s="24" t="str">
        <f t="shared" si="2"/>
        <v>FP method accepted</v>
      </c>
      <c r="E1072" s="24" t="s">
        <v>2768</v>
      </c>
      <c r="F1072" s="24">
        <v>1</v>
      </c>
      <c r="G1072" s="24" t="s">
        <v>2372</v>
      </c>
      <c r="H1072" s="24"/>
      <c r="I1072" s="283"/>
      <c r="J1072" s="164"/>
      <c r="K1072" s="164"/>
      <c r="L1072" s="164"/>
      <c r="M1072" s="164"/>
      <c r="N1072" s="224" t="s">
        <v>2796</v>
      </c>
      <c r="O1072" s="164"/>
      <c r="P1072" s="164"/>
      <c r="Q1072" s="164"/>
      <c r="R1072" s="283"/>
      <c r="S1072" s="164"/>
      <c r="T1072" s="283"/>
      <c r="U1072" s="283"/>
      <c r="V1072" s="164"/>
      <c r="W1072" s="225"/>
      <c r="X1072" s="283"/>
      <c r="Y1072" s="283"/>
      <c r="Z1072" s="283"/>
      <c r="AA1072" s="283"/>
      <c r="AB1072" s="283"/>
      <c r="AC1072" s="283"/>
      <c r="AD1072" s="283"/>
      <c r="AE1072" s="283"/>
      <c r="AF1072" s="283"/>
      <c r="AG1072" s="205" t="s">
        <v>115</v>
      </c>
      <c r="AH1072" s="205" t="s">
        <v>2797</v>
      </c>
      <c r="AI1072" s="285" t="s">
        <v>2798</v>
      </c>
      <c r="AJ1072" s="225"/>
      <c r="AK1072" s="225"/>
      <c r="AL1072" s="24"/>
    </row>
    <row r="1073" spans="1:38" ht="12.75" customHeight="1">
      <c r="A1073" s="22">
        <v>1071</v>
      </c>
      <c r="B1073" s="24" t="str">
        <f t="shared" si="51"/>
        <v>Sterilization (partner)</v>
      </c>
      <c r="C1073" s="24" t="str">
        <f t="shared" si="3"/>
        <v>Input Option</v>
      </c>
      <c r="D1073" s="24" t="str">
        <f t="shared" si="2"/>
        <v>FP method accepted</v>
      </c>
      <c r="E1073" s="24" t="s">
        <v>2768</v>
      </c>
      <c r="F1073" s="24">
        <v>1</v>
      </c>
      <c r="G1073" s="24" t="s">
        <v>2372</v>
      </c>
      <c r="H1073" s="24"/>
      <c r="I1073" s="283"/>
      <c r="J1073" s="164"/>
      <c r="K1073" s="164"/>
      <c r="L1073" s="164"/>
      <c r="M1073" s="164"/>
      <c r="N1073" s="224" t="s">
        <v>2799</v>
      </c>
      <c r="O1073" s="164"/>
      <c r="P1073" s="164"/>
      <c r="Q1073" s="164"/>
      <c r="R1073" s="283"/>
      <c r="S1073" s="164"/>
      <c r="T1073" s="283"/>
      <c r="U1073" s="283"/>
      <c r="V1073" s="164"/>
      <c r="W1073" s="225"/>
      <c r="X1073" s="283"/>
      <c r="Y1073" s="283"/>
      <c r="Z1073" s="283"/>
      <c r="AA1073" s="283"/>
      <c r="AB1073" s="283"/>
      <c r="AC1073" s="283"/>
      <c r="AD1073" s="283"/>
      <c r="AE1073" s="283"/>
      <c r="AF1073" s="283"/>
      <c r="AG1073" s="205" t="s">
        <v>115</v>
      </c>
      <c r="AH1073" s="285" t="s">
        <v>2800</v>
      </c>
      <c r="AI1073" s="285" t="s">
        <v>2801</v>
      </c>
      <c r="AJ1073" s="225"/>
      <c r="AK1073" s="225"/>
      <c r="AL1073" s="24"/>
    </row>
    <row r="1074" spans="1:38" ht="12.75" customHeight="1">
      <c r="A1074" s="22">
        <v>1072</v>
      </c>
      <c r="B1074" s="24" t="str">
        <f t="shared" si="51"/>
        <v>None</v>
      </c>
      <c r="C1074" s="24" t="str">
        <f t="shared" si="3"/>
        <v>Input Option</v>
      </c>
      <c r="D1074" s="24" t="str">
        <f t="shared" si="2"/>
        <v>FP method accepted</v>
      </c>
      <c r="E1074" s="24" t="s">
        <v>2768</v>
      </c>
      <c r="F1074" s="24">
        <v>1</v>
      </c>
      <c r="G1074" s="24" t="s">
        <v>2372</v>
      </c>
      <c r="H1074" s="24"/>
      <c r="I1074" s="283"/>
      <c r="J1074" s="164"/>
      <c r="K1074" s="164"/>
      <c r="L1074" s="164"/>
      <c r="M1074" s="164"/>
      <c r="N1074" s="224" t="s">
        <v>423</v>
      </c>
      <c r="O1074" s="164"/>
      <c r="P1074" s="164"/>
      <c r="Q1074" s="164"/>
      <c r="R1074" s="283"/>
      <c r="S1074" s="164"/>
      <c r="T1074" s="283"/>
      <c r="U1074" s="283"/>
      <c r="V1074" s="164"/>
      <c r="W1074" s="225"/>
      <c r="X1074" s="283"/>
      <c r="Y1074" s="283"/>
      <c r="Z1074" s="283"/>
      <c r="AA1074" s="283"/>
      <c r="AB1074" s="283"/>
      <c r="AC1074" s="283"/>
      <c r="AD1074" s="283"/>
      <c r="AE1074" s="283"/>
      <c r="AF1074" s="283"/>
      <c r="AG1074" s="205" t="s">
        <v>115</v>
      </c>
      <c r="AH1074" s="285" t="s">
        <v>424</v>
      </c>
      <c r="AI1074" s="285" t="s">
        <v>425</v>
      </c>
      <c r="AJ1074" s="225"/>
      <c r="AK1074" s="225"/>
      <c r="AL1074" s="24"/>
    </row>
    <row r="1075" spans="1:38" ht="12.75" customHeight="1">
      <c r="A1075" s="22">
        <v>1073</v>
      </c>
      <c r="B1075" s="24" t="str">
        <f t="shared" si="51"/>
        <v>Breastfeeding counseling</v>
      </c>
      <c r="C1075" s="24" t="str">
        <f t="shared" si="3"/>
        <v>Data Element</v>
      </c>
      <c r="D1075" s="24" t="str">
        <f t="shared" si="2"/>
        <v/>
      </c>
      <c r="E1075" s="24" t="s">
        <v>2804</v>
      </c>
      <c r="F1075" s="24">
        <v>1</v>
      </c>
      <c r="G1075" s="24" t="s">
        <v>2372</v>
      </c>
      <c r="H1075" s="24"/>
      <c r="I1075" s="283"/>
      <c r="J1075" s="204" t="s">
        <v>2803</v>
      </c>
      <c r="K1075" s="204" t="s">
        <v>2805</v>
      </c>
      <c r="L1075" s="196"/>
      <c r="M1075" s="204" t="s">
        <v>202</v>
      </c>
      <c r="N1075" s="164"/>
      <c r="O1075" s="196"/>
      <c r="P1075" s="196"/>
      <c r="Q1075" s="196"/>
      <c r="R1075" s="283"/>
      <c r="S1075" s="204" t="s">
        <v>208</v>
      </c>
      <c r="T1075" s="283"/>
      <c r="U1075" s="283"/>
      <c r="V1075" s="164" t="s">
        <v>2806</v>
      </c>
      <c r="W1075" s="225"/>
      <c r="X1075" s="283"/>
      <c r="Y1075" s="283"/>
      <c r="Z1075" s="283"/>
      <c r="AA1075" s="283"/>
      <c r="AB1075" s="283"/>
      <c r="AC1075" s="283"/>
      <c r="AD1075" s="283"/>
      <c r="AE1075" s="283"/>
      <c r="AF1075" s="283"/>
      <c r="AG1075" s="285" t="s">
        <v>2807</v>
      </c>
      <c r="AH1075" s="285" t="s">
        <v>2398</v>
      </c>
      <c r="AI1075" s="285" t="s">
        <v>2399</v>
      </c>
      <c r="AJ1075" s="225"/>
      <c r="AK1075" s="225"/>
      <c r="AL1075" s="24"/>
    </row>
    <row r="1076" spans="1:38" ht="12.75" customHeight="1">
      <c r="A1076" s="22">
        <v>1074</v>
      </c>
      <c r="B1076" s="24" t="str">
        <f t="shared" si="51"/>
        <v>Done</v>
      </c>
      <c r="C1076" s="24" t="str">
        <f t="shared" si="3"/>
        <v>Input Option</v>
      </c>
      <c r="D1076" s="24" t="str">
        <f t="shared" si="2"/>
        <v>Breastfeeding counseling</v>
      </c>
      <c r="E1076" s="24" t="s">
        <v>2804</v>
      </c>
      <c r="F1076" s="24">
        <v>1</v>
      </c>
      <c r="G1076" s="24" t="s">
        <v>2372</v>
      </c>
      <c r="H1076" s="24"/>
      <c r="I1076" s="283"/>
      <c r="J1076" s="204"/>
      <c r="K1076" s="204"/>
      <c r="L1076" s="196"/>
      <c r="M1076" s="204"/>
      <c r="N1076" s="164" t="s">
        <v>1673</v>
      </c>
      <c r="O1076" s="196"/>
      <c r="P1076" s="196"/>
      <c r="Q1076" s="196"/>
      <c r="R1076" s="283"/>
      <c r="S1076" s="204"/>
      <c r="T1076" s="283"/>
      <c r="U1076" s="283"/>
      <c r="V1076" s="164"/>
      <c r="W1076" s="225"/>
      <c r="X1076" s="283"/>
      <c r="Y1076" s="283"/>
      <c r="Z1076" s="283"/>
      <c r="AA1076" s="283"/>
      <c r="AB1076" s="283"/>
      <c r="AC1076" s="283"/>
      <c r="AD1076" s="283"/>
      <c r="AE1076" s="283"/>
      <c r="AF1076" s="283"/>
      <c r="AG1076" s="285" t="s">
        <v>115</v>
      </c>
      <c r="AH1076" s="285" t="s">
        <v>942</v>
      </c>
      <c r="AI1076" s="205" t="s">
        <v>943</v>
      </c>
      <c r="AJ1076" s="225"/>
      <c r="AK1076" s="225"/>
      <c r="AL1076" s="24"/>
    </row>
    <row r="1077" spans="1:38" ht="12.75" customHeight="1">
      <c r="A1077" s="22">
        <v>1075</v>
      </c>
      <c r="B1077" s="24" t="str">
        <f t="shared" si="51"/>
        <v>Not done</v>
      </c>
      <c r="C1077" s="24" t="str">
        <f t="shared" si="3"/>
        <v>Input Option</v>
      </c>
      <c r="D1077" s="24" t="str">
        <f t="shared" si="2"/>
        <v>Breastfeeding counseling</v>
      </c>
      <c r="E1077" s="24" t="s">
        <v>2804</v>
      </c>
      <c r="F1077" s="24">
        <v>1</v>
      </c>
      <c r="G1077" s="24" t="s">
        <v>2372</v>
      </c>
      <c r="H1077" s="24"/>
      <c r="I1077" s="283"/>
      <c r="J1077" s="204"/>
      <c r="K1077" s="204"/>
      <c r="L1077" s="196"/>
      <c r="M1077" s="204"/>
      <c r="N1077" s="164" t="s">
        <v>1468</v>
      </c>
      <c r="O1077" s="196"/>
      <c r="P1077" s="196"/>
      <c r="Q1077" s="196"/>
      <c r="R1077" s="283"/>
      <c r="S1077" s="204"/>
      <c r="T1077" s="283"/>
      <c r="U1077" s="283"/>
      <c r="V1077" s="164"/>
      <c r="W1077" s="225"/>
      <c r="X1077" s="283"/>
      <c r="Y1077" s="283"/>
      <c r="Z1077" s="283"/>
      <c r="AA1077" s="283"/>
      <c r="AB1077" s="283"/>
      <c r="AC1077" s="283"/>
      <c r="AD1077" s="283"/>
      <c r="AE1077" s="283"/>
      <c r="AF1077" s="283"/>
      <c r="AG1077" s="285" t="s">
        <v>115</v>
      </c>
      <c r="AH1077" s="285" t="s">
        <v>1469</v>
      </c>
      <c r="AI1077" s="205" t="s">
        <v>1470</v>
      </c>
      <c r="AJ1077" s="225"/>
      <c r="AK1077" s="225"/>
      <c r="AL1077" s="24"/>
    </row>
    <row r="1078" spans="1:38" ht="12.75" customHeight="1">
      <c r="A1078" s="22">
        <v>1076</v>
      </c>
      <c r="B1078" s="24" t="str">
        <f t="shared" si="51"/>
        <v>Clinical enquiry for intimate partner violence (IPV) done?</v>
      </c>
      <c r="C1078" s="24" t="str">
        <f t="shared" si="3"/>
        <v>Data Element</v>
      </c>
      <c r="D1078" s="24" t="str">
        <f t="shared" si="2"/>
        <v/>
      </c>
      <c r="E1078" s="24" t="s">
        <v>2810</v>
      </c>
      <c r="F1078" s="24">
        <v>1</v>
      </c>
      <c r="G1078" s="24" t="s">
        <v>2372</v>
      </c>
      <c r="H1078" s="24"/>
      <c r="I1078" s="283"/>
      <c r="J1078" s="204" t="s">
        <v>2809</v>
      </c>
      <c r="K1078" s="204" t="s">
        <v>2811</v>
      </c>
      <c r="L1078" s="204"/>
      <c r="M1078" s="204" t="s">
        <v>202</v>
      </c>
      <c r="N1078" s="164"/>
      <c r="O1078" s="196"/>
      <c r="P1078" s="196"/>
      <c r="Q1078" s="196"/>
      <c r="R1078" s="283"/>
      <c r="S1078" s="204" t="s">
        <v>113</v>
      </c>
      <c r="T1078" s="283"/>
      <c r="U1078" s="283"/>
      <c r="V1078" s="204" t="s">
        <v>2812</v>
      </c>
      <c r="W1078" s="225"/>
      <c r="X1078" s="283"/>
      <c r="Y1078" s="283"/>
      <c r="Z1078" s="283"/>
      <c r="AA1078" s="283"/>
      <c r="AB1078" s="283"/>
      <c r="AC1078" s="283"/>
      <c r="AD1078" s="283"/>
      <c r="AE1078" s="283"/>
      <c r="AF1078" s="283"/>
      <c r="AG1078" s="205" t="s">
        <v>115</v>
      </c>
      <c r="AH1078" s="205" t="s">
        <v>2813</v>
      </c>
      <c r="AI1078" s="205" t="s">
        <v>2814</v>
      </c>
      <c r="AJ1078" s="225"/>
      <c r="AK1078" s="225"/>
      <c r="AL1078" s="24"/>
    </row>
    <row r="1079" spans="1:38" ht="12.75" customHeight="1">
      <c r="A1079" s="22">
        <v>1077</v>
      </c>
      <c r="B1079" s="24" t="str">
        <f t="shared" si="51"/>
        <v>Done</v>
      </c>
      <c r="C1079" s="24" t="str">
        <f t="shared" si="3"/>
        <v>Input Option</v>
      </c>
      <c r="D1079" s="24" t="str">
        <f t="shared" si="2"/>
        <v>Clinical enquiry for intimate partner violence (IPV) done?</v>
      </c>
      <c r="E1079" s="24" t="s">
        <v>2810</v>
      </c>
      <c r="F1079" s="24">
        <v>1</v>
      </c>
      <c r="G1079" s="24" t="s">
        <v>2372</v>
      </c>
      <c r="H1079" s="24"/>
      <c r="I1079" s="283"/>
      <c r="J1079" s="204"/>
      <c r="K1079" s="204"/>
      <c r="L1079" s="204"/>
      <c r="M1079" s="204"/>
      <c r="N1079" s="164" t="s">
        <v>1673</v>
      </c>
      <c r="O1079" s="196"/>
      <c r="P1079" s="196"/>
      <c r="Q1079" s="196"/>
      <c r="R1079" s="283"/>
      <c r="S1079" s="204"/>
      <c r="T1079" s="283"/>
      <c r="U1079" s="283"/>
      <c r="V1079" s="204"/>
      <c r="W1079" s="225"/>
      <c r="X1079" s="283"/>
      <c r="Y1079" s="283"/>
      <c r="Z1079" s="283"/>
      <c r="AA1079" s="283"/>
      <c r="AB1079" s="283"/>
      <c r="AC1079" s="283"/>
      <c r="AD1079" s="283"/>
      <c r="AE1079" s="283"/>
      <c r="AF1079" s="283"/>
      <c r="AG1079" s="285" t="s">
        <v>115</v>
      </c>
      <c r="AH1079" s="285" t="s">
        <v>942</v>
      </c>
      <c r="AI1079" s="205" t="s">
        <v>943</v>
      </c>
      <c r="AJ1079" s="225"/>
      <c r="AK1079" s="225"/>
      <c r="AL1079" s="24"/>
    </row>
    <row r="1080" spans="1:38" ht="12.75" customHeight="1">
      <c r="A1080" s="22">
        <v>1078</v>
      </c>
      <c r="B1080" s="24" t="str">
        <f t="shared" si="51"/>
        <v>Not done</v>
      </c>
      <c r="C1080" s="24" t="str">
        <f t="shared" si="3"/>
        <v>Input Option</v>
      </c>
      <c r="D1080" s="24" t="str">
        <f t="shared" si="2"/>
        <v>Clinical enquiry for intimate partner violence (IPV) done?</v>
      </c>
      <c r="E1080" s="24" t="s">
        <v>2810</v>
      </c>
      <c r="F1080" s="24">
        <v>1</v>
      </c>
      <c r="G1080" s="24" t="s">
        <v>2372</v>
      </c>
      <c r="H1080" s="24"/>
      <c r="I1080" s="283"/>
      <c r="J1080" s="204"/>
      <c r="K1080" s="204"/>
      <c r="L1080" s="204"/>
      <c r="M1080" s="204"/>
      <c r="N1080" s="164" t="s">
        <v>1468</v>
      </c>
      <c r="O1080" s="196"/>
      <c r="P1080" s="196"/>
      <c r="Q1080" s="196"/>
      <c r="R1080" s="283"/>
      <c r="S1080" s="204"/>
      <c r="T1080" s="283"/>
      <c r="U1080" s="283"/>
      <c r="V1080" s="204"/>
      <c r="W1080" s="225"/>
      <c r="X1080" s="283"/>
      <c r="Y1080" s="283"/>
      <c r="Z1080" s="283"/>
      <c r="AA1080" s="283"/>
      <c r="AB1080" s="283"/>
      <c r="AC1080" s="283"/>
      <c r="AD1080" s="283"/>
      <c r="AE1080" s="283"/>
      <c r="AF1080" s="283"/>
      <c r="AG1080" s="285" t="s">
        <v>115</v>
      </c>
      <c r="AH1080" s="285" t="s">
        <v>1469</v>
      </c>
      <c r="AI1080" s="205" t="s">
        <v>1470</v>
      </c>
      <c r="AJ1080" s="225"/>
      <c r="AK1080" s="225"/>
      <c r="AL1080" s="24"/>
    </row>
    <row r="1081" spans="1:38" ht="12.75" customHeight="1">
      <c r="A1081" s="22">
        <v>1079</v>
      </c>
      <c r="B1081" s="24" t="s">
        <v>2816</v>
      </c>
      <c r="C1081" s="24" t="str">
        <f t="shared" si="3"/>
        <v>Data Element</v>
      </c>
      <c r="D1081" s="24" t="str">
        <f t="shared" si="2"/>
        <v/>
      </c>
      <c r="E1081" s="24" t="s">
        <v>2810</v>
      </c>
      <c r="F1081" s="24">
        <v>1</v>
      </c>
      <c r="G1081" s="24" t="s">
        <v>2372</v>
      </c>
      <c r="H1081" s="24"/>
      <c r="I1081" s="283"/>
      <c r="J1081" s="204" t="s">
        <v>1376</v>
      </c>
      <c r="K1081" s="204" t="s">
        <v>2817</v>
      </c>
      <c r="L1081" s="204"/>
      <c r="M1081" s="204" t="s">
        <v>202</v>
      </c>
      <c r="N1081" s="196"/>
      <c r="O1081" s="196"/>
      <c r="P1081" s="196"/>
      <c r="Q1081" s="196"/>
      <c r="R1081" s="283"/>
      <c r="S1081" s="204" t="s">
        <v>113</v>
      </c>
      <c r="T1081" s="283"/>
      <c r="U1081" s="283"/>
      <c r="V1081" s="204" t="s">
        <v>115</v>
      </c>
      <c r="W1081" s="225"/>
      <c r="X1081" s="283"/>
      <c r="Y1081" s="283"/>
      <c r="Z1081" s="283"/>
      <c r="AA1081" s="283"/>
      <c r="AB1081" s="283"/>
      <c r="AC1081" s="283"/>
      <c r="AD1081" s="283"/>
      <c r="AE1081" s="283"/>
      <c r="AF1081" s="283"/>
      <c r="AG1081" s="205" t="s">
        <v>115</v>
      </c>
      <c r="AH1081" s="205" t="s">
        <v>2818</v>
      </c>
      <c r="AI1081" s="285" t="s">
        <v>2819</v>
      </c>
      <c r="AJ1081" s="225"/>
      <c r="AK1081" s="225"/>
      <c r="AL1081" s="24"/>
    </row>
    <row r="1082" spans="1:38" ht="12.75" customHeight="1">
      <c r="A1082" s="22">
        <v>1080</v>
      </c>
      <c r="B1082" s="24" t="str">
        <f t="shared" ref="B1082:B1083" si="52">IF(N1082="",IF(M1082="Calculation",K1082,J1082),N1082)</f>
        <v>Referred instead</v>
      </c>
      <c r="C1082" s="24" t="str">
        <f t="shared" si="3"/>
        <v>Input Option</v>
      </c>
      <c r="D1082" s="24" t="str">
        <f t="shared" si="2"/>
        <v>Reason Clinical enquiry for intimate partner violence (IPV) done? not done</v>
      </c>
      <c r="E1082" s="24" t="s">
        <v>2810</v>
      </c>
      <c r="F1082" s="24">
        <v>1</v>
      </c>
      <c r="G1082" s="24" t="s">
        <v>2372</v>
      </c>
      <c r="H1082" s="24"/>
      <c r="I1082" s="283"/>
      <c r="J1082" s="204"/>
      <c r="K1082" s="204"/>
      <c r="L1082" s="204"/>
      <c r="M1082" s="204"/>
      <c r="N1082" s="196" t="s">
        <v>2405</v>
      </c>
      <c r="O1082" s="196"/>
      <c r="P1082" s="196"/>
      <c r="Q1082" s="196"/>
      <c r="R1082" s="283"/>
      <c r="S1082" s="204"/>
      <c r="T1082" s="283"/>
      <c r="U1082" s="283"/>
      <c r="V1082" s="204"/>
      <c r="W1082" s="225"/>
      <c r="X1082" s="283"/>
      <c r="Y1082" s="283"/>
      <c r="Z1082" s="283"/>
      <c r="AA1082" s="283"/>
      <c r="AB1082" s="283"/>
      <c r="AC1082" s="283"/>
      <c r="AD1082" s="283"/>
      <c r="AE1082" s="283"/>
      <c r="AF1082" s="283"/>
      <c r="AG1082" s="285" t="s">
        <v>115</v>
      </c>
      <c r="AH1082" s="205" t="s">
        <v>2406</v>
      </c>
      <c r="AI1082" s="205" t="s">
        <v>2407</v>
      </c>
      <c r="AJ1082" s="225"/>
      <c r="AK1082" s="225"/>
      <c r="AL1082" s="24"/>
    </row>
    <row r="1083" spans="1:38" ht="12.75" customHeight="1">
      <c r="A1083" s="22">
        <v>1081</v>
      </c>
      <c r="B1083" s="24" t="str">
        <f t="shared" si="52"/>
        <v>Other (specify)</v>
      </c>
      <c r="C1083" s="24" t="str">
        <f t="shared" si="3"/>
        <v>Input Option</v>
      </c>
      <c r="D1083" s="24" t="str">
        <f t="shared" si="2"/>
        <v>Reason Clinical enquiry for intimate partner violence (IPV) done? not done</v>
      </c>
      <c r="E1083" s="24" t="s">
        <v>2810</v>
      </c>
      <c r="F1083" s="24">
        <v>1</v>
      </c>
      <c r="G1083" s="24" t="s">
        <v>2372</v>
      </c>
      <c r="H1083" s="24"/>
      <c r="I1083" s="283"/>
      <c r="J1083" s="204"/>
      <c r="K1083" s="204"/>
      <c r="L1083" s="204"/>
      <c r="M1083" s="204"/>
      <c r="N1083" s="196" t="s">
        <v>405</v>
      </c>
      <c r="O1083" s="196"/>
      <c r="P1083" s="196"/>
      <c r="Q1083" s="196"/>
      <c r="R1083" s="283"/>
      <c r="S1083" s="204"/>
      <c r="T1083" s="283"/>
      <c r="U1083" s="283"/>
      <c r="V1083" s="204"/>
      <c r="W1083" s="225"/>
      <c r="X1083" s="283"/>
      <c r="Y1083" s="283"/>
      <c r="Z1083" s="283"/>
      <c r="AA1083" s="283"/>
      <c r="AB1083" s="283"/>
      <c r="AC1083" s="283"/>
      <c r="AD1083" s="283"/>
      <c r="AE1083" s="283"/>
      <c r="AF1083" s="283"/>
      <c r="AG1083" s="285" t="s">
        <v>115</v>
      </c>
      <c r="AH1083" s="205" t="s">
        <v>406</v>
      </c>
      <c r="AI1083" s="205" t="s">
        <v>407</v>
      </c>
      <c r="AJ1083" s="225"/>
      <c r="AK1083" s="225"/>
      <c r="AL1083" s="24"/>
    </row>
    <row r="1084" spans="1:38" ht="12.75" customHeight="1">
      <c r="A1084" s="22">
        <v>1082</v>
      </c>
      <c r="B1084" s="24" t="s">
        <v>2820</v>
      </c>
      <c r="C1084" s="24" t="str">
        <f t="shared" si="3"/>
        <v>Data Element</v>
      </c>
      <c r="D1084" s="24" t="str">
        <f t="shared" si="2"/>
        <v/>
      </c>
      <c r="E1084" s="24" t="s">
        <v>2810</v>
      </c>
      <c r="F1084" s="24">
        <v>1</v>
      </c>
      <c r="G1084" s="24" t="s">
        <v>2372</v>
      </c>
      <c r="H1084" s="24"/>
      <c r="I1084" s="283"/>
      <c r="J1084" s="204" t="s">
        <v>409</v>
      </c>
      <c r="K1084" s="204" t="s">
        <v>2821</v>
      </c>
      <c r="L1084" s="204"/>
      <c r="M1084" s="204" t="s">
        <v>111</v>
      </c>
      <c r="N1084" s="196"/>
      <c r="O1084" s="196"/>
      <c r="P1084" s="196"/>
      <c r="Q1084" s="196"/>
      <c r="R1084" s="283"/>
      <c r="S1084" s="204" t="s">
        <v>208</v>
      </c>
      <c r="T1084" s="283"/>
      <c r="U1084" s="283"/>
      <c r="V1084" s="204" t="s">
        <v>115</v>
      </c>
      <c r="W1084" s="225"/>
      <c r="X1084" s="283"/>
      <c r="Y1084" s="283"/>
      <c r="Z1084" s="283"/>
      <c r="AA1084" s="283"/>
      <c r="AB1084" s="283"/>
      <c r="AC1084" s="283"/>
      <c r="AD1084" s="283"/>
      <c r="AE1084" s="283"/>
      <c r="AF1084" s="283"/>
      <c r="AG1084" s="205" t="s">
        <v>2822</v>
      </c>
      <c r="AH1084" s="294" t="s">
        <v>415</v>
      </c>
      <c r="AI1084" s="294" t="s">
        <v>416</v>
      </c>
      <c r="AJ1084" s="225"/>
      <c r="AK1084" s="225"/>
      <c r="AL1084" s="24"/>
    </row>
    <row r="1085" spans="1:38" ht="12.75" customHeight="1">
      <c r="A1085" s="22">
        <v>1083</v>
      </c>
      <c r="B1085" s="24" t="str">
        <f t="shared" ref="B1085:B1092" si="53">IF(N1085="",IF(M1085="Calculation",K1085,J1085),N1085)</f>
        <v>IPV enquiry results</v>
      </c>
      <c r="C1085" s="24" t="str">
        <f t="shared" si="3"/>
        <v>Data Element</v>
      </c>
      <c r="D1085" s="24" t="str">
        <f t="shared" si="2"/>
        <v/>
      </c>
      <c r="E1085" s="24" t="s">
        <v>2810</v>
      </c>
      <c r="F1085" s="24">
        <v>1</v>
      </c>
      <c r="G1085" s="24" t="s">
        <v>2372</v>
      </c>
      <c r="H1085" s="24"/>
      <c r="I1085" s="283"/>
      <c r="J1085" s="204" t="s">
        <v>2823</v>
      </c>
      <c r="K1085" s="204" t="s">
        <v>2824</v>
      </c>
      <c r="L1085" s="204"/>
      <c r="M1085" s="204" t="s">
        <v>202</v>
      </c>
      <c r="N1085" s="196"/>
      <c r="O1085" s="196"/>
      <c r="P1085" s="196"/>
      <c r="Q1085" s="196"/>
      <c r="R1085" s="283"/>
      <c r="S1085" s="204" t="s">
        <v>113</v>
      </c>
      <c r="T1085" s="283"/>
      <c r="U1085" s="283"/>
      <c r="V1085" s="204" t="s">
        <v>115</v>
      </c>
      <c r="W1085" s="225"/>
      <c r="X1085" s="283"/>
      <c r="Y1085" s="283"/>
      <c r="Z1085" s="283"/>
      <c r="AA1085" s="283"/>
      <c r="AB1085" s="283"/>
      <c r="AC1085" s="283"/>
      <c r="AD1085" s="283"/>
      <c r="AE1085" s="283"/>
      <c r="AF1085" s="283"/>
      <c r="AG1085" s="205" t="s">
        <v>115</v>
      </c>
      <c r="AH1085" s="294" t="s">
        <v>2825</v>
      </c>
      <c r="AI1085" s="294" t="s">
        <v>2826</v>
      </c>
      <c r="AJ1085" s="225"/>
      <c r="AK1085" s="225"/>
      <c r="AL1085" s="24"/>
    </row>
    <row r="1086" spans="1:38" ht="12.75" customHeight="1">
      <c r="A1086" s="22">
        <v>1084</v>
      </c>
      <c r="B1086" s="24" t="str">
        <f t="shared" si="53"/>
        <v>Treated</v>
      </c>
      <c r="C1086" s="24" t="str">
        <f t="shared" si="3"/>
        <v>Input Option</v>
      </c>
      <c r="D1086" s="24" t="str">
        <f t="shared" si="2"/>
        <v>IPV enquiry results</v>
      </c>
      <c r="E1086" s="24" t="s">
        <v>2810</v>
      </c>
      <c r="F1086" s="24">
        <v>1</v>
      </c>
      <c r="G1086" s="24" t="s">
        <v>2372</v>
      </c>
      <c r="H1086" s="24"/>
      <c r="I1086" s="283"/>
      <c r="J1086" s="297"/>
      <c r="K1086" s="297"/>
      <c r="L1086" s="297"/>
      <c r="M1086" s="297"/>
      <c r="N1086" s="196" t="s">
        <v>2827</v>
      </c>
      <c r="O1086" s="164"/>
      <c r="P1086" s="164"/>
      <c r="Q1086" s="164"/>
      <c r="R1086" s="283"/>
      <c r="S1086" s="297"/>
      <c r="T1086" s="283"/>
      <c r="U1086" s="283"/>
      <c r="V1086" s="164"/>
      <c r="W1086" s="225"/>
      <c r="X1086" s="283"/>
      <c r="Y1086" s="283"/>
      <c r="Z1086" s="283"/>
      <c r="AA1086" s="283"/>
      <c r="AB1086" s="283"/>
      <c r="AC1086" s="283"/>
      <c r="AD1086" s="283"/>
      <c r="AE1086" s="283"/>
      <c r="AF1086" s="283"/>
      <c r="AG1086" s="285" t="s">
        <v>115</v>
      </c>
      <c r="AH1086" s="205" t="s">
        <v>2828</v>
      </c>
      <c r="AI1086" s="285" t="s">
        <v>2829</v>
      </c>
      <c r="AJ1086" s="225"/>
      <c r="AK1086" s="225"/>
      <c r="AL1086" s="24"/>
    </row>
    <row r="1087" spans="1:38" ht="12.75" customHeight="1">
      <c r="A1087" s="22">
        <v>1085</v>
      </c>
      <c r="B1087" s="24" t="str">
        <f t="shared" si="53"/>
        <v>Referred</v>
      </c>
      <c r="C1087" s="24" t="str">
        <f t="shared" si="3"/>
        <v>Input Option</v>
      </c>
      <c r="D1087" s="24" t="str">
        <f t="shared" si="2"/>
        <v>IPV enquiry results</v>
      </c>
      <c r="E1087" s="24" t="s">
        <v>2810</v>
      </c>
      <c r="F1087" s="24">
        <v>1</v>
      </c>
      <c r="G1087" s="24" t="s">
        <v>2372</v>
      </c>
      <c r="H1087" s="24"/>
      <c r="I1087" s="283"/>
      <c r="J1087" s="297"/>
      <c r="K1087" s="297"/>
      <c r="L1087" s="297"/>
      <c r="M1087" s="297"/>
      <c r="N1087" s="164" t="s">
        <v>2830</v>
      </c>
      <c r="O1087" s="164"/>
      <c r="P1087" s="164"/>
      <c r="Q1087" s="164"/>
      <c r="R1087" s="283"/>
      <c r="S1087" s="297"/>
      <c r="T1087" s="283"/>
      <c r="U1087" s="283"/>
      <c r="V1087" s="164"/>
      <c r="W1087" s="225"/>
      <c r="X1087" s="283"/>
      <c r="Y1087" s="283"/>
      <c r="Z1087" s="283"/>
      <c r="AA1087" s="283"/>
      <c r="AB1087" s="283"/>
      <c r="AC1087" s="283"/>
      <c r="AD1087" s="283"/>
      <c r="AE1087" s="283"/>
      <c r="AF1087" s="283"/>
      <c r="AG1087" s="285" t="s">
        <v>115</v>
      </c>
      <c r="AH1087" s="205" t="s">
        <v>2406</v>
      </c>
      <c r="AI1087" s="285" t="s">
        <v>2407</v>
      </c>
      <c r="AJ1087" s="225"/>
      <c r="AK1087" s="225"/>
      <c r="AL1087" s="24"/>
    </row>
    <row r="1088" spans="1:38" ht="12.75" customHeight="1">
      <c r="A1088" s="22">
        <v>1086</v>
      </c>
      <c r="B1088" s="24" t="str">
        <f t="shared" si="53"/>
        <v>No action necessary</v>
      </c>
      <c r="C1088" s="24" t="str">
        <f t="shared" si="3"/>
        <v>Input Option</v>
      </c>
      <c r="D1088" s="24" t="str">
        <f t="shared" si="2"/>
        <v>IPV enquiry results</v>
      </c>
      <c r="E1088" s="24" t="s">
        <v>2810</v>
      </c>
      <c r="F1088" s="24">
        <v>1</v>
      </c>
      <c r="G1088" s="24" t="s">
        <v>2372</v>
      </c>
      <c r="H1088" s="24"/>
      <c r="I1088" s="283"/>
      <c r="J1088" s="297"/>
      <c r="K1088" s="297"/>
      <c r="L1088" s="297"/>
      <c r="M1088" s="297"/>
      <c r="N1088" s="164" t="s">
        <v>2831</v>
      </c>
      <c r="O1088" s="164"/>
      <c r="P1088" s="164"/>
      <c r="Q1088" s="164"/>
      <c r="R1088" s="283"/>
      <c r="S1088" s="297"/>
      <c r="T1088" s="283"/>
      <c r="U1088" s="283"/>
      <c r="V1088" s="164"/>
      <c r="W1088" s="225"/>
      <c r="X1088" s="283"/>
      <c r="Y1088" s="283"/>
      <c r="Z1088" s="283"/>
      <c r="AA1088" s="283"/>
      <c r="AB1088" s="283"/>
      <c r="AC1088" s="283"/>
      <c r="AD1088" s="283"/>
      <c r="AE1088" s="283"/>
      <c r="AF1088" s="283"/>
      <c r="AG1088" s="285" t="s">
        <v>115</v>
      </c>
      <c r="AH1088" s="205" t="s">
        <v>424</v>
      </c>
      <c r="AI1088" s="285" t="s">
        <v>425</v>
      </c>
      <c r="AJ1088" s="225"/>
      <c r="AK1088" s="225"/>
      <c r="AL1088" s="24"/>
    </row>
    <row r="1089" spans="1:38" ht="12.75" customHeight="1">
      <c r="A1089" s="22">
        <v>1087</v>
      </c>
      <c r="B1089" s="24" t="str">
        <f t="shared" si="53"/>
        <v>Other</v>
      </c>
      <c r="C1089" s="24" t="str">
        <f t="shared" si="3"/>
        <v>Input Option</v>
      </c>
      <c r="D1089" s="24" t="str">
        <f t="shared" si="2"/>
        <v>IPV enquiry results</v>
      </c>
      <c r="E1089" s="24" t="s">
        <v>2810</v>
      </c>
      <c r="F1089" s="24">
        <v>1</v>
      </c>
      <c r="G1089" s="24" t="s">
        <v>2372</v>
      </c>
      <c r="H1089" s="24"/>
      <c r="I1089" s="283"/>
      <c r="J1089" s="297"/>
      <c r="K1089" s="297"/>
      <c r="L1089" s="297"/>
      <c r="M1089" s="297"/>
      <c r="N1089" s="164" t="s">
        <v>1387</v>
      </c>
      <c r="O1089" s="164"/>
      <c r="P1089" s="164"/>
      <c r="Q1089" s="164"/>
      <c r="R1089" s="283"/>
      <c r="S1089" s="297"/>
      <c r="T1089" s="283"/>
      <c r="U1089" s="283"/>
      <c r="V1089" s="164"/>
      <c r="W1089" s="225"/>
      <c r="X1089" s="283"/>
      <c r="Y1089" s="283"/>
      <c r="Z1089" s="283"/>
      <c r="AA1089" s="283"/>
      <c r="AB1089" s="283"/>
      <c r="AC1089" s="283"/>
      <c r="AD1089" s="283"/>
      <c r="AE1089" s="283"/>
      <c r="AF1089" s="283"/>
      <c r="AG1089" s="285" t="s">
        <v>115</v>
      </c>
      <c r="AH1089" s="205" t="s">
        <v>406</v>
      </c>
      <c r="AI1089" s="285" t="s">
        <v>407</v>
      </c>
      <c r="AJ1089" s="225"/>
      <c r="AK1089" s="225"/>
      <c r="AL1089" s="24"/>
    </row>
    <row r="1090" spans="1:38" ht="12.75" customHeight="1">
      <c r="A1090" s="22">
        <v>1088</v>
      </c>
      <c r="B1090" s="24" t="str">
        <f t="shared" si="53"/>
        <v>Prescribe daily dose of 60 mg iron and 0.4 mg folic acid</v>
      </c>
      <c r="C1090" s="24" t="str">
        <f t="shared" si="3"/>
        <v>Data Element</v>
      </c>
      <c r="D1090" s="24" t="str">
        <f t="shared" si="2"/>
        <v/>
      </c>
      <c r="E1090" s="24" t="s">
        <v>2833</v>
      </c>
      <c r="F1090" s="24">
        <v>1</v>
      </c>
      <c r="G1090" s="24" t="s">
        <v>2372</v>
      </c>
      <c r="H1090" s="24"/>
      <c r="I1090" s="283"/>
      <c r="J1090" s="204" t="s">
        <v>2832</v>
      </c>
      <c r="K1090" s="164" t="s">
        <v>2834</v>
      </c>
      <c r="L1090" s="164"/>
      <c r="M1090" s="164" t="s">
        <v>202</v>
      </c>
      <c r="N1090" s="164"/>
      <c r="O1090" s="164"/>
      <c r="P1090" s="164"/>
      <c r="Q1090" s="164"/>
      <c r="R1090" s="283"/>
      <c r="S1090" s="164" t="s">
        <v>113</v>
      </c>
      <c r="T1090" s="283"/>
      <c r="U1090" s="283"/>
      <c r="V1090" s="164" t="s">
        <v>2656</v>
      </c>
      <c r="W1090" s="225"/>
      <c r="X1090" s="283"/>
      <c r="Y1090" s="283"/>
      <c r="Z1090" s="283"/>
      <c r="AA1090" s="283"/>
      <c r="AB1090" s="283"/>
      <c r="AC1090" s="283"/>
      <c r="AD1090" s="283"/>
      <c r="AE1090" s="283"/>
      <c r="AF1090" s="283"/>
      <c r="AG1090" s="285" t="s">
        <v>2835</v>
      </c>
      <c r="AH1090" s="285" t="s">
        <v>2630</v>
      </c>
      <c r="AI1090" s="285" t="s">
        <v>2631</v>
      </c>
      <c r="AJ1090" s="225"/>
      <c r="AK1090" s="225"/>
      <c r="AL1090" s="24"/>
    </row>
    <row r="1091" spans="1:38" ht="12.75" customHeight="1">
      <c r="A1091" s="22">
        <v>1089</v>
      </c>
      <c r="B1091" s="24" t="str">
        <f t="shared" si="53"/>
        <v>Done</v>
      </c>
      <c r="C1091" s="24" t="str">
        <f t="shared" si="3"/>
        <v>Input Option</v>
      </c>
      <c r="D1091" s="24" t="str">
        <f t="shared" si="2"/>
        <v>Prescribe daily dose of 60 mg iron and 0.4 mg folic acid</v>
      </c>
      <c r="E1091" s="24" t="s">
        <v>2833</v>
      </c>
      <c r="F1091" s="24">
        <v>1</v>
      </c>
      <c r="G1091" s="24" t="s">
        <v>2372</v>
      </c>
      <c r="H1091" s="24"/>
      <c r="I1091" s="283"/>
      <c r="J1091" s="204"/>
      <c r="K1091" s="164"/>
      <c r="L1091" s="164"/>
      <c r="M1091" s="164"/>
      <c r="N1091" s="164" t="s">
        <v>1673</v>
      </c>
      <c r="O1091" s="164"/>
      <c r="P1091" s="164"/>
      <c r="Q1091" s="164"/>
      <c r="R1091" s="283"/>
      <c r="S1091" s="164"/>
      <c r="T1091" s="283"/>
      <c r="U1091" s="283"/>
      <c r="V1091" s="204"/>
      <c r="W1091" s="225"/>
      <c r="X1091" s="283"/>
      <c r="Y1091" s="283"/>
      <c r="Z1091" s="283"/>
      <c r="AA1091" s="283"/>
      <c r="AB1091" s="283"/>
      <c r="AC1091" s="283"/>
      <c r="AD1091" s="283"/>
      <c r="AE1091" s="283"/>
      <c r="AF1091" s="283"/>
      <c r="AG1091" s="285" t="s">
        <v>115</v>
      </c>
      <c r="AH1091" s="285" t="s">
        <v>942</v>
      </c>
      <c r="AI1091" s="205" t="s">
        <v>943</v>
      </c>
      <c r="AJ1091" s="225"/>
      <c r="AK1091" s="225"/>
      <c r="AL1091" s="24"/>
    </row>
    <row r="1092" spans="1:38" ht="12.75" customHeight="1">
      <c r="A1092" s="22">
        <v>1090</v>
      </c>
      <c r="B1092" s="24" t="str">
        <f t="shared" si="53"/>
        <v>Not done</v>
      </c>
      <c r="C1092" s="24" t="str">
        <f t="shared" si="3"/>
        <v>Input Option</v>
      </c>
      <c r="D1092" s="24" t="str">
        <f t="shared" si="2"/>
        <v>Prescribe daily dose of 60 mg iron and 0.4 mg folic acid</v>
      </c>
      <c r="E1092" s="24" t="s">
        <v>2833</v>
      </c>
      <c r="F1092" s="24">
        <v>1</v>
      </c>
      <c r="G1092" s="24" t="s">
        <v>2372</v>
      </c>
      <c r="H1092" s="24"/>
      <c r="I1092" s="283"/>
      <c r="J1092" s="204"/>
      <c r="K1092" s="164"/>
      <c r="L1092" s="164"/>
      <c r="M1092" s="164"/>
      <c r="N1092" s="164" t="s">
        <v>1468</v>
      </c>
      <c r="O1092" s="164"/>
      <c r="P1092" s="164"/>
      <c r="Q1092" s="164"/>
      <c r="R1092" s="283"/>
      <c r="S1092" s="164"/>
      <c r="T1092" s="283"/>
      <c r="U1092" s="283"/>
      <c r="V1092" s="204"/>
      <c r="W1092" s="225"/>
      <c r="X1092" s="283"/>
      <c r="Y1092" s="283"/>
      <c r="Z1092" s="283"/>
      <c r="AA1092" s="283"/>
      <c r="AB1092" s="283"/>
      <c r="AC1092" s="283"/>
      <c r="AD1092" s="283"/>
      <c r="AE1092" s="283"/>
      <c r="AF1092" s="283"/>
      <c r="AG1092" s="285" t="s">
        <v>115</v>
      </c>
      <c r="AH1092" s="285" t="s">
        <v>1469</v>
      </c>
      <c r="AI1092" s="205" t="s">
        <v>1470</v>
      </c>
      <c r="AJ1092" s="225"/>
      <c r="AK1092" s="225"/>
      <c r="AL1092" s="24"/>
    </row>
    <row r="1093" spans="1:38" ht="12.75" customHeight="1">
      <c r="A1093" s="22">
        <v>1091</v>
      </c>
      <c r="B1093" s="24" t="s">
        <v>2836</v>
      </c>
      <c r="C1093" s="24" t="str">
        <f t="shared" si="3"/>
        <v>Data Element</v>
      </c>
      <c r="D1093" s="24" t="str">
        <f t="shared" si="2"/>
        <v/>
      </c>
      <c r="E1093" s="24" t="s">
        <v>2833</v>
      </c>
      <c r="F1093" s="24">
        <v>1</v>
      </c>
      <c r="G1093" s="24" t="s">
        <v>2372</v>
      </c>
      <c r="H1093" s="24"/>
      <c r="I1093" s="283"/>
      <c r="J1093" s="164" t="s">
        <v>1376</v>
      </c>
      <c r="K1093" s="164" t="s">
        <v>2837</v>
      </c>
      <c r="L1093" s="164" t="s">
        <v>2660</v>
      </c>
      <c r="M1093" s="164" t="s">
        <v>238</v>
      </c>
      <c r="N1093" s="196"/>
      <c r="O1093" s="164"/>
      <c r="P1093" s="164"/>
      <c r="Q1093" s="164"/>
      <c r="R1093" s="283"/>
      <c r="S1093" s="164" t="s">
        <v>113</v>
      </c>
      <c r="T1093" s="283"/>
      <c r="U1093" s="283"/>
      <c r="V1093" s="204" t="s">
        <v>115</v>
      </c>
      <c r="W1093" s="225"/>
      <c r="X1093" s="283"/>
      <c r="Y1093" s="283"/>
      <c r="Z1093" s="283"/>
      <c r="AA1093" s="283"/>
      <c r="AB1093" s="283"/>
      <c r="AC1093" s="283"/>
      <c r="AD1093" s="283"/>
      <c r="AE1093" s="283"/>
      <c r="AF1093" s="283"/>
      <c r="AG1093" s="285" t="s">
        <v>2835</v>
      </c>
      <c r="AH1093" s="285" t="s">
        <v>2635</v>
      </c>
      <c r="AI1093" s="285" t="s">
        <v>2636</v>
      </c>
      <c r="AJ1093" s="225"/>
      <c r="AK1093" s="225"/>
      <c r="AL1093" s="24"/>
    </row>
    <row r="1094" spans="1:38" ht="12.75" customHeight="1">
      <c r="A1094" s="22">
        <v>1092</v>
      </c>
      <c r="B1094" s="24" t="str">
        <f t="shared" ref="B1094:B1095" si="54">IF(N1094="",IF(M1094="Calculation",K1094,J1094),N1094)</f>
        <v>Referred instead</v>
      </c>
      <c r="C1094" s="24" t="str">
        <f t="shared" si="3"/>
        <v>Input Option</v>
      </c>
      <c r="D1094" s="24" t="str">
        <f t="shared" si="2"/>
        <v>Reason Prescribe daily dose of 60 mg iron and 0.4 mg folic acid not done</v>
      </c>
      <c r="E1094" s="24" t="s">
        <v>2833</v>
      </c>
      <c r="F1094" s="24">
        <v>1</v>
      </c>
      <c r="G1094" s="24" t="s">
        <v>2372</v>
      </c>
      <c r="H1094" s="24"/>
      <c r="I1094" s="283"/>
      <c r="J1094" s="196"/>
      <c r="K1094" s="164"/>
      <c r="L1094" s="196"/>
      <c r="M1094" s="196"/>
      <c r="N1094" s="196" t="s">
        <v>2405</v>
      </c>
      <c r="O1094" s="196"/>
      <c r="P1094" s="196"/>
      <c r="Q1094" s="196"/>
      <c r="R1094" s="283"/>
      <c r="S1094" s="196"/>
      <c r="T1094" s="283"/>
      <c r="U1094" s="283"/>
      <c r="V1094" s="204"/>
      <c r="W1094" s="225"/>
      <c r="X1094" s="283"/>
      <c r="Y1094" s="283"/>
      <c r="Z1094" s="283"/>
      <c r="AA1094" s="283"/>
      <c r="AB1094" s="283"/>
      <c r="AC1094" s="283"/>
      <c r="AD1094" s="283"/>
      <c r="AE1094" s="283"/>
      <c r="AF1094" s="283"/>
      <c r="AG1094" s="285" t="s">
        <v>115</v>
      </c>
      <c r="AH1094" s="205" t="s">
        <v>2406</v>
      </c>
      <c r="AI1094" s="285" t="s">
        <v>2407</v>
      </c>
      <c r="AJ1094" s="225"/>
      <c r="AK1094" s="225"/>
      <c r="AL1094" s="24"/>
    </row>
    <row r="1095" spans="1:38" ht="12.75" customHeight="1">
      <c r="A1095" s="22">
        <v>1093</v>
      </c>
      <c r="B1095" s="24" t="str">
        <f t="shared" si="54"/>
        <v>Other (specify)</v>
      </c>
      <c r="C1095" s="24" t="str">
        <f t="shared" si="3"/>
        <v>Input Option</v>
      </c>
      <c r="D1095" s="24" t="str">
        <f t="shared" si="2"/>
        <v>Reason Prescribe daily dose of 60 mg iron and 0.4 mg folic acid not done</v>
      </c>
      <c r="E1095" s="24" t="s">
        <v>2833</v>
      </c>
      <c r="F1095" s="24">
        <v>1</v>
      </c>
      <c r="G1095" s="24" t="s">
        <v>2372</v>
      </c>
      <c r="H1095" s="24"/>
      <c r="I1095" s="283"/>
      <c r="J1095" s="196"/>
      <c r="K1095" s="164"/>
      <c r="L1095" s="196"/>
      <c r="M1095" s="196"/>
      <c r="N1095" s="196" t="s">
        <v>405</v>
      </c>
      <c r="O1095" s="196"/>
      <c r="P1095" s="196"/>
      <c r="Q1095" s="196"/>
      <c r="R1095" s="283"/>
      <c r="S1095" s="196"/>
      <c r="T1095" s="283"/>
      <c r="U1095" s="283"/>
      <c r="V1095" s="204"/>
      <c r="W1095" s="225"/>
      <c r="X1095" s="283"/>
      <c r="Y1095" s="283"/>
      <c r="Z1095" s="283"/>
      <c r="AA1095" s="283"/>
      <c r="AB1095" s="283"/>
      <c r="AC1095" s="283"/>
      <c r="AD1095" s="283"/>
      <c r="AE1095" s="283"/>
      <c r="AF1095" s="283"/>
      <c r="AG1095" s="285" t="s">
        <v>115</v>
      </c>
      <c r="AH1095" s="205" t="s">
        <v>406</v>
      </c>
      <c r="AI1095" s="285" t="s">
        <v>407</v>
      </c>
      <c r="AJ1095" s="225"/>
      <c r="AK1095" s="225"/>
      <c r="AL1095" s="24"/>
    </row>
    <row r="1096" spans="1:38" ht="12.75" customHeight="1">
      <c r="A1096" s="22">
        <v>1094</v>
      </c>
      <c r="B1096" s="24" t="s">
        <v>2838</v>
      </c>
      <c r="C1096" s="24" t="str">
        <f t="shared" si="3"/>
        <v>Data Element</v>
      </c>
      <c r="D1096" s="24" t="str">
        <f t="shared" si="2"/>
        <v/>
      </c>
      <c r="E1096" s="24" t="s">
        <v>2833</v>
      </c>
      <c r="F1096" s="24">
        <v>1</v>
      </c>
      <c r="G1096" s="24" t="s">
        <v>2372</v>
      </c>
      <c r="H1096" s="24"/>
      <c r="I1096" s="283"/>
      <c r="J1096" s="196" t="s">
        <v>409</v>
      </c>
      <c r="K1096" s="164" t="s">
        <v>2839</v>
      </c>
      <c r="L1096" s="196" t="s">
        <v>2641</v>
      </c>
      <c r="M1096" s="196" t="s">
        <v>111</v>
      </c>
      <c r="N1096" s="196"/>
      <c r="O1096" s="196"/>
      <c r="P1096" s="196"/>
      <c r="Q1096" s="196"/>
      <c r="R1096" s="283"/>
      <c r="S1096" s="196" t="s">
        <v>208</v>
      </c>
      <c r="T1096" s="283"/>
      <c r="U1096" s="283"/>
      <c r="V1096" s="204" t="s">
        <v>115</v>
      </c>
      <c r="W1096" s="225"/>
      <c r="X1096" s="283"/>
      <c r="Y1096" s="283"/>
      <c r="Z1096" s="283"/>
      <c r="AA1096" s="283"/>
      <c r="AB1096" s="283"/>
      <c r="AC1096" s="283"/>
      <c r="AD1096" s="283"/>
      <c r="AE1096" s="283"/>
      <c r="AF1096" s="283"/>
      <c r="AG1096" s="285" t="s">
        <v>2835</v>
      </c>
      <c r="AH1096" s="285" t="s">
        <v>2642</v>
      </c>
      <c r="AI1096" s="285" t="s">
        <v>2643</v>
      </c>
      <c r="AJ1096" s="225"/>
      <c r="AK1096" s="225"/>
      <c r="AL1096" s="24"/>
    </row>
    <row r="1097" spans="1:38" ht="12.75" customHeight="1">
      <c r="A1097" s="22">
        <v>1095</v>
      </c>
      <c r="B1097" s="24" t="str">
        <f t="shared" ref="B1097:B1099" si="55">IF(N1097="",IF(M1097="Calculation",K1097,J1097),N1097)</f>
        <v>Prescribe daily dose of 30 to 60 mg iron and 0.4 mg folic acid</v>
      </c>
      <c r="C1097" s="24" t="str">
        <f t="shared" si="3"/>
        <v>Data Element</v>
      </c>
      <c r="D1097" s="24" t="str">
        <f t="shared" si="2"/>
        <v/>
      </c>
      <c r="E1097" s="24" t="s">
        <v>2833</v>
      </c>
      <c r="F1097" s="24">
        <v>1</v>
      </c>
      <c r="G1097" s="24" t="s">
        <v>2372</v>
      </c>
      <c r="H1097" s="24"/>
      <c r="I1097" s="283"/>
      <c r="J1097" s="204" t="s">
        <v>2840</v>
      </c>
      <c r="K1097" s="164" t="s">
        <v>2841</v>
      </c>
      <c r="L1097" s="164"/>
      <c r="M1097" s="164" t="s">
        <v>202</v>
      </c>
      <c r="N1097" s="164"/>
      <c r="O1097" s="164"/>
      <c r="P1097" s="164"/>
      <c r="Q1097" s="164"/>
      <c r="R1097" s="283"/>
      <c r="S1097" s="164" t="s">
        <v>113</v>
      </c>
      <c r="T1097" s="283"/>
      <c r="U1097" s="283"/>
      <c r="V1097" s="164" t="s">
        <v>2656</v>
      </c>
      <c r="W1097" s="225"/>
      <c r="X1097" s="283"/>
      <c r="Y1097" s="283"/>
      <c r="Z1097" s="283"/>
      <c r="AA1097" s="283"/>
      <c r="AB1097" s="283"/>
      <c r="AC1097" s="283"/>
      <c r="AD1097" s="283"/>
      <c r="AE1097" s="283"/>
      <c r="AF1097" s="283"/>
      <c r="AG1097" s="285" t="s">
        <v>2842</v>
      </c>
      <c r="AH1097" s="285" t="s">
        <v>2630</v>
      </c>
      <c r="AI1097" s="285" t="s">
        <v>2631</v>
      </c>
      <c r="AJ1097" s="225"/>
      <c r="AK1097" s="225"/>
      <c r="AL1097" s="24"/>
    </row>
    <row r="1098" spans="1:38" ht="12.75" customHeight="1">
      <c r="A1098" s="22">
        <v>1096</v>
      </c>
      <c r="B1098" s="24" t="str">
        <f t="shared" si="55"/>
        <v>Done</v>
      </c>
      <c r="C1098" s="24" t="str">
        <f t="shared" si="3"/>
        <v>Input Option</v>
      </c>
      <c r="D1098" s="24" t="str">
        <f t="shared" si="2"/>
        <v>Prescribe daily dose of 30 to 60 mg iron and 0.4 mg folic acid</v>
      </c>
      <c r="E1098" s="24" t="s">
        <v>2833</v>
      </c>
      <c r="F1098" s="24">
        <v>1</v>
      </c>
      <c r="G1098" s="24" t="s">
        <v>2372</v>
      </c>
      <c r="H1098" s="24"/>
      <c r="I1098" s="283"/>
      <c r="J1098" s="164"/>
      <c r="K1098" s="164"/>
      <c r="L1098" s="164"/>
      <c r="M1098" s="164"/>
      <c r="N1098" s="164" t="s">
        <v>1673</v>
      </c>
      <c r="O1098" s="164"/>
      <c r="P1098" s="164"/>
      <c r="Q1098" s="164"/>
      <c r="R1098" s="283"/>
      <c r="S1098" s="164"/>
      <c r="T1098" s="283"/>
      <c r="U1098" s="283"/>
      <c r="V1098" s="204"/>
      <c r="W1098" s="225"/>
      <c r="X1098" s="283"/>
      <c r="Y1098" s="283"/>
      <c r="Z1098" s="283"/>
      <c r="AA1098" s="283"/>
      <c r="AB1098" s="283"/>
      <c r="AC1098" s="283"/>
      <c r="AD1098" s="283"/>
      <c r="AE1098" s="283"/>
      <c r="AF1098" s="283"/>
      <c r="AG1098" s="285" t="s">
        <v>115</v>
      </c>
      <c r="AH1098" s="285" t="s">
        <v>942</v>
      </c>
      <c r="AI1098" s="205" t="s">
        <v>943</v>
      </c>
      <c r="AJ1098" s="225"/>
      <c r="AK1098" s="225"/>
      <c r="AL1098" s="24"/>
    </row>
    <row r="1099" spans="1:38" ht="12.75" customHeight="1">
      <c r="A1099" s="22">
        <v>1097</v>
      </c>
      <c r="B1099" s="24" t="str">
        <f t="shared" si="55"/>
        <v>Not done</v>
      </c>
      <c r="C1099" s="24" t="str">
        <f t="shared" si="3"/>
        <v>Input Option</v>
      </c>
      <c r="D1099" s="24" t="str">
        <f t="shared" si="2"/>
        <v>Prescribe daily dose of 30 to 60 mg iron and 0.4 mg folic acid</v>
      </c>
      <c r="E1099" s="24" t="s">
        <v>2833</v>
      </c>
      <c r="F1099" s="24">
        <v>1</v>
      </c>
      <c r="G1099" s="24" t="s">
        <v>2372</v>
      </c>
      <c r="H1099" s="24"/>
      <c r="I1099" s="283"/>
      <c r="J1099" s="164"/>
      <c r="K1099" s="164"/>
      <c r="L1099" s="164"/>
      <c r="M1099" s="164"/>
      <c r="N1099" s="164" t="s">
        <v>1468</v>
      </c>
      <c r="O1099" s="164"/>
      <c r="P1099" s="164"/>
      <c r="Q1099" s="164"/>
      <c r="R1099" s="283"/>
      <c r="S1099" s="164"/>
      <c r="T1099" s="283"/>
      <c r="U1099" s="283"/>
      <c r="V1099" s="204"/>
      <c r="W1099" s="225"/>
      <c r="X1099" s="283"/>
      <c r="Y1099" s="283"/>
      <c r="Z1099" s="283"/>
      <c r="AA1099" s="283"/>
      <c r="AB1099" s="283"/>
      <c r="AC1099" s="283"/>
      <c r="AD1099" s="283"/>
      <c r="AE1099" s="283"/>
      <c r="AF1099" s="283"/>
      <c r="AG1099" s="285" t="s">
        <v>115</v>
      </c>
      <c r="AH1099" s="285" t="s">
        <v>1469</v>
      </c>
      <c r="AI1099" s="205" t="s">
        <v>1470</v>
      </c>
      <c r="AJ1099" s="225"/>
      <c r="AK1099" s="225"/>
      <c r="AL1099" s="24"/>
    </row>
    <row r="1100" spans="1:38" ht="12.75" customHeight="1">
      <c r="A1100" s="22">
        <v>1098</v>
      </c>
      <c r="B1100" s="24" t="s">
        <v>2844</v>
      </c>
      <c r="C1100" s="24" t="str">
        <f t="shared" si="3"/>
        <v>Data Element</v>
      </c>
      <c r="D1100" s="24" t="str">
        <f t="shared" si="2"/>
        <v/>
      </c>
      <c r="E1100" s="24" t="s">
        <v>2833</v>
      </c>
      <c r="F1100" s="24">
        <v>1</v>
      </c>
      <c r="G1100" s="24" t="s">
        <v>2372</v>
      </c>
      <c r="H1100" s="24"/>
      <c r="I1100" s="283"/>
      <c r="J1100" s="164" t="s">
        <v>1376</v>
      </c>
      <c r="K1100" s="164" t="s">
        <v>2845</v>
      </c>
      <c r="L1100" s="164" t="s">
        <v>2660</v>
      </c>
      <c r="M1100" s="164" t="s">
        <v>238</v>
      </c>
      <c r="N1100" s="196"/>
      <c r="O1100" s="164"/>
      <c r="P1100" s="164"/>
      <c r="Q1100" s="164"/>
      <c r="R1100" s="283"/>
      <c r="S1100" s="164" t="s">
        <v>113</v>
      </c>
      <c r="T1100" s="283"/>
      <c r="U1100" s="283"/>
      <c r="V1100" s="204" t="s">
        <v>115</v>
      </c>
      <c r="W1100" s="225"/>
      <c r="X1100" s="283"/>
      <c r="Y1100" s="283"/>
      <c r="Z1100" s="283"/>
      <c r="AA1100" s="283"/>
      <c r="AB1100" s="283"/>
      <c r="AC1100" s="283"/>
      <c r="AD1100" s="283"/>
      <c r="AE1100" s="283"/>
      <c r="AF1100" s="283"/>
      <c r="AG1100" s="285" t="s">
        <v>2842</v>
      </c>
      <c r="AH1100" s="285" t="s">
        <v>2635</v>
      </c>
      <c r="AI1100" s="285" t="s">
        <v>2636</v>
      </c>
      <c r="AJ1100" s="225"/>
      <c r="AK1100" s="225"/>
      <c r="AL1100" s="24"/>
    </row>
    <row r="1101" spans="1:38" ht="12.75" customHeight="1">
      <c r="A1101" s="22">
        <v>1099</v>
      </c>
      <c r="B1101" s="24" t="str">
        <f t="shared" ref="B1101:B1102" si="56">IF(N1101="",IF(M1101="Calculation",K1101,J1101),N1101)</f>
        <v>Referred instead</v>
      </c>
      <c r="C1101" s="24" t="str">
        <f t="shared" si="3"/>
        <v>Input Option</v>
      </c>
      <c r="D1101" s="24" t="str">
        <f t="shared" si="2"/>
        <v>Reason Prescribe daily dose of 30 to 60 mg iron and 0.4 mg folic acid not done</v>
      </c>
      <c r="E1101" s="24" t="s">
        <v>2833</v>
      </c>
      <c r="F1101" s="24">
        <v>1</v>
      </c>
      <c r="G1101" s="24" t="s">
        <v>2372</v>
      </c>
      <c r="H1101" s="24"/>
      <c r="I1101" s="283"/>
      <c r="J1101" s="164"/>
      <c r="K1101" s="164"/>
      <c r="L1101" s="164"/>
      <c r="M1101" s="164"/>
      <c r="N1101" s="196" t="s">
        <v>2405</v>
      </c>
      <c r="O1101" s="164"/>
      <c r="P1101" s="164"/>
      <c r="Q1101" s="164"/>
      <c r="R1101" s="283"/>
      <c r="S1101" s="164"/>
      <c r="T1101" s="283"/>
      <c r="U1101" s="283"/>
      <c r="V1101" s="204"/>
      <c r="W1101" s="225"/>
      <c r="X1101" s="283"/>
      <c r="Y1101" s="283"/>
      <c r="Z1101" s="283"/>
      <c r="AA1101" s="283"/>
      <c r="AB1101" s="283"/>
      <c r="AC1101" s="283"/>
      <c r="AD1101" s="283"/>
      <c r="AE1101" s="283"/>
      <c r="AF1101" s="283"/>
      <c r="AG1101" s="285" t="s">
        <v>115</v>
      </c>
      <c r="AH1101" s="205" t="s">
        <v>2406</v>
      </c>
      <c r="AI1101" s="285" t="s">
        <v>2407</v>
      </c>
      <c r="AJ1101" s="225"/>
      <c r="AK1101" s="225"/>
      <c r="AL1101" s="24"/>
    </row>
    <row r="1102" spans="1:38" ht="12.75" customHeight="1">
      <c r="A1102" s="22">
        <v>1100</v>
      </c>
      <c r="B1102" s="24" t="str">
        <f t="shared" si="56"/>
        <v>Other (specify)</v>
      </c>
      <c r="C1102" s="24" t="str">
        <f t="shared" si="3"/>
        <v>Input Option</v>
      </c>
      <c r="D1102" s="24" t="str">
        <f t="shared" si="2"/>
        <v>Reason Prescribe daily dose of 30 to 60 mg iron and 0.4 mg folic acid not done</v>
      </c>
      <c r="E1102" s="24" t="s">
        <v>2833</v>
      </c>
      <c r="F1102" s="24">
        <v>1</v>
      </c>
      <c r="G1102" s="24" t="s">
        <v>2372</v>
      </c>
      <c r="H1102" s="24"/>
      <c r="I1102" s="283"/>
      <c r="J1102" s="164"/>
      <c r="K1102" s="164"/>
      <c r="L1102" s="164"/>
      <c r="M1102" s="164"/>
      <c r="N1102" s="196" t="s">
        <v>405</v>
      </c>
      <c r="O1102" s="164"/>
      <c r="P1102" s="164"/>
      <c r="Q1102" s="164"/>
      <c r="R1102" s="283"/>
      <c r="S1102" s="164"/>
      <c r="T1102" s="283"/>
      <c r="U1102" s="283"/>
      <c r="V1102" s="204"/>
      <c r="W1102" s="225"/>
      <c r="X1102" s="283"/>
      <c r="Y1102" s="283"/>
      <c r="Z1102" s="283"/>
      <c r="AA1102" s="283"/>
      <c r="AB1102" s="283"/>
      <c r="AC1102" s="283"/>
      <c r="AD1102" s="283"/>
      <c r="AE1102" s="283"/>
      <c r="AF1102" s="283"/>
      <c r="AG1102" s="285" t="s">
        <v>115</v>
      </c>
      <c r="AH1102" s="205" t="s">
        <v>406</v>
      </c>
      <c r="AI1102" s="285" t="s">
        <v>407</v>
      </c>
      <c r="AJ1102" s="225"/>
      <c r="AK1102" s="225"/>
      <c r="AL1102" s="24"/>
    </row>
    <row r="1103" spans="1:38" ht="12.75" customHeight="1">
      <c r="A1103" s="22">
        <v>1101</v>
      </c>
      <c r="B1103" s="24" t="s">
        <v>2848</v>
      </c>
      <c r="C1103" s="24" t="str">
        <f t="shared" si="3"/>
        <v>Data Element</v>
      </c>
      <c r="D1103" s="24" t="str">
        <f t="shared" si="2"/>
        <v/>
      </c>
      <c r="E1103" s="24" t="s">
        <v>2833</v>
      </c>
      <c r="F1103" s="24">
        <v>1</v>
      </c>
      <c r="G1103" s="24" t="s">
        <v>2372</v>
      </c>
      <c r="H1103" s="24"/>
      <c r="I1103" s="283"/>
      <c r="J1103" s="196" t="s">
        <v>409</v>
      </c>
      <c r="K1103" s="164" t="s">
        <v>2850</v>
      </c>
      <c r="L1103" s="196" t="s">
        <v>2641</v>
      </c>
      <c r="M1103" s="196" t="s">
        <v>111</v>
      </c>
      <c r="N1103" s="196"/>
      <c r="O1103" s="196"/>
      <c r="P1103" s="196"/>
      <c r="Q1103" s="196"/>
      <c r="R1103" s="283"/>
      <c r="S1103" s="196" t="s">
        <v>208</v>
      </c>
      <c r="T1103" s="283"/>
      <c r="U1103" s="283"/>
      <c r="V1103" s="204" t="s">
        <v>115</v>
      </c>
      <c r="W1103" s="225"/>
      <c r="X1103" s="283"/>
      <c r="Y1103" s="283"/>
      <c r="Z1103" s="283"/>
      <c r="AA1103" s="283"/>
      <c r="AB1103" s="283"/>
      <c r="AC1103" s="283"/>
      <c r="AD1103" s="283"/>
      <c r="AE1103" s="283"/>
      <c r="AF1103" s="283"/>
      <c r="AG1103" s="285" t="s">
        <v>2842</v>
      </c>
      <c r="AH1103" s="285" t="s">
        <v>2642</v>
      </c>
      <c r="AI1103" s="285" t="s">
        <v>2643</v>
      </c>
      <c r="AJ1103" s="225"/>
      <c r="AK1103" s="225"/>
      <c r="AL1103" s="24"/>
    </row>
    <row r="1104" spans="1:38" ht="12.75" customHeight="1">
      <c r="A1104" s="22">
        <v>1102</v>
      </c>
      <c r="B1104" s="24" t="str">
        <f t="shared" ref="B1104:B1106" si="57">IF(N1104="",IF(M1104="Calculation",K1104,J1104),N1104)</f>
        <v xml:space="preserve">Change prescription to weekly dose of 120 mg iron and 2.8 mg folic acid </v>
      </c>
      <c r="C1104" s="24" t="str">
        <f t="shared" si="3"/>
        <v>Data Element</v>
      </c>
      <c r="D1104" s="24" t="str">
        <f t="shared" si="2"/>
        <v/>
      </c>
      <c r="E1104" s="24" t="s">
        <v>2833</v>
      </c>
      <c r="F1104" s="24">
        <v>1</v>
      </c>
      <c r="G1104" s="24" t="s">
        <v>2372</v>
      </c>
      <c r="H1104" s="24"/>
      <c r="I1104" s="283"/>
      <c r="J1104" s="378" t="s">
        <v>2851</v>
      </c>
      <c r="K1104" s="164" t="s">
        <v>2852</v>
      </c>
      <c r="L1104" s="164"/>
      <c r="M1104" s="164" t="s">
        <v>202</v>
      </c>
      <c r="N1104" s="164"/>
      <c r="O1104" s="164"/>
      <c r="P1104" s="164"/>
      <c r="Q1104" s="164"/>
      <c r="R1104" s="283"/>
      <c r="S1104" s="164" t="s">
        <v>113</v>
      </c>
      <c r="T1104" s="283"/>
      <c r="U1104" s="283"/>
      <c r="V1104" s="164" t="s">
        <v>2656</v>
      </c>
      <c r="W1104" s="225"/>
      <c r="X1104" s="283"/>
      <c r="Y1104" s="283"/>
      <c r="Z1104" s="283"/>
      <c r="AA1104" s="283"/>
      <c r="AB1104" s="283"/>
      <c r="AC1104" s="283"/>
      <c r="AD1104" s="283"/>
      <c r="AE1104" s="283"/>
      <c r="AF1104" s="283"/>
      <c r="AG1104" s="285" t="s">
        <v>2853</v>
      </c>
      <c r="AH1104" s="285" t="s">
        <v>2630</v>
      </c>
      <c r="AI1104" s="285" t="s">
        <v>2631</v>
      </c>
      <c r="AJ1104" s="225"/>
      <c r="AK1104" s="225"/>
      <c r="AL1104" s="24"/>
    </row>
    <row r="1105" spans="1:38" ht="12.75" customHeight="1">
      <c r="A1105" s="22">
        <v>1103</v>
      </c>
      <c r="B1105" s="24" t="str">
        <f t="shared" si="57"/>
        <v>Done</v>
      </c>
      <c r="C1105" s="24" t="str">
        <f t="shared" si="3"/>
        <v>Input Option</v>
      </c>
      <c r="D1105" s="24" t="str">
        <f t="shared" si="2"/>
        <v xml:space="preserve">Change prescription to weekly dose of 120 mg iron and 2.8 mg folic acid </v>
      </c>
      <c r="E1105" s="24" t="s">
        <v>2833</v>
      </c>
      <c r="F1105" s="24">
        <v>1</v>
      </c>
      <c r="G1105" s="24" t="s">
        <v>2372</v>
      </c>
      <c r="H1105" s="24"/>
      <c r="I1105" s="283"/>
      <c r="J1105" s="164"/>
      <c r="K1105" s="164"/>
      <c r="L1105" s="164"/>
      <c r="M1105" s="164"/>
      <c r="N1105" s="164" t="s">
        <v>1673</v>
      </c>
      <c r="O1105" s="164"/>
      <c r="P1105" s="164"/>
      <c r="Q1105" s="164"/>
      <c r="R1105" s="283"/>
      <c r="S1105" s="164"/>
      <c r="T1105" s="283"/>
      <c r="U1105" s="283"/>
      <c r="V1105" s="204"/>
      <c r="W1105" s="225"/>
      <c r="X1105" s="283"/>
      <c r="Y1105" s="283"/>
      <c r="Z1105" s="283"/>
      <c r="AA1105" s="283"/>
      <c r="AB1105" s="283"/>
      <c r="AC1105" s="283"/>
      <c r="AD1105" s="283"/>
      <c r="AE1105" s="283"/>
      <c r="AF1105" s="283"/>
      <c r="AG1105" s="285" t="s">
        <v>115</v>
      </c>
      <c r="AH1105" s="285" t="s">
        <v>942</v>
      </c>
      <c r="AI1105" s="205" t="s">
        <v>943</v>
      </c>
      <c r="AJ1105" s="225"/>
      <c r="AK1105" s="225"/>
      <c r="AL1105" s="24"/>
    </row>
    <row r="1106" spans="1:38" ht="12.75" customHeight="1">
      <c r="A1106" s="22">
        <v>1104</v>
      </c>
      <c r="B1106" s="24" t="str">
        <f t="shared" si="57"/>
        <v>Not done</v>
      </c>
      <c r="C1106" s="24" t="str">
        <f t="shared" si="3"/>
        <v>Input Option</v>
      </c>
      <c r="D1106" s="24" t="str">
        <f t="shared" si="2"/>
        <v xml:space="preserve">Change prescription to weekly dose of 120 mg iron and 2.8 mg folic acid </v>
      </c>
      <c r="E1106" s="24" t="s">
        <v>2833</v>
      </c>
      <c r="F1106" s="24">
        <v>1</v>
      </c>
      <c r="G1106" s="24" t="s">
        <v>2372</v>
      </c>
      <c r="H1106" s="24"/>
      <c r="I1106" s="283"/>
      <c r="J1106" s="164"/>
      <c r="K1106" s="164"/>
      <c r="L1106" s="164"/>
      <c r="M1106" s="164"/>
      <c r="N1106" s="164" t="s">
        <v>1468</v>
      </c>
      <c r="O1106" s="164"/>
      <c r="P1106" s="164"/>
      <c r="Q1106" s="164"/>
      <c r="R1106" s="283"/>
      <c r="S1106" s="164"/>
      <c r="T1106" s="283"/>
      <c r="U1106" s="283"/>
      <c r="V1106" s="204"/>
      <c r="W1106" s="225"/>
      <c r="X1106" s="283"/>
      <c r="Y1106" s="283"/>
      <c r="Z1106" s="283"/>
      <c r="AA1106" s="283"/>
      <c r="AB1106" s="283"/>
      <c r="AC1106" s="283"/>
      <c r="AD1106" s="283"/>
      <c r="AE1106" s="283"/>
      <c r="AF1106" s="283"/>
      <c r="AG1106" s="285" t="s">
        <v>115</v>
      </c>
      <c r="AH1106" s="285" t="s">
        <v>1469</v>
      </c>
      <c r="AI1106" s="205" t="s">
        <v>1470</v>
      </c>
      <c r="AJ1106" s="225"/>
      <c r="AK1106" s="225"/>
      <c r="AL1106" s="24"/>
    </row>
    <row r="1107" spans="1:38" ht="12.75" customHeight="1">
      <c r="A1107" s="22">
        <v>1105</v>
      </c>
      <c r="B1107" s="24" t="s">
        <v>2854</v>
      </c>
      <c r="C1107" s="24" t="str">
        <f t="shared" si="3"/>
        <v>Data Element</v>
      </c>
      <c r="D1107" s="24" t="str">
        <f t="shared" si="2"/>
        <v/>
      </c>
      <c r="E1107" s="24" t="s">
        <v>2833</v>
      </c>
      <c r="F1107" s="24">
        <v>1</v>
      </c>
      <c r="G1107" s="24" t="s">
        <v>2372</v>
      </c>
      <c r="H1107" s="24"/>
      <c r="I1107" s="283"/>
      <c r="J1107" s="164" t="s">
        <v>1376</v>
      </c>
      <c r="K1107" s="164" t="s">
        <v>2855</v>
      </c>
      <c r="L1107" s="164" t="s">
        <v>2660</v>
      </c>
      <c r="M1107" s="164" t="s">
        <v>238</v>
      </c>
      <c r="N1107" s="196"/>
      <c r="O1107" s="164"/>
      <c r="P1107" s="164"/>
      <c r="Q1107" s="164"/>
      <c r="R1107" s="283"/>
      <c r="S1107" s="164" t="s">
        <v>113</v>
      </c>
      <c r="T1107" s="283"/>
      <c r="U1107" s="283"/>
      <c r="V1107" s="204" t="s">
        <v>115</v>
      </c>
      <c r="W1107" s="225"/>
      <c r="X1107" s="283"/>
      <c r="Y1107" s="283"/>
      <c r="Z1107" s="283"/>
      <c r="AA1107" s="283"/>
      <c r="AB1107" s="283"/>
      <c r="AC1107" s="283"/>
      <c r="AD1107" s="283"/>
      <c r="AE1107" s="283"/>
      <c r="AF1107" s="283"/>
      <c r="AG1107" s="285" t="s">
        <v>2853</v>
      </c>
      <c r="AH1107" s="285" t="s">
        <v>2635</v>
      </c>
      <c r="AI1107" s="285" t="s">
        <v>2636</v>
      </c>
      <c r="AJ1107" s="225"/>
      <c r="AK1107" s="225"/>
      <c r="AL1107" s="24"/>
    </row>
    <row r="1108" spans="1:38" ht="12.75" customHeight="1">
      <c r="A1108" s="22">
        <v>1106</v>
      </c>
      <c r="B1108" s="24" t="str">
        <f t="shared" ref="B1108:B1109" si="58">IF(N1108="",IF(M1108="Calculation",K1108,J1108),N1108)</f>
        <v>Referred instead</v>
      </c>
      <c r="C1108" s="24" t="str">
        <f t="shared" si="3"/>
        <v>Input Option</v>
      </c>
      <c r="D1108" s="24" t="str">
        <f t="shared" si="2"/>
        <v>Reason Change prescription to weekly dose of 120 mg iron and 2.8 mg folic acid  not done</v>
      </c>
      <c r="E1108" s="24" t="s">
        <v>2833</v>
      </c>
      <c r="F1108" s="24">
        <v>1</v>
      </c>
      <c r="G1108" s="24" t="s">
        <v>2372</v>
      </c>
      <c r="H1108" s="24"/>
      <c r="I1108" s="283"/>
      <c r="J1108" s="164"/>
      <c r="K1108" s="164"/>
      <c r="L1108" s="164"/>
      <c r="M1108" s="164"/>
      <c r="N1108" s="196" t="s">
        <v>2405</v>
      </c>
      <c r="O1108" s="164"/>
      <c r="P1108" s="164"/>
      <c r="Q1108" s="164"/>
      <c r="R1108" s="283"/>
      <c r="S1108" s="164"/>
      <c r="T1108" s="283"/>
      <c r="U1108" s="283"/>
      <c r="V1108" s="204"/>
      <c r="W1108" s="225"/>
      <c r="X1108" s="283"/>
      <c r="Y1108" s="283"/>
      <c r="Z1108" s="283"/>
      <c r="AA1108" s="283"/>
      <c r="AB1108" s="283"/>
      <c r="AC1108" s="283"/>
      <c r="AD1108" s="283"/>
      <c r="AE1108" s="283"/>
      <c r="AF1108" s="283"/>
      <c r="AG1108" s="285" t="s">
        <v>115</v>
      </c>
      <c r="AH1108" s="205" t="s">
        <v>2406</v>
      </c>
      <c r="AI1108" s="285" t="s">
        <v>2407</v>
      </c>
      <c r="AJ1108" s="225"/>
      <c r="AK1108" s="225"/>
      <c r="AL1108" s="24"/>
    </row>
    <row r="1109" spans="1:38" ht="12.75" customHeight="1">
      <c r="A1109" s="22">
        <v>1107</v>
      </c>
      <c r="B1109" s="24" t="str">
        <f t="shared" si="58"/>
        <v>Other (specify)</v>
      </c>
      <c r="C1109" s="24" t="str">
        <f t="shared" si="3"/>
        <v>Input Option</v>
      </c>
      <c r="D1109" s="24" t="str">
        <f t="shared" si="2"/>
        <v>Reason Change prescription to weekly dose of 120 mg iron and 2.8 mg folic acid  not done</v>
      </c>
      <c r="E1109" s="24" t="s">
        <v>2833</v>
      </c>
      <c r="F1109" s="24">
        <v>1</v>
      </c>
      <c r="G1109" s="24" t="s">
        <v>2372</v>
      </c>
      <c r="H1109" s="24"/>
      <c r="I1109" s="283"/>
      <c r="J1109" s="164"/>
      <c r="K1109" s="164"/>
      <c r="L1109" s="164"/>
      <c r="M1109" s="164"/>
      <c r="N1109" s="196" t="s">
        <v>405</v>
      </c>
      <c r="O1109" s="164"/>
      <c r="P1109" s="164"/>
      <c r="Q1109" s="164"/>
      <c r="R1109" s="283"/>
      <c r="S1109" s="164"/>
      <c r="T1109" s="283"/>
      <c r="U1109" s="283"/>
      <c r="V1109" s="204"/>
      <c r="W1109" s="225"/>
      <c r="X1109" s="283"/>
      <c r="Y1109" s="283"/>
      <c r="Z1109" s="283"/>
      <c r="AA1109" s="283"/>
      <c r="AB1109" s="283"/>
      <c r="AC1109" s="283"/>
      <c r="AD1109" s="283"/>
      <c r="AE1109" s="283"/>
      <c r="AF1109" s="283"/>
      <c r="AG1109" s="285" t="s">
        <v>115</v>
      </c>
      <c r="AH1109" s="205" t="s">
        <v>406</v>
      </c>
      <c r="AI1109" s="285" t="s">
        <v>407</v>
      </c>
      <c r="AJ1109" s="225"/>
      <c r="AK1109" s="225"/>
      <c r="AL1109" s="24"/>
    </row>
    <row r="1110" spans="1:38" ht="12.75" customHeight="1">
      <c r="A1110" s="22">
        <v>1108</v>
      </c>
      <c r="B1110" s="24" t="s">
        <v>2856</v>
      </c>
      <c r="C1110" s="24" t="str">
        <f t="shared" si="3"/>
        <v>Data Element</v>
      </c>
      <c r="D1110" s="24" t="str">
        <f t="shared" si="2"/>
        <v/>
      </c>
      <c r="E1110" s="24" t="s">
        <v>2833</v>
      </c>
      <c r="F1110" s="24">
        <v>1</v>
      </c>
      <c r="G1110" s="24" t="s">
        <v>2372</v>
      </c>
      <c r="H1110" s="24"/>
      <c r="I1110" s="283"/>
      <c r="J1110" s="196" t="s">
        <v>409</v>
      </c>
      <c r="K1110" s="164" t="s">
        <v>2857</v>
      </c>
      <c r="L1110" s="196" t="s">
        <v>2641</v>
      </c>
      <c r="M1110" s="196" t="s">
        <v>111</v>
      </c>
      <c r="N1110" s="196"/>
      <c r="O1110" s="196"/>
      <c r="P1110" s="196"/>
      <c r="Q1110" s="196"/>
      <c r="R1110" s="283"/>
      <c r="S1110" s="196" t="s">
        <v>208</v>
      </c>
      <c r="T1110" s="283"/>
      <c r="U1110" s="283"/>
      <c r="V1110" s="204" t="s">
        <v>115</v>
      </c>
      <c r="W1110" s="225"/>
      <c r="X1110" s="283"/>
      <c r="Y1110" s="283"/>
      <c r="Z1110" s="283"/>
      <c r="AA1110" s="283"/>
      <c r="AB1110" s="283"/>
      <c r="AC1110" s="283"/>
      <c r="AD1110" s="283"/>
      <c r="AE1110" s="283"/>
      <c r="AF1110" s="283"/>
      <c r="AG1110" s="285" t="s">
        <v>2853</v>
      </c>
      <c r="AH1110" s="285" t="s">
        <v>2642</v>
      </c>
      <c r="AI1110" s="285" t="s">
        <v>2643</v>
      </c>
      <c r="AJ1110" s="225"/>
      <c r="AK1110" s="225"/>
      <c r="AL1110" s="24"/>
    </row>
    <row r="1111" spans="1:38" ht="12.75" customHeight="1">
      <c r="A1111" s="22">
        <v>1109</v>
      </c>
      <c r="B1111" s="24" t="str">
        <f t="shared" ref="B1111:B1114" si="59">IF(N1111="",IF(M1111="Calculation",K1111,J1111),N1111)</f>
        <v>ifa</v>
      </c>
      <c r="C1111" s="24" t="str">
        <f t="shared" si="3"/>
        <v>Calculation</v>
      </c>
      <c r="D1111" s="24" t="str">
        <f t="shared" si="2"/>
        <v/>
      </c>
      <c r="E1111" s="24" t="s">
        <v>2833</v>
      </c>
      <c r="F1111" s="24">
        <v>1</v>
      </c>
      <c r="G1111" s="24" t="s">
        <v>2372</v>
      </c>
      <c r="H1111" s="24"/>
      <c r="I1111" s="283"/>
      <c r="J1111" s="298" t="s">
        <v>115</v>
      </c>
      <c r="K1111" s="298" t="s">
        <v>2858</v>
      </c>
      <c r="L1111" s="298" t="s">
        <v>2666</v>
      </c>
      <c r="M1111" s="298" t="s">
        <v>65</v>
      </c>
      <c r="N1111" s="164"/>
      <c r="O1111" s="298" t="s">
        <v>2859</v>
      </c>
      <c r="P1111" s="298"/>
      <c r="Q1111" s="164"/>
      <c r="R1111" s="283"/>
      <c r="S1111" s="298" t="s">
        <v>115</v>
      </c>
      <c r="T1111" s="283"/>
      <c r="U1111" s="283"/>
      <c r="V1111" s="298" t="s">
        <v>115</v>
      </c>
      <c r="W1111" s="225"/>
      <c r="X1111" s="283"/>
      <c r="Y1111" s="283"/>
      <c r="Z1111" s="283"/>
      <c r="AA1111" s="283"/>
      <c r="AB1111" s="283"/>
      <c r="AC1111" s="283"/>
      <c r="AD1111" s="283"/>
      <c r="AE1111" s="283"/>
      <c r="AF1111" s="283"/>
      <c r="AG1111" s="285" t="s">
        <v>115</v>
      </c>
      <c r="AH1111" s="285" t="s">
        <v>115</v>
      </c>
      <c r="AI1111" s="285" t="s">
        <v>115</v>
      </c>
      <c r="AJ1111" s="225"/>
      <c r="AK1111" s="225"/>
      <c r="AL1111" s="24"/>
    </row>
    <row r="1112" spans="1:38" ht="12.75" customHeight="1">
      <c r="A1112" s="22">
        <v>1110</v>
      </c>
      <c r="B1112" s="24" t="str">
        <f t="shared" si="59"/>
        <v>Prescribe single dose albendazole 400 mg or mebendazole 500 mg</v>
      </c>
      <c r="C1112" s="24" t="str">
        <f t="shared" si="3"/>
        <v>Data Element</v>
      </c>
      <c r="D1112" s="24" t="str">
        <f t="shared" si="2"/>
        <v/>
      </c>
      <c r="E1112" s="24" t="s">
        <v>2861</v>
      </c>
      <c r="F1112" s="24">
        <v>1</v>
      </c>
      <c r="G1112" s="24" t="s">
        <v>2372</v>
      </c>
      <c r="H1112" s="24"/>
      <c r="I1112" s="283"/>
      <c r="J1112" s="164" t="s">
        <v>2860</v>
      </c>
      <c r="K1112" s="164" t="s">
        <v>2862</v>
      </c>
      <c r="L1112" s="164"/>
      <c r="M1112" s="164" t="s">
        <v>202</v>
      </c>
      <c r="N1112" s="164"/>
      <c r="O1112" s="164"/>
      <c r="P1112" s="164"/>
      <c r="Q1112" s="164"/>
      <c r="R1112" s="283"/>
      <c r="S1112" s="164" t="s">
        <v>113</v>
      </c>
      <c r="T1112" s="283"/>
      <c r="U1112" s="283"/>
      <c r="V1112" s="164" t="s">
        <v>2863</v>
      </c>
      <c r="W1112" s="225"/>
      <c r="X1112" s="283"/>
      <c r="Y1112" s="283"/>
      <c r="Z1112" s="283"/>
      <c r="AA1112" s="283"/>
      <c r="AB1112" s="283"/>
      <c r="AC1112" s="283"/>
      <c r="AD1112" s="283"/>
      <c r="AE1112" s="283"/>
      <c r="AF1112" s="283"/>
      <c r="AG1112" s="285" t="s">
        <v>2864</v>
      </c>
      <c r="AH1112" s="285" t="s">
        <v>2630</v>
      </c>
      <c r="AI1112" s="285" t="s">
        <v>2631</v>
      </c>
      <c r="AJ1112" s="225"/>
      <c r="AK1112" s="225"/>
      <c r="AL1112" s="24"/>
    </row>
    <row r="1113" spans="1:38" ht="12.75" customHeight="1">
      <c r="A1113" s="22">
        <v>1111</v>
      </c>
      <c r="B1113" s="24" t="str">
        <f t="shared" si="59"/>
        <v>Done</v>
      </c>
      <c r="C1113" s="24" t="str">
        <f t="shared" si="3"/>
        <v>Input Option</v>
      </c>
      <c r="D1113" s="24" t="str">
        <f t="shared" si="2"/>
        <v>Prescribe single dose albendazole 400 mg or mebendazole 500 mg</v>
      </c>
      <c r="E1113" s="24" t="s">
        <v>2861</v>
      </c>
      <c r="F1113" s="24">
        <v>1</v>
      </c>
      <c r="G1113" s="24" t="s">
        <v>2372</v>
      </c>
      <c r="H1113" s="24"/>
      <c r="I1113" s="283"/>
      <c r="J1113" s="164"/>
      <c r="K1113" s="164"/>
      <c r="L1113" s="164"/>
      <c r="M1113" s="164"/>
      <c r="N1113" s="164" t="s">
        <v>1673</v>
      </c>
      <c r="O1113" s="196"/>
      <c r="P1113" s="196"/>
      <c r="Q1113" s="196"/>
      <c r="R1113" s="283"/>
      <c r="S1113" s="234"/>
      <c r="T1113" s="283"/>
      <c r="U1113" s="283"/>
      <c r="V1113" s="196"/>
      <c r="W1113" s="225"/>
      <c r="X1113" s="283"/>
      <c r="Y1113" s="283"/>
      <c r="Z1113" s="283"/>
      <c r="AA1113" s="283"/>
      <c r="AB1113" s="283"/>
      <c r="AC1113" s="283"/>
      <c r="AD1113" s="283"/>
      <c r="AE1113" s="283"/>
      <c r="AF1113" s="283"/>
      <c r="AG1113" s="285" t="s">
        <v>115</v>
      </c>
      <c r="AH1113" s="285" t="s">
        <v>942</v>
      </c>
      <c r="AI1113" s="205" t="s">
        <v>943</v>
      </c>
      <c r="AJ1113" s="225"/>
      <c r="AK1113" s="225"/>
      <c r="AL1113" s="24"/>
    </row>
    <row r="1114" spans="1:38" ht="12.75" customHeight="1">
      <c r="A1114" s="22">
        <v>1112</v>
      </c>
      <c r="B1114" s="24" t="str">
        <f t="shared" si="59"/>
        <v>Not done</v>
      </c>
      <c r="C1114" s="24" t="str">
        <f t="shared" si="3"/>
        <v>Input Option</v>
      </c>
      <c r="D1114" s="24" t="str">
        <f t="shared" si="2"/>
        <v>Prescribe single dose albendazole 400 mg or mebendazole 500 mg</v>
      </c>
      <c r="E1114" s="24" t="s">
        <v>2861</v>
      </c>
      <c r="F1114" s="24">
        <v>1</v>
      </c>
      <c r="G1114" s="24" t="s">
        <v>2372</v>
      </c>
      <c r="H1114" s="24"/>
      <c r="I1114" s="283"/>
      <c r="J1114" s="164"/>
      <c r="K1114" s="164"/>
      <c r="L1114" s="164"/>
      <c r="M1114" s="164"/>
      <c r="N1114" s="164" t="s">
        <v>1468</v>
      </c>
      <c r="O1114" s="196"/>
      <c r="P1114" s="196"/>
      <c r="Q1114" s="196"/>
      <c r="R1114" s="283"/>
      <c r="S1114" s="234"/>
      <c r="T1114" s="283"/>
      <c r="U1114" s="283"/>
      <c r="V1114" s="196"/>
      <c r="W1114" s="225"/>
      <c r="X1114" s="283"/>
      <c r="Y1114" s="283"/>
      <c r="Z1114" s="283"/>
      <c r="AA1114" s="283"/>
      <c r="AB1114" s="283"/>
      <c r="AC1114" s="283"/>
      <c r="AD1114" s="283"/>
      <c r="AE1114" s="283"/>
      <c r="AF1114" s="283"/>
      <c r="AG1114" s="285" t="s">
        <v>115</v>
      </c>
      <c r="AH1114" s="285" t="s">
        <v>1469</v>
      </c>
      <c r="AI1114" s="205" t="s">
        <v>1470</v>
      </c>
      <c r="AJ1114" s="225"/>
      <c r="AK1114" s="225"/>
      <c r="AL1114" s="24"/>
    </row>
    <row r="1115" spans="1:38" ht="12.75" customHeight="1">
      <c r="A1115" s="22">
        <v>1113</v>
      </c>
      <c r="B1115" s="24" t="s">
        <v>2865</v>
      </c>
      <c r="C1115" s="24" t="str">
        <f t="shared" si="3"/>
        <v>Data Element</v>
      </c>
      <c r="D1115" s="24" t="str">
        <f t="shared" si="2"/>
        <v/>
      </c>
      <c r="E1115" s="24" t="s">
        <v>2861</v>
      </c>
      <c r="F1115" s="24">
        <v>1</v>
      </c>
      <c r="G1115" s="24" t="s">
        <v>2372</v>
      </c>
      <c r="H1115" s="24"/>
      <c r="I1115" s="283"/>
      <c r="J1115" s="164" t="s">
        <v>1376</v>
      </c>
      <c r="K1115" s="164" t="s">
        <v>2866</v>
      </c>
      <c r="L1115" s="164" t="s">
        <v>2867</v>
      </c>
      <c r="M1115" s="164" t="s">
        <v>202</v>
      </c>
      <c r="N1115" s="196"/>
      <c r="O1115" s="196"/>
      <c r="P1115" s="196"/>
      <c r="Q1115" s="196"/>
      <c r="R1115" s="283"/>
      <c r="S1115" s="234" t="s">
        <v>113</v>
      </c>
      <c r="T1115" s="283"/>
      <c r="U1115" s="283"/>
      <c r="V1115" s="196" t="s">
        <v>115</v>
      </c>
      <c r="W1115" s="225"/>
      <c r="X1115" s="283"/>
      <c r="Y1115" s="283"/>
      <c r="Z1115" s="283"/>
      <c r="AA1115" s="283"/>
      <c r="AB1115" s="283"/>
      <c r="AC1115" s="283"/>
      <c r="AD1115" s="283"/>
      <c r="AE1115" s="283"/>
      <c r="AF1115" s="283"/>
      <c r="AG1115" s="285" t="s">
        <v>2864</v>
      </c>
      <c r="AH1115" s="285" t="s">
        <v>2635</v>
      </c>
      <c r="AI1115" s="285" t="s">
        <v>2636</v>
      </c>
      <c r="AJ1115" s="225"/>
      <c r="AK1115" s="225"/>
      <c r="AL1115" s="24"/>
    </row>
    <row r="1116" spans="1:38" ht="12.75" customHeight="1">
      <c r="A1116" s="22">
        <v>1114</v>
      </c>
      <c r="B1116" s="24" t="str">
        <f t="shared" ref="B1116:B1117" si="60">IF(N1116="",IF(M1116="Calculation",K1116,J1116),N1116)</f>
        <v>Referred instead</v>
      </c>
      <c r="C1116" s="24" t="str">
        <f t="shared" si="3"/>
        <v>Input Option</v>
      </c>
      <c r="D1116" s="24" t="str">
        <f t="shared" si="2"/>
        <v>Reason Prescribe single dose albendazole 400 mg or mebendazole 500 mg not done</v>
      </c>
      <c r="E1116" s="24" t="s">
        <v>2861</v>
      </c>
      <c r="F1116" s="24">
        <v>1</v>
      </c>
      <c r="G1116" s="24" t="s">
        <v>2372</v>
      </c>
      <c r="H1116" s="24"/>
      <c r="I1116" s="283"/>
      <c r="J1116" s="164"/>
      <c r="K1116" s="164"/>
      <c r="L1116" s="164"/>
      <c r="M1116" s="164"/>
      <c r="N1116" s="196" t="s">
        <v>2405</v>
      </c>
      <c r="O1116" s="196"/>
      <c r="P1116" s="196"/>
      <c r="Q1116" s="196"/>
      <c r="R1116" s="283"/>
      <c r="S1116" s="234"/>
      <c r="T1116" s="283"/>
      <c r="U1116" s="283"/>
      <c r="V1116" s="196"/>
      <c r="W1116" s="225"/>
      <c r="X1116" s="283"/>
      <c r="Y1116" s="283"/>
      <c r="Z1116" s="283"/>
      <c r="AA1116" s="283"/>
      <c r="AB1116" s="283"/>
      <c r="AC1116" s="283"/>
      <c r="AD1116" s="283"/>
      <c r="AE1116" s="283"/>
      <c r="AF1116" s="283"/>
      <c r="AG1116" s="285" t="s">
        <v>115</v>
      </c>
      <c r="AH1116" s="205" t="s">
        <v>2406</v>
      </c>
      <c r="AI1116" s="285" t="s">
        <v>2407</v>
      </c>
      <c r="AJ1116" s="225"/>
      <c r="AK1116" s="225"/>
      <c r="AL1116" s="24"/>
    </row>
    <row r="1117" spans="1:38" ht="12.75" customHeight="1">
      <c r="A1117" s="22">
        <v>1115</v>
      </c>
      <c r="B1117" s="24" t="str">
        <f t="shared" si="60"/>
        <v>Other (specify)</v>
      </c>
      <c r="C1117" s="24" t="str">
        <f t="shared" si="3"/>
        <v>Input Option</v>
      </c>
      <c r="D1117" s="24" t="str">
        <f t="shared" si="2"/>
        <v>Reason Prescribe single dose albendazole 400 mg or mebendazole 500 mg not done</v>
      </c>
      <c r="E1117" s="24" t="s">
        <v>2861</v>
      </c>
      <c r="F1117" s="24">
        <v>1</v>
      </c>
      <c r="G1117" s="24" t="s">
        <v>2372</v>
      </c>
      <c r="H1117" s="24"/>
      <c r="I1117" s="283"/>
      <c r="J1117" s="164"/>
      <c r="K1117" s="164"/>
      <c r="L1117" s="164"/>
      <c r="M1117" s="164"/>
      <c r="N1117" s="196" t="s">
        <v>405</v>
      </c>
      <c r="O1117" s="196"/>
      <c r="P1117" s="196"/>
      <c r="Q1117" s="196"/>
      <c r="R1117" s="283"/>
      <c r="S1117" s="234"/>
      <c r="T1117" s="283"/>
      <c r="U1117" s="283"/>
      <c r="V1117" s="196"/>
      <c r="W1117" s="225"/>
      <c r="X1117" s="283"/>
      <c r="Y1117" s="283"/>
      <c r="Z1117" s="283"/>
      <c r="AA1117" s="283"/>
      <c r="AB1117" s="283"/>
      <c r="AC1117" s="283"/>
      <c r="AD1117" s="283"/>
      <c r="AE1117" s="283"/>
      <c r="AF1117" s="283"/>
      <c r="AG1117" s="285" t="s">
        <v>115</v>
      </c>
      <c r="AH1117" s="205" t="s">
        <v>406</v>
      </c>
      <c r="AI1117" s="285" t="s">
        <v>407</v>
      </c>
      <c r="AJ1117" s="225"/>
      <c r="AK1117" s="225"/>
      <c r="AL1117" s="24"/>
    </row>
    <row r="1118" spans="1:38" ht="12.75" customHeight="1">
      <c r="A1118" s="22">
        <v>1116</v>
      </c>
      <c r="B1118" s="24" t="s">
        <v>2868</v>
      </c>
      <c r="C1118" s="24" t="str">
        <f t="shared" si="3"/>
        <v>Data Element</v>
      </c>
      <c r="D1118" s="24" t="str">
        <f t="shared" si="2"/>
        <v/>
      </c>
      <c r="E1118" s="24" t="s">
        <v>2861</v>
      </c>
      <c r="F1118" s="24">
        <v>1</v>
      </c>
      <c r="G1118" s="24" t="s">
        <v>2372</v>
      </c>
      <c r="H1118" s="24"/>
      <c r="I1118" s="283"/>
      <c r="J1118" s="196" t="s">
        <v>409</v>
      </c>
      <c r="K1118" s="196" t="s">
        <v>2869</v>
      </c>
      <c r="L1118" s="196" t="s">
        <v>2720</v>
      </c>
      <c r="M1118" s="196" t="s">
        <v>111</v>
      </c>
      <c r="N1118" s="196"/>
      <c r="O1118" s="196"/>
      <c r="P1118" s="196"/>
      <c r="Q1118" s="196"/>
      <c r="R1118" s="283"/>
      <c r="S1118" s="196" t="s">
        <v>208</v>
      </c>
      <c r="T1118" s="283"/>
      <c r="U1118" s="283"/>
      <c r="V1118" s="196" t="s">
        <v>115</v>
      </c>
      <c r="W1118" s="225"/>
      <c r="X1118" s="283"/>
      <c r="Y1118" s="283"/>
      <c r="Z1118" s="283"/>
      <c r="AA1118" s="283"/>
      <c r="AB1118" s="283"/>
      <c r="AC1118" s="283"/>
      <c r="AD1118" s="283"/>
      <c r="AE1118" s="283"/>
      <c r="AF1118" s="283"/>
      <c r="AG1118" s="285" t="s">
        <v>2864</v>
      </c>
      <c r="AH1118" s="285" t="s">
        <v>2642</v>
      </c>
      <c r="AI1118" s="285" t="s">
        <v>2643</v>
      </c>
      <c r="AJ1118" s="225"/>
      <c r="AK1118" s="225"/>
      <c r="AL1118" s="24"/>
    </row>
    <row r="1119" spans="1:38" ht="12.75" customHeight="1">
      <c r="A1119" s="22">
        <v>1117</v>
      </c>
      <c r="B1119" s="24" t="str">
        <f t="shared" ref="B1119:B1134" si="61">IF(N1119="",IF(M1119="Calculation",K1119,J1119),N1119)</f>
        <v>alben_meben</v>
      </c>
      <c r="C1119" s="24" t="str">
        <f t="shared" si="3"/>
        <v>Calculation</v>
      </c>
      <c r="D1119" s="24" t="str">
        <f t="shared" si="2"/>
        <v/>
      </c>
      <c r="E1119" s="24" t="s">
        <v>2861</v>
      </c>
      <c r="F1119" s="24">
        <v>1</v>
      </c>
      <c r="G1119" s="24" t="s">
        <v>2372</v>
      </c>
      <c r="H1119" s="24"/>
      <c r="I1119" s="283"/>
      <c r="J1119" s="298" t="s">
        <v>115</v>
      </c>
      <c r="K1119" s="298" t="s">
        <v>2871</v>
      </c>
      <c r="L1119" s="298" t="s">
        <v>2872</v>
      </c>
      <c r="M1119" s="298" t="s">
        <v>65</v>
      </c>
      <c r="N1119" s="164"/>
      <c r="O1119" s="298" t="s">
        <v>2873</v>
      </c>
      <c r="P1119" s="298"/>
      <c r="Q1119" s="164"/>
      <c r="R1119" s="283"/>
      <c r="S1119" s="298" t="s">
        <v>115</v>
      </c>
      <c r="T1119" s="283"/>
      <c r="U1119" s="283"/>
      <c r="V1119" s="298" t="s">
        <v>115</v>
      </c>
      <c r="W1119" s="225"/>
      <c r="X1119" s="283"/>
      <c r="Y1119" s="283"/>
      <c r="Z1119" s="283"/>
      <c r="AA1119" s="283"/>
      <c r="AB1119" s="283"/>
      <c r="AC1119" s="283"/>
      <c r="AD1119" s="283"/>
      <c r="AE1119" s="283"/>
      <c r="AF1119" s="283"/>
      <c r="AG1119" s="285" t="s">
        <v>115</v>
      </c>
      <c r="AH1119" s="285" t="s">
        <v>115</v>
      </c>
      <c r="AI1119" s="285" t="s">
        <v>115</v>
      </c>
      <c r="AJ1119" s="225"/>
      <c r="AK1119" s="225"/>
      <c r="AL1119" s="24"/>
    </row>
    <row r="1120" spans="1:38" ht="12.75" customHeight="1">
      <c r="A1120" s="22">
        <v>1118</v>
      </c>
      <c r="B1120" s="24" t="str">
        <f t="shared" si="61"/>
        <v>IPTp-SP dose 1</v>
      </c>
      <c r="C1120" s="24" t="str">
        <f t="shared" si="3"/>
        <v>Data Element</v>
      </c>
      <c r="D1120" s="24" t="str">
        <f t="shared" si="2"/>
        <v/>
      </c>
      <c r="E1120" s="24" t="s">
        <v>2875</v>
      </c>
      <c r="F1120" s="24">
        <v>1</v>
      </c>
      <c r="G1120" s="24" t="s">
        <v>2372</v>
      </c>
      <c r="H1120" s="24"/>
      <c r="I1120" s="283"/>
      <c r="J1120" s="234" t="s">
        <v>2874</v>
      </c>
      <c r="K1120" s="234" t="s">
        <v>2876</v>
      </c>
      <c r="L1120" s="164"/>
      <c r="M1120" s="164" t="s">
        <v>202</v>
      </c>
      <c r="N1120" s="164"/>
      <c r="O1120" s="196"/>
      <c r="P1120" s="196"/>
      <c r="Q1120" s="234" t="s">
        <v>2878</v>
      </c>
      <c r="R1120" s="283"/>
      <c r="S1120" s="234" t="s">
        <v>113</v>
      </c>
      <c r="T1120" s="283"/>
      <c r="U1120" s="283"/>
      <c r="V1120" s="164" t="s">
        <v>2879</v>
      </c>
      <c r="W1120" s="225"/>
      <c r="X1120" s="283"/>
      <c r="Y1120" s="283"/>
      <c r="Z1120" s="283"/>
      <c r="AA1120" s="283"/>
      <c r="AB1120" s="283"/>
      <c r="AC1120" s="283"/>
      <c r="AD1120" s="283"/>
      <c r="AE1120" s="283"/>
      <c r="AF1120" s="283"/>
      <c r="AG1120" s="205" t="s">
        <v>2880</v>
      </c>
      <c r="AH1120" s="285" t="s">
        <v>2630</v>
      </c>
      <c r="AI1120" s="285" t="s">
        <v>2631</v>
      </c>
      <c r="AJ1120" s="225"/>
      <c r="AK1120" s="225"/>
      <c r="AL1120" s="24"/>
    </row>
    <row r="1121" spans="1:38" ht="12.75" customHeight="1">
      <c r="A1121" s="22">
        <v>1119</v>
      </c>
      <c r="B1121" s="24" t="str">
        <f t="shared" si="61"/>
        <v>Done</v>
      </c>
      <c r="C1121" s="24" t="str">
        <f t="shared" si="3"/>
        <v>Input Option</v>
      </c>
      <c r="D1121" s="24" t="str">
        <f t="shared" si="2"/>
        <v>IPTp-SP dose 1</v>
      </c>
      <c r="E1121" s="24" t="s">
        <v>2875</v>
      </c>
      <c r="F1121" s="24">
        <v>1</v>
      </c>
      <c r="G1121" s="24" t="s">
        <v>2372</v>
      </c>
      <c r="H1121" s="24"/>
      <c r="I1121" s="283"/>
      <c r="J1121" s="234"/>
      <c r="K1121" s="234"/>
      <c r="L1121" s="196"/>
      <c r="M1121" s="164"/>
      <c r="N1121" s="164" t="s">
        <v>1673</v>
      </c>
      <c r="O1121" s="196"/>
      <c r="P1121" s="196"/>
      <c r="Q1121" s="234"/>
      <c r="R1121" s="283"/>
      <c r="S1121" s="164"/>
      <c r="T1121" s="283"/>
      <c r="U1121" s="283"/>
      <c r="V1121" s="196"/>
      <c r="W1121" s="225"/>
      <c r="X1121" s="283"/>
      <c r="Y1121" s="283"/>
      <c r="Z1121" s="283"/>
      <c r="AA1121" s="283"/>
      <c r="AB1121" s="283"/>
      <c r="AC1121" s="283"/>
      <c r="AD1121" s="283"/>
      <c r="AE1121" s="283"/>
      <c r="AF1121" s="283"/>
      <c r="AG1121" s="205" t="s">
        <v>115</v>
      </c>
      <c r="AH1121" s="285" t="s">
        <v>942</v>
      </c>
      <c r="AI1121" s="205" t="s">
        <v>943</v>
      </c>
      <c r="AJ1121" s="225"/>
      <c r="AK1121" s="225"/>
      <c r="AL1121" s="24"/>
    </row>
    <row r="1122" spans="1:38" ht="12.75" customHeight="1">
      <c r="A1122" s="22">
        <v>1120</v>
      </c>
      <c r="B1122" s="24" t="str">
        <f t="shared" si="61"/>
        <v>Not done</v>
      </c>
      <c r="C1122" s="24" t="str">
        <f t="shared" si="3"/>
        <v>Input Option</v>
      </c>
      <c r="D1122" s="24" t="str">
        <f t="shared" si="2"/>
        <v>IPTp-SP dose 1</v>
      </c>
      <c r="E1122" s="24" t="s">
        <v>2875</v>
      </c>
      <c r="F1122" s="24">
        <v>1</v>
      </c>
      <c r="G1122" s="24" t="s">
        <v>2372</v>
      </c>
      <c r="H1122" s="24"/>
      <c r="I1122" s="283"/>
      <c r="J1122" s="234"/>
      <c r="K1122" s="234"/>
      <c r="L1122" s="196"/>
      <c r="M1122" s="164"/>
      <c r="N1122" s="164" t="s">
        <v>1468</v>
      </c>
      <c r="O1122" s="196"/>
      <c r="P1122" s="196"/>
      <c r="Q1122" s="234"/>
      <c r="R1122" s="283"/>
      <c r="S1122" s="164"/>
      <c r="T1122" s="283"/>
      <c r="U1122" s="283"/>
      <c r="V1122" s="196"/>
      <c r="W1122" s="225"/>
      <c r="X1122" s="283"/>
      <c r="Y1122" s="283"/>
      <c r="Z1122" s="283"/>
      <c r="AA1122" s="283"/>
      <c r="AB1122" s="283"/>
      <c r="AC1122" s="283"/>
      <c r="AD1122" s="283"/>
      <c r="AE1122" s="283"/>
      <c r="AF1122" s="283"/>
      <c r="AG1122" s="205" t="s">
        <v>115</v>
      </c>
      <c r="AH1122" s="285" t="s">
        <v>1469</v>
      </c>
      <c r="AI1122" s="205" t="s">
        <v>1470</v>
      </c>
      <c r="AJ1122" s="225"/>
      <c r="AK1122" s="225"/>
      <c r="AL1122" s="24"/>
    </row>
    <row r="1123" spans="1:38" ht="12.75" customHeight="1">
      <c r="A1123" s="22">
        <v>1121</v>
      </c>
      <c r="B1123" s="24" t="str">
        <f t="shared" si="61"/>
        <v>iptp_sp1_dose_number</v>
      </c>
      <c r="C1123" s="24" t="str">
        <f t="shared" si="3"/>
        <v>Calculation</v>
      </c>
      <c r="D1123" s="24" t="str">
        <f t="shared" si="2"/>
        <v/>
      </c>
      <c r="E1123" s="24" t="s">
        <v>2875</v>
      </c>
      <c r="F1123" s="24">
        <v>1</v>
      </c>
      <c r="G1123" s="24" t="s">
        <v>2372</v>
      </c>
      <c r="H1123" s="24"/>
      <c r="I1123" s="283"/>
      <c r="J1123" s="297"/>
      <c r="K1123" s="297" t="s">
        <v>2881</v>
      </c>
      <c r="L1123" s="164" t="s">
        <v>2882</v>
      </c>
      <c r="M1123" s="164" t="s">
        <v>65</v>
      </c>
      <c r="N1123" s="164"/>
      <c r="O1123" s="379">
        <v>1</v>
      </c>
      <c r="P1123" s="379"/>
      <c r="Q1123" s="164"/>
      <c r="R1123" s="283"/>
      <c r="S1123" s="164"/>
      <c r="T1123" s="283"/>
      <c r="U1123" s="283"/>
      <c r="V1123" s="164"/>
      <c r="W1123" s="225"/>
      <c r="X1123" s="283"/>
      <c r="Y1123" s="283"/>
      <c r="Z1123" s="283"/>
      <c r="AA1123" s="283"/>
      <c r="AB1123" s="283"/>
      <c r="AC1123" s="283"/>
      <c r="AD1123" s="283"/>
      <c r="AE1123" s="283"/>
      <c r="AF1123" s="283"/>
      <c r="AG1123" s="205" t="s">
        <v>2880</v>
      </c>
      <c r="AH1123" s="205" t="s">
        <v>2883</v>
      </c>
      <c r="AI1123" s="205" t="s">
        <v>2884</v>
      </c>
      <c r="AJ1123" s="225"/>
      <c r="AK1123" s="225"/>
      <c r="AL1123" s="24"/>
    </row>
    <row r="1124" spans="1:38" ht="12.75" customHeight="1">
      <c r="A1124" s="22">
        <v>1122</v>
      </c>
      <c r="B1124" s="24" t="str">
        <f t="shared" si="61"/>
        <v>iptp_sp1_date</v>
      </c>
      <c r="C1124" s="24" t="str">
        <f t="shared" si="3"/>
        <v>Calculation</v>
      </c>
      <c r="D1124" s="24" t="str">
        <f t="shared" si="2"/>
        <v/>
      </c>
      <c r="E1124" s="24" t="s">
        <v>2875</v>
      </c>
      <c r="F1124" s="24">
        <v>1</v>
      </c>
      <c r="G1124" s="24" t="s">
        <v>2372</v>
      </c>
      <c r="H1124" s="24"/>
      <c r="I1124" s="283"/>
      <c r="J1124" s="297"/>
      <c r="K1124" s="297" t="s">
        <v>2885</v>
      </c>
      <c r="L1124" s="164" t="s">
        <v>2886</v>
      </c>
      <c r="M1124" s="164" t="s">
        <v>65</v>
      </c>
      <c r="N1124" s="164"/>
      <c r="O1124" s="164" t="s">
        <v>2887</v>
      </c>
      <c r="P1124" s="164"/>
      <c r="Q1124" s="164"/>
      <c r="R1124" s="283"/>
      <c r="S1124" s="164"/>
      <c r="T1124" s="283"/>
      <c r="U1124" s="283"/>
      <c r="V1124" s="164"/>
      <c r="W1124" s="225"/>
      <c r="X1124" s="283"/>
      <c r="Y1124" s="283"/>
      <c r="Z1124" s="283"/>
      <c r="AA1124" s="283"/>
      <c r="AB1124" s="283"/>
      <c r="AC1124" s="283"/>
      <c r="AD1124" s="283"/>
      <c r="AE1124" s="283"/>
      <c r="AF1124" s="283"/>
      <c r="AG1124" s="205" t="s">
        <v>115</v>
      </c>
      <c r="AH1124" s="205" t="s">
        <v>115</v>
      </c>
      <c r="AI1124" s="205" t="s">
        <v>115</v>
      </c>
      <c r="AJ1124" s="225"/>
      <c r="AK1124" s="225"/>
      <c r="AL1124" s="24"/>
    </row>
    <row r="1125" spans="1:38" ht="12.75" customHeight="1">
      <c r="A1125" s="22">
        <v>1123</v>
      </c>
      <c r="B1125" s="24" t="str">
        <f t="shared" si="61"/>
        <v>IPTp-SP dose 2</v>
      </c>
      <c r="C1125" s="24" t="str">
        <f t="shared" si="3"/>
        <v>Data Element</v>
      </c>
      <c r="D1125" s="24" t="str">
        <f t="shared" si="2"/>
        <v/>
      </c>
      <c r="E1125" s="24" t="s">
        <v>2875</v>
      </c>
      <c r="F1125" s="24">
        <v>1</v>
      </c>
      <c r="G1125" s="24" t="s">
        <v>2372</v>
      </c>
      <c r="H1125" s="24"/>
      <c r="I1125" s="283"/>
      <c r="J1125" s="297" t="s">
        <v>2888</v>
      </c>
      <c r="K1125" s="297" t="s">
        <v>2889</v>
      </c>
      <c r="L1125" s="164"/>
      <c r="M1125" s="164" t="s">
        <v>202</v>
      </c>
      <c r="N1125" s="164"/>
      <c r="O1125" s="164"/>
      <c r="P1125" s="164"/>
      <c r="Q1125" s="164" t="s">
        <v>2878</v>
      </c>
      <c r="R1125" s="283"/>
      <c r="S1125" s="164" t="s">
        <v>113</v>
      </c>
      <c r="T1125" s="283"/>
      <c r="U1125" s="283"/>
      <c r="V1125" s="164" t="s">
        <v>2890</v>
      </c>
      <c r="W1125" s="225"/>
      <c r="X1125" s="283"/>
      <c r="Y1125" s="283"/>
      <c r="Z1125" s="283"/>
      <c r="AA1125" s="283"/>
      <c r="AB1125" s="283"/>
      <c r="AC1125" s="283"/>
      <c r="AD1125" s="283"/>
      <c r="AE1125" s="283"/>
      <c r="AF1125" s="283"/>
      <c r="AG1125" s="205" t="s">
        <v>2880</v>
      </c>
      <c r="AH1125" s="285" t="s">
        <v>2630</v>
      </c>
      <c r="AI1125" s="285" t="s">
        <v>2631</v>
      </c>
      <c r="AJ1125" s="225"/>
      <c r="AK1125" s="225"/>
      <c r="AL1125" s="24"/>
    </row>
    <row r="1126" spans="1:38" ht="12.75" customHeight="1">
      <c r="A1126" s="22">
        <v>1124</v>
      </c>
      <c r="B1126" s="24" t="str">
        <f t="shared" si="61"/>
        <v>Done</v>
      </c>
      <c r="C1126" s="24" t="str">
        <f t="shared" si="3"/>
        <v>Input Option</v>
      </c>
      <c r="D1126" s="24" t="str">
        <f t="shared" si="2"/>
        <v>IPTp-SP dose 2</v>
      </c>
      <c r="E1126" s="24" t="s">
        <v>2875</v>
      </c>
      <c r="F1126" s="24">
        <v>1</v>
      </c>
      <c r="G1126" s="24" t="s">
        <v>2372</v>
      </c>
      <c r="H1126" s="24"/>
      <c r="I1126" s="283"/>
      <c r="J1126" s="234"/>
      <c r="K1126" s="234"/>
      <c r="L1126" s="196"/>
      <c r="M1126" s="164"/>
      <c r="N1126" s="164" t="s">
        <v>1673</v>
      </c>
      <c r="O1126" s="196"/>
      <c r="P1126" s="196"/>
      <c r="Q1126" s="234"/>
      <c r="R1126" s="283"/>
      <c r="S1126" s="164"/>
      <c r="T1126" s="283"/>
      <c r="U1126" s="283"/>
      <c r="V1126" s="196"/>
      <c r="W1126" s="225"/>
      <c r="X1126" s="283"/>
      <c r="Y1126" s="283"/>
      <c r="Z1126" s="283"/>
      <c r="AA1126" s="283"/>
      <c r="AB1126" s="283"/>
      <c r="AC1126" s="283"/>
      <c r="AD1126" s="283"/>
      <c r="AE1126" s="283"/>
      <c r="AF1126" s="283"/>
      <c r="AG1126" s="205" t="s">
        <v>115</v>
      </c>
      <c r="AH1126" s="285" t="s">
        <v>942</v>
      </c>
      <c r="AI1126" s="205" t="s">
        <v>943</v>
      </c>
      <c r="AJ1126" s="225"/>
      <c r="AK1126" s="225"/>
      <c r="AL1126" s="24"/>
    </row>
    <row r="1127" spans="1:38" ht="12.75" customHeight="1">
      <c r="A1127" s="22">
        <v>1125</v>
      </c>
      <c r="B1127" s="24" t="str">
        <f t="shared" si="61"/>
        <v>Not done</v>
      </c>
      <c r="C1127" s="24" t="str">
        <f t="shared" si="3"/>
        <v>Input Option</v>
      </c>
      <c r="D1127" s="24" t="str">
        <f t="shared" si="2"/>
        <v>IPTp-SP dose 2</v>
      </c>
      <c r="E1127" s="24" t="s">
        <v>2875</v>
      </c>
      <c r="F1127" s="24">
        <v>1</v>
      </c>
      <c r="G1127" s="24" t="s">
        <v>2372</v>
      </c>
      <c r="H1127" s="24"/>
      <c r="I1127" s="283"/>
      <c r="J1127" s="234"/>
      <c r="K1127" s="234"/>
      <c r="L1127" s="196"/>
      <c r="M1127" s="164"/>
      <c r="N1127" s="164" t="s">
        <v>1468</v>
      </c>
      <c r="O1127" s="196"/>
      <c r="P1127" s="196"/>
      <c r="Q1127" s="234"/>
      <c r="R1127" s="283"/>
      <c r="S1127" s="164"/>
      <c r="T1127" s="283"/>
      <c r="U1127" s="283"/>
      <c r="V1127" s="196"/>
      <c r="W1127" s="225"/>
      <c r="X1127" s="283"/>
      <c r="Y1127" s="283"/>
      <c r="Z1127" s="283"/>
      <c r="AA1127" s="283"/>
      <c r="AB1127" s="283"/>
      <c r="AC1127" s="283"/>
      <c r="AD1127" s="283"/>
      <c r="AE1127" s="283"/>
      <c r="AF1127" s="283"/>
      <c r="AG1127" s="205" t="s">
        <v>115</v>
      </c>
      <c r="AH1127" s="285" t="s">
        <v>1469</v>
      </c>
      <c r="AI1127" s="205" t="s">
        <v>1470</v>
      </c>
      <c r="AJ1127" s="225"/>
      <c r="AK1127" s="225"/>
      <c r="AL1127" s="24"/>
    </row>
    <row r="1128" spans="1:38" ht="12.75" customHeight="1">
      <c r="A1128" s="22">
        <v>1126</v>
      </c>
      <c r="B1128" s="24" t="str">
        <f t="shared" si="61"/>
        <v>iptp_sp2_dose_number</v>
      </c>
      <c r="C1128" s="24" t="str">
        <f t="shared" si="3"/>
        <v>Calculation</v>
      </c>
      <c r="D1128" s="24" t="str">
        <f t="shared" si="2"/>
        <v/>
      </c>
      <c r="E1128" s="24" t="s">
        <v>2875</v>
      </c>
      <c r="F1128" s="24">
        <v>1</v>
      </c>
      <c r="G1128" s="24" t="s">
        <v>2372</v>
      </c>
      <c r="H1128" s="24"/>
      <c r="I1128" s="283"/>
      <c r="J1128" s="297"/>
      <c r="K1128" s="297" t="s">
        <v>2891</v>
      </c>
      <c r="L1128" s="164" t="s">
        <v>2892</v>
      </c>
      <c r="M1128" s="164" t="s">
        <v>65</v>
      </c>
      <c r="N1128" s="164"/>
      <c r="O1128" s="379">
        <v>2</v>
      </c>
      <c r="P1128" s="379"/>
      <c r="Q1128" s="164"/>
      <c r="R1128" s="283"/>
      <c r="S1128" s="164"/>
      <c r="T1128" s="283"/>
      <c r="U1128" s="283"/>
      <c r="V1128" s="164"/>
      <c r="W1128" s="225"/>
      <c r="X1128" s="283"/>
      <c r="Y1128" s="283"/>
      <c r="Z1128" s="283"/>
      <c r="AA1128" s="283"/>
      <c r="AB1128" s="283"/>
      <c r="AC1128" s="283"/>
      <c r="AD1128" s="283"/>
      <c r="AE1128" s="283"/>
      <c r="AF1128" s="283"/>
      <c r="AG1128" s="205" t="s">
        <v>2880</v>
      </c>
      <c r="AH1128" s="205" t="s">
        <v>2883</v>
      </c>
      <c r="AI1128" s="205" t="s">
        <v>2884</v>
      </c>
      <c r="AJ1128" s="225"/>
      <c r="AK1128" s="225"/>
      <c r="AL1128" s="24"/>
    </row>
    <row r="1129" spans="1:38" ht="12.75" customHeight="1">
      <c r="A1129" s="22">
        <v>1127</v>
      </c>
      <c r="B1129" s="24" t="str">
        <f t="shared" si="61"/>
        <v>iptp_sp2_date</v>
      </c>
      <c r="C1129" s="24" t="str">
        <f t="shared" si="3"/>
        <v>Calculation</v>
      </c>
      <c r="D1129" s="24" t="str">
        <f t="shared" si="2"/>
        <v/>
      </c>
      <c r="E1129" s="24" t="s">
        <v>2875</v>
      </c>
      <c r="F1129" s="24">
        <v>1</v>
      </c>
      <c r="G1129" s="24" t="s">
        <v>2372</v>
      </c>
      <c r="H1129" s="24"/>
      <c r="I1129" s="283"/>
      <c r="J1129" s="297"/>
      <c r="K1129" s="297" t="s">
        <v>2893</v>
      </c>
      <c r="L1129" s="164" t="s">
        <v>2894</v>
      </c>
      <c r="M1129" s="164" t="s">
        <v>65</v>
      </c>
      <c r="N1129" s="164"/>
      <c r="O1129" s="164" t="s">
        <v>2887</v>
      </c>
      <c r="P1129" s="164"/>
      <c r="Q1129" s="164"/>
      <c r="R1129" s="283"/>
      <c r="S1129" s="164"/>
      <c r="T1129" s="283"/>
      <c r="U1129" s="283"/>
      <c r="V1129" s="164"/>
      <c r="W1129" s="225"/>
      <c r="X1129" s="283"/>
      <c r="Y1129" s="283"/>
      <c r="Z1129" s="283"/>
      <c r="AA1129" s="283"/>
      <c r="AB1129" s="283"/>
      <c r="AC1129" s="283"/>
      <c r="AD1129" s="283"/>
      <c r="AE1129" s="283"/>
      <c r="AF1129" s="283"/>
      <c r="AG1129" s="205" t="s">
        <v>115</v>
      </c>
      <c r="AH1129" s="205" t="s">
        <v>115</v>
      </c>
      <c r="AI1129" s="205" t="s">
        <v>115</v>
      </c>
      <c r="AJ1129" s="225"/>
      <c r="AK1129" s="225"/>
      <c r="AL1129" s="24"/>
    </row>
    <row r="1130" spans="1:38" ht="12.75" customHeight="1">
      <c r="A1130" s="22">
        <v>1128</v>
      </c>
      <c r="B1130" s="24" t="str">
        <f t="shared" si="61"/>
        <v>IPTp-SP dose 3</v>
      </c>
      <c r="C1130" s="24" t="str">
        <f t="shared" si="3"/>
        <v>Data Element</v>
      </c>
      <c r="D1130" s="24" t="str">
        <f t="shared" si="2"/>
        <v/>
      </c>
      <c r="E1130" s="24" t="s">
        <v>2875</v>
      </c>
      <c r="F1130" s="24">
        <v>1</v>
      </c>
      <c r="G1130" s="24" t="s">
        <v>2372</v>
      </c>
      <c r="H1130" s="24"/>
      <c r="I1130" s="283"/>
      <c r="J1130" s="297" t="s">
        <v>2895</v>
      </c>
      <c r="K1130" s="297" t="s">
        <v>2896</v>
      </c>
      <c r="L1130" s="164"/>
      <c r="M1130" s="164" t="s">
        <v>202</v>
      </c>
      <c r="N1130" s="164"/>
      <c r="O1130" s="164"/>
      <c r="P1130" s="164"/>
      <c r="Q1130" s="164" t="s">
        <v>2878</v>
      </c>
      <c r="R1130" s="283"/>
      <c r="S1130" s="297" t="s">
        <v>113</v>
      </c>
      <c r="T1130" s="283"/>
      <c r="U1130" s="283"/>
      <c r="V1130" s="164" t="s">
        <v>2897</v>
      </c>
      <c r="W1130" s="225"/>
      <c r="X1130" s="283"/>
      <c r="Y1130" s="283"/>
      <c r="Z1130" s="283"/>
      <c r="AA1130" s="283"/>
      <c r="AB1130" s="283"/>
      <c r="AC1130" s="283"/>
      <c r="AD1130" s="283"/>
      <c r="AE1130" s="283"/>
      <c r="AF1130" s="283"/>
      <c r="AG1130" s="205" t="s">
        <v>2880</v>
      </c>
      <c r="AH1130" s="285" t="s">
        <v>2630</v>
      </c>
      <c r="AI1130" s="285" t="s">
        <v>2631</v>
      </c>
      <c r="AJ1130" s="225"/>
      <c r="AK1130" s="225"/>
      <c r="AL1130" s="24"/>
    </row>
    <row r="1131" spans="1:38" ht="12.75" customHeight="1">
      <c r="A1131" s="22">
        <v>1129</v>
      </c>
      <c r="B1131" s="24" t="str">
        <f t="shared" si="61"/>
        <v>Done</v>
      </c>
      <c r="C1131" s="24" t="str">
        <f t="shared" si="3"/>
        <v>Input Option</v>
      </c>
      <c r="D1131" s="24" t="str">
        <f t="shared" si="2"/>
        <v>IPTp-SP dose 3</v>
      </c>
      <c r="E1131" s="24" t="s">
        <v>2875</v>
      </c>
      <c r="F1131" s="24">
        <v>1</v>
      </c>
      <c r="G1131" s="24" t="s">
        <v>2372</v>
      </c>
      <c r="H1131" s="24"/>
      <c r="I1131" s="283"/>
      <c r="J1131" s="234"/>
      <c r="K1131" s="234"/>
      <c r="L1131" s="196"/>
      <c r="M1131" s="164"/>
      <c r="N1131" s="164" t="s">
        <v>1673</v>
      </c>
      <c r="O1131" s="196"/>
      <c r="P1131" s="196"/>
      <c r="Q1131" s="234"/>
      <c r="R1131" s="283"/>
      <c r="S1131" s="234"/>
      <c r="T1131" s="283"/>
      <c r="U1131" s="283"/>
      <c r="V1131" s="196"/>
      <c r="W1131" s="225"/>
      <c r="X1131" s="283"/>
      <c r="Y1131" s="283"/>
      <c r="Z1131" s="283"/>
      <c r="AA1131" s="283"/>
      <c r="AB1131" s="283"/>
      <c r="AC1131" s="283"/>
      <c r="AD1131" s="283"/>
      <c r="AE1131" s="283"/>
      <c r="AF1131" s="283"/>
      <c r="AG1131" s="205" t="s">
        <v>115</v>
      </c>
      <c r="AH1131" s="285" t="s">
        <v>942</v>
      </c>
      <c r="AI1131" s="205" t="s">
        <v>943</v>
      </c>
      <c r="AJ1131" s="225"/>
      <c r="AK1131" s="225"/>
      <c r="AL1131" s="24"/>
    </row>
    <row r="1132" spans="1:38" ht="12.75" customHeight="1">
      <c r="A1132" s="22">
        <v>1130</v>
      </c>
      <c r="B1132" s="24" t="str">
        <f t="shared" si="61"/>
        <v>Not done</v>
      </c>
      <c r="C1132" s="24" t="str">
        <f t="shared" si="3"/>
        <v>Input Option</v>
      </c>
      <c r="D1132" s="24" t="str">
        <f t="shared" si="2"/>
        <v>IPTp-SP dose 3</v>
      </c>
      <c r="E1132" s="24" t="s">
        <v>2875</v>
      </c>
      <c r="F1132" s="24">
        <v>1</v>
      </c>
      <c r="G1132" s="24" t="s">
        <v>2372</v>
      </c>
      <c r="H1132" s="24"/>
      <c r="I1132" s="283"/>
      <c r="J1132" s="234"/>
      <c r="K1132" s="234"/>
      <c r="L1132" s="196"/>
      <c r="M1132" s="164"/>
      <c r="N1132" s="164" t="s">
        <v>1468</v>
      </c>
      <c r="O1132" s="196"/>
      <c r="P1132" s="196"/>
      <c r="Q1132" s="234"/>
      <c r="R1132" s="283"/>
      <c r="S1132" s="234"/>
      <c r="T1132" s="283"/>
      <c r="U1132" s="283"/>
      <c r="V1132" s="196"/>
      <c r="W1132" s="225"/>
      <c r="X1132" s="283"/>
      <c r="Y1132" s="283"/>
      <c r="Z1132" s="283"/>
      <c r="AA1132" s="283"/>
      <c r="AB1132" s="283"/>
      <c r="AC1132" s="283"/>
      <c r="AD1132" s="283"/>
      <c r="AE1132" s="283"/>
      <c r="AF1132" s="283"/>
      <c r="AG1132" s="205" t="s">
        <v>115</v>
      </c>
      <c r="AH1132" s="285" t="s">
        <v>1469</v>
      </c>
      <c r="AI1132" s="205" t="s">
        <v>1470</v>
      </c>
      <c r="AJ1132" s="225"/>
      <c r="AK1132" s="225"/>
      <c r="AL1132" s="24"/>
    </row>
    <row r="1133" spans="1:38" ht="12.75" customHeight="1">
      <c r="A1133" s="22">
        <v>1131</v>
      </c>
      <c r="B1133" s="24" t="str">
        <f t="shared" si="61"/>
        <v>iptp_sp3_dose_number</v>
      </c>
      <c r="C1133" s="24" t="str">
        <f t="shared" si="3"/>
        <v>Calculation</v>
      </c>
      <c r="D1133" s="24" t="str">
        <f t="shared" si="2"/>
        <v/>
      </c>
      <c r="E1133" s="24" t="s">
        <v>2875</v>
      </c>
      <c r="F1133" s="24">
        <v>1</v>
      </c>
      <c r="G1133" s="24" t="s">
        <v>2372</v>
      </c>
      <c r="H1133" s="24"/>
      <c r="I1133" s="283"/>
      <c r="J1133" s="297"/>
      <c r="K1133" s="297" t="s">
        <v>2899</v>
      </c>
      <c r="L1133" s="164" t="s">
        <v>2900</v>
      </c>
      <c r="M1133" s="164" t="s">
        <v>65</v>
      </c>
      <c r="N1133" s="164"/>
      <c r="O1133" s="379">
        <v>3</v>
      </c>
      <c r="P1133" s="379"/>
      <c r="Q1133" s="164"/>
      <c r="R1133" s="283"/>
      <c r="S1133" s="297"/>
      <c r="T1133" s="283"/>
      <c r="U1133" s="283"/>
      <c r="V1133" s="164"/>
      <c r="W1133" s="225"/>
      <c r="X1133" s="283"/>
      <c r="Y1133" s="283"/>
      <c r="Z1133" s="283"/>
      <c r="AA1133" s="283"/>
      <c r="AB1133" s="283"/>
      <c r="AC1133" s="283"/>
      <c r="AD1133" s="283"/>
      <c r="AE1133" s="283"/>
      <c r="AF1133" s="283"/>
      <c r="AG1133" s="205" t="s">
        <v>2880</v>
      </c>
      <c r="AH1133" s="205" t="s">
        <v>2883</v>
      </c>
      <c r="AI1133" s="205" t="s">
        <v>2884</v>
      </c>
      <c r="AJ1133" s="225"/>
      <c r="AK1133" s="225"/>
      <c r="AL1133" s="24"/>
    </row>
    <row r="1134" spans="1:38" ht="12.75" customHeight="1">
      <c r="A1134" s="22">
        <v>1132</v>
      </c>
      <c r="B1134" s="24" t="str">
        <f t="shared" si="61"/>
        <v>iptp_sp3_date</v>
      </c>
      <c r="C1134" s="24" t="str">
        <f t="shared" si="3"/>
        <v>Calculation</v>
      </c>
      <c r="D1134" s="24" t="str">
        <f t="shared" si="2"/>
        <v/>
      </c>
      <c r="E1134" s="24" t="s">
        <v>2875</v>
      </c>
      <c r="F1134" s="24">
        <v>1</v>
      </c>
      <c r="G1134" s="24" t="s">
        <v>2372</v>
      </c>
      <c r="H1134" s="24"/>
      <c r="I1134" s="283"/>
      <c r="J1134" s="297"/>
      <c r="K1134" s="297" t="s">
        <v>2901</v>
      </c>
      <c r="L1134" s="164" t="s">
        <v>2902</v>
      </c>
      <c r="M1134" s="164" t="s">
        <v>65</v>
      </c>
      <c r="N1134" s="164"/>
      <c r="O1134" s="164" t="s">
        <v>2887</v>
      </c>
      <c r="P1134" s="164"/>
      <c r="Q1134" s="164"/>
      <c r="R1134" s="283"/>
      <c r="S1134" s="297"/>
      <c r="T1134" s="283"/>
      <c r="U1134" s="283"/>
      <c r="V1134" s="164"/>
      <c r="W1134" s="225"/>
      <c r="X1134" s="283"/>
      <c r="Y1134" s="283"/>
      <c r="Z1134" s="283"/>
      <c r="AA1134" s="283"/>
      <c r="AB1134" s="283"/>
      <c r="AC1134" s="283"/>
      <c r="AD1134" s="283"/>
      <c r="AE1134" s="283"/>
      <c r="AF1134" s="283"/>
      <c r="AG1134" s="205" t="s">
        <v>115</v>
      </c>
      <c r="AH1134" s="205" t="s">
        <v>115</v>
      </c>
      <c r="AI1134" s="205" t="s">
        <v>115</v>
      </c>
      <c r="AJ1134" s="225"/>
      <c r="AK1134" s="225"/>
      <c r="AL1134" s="24"/>
    </row>
    <row r="1135" spans="1:38" ht="12.75" customHeight="1">
      <c r="A1135" s="22">
        <v>1133</v>
      </c>
      <c r="B1135" s="24" t="s">
        <v>2903</v>
      </c>
      <c r="C1135" s="24" t="str">
        <f t="shared" si="3"/>
        <v>Data Element</v>
      </c>
      <c r="D1135" s="24" t="str">
        <f t="shared" si="2"/>
        <v/>
      </c>
      <c r="E1135" s="24" t="s">
        <v>2875</v>
      </c>
      <c r="F1135" s="24">
        <v>1</v>
      </c>
      <c r="G1135" s="24" t="s">
        <v>2372</v>
      </c>
      <c r="H1135" s="24"/>
      <c r="I1135" s="283"/>
      <c r="J1135" s="164" t="s">
        <v>1376</v>
      </c>
      <c r="K1135" s="204" t="s">
        <v>2904</v>
      </c>
      <c r="L1135" s="164" t="s">
        <v>2867</v>
      </c>
      <c r="M1135" s="204" t="s">
        <v>238</v>
      </c>
      <c r="N1135" s="196"/>
      <c r="O1135" s="196"/>
      <c r="P1135" s="196"/>
      <c r="Q1135" s="196"/>
      <c r="R1135" s="283"/>
      <c r="S1135" s="164" t="s">
        <v>113</v>
      </c>
      <c r="T1135" s="283"/>
      <c r="U1135" s="283"/>
      <c r="V1135" s="164" t="s">
        <v>115</v>
      </c>
      <c r="W1135" s="225"/>
      <c r="X1135" s="283"/>
      <c r="Y1135" s="283"/>
      <c r="Z1135" s="283"/>
      <c r="AA1135" s="283"/>
      <c r="AB1135" s="283"/>
      <c r="AC1135" s="283"/>
      <c r="AD1135" s="283"/>
      <c r="AE1135" s="283"/>
      <c r="AF1135" s="283"/>
      <c r="AG1135" s="205" t="s">
        <v>115</v>
      </c>
      <c r="AH1135" s="285" t="s">
        <v>2905</v>
      </c>
      <c r="AI1135" s="285" t="s">
        <v>2906</v>
      </c>
      <c r="AJ1135" s="225"/>
      <c r="AK1135" s="225"/>
      <c r="AL1135" s="24"/>
    </row>
    <row r="1136" spans="1:38" ht="12.75" customHeight="1">
      <c r="A1136" s="22">
        <v>1134</v>
      </c>
      <c r="B1136" s="24" t="str">
        <f t="shared" ref="B1136:B1139" si="62">IF(N1136="",IF(M1136="Calculation",K1136,J1136),N1136)</f>
        <v>Referred instead</v>
      </c>
      <c r="C1136" s="24" t="str">
        <f t="shared" si="3"/>
        <v>Input Option</v>
      </c>
      <c r="D1136" s="24" t="str">
        <f t="shared" si="2"/>
        <v>Reason Treatment not given</v>
      </c>
      <c r="E1136" s="24" t="s">
        <v>2875</v>
      </c>
      <c r="F1136" s="24">
        <v>1</v>
      </c>
      <c r="G1136" s="24" t="s">
        <v>2372</v>
      </c>
      <c r="H1136" s="24"/>
      <c r="I1136" s="283"/>
      <c r="J1136" s="196"/>
      <c r="K1136" s="196"/>
      <c r="L1136" s="196"/>
      <c r="M1136" s="196"/>
      <c r="N1136" s="196" t="s">
        <v>2405</v>
      </c>
      <c r="O1136" s="196"/>
      <c r="P1136" s="196"/>
      <c r="Q1136" s="196"/>
      <c r="R1136" s="283"/>
      <c r="S1136" s="196"/>
      <c r="T1136" s="283"/>
      <c r="U1136" s="283"/>
      <c r="V1136" s="196"/>
      <c r="W1136" s="225"/>
      <c r="X1136" s="283"/>
      <c r="Y1136" s="283"/>
      <c r="Z1136" s="283"/>
      <c r="AA1136" s="283"/>
      <c r="AB1136" s="283"/>
      <c r="AC1136" s="283"/>
      <c r="AD1136" s="283"/>
      <c r="AE1136" s="283"/>
      <c r="AF1136" s="283"/>
      <c r="AG1136" s="285" t="s">
        <v>115</v>
      </c>
      <c r="AH1136" s="205" t="s">
        <v>2406</v>
      </c>
      <c r="AI1136" s="285" t="s">
        <v>2407</v>
      </c>
      <c r="AJ1136" s="225"/>
      <c r="AK1136" s="225"/>
      <c r="AL1136" s="24"/>
    </row>
    <row r="1137" spans="1:38" ht="12.75" customHeight="1">
      <c r="A1137" s="22">
        <v>1135</v>
      </c>
      <c r="B1137" s="24" t="str">
        <f t="shared" si="62"/>
        <v>Stock out</v>
      </c>
      <c r="C1137" s="24" t="str">
        <f t="shared" si="3"/>
        <v>Input Option</v>
      </c>
      <c r="D1137" s="24" t="str">
        <f t="shared" si="2"/>
        <v>Reason Treatment not given</v>
      </c>
      <c r="E1137" s="24" t="s">
        <v>2875</v>
      </c>
      <c r="F1137" s="24">
        <v>1</v>
      </c>
      <c r="G1137" s="24" t="s">
        <v>2372</v>
      </c>
      <c r="H1137" s="24"/>
      <c r="I1137" s="283"/>
      <c r="J1137" s="196"/>
      <c r="K1137" s="196"/>
      <c r="L1137" s="196"/>
      <c r="M1137" s="196"/>
      <c r="N1137" s="204" t="s">
        <v>1909</v>
      </c>
      <c r="O1137" s="196"/>
      <c r="P1137" s="196"/>
      <c r="Q1137" s="196"/>
      <c r="R1137" s="283"/>
      <c r="S1137" s="196"/>
      <c r="T1137" s="283"/>
      <c r="U1137" s="283"/>
      <c r="V1137" s="196"/>
      <c r="W1137" s="225"/>
      <c r="X1137" s="283"/>
      <c r="Y1137" s="283"/>
      <c r="Z1137" s="283"/>
      <c r="AA1137" s="283"/>
      <c r="AB1137" s="283"/>
      <c r="AC1137" s="283"/>
      <c r="AD1137" s="283"/>
      <c r="AE1137" s="283"/>
      <c r="AF1137" s="283"/>
      <c r="AG1137" s="285" t="s">
        <v>115</v>
      </c>
      <c r="AH1137" s="205" t="s">
        <v>2637</v>
      </c>
      <c r="AI1137" s="205" t="s">
        <v>2638</v>
      </c>
      <c r="AJ1137" s="225"/>
      <c r="AK1137" s="225"/>
      <c r="AL1137" s="24"/>
    </row>
    <row r="1138" spans="1:38" ht="12.75" customHeight="1">
      <c r="A1138" s="22">
        <v>1136</v>
      </c>
      <c r="B1138" s="24" t="str">
        <f t="shared" si="62"/>
        <v>Expired</v>
      </c>
      <c r="C1138" s="24" t="str">
        <f t="shared" si="3"/>
        <v>Input Option</v>
      </c>
      <c r="D1138" s="24" t="str">
        <f t="shared" si="2"/>
        <v>Reason Treatment not given</v>
      </c>
      <c r="E1138" s="24" t="s">
        <v>2875</v>
      </c>
      <c r="F1138" s="24">
        <v>1</v>
      </c>
      <c r="G1138" s="24" t="s">
        <v>2372</v>
      </c>
      <c r="H1138" s="24"/>
      <c r="I1138" s="283"/>
      <c r="J1138" s="196"/>
      <c r="K1138" s="196"/>
      <c r="L1138" s="196"/>
      <c r="M1138" s="196"/>
      <c r="N1138" s="204" t="s">
        <v>2244</v>
      </c>
      <c r="O1138" s="196"/>
      <c r="P1138" s="196"/>
      <c r="Q1138" s="196"/>
      <c r="R1138" s="283"/>
      <c r="S1138" s="196"/>
      <c r="T1138" s="283"/>
      <c r="U1138" s="283"/>
      <c r="V1138" s="196"/>
      <c r="W1138" s="225"/>
      <c r="X1138" s="283"/>
      <c r="Y1138" s="283"/>
      <c r="Z1138" s="283"/>
      <c r="AA1138" s="283"/>
      <c r="AB1138" s="283"/>
      <c r="AC1138" s="283"/>
      <c r="AD1138" s="283"/>
      <c r="AE1138" s="283"/>
      <c r="AF1138" s="283"/>
      <c r="AG1138" s="285" t="s">
        <v>115</v>
      </c>
      <c r="AH1138" s="294" t="s">
        <v>1913</v>
      </c>
      <c r="AI1138" s="294" t="s">
        <v>1914</v>
      </c>
      <c r="AJ1138" s="225"/>
      <c r="AK1138" s="225"/>
      <c r="AL1138" s="24"/>
    </row>
    <row r="1139" spans="1:38" ht="12.75" customHeight="1">
      <c r="A1139" s="22">
        <v>1137</v>
      </c>
      <c r="B1139" s="24" t="str">
        <f t="shared" si="62"/>
        <v>Other (specify)</v>
      </c>
      <c r="C1139" s="24" t="str">
        <f t="shared" si="3"/>
        <v>Input Option</v>
      </c>
      <c r="D1139" s="24" t="str">
        <f t="shared" si="2"/>
        <v>Reason Treatment not given</v>
      </c>
      <c r="E1139" s="24" t="s">
        <v>2875</v>
      </c>
      <c r="F1139" s="24">
        <v>1</v>
      </c>
      <c r="G1139" s="24" t="s">
        <v>2372</v>
      </c>
      <c r="H1139" s="24"/>
      <c r="I1139" s="283"/>
      <c r="J1139" s="196"/>
      <c r="K1139" s="196"/>
      <c r="L1139" s="196"/>
      <c r="M1139" s="196"/>
      <c r="N1139" s="204" t="s">
        <v>405</v>
      </c>
      <c r="O1139" s="196"/>
      <c r="P1139" s="196"/>
      <c r="Q1139" s="196"/>
      <c r="R1139" s="283"/>
      <c r="S1139" s="196"/>
      <c r="T1139" s="283"/>
      <c r="U1139" s="283"/>
      <c r="V1139" s="196"/>
      <c r="W1139" s="225"/>
      <c r="X1139" s="283"/>
      <c r="Y1139" s="283"/>
      <c r="Z1139" s="283"/>
      <c r="AA1139" s="283"/>
      <c r="AB1139" s="283"/>
      <c r="AC1139" s="283"/>
      <c r="AD1139" s="283"/>
      <c r="AE1139" s="283"/>
      <c r="AF1139" s="283"/>
      <c r="AG1139" s="285" t="s">
        <v>115</v>
      </c>
      <c r="AH1139" s="205" t="s">
        <v>406</v>
      </c>
      <c r="AI1139" s="285" t="s">
        <v>407</v>
      </c>
      <c r="AJ1139" s="225"/>
      <c r="AK1139" s="225"/>
      <c r="AL1139" s="24"/>
    </row>
    <row r="1140" spans="1:38" ht="12.75" customHeight="1">
      <c r="A1140" s="22">
        <v>1138</v>
      </c>
      <c r="B1140" s="24" t="s">
        <v>2907</v>
      </c>
      <c r="C1140" s="24" t="str">
        <f t="shared" si="3"/>
        <v>Data Element</v>
      </c>
      <c r="D1140" s="24" t="str">
        <f t="shared" si="2"/>
        <v/>
      </c>
      <c r="E1140" s="24" t="s">
        <v>2875</v>
      </c>
      <c r="F1140" s="24">
        <v>1</v>
      </c>
      <c r="G1140" s="24" t="s">
        <v>2372</v>
      </c>
      <c r="H1140" s="24"/>
      <c r="I1140" s="283"/>
      <c r="J1140" s="196" t="s">
        <v>409</v>
      </c>
      <c r="K1140" s="196" t="s">
        <v>2908</v>
      </c>
      <c r="L1140" s="196" t="s">
        <v>2720</v>
      </c>
      <c r="M1140" s="196" t="s">
        <v>111</v>
      </c>
      <c r="N1140" s="196"/>
      <c r="O1140" s="196"/>
      <c r="P1140" s="196"/>
      <c r="Q1140" s="196"/>
      <c r="R1140" s="283"/>
      <c r="S1140" s="196" t="s">
        <v>208</v>
      </c>
      <c r="T1140" s="283"/>
      <c r="U1140" s="283"/>
      <c r="V1140" s="196" t="s">
        <v>115</v>
      </c>
      <c r="W1140" s="225"/>
      <c r="X1140" s="283"/>
      <c r="Y1140" s="283"/>
      <c r="Z1140" s="283"/>
      <c r="AA1140" s="283"/>
      <c r="AB1140" s="283"/>
      <c r="AC1140" s="283"/>
      <c r="AD1140" s="283"/>
      <c r="AE1140" s="283"/>
      <c r="AF1140" s="283"/>
      <c r="AG1140" s="285" t="s">
        <v>2909</v>
      </c>
      <c r="AH1140" s="294" t="s">
        <v>415</v>
      </c>
      <c r="AI1140" s="294" t="s">
        <v>416</v>
      </c>
      <c r="AJ1140" s="225"/>
      <c r="AK1140" s="225"/>
      <c r="AL1140" s="24"/>
    </row>
    <row r="1141" spans="1:38" ht="12.75" customHeight="1">
      <c r="A1141" s="22">
        <v>1139</v>
      </c>
      <c r="B1141" s="24" t="str">
        <f t="shared" ref="B1141:B1144" si="63">IF(N1141="",IF(M1141="Calculation",K1141,J1141),N1141)</f>
        <v>sp</v>
      </c>
      <c r="C1141" s="24" t="str">
        <f t="shared" si="3"/>
        <v>Calculation</v>
      </c>
      <c r="D1141" s="24" t="str">
        <f t="shared" si="2"/>
        <v/>
      </c>
      <c r="E1141" s="24" t="s">
        <v>2875</v>
      </c>
      <c r="F1141" s="24">
        <v>1</v>
      </c>
      <c r="G1141" s="24" t="s">
        <v>2372</v>
      </c>
      <c r="H1141" s="24"/>
      <c r="I1141" s="283"/>
      <c r="J1141" s="298" t="s">
        <v>115</v>
      </c>
      <c r="K1141" s="298" t="s">
        <v>2910</v>
      </c>
      <c r="L1141" s="298" t="s">
        <v>2911</v>
      </c>
      <c r="M1141" s="298" t="s">
        <v>65</v>
      </c>
      <c r="N1141" s="164"/>
      <c r="O1141" s="298" t="s">
        <v>2912</v>
      </c>
      <c r="P1141" s="298"/>
      <c r="Q1141" s="164"/>
      <c r="R1141" s="283"/>
      <c r="S1141" s="298" t="s">
        <v>115</v>
      </c>
      <c r="T1141" s="283"/>
      <c r="U1141" s="283"/>
      <c r="V1141" s="298" t="s">
        <v>115</v>
      </c>
      <c r="W1141" s="225"/>
      <c r="X1141" s="283"/>
      <c r="Y1141" s="283"/>
      <c r="Z1141" s="283"/>
      <c r="AA1141" s="283"/>
      <c r="AB1141" s="283"/>
      <c r="AC1141" s="283"/>
      <c r="AD1141" s="283"/>
      <c r="AE1141" s="283"/>
      <c r="AF1141" s="283"/>
      <c r="AG1141" s="285" t="s">
        <v>115</v>
      </c>
      <c r="AH1141" s="294" t="s">
        <v>115</v>
      </c>
      <c r="AI1141" s="294" t="s">
        <v>115</v>
      </c>
      <c r="AJ1141" s="225"/>
      <c r="AK1141" s="225"/>
      <c r="AL1141" s="24"/>
    </row>
    <row r="1142" spans="1:38" ht="12.75" customHeight="1">
      <c r="A1142" s="22">
        <v>1140</v>
      </c>
      <c r="B1142" s="24" t="str">
        <f t="shared" si="63"/>
        <v>Malaria prevention counseling</v>
      </c>
      <c r="C1142" s="24" t="str">
        <f t="shared" si="3"/>
        <v>Data Element</v>
      </c>
      <c r="D1142" s="24" t="str">
        <f t="shared" si="2"/>
        <v/>
      </c>
      <c r="E1142" s="24" t="s">
        <v>2914</v>
      </c>
      <c r="F1142" s="24">
        <v>1</v>
      </c>
      <c r="G1142" s="24" t="s">
        <v>2372</v>
      </c>
      <c r="H1142" s="24"/>
      <c r="I1142" s="283"/>
      <c r="J1142" s="204" t="s">
        <v>2913</v>
      </c>
      <c r="K1142" s="204" t="s">
        <v>2915</v>
      </c>
      <c r="L1142" s="196"/>
      <c r="M1142" s="204" t="s">
        <v>202</v>
      </c>
      <c r="N1142" s="164"/>
      <c r="O1142" s="196"/>
      <c r="P1142" s="196"/>
      <c r="Q1142" s="196"/>
      <c r="R1142" s="283"/>
      <c r="S1142" s="204" t="s">
        <v>208</v>
      </c>
      <c r="T1142" s="283"/>
      <c r="U1142" s="283"/>
      <c r="V1142" s="204" t="s">
        <v>1277</v>
      </c>
      <c r="W1142" s="225"/>
      <c r="X1142" s="283"/>
      <c r="Y1142" s="283"/>
      <c r="Z1142" s="283"/>
      <c r="AA1142" s="283"/>
      <c r="AB1142" s="283"/>
      <c r="AC1142" s="283"/>
      <c r="AD1142" s="283"/>
      <c r="AE1142" s="283"/>
      <c r="AF1142" s="283"/>
      <c r="AG1142" s="285" t="s">
        <v>2916</v>
      </c>
      <c r="AH1142" s="285" t="s">
        <v>2398</v>
      </c>
      <c r="AI1142" s="285" t="s">
        <v>2399</v>
      </c>
      <c r="AJ1142" s="225"/>
      <c r="AK1142" s="225"/>
      <c r="AL1142" s="24"/>
    </row>
    <row r="1143" spans="1:38" ht="12.75" customHeight="1">
      <c r="A1143" s="22">
        <v>1141</v>
      </c>
      <c r="B1143" s="24" t="str">
        <f t="shared" si="63"/>
        <v>Done</v>
      </c>
      <c r="C1143" s="24" t="str">
        <f t="shared" si="3"/>
        <v>Input Option</v>
      </c>
      <c r="D1143" s="24" t="str">
        <f t="shared" si="2"/>
        <v>Malaria prevention counseling</v>
      </c>
      <c r="E1143" s="24" t="s">
        <v>2914</v>
      </c>
      <c r="F1143" s="24">
        <v>1</v>
      </c>
      <c r="G1143" s="24" t="s">
        <v>2372</v>
      </c>
      <c r="H1143" s="24"/>
      <c r="I1143" s="283"/>
      <c r="J1143" s="204"/>
      <c r="K1143" s="204"/>
      <c r="L1143" s="196"/>
      <c r="M1143" s="204"/>
      <c r="N1143" s="164" t="s">
        <v>1673</v>
      </c>
      <c r="O1143" s="196"/>
      <c r="P1143" s="196"/>
      <c r="Q1143" s="196"/>
      <c r="R1143" s="283"/>
      <c r="S1143" s="204"/>
      <c r="T1143" s="283"/>
      <c r="U1143" s="283"/>
      <c r="V1143" s="204"/>
      <c r="W1143" s="225"/>
      <c r="X1143" s="283"/>
      <c r="Y1143" s="283"/>
      <c r="Z1143" s="283"/>
      <c r="AA1143" s="283"/>
      <c r="AB1143" s="283"/>
      <c r="AC1143" s="283"/>
      <c r="AD1143" s="283"/>
      <c r="AE1143" s="283"/>
      <c r="AF1143" s="283"/>
      <c r="AG1143" s="285" t="s">
        <v>115</v>
      </c>
      <c r="AH1143" s="285" t="s">
        <v>942</v>
      </c>
      <c r="AI1143" s="205" t="s">
        <v>943</v>
      </c>
      <c r="AJ1143" s="225"/>
      <c r="AK1143" s="225"/>
      <c r="AL1143" s="24"/>
    </row>
    <row r="1144" spans="1:38" ht="12.75" customHeight="1">
      <c r="A1144" s="22">
        <v>1142</v>
      </c>
      <c r="B1144" s="24" t="str">
        <f t="shared" si="63"/>
        <v>Not done</v>
      </c>
      <c r="C1144" s="24" t="str">
        <f t="shared" si="3"/>
        <v>Input Option</v>
      </c>
      <c r="D1144" s="24" t="str">
        <f t="shared" si="2"/>
        <v>Malaria prevention counseling</v>
      </c>
      <c r="E1144" s="24" t="s">
        <v>2914</v>
      </c>
      <c r="F1144" s="24">
        <v>1</v>
      </c>
      <c r="G1144" s="24" t="s">
        <v>2372</v>
      </c>
      <c r="H1144" s="24"/>
      <c r="I1144" s="283"/>
      <c r="J1144" s="204"/>
      <c r="K1144" s="204"/>
      <c r="L1144" s="196"/>
      <c r="M1144" s="204"/>
      <c r="N1144" s="164" t="s">
        <v>1468</v>
      </c>
      <c r="O1144" s="196"/>
      <c r="P1144" s="196"/>
      <c r="Q1144" s="196"/>
      <c r="R1144" s="283"/>
      <c r="S1144" s="204"/>
      <c r="T1144" s="283"/>
      <c r="U1144" s="283"/>
      <c r="V1144" s="204"/>
      <c r="W1144" s="225"/>
      <c r="X1144" s="283"/>
      <c r="Y1144" s="283"/>
      <c r="Z1144" s="283"/>
      <c r="AA1144" s="283"/>
      <c r="AB1144" s="283"/>
      <c r="AC1144" s="283"/>
      <c r="AD1144" s="283"/>
      <c r="AE1144" s="283"/>
      <c r="AF1144" s="283"/>
      <c r="AG1144" s="285" t="s">
        <v>115</v>
      </c>
      <c r="AH1144" s="285" t="s">
        <v>1469</v>
      </c>
      <c r="AI1144" s="205" t="s">
        <v>1470</v>
      </c>
      <c r="AJ1144" s="225"/>
      <c r="AK1144" s="225"/>
      <c r="AL1144" s="24"/>
    </row>
    <row r="1145" spans="1:38" ht="12.75" customHeight="1">
      <c r="A1145" s="22">
        <v>1143</v>
      </c>
      <c r="B1145" s="24" t="s">
        <v>2917</v>
      </c>
      <c r="C1145" s="24" t="str">
        <f t="shared" si="3"/>
        <v>Data Element</v>
      </c>
      <c r="D1145" s="24" t="str">
        <f t="shared" si="2"/>
        <v/>
      </c>
      <c r="E1145" s="24" t="s">
        <v>2914</v>
      </c>
      <c r="F1145" s="24">
        <v>1</v>
      </c>
      <c r="G1145" s="24" t="s">
        <v>2372</v>
      </c>
      <c r="H1145" s="24"/>
      <c r="I1145" s="283"/>
      <c r="J1145" s="164" t="s">
        <v>1376</v>
      </c>
      <c r="K1145" s="204" t="s">
        <v>2918</v>
      </c>
      <c r="L1145" s="164" t="s">
        <v>2919</v>
      </c>
      <c r="M1145" s="164" t="s">
        <v>202</v>
      </c>
      <c r="N1145" s="196"/>
      <c r="O1145" s="196"/>
      <c r="P1145" s="196"/>
      <c r="Q1145" s="196"/>
      <c r="R1145" s="283"/>
      <c r="S1145" s="204" t="s">
        <v>208</v>
      </c>
      <c r="T1145" s="283"/>
      <c r="U1145" s="283"/>
      <c r="V1145" s="196" t="s">
        <v>115</v>
      </c>
      <c r="W1145" s="225"/>
      <c r="X1145" s="283"/>
      <c r="Y1145" s="283"/>
      <c r="Z1145" s="283"/>
      <c r="AA1145" s="283"/>
      <c r="AB1145" s="283"/>
      <c r="AC1145" s="283"/>
      <c r="AD1145" s="283"/>
      <c r="AE1145" s="283"/>
      <c r="AF1145" s="283"/>
      <c r="AG1145" s="285" t="s">
        <v>2916</v>
      </c>
      <c r="AH1145" s="285" t="s">
        <v>2403</v>
      </c>
      <c r="AI1145" s="285" t="s">
        <v>2404</v>
      </c>
      <c r="AJ1145" s="225"/>
      <c r="AK1145" s="225"/>
      <c r="AL1145" s="24"/>
    </row>
    <row r="1146" spans="1:38" ht="12.75" customHeight="1">
      <c r="A1146" s="22">
        <v>1144</v>
      </c>
      <c r="B1146" s="24" t="str">
        <f t="shared" ref="B1146:B1147" si="64">IF(N1146="",IF(M1146="Calculation",K1146,J1146),N1146)</f>
        <v>Referred instead</v>
      </c>
      <c r="C1146" s="24" t="str">
        <f t="shared" si="3"/>
        <v>Input Option</v>
      </c>
      <c r="D1146" s="24" t="str">
        <f t="shared" si="2"/>
        <v>Reason Malaria prevention counseling not done</v>
      </c>
      <c r="E1146" s="24" t="s">
        <v>2914</v>
      </c>
      <c r="F1146" s="24">
        <v>1</v>
      </c>
      <c r="G1146" s="24" t="s">
        <v>2372</v>
      </c>
      <c r="H1146" s="24"/>
      <c r="I1146" s="283"/>
      <c r="J1146" s="196"/>
      <c r="K1146" s="204"/>
      <c r="L1146" s="196"/>
      <c r="M1146" s="196"/>
      <c r="N1146" s="196" t="s">
        <v>2405</v>
      </c>
      <c r="O1146" s="196"/>
      <c r="P1146" s="196"/>
      <c r="Q1146" s="196"/>
      <c r="R1146" s="283"/>
      <c r="S1146" s="196"/>
      <c r="T1146" s="283"/>
      <c r="U1146" s="283"/>
      <c r="V1146" s="196"/>
      <c r="W1146" s="225"/>
      <c r="X1146" s="283"/>
      <c r="Y1146" s="283"/>
      <c r="Z1146" s="283"/>
      <c r="AA1146" s="283"/>
      <c r="AB1146" s="283"/>
      <c r="AC1146" s="283"/>
      <c r="AD1146" s="283"/>
      <c r="AE1146" s="283"/>
      <c r="AF1146" s="283"/>
      <c r="AG1146" s="285" t="s">
        <v>115</v>
      </c>
      <c r="AH1146" s="205" t="s">
        <v>2406</v>
      </c>
      <c r="AI1146" s="205" t="s">
        <v>2407</v>
      </c>
      <c r="AJ1146" s="225"/>
      <c r="AK1146" s="225"/>
      <c r="AL1146" s="24"/>
    </row>
    <row r="1147" spans="1:38" ht="12.75" customHeight="1">
      <c r="A1147" s="22">
        <v>1145</v>
      </c>
      <c r="B1147" s="24" t="str">
        <f t="shared" si="64"/>
        <v>Other (specify)</v>
      </c>
      <c r="C1147" s="24" t="str">
        <f t="shared" si="3"/>
        <v>Input Option</v>
      </c>
      <c r="D1147" s="24" t="str">
        <f t="shared" si="2"/>
        <v>Reason Malaria prevention counseling not done</v>
      </c>
      <c r="E1147" s="24" t="s">
        <v>2914</v>
      </c>
      <c r="F1147" s="24">
        <v>1</v>
      </c>
      <c r="G1147" s="24" t="s">
        <v>2372</v>
      </c>
      <c r="H1147" s="24"/>
      <c r="I1147" s="283"/>
      <c r="J1147" s="196"/>
      <c r="K1147" s="204"/>
      <c r="L1147" s="196"/>
      <c r="M1147" s="196"/>
      <c r="N1147" s="196" t="s">
        <v>405</v>
      </c>
      <c r="O1147" s="196"/>
      <c r="P1147" s="196"/>
      <c r="Q1147" s="196"/>
      <c r="R1147" s="283"/>
      <c r="S1147" s="196"/>
      <c r="T1147" s="283"/>
      <c r="U1147" s="283"/>
      <c r="V1147" s="196"/>
      <c r="W1147" s="225"/>
      <c r="X1147" s="283"/>
      <c r="Y1147" s="283"/>
      <c r="Z1147" s="283"/>
      <c r="AA1147" s="283"/>
      <c r="AB1147" s="283"/>
      <c r="AC1147" s="283"/>
      <c r="AD1147" s="283"/>
      <c r="AE1147" s="283"/>
      <c r="AF1147" s="283"/>
      <c r="AG1147" s="285" t="s">
        <v>115</v>
      </c>
      <c r="AH1147" s="205" t="s">
        <v>406</v>
      </c>
      <c r="AI1147" s="205" t="s">
        <v>407</v>
      </c>
      <c r="AJ1147" s="225"/>
      <c r="AK1147" s="225"/>
      <c r="AL1147" s="24"/>
    </row>
    <row r="1148" spans="1:38" ht="12.75" customHeight="1">
      <c r="A1148" s="22">
        <v>1146</v>
      </c>
      <c r="B1148" s="24" t="s">
        <v>2920</v>
      </c>
      <c r="C1148" s="24" t="str">
        <f t="shared" si="3"/>
        <v>Data Element</v>
      </c>
      <c r="D1148" s="24" t="str">
        <f t="shared" si="2"/>
        <v/>
      </c>
      <c r="E1148" s="24" t="s">
        <v>2914</v>
      </c>
      <c r="F1148" s="24">
        <v>1</v>
      </c>
      <c r="G1148" s="24" t="s">
        <v>2372</v>
      </c>
      <c r="H1148" s="24"/>
      <c r="I1148" s="283"/>
      <c r="J1148" s="196" t="s">
        <v>409</v>
      </c>
      <c r="K1148" s="204" t="s">
        <v>2921</v>
      </c>
      <c r="L1148" s="196" t="s">
        <v>2720</v>
      </c>
      <c r="M1148" s="196" t="s">
        <v>111</v>
      </c>
      <c r="N1148" s="196"/>
      <c r="O1148" s="196"/>
      <c r="P1148" s="196"/>
      <c r="Q1148" s="196"/>
      <c r="R1148" s="283"/>
      <c r="S1148" s="196" t="s">
        <v>208</v>
      </c>
      <c r="T1148" s="283"/>
      <c r="U1148" s="283"/>
      <c r="V1148" s="196" t="s">
        <v>115</v>
      </c>
      <c r="W1148" s="225"/>
      <c r="X1148" s="283"/>
      <c r="Y1148" s="283"/>
      <c r="Z1148" s="283"/>
      <c r="AA1148" s="283"/>
      <c r="AB1148" s="283"/>
      <c r="AC1148" s="283"/>
      <c r="AD1148" s="283"/>
      <c r="AE1148" s="283"/>
      <c r="AF1148" s="283"/>
      <c r="AG1148" s="294" t="s">
        <v>2916</v>
      </c>
      <c r="AH1148" s="294" t="s">
        <v>2411</v>
      </c>
      <c r="AI1148" s="294" t="s">
        <v>2412</v>
      </c>
      <c r="AJ1148" s="225"/>
      <c r="AK1148" s="225"/>
      <c r="AL1148" s="24"/>
    </row>
    <row r="1149" spans="1:38" ht="12.75" customHeight="1">
      <c r="A1149" s="22">
        <v>1147</v>
      </c>
      <c r="B1149" s="24" t="str">
        <f t="shared" ref="B1149:B1166" si="65">IF(N1149="",IF(M1149="Calculation",K1149,J1149),N1149)</f>
        <v>TT dose #1</v>
      </c>
      <c r="C1149" s="24" t="str">
        <f t="shared" si="3"/>
        <v>Data Element</v>
      </c>
      <c r="D1149" s="24" t="str">
        <f t="shared" si="2"/>
        <v/>
      </c>
      <c r="E1149" s="24" t="s">
        <v>2923</v>
      </c>
      <c r="F1149" s="24">
        <v>1</v>
      </c>
      <c r="G1149" s="24" t="s">
        <v>2372</v>
      </c>
      <c r="H1149" s="24"/>
      <c r="I1149" s="283"/>
      <c r="J1149" s="164" t="s">
        <v>2922</v>
      </c>
      <c r="K1149" s="224" t="s">
        <v>2924</v>
      </c>
      <c r="L1149" s="164" t="s">
        <v>2925</v>
      </c>
      <c r="M1149" s="164" t="s">
        <v>202</v>
      </c>
      <c r="N1149" s="224"/>
      <c r="O1149" s="164"/>
      <c r="P1149" s="164"/>
      <c r="Q1149" s="164" t="s">
        <v>904</v>
      </c>
      <c r="R1149" s="283"/>
      <c r="S1149" s="164" t="s">
        <v>113</v>
      </c>
      <c r="T1149" s="283"/>
      <c r="U1149" s="283"/>
      <c r="V1149" s="164" t="s">
        <v>2675</v>
      </c>
      <c r="W1149" s="225"/>
      <c r="X1149" s="283"/>
      <c r="Y1149" s="283"/>
      <c r="Z1149" s="283"/>
      <c r="AA1149" s="283"/>
      <c r="AB1149" s="283"/>
      <c r="AC1149" s="283"/>
      <c r="AD1149" s="283"/>
      <c r="AE1149" s="283"/>
      <c r="AF1149" s="283"/>
      <c r="AG1149" s="285" t="s">
        <v>2926</v>
      </c>
      <c r="AH1149" s="285" t="s">
        <v>2927</v>
      </c>
      <c r="AI1149" s="285" t="s">
        <v>2928</v>
      </c>
      <c r="AJ1149" s="225"/>
      <c r="AK1149" s="225"/>
      <c r="AL1149" s="24"/>
    </row>
    <row r="1150" spans="1:38" ht="12.75" customHeight="1">
      <c r="A1150" s="22">
        <v>1148</v>
      </c>
      <c r="B1150" s="24" t="str">
        <f t="shared" si="65"/>
        <v>Done today</v>
      </c>
      <c r="C1150" s="24" t="str">
        <f t="shared" si="3"/>
        <v>Input Option</v>
      </c>
      <c r="D1150" s="24" t="str">
        <f t="shared" si="2"/>
        <v>TT dose #1</v>
      </c>
      <c r="E1150" s="24" t="s">
        <v>2923</v>
      </c>
      <c r="F1150" s="24">
        <v>1</v>
      </c>
      <c r="G1150" s="24" t="s">
        <v>2372</v>
      </c>
      <c r="H1150" s="24"/>
      <c r="I1150" s="283"/>
      <c r="J1150" s="164"/>
      <c r="K1150" s="164"/>
      <c r="L1150" s="164"/>
      <c r="M1150" s="164"/>
      <c r="N1150" s="224" t="s">
        <v>1775</v>
      </c>
      <c r="O1150" s="164"/>
      <c r="P1150" s="164"/>
      <c r="Q1150" s="164"/>
      <c r="R1150" s="283"/>
      <c r="S1150" s="164"/>
      <c r="T1150" s="283"/>
      <c r="U1150" s="283"/>
      <c r="V1150" s="164"/>
      <c r="W1150" s="225"/>
      <c r="X1150" s="283"/>
      <c r="Y1150" s="283"/>
      <c r="Z1150" s="283"/>
      <c r="AA1150" s="283"/>
      <c r="AB1150" s="283"/>
      <c r="AC1150" s="283"/>
      <c r="AD1150" s="283"/>
      <c r="AE1150" s="283"/>
      <c r="AF1150" s="283"/>
      <c r="AG1150" s="285" t="s">
        <v>115</v>
      </c>
      <c r="AH1150" s="285" t="s">
        <v>953</v>
      </c>
      <c r="AI1150" s="285" t="s">
        <v>954</v>
      </c>
      <c r="AJ1150" s="225"/>
      <c r="AK1150" s="225"/>
      <c r="AL1150" s="24"/>
    </row>
    <row r="1151" spans="1:38" ht="12.75" customHeight="1">
      <c r="A1151" s="22">
        <v>1149</v>
      </c>
      <c r="B1151" s="24" t="str">
        <f t="shared" si="65"/>
        <v>Done earlier</v>
      </c>
      <c r="C1151" s="24" t="str">
        <f t="shared" si="3"/>
        <v>Input Option</v>
      </c>
      <c r="D1151" s="24" t="str">
        <f t="shared" si="2"/>
        <v>TT dose #1</v>
      </c>
      <c r="E1151" s="24" t="s">
        <v>2923</v>
      </c>
      <c r="F1151" s="24">
        <v>1</v>
      </c>
      <c r="G1151" s="24" t="s">
        <v>2372</v>
      </c>
      <c r="H1151" s="24"/>
      <c r="I1151" s="283"/>
      <c r="J1151" s="164"/>
      <c r="K1151" s="164"/>
      <c r="L1151" s="164"/>
      <c r="M1151" s="164"/>
      <c r="N1151" s="224" t="s">
        <v>1779</v>
      </c>
      <c r="O1151" s="164"/>
      <c r="P1151" s="164"/>
      <c r="Q1151" s="164"/>
      <c r="R1151" s="283"/>
      <c r="S1151" s="164"/>
      <c r="T1151" s="283"/>
      <c r="U1151" s="283"/>
      <c r="V1151" s="164"/>
      <c r="W1151" s="225"/>
      <c r="X1151" s="283"/>
      <c r="Y1151" s="283"/>
      <c r="Z1151" s="283"/>
      <c r="AA1151" s="283"/>
      <c r="AB1151" s="283"/>
      <c r="AC1151" s="283"/>
      <c r="AD1151" s="283"/>
      <c r="AE1151" s="283"/>
      <c r="AF1151" s="283"/>
      <c r="AG1151" s="285" t="s">
        <v>115</v>
      </c>
      <c r="AH1151" s="285" t="s">
        <v>2929</v>
      </c>
      <c r="AI1151" s="285" t="s">
        <v>2930</v>
      </c>
      <c r="AJ1151" s="225"/>
      <c r="AK1151" s="225"/>
      <c r="AL1151" s="24"/>
    </row>
    <row r="1152" spans="1:38" ht="12.75" customHeight="1">
      <c r="A1152" s="22">
        <v>1150</v>
      </c>
      <c r="B1152" s="24" t="str">
        <f t="shared" si="65"/>
        <v>Not done</v>
      </c>
      <c r="C1152" s="24" t="str">
        <f t="shared" si="3"/>
        <v>Input Option</v>
      </c>
      <c r="D1152" s="24" t="str">
        <f t="shared" si="2"/>
        <v>TT dose #1</v>
      </c>
      <c r="E1152" s="24" t="s">
        <v>2923</v>
      </c>
      <c r="F1152" s="24">
        <v>1</v>
      </c>
      <c r="G1152" s="24" t="s">
        <v>2372</v>
      </c>
      <c r="H1152" s="24"/>
      <c r="I1152" s="283"/>
      <c r="J1152" s="164"/>
      <c r="K1152" s="164"/>
      <c r="L1152" s="164"/>
      <c r="M1152" s="164"/>
      <c r="N1152" s="224" t="s">
        <v>1468</v>
      </c>
      <c r="O1152" s="164"/>
      <c r="P1152" s="164"/>
      <c r="Q1152" s="164"/>
      <c r="R1152" s="283"/>
      <c r="S1152" s="164"/>
      <c r="T1152" s="283"/>
      <c r="U1152" s="283"/>
      <c r="V1152" s="164"/>
      <c r="W1152" s="225"/>
      <c r="X1152" s="283"/>
      <c r="Y1152" s="283"/>
      <c r="Z1152" s="283"/>
      <c r="AA1152" s="283"/>
      <c r="AB1152" s="283"/>
      <c r="AC1152" s="283"/>
      <c r="AD1152" s="283"/>
      <c r="AE1152" s="283"/>
      <c r="AF1152" s="283"/>
      <c r="AG1152" s="285" t="s">
        <v>115</v>
      </c>
      <c r="AH1152" s="285" t="s">
        <v>957</v>
      </c>
      <c r="AI1152" s="205" t="s">
        <v>958</v>
      </c>
      <c r="AJ1152" s="225"/>
      <c r="AK1152" s="225"/>
      <c r="AL1152" s="24"/>
    </row>
    <row r="1153" spans="1:38" ht="12.75" customHeight="1">
      <c r="A1153" s="22">
        <v>1151</v>
      </c>
      <c r="B1153" s="24" t="str">
        <f t="shared" si="65"/>
        <v>tt1_dose_number</v>
      </c>
      <c r="C1153" s="24" t="str">
        <f t="shared" si="3"/>
        <v>Calculation</v>
      </c>
      <c r="D1153" s="24" t="str">
        <f t="shared" si="2"/>
        <v/>
      </c>
      <c r="E1153" s="24" t="s">
        <v>2923</v>
      </c>
      <c r="F1153" s="24">
        <v>1</v>
      </c>
      <c r="G1153" s="24" t="s">
        <v>2372</v>
      </c>
      <c r="H1153" s="24"/>
      <c r="I1153" s="283"/>
      <c r="J1153" s="164"/>
      <c r="K1153" s="164" t="s">
        <v>2931</v>
      </c>
      <c r="L1153" s="164" t="s">
        <v>2932</v>
      </c>
      <c r="M1153" s="164" t="s">
        <v>65</v>
      </c>
      <c r="N1153" s="224"/>
      <c r="O1153" s="382">
        <v>1</v>
      </c>
      <c r="P1153" s="382"/>
      <c r="Q1153" s="164"/>
      <c r="R1153" s="283"/>
      <c r="S1153" s="164"/>
      <c r="T1153" s="283"/>
      <c r="U1153" s="283"/>
      <c r="V1153" s="164"/>
      <c r="W1153" s="225"/>
      <c r="X1153" s="283"/>
      <c r="Y1153" s="283"/>
      <c r="Z1153" s="283"/>
      <c r="AA1153" s="283"/>
      <c r="AB1153" s="283"/>
      <c r="AC1153" s="283"/>
      <c r="AD1153" s="283"/>
      <c r="AE1153" s="283"/>
      <c r="AF1153" s="283"/>
      <c r="AG1153" s="285" t="s">
        <v>2926</v>
      </c>
      <c r="AH1153" s="285" t="s">
        <v>2933</v>
      </c>
      <c r="AI1153" s="285" t="s">
        <v>2934</v>
      </c>
      <c r="AJ1153" s="225"/>
      <c r="AK1153" s="225"/>
      <c r="AL1153" s="24"/>
    </row>
    <row r="1154" spans="1:38" ht="12.75" customHeight="1">
      <c r="A1154" s="22">
        <v>1152</v>
      </c>
      <c r="B1154" s="24" t="str">
        <f t="shared" si="65"/>
        <v>tt1_date_done</v>
      </c>
      <c r="C1154" s="24" t="str">
        <f t="shared" si="3"/>
        <v>Calculation</v>
      </c>
      <c r="D1154" s="24" t="str">
        <f t="shared" si="2"/>
        <v/>
      </c>
      <c r="E1154" s="24" t="s">
        <v>2923</v>
      </c>
      <c r="F1154" s="24">
        <v>1</v>
      </c>
      <c r="G1154" s="24" t="s">
        <v>2372</v>
      </c>
      <c r="H1154" s="24"/>
      <c r="I1154" s="283"/>
      <c r="J1154" s="164"/>
      <c r="K1154" s="164" t="s">
        <v>2935</v>
      </c>
      <c r="L1154" s="164" t="s">
        <v>2936</v>
      </c>
      <c r="M1154" s="164" t="s">
        <v>65</v>
      </c>
      <c r="N1154" s="224"/>
      <c r="O1154" s="164" t="s">
        <v>2937</v>
      </c>
      <c r="P1154" s="164"/>
      <c r="Q1154" s="164"/>
      <c r="R1154" s="283"/>
      <c r="S1154" s="164"/>
      <c r="T1154" s="283"/>
      <c r="U1154" s="283"/>
      <c r="V1154" s="164"/>
      <c r="W1154" s="225"/>
      <c r="X1154" s="283"/>
      <c r="Y1154" s="283"/>
      <c r="Z1154" s="283"/>
      <c r="AA1154" s="283"/>
      <c r="AB1154" s="283"/>
      <c r="AC1154" s="283"/>
      <c r="AD1154" s="283"/>
      <c r="AE1154" s="283"/>
      <c r="AF1154" s="283"/>
      <c r="AG1154" s="285" t="s">
        <v>2926</v>
      </c>
      <c r="AH1154" s="285" t="s">
        <v>2938</v>
      </c>
      <c r="AI1154" s="285" t="s">
        <v>2939</v>
      </c>
      <c r="AJ1154" s="225"/>
      <c r="AK1154" s="225"/>
      <c r="AL1154" s="24"/>
    </row>
    <row r="1155" spans="1:38" ht="12.75" customHeight="1">
      <c r="A1155" s="22">
        <v>1153</v>
      </c>
      <c r="B1155" s="24" t="str">
        <f t="shared" si="65"/>
        <v>TT dose #2</v>
      </c>
      <c r="C1155" s="24" t="str">
        <f t="shared" si="3"/>
        <v>Data Element</v>
      </c>
      <c r="D1155" s="24" t="str">
        <f t="shared" si="2"/>
        <v/>
      </c>
      <c r="E1155" s="24" t="s">
        <v>2923</v>
      </c>
      <c r="F1155" s="24">
        <v>1</v>
      </c>
      <c r="G1155" s="24" t="s">
        <v>2372</v>
      </c>
      <c r="H1155" s="24"/>
      <c r="I1155" s="283"/>
      <c r="J1155" s="164" t="s">
        <v>2940</v>
      </c>
      <c r="K1155" s="164" t="s">
        <v>2941</v>
      </c>
      <c r="L1155" s="164" t="s">
        <v>2942</v>
      </c>
      <c r="M1155" s="164" t="s">
        <v>202</v>
      </c>
      <c r="N1155" s="224"/>
      <c r="O1155" s="164"/>
      <c r="P1155" s="164"/>
      <c r="Q1155" s="164" t="s">
        <v>904</v>
      </c>
      <c r="R1155" s="283"/>
      <c r="S1155" s="164" t="s">
        <v>113</v>
      </c>
      <c r="T1155" s="283"/>
      <c r="U1155" s="283"/>
      <c r="V1155" s="164" t="s">
        <v>2943</v>
      </c>
      <c r="W1155" s="225"/>
      <c r="X1155" s="283"/>
      <c r="Y1155" s="283"/>
      <c r="Z1155" s="283"/>
      <c r="AA1155" s="283"/>
      <c r="AB1155" s="283"/>
      <c r="AC1155" s="283"/>
      <c r="AD1155" s="283"/>
      <c r="AE1155" s="283"/>
      <c r="AF1155" s="283"/>
      <c r="AG1155" s="285" t="s">
        <v>2926</v>
      </c>
      <c r="AH1155" s="285" t="s">
        <v>2927</v>
      </c>
      <c r="AI1155" s="285" t="s">
        <v>2928</v>
      </c>
      <c r="AJ1155" s="225"/>
      <c r="AK1155" s="225"/>
      <c r="AL1155" s="24"/>
    </row>
    <row r="1156" spans="1:38" ht="12.75" customHeight="1">
      <c r="A1156" s="22">
        <v>1154</v>
      </c>
      <c r="B1156" s="24" t="str">
        <f t="shared" si="65"/>
        <v>Done today</v>
      </c>
      <c r="C1156" s="24" t="str">
        <f t="shared" si="3"/>
        <v>Input Option</v>
      </c>
      <c r="D1156" s="24" t="str">
        <f t="shared" si="2"/>
        <v>TT dose #2</v>
      </c>
      <c r="E1156" s="24" t="s">
        <v>2923</v>
      </c>
      <c r="F1156" s="24">
        <v>1</v>
      </c>
      <c r="G1156" s="24" t="s">
        <v>2372</v>
      </c>
      <c r="H1156" s="24"/>
      <c r="I1156" s="283"/>
      <c r="J1156" s="164"/>
      <c r="K1156" s="164"/>
      <c r="L1156" s="164"/>
      <c r="M1156" s="164"/>
      <c r="N1156" s="224" t="s">
        <v>1775</v>
      </c>
      <c r="O1156" s="164"/>
      <c r="P1156" s="164"/>
      <c r="Q1156" s="164"/>
      <c r="R1156" s="283"/>
      <c r="S1156" s="164"/>
      <c r="T1156" s="283"/>
      <c r="U1156" s="283"/>
      <c r="V1156" s="164"/>
      <c r="W1156" s="225"/>
      <c r="X1156" s="283"/>
      <c r="Y1156" s="283"/>
      <c r="Z1156" s="283"/>
      <c r="AA1156" s="283"/>
      <c r="AB1156" s="283"/>
      <c r="AC1156" s="283"/>
      <c r="AD1156" s="283"/>
      <c r="AE1156" s="283"/>
      <c r="AF1156" s="283"/>
      <c r="AG1156" s="285" t="s">
        <v>115</v>
      </c>
      <c r="AH1156" s="285" t="s">
        <v>953</v>
      </c>
      <c r="AI1156" s="285" t="s">
        <v>954</v>
      </c>
      <c r="AJ1156" s="225"/>
      <c r="AK1156" s="225"/>
      <c r="AL1156" s="24"/>
    </row>
    <row r="1157" spans="1:38" ht="12.75" customHeight="1">
      <c r="A1157" s="22">
        <v>1155</v>
      </c>
      <c r="B1157" s="24" t="str">
        <f t="shared" si="65"/>
        <v>Done earlier</v>
      </c>
      <c r="C1157" s="24" t="str">
        <f t="shared" si="3"/>
        <v>Input Option</v>
      </c>
      <c r="D1157" s="24" t="str">
        <f t="shared" si="2"/>
        <v>TT dose #2</v>
      </c>
      <c r="E1157" s="24" t="s">
        <v>2923</v>
      </c>
      <c r="F1157" s="24">
        <v>1</v>
      </c>
      <c r="G1157" s="24" t="s">
        <v>2372</v>
      </c>
      <c r="H1157" s="24"/>
      <c r="I1157" s="283"/>
      <c r="J1157" s="164"/>
      <c r="K1157" s="164"/>
      <c r="L1157" s="164"/>
      <c r="M1157" s="164"/>
      <c r="N1157" s="224" t="s">
        <v>1779</v>
      </c>
      <c r="O1157" s="164"/>
      <c r="P1157" s="164"/>
      <c r="Q1157" s="164"/>
      <c r="R1157" s="283"/>
      <c r="S1157" s="164"/>
      <c r="T1157" s="283"/>
      <c r="U1157" s="283"/>
      <c r="V1157" s="164"/>
      <c r="W1157" s="225"/>
      <c r="X1157" s="283"/>
      <c r="Y1157" s="283"/>
      <c r="Z1157" s="283"/>
      <c r="AA1157" s="283"/>
      <c r="AB1157" s="283"/>
      <c r="AC1157" s="283"/>
      <c r="AD1157" s="283"/>
      <c r="AE1157" s="283"/>
      <c r="AF1157" s="283"/>
      <c r="AG1157" s="285" t="s">
        <v>115</v>
      </c>
      <c r="AH1157" s="285" t="s">
        <v>2929</v>
      </c>
      <c r="AI1157" s="285" t="s">
        <v>2930</v>
      </c>
      <c r="AJ1157" s="225"/>
      <c r="AK1157" s="225"/>
      <c r="AL1157" s="24"/>
    </row>
    <row r="1158" spans="1:38" ht="12.75" customHeight="1">
      <c r="A1158" s="22">
        <v>1156</v>
      </c>
      <c r="B1158" s="24" t="str">
        <f t="shared" si="65"/>
        <v>Not done</v>
      </c>
      <c r="C1158" s="24" t="str">
        <f t="shared" si="3"/>
        <v>Input Option</v>
      </c>
      <c r="D1158" s="24" t="str">
        <f t="shared" si="2"/>
        <v>TT dose #2</v>
      </c>
      <c r="E1158" s="24" t="s">
        <v>2923</v>
      </c>
      <c r="F1158" s="24">
        <v>1</v>
      </c>
      <c r="G1158" s="24" t="s">
        <v>2372</v>
      </c>
      <c r="H1158" s="24"/>
      <c r="I1158" s="283"/>
      <c r="J1158" s="164"/>
      <c r="K1158" s="164"/>
      <c r="L1158" s="164"/>
      <c r="M1158" s="164"/>
      <c r="N1158" s="224" t="s">
        <v>1468</v>
      </c>
      <c r="O1158" s="164"/>
      <c r="P1158" s="164"/>
      <c r="Q1158" s="164"/>
      <c r="R1158" s="283"/>
      <c r="S1158" s="164"/>
      <c r="T1158" s="283"/>
      <c r="U1158" s="283"/>
      <c r="V1158" s="164"/>
      <c r="W1158" s="225"/>
      <c r="X1158" s="283"/>
      <c r="Y1158" s="283"/>
      <c r="Z1158" s="283"/>
      <c r="AA1158" s="283"/>
      <c r="AB1158" s="283"/>
      <c r="AC1158" s="283"/>
      <c r="AD1158" s="283"/>
      <c r="AE1158" s="283"/>
      <c r="AF1158" s="283"/>
      <c r="AG1158" s="285" t="s">
        <v>115</v>
      </c>
      <c r="AH1158" s="285" t="s">
        <v>957</v>
      </c>
      <c r="AI1158" s="205" t="s">
        <v>958</v>
      </c>
      <c r="AJ1158" s="225"/>
      <c r="AK1158" s="225"/>
      <c r="AL1158" s="24"/>
    </row>
    <row r="1159" spans="1:38" ht="12.75" customHeight="1">
      <c r="A1159" s="22">
        <v>1157</v>
      </c>
      <c r="B1159" s="24" t="str">
        <f t="shared" si="65"/>
        <v>tt2_dose_number</v>
      </c>
      <c r="C1159" s="24" t="str">
        <f t="shared" si="3"/>
        <v>Calculation</v>
      </c>
      <c r="D1159" s="24" t="str">
        <f t="shared" si="2"/>
        <v/>
      </c>
      <c r="E1159" s="24" t="s">
        <v>2923</v>
      </c>
      <c r="F1159" s="24">
        <v>1</v>
      </c>
      <c r="G1159" s="24" t="s">
        <v>2372</v>
      </c>
      <c r="H1159" s="24"/>
      <c r="I1159" s="283"/>
      <c r="J1159" s="164"/>
      <c r="K1159" s="164" t="s">
        <v>2944</v>
      </c>
      <c r="L1159" s="164" t="s">
        <v>2945</v>
      </c>
      <c r="M1159" s="164" t="s">
        <v>65</v>
      </c>
      <c r="N1159" s="224"/>
      <c r="O1159" s="382">
        <v>2</v>
      </c>
      <c r="P1159" s="382"/>
      <c r="Q1159" s="164"/>
      <c r="R1159" s="283"/>
      <c r="S1159" s="164"/>
      <c r="T1159" s="283"/>
      <c r="U1159" s="283"/>
      <c r="V1159" s="164"/>
      <c r="W1159" s="225"/>
      <c r="X1159" s="283"/>
      <c r="Y1159" s="283"/>
      <c r="Z1159" s="283"/>
      <c r="AA1159" s="283"/>
      <c r="AB1159" s="283"/>
      <c r="AC1159" s="283"/>
      <c r="AD1159" s="283"/>
      <c r="AE1159" s="283"/>
      <c r="AF1159" s="283"/>
      <c r="AG1159" s="285" t="s">
        <v>2926</v>
      </c>
      <c r="AH1159" s="285" t="s">
        <v>2933</v>
      </c>
      <c r="AI1159" s="285" t="s">
        <v>2934</v>
      </c>
      <c r="AJ1159" s="225"/>
      <c r="AK1159" s="225"/>
      <c r="AL1159" s="24"/>
    </row>
    <row r="1160" spans="1:38" ht="12.75" customHeight="1">
      <c r="A1160" s="22">
        <v>1158</v>
      </c>
      <c r="B1160" s="24" t="str">
        <f t="shared" si="65"/>
        <v>tt2_date_done</v>
      </c>
      <c r="C1160" s="24" t="str">
        <f t="shared" si="3"/>
        <v>Calculation</v>
      </c>
      <c r="D1160" s="24" t="str">
        <f t="shared" si="2"/>
        <v/>
      </c>
      <c r="E1160" s="24" t="s">
        <v>2923</v>
      </c>
      <c r="F1160" s="24">
        <v>1</v>
      </c>
      <c r="G1160" s="24" t="s">
        <v>2372</v>
      </c>
      <c r="H1160" s="24"/>
      <c r="I1160" s="283"/>
      <c r="J1160" s="164"/>
      <c r="K1160" s="164" t="s">
        <v>2946</v>
      </c>
      <c r="L1160" s="164" t="s">
        <v>2947</v>
      </c>
      <c r="M1160" s="164" t="s">
        <v>65</v>
      </c>
      <c r="N1160" s="224"/>
      <c r="O1160" s="164" t="s">
        <v>2937</v>
      </c>
      <c r="P1160" s="164"/>
      <c r="Q1160" s="164"/>
      <c r="R1160" s="283"/>
      <c r="S1160" s="164"/>
      <c r="T1160" s="283"/>
      <c r="U1160" s="283"/>
      <c r="V1160" s="164"/>
      <c r="W1160" s="225"/>
      <c r="X1160" s="283"/>
      <c r="Y1160" s="283"/>
      <c r="Z1160" s="283"/>
      <c r="AA1160" s="283"/>
      <c r="AB1160" s="283"/>
      <c r="AC1160" s="283"/>
      <c r="AD1160" s="283"/>
      <c r="AE1160" s="283"/>
      <c r="AF1160" s="283"/>
      <c r="AG1160" s="285" t="s">
        <v>2926</v>
      </c>
      <c r="AH1160" s="285" t="s">
        <v>2938</v>
      </c>
      <c r="AI1160" s="285" t="s">
        <v>2939</v>
      </c>
      <c r="AJ1160" s="225"/>
      <c r="AK1160" s="225"/>
      <c r="AL1160" s="24"/>
    </row>
    <row r="1161" spans="1:38" ht="12.75" customHeight="1">
      <c r="A1161" s="22">
        <v>1159</v>
      </c>
      <c r="B1161" s="24" t="str">
        <f t="shared" si="65"/>
        <v>TT dose #3</v>
      </c>
      <c r="C1161" s="24" t="str">
        <f t="shared" si="3"/>
        <v>Data Element</v>
      </c>
      <c r="D1161" s="24" t="str">
        <f t="shared" si="2"/>
        <v/>
      </c>
      <c r="E1161" s="24" t="s">
        <v>2923</v>
      </c>
      <c r="F1161" s="24">
        <v>1</v>
      </c>
      <c r="G1161" s="24" t="s">
        <v>2372</v>
      </c>
      <c r="H1161" s="24"/>
      <c r="I1161" s="283"/>
      <c r="J1161" s="164" t="s">
        <v>2948</v>
      </c>
      <c r="K1161" s="164" t="s">
        <v>2949</v>
      </c>
      <c r="L1161" s="164" t="s">
        <v>2950</v>
      </c>
      <c r="M1161" s="164" t="s">
        <v>202</v>
      </c>
      <c r="N1161" s="224"/>
      <c r="O1161" s="164"/>
      <c r="P1161" s="164"/>
      <c r="Q1161" s="164" t="s">
        <v>904</v>
      </c>
      <c r="R1161" s="283"/>
      <c r="S1161" s="164" t="s">
        <v>113</v>
      </c>
      <c r="T1161" s="283"/>
      <c r="U1161" s="283"/>
      <c r="V1161" s="164" t="s">
        <v>2951</v>
      </c>
      <c r="W1161" s="225"/>
      <c r="X1161" s="283"/>
      <c r="Y1161" s="283"/>
      <c r="Z1161" s="283"/>
      <c r="AA1161" s="283"/>
      <c r="AB1161" s="283"/>
      <c r="AC1161" s="283"/>
      <c r="AD1161" s="283"/>
      <c r="AE1161" s="283"/>
      <c r="AF1161" s="283"/>
      <c r="AG1161" s="285" t="s">
        <v>2926</v>
      </c>
      <c r="AH1161" s="285" t="s">
        <v>2927</v>
      </c>
      <c r="AI1161" s="285" t="s">
        <v>2928</v>
      </c>
      <c r="AJ1161" s="225"/>
      <c r="AK1161" s="225"/>
      <c r="AL1161" s="24"/>
    </row>
    <row r="1162" spans="1:38" ht="12.75" customHeight="1">
      <c r="A1162" s="22">
        <v>1160</v>
      </c>
      <c r="B1162" s="24" t="str">
        <f t="shared" si="65"/>
        <v>Done today</v>
      </c>
      <c r="C1162" s="24" t="str">
        <f t="shared" si="3"/>
        <v>Input Option</v>
      </c>
      <c r="D1162" s="24" t="str">
        <f t="shared" si="2"/>
        <v>TT dose #3</v>
      </c>
      <c r="E1162" s="24" t="s">
        <v>2923</v>
      </c>
      <c r="F1162" s="24">
        <v>1</v>
      </c>
      <c r="G1162" s="24" t="s">
        <v>2372</v>
      </c>
      <c r="H1162" s="24"/>
      <c r="I1162" s="283"/>
      <c r="J1162" s="164"/>
      <c r="K1162" s="164"/>
      <c r="L1162" s="164"/>
      <c r="M1162" s="164"/>
      <c r="N1162" s="224" t="s">
        <v>1775</v>
      </c>
      <c r="O1162" s="164"/>
      <c r="P1162" s="164"/>
      <c r="Q1162" s="164"/>
      <c r="R1162" s="283"/>
      <c r="S1162" s="164"/>
      <c r="T1162" s="283"/>
      <c r="U1162" s="283"/>
      <c r="V1162" s="164"/>
      <c r="W1162" s="225"/>
      <c r="X1162" s="283"/>
      <c r="Y1162" s="283"/>
      <c r="Z1162" s="283"/>
      <c r="AA1162" s="283"/>
      <c r="AB1162" s="283"/>
      <c r="AC1162" s="283"/>
      <c r="AD1162" s="283"/>
      <c r="AE1162" s="283"/>
      <c r="AF1162" s="283"/>
      <c r="AG1162" s="285" t="s">
        <v>115</v>
      </c>
      <c r="AH1162" s="285" t="s">
        <v>953</v>
      </c>
      <c r="AI1162" s="285" t="s">
        <v>954</v>
      </c>
      <c r="AJ1162" s="225"/>
      <c r="AK1162" s="225"/>
      <c r="AL1162" s="24"/>
    </row>
    <row r="1163" spans="1:38" ht="12.75" customHeight="1">
      <c r="A1163" s="22">
        <v>1161</v>
      </c>
      <c r="B1163" s="24" t="str">
        <f t="shared" si="65"/>
        <v>Done earlier</v>
      </c>
      <c r="C1163" s="24" t="str">
        <f t="shared" si="3"/>
        <v>Input Option</v>
      </c>
      <c r="D1163" s="24" t="str">
        <f t="shared" si="2"/>
        <v>TT dose #3</v>
      </c>
      <c r="E1163" s="24" t="s">
        <v>2923</v>
      </c>
      <c r="F1163" s="24">
        <v>1</v>
      </c>
      <c r="G1163" s="24" t="s">
        <v>2372</v>
      </c>
      <c r="H1163" s="24"/>
      <c r="I1163" s="283"/>
      <c r="J1163" s="164"/>
      <c r="K1163" s="164"/>
      <c r="L1163" s="164"/>
      <c r="M1163" s="164"/>
      <c r="N1163" s="224" t="s">
        <v>1779</v>
      </c>
      <c r="O1163" s="164"/>
      <c r="P1163" s="164"/>
      <c r="Q1163" s="164"/>
      <c r="R1163" s="283"/>
      <c r="S1163" s="164"/>
      <c r="T1163" s="283"/>
      <c r="U1163" s="283"/>
      <c r="V1163" s="164"/>
      <c r="W1163" s="225"/>
      <c r="X1163" s="283"/>
      <c r="Y1163" s="283"/>
      <c r="Z1163" s="283"/>
      <c r="AA1163" s="283"/>
      <c r="AB1163" s="283"/>
      <c r="AC1163" s="283"/>
      <c r="AD1163" s="283"/>
      <c r="AE1163" s="283"/>
      <c r="AF1163" s="283"/>
      <c r="AG1163" s="285" t="s">
        <v>115</v>
      </c>
      <c r="AH1163" s="285" t="s">
        <v>2929</v>
      </c>
      <c r="AI1163" s="285" t="s">
        <v>2930</v>
      </c>
      <c r="AJ1163" s="225"/>
      <c r="AK1163" s="225"/>
      <c r="AL1163" s="24"/>
    </row>
    <row r="1164" spans="1:38" ht="12.75" customHeight="1">
      <c r="A1164" s="22">
        <v>1162</v>
      </c>
      <c r="B1164" s="24" t="str">
        <f t="shared" si="65"/>
        <v>Not done</v>
      </c>
      <c r="C1164" s="24" t="str">
        <f t="shared" si="3"/>
        <v>Input Option</v>
      </c>
      <c r="D1164" s="24" t="str">
        <f t="shared" si="2"/>
        <v>TT dose #3</v>
      </c>
      <c r="E1164" s="24" t="s">
        <v>2923</v>
      </c>
      <c r="F1164" s="24">
        <v>1</v>
      </c>
      <c r="G1164" s="24" t="s">
        <v>2372</v>
      </c>
      <c r="H1164" s="24"/>
      <c r="I1164" s="283"/>
      <c r="J1164" s="164"/>
      <c r="K1164" s="164"/>
      <c r="L1164" s="164"/>
      <c r="M1164" s="164"/>
      <c r="N1164" s="224" t="s">
        <v>1468</v>
      </c>
      <c r="O1164" s="164"/>
      <c r="P1164" s="164"/>
      <c r="Q1164" s="164"/>
      <c r="R1164" s="283"/>
      <c r="S1164" s="164"/>
      <c r="T1164" s="283"/>
      <c r="U1164" s="283"/>
      <c r="V1164" s="164"/>
      <c r="W1164" s="225"/>
      <c r="X1164" s="283"/>
      <c r="Y1164" s="283"/>
      <c r="Z1164" s="283"/>
      <c r="AA1164" s="283"/>
      <c r="AB1164" s="283"/>
      <c r="AC1164" s="283"/>
      <c r="AD1164" s="283"/>
      <c r="AE1164" s="283"/>
      <c r="AF1164" s="283"/>
      <c r="AG1164" s="285" t="s">
        <v>115</v>
      </c>
      <c r="AH1164" s="285" t="s">
        <v>957</v>
      </c>
      <c r="AI1164" s="205" t="s">
        <v>958</v>
      </c>
      <c r="AJ1164" s="225"/>
      <c r="AK1164" s="225"/>
      <c r="AL1164" s="24"/>
    </row>
    <row r="1165" spans="1:38" ht="12.75" customHeight="1">
      <c r="A1165" s="22">
        <v>1163</v>
      </c>
      <c r="B1165" s="24" t="str">
        <f t="shared" si="65"/>
        <v>tt3_dose_number</v>
      </c>
      <c r="C1165" s="24" t="str">
        <f t="shared" si="3"/>
        <v>Calculation</v>
      </c>
      <c r="D1165" s="24" t="str">
        <f t="shared" si="2"/>
        <v/>
      </c>
      <c r="E1165" s="24" t="s">
        <v>2923</v>
      </c>
      <c r="F1165" s="24">
        <v>1</v>
      </c>
      <c r="G1165" s="24" t="s">
        <v>2372</v>
      </c>
      <c r="H1165" s="24"/>
      <c r="I1165" s="283"/>
      <c r="J1165" s="164"/>
      <c r="K1165" s="164" t="s">
        <v>2952</v>
      </c>
      <c r="L1165" s="164" t="s">
        <v>2953</v>
      </c>
      <c r="M1165" s="164" t="s">
        <v>65</v>
      </c>
      <c r="N1165" s="224"/>
      <c r="O1165" s="382">
        <v>3</v>
      </c>
      <c r="P1165" s="382"/>
      <c r="Q1165" s="164"/>
      <c r="R1165" s="283"/>
      <c r="S1165" s="164"/>
      <c r="T1165" s="283"/>
      <c r="U1165" s="283"/>
      <c r="V1165" s="164"/>
      <c r="W1165" s="225"/>
      <c r="X1165" s="283"/>
      <c r="Y1165" s="283"/>
      <c r="Z1165" s="283"/>
      <c r="AA1165" s="283"/>
      <c r="AB1165" s="283"/>
      <c r="AC1165" s="283"/>
      <c r="AD1165" s="283"/>
      <c r="AE1165" s="283"/>
      <c r="AF1165" s="283"/>
      <c r="AG1165" s="285" t="s">
        <v>2926</v>
      </c>
      <c r="AH1165" s="285" t="s">
        <v>2933</v>
      </c>
      <c r="AI1165" s="285" t="s">
        <v>2934</v>
      </c>
      <c r="AJ1165" s="225"/>
      <c r="AK1165" s="225"/>
      <c r="AL1165" s="24"/>
    </row>
    <row r="1166" spans="1:38" ht="12.75" customHeight="1">
      <c r="A1166" s="22">
        <v>1164</v>
      </c>
      <c r="B1166" s="24" t="str">
        <f t="shared" si="65"/>
        <v>tt3_date_done</v>
      </c>
      <c r="C1166" s="24" t="str">
        <f t="shared" si="3"/>
        <v>Calculation</v>
      </c>
      <c r="D1166" s="24" t="str">
        <f t="shared" si="2"/>
        <v/>
      </c>
      <c r="E1166" s="24" t="s">
        <v>2923</v>
      </c>
      <c r="F1166" s="24">
        <v>1</v>
      </c>
      <c r="G1166" s="24" t="s">
        <v>2372</v>
      </c>
      <c r="H1166" s="24"/>
      <c r="I1166" s="283"/>
      <c r="J1166" s="164"/>
      <c r="K1166" s="164" t="s">
        <v>2954</v>
      </c>
      <c r="L1166" s="164" t="s">
        <v>2955</v>
      </c>
      <c r="M1166" s="164" t="s">
        <v>65</v>
      </c>
      <c r="N1166" s="224"/>
      <c r="O1166" s="164" t="s">
        <v>2937</v>
      </c>
      <c r="P1166" s="164"/>
      <c r="Q1166" s="164"/>
      <c r="R1166" s="283"/>
      <c r="S1166" s="164"/>
      <c r="T1166" s="283"/>
      <c r="U1166" s="283"/>
      <c r="V1166" s="164"/>
      <c r="W1166" s="225"/>
      <c r="X1166" s="283"/>
      <c r="Y1166" s="283"/>
      <c r="Z1166" s="283"/>
      <c r="AA1166" s="283"/>
      <c r="AB1166" s="283"/>
      <c r="AC1166" s="283"/>
      <c r="AD1166" s="283"/>
      <c r="AE1166" s="283"/>
      <c r="AF1166" s="283"/>
      <c r="AG1166" s="285" t="s">
        <v>2926</v>
      </c>
      <c r="AH1166" s="285" t="s">
        <v>2938</v>
      </c>
      <c r="AI1166" s="285" t="s">
        <v>2939</v>
      </c>
      <c r="AJ1166" s="225"/>
      <c r="AK1166" s="225"/>
      <c r="AL1166" s="24"/>
    </row>
    <row r="1167" spans="1:38" ht="12.75" customHeight="1">
      <c r="A1167" s="22">
        <v>1165</v>
      </c>
      <c r="B1167" s="24" t="s">
        <v>2956</v>
      </c>
      <c r="C1167" s="24" t="str">
        <f t="shared" si="3"/>
        <v>Data Element</v>
      </c>
      <c r="D1167" s="24" t="str">
        <f t="shared" si="2"/>
        <v/>
      </c>
      <c r="E1167" s="24" t="s">
        <v>2923</v>
      </c>
      <c r="F1167" s="24">
        <v>1</v>
      </c>
      <c r="G1167" s="24" t="s">
        <v>2372</v>
      </c>
      <c r="H1167" s="24"/>
      <c r="I1167" s="283"/>
      <c r="J1167" s="164" t="s">
        <v>1376</v>
      </c>
      <c r="K1167" s="164" t="s">
        <v>2957</v>
      </c>
      <c r="L1167" s="164" t="s">
        <v>2958</v>
      </c>
      <c r="M1167" s="164" t="s">
        <v>202</v>
      </c>
      <c r="N1167" s="224"/>
      <c r="O1167" s="164"/>
      <c r="P1167" s="164"/>
      <c r="Q1167" s="164"/>
      <c r="R1167" s="283"/>
      <c r="S1167" s="164" t="s">
        <v>113</v>
      </c>
      <c r="T1167" s="283"/>
      <c r="U1167" s="283"/>
      <c r="V1167" s="164" t="s">
        <v>115</v>
      </c>
      <c r="W1167" s="225"/>
      <c r="X1167" s="283"/>
      <c r="Y1167" s="283"/>
      <c r="Z1167" s="283"/>
      <c r="AA1167" s="283"/>
      <c r="AB1167" s="283"/>
      <c r="AC1167" s="283"/>
      <c r="AD1167" s="283"/>
      <c r="AE1167" s="283"/>
      <c r="AF1167" s="283"/>
      <c r="AG1167" s="285" t="s">
        <v>2926</v>
      </c>
      <c r="AH1167" s="285" t="s">
        <v>2959</v>
      </c>
      <c r="AI1167" s="285" t="s">
        <v>2960</v>
      </c>
      <c r="AJ1167" s="225"/>
      <c r="AK1167" s="225"/>
      <c r="AL1167" s="24"/>
    </row>
    <row r="1168" spans="1:38" ht="12.75" customHeight="1">
      <c r="A1168" s="22">
        <v>1166</v>
      </c>
      <c r="B1168" s="24" t="str">
        <f t="shared" ref="B1168:B1172" si="66">IF(N1168="",IF(M1168="Calculation",K1168,J1168),N1168)</f>
        <v>No vaccine available</v>
      </c>
      <c r="C1168" s="24" t="str">
        <f t="shared" si="3"/>
        <v>Input Option</v>
      </c>
      <c r="D1168" s="24" t="str">
        <f t="shared" si="2"/>
        <v>Reason TT Done not done</v>
      </c>
      <c r="E1168" s="24" t="s">
        <v>2923</v>
      </c>
      <c r="F1168" s="24">
        <v>1</v>
      </c>
      <c r="G1168" s="24" t="s">
        <v>2372</v>
      </c>
      <c r="H1168" s="24"/>
      <c r="I1168" s="283"/>
      <c r="J1168" s="196"/>
      <c r="K1168" s="196"/>
      <c r="L1168" s="196"/>
      <c r="M1168" s="196"/>
      <c r="N1168" s="224" t="s">
        <v>2961</v>
      </c>
      <c r="O1168" s="196"/>
      <c r="P1168" s="196"/>
      <c r="Q1168" s="196"/>
      <c r="R1168" s="283"/>
      <c r="S1168" s="196"/>
      <c r="T1168" s="283"/>
      <c r="U1168" s="283"/>
      <c r="V1168" s="196"/>
      <c r="W1168" s="225"/>
      <c r="X1168" s="283"/>
      <c r="Y1168" s="283"/>
      <c r="Z1168" s="283"/>
      <c r="AA1168" s="283"/>
      <c r="AB1168" s="283"/>
      <c r="AC1168" s="283"/>
      <c r="AD1168" s="283"/>
      <c r="AE1168" s="283"/>
      <c r="AF1168" s="283"/>
      <c r="AG1168" s="205" t="s">
        <v>115</v>
      </c>
      <c r="AH1168" s="205" t="s">
        <v>2637</v>
      </c>
      <c r="AI1168" s="205" t="s">
        <v>2638</v>
      </c>
      <c r="AJ1168" s="225"/>
      <c r="AK1168" s="225"/>
      <c r="AL1168" s="24"/>
    </row>
    <row r="1169" spans="1:38" ht="12.75" customHeight="1">
      <c r="A1169" s="22">
        <v>1167</v>
      </c>
      <c r="B1169" s="24" t="str">
        <f t="shared" si="66"/>
        <v>Woman is ill</v>
      </c>
      <c r="C1169" s="24" t="str">
        <f t="shared" si="3"/>
        <v>Input Option</v>
      </c>
      <c r="D1169" s="24" t="str">
        <f t="shared" si="2"/>
        <v>Reason TT Done not done</v>
      </c>
      <c r="E1169" s="24" t="s">
        <v>2923</v>
      </c>
      <c r="F1169" s="24">
        <v>1</v>
      </c>
      <c r="G1169" s="24" t="s">
        <v>2372</v>
      </c>
      <c r="H1169" s="24"/>
      <c r="I1169" s="283"/>
      <c r="J1169" s="196"/>
      <c r="K1169" s="196"/>
      <c r="L1169" s="196"/>
      <c r="M1169" s="196"/>
      <c r="N1169" s="204" t="s">
        <v>2962</v>
      </c>
      <c r="O1169" s="196"/>
      <c r="P1169" s="196"/>
      <c r="Q1169" s="196"/>
      <c r="R1169" s="283"/>
      <c r="S1169" s="196"/>
      <c r="T1169" s="283"/>
      <c r="U1169" s="283"/>
      <c r="V1169" s="196"/>
      <c r="W1169" s="225"/>
      <c r="X1169" s="283"/>
      <c r="Y1169" s="283"/>
      <c r="Z1169" s="283"/>
      <c r="AA1169" s="283"/>
      <c r="AB1169" s="283"/>
      <c r="AC1169" s="283"/>
      <c r="AD1169" s="283"/>
      <c r="AE1169" s="283"/>
      <c r="AF1169" s="283"/>
      <c r="AG1169" s="205" t="s">
        <v>115</v>
      </c>
      <c r="AH1169" s="205" t="s">
        <v>2963</v>
      </c>
      <c r="AI1169" s="205" t="s">
        <v>2964</v>
      </c>
      <c r="AJ1169" s="225"/>
      <c r="AK1169" s="225"/>
      <c r="AL1169" s="24"/>
    </row>
    <row r="1170" spans="1:38" ht="12.75" customHeight="1">
      <c r="A1170" s="22">
        <v>1168</v>
      </c>
      <c r="B1170" s="24" t="str">
        <f t="shared" si="66"/>
        <v>Woman refused</v>
      </c>
      <c r="C1170" s="24" t="str">
        <f t="shared" si="3"/>
        <v>Input Option</v>
      </c>
      <c r="D1170" s="24" t="str">
        <f t="shared" si="2"/>
        <v>Reason TT Done not done</v>
      </c>
      <c r="E1170" s="24" t="s">
        <v>2923</v>
      </c>
      <c r="F1170" s="24">
        <v>1</v>
      </c>
      <c r="G1170" s="24" t="s">
        <v>2372</v>
      </c>
      <c r="H1170" s="24"/>
      <c r="I1170" s="283"/>
      <c r="J1170" s="196"/>
      <c r="K1170" s="196"/>
      <c r="L1170" s="196"/>
      <c r="M1170" s="196"/>
      <c r="N1170" s="204" t="s">
        <v>2383</v>
      </c>
      <c r="O1170" s="196"/>
      <c r="P1170" s="196"/>
      <c r="Q1170" s="196"/>
      <c r="R1170" s="283"/>
      <c r="S1170" s="196"/>
      <c r="T1170" s="283"/>
      <c r="U1170" s="283"/>
      <c r="V1170" s="196"/>
      <c r="W1170" s="225"/>
      <c r="X1170" s="283"/>
      <c r="Y1170" s="283"/>
      <c r="Z1170" s="283"/>
      <c r="AA1170" s="283"/>
      <c r="AB1170" s="283"/>
      <c r="AC1170" s="283"/>
      <c r="AD1170" s="283"/>
      <c r="AE1170" s="283"/>
      <c r="AF1170" s="283"/>
      <c r="AG1170" s="205" t="s">
        <v>115</v>
      </c>
      <c r="AH1170" s="205" t="s">
        <v>2716</v>
      </c>
      <c r="AI1170" s="205" t="s">
        <v>2717</v>
      </c>
      <c r="AJ1170" s="225"/>
      <c r="AK1170" s="225"/>
      <c r="AL1170" s="24"/>
    </row>
    <row r="1171" spans="1:38" ht="12.75" customHeight="1">
      <c r="A1171" s="22">
        <v>1169</v>
      </c>
      <c r="B1171" s="24" t="str">
        <f t="shared" si="66"/>
        <v>Allergies</v>
      </c>
      <c r="C1171" s="24" t="str">
        <f t="shared" si="3"/>
        <v>Input Option</v>
      </c>
      <c r="D1171" s="24" t="str">
        <f t="shared" si="2"/>
        <v>Reason TT Done not done</v>
      </c>
      <c r="E1171" s="24" t="s">
        <v>2923</v>
      </c>
      <c r="F1171" s="24">
        <v>1</v>
      </c>
      <c r="G1171" s="24" t="s">
        <v>2372</v>
      </c>
      <c r="H1171" s="24"/>
      <c r="I1171" s="283"/>
      <c r="J1171" s="196"/>
      <c r="K1171" s="196"/>
      <c r="L1171" s="196"/>
      <c r="M1171" s="196"/>
      <c r="N1171" s="204" t="s">
        <v>2965</v>
      </c>
      <c r="O1171" s="196"/>
      <c r="P1171" s="196"/>
      <c r="Q1171" s="196"/>
      <c r="R1171" s="283"/>
      <c r="S1171" s="196"/>
      <c r="T1171" s="283"/>
      <c r="U1171" s="283"/>
      <c r="V1171" s="196"/>
      <c r="W1171" s="225"/>
      <c r="X1171" s="283"/>
      <c r="Y1171" s="283"/>
      <c r="Z1171" s="283"/>
      <c r="AA1171" s="283"/>
      <c r="AB1171" s="283"/>
      <c r="AC1171" s="283"/>
      <c r="AD1171" s="283"/>
      <c r="AE1171" s="283"/>
      <c r="AF1171" s="283"/>
      <c r="AG1171" s="205" t="s">
        <v>115</v>
      </c>
      <c r="AH1171" s="205" t="s">
        <v>2685</v>
      </c>
      <c r="AI1171" s="205" t="s">
        <v>2686</v>
      </c>
      <c r="AJ1171" s="225"/>
      <c r="AK1171" s="225"/>
      <c r="AL1171" s="24"/>
    </row>
    <row r="1172" spans="1:38" ht="12.75" customHeight="1">
      <c r="A1172" s="22">
        <v>1170</v>
      </c>
      <c r="B1172" s="24" t="str">
        <f t="shared" si="66"/>
        <v>Other (specify)</v>
      </c>
      <c r="C1172" s="24" t="str">
        <f t="shared" si="3"/>
        <v>Input Option</v>
      </c>
      <c r="D1172" s="24" t="str">
        <f t="shared" si="2"/>
        <v>Reason TT Done not done</v>
      </c>
      <c r="E1172" s="24" t="s">
        <v>2923</v>
      </c>
      <c r="F1172" s="24">
        <v>1</v>
      </c>
      <c r="G1172" s="24" t="s">
        <v>2372</v>
      </c>
      <c r="H1172" s="24"/>
      <c r="I1172" s="283"/>
      <c r="J1172" s="196"/>
      <c r="K1172" s="196"/>
      <c r="L1172" s="196"/>
      <c r="M1172" s="196"/>
      <c r="N1172" s="204" t="s">
        <v>405</v>
      </c>
      <c r="O1172" s="196"/>
      <c r="P1172" s="196"/>
      <c r="Q1172" s="196"/>
      <c r="R1172" s="283"/>
      <c r="S1172" s="196"/>
      <c r="T1172" s="283"/>
      <c r="U1172" s="283"/>
      <c r="V1172" s="196"/>
      <c r="W1172" s="225"/>
      <c r="X1172" s="283"/>
      <c r="Y1172" s="283"/>
      <c r="Z1172" s="283"/>
      <c r="AA1172" s="283"/>
      <c r="AB1172" s="283"/>
      <c r="AC1172" s="283"/>
      <c r="AD1172" s="283"/>
      <c r="AE1172" s="283"/>
      <c r="AF1172" s="283"/>
      <c r="AG1172" s="205" t="s">
        <v>115</v>
      </c>
      <c r="AH1172" s="205" t="s">
        <v>406</v>
      </c>
      <c r="AI1172" s="205" t="s">
        <v>407</v>
      </c>
      <c r="AJ1172" s="225"/>
      <c r="AK1172" s="225"/>
      <c r="AL1172" s="24"/>
    </row>
    <row r="1173" spans="1:38" ht="12.75" customHeight="1">
      <c r="A1173" s="22">
        <v>1171</v>
      </c>
      <c r="B1173" s="24" t="s">
        <v>2966</v>
      </c>
      <c r="C1173" s="24" t="str">
        <f t="shared" si="3"/>
        <v>Data Element</v>
      </c>
      <c r="D1173" s="24" t="str">
        <f t="shared" si="2"/>
        <v/>
      </c>
      <c r="E1173" s="24" t="s">
        <v>2923</v>
      </c>
      <c r="F1173" s="24">
        <v>1</v>
      </c>
      <c r="G1173" s="24" t="s">
        <v>2372</v>
      </c>
      <c r="H1173" s="24"/>
      <c r="I1173" s="283"/>
      <c r="J1173" s="196" t="s">
        <v>409</v>
      </c>
      <c r="K1173" s="196" t="s">
        <v>2967</v>
      </c>
      <c r="L1173" s="196" t="s">
        <v>2641</v>
      </c>
      <c r="M1173" s="196" t="s">
        <v>111</v>
      </c>
      <c r="N1173" s="196"/>
      <c r="O1173" s="196"/>
      <c r="P1173" s="196"/>
      <c r="Q1173" s="196"/>
      <c r="R1173" s="283"/>
      <c r="S1173" s="196" t="s">
        <v>208</v>
      </c>
      <c r="T1173" s="283"/>
      <c r="U1173" s="283"/>
      <c r="V1173" s="196" t="s">
        <v>115</v>
      </c>
      <c r="W1173" s="225"/>
      <c r="X1173" s="283"/>
      <c r="Y1173" s="283"/>
      <c r="Z1173" s="283"/>
      <c r="AA1173" s="283"/>
      <c r="AB1173" s="283"/>
      <c r="AC1173" s="283"/>
      <c r="AD1173" s="283"/>
      <c r="AE1173" s="283"/>
      <c r="AF1173" s="283"/>
      <c r="AG1173" s="285" t="s">
        <v>2926</v>
      </c>
      <c r="AH1173" s="285" t="s">
        <v>2968</v>
      </c>
      <c r="AI1173" s="285" t="s">
        <v>2969</v>
      </c>
      <c r="AJ1173" s="225"/>
      <c r="AK1173" s="225"/>
      <c r="AL1173" s="24"/>
    </row>
    <row r="1174" spans="1:38" ht="12.75" customHeight="1">
      <c r="A1174" s="22">
        <v>1172</v>
      </c>
      <c r="B1174" s="24" t="str">
        <f t="shared" ref="B1174:B1194" si="67">IF(N1174="",IF(M1174="Calculation",K1174,J1174),N1174)</f>
        <v>Hep B negative counseling and vaccination</v>
      </c>
      <c r="C1174" s="24" t="str">
        <f t="shared" si="3"/>
        <v>Data Element</v>
      </c>
      <c r="D1174" s="24" t="str">
        <f t="shared" si="2"/>
        <v/>
      </c>
      <c r="E1174" s="24" t="s">
        <v>2971</v>
      </c>
      <c r="F1174" s="24">
        <v>1</v>
      </c>
      <c r="G1174" s="24" t="s">
        <v>2372</v>
      </c>
      <c r="H1174" s="24"/>
      <c r="I1174" s="283"/>
      <c r="J1174" s="164" t="s">
        <v>2970</v>
      </c>
      <c r="K1174" s="164" t="s">
        <v>2972</v>
      </c>
      <c r="L1174" s="164"/>
      <c r="M1174" s="164" t="s">
        <v>202</v>
      </c>
      <c r="N1174" s="164"/>
      <c r="O1174" s="164"/>
      <c r="P1174" s="164"/>
      <c r="Q1174" s="164"/>
      <c r="R1174" s="283"/>
      <c r="S1174" s="164" t="s">
        <v>208</v>
      </c>
      <c r="T1174" s="283"/>
      <c r="U1174" s="283"/>
      <c r="V1174" s="164" t="s">
        <v>2973</v>
      </c>
      <c r="W1174" s="225"/>
      <c r="X1174" s="283"/>
      <c r="Y1174" s="283"/>
      <c r="Z1174" s="283"/>
      <c r="AA1174" s="283"/>
      <c r="AB1174" s="283"/>
      <c r="AC1174" s="283"/>
      <c r="AD1174" s="283"/>
      <c r="AE1174" s="283"/>
      <c r="AF1174" s="283"/>
      <c r="AG1174" s="285" t="s">
        <v>2974</v>
      </c>
      <c r="AH1174" s="285" t="s">
        <v>2398</v>
      </c>
      <c r="AI1174" s="285" t="s">
        <v>2399</v>
      </c>
      <c r="AJ1174" s="225"/>
      <c r="AK1174" s="225"/>
      <c r="AL1174" s="24"/>
    </row>
    <row r="1175" spans="1:38" ht="12.75" customHeight="1">
      <c r="A1175" s="22">
        <v>1173</v>
      </c>
      <c r="B1175" s="24" t="str">
        <f t="shared" si="67"/>
        <v>Done</v>
      </c>
      <c r="C1175" s="24" t="str">
        <f t="shared" si="3"/>
        <v>Input Option</v>
      </c>
      <c r="D1175" s="24" t="str">
        <f t="shared" si="2"/>
        <v>Hep B negative counseling and vaccination</v>
      </c>
      <c r="E1175" s="24" t="s">
        <v>2971</v>
      </c>
      <c r="F1175" s="24">
        <v>1</v>
      </c>
      <c r="G1175" s="24" t="s">
        <v>2372</v>
      </c>
      <c r="H1175" s="24"/>
      <c r="I1175" s="283"/>
      <c r="J1175" s="164"/>
      <c r="K1175" s="164"/>
      <c r="L1175" s="164"/>
      <c r="M1175" s="164"/>
      <c r="N1175" s="164" t="s">
        <v>1673</v>
      </c>
      <c r="O1175" s="164"/>
      <c r="P1175" s="164"/>
      <c r="Q1175" s="164"/>
      <c r="R1175" s="283"/>
      <c r="S1175" s="164"/>
      <c r="T1175" s="283"/>
      <c r="U1175" s="283"/>
      <c r="V1175" s="164"/>
      <c r="W1175" s="225"/>
      <c r="X1175" s="283"/>
      <c r="Y1175" s="283"/>
      <c r="Z1175" s="283"/>
      <c r="AA1175" s="283"/>
      <c r="AB1175" s="283"/>
      <c r="AC1175" s="283"/>
      <c r="AD1175" s="283"/>
      <c r="AE1175" s="283"/>
      <c r="AF1175" s="283"/>
      <c r="AG1175" s="285" t="s">
        <v>115</v>
      </c>
      <c r="AH1175" s="285" t="s">
        <v>942</v>
      </c>
      <c r="AI1175" s="205" t="s">
        <v>943</v>
      </c>
      <c r="AJ1175" s="225"/>
      <c r="AK1175" s="225"/>
      <c r="AL1175" s="24"/>
    </row>
    <row r="1176" spans="1:38" ht="12.75" customHeight="1">
      <c r="A1176" s="22">
        <v>1174</v>
      </c>
      <c r="B1176" s="24" t="str">
        <f t="shared" si="67"/>
        <v>Not done</v>
      </c>
      <c r="C1176" s="24" t="str">
        <f t="shared" si="3"/>
        <v>Input Option</v>
      </c>
      <c r="D1176" s="24" t="str">
        <f t="shared" si="2"/>
        <v>Hep B negative counseling and vaccination</v>
      </c>
      <c r="E1176" s="24" t="s">
        <v>2971</v>
      </c>
      <c r="F1176" s="24">
        <v>1</v>
      </c>
      <c r="G1176" s="24" t="s">
        <v>2372</v>
      </c>
      <c r="H1176" s="24"/>
      <c r="I1176" s="283"/>
      <c r="J1176" s="164"/>
      <c r="K1176" s="164"/>
      <c r="L1176" s="164"/>
      <c r="M1176" s="164"/>
      <c r="N1176" s="164" t="s">
        <v>1468</v>
      </c>
      <c r="O1176" s="164"/>
      <c r="P1176" s="164"/>
      <c r="Q1176" s="164"/>
      <c r="R1176" s="283"/>
      <c r="S1176" s="164"/>
      <c r="T1176" s="283"/>
      <c r="U1176" s="283"/>
      <c r="V1176" s="164"/>
      <c r="W1176" s="225"/>
      <c r="X1176" s="283"/>
      <c r="Y1176" s="283"/>
      <c r="Z1176" s="283"/>
      <c r="AA1176" s="283"/>
      <c r="AB1176" s="283"/>
      <c r="AC1176" s="283"/>
      <c r="AD1176" s="283"/>
      <c r="AE1176" s="283"/>
      <c r="AF1176" s="283"/>
      <c r="AG1176" s="285" t="s">
        <v>115</v>
      </c>
      <c r="AH1176" s="285" t="s">
        <v>1469</v>
      </c>
      <c r="AI1176" s="205" t="s">
        <v>1470</v>
      </c>
      <c r="AJ1176" s="225"/>
      <c r="AK1176" s="225"/>
      <c r="AL1176" s="24"/>
    </row>
    <row r="1177" spans="1:38" ht="12.75" customHeight="1">
      <c r="A1177" s="22">
        <v>1175</v>
      </c>
      <c r="B1177" s="24" t="str">
        <f t="shared" si="67"/>
        <v>Hep B dose #1</v>
      </c>
      <c r="C1177" s="24" t="str">
        <f t="shared" si="3"/>
        <v>Data Element</v>
      </c>
      <c r="D1177" s="24" t="str">
        <f t="shared" si="2"/>
        <v/>
      </c>
      <c r="E1177" s="24" t="s">
        <v>2971</v>
      </c>
      <c r="F1177" s="24">
        <v>1</v>
      </c>
      <c r="G1177" s="24" t="s">
        <v>2372</v>
      </c>
      <c r="H1177" s="24"/>
      <c r="I1177" s="283"/>
      <c r="J1177" s="164" t="s">
        <v>2975</v>
      </c>
      <c r="K1177" s="164" t="s">
        <v>2976</v>
      </c>
      <c r="L1177" s="164" t="s">
        <v>2977</v>
      </c>
      <c r="M1177" s="164" t="s">
        <v>202</v>
      </c>
      <c r="N1177" s="224"/>
      <c r="O1177" s="164"/>
      <c r="P1177" s="164"/>
      <c r="Q1177" s="164" t="s">
        <v>904</v>
      </c>
      <c r="R1177" s="283"/>
      <c r="S1177" s="164" t="s">
        <v>113</v>
      </c>
      <c r="T1177" s="283"/>
      <c r="U1177" s="283"/>
      <c r="V1177" s="164" t="s">
        <v>2675</v>
      </c>
      <c r="W1177" s="225"/>
      <c r="X1177" s="283"/>
      <c r="Y1177" s="283"/>
      <c r="Z1177" s="283"/>
      <c r="AA1177" s="283"/>
      <c r="AB1177" s="283"/>
      <c r="AC1177" s="283"/>
      <c r="AD1177" s="283"/>
      <c r="AE1177" s="283"/>
      <c r="AF1177" s="283"/>
      <c r="AG1177" s="285" t="s">
        <v>2978</v>
      </c>
      <c r="AH1177" s="285" t="s">
        <v>2927</v>
      </c>
      <c r="AI1177" s="285" t="s">
        <v>2928</v>
      </c>
      <c r="AJ1177" s="225"/>
      <c r="AK1177" s="225"/>
      <c r="AL1177" s="24"/>
    </row>
    <row r="1178" spans="1:38" ht="12.75" customHeight="1">
      <c r="A1178" s="22">
        <v>1176</v>
      </c>
      <c r="B1178" s="24" t="str">
        <f t="shared" si="67"/>
        <v>Done today</v>
      </c>
      <c r="C1178" s="24" t="str">
        <f t="shared" si="3"/>
        <v>Input Option</v>
      </c>
      <c r="D1178" s="24" t="str">
        <f t="shared" si="2"/>
        <v>Hep B dose #1</v>
      </c>
      <c r="E1178" s="24" t="s">
        <v>2971</v>
      </c>
      <c r="F1178" s="24">
        <v>1</v>
      </c>
      <c r="G1178" s="24" t="s">
        <v>2372</v>
      </c>
      <c r="H1178" s="24"/>
      <c r="I1178" s="283"/>
      <c r="J1178" s="164"/>
      <c r="K1178" s="164"/>
      <c r="L1178" s="164"/>
      <c r="M1178" s="164"/>
      <c r="N1178" s="224" t="s">
        <v>1775</v>
      </c>
      <c r="O1178" s="164"/>
      <c r="P1178" s="164"/>
      <c r="Q1178" s="164"/>
      <c r="R1178" s="283"/>
      <c r="S1178" s="164"/>
      <c r="T1178" s="283"/>
      <c r="U1178" s="283"/>
      <c r="V1178" s="164"/>
      <c r="W1178" s="225"/>
      <c r="X1178" s="283"/>
      <c r="Y1178" s="283"/>
      <c r="Z1178" s="283"/>
      <c r="AA1178" s="283"/>
      <c r="AB1178" s="283"/>
      <c r="AC1178" s="283"/>
      <c r="AD1178" s="283"/>
      <c r="AE1178" s="283"/>
      <c r="AF1178" s="283"/>
      <c r="AG1178" s="285" t="s">
        <v>115</v>
      </c>
      <c r="AH1178" s="285" t="s">
        <v>953</v>
      </c>
      <c r="AI1178" s="285" t="s">
        <v>954</v>
      </c>
      <c r="AJ1178" s="225"/>
      <c r="AK1178" s="225"/>
      <c r="AL1178" s="24"/>
    </row>
    <row r="1179" spans="1:38" ht="12.75" customHeight="1">
      <c r="A1179" s="22">
        <v>1177</v>
      </c>
      <c r="B1179" s="24" t="str">
        <f t="shared" si="67"/>
        <v>Done earlier</v>
      </c>
      <c r="C1179" s="24" t="str">
        <f t="shared" si="3"/>
        <v>Input Option</v>
      </c>
      <c r="D1179" s="24" t="str">
        <f t="shared" si="2"/>
        <v>Hep B dose #1</v>
      </c>
      <c r="E1179" s="24" t="s">
        <v>2971</v>
      </c>
      <c r="F1179" s="24">
        <v>1</v>
      </c>
      <c r="G1179" s="24" t="s">
        <v>2372</v>
      </c>
      <c r="H1179" s="24"/>
      <c r="I1179" s="283"/>
      <c r="J1179" s="164"/>
      <c r="K1179" s="164"/>
      <c r="L1179" s="164"/>
      <c r="M1179" s="164"/>
      <c r="N1179" s="224" t="s">
        <v>1779</v>
      </c>
      <c r="O1179" s="164"/>
      <c r="P1179" s="164"/>
      <c r="Q1179" s="164"/>
      <c r="R1179" s="283"/>
      <c r="S1179" s="164"/>
      <c r="T1179" s="283"/>
      <c r="U1179" s="283"/>
      <c r="V1179" s="164"/>
      <c r="W1179" s="225"/>
      <c r="X1179" s="283"/>
      <c r="Y1179" s="283"/>
      <c r="Z1179" s="283"/>
      <c r="AA1179" s="283"/>
      <c r="AB1179" s="283"/>
      <c r="AC1179" s="283"/>
      <c r="AD1179" s="283"/>
      <c r="AE1179" s="283"/>
      <c r="AF1179" s="283"/>
      <c r="AG1179" s="285" t="s">
        <v>115</v>
      </c>
      <c r="AH1179" s="285" t="s">
        <v>2929</v>
      </c>
      <c r="AI1179" s="285" t="s">
        <v>2930</v>
      </c>
      <c r="AJ1179" s="225"/>
      <c r="AK1179" s="225"/>
      <c r="AL1179" s="24"/>
    </row>
    <row r="1180" spans="1:38" ht="12.75" customHeight="1">
      <c r="A1180" s="22">
        <v>1178</v>
      </c>
      <c r="B1180" s="24" t="str">
        <f t="shared" si="67"/>
        <v>Not done</v>
      </c>
      <c r="C1180" s="24" t="str">
        <f t="shared" si="3"/>
        <v>Input Option</v>
      </c>
      <c r="D1180" s="24" t="str">
        <f t="shared" si="2"/>
        <v>Hep B dose #1</v>
      </c>
      <c r="E1180" s="24" t="s">
        <v>2971</v>
      </c>
      <c r="F1180" s="24">
        <v>1</v>
      </c>
      <c r="G1180" s="24" t="s">
        <v>2372</v>
      </c>
      <c r="H1180" s="24"/>
      <c r="I1180" s="283"/>
      <c r="J1180" s="164"/>
      <c r="K1180" s="164"/>
      <c r="L1180" s="164"/>
      <c r="M1180" s="164"/>
      <c r="N1180" s="224" t="s">
        <v>1468</v>
      </c>
      <c r="O1180" s="164"/>
      <c r="P1180" s="164"/>
      <c r="Q1180" s="164"/>
      <c r="R1180" s="283"/>
      <c r="S1180" s="164"/>
      <c r="T1180" s="283"/>
      <c r="U1180" s="283"/>
      <c r="V1180" s="164"/>
      <c r="W1180" s="225"/>
      <c r="X1180" s="283"/>
      <c r="Y1180" s="283"/>
      <c r="Z1180" s="283"/>
      <c r="AA1180" s="283"/>
      <c r="AB1180" s="283"/>
      <c r="AC1180" s="283"/>
      <c r="AD1180" s="283"/>
      <c r="AE1180" s="283"/>
      <c r="AF1180" s="283"/>
      <c r="AG1180" s="285" t="s">
        <v>115</v>
      </c>
      <c r="AH1180" s="285" t="s">
        <v>957</v>
      </c>
      <c r="AI1180" s="205" t="s">
        <v>958</v>
      </c>
      <c r="AJ1180" s="225"/>
      <c r="AK1180" s="225"/>
      <c r="AL1180" s="24"/>
    </row>
    <row r="1181" spans="1:38" ht="12.75" customHeight="1">
      <c r="A1181" s="22">
        <v>1179</v>
      </c>
      <c r="B1181" s="24" t="str">
        <f t="shared" si="67"/>
        <v>hepb1_dose_number</v>
      </c>
      <c r="C1181" s="24" t="str">
        <f t="shared" si="3"/>
        <v>Calculation</v>
      </c>
      <c r="D1181" s="24" t="str">
        <f t="shared" si="2"/>
        <v/>
      </c>
      <c r="E1181" s="24" t="s">
        <v>2971</v>
      </c>
      <c r="F1181" s="24">
        <v>1</v>
      </c>
      <c r="G1181" s="24" t="s">
        <v>2372</v>
      </c>
      <c r="H1181" s="24"/>
      <c r="I1181" s="283"/>
      <c r="J1181" s="164"/>
      <c r="K1181" s="164" t="s">
        <v>2980</v>
      </c>
      <c r="L1181" s="164" t="s">
        <v>2981</v>
      </c>
      <c r="M1181" s="164" t="s">
        <v>65</v>
      </c>
      <c r="N1181" s="224"/>
      <c r="O1181" s="382">
        <v>1</v>
      </c>
      <c r="P1181" s="382"/>
      <c r="Q1181" s="164"/>
      <c r="R1181" s="283"/>
      <c r="S1181" s="164"/>
      <c r="T1181" s="283"/>
      <c r="U1181" s="283"/>
      <c r="V1181" s="164"/>
      <c r="W1181" s="225"/>
      <c r="X1181" s="283"/>
      <c r="Y1181" s="283"/>
      <c r="Z1181" s="283"/>
      <c r="AA1181" s="283"/>
      <c r="AB1181" s="283"/>
      <c r="AC1181" s="283"/>
      <c r="AD1181" s="283"/>
      <c r="AE1181" s="283"/>
      <c r="AF1181" s="283"/>
      <c r="AG1181" s="285" t="s">
        <v>2978</v>
      </c>
      <c r="AH1181" s="285" t="s">
        <v>2933</v>
      </c>
      <c r="AI1181" s="285" t="s">
        <v>2934</v>
      </c>
      <c r="AJ1181" s="225"/>
      <c r="AK1181" s="225"/>
      <c r="AL1181" s="24"/>
    </row>
    <row r="1182" spans="1:38" ht="12.75" customHeight="1">
      <c r="A1182" s="22">
        <v>1180</v>
      </c>
      <c r="B1182" s="24" t="str">
        <f t="shared" si="67"/>
        <v>hepb1_date_done</v>
      </c>
      <c r="C1182" s="24" t="str">
        <f t="shared" si="3"/>
        <v>Calculation</v>
      </c>
      <c r="D1182" s="24" t="str">
        <f t="shared" si="2"/>
        <v/>
      </c>
      <c r="E1182" s="24" t="s">
        <v>2971</v>
      </c>
      <c r="F1182" s="24">
        <v>1</v>
      </c>
      <c r="G1182" s="24" t="s">
        <v>2372</v>
      </c>
      <c r="H1182" s="24"/>
      <c r="I1182" s="283"/>
      <c r="J1182" s="164"/>
      <c r="K1182" s="164" t="s">
        <v>2982</v>
      </c>
      <c r="L1182" s="164" t="s">
        <v>2983</v>
      </c>
      <c r="M1182" s="164" t="s">
        <v>65</v>
      </c>
      <c r="N1182" s="224"/>
      <c r="O1182" s="164" t="s">
        <v>2937</v>
      </c>
      <c r="P1182" s="164"/>
      <c r="Q1182" s="164"/>
      <c r="R1182" s="283"/>
      <c r="S1182" s="164"/>
      <c r="T1182" s="283"/>
      <c r="U1182" s="283"/>
      <c r="V1182" s="164"/>
      <c r="W1182" s="225"/>
      <c r="X1182" s="283"/>
      <c r="Y1182" s="283"/>
      <c r="Z1182" s="283"/>
      <c r="AA1182" s="283"/>
      <c r="AB1182" s="283"/>
      <c r="AC1182" s="283"/>
      <c r="AD1182" s="283"/>
      <c r="AE1182" s="283"/>
      <c r="AF1182" s="283"/>
      <c r="AG1182" s="285" t="s">
        <v>2978</v>
      </c>
      <c r="AH1182" s="285" t="s">
        <v>2938</v>
      </c>
      <c r="AI1182" s="285" t="s">
        <v>2939</v>
      </c>
      <c r="AJ1182" s="225"/>
      <c r="AK1182" s="225"/>
      <c r="AL1182" s="24"/>
    </row>
    <row r="1183" spans="1:38" ht="12.75" customHeight="1">
      <c r="A1183" s="22">
        <v>1181</v>
      </c>
      <c r="B1183" s="24" t="str">
        <f t="shared" si="67"/>
        <v xml:space="preserve">Hep B dose #2 </v>
      </c>
      <c r="C1183" s="24" t="str">
        <f t="shared" si="3"/>
        <v>Data Element</v>
      </c>
      <c r="D1183" s="24" t="str">
        <f t="shared" si="2"/>
        <v/>
      </c>
      <c r="E1183" s="24" t="s">
        <v>2971</v>
      </c>
      <c r="F1183" s="24">
        <v>1</v>
      </c>
      <c r="G1183" s="24" t="s">
        <v>2372</v>
      </c>
      <c r="H1183" s="24"/>
      <c r="I1183" s="283"/>
      <c r="J1183" s="164" t="s">
        <v>2985</v>
      </c>
      <c r="K1183" s="164" t="s">
        <v>2986</v>
      </c>
      <c r="L1183" s="164" t="s">
        <v>2987</v>
      </c>
      <c r="M1183" s="164" t="s">
        <v>202</v>
      </c>
      <c r="N1183" s="224"/>
      <c r="O1183" s="164"/>
      <c r="P1183" s="164"/>
      <c r="Q1183" s="164" t="s">
        <v>904</v>
      </c>
      <c r="R1183" s="283"/>
      <c r="S1183" s="164" t="s">
        <v>113</v>
      </c>
      <c r="T1183" s="283"/>
      <c r="U1183" s="283"/>
      <c r="V1183" s="164" t="s">
        <v>2988</v>
      </c>
      <c r="W1183" s="225"/>
      <c r="X1183" s="283"/>
      <c r="Y1183" s="283"/>
      <c r="Z1183" s="283"/>
      <c r="AA1183" s="283"/>
      <c r="AB1183" s="283"/>
      <c r="AC1183" s="283"/>
      <c r="AD1183" s="283"/>
      <c r="AE1183" s="283"/>
      <c r="AF1183" s="283"/>
      <c r="AG1183" s="285" t="s">
        <v>2978</v>
      </c>
      <c r="AH1183" s="285" t="s">
        <v>2927</v>
      </c>
      <c r="AI1183" s="285" t="s">
        <v>2928</v>
      </c>
      <c r="AJ1183" s="225"/>
      <c r="AK1183" s="225"/>
      <c r="AL1183" s="24"/>
    </row>
    <row r="1184" spans="1:38" ht="12.75" customHeight="1">
      <c r="A1184" s="22">
        <v>1182</v>
      </c>
      <c r="B1184" s="24" t="str">
        <f t="shared" si="67"/>
        <v>Done today</v>
      </c>
      <c r="C1184" s="24" t="str">
        <f t="shared" si="3"/>
        <v>Input Option</v>
      </c>
      <c r="D1184" s="24" t="str">
        <f t="shared" si="2"/>
        <v xml:space="preserve">Hep B dose #2 </v>
      </c>
      <c r="E1184" s="24" t="s">
        <v>2971</v>
      </c>
      <c r="F1184" s="24">
        <v>1</v>
      </c>
      <c r="G1184" s="24" t="s">
        <v>2372</v>
      </c>
      <c r="H1184" s="24"/>
      <c r="I1184" s="283"/>
      <c r="J1184" s="164"/>
      <c r="K1184" s="164"/>
      <c r="L1184" s="164"/>
      <c r="M1184" s="164"/>
      <c r="N1184" s="224" t="s">
        <v>1775</v>
      </c>
      <c r="O1184" s="164"/>
      <c r="P1184" s="164"/>
      <c r="Q1184" s="164"/>
      <c r="R1184" s="283"/>
      <c r="S1184" s="164"/>
      <c r="T1184" s="283"/>
      <c r="U1184" s="283"/>
      <c r="V1184" s="164"/>
      <c r="W1184" s="225"/>
      <c r="X1184" s="283"/>
      <c r="Y1184" s="283"/>
      <c r="Z1184" s="283"/>
      <c r="AA1184" s="283"/>
      <c r="AB1184" s="283"/>
      <c r="AC1184" s="283"/>
      <c r="AD1184" s="283"/>
      <c r="AE1184" s="283"/>
      <c r="AF1184" s="283"/>
      <c r="AG1184" s="285" t="s">
        <v>115</v>
      </c>
      <c r="AH1184" s="285" t="s">
        <v>953</v>
      </c>
      <c r="AI1184" s="285" t="s">
        <v>954</v>
      </c>
      <c r="AJ1184" s="225"/>
      <c r="AK1184" s="225"/>
      <c r="AL1184" s="24"/>
    </row>
    <row r="1185" spans="1:38" ht="12.75" customHeight="1">
      <c r="A1185" s="22">
        <v>1183</v>
      </c>
      <c r="B1185" s="24" t="str">
        <f t="shared" si="67"/>
        <v>Done earlier</v>
      </c>
      <c r="C1185" s="24" t="str">
        <f t="shared" si="3"/>
        <v>Input Option</v>
      </c>
      <c r="D1185" s="24" t="str">
        <f t="shared" si="2"/>
        <v xml:space="preserve">Hep B dose #2 </v>
      </c>
      <c r="E1185" s="24" t="s">
        <v>2971</v>
      </c>
      <c r="F1185" s="24">
        <v>1</v>
      </c>
      <c r="G1185" s="24" t="s">
        <v>2372</v>
      </c>
      <c r="H1185" s="24"/>
      <c r="I1185" s="283"/>
      <c r="J1185" s="164"/>
      <c r="K1185" s="164"/>
      <c r="L1185" s="164"/>
      <c r="M1185" s="164"/>
      <c r="N1185" s="224" t="s">
        <v>1779</v>
      </c>
      <c r="O1185" s="164"/>
      <c r="P1185" s="164"/>
      <c r="Q1185" s="164"/>
      <c r="R1185" s="283"/>
      <c r="S1185" s="164"/>
      <c r="T1185" s="283"/>
      <c r="U1185" s="283"/>
      <c r="V1185" s="164"/>
      <c r="W1185" s="225"/>
      <c r="X1185" s="283"/>
      <c r="Y1185" s="283"/>
      <c r="Z1185" s="283"/>
      <c r="AA1185" s="283"/>
      <c r="AB1185" s="283"/>
      <c r="AC1185" s="283"/>
      <c r="AD1185" s="283"/>
      <c r="AE1185" s="283"/>
      <c r="AF1185" s="283"/>
      <c r="AG1185" s="285" t="s">
        <v>115</v>
      </c>
      <c r="AH1185" s="285" t="s">
        <v>2929</v>
      </c>
      <c r="AI1185" s="285" t="s">
        <v>2930</v>
      </c>
      <c r="AJ1185" s="225"/>
      <c r="AK1185" s="225"/>
      <c r="AL1185" s="24"/>
    </row>
    <row r="1186" spans="1:38" ht="12.75" customHeight="1">
      <c r="A1186" s="22">
        <v>1184</v>
      </c>
      <c r="B1186" s="24" t="str">
        <f t="shared" si="67"/>
        <v>Not done</v>
      </c>
      <c r="C1186" s="24" t="str">
        <f t="shared" si="3"/>
        <v>Input Option</v>
      </c>
      <c r="D1186" s="24" t="str">
        <f t="shared" si="2"/>
        <v xml:space="preserve">Hep B dose #2 </v>
      </c>
      <c r="E1186" s="24" t="s">
        <v>2971</v>
      </c>
      <c r="F1186" s="24">
        <v>1</v>
      </c>
      <c r="G1186" s="24" t="s">
        <v>2372</v>
      </c>
      <c r="H1186" s="24"/>
      <c r="I1186" s="283"/>
      <c r="J1186" s="164"/>
      <c r="K1186" s="164"/>
      <c r="L1186" s="164"/>
      <c r="M1186" s="164"/>
      <c r="N1186" s="224" t="s">
        <v>1468</v>
      </c>
      <c r="O1186" s="164"/>
      <c r="P1186" s="164"/>
      <c r="Q1186" s="164"/>
      <c r="R1186" s="283"/>
      <c r="S1186" s="164"/>
      <c r="T1186" s="283"/>
      <c r="U1186" s="283"/>
      <c r="V1186" s="164"/>
      <c r="W1186" s="225"/>
      <c r="X1186" s="283"/>
      <c r="Y1186" s="283"/>
      <c r="Z1186" s="283"/>
      <c r="AA1186" s="283"/>
      <c r="AB1186" s="283"/>
      <c r="AC1186" s="283"/>
      <c r="AD1186" s="283"/>
      <c r="AE1186" s="283"/>
      <c r="AF1186" s="283"/>
      <c r="AG1186" s="285" t="s">
        <v>115</v>
      </c>
      <c r="AH1186" s="285" t="s">
        <v>957</v>
      </c>
      <c r="AI1186" s="205" t="s">
        <v>958</v>
      </c>
      <c r="AJ1186" s="225"/>
      <c r="AK1186" s="225"/>
      <c r="AL1186" s="24"/>
    </row>
    <row r="1187" spans="1:38" ht="12.75" customHeight="1">
      <c r="A1187" s="22">
        <v>1185</v>
      </c>
      <c r="B1187" s="24" t="str">
        <f t="shared" si="67"/>
        <v>hepb2_dose_number</v>
      </c>
      <c r="C1187" s="24" t="str">
        <f t="shared" si="3"/>
        <v>Calculation</v>
      </c>
      <c r="D1187" s="24" t="str">
        <f t="shared" si="2"/>
        <v/>
      </c>
      <c r="E1187" s="24" t="s">
        <v>2971</v>
      </c>
      <c r="F1187" s="24">
        <v>1</v>
      </c>
      <c r="G1187" s="24" t="s">
        <v>2372</v>
      </c>
      <c r="H1187" s="24"/>
      <c r="I1187" s="283"/>
      <c r="J1187" s="164"/>
      <c r="K1187" s="164" t="s">
        <v>2990</v>
      </c>
      <c r="L1187" s="164" t="s">
        <v>2991</v>
      </c>
      <c r="M1187" s="164" t="s">
        <v>65</v>
      </c>
      <c r="N1187" s="224"/>
      <c r="O1187" s="382">
        <v>2</v>
      </c>
      <c r="P1187" s="382"/>
      <c r="Q1187" s="164"/>
      <c r="R1187" s="283"/>
      <c r="S1187" s="164"/>
      <c r="T1187" s="283"/>
      <c r="U1187" s="283"/>
      <c r="V1187" s="164"/>
      <c r="W1187" s="225"/>
      <c r="X1187" s="283"/>
      <c r="Y1187" s="283"/>
      <c r="Z1187" s="283"/>
      <c r="AA1187" s="283"/>
      <c r="AB1187" s="283"/>
      <c r="AC1187" s="283"/>
      <c r="AD1187" s="283"/>
      <c r="AE1187" s="283"/>
      <c r="AF1187" s="283"/>
      <c r="AG1187" s="285" t="s">
        <v>2978</v>
      </c>
      <c r="AH1187" s="285" t="s">
        <v>2933</v>
      </c>
      <c r="AI1187" s="285" t="s">
        <v>2934</v>
      </c>
      <c r="AJ1187" s="225"/>
      <c r="AK1187" s="225"/>
      <c r="AL1187" s="24"/>
    </row>
    <row r="1188" spans="1:38" ht="12.75" customHeight="1">
      <c r="A1188" s="22">
        <v>1186</v>
      </c>
      <c r="B1188" s="24" t="str">
        <f t="shared" si="67"/>
        <v>hepb2_date_done</v>
      </c>
      <c r="C1188" s="24" t="str">
        <f t="shared" si="3"/>
        <v>Calculation</v>
      </c>
      <c r="D1188" s="24" t="str">
        <f t="shared" si="2"/>
        <v/>
      </c>
      <c r="E1188" s="24" t="s">
        <v>2971</v>
      </c>
      <c r="F1188" s="24">
        <v>1</v>
      </c>
      <c r="G1188" s="24" t="s">
        <v>2372</v>
      </c>
      <c r="H1188" s="24"/>
      <c r="I1188" s="283"/>
      <c r="J1188" s="164"/>
      <c r="K1188" s="164" t="s">
        <v>2992</v>
      </c>
      <c r="L1188" s="164" t="s">
        <v>2993</v>
      </c>
      <c r="M1188" s="164" t="s">
        <v>65</v>
      </c>
      <c r="N1188" s="224"/>
      <c r="O1188" s="164" t="s">
        <v>2937</v>
      </c>
      <c r="P1188" s="164"/>
      <c r="Q1188" s="164"/>
      <c r="R1188" s="283"/>
      <c r="S1188" s="164"/>
      <c r="T1188" s="283"/>
      <c r="U1188" s="283"/>
      <c r="V1188" s="164"/>
      <c r="W1188" s="225"/>
      <c r="X1188" s="283"/>
      <c r="Y1188" s="283"/>
      <c r="Z1188" s="283"/>
      <c r="AA1188" s="283"/>
      <c r="AB1188" s="283"/>
      <c r="AC1188" s="283"/>
      <c r="AD1188" s="283"/>
      <c r="AE1188" s="283"/>
      <c r="AF1188" s="283"/>
      <c r="AG1188" s="285" t="s">
        <v>2978</v>
      </c>
      <c r="AH1188" s="285" t="s">
        <v>2938</v>
      </c>
      <c r="AI1188" s="285" t="s">
        <v>2939</v>
      </c>
      <c r="AJ1188" s="225"/>
      <c r="AK1188" s="225"/>
      <c r="AL1188" s="24"/>
    </row>
    <row r="1189" spans="1:38" ht="12.75" customHeight="1">
      <c r="A1189" s="22">
        <v>1187</v>
      </c>
      <c r="B1189" s="24" t="str">
        <f t="shared" si="67"/>
        <v>Hep B dose #3</v>
      </c>
      <c r="C1189" s="24" t="str">
        <f t="shared" si="3"/>
        <v>Data Element</v>
      </c>
      <c r="D1189" s="24" t="str">
        <f t="shared" si="2"/>
        <v/>
      </c>
      <c r="E1189" s="24" t="s">
        <v>2971</v>
      </c>
      <c r="F1189" s="24">
        <v>1</v>
      </c>
      <c r="G1189" s="24" t="s">
        <v>2372</v>
      </c>
      <c r="H1189" s="24"/>
      <c r="I1189" s="283"/>
      <c r="J1189" s="164" t="s">
        <v>2994</v>
      </c>
      <c r="K1189" s="164" t="s">
        <v>2995</v>
      </c>
      <c r="L1189" s="164" t="s">
        <v>2996</v>
      </c>
      <c r="M1189" s="164" t="s">
        <v>202</v>
      </c>
      <c r="N1189" s="224"/>
      <c r="O1189" s="164"/>
      <c r="P1189" s="164"/>
      <c r="Q1189" s="164" t="s">
        <v>904</v>
      </c>
      <c r="R1189" s="283"/>
      <c r="S1189" s="164" t="s">
        <v>113</v>
      </c>
      <c r="T1189" s="283"/>
      <c r="U1189" s="283"/>
      <c r="V1189" s="164" t="s">
        <v>2997</v>
      </c>
      <c r="W1189" s="225"/>
      <c r="X1189" s="283"/>
      <c r="Y1189" s="283"/>
      <c r="Z1189" s="283"/>
      <c r="AA1189" s="283"/>
      <c r="AB1189" s="283"/>
      <c r="AC1189" s="283"/>
      <c r="AD1189" s="283"/>
      <c r="AE1189" s="283"/>
      <c r="AF1189" s="283"/>
      <c r="AG1189" s="285" t="s">
        <v>2978</v>
      </c>
      <c r="AH1189" s="285" t="s">
        <v>2927</v>
      </c>
      <c r="AI1189" s="285" t="s">
        <v>2928</v>
      </c>
      <c r="AJ1189" s="225"/>
      <c r="AK1189" s="225"/>
      <c r="AL1189" s="24"/>
    </row>
    <row r="1190" spans="1:38" ht="12.75" customHeight="1">
      <c r="A1190" s="22">
        <v>1188</v>
      </c>
      <c r="B1190" s="24" t="str">
        <f t="shared" si="67"/>
        <v>Done today</v>
      </c>
      <c r="C1190" s="24" t="str">
        <f t="shared" si="3"/>
        <v>Input Option</v>
      </c>
      <c r="D1190" s="24" t="str">
        <f t="shared" si="2"/>
        <v>Hep B dose #3</v>
      </c>
      <c r="E1190" s="24" t="s">
        <v>2971</v>
      </c>
      <c r="F1190" s="24">
        <v>1</v>
      </c>
      <c r="G1190" s="24" t="s">
        <v>2372</v>
      </c>
      <c r="H1190" s="24"/>
      <c r="I1190" s="283"/>
      <c r="J1190" s="164"/>
      <c r="K1190" s="164"/>
      <c r="L1190" s="164"/>
      <c r="M1190" s="164"/>
      <c r="N1190" s="224" t="s">
        <v>1775</v>
      </c>
      <c r="O1190" s="164"/>
      <c r="P1190" s="164"/>
      <c r="Q1190" s="164"/>
      <c r="R1190" s="283"/>
      <c r="S1190" s="164"/>
      <c r="T1190" s="283"/>
      <c r="U1190" s="283"/>
      <c r="V1190" s="164"/>
      <c r="W1190" s="225"/>
      <c r="X1190" s="283"/>
      <c r="Y1190" s="283"/>
      <c r="Z1190" s="283"/>
      <c r="AA1190" s="283"/>
      <c r="AB1190" s="283"/>
      <c r="AC1190" s="283"/>
      <c r="AD1190" s="283"/>
      <c r="AE1190" s="283"/>
      <c r="AF1190" s="283"/>
      <c r="AG1190" s="285" t="s">
        <v>115</v>
      </c>
      <c r="AH1190" s="285" t="s">
        <v>953</v>
      </c>
      <c r="AI1190" s="285" t="s">
        <v>954</v>
      </c>
      <c r="AJ1190" s="225"/>
      <c r="AK1190" s="225"/>
      <c r="AL1190" s="24"/>
    </row>
    <row r="1191" spans="1:38" ht="12.75" customHeight="1">
      <c r="A1191" s="22">
        <v>1189</v>
      </c>
      <c r="B1191" s="24" t="str">
        <f t="shared" si="67"/>
        <v>Done earlier</v>
      </c>
      <c r="C1191" s="24" t="str">
        <f t="shared" si="3"/>
        <v>Input Option</v>
      </c>
      <c r="D1191" s="24" t="str">
        <f t="shared" si="2"/>
        <v>Hep B dose #3</v>
      </c>
      <c r="E1191" s="24" t="s">
        <v>2971</v>
      </c>
      <c r="F1191" s="24">
        <v>1</v>
      </c>
      <c r="G1191" s="24" t="s">
        <v>2372</v>
      </c>
      <c r="H1191" s="24"/>
      <c r="I1191" s="283"/>
      <c r="J1191" s="164"/>
      <c r="K1191" s="164"/>
      <c r="L1191" s="164"/>
      <c r="M1191" s="164"/>
      <c r="N1191" s="224" t="s">
        <v>1779</v>
      </c>
      <c r="O1191" s="164"/>
      <c r="P1191" s="164"/>
      <c r="Q1191" s="164"/>
      <c r="R1191" s="283"/>
      <c r="S1191" s="164"/>
      <c r="T1191" s="283"/>
      <c r="U1191" s="283"/>
      <c r="V1191" s="164"/>
      <c r="W1191" s="225"/>
      <c r="X1191" s="283"/>
      <c r="Y1191" s="283"/>
      <c r="Z1191" s="283"/>
      <c r="AA1191" s="283"/>
      <c r="AB1191" s="283"/>
      <c r="AC1191" s="283"/>
      <c r="AD1191" s="283"/>
      <c r="AE1191" s="283"/>
      <c r="AF1191" s="283"/>
      <c r="AG1191" s="285" t="s">
        <v>115</v>
      </c>
      <c r="AH1191" s="285" t="s">
        <v>2929</v>
      </c>
      <c r="AI1191" s="285" t="s">
        <v>2930</v>
      </c>
      <c r="AJ1191" s="225"/>
      <c r="AK1191" s="225"/>
      <c r="AL1191" s="24"/>
    </row>
    <row r="1192" spans="1:38" ht="12.75" customHeight="1">
      <c r="A1192" s="22">
        <v>1190</v>
      </c>
      <c r="B1192" s="24" t="str">
        <f t="shared" si="67"/>
        <v>Not done</v>
      </c>
      <c r="C1192" s="24" t="str">
        <f t="shared" si="3"/>
        <v>Input Option</v>
      </c>
      <c r="D1192" s="24" t="str">
        <f t="shared" si="2"/>
        <v>Hep B dose #3</v>
      </c>
      <c r="E1192" s="24" t="s">
        <v>2971</v>
      </c>
      <c r="F1192" s="24">
        <v>1</v>
      </c>
      <c r="G1192" s="24" t="s">
        <v>2372</v>
      </c>
      <c r="H1192" s="24"/>
      <c r="I1192" s="283"/>
      <c r="J1192" s="164"/>
      <c r="K1192" s="164"/>
      <c r="L1192" s="164"/>
      <c r="M1192" s="164"/>
      <c r="N1192" s="224" t="s">
        <v>1468</v>
      </c>
      <c r="O1192" s="164"/>
      <c r="P1192" s="164"/>
      <c r="Q1192" s="164"/>
      <c r="R1192" s="283"/>
      <c r="S1192" s="164"/>
      <c r="T1192" s="283"/>
      <c r="U1192" s="283"/>
      <c r="V1192" s="164"/>
      <c r="W1192" s="225"/>
      <c r="X1192" s="283"/>
      <c r="Y1192" s="283"/>
      <c r="Z1192" s="283"/>
      <c r="AA1192" s="283"/>
      <c r="AB1192" s="283"/>
      <c r="AC1192" s="283"/>
      <c r="AD1192" s="283"/>
      <c r="AE1192" s="283"/>
      <c r="AF1192" s="283"/>
      <c r="AG1192" s="285" t="s">
        <v>115</v>
      </c>
      <c r="AH1192" s="285" t="s">
        <v>957</v>
      </c>
      <c r="AI1192" s="205" t="s">
        <v>958</v>
      </c>
      <c r="AJ1192" s="225"/>
      <c r="AK1192" s="225"/>
      <c r="AL1192" s="24"/>
    </row>
    <row r="1193" spans="1:38" ht="12.75" customHeight="1">
      <c r="A1193" s="22">
        <v>1191</v>
      </c>
      <c r="B1193" s="24" t="str">
        <f t="shared" si="67"/>
        <v>hepb3_dose_number</v>
      </c>
      <c r="C1193" s="24" t="str">
        <f t="shared" si="3"/>
        <v>Calculation</v>
      </c>
      <c r="D1193" s="24" t="str">
        <f t="shared" si="2"/>
        <v/>
      </c>
      <c r="E1193" s="24" t="s">
        <v>2971</v>
      </c>
      <c r="F1193" s="24">
        <v>1</v>
      </c>
      <c r="G1193" s="24" t="s">
        <v>2372</v>
      </c>
      <c r="H1193" s="24"/>
      <c r="I1193" s="283"/>
      <c r="J1193" s="164"/>
      <c r="K1193" s="164" t="s">
        <v>2998</v>
      </c>
      <c r="L1193" s="164" t="s">
        <v>2999</v>
      </c>
      <c r="M1193" s="164" t="s">
        <v>65</v>
      </c>
      <c r="N1193" s="224"/>
      <c r="O1193" s="382">
        <v>3</v>
      </c>
      <c r="P1193" s="382"/>
      <c r="Q1193" s="164"/>
      <c r="R1193" s="283"/>
      <c r="S1193" s="164"/>
      <c r="T1193" s="283"/>
      <c r="U1193" s="283"/>
      <c r="V1193" s="164"/>
      <c r="W1193" s="225"/>
      <c r="X1193" s="283"/>
      <c r="Y1193" s="283"/>
      <c r="Z1193" s="283"/>
      <c r="AA1193" s="283"/>
      <c r="AB1193" s="283"/>
      <c r="AC1193" s="283"/>
      <c r="AD1193" s="283"/>
      <c r="AE1193" s="283"/>
      <c r="AF1193" s="283"/>
      <c r="AG1193" s="285" t="s">
        <v>2978</v>
      </c>
      <c r="AH1193" s="285" t="s">
        <v>2933</v>
      </c>
      <c r="AI1193" s="285" t="s">
        <v>2934</v>
      </c>
      <c r="AJ1193" s="225"/>
      <c r="AK1193" s="225"/>
      <c r="AL1193" s="24"/>
    </row>
    <row r="1194" spans="1:38" ht="12.75" customHeight="1">
      <c r="A1194" s="22">
        <v>1192</v>
      </c>
      <c r="B1194" s="24" t="str">
        <f t="shared" si="67"/>
        <v>hepb3_date_done</v>
      </c>
      <c r="C1194" s="24" t="str">
        <f t="shared" si="3"/>
        <v>Calculation</v>
      </c>
      <c r="D1194" s="24" t="str">
        <f t="shared" si="2"/>
        <v/>
      </c>
      <c r="E1194" s="24" t="s">
        <v>2971</v>
      </c>
      <c r="F1194" s="24">
        <v>1</v>
      </c>
      <c r="G1194" s="24" t="s">
        <v>2372</v>
      </c>
      <c r="H1194" s="24"/>
      <c r="I1194" s="283"/>
      <c r="J1194" s="164"/>
      <c r="K1194" s="164" t="s">
        <v>3000</v>
      </c>
      <c r="L1194" s="164" t="s">
        <v>3001</v>
      </c>
      <c r="M1194" s="164" t="s">
        <v>65</v>
      </c>
      <c r="N1194" s="224"/>
      <c r="O1194" s="164" t="s">
        <v>2937</v>
      </c>
      <c r="P1194" s="164"/>
      <c r="Q1194" s="164"/>
      <c r="R1194" s="283"/>
      <c r="S1194" s="164"/>
      <c r="T1194" s="283"/>
      <c r="U1194" s="283"/>
      <c r="V1194" s="164"/>
      <c r="W1194" s="225"/>
      <c r="X1194" s="283"/>
      <c r="Y1194" s="283"/>
      <c r="Z1194" s="283"/>
      <c r="AA1194" s="283"/>
      <c r="AB1194" s="283"/>
      <c r="AC1194" s="283"/>
      <c r="AD1194" s="283"/>
      <c r="AE1194" s="283"/>
      <c r="AF1194" s="283"/>
      <c r="AG1194" s="285" t="s">
        <v>2978</v>
      </c>
      <c r="AH1194" s="285" t="s">
        <v>2938</v>
      </c>
      <c r="AI1194" s="285" t="s">
        <v>2939</v>
      </c>
      <c r="AJ1194" s="225"/>
      <c r="AK1194" s="225"/>
      <c r="AL1194" s="24"/>
    </row>
    <row r="1195" spans="1:38" ht="12.75" customHeight="1">
      <c r="A1195" s="22">
        <v>1193</v>
      </c>
      <c r="B1195" s="24" t="s">
        <v>3002</v>
      </c>
      <c r="C1195" s="24" t="str">
        <f t="shared" si="3"/>
        <v>Data Element</v>
      </c>
      <c r="D1195" s="24" t="str">
        <f t="shared" si="2"/>
        <v/>
      </c>
      <c r="E1195" s="24" t="s">
        <v>2971</v>
      </c>
      <c r="F1195" s="24">
        <v>1</v>
      </c>
      <c r="G1195" s="24" t="s">
        <v>2372</v>
      </c>
      <c r="H1195" s="24"/>
      <c r="I1195" s="283"/>
      <c r="J1195" s="164" t="s">
        <v>1376</v>
      </c>
      <c r="K1195" s="164" t="s">
        <v>3003</v>
      </c>
      <c r="L1195" s="164" t="s">
        <v>3004</v>
      </c>
      <c r="M1195" s="164" t="s">
        <v>202</v>
      </c>
      <c r="N1195" s="224"/>
      <c r="O1195" s="164"/>
      <c r="P1195" s="164"/>
      <c r="Q1195" s="164"/>
      <c r="R1195" s="283"/>
      <c r="S1195" s="164" t="s">
        <v>113</v>
      </c>
      <c r="T1195" s="283"/>
      <c r="U1195" s="283"/>
      <c r="V1195" s="164" t="s">
        <v>115</v>
      </c>
      <c r="W1195" s="225"/>
      <c r="X1195" s="283"/>
      <c r="Y1195" s="283"/>
      <c r="Z1195" s="283"/>
      <c r="AA1195" s="283"/>
      <c r="AB1195" s="283"/>
      <c r="AC1195" s="283"/>
      <c r="AD1195" s="283"/>
      <c r="AE1195" s="283"/>
      <c r="AF1195" s="283"/>
      <c r="AG1195" s="285" t="s">
        <v>2978</v>
      </c>
      <c r="AH1195" s="285" t="s">
        <v>2959</v>
      </c>
      <c r="AI1195" s="285" t="s">
        <v>2960</v>
      </c>
      <c r="AJ1195" s="225"/>
      <c r="AK1195" s="225"/>
      <c r="AL1195" s="24"/>
    </row>
    <row r="1196" spans="1:38" ht="12.75" customHeight="1">
      <c r="A1196" s="22">
        <v>1194</v>
      </c>
      <c r="B1196" s="24" t="str">
        <f t="shared" ref="B1196:B1200" si="68">IF(N1196="",IF(M1196="Calculation",K1196,J1196),N1196)</f>
        <v>No vaccine available</v>
      </c>
      <c r="C1196" s="24" t="str">
        <f t="shared" si="3"/>
        <v>Input Option</v>
      </c>
      <c r="D1196" s="24" t="str">
        <f t="shared" si="2"/>
        <v>Reason HepB3 not done</v>
      </c>
      <c r="E1196" s="24" t="s">
        <v>2971</v>
      </c>
      <c r="F1196" s="24">
        <v>1</v>
      </c>
      <c r="G1196" s="24" t="s">
        <v>2372</v>
      </c>
      <c r="H1196" s="24"/>
      <c r="I1196" s="283"/>
      <c r="J1196" s="196"/>
      <c r="K1196" s="196"/>
      <c r="L1196" s="196"/>
      <c r="M1196" s="196"/>
      <c r="N1196" s="224" t="s">
        <v>2961</v>
      </c>
      <c r="O1196" s="196"/>
      <c r="P1196" s="196"/>
      <c r="Q1196" s="196"/>
      <c r="R1196" s="283"/>
      <c r="S1196" s="196"/>
      <c r="T1196" s="283"/>
      <c r="U1196" s="283"/>
      <c r="V1196" s="196"/>
      <c r="W1196" s="225"/>
      <c r="X1196" s="283"/>
      <c r="Y1196" s="283"/>
      <c r="Z1196" s="283"/>
      <c r="AA1196" s="283"/>
      <c r="AB1196" s="283"/>
      <c r="AC1196" s="283"/>
      <c r="AD1196" s="283"/>
      <c r="AE1196" s="283"/>
      <c r="AF1196" s="283"/>
      <c r="AG1196" s="205" t="s">
        <v>115</v>
      </c>
      <c r="AH1196" s="205" t="s">
        <v>2637</v>
      </c>
      <c r="AI1196" s="205" t="s">
        <v>2638</v>
      </c>
      <c r="AJ1196" s="225"/>
      <c r="AK1196" s="225"/>
      <c r="AL1196" s="24"/>
    </row>
    <row r="1197" spans="1:38" ht="12.75" customHeight="1">
      <c r="A1197" s="22">
        <v>1195</v>
      </c>
      <c r="B1197" s="24" t="str">
        <f t="shared" si="68"/>
        <v>Woman is ill</v>
      </c>
      <c r="C1197" s="24" t="str">
        <f t="shared" si="3"/>
        <v>Input Option</v>
      </c>
      <c r="D1197" s="24" t="str">
        <f t="shared" si="2"/>
        <v>Reason HepB3 not done</v>
      </c>
      <c r="E1197" s="24" t="s">
        <v>2971</v>
      </c>
      <c r="F1197" s="24">
        <v>1</v>
      </c>
      <c r="G1197" s="24" t="s">
        <v>2372</v>
      </c>
      <c r="H1197" s="24"/>
      <c r="I1197" s="283"/>
      <c r="J1197" s="196"/>
      <c r="K1197" s="196"/>
      <c r="L1197" s="196"/>
      <c r="M1197" s="196"/>
      <c r="N1197" s="204" t="s">
        <v>2962</v>
      </c>
      <c r="O1197" s="196"/>
      <c r="P1197" s="196"/>
      <c r="Q1197" s="196"/>
      <c r="R1197" s="283"/>
      <c r="S1197" s="196"/>
      <c r="T1197" s="283"/>
      <c r="U1197" s="283"/>
      <c r="V1197" s="196"/>
      <c r="W1197" s="225"/>
      <c r="X1197" s="283"/>
      <c r="Y1197" s="283"/>
      <c r="Z1197" s="283"/>
      <c r="AA1197" s="283"/>
      <c r="AB1197" s="283"/>
      <c r="AC1197" s="283"/>
      <c r="AD1197" s="283"/>
      <c r="AE1197" s="283"/>
      <c r="AF1197" s="283"/>
      <c r="AG1197" s="205" t="s">
        <v>115</v>
      </c>
      <c r="AH1197" s="205" t="s">
        <v>2963</v>
      </c>
      <c r="AI1197" s="205" t="s">
        <v>2964</v>
      </c>
      <c r="AJ1197" s="225"/>
      <c r="AK1197" s="225"/>
      <c r="AL1197" s="24"/>
    </row>
    <row r="1198" spans="1:38" ht="12.75" customHeight="1">
      <c r="A1198" s="22">
        <v>1196</v>
      </c>
      <c r="B1198" s="24" t="str">
        <f t="shared" si="68"/>
        <v>Woman refused</v>
      </c>
      <c r="C1198" s="24" t="str">
        <f t="shared" si="3"/>
        <v>Input Option</v>
      </c>
      <c r="D1198" s="24" t="str">
        <f t="shared" si="2"/>
        <v>Reason HepB3 not done</v>
      </c>
      <c r="E1198" s="24" t="s">
        <v>2971</v>
      </c>
      <c r="F1198" s="24">
        <v>1</v>
      </c>
      <c r="G1198" s="24" t="s">
        <v>2372</v>
      </c>
      <c r="H1198" s="24"/>
      <c r="I1198" s="283"/>
      <c r="J1198" s="196"/>
      <c r="K1198" s="196"/>
      <c r="L1198" s="196"/>
      <c r="M1198" s="196"/>
      <c r="N1198" s="204" t="s">
        <v>2383</v>
      </c>
      <c r="O1198" s="196"/>
      <c r="P1198" s="196"/>
      <c r="Q1198" s="196"/>
      <c r="R1198" s="283"/>
      <c r="S1198" s="196"/>
      <c r="T1198" s="283"/>
      <c r="U1198" s="283"/>
      <c r="V1198" s="196"/>
      <c r="W1198" s="225"/>
      <c r="X1198" s="283"/>
      <c r="Y1198" s="283"/>
      <c r="Z1198" s="283"/>
      <c r="AA1198" s="283"/>
      <c r="AB1198" s="283"/>
      <c r="AC1198" s="283"/>
      <c r="AD1198" s="283"/>
      <c r="AE1198" s="283"/>
      <c r="AF1198" s="283"/>
      <c r="AG1198" s="205" t="s">
        <v>115</v>
      </c>
      <c r="AH1198" s="205" t="s">
        <v>2716</v>
      </c>
      <c r="AI1198" s="205" t="s">
        <v>2717</v>
      </c>
      <c r="AJ1198" s="225"/>
      <c r="AK1198" s="225"/>
      <c r="AL1198" s="24"/>
    </row>
    <row r="1199" spans="1:38" ht="12.75" customHeight="1">
      <c r="A1199" s="22">
        <v>1197</v>
      </c>
      <c r="B1199" s="24" t="str">
        <f t="shared" si="68"/>
        <v>Allergies</v>
      </c>
      <c r="C1199" s="24" t="str">
        <f t="shared" si="3"/>
        <v>Input Option</v>
      </c>
      <c r="D1199" s="24" t="str">
        <f t="shared" si="2"/>
        <v>Reason HepB3 not done</v>
      </c>
      <c r="E1199" s="24" t="s">
        <v>2971</v>
      </c>
      <c r="F1199" s="24">
        <v>1</v>
      </c>
      <c r="G1199" s="24" t="s">
        <v>2372</v>
      </c>
      <c r="H1199" s="24"/>
      <c r="I1199" s="283"/>
      <c r="J1199" s="196"/>
      <c r="K1199" s="196"/>
      <c r="L1199" s="196"/>
      <c r="M1199" s="196"/>
      <c r="N1199" s="204" t="s">
        <v>2965</v>
      </c>
      <c r="O1199" s="196"/>
      <c r="P1199" s="196"/>
      <c r="Q1199" s="196"/>
      <c r="R1199" s="283"/>
      <c r="S1199" s="196"/>
      <c r="T1199" s="283"/>
      <c r="U1199" s="283"/>
      <c r="V1199" s="196"/>
      <c r="W1199" s="225"/>
      <c r="X1199" s="283"/>
      <c r="Y1199" s="283"/>
      <c r="Z1199" s="283"/>
      <c r="AA1199" s="283"/>
      <c r="AB1199" s="283"/>
      <c r="AC1199" s="283"/>
      <c r="AD1199" s="283"/>
      <c r="AE1199" s="283"/>
      <c r="AF1199" s="283"/>
      <c r="AG1199" s="205" t="s">
        <v>115</v>
      </c>
      <c r="AH1199" s="205" t="s">
        <v>2685</v>
      </c>
      <c r="AI1199" s="205" t="s">
        <v>2686</v>
      </c>
      <c r="AJ1199" s="225"/>
      <c r="AK1199" s="225"/>
      <c r="AL1199" s="24"/>
    </row>
    <row r="1200" spans="1:38" ht="12.75" customHeight="1">
      <c r="A1200" s="22">
        <v>1198</v>
      </c>
      <c r="B1200" s="24" t="str">
        <f t="shared" si="68"/>
        <v>Other (specify)</v>
      </c>
      <c r="C1200" s="24" t="str">
        <f t="shared" si="3"/>
        <v>Input Option</v>
      </c>
      <c r="D1200" s="24" t="str">
        <f t="shared" si="2"/>
        <v>Reason HepB3 not done</v>
      </c>
      <c r="E1200" s="24" t="s">
        <v>2971</v>
      </c>
      <c r="F1200" s="24">
        <v>1</v>
      </c>
      <c r="G1200" s="24" t="s">
        <v>2372</v>
      </c>
      <c r="H1200" s="24"/>
      <c r="I1200" s="283"/>
      <c r="J1200" s="196"/>
      <c r="K1200" s="196"/>
      <c r="L1200" s="196"/>
      <c r="M1200" s="196"/>
      <c r="N1200" s="204" t="s">
        <v>405</v>
      </c>
      <c r="O1200" s="196"/>
      <c r="P1200" s="196"/>
      <c r="Q1200" s="196"/>
      <c r="R1200" s="283"/>
      <c r="S1200" s="196"/>
      <c r="T1200" s="283"/>
      <c r="U1200" s="283"/>
      <c r="V1200" s="196"/>
      <c r="W1200" s="225"/>
      <c r="X1200" s="283"/>
      <c r="Y1200" s="283"/>
      <c r="Z1200" s="283"/>
      <c r="AA1200" s="283"/>
      <c r="AB1200" s="283"/>
      <c r="AC1200" s="283"/>
      <c r="AD1200" s="283"/>
      <c r="AE1200" s="283"/>
      <c r="AF1200" s="283"/>
      <c r="AG1200" s="205" t="s">
        <v>115</v>
      </c>
      <c r="AH1200" s="205" t="s">
        <v>406</v>
      </c>
      <c r="AI1200" s="205" t="s">
        <v>407</v>
      </c>
      <c r="AJ1200" s="225"/>
      <c r="AK1200" s="225"/>
      <c r="AL1200" s="24"/>
    </row>
    <row r="1201" spans="1:38" ht="12.75" customHeight="1">
      <c r="A1201" s="22">
        <v>1199</v>
      </c>
      <c r="B1201" s="24" t="s">
        <v>3005</v>
      </c>
      <c r="C1201" s="24" t="str">
        <f t="shared" si="3"/>
        <v>Data Element</v>
      </c>
      <c r="D1201" s="24" t="str">
        <f t="shared" si="2"/>
        <v/>
      </c>
      <c r="E1201" s="24" t="s">
        <v>2971</v>
      </c>
      <c r="F1201" s="24">
        <v>1</v>
      </c>
      <c r="G1201" s="24" t="s">
        <v>2372</v>
      </c>
      <c r="H1201" s="24"/>
      <c r="I1201" s="283"/>
      <c r="J1201" s="196" t="s">
        <v>409</v>
      </c>
      <c r="K1201" s="196" t="s">
        <v>3006</v>
      </c>
      <c r="L1201" s="196" t="s">
        <v>2641</v>
      </c>
      <c r="M1201" s="196" t="s">
        <v>111</v>
      </c>
      <c r="N1201" s="196"/>
      <c r="O1201" s="196"/>
      <c r="P1201" s="196"/>
      <c r="Q1201" s="196"/>
      <c r="R1201" s="283"/>
      <c r="S1201" s="196" t="s">
        <v>208</v>
      </c>
      <c r="T1201" s="283"/>
      <c r="U1201" s="283"/>
      <c r="V1201" s="196" t="s">
        <v>115</v>
      </c>
      <c r="W1201" s="225"/>
      <c r="X1201" s="283"/>
      <c r="Y1201" s="283"/>
      <c r="Z1201" s="283"/>
      <c r="AA1201" s="283"/>
      <c r="AB1201" s="283"/>
      <c r="AC1201" s="283"/>
      <c r="AD1201" s="283"/>
      <c r="AE1201" s="283"/>
      <c r="AF1201" s="283"/>
      <c r="AG1201" s="285" t="s">
        <v>2978</v>
      </c>
      <c r="AH1201" s="285" t="s">
        <v>2968</v>
      </c>
      <c r="AI1201" s="285" t="s">
        <v>2969</v>
      </c>
      <c r="AJ1201" s="225"/>
      <c r="AK1201" s="225"/>
      <c r="AL1201" s="24"/>
    </row>
    <row r="1202" spans="1:38" ht="12.75" customHeight="1">
      <c r="A1202" s="22">
        <v>1200</v>
      </c>
      <c r="B1202" s="24" t="str">
        <f t="shared" ref="B1202:B1206" si="69">IF(N1202="",IF(M1202="Calculation",K1202,J1202),N1202)</f>
        <v>Flu dose</v>
      </c>
      <c r="C1202" s="24" t="str">
        <f t="shared" si="3"/>
        <v>Data Element</v>
      </c>
      <c r="D1202" s="24" t="str">
        <f t="shared" si="2"/>
        <v/>
      </c>
      <c r="E1202" s="24" t="s">
        <v>3008</v>
      </c>
      <c r="F1202" s="24">
        <v>1</v>
      </c>
      <c r="G1202" s="24" t="s">
        <v>2372</v>
      </c>
      <c r="H1202" s="24"/>
      <c r="I1202" s="283"/>
      <c r="J1202" s="164" t="s">
        <v>3007</v>
      </c>
      <c r="K1202" s="164" t="s">
        <v>3009</v>
      </c>
      <c r="L1202" s="164" t="s">
        <v>3010</v>
      </c>
      <c r="M1202" s="164" t="s">
        <v>202</v>
      </c>
      <c r="N1202" s="224"/>
      <c r="O1202" s="164"/>
      <c r="P1202" s="164"/>
      <c r="Q1202" s="164" t="s">
        <v>904</v>
      </c>
      <c r="R1202" s="283"/>
      <c r="S1202" s="164" t="s">
        <v>113</v>
      </c>
      <c r="T1202" s="283"/>
      <c r="U1202" s="283"/>
      <c r="V1202" s="164" t="s">
        <v>3011</v>
      </c>
      <c r="W1202" s="225"/>
      <c r="X1202" s="283"/>
      <c r="Y1202" s="283"/>
      <c r="Z1202" s="283"/>
      <c r="AA1202" s="283"/>
      <c r="AB1202" s="283"/>
      <c r="AC1202" s="283"/>
      <c r="AD1202" s="283"/>
      <c r="AE1202" s="283"/>
      <c r="AF1202" s="283"/>
      <c r="AG1202" s="285" t="s">
        <v>3012</v>
      </c>
      <c r="AH1202" s="285" t="s">
        <v>2927</v>
      </c>
      <c r="AI1202" s="285" t="s">
        <v>2928</v>
      </c>
      <c r="AJ1202" s="225"/>
      <c r="AK1202" s="225"/>
      <c r="AL1202" s="24"/>
    </row>
    <row r="1203" spans="1:38" ht="12.75" customHeight="1">
      <c r="A1203" s="22">
        <v>1201</v>
      </c>
      <c r="B1203" s="24" t="str">
        <f t="shared" si="69"/>
        <v>Done today</v>
      </c>
      <c r="C1203" s="24" t="str">
        <f t="shared" si="3"/>
        <v>Input Option</v>
      </c>
      <c r="D1203" s="24" t="str">
        <f t="shared" si="2"/>
        <v>Flu dose</v>
      </c>
      <c r="E1203" s="24" t="s">
        <v>3008</v>
      </c>
      <c r="F1203" s="24">
        <v>1</v>
      </c>
      <c r="G1203" s="24" t="s">
        <v>2372</v>
      </c>
      <c r="H1203" s="24"/>
      <c r="I1203" s="283"/>
      <c r="J1203" s="164"/>
      <c r="K1203" s="164"/>
      <c r="L1203" s="164"/>
      <c r="M1203" s="164"/>
      <c r="N1203" s="224" t="s">
        <v>1775</v>
      </c>
      <c r="O1203" s="164"/>
      <c r="P1203" s="164"/>
      <c r="Q1203" s="164"/>
      <c r="R1203" s="283"/>
      <c r="S1203" s="164"/>
      <c r="T1203" s="283"/>
      <c r="U1203" s="283"/>
      <c r="V1203" s="164"/>
      <c r="W1203" s="225"/>
      <c r="X1203" s="283"/>
      <c r="Y1203" s="283"/>
      <c r="Z1203" s="283"/>
      <c r="AA1203" s="283"/>
      <c r="AB1203" s="283"/>
      <c r="AC1203" s="283"/>
      <c r="AD1203" s="283"/>
      <c r="AE1203" s="283"/>
      <c r="AF1203" s="283"/>
      <c r="AG1203" s="285" t="s">
        <v>115</v>
      </c>
      <c r="AH1203" s="285" t="s">
        <v>953</v>
      </c>
      <c r="AI1203" s="285" t="s">
        <v>954</v>
      </c>
      <c r="AJ1203" s="225"/>
      <c r="AK1203" s="225"/>
      <c r="AL1203" s="24"/>
    </row>
    <row r="1204" spans="1:38" ht="12.75" customHeight="1">
      <c r="A1204" s="22">
        <v>1202</v>
      </c>
      <c r="B1204" s="24" t="str">
        <f t="shared" si="69"/>
        <v>Done earlier</v>
      </c>
      <c r="C1204" s="24" t="str">
        <f t="shared" si="3"/>
        <v>Input Option</v>
      </c>
      <c r="D1204" s="24" t="str">
        <f t="shared" si="2"/>
        <v>Flu dose</v>
      </c>
      <c r="E1204" s="24" t="s">
        <v>3008</v>
      </c>
      <c r="F1204" s="24">
        <v>1</v>
      </c>
      <c r="G1204" s="24" t="s">
        <v>2372</v>
      </c>
      <c r="H1204" s="24"/>
      <c r="I1204" s="283"/>
      <c r="J1204" s="164"/>
      <c r="K1204" s="164"/>
      <c r="L1204" s="164"/>
      <c r="M1204" s="164"/>
      <c r="N1204" s="224" t="s">
        <v>1779</v>
      </c>
      <c r="O1204" s="164"/>
      <c r="P1204" s="164"/>
      <c r="Q1204" s="164"/>
      <c r="R1204" s="283"/>
      <c r="S1204" s="164"/>
      <c r="T1204" s="283"/>
      <c r="U1204" s="283"/>
      <c r="V1204" s="164"/>
      <c r="W1204" s="225"/>
      <c r="X1204" s="283"/>
      <c r="Y1204" s="283"/>
      <c r="Z1204" s="283"/>
      <c r="AA1204" s="283"/>
      <c r="AB1204" s="283"/>
      <c r="AC1204" s="283"/>
      <c r="AD1204" s="283"/>
      <c r="AE1204" s="283"/>
      <c r="AF1204" s="283"/>
      <c r="AG1204" s="285" t="s">
        <v>115</v>
      </c>
      <c r="AH1204" s="285" t="s">
        <v>2929</v>
      </c>
      <c r="AI1204" s="285" t="s">
        <v>2930</v>
      </c>
      <c r="AJ1204" s="225"/>
      <c r="AK1204" s="225"/>
      <c r="AL1204" s="24"/>
    </row>
    <row r="1205" spans="1:38" ht="12.75" customHeight="1">
      <c r="A1205" s="22">
        <v>1203</v>
      </c>
      <c r="B1205" s="24" t="str">
        <f t="shared" si="69"/>
        <v>Not done</v>
      </c>
      <c r="C1205" s="24" t="str">
        <f t="shared" si="3"/>
        <v>Input Option</v>
      </c>
      <c r="D1205" s="24" t="str">
        <f t="shared" si="2"/>
        <v>Flu dose</v>
      </c>
      <c r="E1205" s="24" t="s">
        <v>3008</v>
      </c>
      <c r="F1205" s="24">
        <v>1</v>
      </c>
      <c r="G1205" s="24" t="s">
        <v>2372</v>
      </c>
      <c r="H1205" s="24"/>
      <c r="I1205" s="283"/>
      <c r="J1205" s="164"/>
      <c r="K1205" s="164"/>
      <c r="L1205" s="164"/>
      <c r="M1205" s="164"/>
      <c r="N1205" s="224" t="s">
        <v>1468</v>
      </c>
      <c r="O1205" s="164"/>
      <c r="P1205" s="164"/>
      <c r="Q1205" s="164"/>
      <c r="R1205" s="283"/>
      <c r="S1205" s="164"/>
      <c r="T1205" s="283"/>
      <c r="U1205" s="283"/>
      <c r="V1205" s="164"/>
      <c r="W1205" s="225"/>
      <c r="X1205" s="283"/>
      <c r="Y1205" s="283"/>
      <c r="Z1205" s="283"/>
      <c r="AA1205" s="283"/>
      <c r="AB1205" s="283"/>
      <c r="AC1205" s="283"/>
      <c r="AD1205" s="283"/>
      <c r="AE1205" s="283"/>
      <c r="AF1205" s="283"/>
      <c r="AG1205" s="285" t="s">
        <v>115</v>
      </c>
      <c r="AH1205" s="285" t="s">
        <v>957</v>
      </c>
      <c r="AI1205" s="205" t="s">
        <v>958</v>
      </c>
      <c r="AJ1205" s="225"/>
      <c r="AK1205" s="225"/>
      <c r="AL1205" s="24"/>
    </row>
    <row r="1206" spans="1:38" ht="12.75" customHeight="1">
      <c r="A1206" s="22">
        <v>1204</v>
      </c>
      <c r="B1206" s="24" t="str">
        <f t="shared" si="69"/>
        <v>flu_date_done</v>
      </c>
      <c r="C1206" s="24" t="str">
        <f t="shared" si="3"/>
        <v>Calculation</v>
      </c>
      <c r="D1206" s="24" t="str">
        <f t="shared" si="2"/>
        <v/>
      </c>
      <c r="E1206" s="24" t="s">
        <v>3008</v>
      </c>
      <c r="F1206" s="24">
        <v>1</v>
      </c>
      <c r="G1206" s="24" t="s">
        <v>2372</v>
      </c>
      <c r="H1206" s="24"/>
      <c r="I1206" s="283"/>
      <c r="J1206" s="164"/>
      <c r="K1206" s="164" t="s">
        <v>3013</v>
      </c>
      <c r="L1206" s="164" t="s">
        <v>3014</v>
      </c>
      <c r="M1206" s="164" t="s">
        <v>65</v>
      </c>
      <c r="N1206" s="224"/>
      <c r="O1206" s="164" t="s">
        <v>2937</v>
      </c>
      <c r="P1206" s="164"/>
      <c r="Q1206" s="164"/>
      <c r="R1206" s="283"/>
      <c r="S1206" s="164"/>
      <c r="T1206" s="283"/>
      <c r="U1206" s="283"/>
      <c r="V1206" s="164"/>
      <c r="W1206" s="225"/>
      <c r="X1206" s="283"/>
      <c r="Y1206" s="283"/>
      <c r="Z1206" s="283"/>
      <c r="AA1206" s="283"/>
      <c r="AB1206" s="283"/>
      <c r="AC1206" s="283"/>
      <c r="AD1206" s="283"/>
      <c r="AE1206" s="283"/>
      <c r="AF1206" s="283"/>
      <c r="AG1206" s="285" t="s">
        <v>3012</v>
      </c>
      <c r="AH1206" s="285" t="s">
        <v>2938</v>
      </c>
      <c r="AI1206" s="285" t="s">
        <v>2939</v>
      </c>
      <c r="AJ1206" s="225"/>
      <c r="AK1206" s="225"/>
      <c r="AL1206" s="24"/>
    </row>
    <row r="1207" spans="1:38" ht="12.75" customHeight="1">
      <c r="A1207" s="22">
        <v>1205</v>
      </c>
      <c r="B1207" s="24" t="s">
        <v>3015</v>
      </c>
      <c r="C1207" s="24" t="str">
        <f t="shared" si="3"/>
        <v>Data Element</v>
      </c>
      <c r="D1207" s="24" t="str">
        <f t="shared" si="2"/>
        <v/>
      </c>
      <c r="E1207" s="24" t="s">
        <v>3008</v>
      </c>
      <c r="F1207" s="24">
        <v>1</v>
      </c>
      <c r="G1207" s="24" t="s">
        <v>2372</v>
      </c>
      <c r="H1207" s="24"/>
      <c r="I1207" s="283"/>
      <c r="J1207" s="164" t="s">
        <v>1376</v>
      </c>
      <c r="K1207" s="164" t="s">
        <v>3016</v>
      </c>
      <c r="L1207" s="164" t="s">
        <v>3017</v>
      </c>
      <c r="M1207" s="164" t="s">
        <v>202</v>
      </c>
      <c r="N1207" s="224"/>
      <c r="O1207" s="164"/>
      <c r="P1207" s="164"/>
      <c r="Q1207" s="164"/>
      <c r="R1207" s="283"/>
      <c r="S1207" s="164" t="s">
        <v>113</v>
      </c>
      <c r="T1207" s="283"/>
      <c r="U1207" s="283"/>
      <c r="V1207" s="164" t="s">
        <v>115</v>
      </c>
      <c r="W1207" s="225"/>
      <c r="X1207" s="283"/>
      <c r="Y1207" s="283"/>
      <c r="Z1207" s="283"/>
      <c r="AA1207" s="283"/>
      <c r="AB1207" s="283"/>
      <c r="AC1207" s="283"/>
      <c r="AD1207" s="283"/>
      <c r="AE1207" s="283"/>
      <c r="AF1207" s="283"/>
      <c r="AG1207" s="285" t="s">
        <v>3012</v>
      </c>
      <c r="AH1207" s="285" t="s">
        <v>2959</v>
      </c>
      <c r="AI1207" s="285" t="s">
        <v>2960</v>
      </c>
      <c r="AJ1207" s="225"/>
      <c r="AK1207" s="225"/>
      <c r="AL1207" s="24"/>
    </row>
    <row r="1208" spans="1:38" ht="12.75" customHeight="1">
      <c r="A1208" s="22">
        <v>1206</v>
      </c>
      <c r="B1208" s="24" t="str">
        <f t="shared" ref="B1208:B1212" si="70">IF(N1208="",IF(M1208="Calculation",K1208,J1208),N1208)</f>
        <v>No vaccine available</v>
      </c>
      <c r="C1208" s="24" t="str">
        <f t="shared" si="3"/>
        <v>Input Option</v>
      </c>
      <c r="D1208" s="24" t="str">
        <f t="shared" si="2"/>
        <v>Reason Flu dose not done</v>
      </c>
      <c r="E1208" s="24" t="s">
        <v>3008</v>
      </c>
      <c r="F1208" s="24">
        <v>1</v>
      </c>
      <c r="G1208" s="24" t="s">
        <v>2372</v>
      </c>
      <c r="H1208" s="24"/>
      <c r="I1208" s="283"/>
      <c r="J1208" s="196"/>
      <c r="K1208" s="164"/>
      <c r="L1208" s="196"/>
      <c r="M1208" s="196"/>
      <c r="N1208" s="224" t="s">
        <v>2961</v>
      </c>
      <c r="O1208" s="196"/>
      <c r="P1208" s="196"/>
      <c r="Q1208" s="196"/>
      <c r="R1208" s="283"/>
      <c r="S1208" s="196"/>
      <c r="T1208" s="283"/>
      <c r="U1208" s="283"/>
      <c r="V1208" s="196"/>
      <c r="W1208" s="225"/>
      <c r="X1208" s="283"/>
      <c r="Y1208" s="283"/>
      <c r="Z1208" s="283"/>
      <c r="AA1208" s="283"/>
      <c r="AB1208" s="283"/>
      <c r="AC1208" s="283"/>
      <c r="AD1208" s="283"/>
      <c r="AE1208" s="283"/>
      <c r="AF1208" s="283"/>
      <c r="AG1208" s="205" t="s">
        <v>115</v>
      </c>
      <c r="AH1208" s="205" t="s">
        <v>2637</v>
      </c>
      <c r="AI1208" s="205" t="s">
        <v>2638</v>
      </c>
      <c r="AJ1208" s="225"/>
      <c r="AK1208" s="225"/>
      <c r="AL1208" s="24"/>
    </row>
    <row r="1209" spans="1:38" ht="12.75" customHeight="1">
      <c r="A1209" s="22">
        <v>1207</v>
      </c>
      <c r="B1209" s="24" t="str">
        <f t="shared" si="70"/>
        <v>Woman is ill</v>
      </c>
      <c r="C1209" s="24" t="str">
        <f t="shared" si="3"/>
        <v>Input Option</v>
      </c>
      <c r="D1209" s="24" t="str">
        <f t="shared" si="2"/>
        <v>Reason Flu dose not done</v>
      </c>
      <c r="E1209" s="24" t="s">
        <v>3008</v>
      </c>
      <c r="F1209" s="24">
        <v>1</v>
      </c>
      <c r="G1209" s="24" t="s">
        <v>2372</v>
      </c>
      <c r="H1209" s="24"/>
      <c r="I1209" s="283"/>
      <c r="J1209" s="196"/>
      <c r="K1209" s="164"/>
      <c r="L1209" s="196"/>
      <c r="M1209" s="196"/>
      <c r="N1209" s="204" t="s">
        <v>2962</v>
      </c>
      <c r="O1209" s="196"/>
      <c r="P1209" s="196"/>
      <c r="Q1209" s="196"/>
      <c r="R1209" s="283"/>
      <c r="S1209" s="196"/>
      <c r="T1209" s="283"/>
      <c r="U1209" s="283"/>
      <c r="V1209" s="196"/>
      <c r="W1209" s="225"/>
      <c r="X1209" s="283"/>
      <c r="Y1209" s="283"/>
      <c r="Z1209" s="283"/>
      <c r="AA1209" s="283"/>
      <c r="AB1209" s="283"/>
      <c r="AC1209" s="283"/>
      <c r="AD1209" s="283"/>
      <c r="AE1209" s="283"/>
      <c r="AF1209" s="283"/>
      <c r="AG1209" s="205" t="s">
        <v>115</v>
      </c>
      <c r="AH1209" s="205" t="s">
        <v>2963</v>
      </c>
      <c r="AI1209" s="205" t="s">
        <v>2964</v>
      </c>
      <c r="AJ1209" s="225"/>
      <c r="AK1209" s="225"/>
      <c r="AL1209" s="24"/>
    </row>
    <row r="1210" spans="1:38" ht="12.75" customHeight="1">
      <c r="A1210" s="22">
        <v>1208</v>
      </c>
      <c r="B1210" s="24" t="str">
        <f t="shared" si="70"/>
        <v>Woman refused</v>
      </c>
      <c r="C1210" s="24" t="str">
        <f t="shared" si="3"/>
        <v>Input Option</v>
      </c>
      <c r="D1210" s="24" t="str">
        <f t="shared" si="2"/>
        <v>Reason Flu dose not done</v>
      </c>
      <c r="E1210" s="24" t="s">
        <v>3008</v>
      </c>
      <c r="F1210" s="24">
        <v>1</v>
      </c>
      <c r="G1210" s="24" t="s">
        <v>2372</v>
      </c>
      <c r="H1210" s="24"/>
      <c r="I1210" s="283"/>
      <c r="J1210" s="196"/>
      <c r="K1210" s="164"/>
      <c r="L1210" s="196"/>
      <c r="M1210" s="196"/>
      <c r="N1210" s="204" t="s">
        <v>2383</v>
      </c>
      <c r="O1210" s="196"/>
      <c r="P1210" s="196"/>
      <c r="Q1210" s="196"/>
      <c r="R1210" s="283"/>
      <c r="S1210" s="196"/>
      <c r="T1210" s="283"/>
      <c r="U1210" s="283"/>
      <c r="V1210" s="196"/>
      <c r="W1210" s="225"/>
      <c r="X1210" s="283"/>
      <c r="Y1210" s="283"/>
      <c r="Z1210" s="283"/>
      <c r="AA1210" s="283"/>
      <c r="AB1210" s="283"/>
      <c r="AC1210" s="283"/>
      <c r="AD1210" s="283"/>
      <c r="AE1210" s="283"/>
      <c r="AF1210" s="283"/>
      <c r="AG1210" s="205" t="s">
        <v>115</v>
      </c>
      <c r="AH1210" s="205" t="s">
        <v>2716</v>
      </c>
      <c r="AI1210" s="205" t="s">
        <v>2717</v>
      </c>
      <c r="AJ1210" s="225"/>
      <c r="AK1210" s="225"/>
      <c r="AL1210" s="24"/>
    </row>
    <row r="1211" spans="1:38" ht="12.75" customHeight="1">
      <c r="A1211" s="22">
        <v>1209</v>
      </c>
      <c r="B1211" s="24" t="str">
        <f t="shared" si="70"/>
        <v>Allergies</v>
      </c>
      <c r="C1211" s="24" t="str">
        <f t="shared" si="3"/>
        <v>Input Option</v>
      </c>
      <c r="D1211" s="24" t="str">
        <f t="shared" si="2"/>
        <v>Reason Flu dose not done</v>
      </c>
      <c r="E1211" s="24" t="s">
        <v>3008</v>
      </c>
      <c r="F1211" s="24">
        <v>1</v>
      </c>
      <c r="G1211" s="24" t="s">
        <v>2372</v>
      </c>
      <c r="H1211" s="24"/>
      <c r="I1211" s="283"/>
      <c r="J1211" s="196"/>
      <c r="K1211" s="164"/>
      <c r="L1211" s="196"/>
      <c r="M1211" s="196"/>
      <c r="N1211" s="204" t="s">
        <v>2965</v>
      </c>
      <c r="O1211" s="196"/>
      <c r="P1211" s="196"/>
      <c r="Q1211" s="196"/>
      <c r="R1211" s="283"/>
      <c r="S1211" s="196"/>
      <c r="T1211" s="283"/>
      <c r="U1211" s="283"/>
      <c r="V1211" s="196"/>
      <c r="W1211" s="225"/>
      <c r="X1211" s="283"/>
      <c r="Y1211" s="283"/>
      <c r="Z1211" s="283"/>
      <c r="AA1211" s="283"/>
      <c r="AB1211" s="283"/>
      <c r="AC1211" s="283"/>
      <c r="AD1211" s="283"/>
      <c r="AE1211" s="283"/>
      <c r="AF1211" s="283"/>
      <c r="AG1211" s="205" t="s">
        <v>115</v>
      </c>
      <c r="AH1211" s="205" t="s">
        <v>2685</v>
      </c>
      <c r="AI1211" s="205" t="s">
        <v>2686</v>
      </c>
      <c r="AJ1211" s="225"/>
      <c r="AK1211" s="225"/>
      <c r="AL1211" s="24"/>
    </row>
    <row r="1212" spans="1:38" ht="12.75" customHeight="1">
      <c r="A1212" s="22">
        <v>1210</v>
      </c>
      <c r="B1212" s="24" t="str">
        <f t="shared" si="70"/>
        <v>Other (specify)</v>
      </c>
      <c r="C1212" s="24" t="str">
        <f t="shared" si="3"/>
        <v>Input Option</v>
      </c>
      <c r="D1212" s="24" t="str">
        <f t="shared" si="2"/>
        <v>Reason Flu dose not done</v>
      </c>
      <c r="E1212" s="24" t="s">
        <v>3008</v>
      </c>
      <c r="F1212" s="24">
        <v>1</v>
      </c>
      <c r="G1212" s="24" t="s">
        <v>2372</v>
      </c>
      <c r="H1212" s="24"/>
      <c r="I1212" s="283"/>
      <c r="J1212" s="196"/>
      <c r="K1212" s="164"/>
      <c r="L1212" s="196"/>
      <c r="M1212" s="196"/>
      <c r="N1212" s="204" t="s">
        <v>405</v>
      </c>
      <c r="O1212" s="196"/>
      <c r="P1212" s="196"/>
      <c r="Q1212" s="196"/>
      <c r="R1212" s="283"/>
      <c r="S1212" s="196"/>
      <c r="T1212" s="283"/>
      <c r="U1212" s="283"/>
      <c r="V1212" s="196"/>
      <c r="W1212" s="225"/>
      <c r="X1212" s="283"/>
      <c r="Y1212" s="283"/>
      <c r="Z1212" s="283"/>
      <c r="AA1212" s="283"/>
      <c r="AB1212" s="283"/>
      <c r="AC1212" s="283"/>
      <c r="AD1212" s="283"/>
      <c r="AE1212" s="283"/>
      <c r="AF1212" s="283"/>
      <c r="AG1212" s="205" t="s">
        <v>115</v>
      </c>
      <c r="AH1212" s="205" t="s">
        <v>406</v>
      </c>
      <c r="AI1212" s="205" t="s">
        <v>407</v>
      </c>
      <c r="AJ1212" s="225"/>
      <c r="AK1212" s="225"/>
      <c r="AL1212" s="24"/>
    </row>
    <row r="1213" spans="1:38" ht="12.75" customHeight="1">
      <c r="A1213" s="22">
        <v>1211</v>
      </c>
      <c r="B1213" s="24" t="s">
        <v>3018</v>
      </c>
      <c r="C1213" s="24" t="str">
        <f t="shared" si="3"/>
        <v>Data Element</v>
      </c>
      <c r="D1213" s="24" t="str">
        <f t="shared" si="2"/>
        <v/>
      </c>
      <c r="E1213" s="24" t="s">
        <v>3008</v>
      </c>
      <c r="F1213" s="24">
        <v>1</v>
      </c>
      <c r="G1213" s="24" t="s">
        <v>2372</v>
      </c>
      <c r="H1213" s="24"/>
      <c r="I1213" s="283"/>
      <c r="J1213" s="196" t="s">
        <v>409</v>
      </c>
      <c r="K1213" s="164" t="s">
        <v>3019</v>
      </c>
      <c r="L1213" s="196" t="s">
        <v>2641</v>
      </c>
      <c r="M1213" s="196" t="s">
        <v>111</v>
      </c>
      <c r="N1213" s="196"/>
      <c r="O1213" s="196"/>
      <c r="P1213" s="196"/>
      <c r="Q1213" s="196"/>
      <c r="R1213" s="283"/>
      <c r="S1213" s="196" t="s">
        <v>208</v>
      </c>
      <c r="T1213" s="283"/>
      <c r="U1213" s="283"/>
      <c r="V1213" s="196" t="s">
        <v>115</v>
      </c>
      <c r="W1213" s="225"/>
      <c r="X1213" s="283"/>
      <c r="Y1213" s="283"/>
      <c r="Z1213" s="283"/>
      <c r="AA1213" s="283"/>
      <c r="AB1213" s="283"/>
      <c r="AC1213" s="283"/>
      <c r="AD1213" s="283"/>
      <c r="AE1213" s="283"/>
      <c r="AF1213" s="283"/>
      <c r="AG1213" s="285" t="s">
        <v>3012</v>
      </c>
      <c r="AH1213" s="285" t="s">
        <v>2968</v>
      </c>
      <c r="AI1213" s="285" t="s">
        <v>2969</v>
      </c>
      <c r="AJ1213" s="225"/>
      <c r="AK1213" s="225"/>
      <c r="AL1213" s="24"/>
    </row>
    <row r="1214" spans="1:38" ht="12.75" customHeight="1">
      <c r="A1214" s="22">
        <v>1212</v>
      </c>
      <c r="B1214" s="24" t="str">
        <f t="shared" ref="B1214:B1216" si="71">IF(N1214="",IF(M1214="Calculation",K1214,J1214),N1214)</f>
        <v>Prescribe daily calcium supplementation (1.5–2.0 g oral elemental calcium)</v>
      </c>
      <c r="C1214" s="24" t="str">
        <f t="shared" si="3"/>
        <v>Data Element</v>
      </c>
      <c r="D1214" s="24" t="str">
        <f t="shared" si="2"/>
        <v/>
      </c>
      <c r="E1214" s="24" t="s">
        <v>3021</v>
      </c>
      <c r="F1214" s="24">
        <v>1</v>
      </c>
      <c r="G1214" s="24" t="s">
        <v>2372</v>
      </c>
      <c r="H1214" s="24"/>
      <c r="I1214" s="283"/>
      <c r="J1214" s="224" t="s">
        <v>3020</v>
      </c>
      <c r="K1214" s="164" t="s">
        <v>3022</v>
      </c>
      <c r="L1214" s="164"/>
      <c r="M1214" s="164" t="s">
        <v>202</v>
      </c>
      <c r="N1214" s="196"/>
      <c r="O1214" s="164"/>
      <c r="P1214" s="164"/>
      <c r="Q1214" s="164"/>
      <c r="R1214" s="283"/>
      <c r="S1214" s="164" t="s">
        <v>113</v>
      </c>
      <c r="T1214" s="283"/>
      <c r="U1214" s="283"/>
      <c r="V1214" s="204" t="s">
        <v>3023</v>
      </c>
      <c r="W1214" s="225"/>
      <c r="X1214" s="283"/>
      <c r="Y1214" s="283"/>
      <c r="Z1214" s="283"/>
      <c r="AA1214" s="283"/>
      <c r="AB1214" s="283"/>
      <c r="AC1214" s="283"/>
      <c r="AD1214" s="283"/>
      <c r="AE1214" s="283"/>
      <c r="AF1214" s="283"/>
      <c r="AG1214" s="285" t="s">
        <v>3024</v>
      </c>
      <c r="AH1214" s="285" t="s">
        <v>2630</v>
      </c>
      <c r="AI1214" s="285" t="s">
        <v>2631</v>
      </c>
      <c r="AJ1214" s="225"/>
      <c r="AK1214" s="225"/>
      <c r="AL1214" s="24"/>
    </row>
    <row r="1215" spans="1:38" ht="12.75" customHeight="1">
      <c r="A1215" s="22">
        <v>1213</v>
      </c>
      <c r="B1215" s="24" t="str">
        <f t="shared" si="71"/>
        <v>Done</v>
      </c>
      <c r="C1215" s="24" t="str">
        <f t="shared" si="3"/>
        <v>Input Option</v>
      </c>
      <c r="D1215" s="24" t="str">
        <f t="shared" si="2"/>
        <v>Prescribe daily calcium supplementation (1.5–2.0 g oral elemental calcium)</v>
      </c>
      <c r="E1215" s="24" t="s">
        <v>3021</v>
      </c>
      <c r="F1215" s="24">
        <v>1</v>
      </c>
      <c r="G1215" s="24" t="s">
        <v>2372</v>
      </c>
      <c r="H1215" s="24"/>
      <c r="I1215" s="283"/>
      <c r="J1215" s="164"/>
      <c r="K1215" s="164"/>
      <c r="L1215" s="164"/>
      <c r="M1215" s="164"/>
      <c r="N1215" s="196" t="s">
        <v>1673</v>
      </c>
      <c r="O1215" s="164"/>
      <c r="P1215" s="164"/>
      <c r="Q1215" s="164"/>
      <c r="R1215" s="283"/>
      <c r="S1215" s="164"/>
      <c r="T1215" s="283"/>
      <c r="U1215" s="283"/>
      <c r="V1215" s="164"/>
      <c r="W1215" s="225"/>
      <c r="X1215" s="283"/>
      <c r="Y1215" s="283"/>
      <c r="Z1215" s="283"/>
      <c r="AA1215" s="283"/>
      <c r="AB1215" s="283"/>
      <c r="AC1215" s="283"/>
      <c r="AD1215" s="283"/>
      <c r="AE1215" s="283"/>
      <c r="AF1215" s="283"/>
      <c r="AG1215" s="285" t="s">
        <v>115</v>
      </c>
      <c r="AH1215" s="285" t="s">
        <v>942</v>
      </c>
      <c r="AI1215" s="205" t="s">
        <v>943</v>
      </c>
      <c r="AJ1215" s="225"/>
      <c r="AK1215" s="225"/>
      <c r="AL1215" s="24"/>
    </row>
    <row r="1216" spans="1:38" ht="12.75" customHeight="1">
      <c r="A1216" s="22">
        <v>1214</v>
      </c>
      <c r="B1216" s="24" t="str">
        <f t="shared" si="71"/>
        <v>Not done</v>
      </c>
      <c r="C1216" s="24" t="str">
        <f t="shared" si="3"/>
        <v>Input Option</v>
      </c>
      <c r="D1216" s="24" t="str">
        <f t="shared" si="2"/>
        <v>Prescribe daily calcium supplementation (1.5–2.0 g oral elemental calcium)</v>
      </c>
      <c r="E1216" s="24" t="s">
        <v>3021</v>
      </c>
      <c r="F1216" s="24">
        <v>1</v>
      </c>
      <c r="G1216" s="24" t="s">
        <v>2372</v>
      </c>
      <c r="H1216" s="24"/>
      <c r="I1216" s="283"/>
      <c r="J1216" s="164"/>
      <c r="K1216" s="164"/>
      <c r="L1216" s="164"/>
      <c r="M1216" s="164"/>
      <c r="N1216" s="224" t="s">
        <v>1468</v>
      </c>
      <c r="O1216" s="164"/>
      <c r="P1216" s="164"/>
      <c r="Q1216" s="164"/>
      <c r="R1216" s="283"/>
      <c r="S1216" s="164"/>
      <c r="T1216" s="283"/>
      <c r="U1216" s="283"/>
      <c r="V1216" s="164"/>
      <c r="W1216" s="225"/>
      <c r="X1216" s="283"/>
      <c r="Y1216" s="283"/>
      <c r="Z1216" s="283"/>
      <c r="AA1216" s="283"/>
      <c r="AB1216" s="283"/>
      <c r="AC1216" s="283"/>
      <c r="AD1216" s="283"/>
      <c r="AE1216" s="283"/>
      <c r="AF1216" s="283"/>
      <c r="AG1216" s="285" t="s">
        <v>115</v>
      </c>
      <c r="AH1216" s="285" t="s">
        <v>1469</v>
      </c>
      <c r="AI1216" s="205" t="s">
        <v>1470</v>
      </c>
      <c r="AJ1216" s="225"/>
      <c r="AK1216" s="225"/>
      <c r="AL1216" s="24"/>
    </row>
    <row r="1217" spans="1:38" ht="12.75" customHeight="1">
      <c r="A1217" s="22">
        <v>1215</v>
      </c>
      <c r="B1217" s="24" t="s">
        <v>3025</v>
      </c>
      <c r="C1217" s="24" t="str">
        <f t="shared" si="3"/>
        <v>Data Element</v>
      </c>
      <c r="D1217" s="24" t="str">
        <f t="shared" si="2"/>
        <v/>
      </c>
      <c r="E1217" s="24" t="s">
        <v>3021</v>
      </c>
      <c r="F1217" s="24">
        <v>1</v>
      </c>
      <c r="G1217" s="24" t="s">
        <v>2372</v>
      </c>
      <c r="H1217" s="24"/>
      <c r="I1217" s="283"/>
      <c r="J1217" s="164" t="s">
        <v>1376</v>
      </c>
      <c r="K1217" s="164" t="s">
        <v>3026</v>
      </c>
      <c r="L1217" s="164" t="s">
        <v>3027</v>
      </c>
      <c r="M1217" s="164" t="s">
        <v>238</v>
      </c>
      <c r="N1217" s="224"/>
      <c r="O1217" s="164"/>
      <c r="P1217" s="164"/>
      <c r="Q1217" s="164"/>
      <c r="R1217" s="283"/>
      <c r="S1217" s="164" t="s">
        <v>113</v>
      </c>
      <c r="T1217" s="283"/>
      <c r="U1217" s="283"/>
      <c r="V1217" s="164" t="s">
        <v>115</v>
      </c>
      <c r="W1217" s="225"/>
      <c r="X1217" s="283"/>
      <c r="Y1217" s="283"/>
      <c r="Z1217" s="283"/>
      <c r="AA1217" s="283"/>
      <c r="AB1217" s="283"/>
      <c r="AC1217" s="283"/>
      <c r="AD1217" s="283"/>
      <c r="AE1217" s="283"/>
      <c r="AF1217" s="283"/>
      <c r="AG1217" s="285" t="s">
        <v>3024</v>
      </c>
      <c r="AH1217" s="285" t="s">
        <v>2635</v>
      </c>
      <c r="AI1217" s="285" t="s">
        <v>2636</v>
      </c>
      <c r="AJ1217" s="225"/>
      <c r="AK1217" s="225"/>
      <c r="AL1217" s="24"/>
    </row>
    <row r="1218" spans="1:38" ht="12.75" customHeight="1">
      <c r="A1218" s="22">
        <v>1216</v>
      </c>
      <c r="B1218" s="24" t="str">
        <f t="shared" ref="B1218:B1219" si="72">IF(N1218="",IF(M1218="Calculation",K1218,J1218),N1218)</f>
        <v>Referred instead</v>
      </c>
      <c r="C1218" s="24" t="str">
        <f t="shared" si="3"/>
        <v>Input Option</v>
      </c>
      <c r="D1218" s="24" t="str">
        <f t="shared" si="2"/>
        <v>Reason Prescribe daily calcium supplementation (1.5–2.0 g oral elemental calcium) not done</v>
      </c>
      <c r="E1218" s="24" t="s">
        <v>3021</v>
      </c>
      <c r="F1218" s="24">
        <v>1</v>
      </c>
      <c r="G1218" s="24" t="s">
        <v>2372</v>
      </c>
      <c r="H1218" s="24"/>
      <c r="I1218" s="283"/>
      <c r="J1218" s="196"/>
      <c r="K1218" s="164"/>
      <c r="L1218" s="196"/>
      <c r="M1218" s="196"/>
      <c r="N1218" s="224" t="s">
        <v>2405</v>
      </c>
      <c r="O1218" s="196"/>
      <c r="P1218" s="196"/>
      <c r="Q1218" s="196"/>
      <c r="R1218" s="283"/>
      <c r="S1218" s="196"/>
      <c r="T1218" s="283"/>
      <c r="U1218" s="283"/>
      <c r="V1218" s="196"/>
      <c r="W1218" s="225"/>
      <c r="X1218" s="283"/>
      <c r="Y1218" s="283"/>
      <c r="Z1218" s="283"/>
      <c r="AA1218" s="283"/>
      <c r="AB1218" s="283"/>
      <c r="AC1218" s="283"/>
      <c r="AD1218" s="283"/>
      <c r="AE1218" s="283"/>
      <c r="AF1218" s="283"/>
      <c r="AG1218" s="285" t="s">
        <v>115</v>
      </c>
      <c r="AH1218" s="205" t="s">
        <v>2406</v>
      </c>
      <c r="AI1218" s="285" t="s">
        <v>2407</v>
      </c>
      <c r="AJ1218" s="225"/>
      <c r="AK1218" s="225"/>
      <c r="AL1218" s="24"/>
    </row>
    <row r="1219" spans="1:38" ht="12.75" customHeight="1">
      <c r="A1219" s="22">
        <v>1217</v>
      </c>
      <c r="B1219" s="24" t="str">
        <f t="shared" si="72"/>
        <v>Other (specify)</v>
      </c>
      <c r="C1219" s="24" t="str">
        <f t="shared" si="3"/>
        <v>Input Option</v>
      </c>
      <c r="D1219" s="24" t="str">
        <f t="shared" si="2"/>
        <v>Reason Prescribe daily calcium supplementation (1.5–2.0 g oral elemental calcium) not done</v>
      </c>
      <c r="E1219" s="24" t="s">
        <v>3021</v>
      </c>
      <c r="F1219" s="24">
        <v>1</v>
      </c>
      <c r="G1219" s="24" t="s">
        <v>2372</v>
      </c>
      <c r="H1219" s="24"/>
      <c r="I1219" s="283"/>
      <c r="J1219" s="196"/>
      <c r="K1219" s="164"/>
      <c r="L1219" s="196"/>
      <c r="M1219" s="196"/>
      <c r="N1219" s="204" t="s">
        <v>405</v>
      </c>
      <c r="O1219" s="196"/>
      <c r="P1219" s="196"/>
      <c r="Q1219" s="196"/>
      <c r="R1219" s="283"/>
      <c r="S1219" s="196"/>
      <c r="T1219" s="283"/>
      <c r="U1219" s="283"/>
      <c r="V1219" s="196"/>
      <c r="W1219" s="225"/>
      <c r="X1219" s="283"/>
      <c r="Y1219" s="283"/>
      <c r="Z1219" s="283"/>
      <c r="AA1219" s="283"/>
      <c r="AB1219" s="283"/>
      <c r="AC1219" s="283"/>
      <c r="AD1219" s="283"/>
      <c r="AE1219" s="283"/>
      <c r="AF1219" s="283"/>
      <c r="AG1219" s="285" t="s">
        <v>115</v>
      </c>
      <c r="AH1219" s="205" t="s">
        <v>406</v>
      </c>
      <c r="AI1219" s="285" t="s">
        <v>407</v>
      </c>
      <c r="AJ1219" s="225"/>
      <c r="AK1219" s="225"/>
      <c r="AL1219" s="24"/>
    </row>
    <row r="1220" spans="1:38" ht="12.75" customHeight="1">
      <c r="A1220" s="22">
        <v>1218</v>
      </c>
      <c r="B1220" s="24" t="s">
        <v>3028</v>
      </c>
      <c r="C1220" s="24" t="str">
        <f t="shared" si="3"/>
        <v>Data Element</v>
      </c>
      <c r="D1220" s="24" t="str">
        <f t="shared" si="2"/>
        <v/>
      </c>
      <c r="E1220" s="24" t="s">
        <v>3021</v>
      </c>
      <c r="F1220" s="24">
        <v>1</v>
      </c>
      <c r="G1220" s="24" t="s">
        <v>2372</v>
      </c>
      <c r="H1220" s="24"/>
      <c r="I1220" s="283"/>
      <c r="J1220" s="196" t="s">
        <v>409</v>
      </c>
      <c r="K1220" s="164" t="s">
        <v>3029</v>
      </c>
      <c r="L1220" s="196" t="s">
        <v>2641</v>
      </c>
      <c r="M1220" s="196" t="s">
        <v>111</v>
      </c>
      <c r="N1220" s="196"/>
      <c r="O1220" s="196"/>
      <c r="P1220" s="196"/>
      <c r="Q1220" s="196"/>
      <c r="R1220" s="283"/>
      <c r="S1220" s="196" t="s">
        <v>208</v>
      </c>
      <c r="T1220" s="283"/>
      <c r="U1220" s="283"/>
      <c r="V1220" s="196" t="s">
        <v>115</v>
      </c>
      <c r="W1220" s="225"/>
      <c r="X1220" s="283"/>
      <c r="Y1220" s="283"/>
      <c r="Z1220" s="283"/>
      <c r="AA1220" s="283"/>
      <c r="AB1220" s="283"/>
      <c r="AC1220" s="283"/>
      <c r="AD1220" s="283"/>
      <c r="AE1220" s="283"/>
      <c r="AF1220" s="283"/>
      <c r="AG1220" s="285" t="s">
        <v>3024</v>
      </c>
      <c r="AH1220" s="285" t="s">
        <v>2642</v>
      </c>
      <c r="AI1220" s="285" t="s">
        <v>2643</v>
      </c>
      <c r="AJ1220" s="225"/>
      <c r="AK1220" s="225"/>
      <c r="AL1220" s="24"/>
    </row>
    <row r="1221" spans="1:38" ht="12.75" customHeight="1">
      <c r="A1221" s="22">
        <v>1219</v>
      </c>
      <c r="B1221" s="24" t="str">
        <f t="shared" ref="B1221:B1224" si="73">IF(N1221="",IF(M1221="Calculation",K1221,J1221),N1221)</f>
        <v>calcium</v>
      </c>
      <c r="C1221" s="24" t="str">
        <f t="shared" si="3"/>
        <v>Calculation</v>
      </c>
      <c r="D1221" s="24" t="str">
        <f t="shared" si="2"/>
        <v/>
      </c>
      <c r="E1221" s="24" t="s">
        <v>3021</v>
      </c>
      <c r="F1221" s="24">
        <v>1</v>
      </c>
      <c r="G1221" s="24" t="s">
        <v>2372</v>
      </c>
      <c r="H1221" s="24"/>
      <c r="I1221" s="283"/>
      <c r="J1221" s="298" t="s">
        <v>115</v>
      </c>
      <c r="K1221" s="298" t="s">
        <v>3030</v>
      </c>
      <c r="L1221" s="298" t="s">
        <v>3031</v>
      </c>
      <c r="M1221" s="298" t="s">
        <v>65</v>
      </c>
      <c r="N1221" s="164"/>
      <c r="O1221" s="298" t="s">
        <v>3032</v>
      </c>
      <c r="P1221" s="298"/>
      <c r="Q1221" s="164"/>
      <c r="R1221" s="283"/>
      <c r="S1221" s="298" t="s">
        <v>115</v>
      </c>
      <c r="T1221" s="283"/>
      <c r="U1221" s="283"/>
      <c r="V1221" s="298" t="s">
        <v>115</v>
      </c>
      <c r="W1221" s="225"/>
      <c r="X1221" s="283"/>
      <c r="Y1221" s="283"/>
      <c r="Z1221" s="283"/>
      <c r="AA1221" s="283"/>
      <c r="AB1221" s="283"/>
      <c r="AC1221" s="283"/>
      <c r="AD1221" s="283"/>
      <c r="AE1221" s="283"/>
      <c r="AF1221" s="283"/>
      <c r="AG1221" s="285" t="s">
        <v>115</v>
      </c>
      <c r="AH1221" s="285" t="s">
        <v>115</v>
      </c>
      <c r="AI1221" s="285" t="s">
        <v>115</v>
      </c>
      <c r="AJ1221" s="225"/>
      <c r="AK1221" s="225"/>
      <c r="AL1221" s="24"/>
    </row>
    <row r="1222" spans="1:38" ht="12.75" customHeight="1">
      <c r="A1222" s="22">
        <v>1220</v>
      </c>
      <c r="B1222" s="24" t="str">
        <f t="shared" si="73"/>
        <v>Prescribe a daily dose of up to 10,000 IU vitamin A, or a weekly dose of up to 25,000 IU</v>
      </c>
      <c r="C1222" s="24" t="str">
        <f t="shared" si="3"/>
        <v>Data Element</v>
      </c>
      <c r="D1222" s="24" t="str">
        <f t="shared" si="2"/>
        <v/>
      </c>
      <c r="E1222" s="24" t="s">
        <v>3034</v>
      </c>
      <c r="F1222" s="24">
        <v>1</v>
      </c>
      <c r="G1222" s="24" t="s">
        <v>2372</v>
      </c>
      <c r="H1222" s="24"/>
      <c r="I1222" s="283"/>
      <c r="J1222" s="224" t="s">
        <v>3033</v>
      </c>
      <c r="K1222" s="164" t="s">
        <v>3035</v>
      </c>
      <c r="L1222" s="164"/>
      <c r="M1222" s="164" t="s">
        <v>202</v>
      </c>
      <c r="N1222" s="196"/>
      <c r="O1222" s="164"/>
      <c r="P1222" s="164"/>
      <c r="Q1222" s="164"/>
      <c r="R1222" s="283"/>
      <c r="S1222" s="164" t="s">
        <v>113</v>
      </c>
      <c r="T1222" s="283"/>
      <c r="U1222" s="283"/>
      <c r="V1222" s="204" t="s">
        <v>3023</v>
      </c>
      <c r="W1222" s="225"/>
      <c r="X1222" s="283"/>
      <c r="Y1222" s="283"/>
      <c r="Z1222" s="283"/>
      <c r="AA1222" s="283"/>
      <c r="AB1222" s="283"/>
      <c r="AC1222" s="283"/>
      <c r="AD1222" s="283"/>
      <c r="AE1222" s="283"/>
      <c r="AF1222" s="283"/>
      <c r="AG1222" s="285" t="s">
        <v>3036</v>
      </c>
      <c r="AH1222" s="285" t="s">
        <v>2630</v>
      </c>
      <c r="AI1222" s="285" t="s">
        <v>2631</v>
      </c>
      <c r="AJ1222" s="225"/>
      <c r="AK1222" s="225"/>
      <c r="AL1222" s="24"/>
    </row>
    <row r="1223" spans="1:38" ht="12.75" customHeight="1">
      <c r="A1223" s="22">
        <v>1221</v>
      </c>
      <c r="B1223" s="24" t="str">
        <f t="shared" si="73"/>
        <v>Done</v>
      </c>
      <c r="C1223" s="24" t="str">
        <f t="shared" si="3"/>
        <v>Input Option</v>
      </c>
      <c r="D1223" s="24" t="str">
        <f t="shared" si="2"/>
        <v>Prescribe a daily dose of up to 10,000 IU vitamin A, or a weekly dose of up to 25,000 IU</v>
      </c>
      <c r="E1223" s="24" t="s">
        <v>3034</v>
      </c>
      <c r="F1223" s="24">
        <v>1</v>
      </c>
      <c r="G1223" s="24" t="s">
        <v>2372</v>
      </c>
      <c r="H1223" s="24"/>
      <c r="I1223" s="283"/>
      <c r="J1223" s="164"/>
      <c r="K1223" s="164"/>
      <c r="L1223" s="164"/>
      <c r="M1223" s="164"/>
      <c r="N1223" s="196" t="s">
        <v>1673</v>
      </c>
      <c r="O1223" s="164"/>
      <c r="P1223" s="164"/>
      <c r="Q1223" s="164"/>
      <c r="R1223" s="283"/>
      <c r="S1223" s="164"/>
      <c r="T1223" s="283"/>
      <c r="U1223" s="283"/>
      <c r="V1223" s="164"/>
      <c r="W1223" s="225"/>
      <c r="X1223" s="283"/>
      <c r="Y1223" s="283"/>
      <c r="Z1223" s="283"/>
      <c r="AA1223" s="283"/>
      <c r="AB1223" s="283"/>
      <c r="AC1223" s="283"/>
      <c r="AD1223" s="283"/>
      <c r="AE1223" s="283"/>
      <c r="AF1223" s="283"/>
      <c r="AG1223" s="285" t="s">
        <v>115</v>
      </c>
      <c r="AH1223" s="285" t="s">
        <v>942</v>
      </c>
      <c r="AI1223" s="205" t="s">
        <v>943</v>
      </c>
      <c r="AJ1223" s="225"/>
      <c r="AK1223" s="225"/>
      <c r="AL1223" s="24"/>
    </row>
    <row r="1224" spans="1:38" ht="12.75" customHeight="1">
      <c r="A1224" s="22">
        <v>1222</v>
      </c>
      <c r="B1224" s="24" t="str">
        <f t="shared" si="73"/>
        <v>Not done</v>
      </c>
      <c r="C1224" s="24" t="str">
        <f t="shared" si="3"/>
        <v>Input Option</v>
      </c>
      <c r="D1224" s="24" t="str">
        <f t="shared" si="2"/>
        <v>Prescribe a daily dose of up to 10,000 IU vitamin A, or a weekly dose of up to 25,000 IU</v>
      </c>
      <c r="E1224" s="24" t="s">
        <v>3034</v>
      </c>
      <c r="F1224" s="24">
        <v>1</v>
      </c>
      <c r="G1224" s="24" t="s">
        <v>2372</v>
      </c>
      <c r="H1224" s="24"/>
      <c r="I1224" s="283"/>
      <c r="J1224" s="164"/>
      <c r="K1224" s="164"/>
      <c r="L1224" s="164"/>
      <c r="M1224" s="164"/>
      <c r="N1224" s="224" t="s">
        <v>1468</v>
      </c>
      <c r="O1224" s="164"/>
      <c r="P1224" s="164"/>
      <c r="Q1224" s="164"/>
      <c r="R1224" s="283"/>
      <c r="S1224" s="164"/>
      <c r="T1224" s="283"/>
      <c r="U1224" s="283"/>
      <c r="V1224" s="164"/>
      <c r="W1224" s="225"/>
      <c r="X1224" s="283"/>
      <c r="Y1224" s="283"/>
      <c r="Z1224" s="283"/>
      <c r="AA1224" s="283"/>
      <c r="AB1224" s="283"/>
      <c r="AC1224" s="283"/>
      <c r="AD1224" s="283"/>
      <c r="AE1224" s="283"/>
      <c r="AF1224" s="283"/>
      <c r="AG1224" s="285" t="s">
        <v>115</v>
      </c>
      <c r="AH1224" s="285" t="s">
        <v>1469</v>
      </c>
      <c r="AI1224" s="205" t="s">
        <v>1470</v>
      </c>
      <c r="AJ1224" s="225"/>
      <c r="AK1224" s="225"/>
      <c r="AL1224" s="24"/>
    </row>
    <row r="1225" spans="1:38" ht="12.75" customHeight="1">
      <c r="A1225" s="22">
        <v>1223</v>
      </c>
      <c r="B1225" s="24" t="s">
        <v>3038</v>
      </c>
      <c r="C1225" s="24" t="str">
        <f t="shared" si="3"/>
        <v>Data Element</v>
      </c>
      <c r="D1225" s="24" t="str">
        <f t="shared" si="2"/>
        <v/>
      </c>
      <c r="E1225" s="24" t="s">
        <v>3034</v>
      </c>
      <c r="F1225" s="24">
        <v>1</v>
      </c>
      <c r="G1225" s="24" t="s">
        <v>2372</v>
      </c>
      <c r="H1225" s="24"/>
      <c r="I1225" s="283"/>
      <c r="J1225" s="164" t="s">
        <v>1376</v>
      </c>
      <c r="K1225" s="164" t="s">
        <v>3039</v>
      </c>
      <c r="L1225" s="164" t="s">
        <v>3027</v>
      </c>
      <c r="M1225" s="164" t="s">
        <v>238</v>
      </c>
      <c r="N1225" s="224"/>
      <c r="O1225" s="164"/>
      <c r="P1225" s="164"/>
      <c r="Q1225" s="164"/>
      <c r="R1225" s="283"/>
      <c r="S1225" s="164" t="s">
        <v>113</v>
      </c>
      <c r="T1225" s="283"/>
      <c r="U1225" s="283"/>
      <c r="V1225" s="164" t="s">
        <v>115</v>
      </c>
      <c r="W1225" s="225"/>
      <c r="X1225" s="283"/>
      <c r="Y1225" s="283"/>
      <c r="Z1225" s="283"/>
      <c r="AA1225" s="283"/>
      <c r="AB1225" s="283"/>
      <c r="AC1225" s="283"/>
      <c r="AD1225" s="283"/>
      <c r="AE1225" s="283"/>
      <c r="AF1225" s="283"/>
      <c r="AG1225" s="285" t="s">
        <v>3036</v>
      </c>
      <c r="AH1225" s="285" t="s">
        <v>2635</v>
      </c>
      <c r="AI1225" s="285" t="s">
        <v>2636</v>
      </c>
      <c r="AJ1225" s="225"/>
      <c r="AK1225" s="225"/>
      <c r="AL1225" s="24"/>
    </row>
    <row r="1226" spans="1:38" ht="12.75" customHeight="1">
      <c r="A1226" s="22">
        <v>1224</v>
      </c>
      <c r="B1226" s="24" t="str">
        <f t="shared" ref="B1226:B1227" si="74">IF(N1226="",IF(M1226="Calculation",K1226,J1226),N1226)</f>
        <v>Referred instead</v>
      </c>
      <c r="C1226" s="24" t="str">
        <f t="shared" si="3"/>
        <v>Input Option</v>
      </c>
      <c r="D1226" s="24" t="str">
        <f t="shared" si="2"/>
        <v>Reason Prescribe a daily dose of up to 10,000 IU vitamin A, or a weekly dose of up to 25,000 IU not done</v>
      </c>
      <c r="E1226" s="24" t="s">
        <v>3034</v>
      </c>
      <c r="F1226" s="24">
        <v>1</v>
      </c>
      <c r="G1226" s="24" t="s">
        <v>2372</v>
      </c>
      <c r="H1226" s="24"/>
      <c r="I1226" s="283"/>
      <c r="J1226" s="196"/>
      <c r="K1226" s="164"/>
      <c r="L1226" s="196"/>
      <c r="M1226" s="196"/>
      <c r="N1226" s="224" t="s">
        <v>2405</v>
      </c>
      <c r="O1226" s="196"/>
      <c r="P1226" s="196"/>
      <c r="Q1226" s="196"/>
      <c r="R1226" s="283"/>
      <c r="S1226" s="196"/>
      <c r="T1226" s="283"/>
      <c r="U1226" s="283"/>
      <c r="V1226" s="196"/>
      <c r="W1226" s="225"/>
      <c r="X1226" s="283"/>
      <c r="Y1226" s="283"/>
      <c r="Z1226" s="283"/>
      <c r="AA1226" s="283"/>
      <c r="AB1226" s="283"/>
      <c r="AC1226" s="283"/>
      <c r="AD1226" s="283"/>
      <c r="AE1226" s="283"/>
      <c r="AF1226" s="283"/>
      <c r="AG1226" s="285" t="s">
        <v>115</v>
      </c>
      <c r="AH1226" s="205" t="s">
        <v>2406</v>
      </c>
      <c r="AI1226" s="285" t="s">
        <v>2407</v>
      </c>
      <c r="AJ1226" s="225"/>
      <c r="AK1226" s="225"/>
      <c r="AL1226" s="24"/>
    </row>
    <row r="1227" spans="1:38" ht="12.75" customHeight="1">
      <c r="A1227" s="22">
        <v>1225</v>
      </c>
      <c r="B1227" s="24" t="str">
        <f t="shared" si="74"/>
        <v>Other (specify)</v>
      </c>
      <c r="C1227" s="24" t="str">
        <f t="shared" si="3"/>
        <v>Input Option</v>
      </c>
      <c r="D1227" s="24" t="str">
        <f t="shared" si="2"/>
        <v>Reason Prescribe a daily dose of up to 10,000 IU vitamin A, or a weekly dose of up to 25,000 IU not done</v>
      </c>
      <c r="E1227" s="24" t="s">
        <v>3034</v>
      </c>
      <c r="F1227" s="24">
        <v>1</v>
      </c>
      <c r="G1227" s="24" t="s">
        <v>2372</v>
      </c>
      <c r="H1227" s="24"/>
      <c r="I1227" s="283"/>
      <c r="J1227" s="196"/>
      <c r="K1227" s="164"/>
      <c r="L1227" s="196"/>
      <c r="M1227" s="196"/>
      <c r="N1227" s="204" t="s">
        <v>405</v>
      </c>
      <c r="O1227" s="196"/>
      <c r="P1227" s="196"/>
      <c r="Q1227" s="196"/>
      <c r="R1227" s="283"/>
      <c r="S1227" s="196"/>
      <c r="T1227" s="283"/>
      <c r="U1227" s="283"/>
      <c r="V1227" s="196"/>
      <c r="W1227" s="225"/>
      <c r="X1227" s="283"/>
      <c r="Y1227" s="283"/>
      <c r="Z1227" s="283"/>
      <c r="AA1227" s="283"/>
      <c r="AB1227" s="283"/>
      <c r="AC1227" s="283"/>
      <c r="AD1227" s="283"/>
      <c r="AE1227" s="283"/>
      <c r="AF1227" s="283"/>
      <c r="AG1227" s="285" t="s">
        <v>115</v>
      </c>
      <c r="AH1227" s="205" t="s">
        <v>406</v>
      </c>
      <c r="AI1227" s="285" t="s">
        <v>407</v>
      </c>
      <c r="AJ1227" s="225"/>
      <c r="AK1227" s="225"/>
      <c r="AL1227" s="24"/>
    </row>
    <row r="1228" spans="1:38" ht="12.75" customHeight="1">
      <c r="A1228" s="22">
        <v>1226</v>
      </c>
      <c r="B1228" s="24" t="s">
        <v>3042</v>
      </c>
      <c r="C1228" s="24" t="str">
        <f t="shared" si="3"/>
        <v>Data Element</v>
      </c>
      <c r="D1228" s="24" t="str">
        <f t="shared" si="2"/>
        <v/>
      </c>
      <c r="E1228" s="24" t="s">
        <v>3034</v>
      </c>
      <c r="F1228" s="24">
        <v>1</v>
      </c>
      <c r="G1228" s="24" t="s">
        <v>2372</v>
      </c>
      <c r="H1228" s="24"/>
      <c r="I1228" s="283"/>
      <c r="J1228" s="196" t="s">
        <v>409</v>
      </c>
      <c r="K1228" s="164" t="s">
        <v>3043</v>
      </c>
      <c r="L1228" s="196" t="s">
        <v>2641</v>
      </c>
      <c r="M1228" s="196" t="s">
        <v>111</v>
      </c>
      <c r="N1228" s="196"/>
      <c r="O1228" s="196"/>
      <c r="P1228" s="196"/>
      <c r="Q1228" s="196"/>
      <c r="R1228" s="283"/>
      <c r="S1228" s="196" t="s">
        <v>208</v>
      </c>
      <c r="T1228" s="283"/>
      <c r="U1228" s="283"/>
      <c r="V1228" s="196" t="s">
        <v>115</v>
      </c>
      <c r="W1228" s="225"/>
      <c r="X1228" s="283"/>
      <c r="Y1228" s="283"/>
      <c r="Z1228" s="283"/>
      <c r="AA1228" s="283"/>
      <c r="AB1228" s="283"/>
      <c r="AC1228" s="283"/>
      <c r="AD1228" s="283"/>
      <c r="AE1228" s="283"/>
      <c r="AF1228" s="283"/>
      <c r="AG1228" s="285" t="s">
        <v>3036</v>
      </c>
      <c r="AH1228" s="285" t="s">
        <v>2642</v>
      </c>
      <c r="AI1228" s="285" t="s">
        <v>2643</v>
      </c>
      <c r="AJ1228" s="225"/>
      <c r="AK1228" s="225"/>
      <c r="AL1228" s="24"/>
    </row>
    <row r="1229" spans="1:38" ht="12.75" customHeight="1">
      <c r="A1229" s="22">
        <v>1227</v>
      </c>
      <c r="B1229" s="24" t="str">
        <f t="shared" ref="B1229:B1230" si="75">IF(N1229="",IF(M1229="Calculation",K1229,J1229),N1229)</f>
        <v>vita</v>
      </c>
      <c r="C1229" s="24" t="str">
        <f t="shared" si="3"/>
        <v>Calculation</v>
      </c>
      <c r="D1229" s="24" t="str">
        <f t="shared" si="2"/>
        <v/>
      </c>
      <c r="E1229" s="24" t="s">
        <v>3034</v>
      </c>
      <c r="F1229" s="24">
        <v>1</v>
      </c>
      <c r="G1229" s="24" t="s">
        <v>2372</v>
      </c>
      <c r="H1229" s="24"/>
      <c r="I1229" s="283"/>
      <c r="J1229" s="298" t="s">
        <v>115</v>
      </c>
      <c r="K1229" s="298" t="s">
        <v>3044</v>
      </c>
      <c r="L1229" s="298" t="s">
        <v>3045</v>
      </c>
      <c r="M1229" s="298" t="s">
        <v>65</v>
      </c>
      <c r="N1229" s="164"/>
      <c r="O1229" s="298" t="s">
        <v>3046</v>
      </c>
      <c r="P1229" s="298"/>
      <c r="Q1229" s="164"/>
      <c r="R1229" s="283"/>
      <c r="S1229" s="298" t="s">
        <v>115</v>
      </c>
      <c r="T1229" s="283"/>
      <c r="U1229" s="283"/>
      <c r="V1229" s="298" t="s">
        <v>115</v>
      </c>
      <c r="W1229" s="225"/>
      <c r="X1229" s="283"/>
      <c r="Y1229" s="283"/>
      <c r="Z1229" s="283"/>
      <c r="AA1229" s="283"/>
      <c r="AB1229" s="283"/>
      <c r="AC1229" s="283"/>
      <c r="AD1229" s="283"/>
      <c r="AE1229" s="283"/>
      <c r="AF1229" s="283"/>
      <c r="AG1229" s="285" t="s">
        <v>115</v>
      </c>
      <c r="AH1229" s="285" t="s">
        <v>115</v>
      </c>
      <c r="AI1229" s="285" t="s">
        <v>115</v>
      </c>
      <c r="AJ1229" s="225"/>
      <c r="AK1229" s="225"/>
      <c r="AL1229" s="24"/>
    </row>
    <row r="1230" spans="1:38" ht="12.75" customHeight="1">
      <c r="A1230" s="22">
        <v>1228</v>
      </c>
      <c r="B1230" s="24" t="str">
        <f t="shared" si="75"/>
        <v>Note</v>
      </c>
      <c r="C1230" s="24" t="str">
        <f t="shared" si="3"/>
        <v>Input Option</v>
      </c>
      <c r="D1230" s="24" t="s">
        <v>1445</v>
      </c>
      <c r="E1230" s="24" t="s">
        <v>3047</v>
      </c>
      <c r="F1230" s="24">
        <v>1</v>
      </c>
      <c r="G1230" s="24" t="s">
        <v>2372</v>
      </c>
      <c r="H1230" s="24"/>
      <c r="I1230" s="283"/>
      <c r="J1230" s="383" t="s">
        <v>3048</v>
      </c>
      <c r="K1230" s="383" t="s">
        <v>115</v>
      </c>
      <c r="L1230" s="383" t="s">
        <v>3049</v>
      </c>
      <c r="M1230" s="383" t="s">
        <v>1445</v>
      </c>
      <c r="N1230" s="384" t="s">
        <v>164</v>
      </c>
      <c r="O1230" s="384"/>
      <c r="P1230" s="384"/>
      <c r="Q1230" s="384"/>
      <c r="R1230" s="384"/>
      <c r="S1230" s="383" t="s">
        <v>208</v>
      </c>
      <c r="T1230" s="384"/>
      <c r="U1230" s="384"/>
      <c r="V1230" s="383" t="s">
        <v>1277</v>
      </c>
      <c r="W1230" s="225"/>
      <c r="X1230" s="384"/>
      <c r="Y1230" s="384"/>
      <c r="Z1230" s="384"/>
      <c r="AA1230" s="384"/>
      <c r="AB1230" s="384"/>
      <c r="AC1230" s="384"/>
      <c r="AD1230" s="384"/>
      <c r="AE1230" s="384"/>
      <c r="AF1230" s="384"/>
      <c r="AG1230" s="285" t="s">
        <v>115</v>
      </c>
      <c r="AH1230" s="285" t="s">
        <v>115</v>
      </c>
      <c r="AI1230" s="285" t="s">
        <v>115</v>
      </c>
      <c r="AJ1230" s="225"/>
      <c r="AK1230" s="225"/>
      <c r="AL1230" s="24"/>
    </row>
  </sheetData>
  <dataValidations count="1">
    <dataValidation type="list" allowBlank="1" sqref="AJ4:AL5 M5:M6" xr:uid="{00000000-0002-0000-0000-000000000000}">
      <formula1>"Text,Integer,Decimal,MC (select one),MC (select multiple),Date,Time,Note,Calculation,Image,Checkbox,Toaster Message,QR Code"</formula1>
    </dataValidation>
  </dataValidations>
  <pageMargins left="0.7" right="0.7" top="0.75" bottom="0.75" header="0" footer="0"/>
  <pageSetup orientation="landscape"/>
  <drawing r:id="rId1"/>
  <tableParts count="17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O602"/>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5" defaultRowHeight="15" customHeight="1"/>
  <cols>
    <col min="1" max="1" width="19.83203125" customWidth="1"/>
    <col min="2" max="2" width="13" customWidth="1"/>
    <col min="3" max="3" width="20.6640625" customWidth="1"/>
    <col min="4" max="4" width="39.5" customWidth="1"/>
    <col min="5" max="6" width="22.33203125" customWidth="1"/>
    <col min="7" max="9" width="14.83203125" customWidth="1"/>
    <col min="10" max="10" width="20.5" customWidth="1"/>
    <col min="11" max="13" width="14.83203125" customWidth="1"/>
    <col min="14" max="14" width="24" customWidth="1"/>
    <col min="15" max="15" width="22.6640625" customWidth="1"/>
  </cols>
  <sheetData>
    <row r="1" spans="1:15" ht="12.75" customHeight="1">
      <c r="A1" s="696" t="s">
        <v>7293</v>
      </c>
      <c r="B1" s="696" t="s">
        <v>7295</v>
      </c>
      <c r="C1" s="696" t="s">
        <v>59</v>
      </c>
      <c r="D1" s="696" t="s">
        <v>7296</v>
      </c>
      <c r="E1" s="696" t="s">
        <v>7297</v>
      </c>
      <c r="F1" s="696" t="s">
        <v>63</v>
      </c>
      <c r="G1" s="696" t="s">
        <v>64</v>
      </c>
      <c r="H1" s="696" t="s">
        <v>7299</v>
      </c>
      <c r="I1" s="696" t="s">
        <v>65</v>
      </c>
      <c r="J1" s="696" t="s">
        <v>67</v>
      </c>
      <c r="K1" s="697" t="s">
        <v>68</v>
      </c>
      <c r="L1" s="697" t="s">
        <v>69</v>
      </c>
      <c r="M1" s="696" t="s">
        <v>70</v>
      </c>
      <c r="N1" s="696" t="s">
        <v>74</v>
      </c>
      <c r="O1" s="697" t="s">
        <v>76</v>
      </c>
    </row>
    <row r="2" spans="1:15" ht="12.75" customHeight="1">
      <c r="A2" s="698" t="s">
        <v>7301</v>
      </c>
      <c r="B2" s="699" t="s">
        <v>7302</v>
      </c>
      <c r="C2" s="27" t="s">
        <v>7303</v>
      </c>
      <c r="D2" s="27" t="s">
        <v>7304</v>
      </c>
      <c r="E2" s="27" t="s">
        <v>203</v>
      </c>
      <c r="F2" s="27" t="s">
        <v>6879</v>
      </c>
      <c r="G2" s="27"/>
      <c r="H2" s="27" t="s">
        <v>203</v>
      </c>
      <c r="I2" s="27" t="s">
        <v>203</v>
      </c>
      <c r="J2" s="27" t="s">
        <v>112</v>
      </c>
      <c r="K2" s="27" t="s">
        <v>113</v>
      </c>
      <c r="L2" s="27" t="s">
        <v>3098</v>
      </c>
      <c r="M2" s="111" t="s">
        <v>423</v>
      </c>
      <c r="N2" s="111"/>
      <c r="O2" s="28"/>
    </row>
    <row r="3" spans="1:15" ht="12.75" customHeight="1">
      <c r="A3" s="698" t="s">
        <v>7301</v>
      </c>
      <c r="B3" s="699" t="s">
        <v>7305</v>
      </c>
      <c r="C3" s="27" t="s">
        <v>7306</v>
      </c>
      <c r="D3" s="27" t="s">
        <v>7307</v>
      </c>
      <c r="E3" s="27" t="s">
        <v>203</v>
      </c>
      <c r="F3" s="27" t="s">
        <v>6879</v>
      </c>
      <c r="G3" s="27"/>
      <c r="H3" s="27" t="s">
        <v>203</v>
      </c>
      <c r="I3" s="27" t="s">
        <v>203</v>
      </c>
      <c r="J3" s="27" t="s">
        <v>112</v>
      </c>
      <c r="K3" s="27" t="s">
        <v>113</v>
      </c>
      <c r="L3" s="27" t="s">
        <v>3098</v>
      </c>
      <c r="M3" s="111" t="s">
        <v>423</v>
      </c>
      <c r="N3" s="111"/>
      <c r="O3" s="28"/>
    </row>
    <row r="4" spans="1:15" ht="12.75" customHeight="1">
      <c r="A4" s="698" t="s">
        <v>7301</v>
      </c>
      <c r="B4" s="699" t="s">
        <v>7309</v>
      </c>
      <c r="C4" s="114" t="s">
        <v>3154</v>
      </c>
      <c r="D4" s="114" t="s">
        <v>3157</v>
      </c>
      <c r="E4" s="27" t="s">
        <v>203</v>
      </c>
      <c r="F4" s="114" t="s">
        <v>3158</v>
      </c>
      <c r="G4" s="27"/>
      <c r="H4" s="27" t="s">
        <v>203</v>
      </c>
      <c r="I4" s="27" t="s">
        <v>203</v>
      </c>
      <c r="J4" s="111" t="s">
        <v>3159</v>
      </c>
      <c r="K4" s="114" t="s">
        <v>113</v>
      </c>
      <c r="L4" s="114" t="s">
        <v>3098</v>
      </c>
      <c r="M4" s="111" t="s">
        <v>423</v>
      </c>
      <c r="N4" s="114"/>
      <c r="O4" s="111" t="s">
        <v>3160</v>
      </c>
    </row>
    <row r="5" spans="1:15" ht="12.75" customHeight="1">
      <c r="A5" s="698" t="s">
        <v>7301</v>
      </c>
      <c r="B5" s="699" t="s">
        <v>7310</v>
      </c>
      <c r="C5" s="114" t="s">
        <v>3141</v>
      </c>
      <c r="D5" s="114" t="s">
        <v>3168</v>
      </c>
      <c r="E5" s="27" t="s">
        <v>203</v>
      </c>
      <c r="F5" s="114" t="s">
        <v>3169</v>
      </c>
      <c r="G5" s="111" t="s">
        <v>3170</v>
      </c>
      <c r="H5" s="27" t="s">
        <v>203</v>
      </c>
      <c r="I5" s="27" t="s">
        <v>203</v>
      </c>
      <c r="J5" s="111" t="s">
        <v>423</v>
      </c>
      <c r="K5" s="114" t="s">
        <v>113</v>
      </c>
      <c r="L5" s="114" t="s">
        <v>3098</v>
      </c>
      <c r="M5" s="111" t="s">
        <v>423</v>
      </c>
      <c r="N5" s="114"/>
      <c r="O5" s="111"/>
    </row>
    <row r="6" spans="1:15" ht="12.75" customHeight="1">
      <c r="A6" s="698" t="s">
        <v>7301</v>
      </c>
      <c r="B6" s="699" t="s">
        <v>7311</v>
      </c>
      <c r="C6" s="114" t="s">
        <v>3172</v>
      </c>
      <c r="D6" s="114" t="s">
        <v>3176</v>
      </c>
      <c r="E6" s="114" t="s">
        <v>3177</v>
      </c>
      <c r="F6" s="114" t="s">
        <v>3121</v>
      </c>
      <c r="G6" s="27"/>
      <c r="H6" s="27" t="s">
        <v>203</v>
      </c>
      <c r="I6" s="27" t="s">
        <v>203</v>
      </c>
      <c r="J6" s="111" t="s">
        <v>423</v>
      </c>
      <c r="K6" s="114" t="s">
        <v>113</v>
      </c>
      <c r="L6" s="114" t="s">
        <v>3178</v>
      </c>
      <c r="M6" s="114" t="s">
        <v>7312</v>
      </c>
      <c r="N6" s="114"/>
      <c r="O6" s="111"/>
    </row>
    <row r="7" spans="1:15" ht="12.75" customHeight="1">
      <c r="A7" s="698" t="s">
        <v>7301</v>
      </c>
      <c r="B7" s="699" t="s">
        <v>7313</v>
      </c>
      <c r="C7" s="28" t="s">
        <v>3187</v>
      </c>
      <c r="D7" s="114" t="s">
        <v>7314</v>
      </c>
      <c r="E7" s="27" t="s">
        <v>180</v>
      </c>
      <c r="F7" s="114" t="s">
        <v>7315</v>
      </c>
      <c r="G7" s="111" t="s">
        <v>3187</v>
      </c>
      <c r="H7" s="27" t="s">
        <v>203</v>
      </c>
      <c r="I7" s="27" t="s">
        <v>203</v>
      </c>
      <c r="J7" s="111" t="s">
        <v>423</v>
      </c>
      <c r="K7" s="114" t="s">
        <v>113</v>
      </c>
      <c r="L7" s="114" t="s">
        <v>1889</v>
      </c>
      <c r="M7" s="111" t="s">
        <v>423</v>
      </c>
      <c r="N7" s="114"/>
      <c r="O7" s="111"/>
    </row>
    <row r="8" spans="1:15" ht="12.75" customHeight="1">
      <c r="A8" s="698" t="s">
        <v>7301</v>
      </c>
      <c r="B8" s="699" t="s">
        <v>7316</v>
      </c>
      <c r="C8" s="28" t="s">
        <v>2745</v>
      </c>
      <c r="D8" s="114" t="s">
        <v>7317</v>
      </c>
      <c r="E8" s="27" t="s">
        <v>180</v>
      </c>
      <c r="F8" s="114" t="s">
        <v>7315</v>
      </c>
      <c r="G8" s="111" t="s">
        <v>2745</v>
      </c>
      <c r="H8" s="27" t="s">
        <v>203</v>
      </c>
      <c r="I8" s="27" t="s">
        <v>203</v>
      </c>
      <c r="J8" s="111" t="s">
        <v>423</v>
      </c>
      <c r="K8" s="114" t="s">
        <v>113</v>
      </c>
      <c r="L8" s="114" t="s">
        <v>1889</v>
      </c>
      <c r="M8" s="111" t="s">
        <v>423</v>
      </c>
      <c r="N8" s="114"/>
      <c r="O8" s="111"/>
    </row>
    <row r="9" spans="1:15" ht="12.75" customHeight="1">
      <c r="A9" s="698" t="s">
        <v>7318</v>
      </c>
      <c r="B9" s="699" t="s">
        <v>7319</v>
      </c>
      <c r="C9" s="114" t="s">
        <v>3202</v>
      </c>
      <c r="D9" s="114" t="s">
        <v>3203</v>
      </c>
      <c r="E9" s="27" t="s">
        <v>203</v>
      </c>
      <c r="F9" s="114" t="s">
        <v>7320</v>
      </c>
      <c r="G9" s="27"/>
      <c r="H9" s="27" t="s">
        <v>203</v>
      </c>
      <c r="I9" s="27" t="s">
        <v>203</v>
      </c>
      <c r="J9" s="114" t="s">
        <v>7321</v>
      </c>
      <c r="K9" s="111" t="s">
        <v>208</v>
      </c>
      <c r="L9" s="111" t="s">
        <v>3098</v>
      </c>
      <c r="M9" s="111" t="s">
        <v>423</v>
      </c>
      <c r="N9" s="111"/>
      <c r="O9" s="111"/>
    </row>
    <row r="10" spans="1:15" ht="12.75" customHeight="1">
      <c r="A10" s="698" t="s">
        <v>7318</v>
      </c>
      <c r="B10" s="699" t="s">
        <v>7322</v>
      </c>
      <c r="C10" s="114" t="s">
        <v>3209</v>
      </c>
      <c r="D10" s="114" t="s">
        <v>3212</v>
      </c>
      <c r="E10" s="27" t="s">
        <v>203</v>
      </c>
      <c r="F10" s="114" t="s">
        <v>140</v>
      </c>
      <c r="G10" s="27"/>
      <c r="H10" s="27" t="s">
        <v>203</v>
      </c>
      <c r="I10" s="27" t="s">
        <v>203</v>
      </c>
      <c r="J10" s="111" t="s">
        <v>7323</v>
      </c>
      <c r="K10" s="27" t="s">
        <v>113</v>
      </c>
      <c r="L10" s="27" t="s">
        <v>3178</v>
      </c>
      <c r="M10" s="111" t="s">
        <v>423</v>
      </c>
      <c r="N10" s="27" t="s">
        <v>7324</v>
      </c>
      <c r="O10" s="111" t="s">
        <v>7325</v>
      </c>
    </row>
    <row r="11" spans="1:15" ht="12.75" customHeight="1">
      <c r="A11" s="698" t="s">
        <v>7318</v>
      </c>
      <c r="B11" s="699" t="s">
        <v>7326</v>
      </c>
      <c r="C11" s="28" t="s">
        <v>3220</v>
      </c>
      <c r="D11" s="114" t="s">
        <v>7327</v>
      </c>
      <c r="E11" s="27" t="s">
        <v>203</v>
      </c>
      <c r="F11" s="114" t="s">
        <v>3169</v>
      </c>
      <c r="G11" s="111" t="s">
        <v>3170</v>
      </c>
      <c r="H11" s="27" t="s">
        <v>203</v>
      </c>
      <c r="I11" s="27" t="s">
        <v>203</v>
      </c>
      <c r="J11" s="111" t="s">
        <v>7323</v>
      </c>
      <c r="K11" s="27" t="s">
        <v>113</v>
      </c>
      <c r="L11" s="27" t="s">
        <v>3178</v>
      </c>
      <c r="M11" s="111" t="s">
        <v>7328</v>
      </c>
      <c r="N11" s="111"/>
      <c r="O11" s="28"/>
    </row>
    <row r="12" spans="1:15" ht="12.75" customHeight="1">
      <c r="A12" s="698" t="s">
        <v>7318</v>
      </c>
      <c r="B12" s="699" t="s">
        <v>7329</v>
      </c>
      <c r="C12" s="114" t="s">
        <v>3226</v>
      </c>
      <c r="D12" s="114" t="s">
        <v>7330</v>
      </c>
      <c r="E12" s="27" t="s">
        <v>203</v>
      </c>
      <c r="F12" s="114" t="s">
        <v>3456</v>
      </c>
      <c r="G12" s="27"/>
      <c r="H12" s="111" t="s">
        <v>7331</v>
      </c>
      <c r="I12" s="27" t="s">
        <v>203</v>
      </c>
      <c r="J12" s="111" t="s">
        <v>7332</v>
      </c>
      <c r="K12" s="27" t="s">
        <v>113</v>
      </c>
      <c r="L12" s="27" t="s">
        <v>3178</v>
      </c>
      <c r="M12" s="111" t="s">
        <v>7333</v>
      </c>
      <c r="N12" s="111"/>
      <c r="O12" s="28"/>
    </row>
    <row r="13" spans="1:15" ht="12.75" customHeight="1">
      <c r="A13" s="698" t="s">
        <v>7318</v>
      </c>
      <c r="B13" s="699" t="s">
        <v>7334</v>
      </c>
      <c r="C13" s="114" t="s">
        <v>7335</v>
      </c>
      <c r="D13" s="114" t="s">
        <v>7336</v>
      </c>
      <c r="E13" s="27" t="s">
        <v>203</v>
      </c>
      <c r="F13" s="114" t="s">
        <v>3456</v>
      </c>
      <c r="G13" s="27"/>
      <c r="H13" s="111" t="s">
        <v>7331</v>
      </c>
      <c r="I13" s="111" t="s">
        <v>7337</v>
      </c>
      <c r="J13" s="111" t="s">
        <v>423</v>
      </c>
      <c r="K13" s="27" t="s">
        <v>208</v>
      </c>
      <c r="L13" s="27" t="s">
        <v>3178</v>
      </c>
      <c r="M13" s="111" t="s">
        <v>7338</v>
      </c>
      <c r="N13" s="111"/>
      <c r="O13" s="28"/>
    </row>
    <row r="14" spans="1:15" ht="12.75" customHeight="1">
      <c r="A14" s="698" t="s">
        <v>7318</v>
      </c>
      <c r="B14" s="699" t="s">
        <v>7339</v>
      </c>
      <c r="C14" s="28" t="s">
        <v>3238</v>
      </c>
      <c r="D14" s="111" t="s">
        <v>3242</v>
      </c>
      <c r="E14" s="111" t="s">
        <v>3177</v>
      </c>
      <c r="F14" s="111" t="s">
        <v>3121</v>
      </c>
      <c r="G14" s="27"/>
      <c r="H14" s="27" t="s">
        <v>203</v>
      </c>
      <c r="I14" s="27" t="s">
        <v>203</v>
      </c>
      <c r="J14" s="111" t="s">
        <v>423</v>
      </c>
      <c r="K14" s="111" t="s">
        <v>113</v>
      </c>
      <c r="L14" s="111" t="s">
        <v>3098</v>
      </c>
      <c r="M14" s="111" t="s">
        <v>423</v>
      </c>
      <c r="N14" s="111" t="s">
        <v>7340</v>
      </c>
      <c r="O14" s="111" t="s">
        <v>3246</v>
      </c>
    </row>
    <row r="15" spans="1:15" ht="12.75" customHeight="1">
      <c r="A15" s="698" t="s">
        <v>7318</v>
      </c>
      <c r="B15" s="699" t="s">
        <v>7341</v>
      </c>
      <c r="C15" s="28" t="s">
        <v>3252</v>
      </c>
      <c r="D15" s="111" t="s">
        <v>7342</v>
      </c>
      <c r="E15" s="27" t="s">
        <v>180</v>
      </c>
      <c r="F15" s="111" t="s">
        <v>7315</v>
      </c>
      <c r="G15" s="114" t="s">
        <v>3252</v>
      </c>
      <c r="H15" s="27" t="s">
        <v>203</v>
      </c>
      <c r="I15" s="27" t="s">
        <v>203</v>
      </c>
      <c r="J15" s="111" t="s">
        <v>423</v>
      </c>
      <c r="K15" s="111" t="s">
        <v>113</v>
      </c>
      <c r="L15" s="111" t="s">
        <v>3098</v>
      </c>
      <c r="M15" s="111" t="s">
        <v>423</v>
      </c>
      <c r="N15" s="111"/>
      <c r="O15" s="111"/>
    </row>
    <row r="16" spans="1:15" ht="12.75" customHeight="1">
      <c r="A16" s="698" t="s">
        <v>7318</v>
      </c>
      <c r="B16" s="699" t="s">
        <v>7343</v>
      </c>
      <c r="C16" s="28" t="s">
        <v>3258</v>
      </c>
      <c r="D16" s="111" t="s">
        <v>7344</v>
      </c>
      <c r="E16" s="27" t="s">
        <v>180</v>
      </c>
      <c r="F16" s="111" t="s">
        <v>7315</v>
      </c>
      <c r="G16" s="114" t="s">
        <v>3258</v>
      </c>
      <c r="H16" s="27" t="s">
        <v>203</v>
      </c>
      <c r="I16" s="27" t="s">
        <v>203</v>
      </c>
      <c r="J16" s="111" t="s">
        <v>423</v>
      </c>
      <c r="K16" s="111" t="s">
        <v>113</v>
      </c>
      <c r="L16" s="111" t="s">
        <v>3098</v>
      </c>
      <c r="M16" s="111" t="s">
        <v>423</v>
      </c>
      <c r="N16" s="111"/>
      <c r="O16" s="111"/>
    </row>
    <row r="17" spans="1:15" ht="12.75" customHeight="1">
      <c r="A17" s="698" t="s">
        <v>7318</v>
      </c>
      <c r="B17" s="699" t="s">
        <v>7346</v>
      </c>
      <c r="C17" s="28" t="s">
        <v>1387</v>
      </c>
      <c r="D17" s="28" t="s">
        <v>7347</v>
      </c>
      <c r="E17" s="27" t="s">
        <v>180</v>
      </c>
      <c r="F17" s="28" t="s">
        <v>7315</v>
      </c>
      <c r="G17" s="114" t="s">
        <v>1387</v>
      </c>
      <c r="H17" s="27" t="s">
        <v>203</v>
      </c>
      <c r="I17" s="27" t="s">
        <v>203</v>
      </c>
      <c r="J17" s="111" t="s">
        <v>423</v>
      </c>
      <c r="K17" s="111" t="s">
        <v>113</v>
      </c>
      <c r="L17" s="111" t="s">
        <v>3098</v>
      </c>
      <c r="M17" s="111" t="s">
        <v>423</v>
      </c>
      <c r="N17" s="111"/>
      <c r="O17" s="111" t="s">
        <v>3262</v>
      </c>
    </row>
    <row r="18" spans="1:15" ht="12.75" customHeight="1">
      <c r="A18" s="698" t="s">
        <v>7318</v>
      </c>
      <c r="B18" s="699" t="s">
        <v>7350</v>
      </c>
      <c r="C18" s="111" t="s">
        <v>3264</v>
      </c>
      <c r="D18" s="111" t="s">
        <v>3267</v>
      </c>
      <c r="E18" s="111" t="s">
        <v>3177</v>
      </c>
      <c r="F18" s="111" t="s">
        <v>3121</v>
      </c>
      <c r="G18" s="111"/>
      <c r="H18" s="27" t="s">
        <v>203</v>
      </c>
      <c r="I18" s="27" t="s">
        <v>203</v>
      </c>
      <c r="J18" s="111" t="s">
        <v>423</v>
      </c>
      <c r="K18" s="111" t="s">
        <v>113</v>
      </c>
      <c r="L18" s="111" t="s">
        <v>1889</v>
      </c>
      <c r="M18" s="111" t="s">
        <v>423</v>
      </c>
      <c r="N18" s="111"/>
      <c r="O18" s="111" t="s">
        <v>3268</v>
      </c>
    </row>
    <row r="19" spans="1:15" ht="12.75" customHeight="1">
      <c r="A19" s="698" t="s">
        <v>7318</v>
      </c>
      <c r="B19" s="699" t="s">
        <v>7354</v>
      </c>
      <c r="C19" s="27" t="s">
        <v>3272</v>
      </c>
      <c r="D19" s="111" t="s">
        <v>7355</v>
      </c>
      <c r="E19" s="27" t="s">
        <v>180</v>
      </c>
      <c r="F19" s="111" t="s">
        <v>7315</v>
      </c>
      <c r="G19" s="114" t="s">
        <v>3272</v>
      </c>
      <c r="H19" s="27" t="s">
        <v>203</v>
      </c>
      <c r="I19" s="27" t="s">
        <v>203</v>
      </c>
      <c r="J19" s="111" t="s">
        <v>423</v>
      </c>
      <c r="K19" s="111" t="s">
        <v>113</v>
      </c>
      <c r="L19" s="111" t="s">
        <v>1889</v>
      </c>
      <c r="M19" s="111" t="s">
        <v>423</v>
      </c>
      <c r="N19" s="111"/>
      <c r="O19" s="111"/>
    </row>
    <row r="20" spans="1:15" ht="12.75" customHeight="1">
      <c r="A20" s="698" t="s">
        <v>7318</v>
      </c>
      <c r="B20" s="699" t="s">
        <v>7356</v>
      </c>
      <c r="C20" s="27" t="s">
        <v>7357</v>
      </c>
      <c r="D20" s="111" t="s">
        <v>7358</v>
      </c>
      <c r="E20" s="27" t="s">
        <v>180</v>
      </c>
      <c r="F20" s="111" t="s">
        <v>7315</v>
      </c>
      <c r="G20" s="114" t="s">
        <v>3272</v>
      </c>
      <c r="H20" s="27" t="s">
        <v>203</v>
      </c>
      <c r="I20" s="27" t="s">
        <v>203</v>
      </c>
      <c r="J20" s="111" t="s">
        <v>423</v>
      </c>
      <c r="K20" s="111" t="s">
        <v>113</v>
      </c>
      <c r="L20" s="111" t="s">
        <v>1889</v>
      </c>
      <c r="M20" s="111" t="s">
        <v>423</v>
      </c>
      <c r="N20" s="111"/>
      <c r="O20" s="111"/>
    </row>
    <row r="21" spans="1:15" ht="12.75" customHeight="1">
      <c r="A21" s="698" t="s">
        <v>7318</v>
      </c>
      <c r="B21" s="699" t="s">
        <v>7362</v>
      </c>
      <c r="C21" s="27" t="s">
        <v>3279</v>
      </c>
      <c r="D21" s="111" t="s">
        <v>3278</v>
      </c>
      <c r="E21" s="27" t="s">
        <v>180</v>
      </c>
      <c r="F21" s="111" t="s">
        <v>7315</v>
      </c>
      <c r="G21" s="114" t="s">
        <v>3279</v>
      </c>
      <c r="H21" s="27" t="s">
        <v>203</v>
      </c>
      <c r="I21" s="27" t="s">
        <v>203</v>
      </c>
      <c r="J21" s="111" t="s">
        <v>423</v>
      </c>
      <c r="K21" s="111" t="s">
        <v>113</v>
      </c>
      <c r="L21" s="111" t="s">
        <v>1889</v>
      </c>
      <c r="M21" s="111" t="s">
        <v>423</v>
      </c>
      <c r="N21" s="111"/>
      <c r="O21" s="111"/>
    </row>
    <row r="22" spans="1:15" ht="12.75" customHeight="1">
      <c r="A22" s="698" t="s">
        <v>7318</v>
      </c>
      <c r="B22" s="699" t="s">
        <v>7363</v>
      </c>
      <c r="C22" s="27" t="s">
        <v>7364</v>
      </c>
      <c r="D22" s="111" t="s">
        <v>7365</v>
      </c>
      <c r="E22" s="27" t="s">
        <v>180</v>
      </c>
      <c r="F22" s="111" t="s">
        <v>7315</v>
      </c>
      <c r="G22" s="27" t="s">
        <v>7364</v>
      </c>
      <c r="H22" s="27" t="s">
        <v>203</v>
      </c>
      <c r="I22" s="27" t="s">
        <v>203</v>
      </c>
      <c r="J22" s="111" t="s">
        <v>423</v>
      </c>
      <c r="K22" s="111" t="s">
        <v>113</v>
      </c>
      <c r="L22" s="111" t="s">
        <v>1889</v>
      </c>
      <c r="M22" s="111" t="s">
        <v>423</v>
      </c>
      <c r="N22" s="130"/>
      <c r="O22" s="130"/>
    </row>
    <row r="23" spans="1:15" ht="12.75" customHeight="1">
      <c r="A23" s="698" t="s">
        <v>7318</v>
      </c>
      <c r="B23" s="699" t="s">
        <v>7366</v>
      </c>
      <c r="C23" s="27" t="s">
        <v>3285</v>
      </c>
      <c r="D23" s="111" t="s">
        <v>7367</v>
      </c>
      <c r="E23" s="27" t="s">
        <v>180</v>
      </c>
      <c r="F23" s="111" t="s">
        <v>7315</v>
      </c>
      <c r="G23" s="114" t="s">
        <v>3285</v>
      </c>
      <c r="H23" s="27" t="s">
        <v>203</v>
      </c>
      <c r="I23" s="27" t="s">
        <v>203</v>
      </c>
      <c r="J23" s="111" t="s">
        <v>423</v>
      </c>
      <c r="K23" s="111" t="s">
        <v>113</v>
      </c>
      <c r="L23" s="111" t="s">
        <v>1889</v>
      </c>
      <c r="M23" s="111" t="s">
        <v>423</v>
      </c>
      <c r="N23" s="111"/>
      <c r="O23" s="111"/>
    </row>
    <row r="24" spans="1:15" ht="12.75" customHeight="1">
      <c r="A24" s="698" t="s">
        <v>7318</v>
      </c>
      <c r="B24" s="699" t="s">
        <v>7369</v>
      </c>
      <c r="C24" s="27" t="s">
        <v>3291</v>
      </c>
      <c r="D24" s="111" t="s">
        <v>7370</v>
      </c>
      <c r="E24" s="27" t="s">
        <v>180</v>
      </c>
      <c r="F24" s="111" t="s">
        <v>7315</v>
      </c>
      <c r="G24" s="114" t="s">
        <v>3291</v>
      </c>
      <c r="H24" s="27" t="s">
        <v>203</v>
      </c>
      <c r="I24" s="27" t="s">
        <v>203</v>
      </c>
      <c r="J24" s="111" t="s">
        <v>423</v>
      </c>
      <c r="K24" s="111" t="s">
        <v>113</v>
      </c>
      <c r="L24" s="111" t="s">
        <v>1889</v>
      </c>
      <c r="M24" s="111" t="s">
        <v>423</v>
      </c>
      <c r="N24" s="111"/>
      <c r="O24" s="111"/>
    </row>
    <row r="25" spans="1:15" ht="12.75" customHeight="1">
      <c r="A25" s="698" t="s">
        <v>7318</v>
      </c>
      <c r="B25" s="699" t="s">
        <v>7374</v>
      </c>
      <c r="C25" s="27" t="s">
        <v>936</v>
      </c>
      <c r="D25" s="111" t="s">
        <v>7375</v>
      </c>
      <c r="E25" s="27" t="s">
        <v>180</v>
      </c>
      <c r="F25" s="111" t="s">
        <v>7315</v>
      </c>
      <c r="G25" s="114" t="s">
        <v>936</v>
      </c>
      <c r="H25" s="27" t="s">
        <v>203</v>
      </c>
      <c r="I25" s="27" t="s">
        <v>203</v>
      </c>
      <c r="J25" s="111" t="s">
        <v>423</v>
      </c>
      <c r="K25" s="111" t="s">
        <v>113</v>
      </c>
      <c r="L25" s="111" t="s">
        <v>1889</v>
      </c>
      <c r="M25" s="111" t="s">
        <v>423</v>
      </c>
      <c r="N25" s="111"/>
      <c r="O25" s="111"/>
    </row>
    <row r="26" spans="1:15" ht="12.75" customHeight="1">
      <c r="A26" s="698" t="s">
        <v>7318</v>
      </c>
      <c r="B26" s="699" t="s">
        <v>7376</v>
      </c>
      <c r="C26" s="27" t="s">
        <v>7377</v>
      </c>
      <c r="D26" s="111" t="s">
        <v>7378</v>
      </c>
      <c r="E26" s="27" t="s">
        <v>180</v>
      </c>
      <c r="F26" s="111" t="s">
        <v>7315</v>
      </c>
      <c r="G26" s="114" t="s">
        <v>936</v>
      </c>
      <c r="H26" s="27" t="s">
        <v>203</v>
      </c>
      <c r="I26" s="27" t="s">
        <v>203</v>
      </c>
      <c r="J26" s="111" t="s">
        <v>423</v>
      </c>
      <c r="K26" s="111" t="s">
        <v>113</v>
      </c>
      <c r="L26" s="111" t="s">
        <v>1889</v>
      </c>
      <c r="M26" s="111" t="s">
        <v>423</v>
      </c>
      <c r="N26" s="130"/>
      <c r="O26" s="130"/>
    </row>
    <row r="27" spans="1:15" ht="12.75" customHeight="1">
      <c r="A27" s="698" t="s">
        <v>7318</v>
      </c>
      <c r="B27" s="699" t="s">
        <v>7380</v>
      </c>
      <c r="C27" s="27" t="s">
        <v>7381</v>
      </c>
      <c r="D27" s="111" t="s">
        <v>7382</v>
      </c>
      <c r="E27" s="27" t="s">
        <v>180</v>
      </c>
      <c r="F27" s="111" t="s">
        <v>7315</v>
      </c>
      <c r="G27" s="114" t="s">
        <v>936</v>
      </c>
      <c r="H27" s="27" t="s">
        <v>203</v>
      </c>
      <c r="I27" s="27" t="s">
        <v>203</v>
      </c>
      <c r="J27" s="111" t="s">
        <v>423</v>
      </c>
      <c r="K27" s="111" t="s">
        <v>113</v>
      </c>
      <c r="L27" s="111" t="s">
        <v>1889</v>
      </c>
      <c r="M27" s="111" t="s">
        <v>423</v>
      </c>
      <c r="N27" s="130"/>
      <c r="O27" s="130"/>
    </row>
    <row r="28" spans="1:15" ht="12.75" customHeight="1">
      <c r="A28" s="698" t="s">
        <v>7318</v>
      </c>
      <c r="B28" s="699" t="s">
        <v>7384</v>
      </c>
      <c r="C28" s="27" t="s">
        <v>7385</v>
      </c>
      <c r="D28" s="111" t="s">
        <v>7386</v>
      </c>
      <c r="E28" s="27" t="s">
        <v>180</v>
      </c>
      <c r="F28" s="111" t="s">
        <v>7315</v>
      </c>
      <c r="G28" s="114" t="s">
        <v>936</v>
      </c>
      <c r="H28" s="27" t="s">
        <v>203</v>
      </c>
      <c r="I28" s="27" t="s">
        <v>203</v>
      </c>
      <c r="J28" s="111" t="s">
        <v>423</v>
      </c>
      <c r="K28" s="111" t="s">
        <v>113</v>
      </c>
      <c r="L28" s="111" t="s">
        <v>1889</v>
      </c>
      <c r="M28" s="111" t="s">
        <v>423</v>
      </c>
      <c r="N28" s="130"/>
      <c r="O28" s="130"/>
    </row>
    <row r="29" spans="1:15" ht="12.75" customHeight="1">
      <c r="A29" s="698" t="s">
        <v>7318</v>
      </c>
      <c r="B29" s="699" t="s">
        <v>7387</v>
      </c>
      <c r="C29" s="27" t="s">
        <v>7388</v>
      </c>
      <c r="D29" s="111" t="s">
        <v>7389</v>
      </c>
      <c r="E29" s="27" t="s">
        <v>180</v>
      </c>
      <c r="F29" s="111" t="s">
        <v>7315</v>
      </c>
      <c r="G29" s="114" t="s">
        <v>936</v>
      </c>
      <c r="H29" s="27" t="s">
        <v>203</v>
      </c>
      <c r="I29" s="27" t="s">
        <v>203</v>
      </c>
      <c r="J29" s="111" t="s">
        <v>423</v>
      </c>
      <c r="K29" s="111" t="s">
        <v>113</v>
      </c>
      <c r="L29" s="111" t="s">
        <v>1889</v>
      </c>
      <c r="M29" s="111" t="s">
        <v>423</v>
      </c>
      <c r="N29" s="130"/>
      <c r="O29" s="130"/>
    </row>
    <row r="30" spans="1:15" ht="12.75" customHeight="1">
      <c r="A30" s="698" t="s">
        <v>7318</v>
      </c>
      <c r="B30" s="699" t="s">
        <v>7390</v>
      </c>
      <c r="C30" s="111" t="s">
        <v>7391</v>
      </c>
      <c r="D30" s="111" t="s">
        <v>7392</v>
      </c>
      <c r="E30" s="27" t="s">
        <v>203</v>
      </c>
      <c r="F30" s="111" t="s">
        <v>6879</v>
      </c>
      <c r="G30" s="111"/>
      <c r="H30" s="27" t="s">
        <v>203</v>
      </c>
      <c r="I30" s="27" t="s">
        <v>203</v>
      </c>
      <c r="J30" s="111" t="s">
        <v>7393</v>
      </c>
      <c r="K30" s="111" t="s">
        <v>113</v>
      </c>
      <c r="L30" s="111" t="s">
        <v>3098</v>
      </c>
      <c r="M30" s="111" t="s">
        <v>423</v>
      </c>
      <c r="N30" s="111"/>
      <c r="O30" s="111"/>
    </row>
    <row r="31" spans="1:15" ht="12.75" customHeight="1">
      <c r="A31" s="698" t="s">
        <v>7318</v>
      </c>
      <c r="B31" s="699" t="s">
        <v>7394</v>
      </c>
      <c r="C31" s="111" t="s">
        <v>6431</v>
      </c>
      <c r="D31" s="111" t="s">
        <v>7396</v>
      </c>
      <c r="E31" s="27" t="s">
        <v>203</v>
      </c>
      <c r="F31" s="111" t="s">
        <v>3456</v>
      </c>
      <c r="G31" s="111"/>
      <c r="H31" s="111" t="s">
        <v>7397</v>
      </c>
      <c r="I31" s="27" t="s">
        <v>203</v>
      </c>
      <c r="J31" s="111" t="s">
        <v>7398</v>
      </c>
      <c r="K31" s="111" t="s">
        <v>113</v>
      </c>
      <c r="L31" s="111" t="s">
        <v>3098</v>
      </c>
      <c r="M31" s="111" t="s">
        <v>423</v>
      </c>
      <c r="N31" s="111"/>
      <c r="O31" s="111"/>
    </row>
    <row r="32" spans="1:15" ht="12.75" customHeight="1">
      <c r="A32" s="698" t="s">
        <v>7318</v>
      </c>
      <c r="B32" s="699" t="s">
        <v>7399</v>
      </c>
      <c r="C32" s="111" t="s">
        <v>3300</v>
      </c>
      <c r="D32" s="111" t="s">
        <v>7400</v>
      </c>
      <c r="E32" s="27" t="s">
        <v>3177</v>
      </c>
      <c r="F32" s="111" t="s">
        <v>3121</v>
      </c>
      <c r="G32" s="111" t="s">
        <v>7401</v>
      </c>
      <c r="H32" s="27" t="s">
        <v>203</v>
      </c>
      <c r="I32" s="27" t="s">
        <v>203</v>
      </c>
      <c r="J32" s="111" t="s">
        <v>423</v>
      </c>
      <c r="K32" s="111" t="s">
        <v>113</v>
      </c>
      <c r="L32" s="111" t="s">
        <v>3098</v>
      </c>
      <c r="M32" s="111" t="s">
        <v>423</v>
      </c>
      <c r="N32" s="111"/>
      <c r="O32" s="111"/>
    </row>
    <row r="33" spans="1:15" ht="12.75" customHeight="1">
      <c r="A33" s="698" t="s">
        <v>7318</v>
      </c>
      <c r="B33" s="699" t="s">
        <v>7402</v>
      </c>
      <c r="C33" s="111" t="s">
        <v>3308</v>
      </c>
      <c r="D33" s="111" t="s">
        <v>3311</v>
      </c>
      <c r="E33" s="27" t="s">
        <v>203</v>
      </c>
      <c r="F33" s="111" t="s">
        <v>3169</v>
      </c>
      <c r="G33" s="111" t="s">
        <v>3170</v>
      </c>
      <c r="H33" s="111" t="s">
        <v>203</v>
      </c>
      <c r="I33" s="27" t="s">
        <v>203</v>
      </c>
      <c r="J33" s="111" t="s">
        <v>423</v>
      </c>
      <c r="K33" s="111" t="s">
        <v>113</v>
      </c>
      <c r="L33" s="111" t="s">
        <v>1889</v>
      </c>
      <c r="M33" s="111" t="s">
        <v>423</v>
      </c>
      <c r="N33" s="130"/>
      <c r="O33" s="111"/>
    </row>
    <row r="34" spans="1:15" ht="12.75" customHeight="1">
      <c r="A34" s="698" t="s">
        <v>7318</v>
      </c>
      <c r="B34" s="699" t="s">
        <v>7405</v>
      </c>
      <c r="C34" s="111" t="s">
        <v>3315</v>
      </c>
      <c r="D34" s="111" t="s">
        <v>3318</v>
      </c>
      <c r="E34" s="27" t="s">
        <v>203</v>
      </c>
      <c r="F34" s="111" t="s">
        <v>3169</v>
      </c>
      <c r="G34" s="111" t="s">
        <v>3170</v>
      </c>
      <c r="H34" s="111" t="s">
        <v>203</v>
      </c>
      <c r="I34" s="27" t="s">
        <v>203</v>
      </c>
      <c r="J34" s="111" t="s">
        <v>423</v>
      </c>
      <c r="K34" s="111" t="s">
        <v>113</v>
      </c>
      <c r="L34" s="111" t="s">
        <v>1889</v>
      </c>
      <c r="M34" s="111" t="s">
        <v>3319</v>
      </c>
      <c r="N34" s="111"/>
      <c r="O34" s="111"/>
    </row>
    <row r="35" spans="1:15" ht="12.75" customHeight="1">
      <c r="A35" s="698" t="s">
        <v>7318</v>
      </c>
      <c r="B35" s="699" t="s">
        <v>7406</v>
      </c>
      <c r="C35" s="111" t="s">
        <v>7407</v>
      </c>
      <c r="D35" s="111" t="s">
        <v>3325</v>
      </c>
      <c r="E35" s="111" t="s">
        <v>3326</v>
      </c>
      <c r="F35" s="111" t="s">
        <v>3121</v>
      </c>
      <c r="G35" s="111"/>
      <c r="H35" s="111" t="s">
        <v>203</v>
      </c>
      <c r="I35" s="27" t="s">
        <v>203</v>
      </c>
      <c r="J35" s="111" t="s">
        <v>423</v>
      </c>
      <c r="K35" s="111" t="s">
        <v>113</v>
      </c>
      <c r="L35" s="111" t="s">
        <v>1889</v>
      </c>
      <c r="M35" s="111" t="s">
        <v>3319</v>
      </c>
      <c r="N35" s="111"/>
      <c r="O35" s="111"/>
    </row>
    <row r="36" spans="1:15" ht="12.75" customHeight="1">
      <c r="A36" s="698" t="s">
        <v>7318</v>
      </c>
      <c r="B36" s="699" t="s">
        <v>7409</v>
      </c>
      <c r="C36" s="28" t="s">
        <v>7410</v>
      </c>
      <c r="D36" s="111" t="s">
        <v>7411</v>
      </c>
      <c r="E36" s="111" t="s">
        <v>180</v>
      </c>
      <c r="F36" s="111" t="s">
        <v>7315</v>
      </c>
      <c r="G36" s="111" t="s">
        <v>7410</v>
      </c>
      <c r="H36" s="111" t="s">
        <v>203</v>
      </c>
      <c r="I36" s="27" t="s">
        <v>203</v>
      </c>
      <c r="J36" s="111" t="s">
        <v>423</v>
      </c>
      <c r="K36" s="111" t="s">
        <v>113</v>
      </c>
      <c r="L36" s="111" t="s">
        <v>1889</v>
      </c>
      <c r="M36" s="111" t="s">
        <v>423</v>
      </c>
      <c r="N36" s="111"/>
      <c r="O36" s="111"/>
    </row>
    <row r="37" spans="1:15" ht="12.75" customHeight="1">
      <c r="A37" s="698" t="s">
        <v>7318</v>
      </c>
      <c r="B37" s="699" t="s">
        <v>7412</v>
      </c>
      <c r="C37" s="28" t="s">
        <v>7413</v>
      </c>
      <c r="D37" s="111" t="s">
        <v>7414</v>
      </c>
      <c r="E37" s="111" t="s">
        <v>180</v>
      </c>
      <c r="F37" s="111" t="s">
        <v>7315</v>
      </c>
      <c r="G37" s="111" t="s">
        <v>7413</v>
      </c>
      <c r="H37" s="111" t="s">
        <v>203</v>
      </c>
      <c r="I37" s="27" t="s">
        <v>203</v>
      </c>
      <c r="J37" s="111" t="s">
        <v>423</v>
      </c>
      <c r="K37" s="111" t="s">
        <v>113</v>
      </c>
      <c r="L37" s="111" t="s">
        <v>1889</v>
      </c>
      <c r="M37" s="111" t="s">
        <v>423</v>
      </c>
      <c r="N37" s="111"/>
      <c r="O37" s="111"/>
    </row>
    <row r="38" spans="1:15" ht="12.75" customHeight="1">
      <c r="A38" s="698" t="s">
        <v>7318</v>
      </c>
      <c r="B38" s="699" t="s">
        <v>7415</v>
      </c>
      <c r="C38" s="111" t="s">
        <v>7416</v>
      </c>
      <c r="D38" s="111" t="s">
        <v>7417</v>
      </c>
      <c r="E38" s="27" t="s">
        <v>203</v>
      </c>
      <c r="F38" s="111" t="s">
        <v>6879</v>
      </c>
      <c r="G38" s="111"/>
      <c r="H38" s="111" t="s">
        <v>203</v>
      </c>
      <c r="I38" s="27" t="s">
        <v>203</v>
      </c>
      <c r="J38" s="111" t="s">
        <v>7418</v>
      </c>
      <c r="K38" s="111" t="s">
        <v>113</v>
      </c>
      <c r="L38" s="111" t="s">
        <v>1889</v>
      </c>
      <c r="M38" s="111" t="s">
        <v>423</v>
      </c>
      <c r="N38" s="111"/>
      <c r="O38" s="111" t="s">
        <v>7419</v>
      </c>
    </row>
    <row r="39" spans="1:15" ht="12.75" customHeight="1">
      <c r="A39" s="698" t="s">
        <v>7318</v>
      </c>
      <c r="B39" s="699" t="s">
        <v>7420</v>
      </c>
      <c r="C39" s="111" t="s">
        <v>7421</v>
      </c>
      <c r="D39" s="111" t="s">
        <v>7422</v>
      </c>
      <c r="E39" s="27" t="s">
        <v>203</v>
      </c>
      <c r="F39" s="111" t="s">
        <v>6879</v>
      </c>
      <c r="G39" s="111"/>
      <c r="H39" s="111" t="s">
        <v>203</v>
      </c>
      <c r="I39" s="27" t="s">
        <v>203</v>
      </c>
      <c r="J39" s="111" t="s">
        <v>423</v>
      </c>
      <c r="K39" s="111" t="s">
        <v>113</v>
      </c>
      <c r="L39" s="111" t="s">
        <v>1889</v>
      </c>
      <c r="M39" s="111" t="s">
        <v>423</v>
      </c>
      <c r="N39" s="111"/>
      <c r="O39" s="111" t="s">
        <v>7424</v>
      </c>
    </row>
    <row r="40" spans="1:15" ht="12.75" customHeight="1">
      <c r="A40" s="698" t="s">
        <v>7318</v>
      </c>
      <c r="B40" s="699" t="s">
        <v>7425</v>
      </c>
      <c r="C40" s="111" t="s">
        <v>7426</v>
      </c>
      <c r="D40" s="111" t="s">
        <v>219</v>
      </c>
      <c r="E40" s="27" t="s">
        <v>203</v>
      </c>
      <c r="F40" s="111" t="s">
        <v>168</v>
      </c>
      <c r="G40" s="111"/>
      <c r="H40" s="111" t="s">
        <v>203</v>
      </c>
      <c r="I40" s="27" t="s">
        <v>203</v>
      </c>
      <c r="J40" s="114" t="s">
        <v>7427</v>
      </c>
      <c r="K40" s="111" t="s">
        <v>113</v>
      </c>
      <c r="L40" s="111" t="s">
        <v>1889</v>
      </c>
      <c r="M40" s="111" t="s">
        <v>423</v>
      </c>
      <c r="N40" s="111"/>
      <c r="O40" s="111"/>
    </row>
    <row r="41" spans="1:15" ht="12.75" customHeight="1">
      <c r="A41" s="698" t="s">
        <v>7318</v>
      </c>
      <c r="B41" s="699" t="s">
        <v>7429</v>
      </c>
      <c r="C41" s="111" t="s">
        <v>7431</v>
      </c>
      <c r="D41" s="111" t="s">
        <v>7432</v>
      </c>
      <c r="E41" s="27" t="s">
        <v>203</v>
      </c>
      <c r="F41" s="111" t="s">
        <v>6879</v>
      </c>
      <c r="G41" s="111"/>
      <c r="H41" s="111" t="s">
        <v>203</v>
      </c>
      <c r="I41" s="27" t="s">
        <v>203</v>
      </c>
      <c r="J41" s="111" t="s">
        <v>7393</v>
      </c>
      <c r="K41" s="111" t="s">
        <v>113</v>
      </c>
      <c r="L41" s="111" t="s">
        <v>1889</v>
      </c>
      <c r="M41" s="111" t="s">
        <v>423</v>
      </c>
      <c r="N41" s="111"/>
      <c r="O41" s="111"/>
    </row>
    <row r="42" spans="1:15" ht="12.75" customHeight="1">
      <c r="A42" s="698" t="s">
        <v>7318</v>
      </c>
      <c r="B42" s="699" t="s">
        <v>7433</v>
      </c>
      <c r="C42" s="111" t="s">
        <v>6499</v>
      </c>
      <c r="D42" s="111" t="s">
        <v>7434</v>
      </c>
      <c r="E42" s="27" t="s">
        <v>203</v>
      </c>
      <c r="F42" s="111" t="s">
        <v>6879</v>
      </c>
      <c r="G42" s="111"/>
      <c r="H42" s="111" t="s">
        <v>203</v>
      </c>
      <c r="I42" s="27" t="s">
        <v>203</v>
      </c>
      <c r="J42" s="111" t="s">
        <v>7436</v>
      </c>
      <c r="K42" s="111" t="s">
        <v>113</v>
      </c>
      <c r="L42" s="111" t="s">
        <v>1889</v>
      </c>
      <c r="M42" s="111" t="s">
        <v>423</v>
      </c>
      <c r="N42" s="111"/>
      <c r="O42" s="111"/>
    </row>
    <row r="43" spans="1:15" ht="12.75" customHeight="1">
      <c r="A43" s="698" t="s">
        <v>7318</v>
      </c>
      <c r="B43" s="699" t="s">
        <v>7437</v>
      </c>
      <c r="C43" s="111" t="s">
        <v>6523</v>
      </c>
      <c r="D43" s="111" t="s">
        <v>7438</v>
      </c>
      <c r="E43" s="27" t="s">
        <v>3177</v>
      </c>
      <c r="F43" s="111" t="s">
        <v>3121</v>
      </c>
      <c r="G43" s="130"/>
      <c r="H43" s="111" t="s">
        <v>203</v>
      </c>
      <c r="I43" s="27" t="s">
        <v>203</v>
      </c>
      <c r="J43" s="111" t="s">
        <v>423</v>
      </c>
      <c r="K43" s="111" t="s">
        <v>113</v>
      </c>
      <c r="L43" s="111" t="s">
        <v>1889</v>
      </c>
      <c r="M43" s="111" t="s">
        <v>423</v>
      </c>
      <c r="N43" s="111"/>
      <c r="O43" s="111"/>
    </row>
    <row r="44" spans="1:15" ht="12.75" customHeight="1">
      <c r="A44" s="698" t="s">
        <v>7318</v>
      </c>
      <c r="B44" s="699" t="s">
        <v>7439</v>
      </c>
      <c r="C44" s="28" t="s">
        <v>7440</v>
      </c>
      <c r="D44" s="111" t="s">
        <v>7441</v>
      </c>
      <c r="E44" s="27" t="s">
        <v>180</v>
      </c>
      <c r="F44" s="111" t="s">
        <v>7315</v>
      </c>
      <c r="G44" s="28" t="s">
        <v>7440</v>
      </c>
      <c r="H44" s="111" t="s">
        <v>203</v>
      </c>
      <c r="I44" s="27" t="s">
        <v>203</v>
      </c>
      <c r="J44" s="111" t="s">
        <v>423</v>
      </c>
      <c r="K44" s="111" t="s">
        <v>113</v>
      </c>
      <c r="L44" s="111" t="s">
        <v>1889</v>
      </c>
      <c r="M44" s="111" t="s">
        <v>423</v>
      </c>
      <c r="N44" s="111"/>
      <c r="O44" s="111"/>
    </row>
    <row r="45" spans="1:15" ht="12.75" customHeight="1">
      <c r="A45" s="698" t="s">
        <v>7318</v>
      </c>
      <c r="B45" s="699" t="s">
        <v>7444</v>
      </c>
      <c r="C45" s="28" t="s">
        <v>7445</v>
      </c>
      <c r="D45" s="111" t="s">
        <v>7446</v>
      </c>
      <c r="E45" s="27" t="s">
        <v>180</v>
      </c>
      <c r="F45" s="111" t="s">
        <v>7315</v>
      </c>
      <c r="G45" s="28" t="s">
        <v>7445</v>
      </c>
      <c r="H45" s="111" t="s">
        <v>203</v>
      </c>
      <c r="I45" s="27" t="s">
        <v>203</v>
      </c>
      <c r="J45" s="111" t="s">
        <v>423</v>
      </c>
      <c r="K45" s="111" t="s">
        <v>113</v>
      </c>
      <c r="L45" s="111" t="s">
        <v>1889</v>
      </c>
      <c r="M45" s="111" t="s">
        <v>423</v>
      </c>
      <c r="N45" s="111"/>
      <c r="O45" s="111"/>
    </row>
    <row r="46" spans="1:15" ht="12.75" customHeight="1">
      <c r="A46" s="698" t="s">
        <v>7318</v>
      </c>
      <c r="B46" s="699" t="s">
        <v>7447</v>
      </c>
      <c r="C46" s="28" t="s">
        <v>7448</v>
      </c>
      <c r="D46" s="111" t="s">
        <v>7449</v>
      </c>
      <c r="E46" s="27" t="s">
        <v>180</v>
      </c>
      <c r="F46" s="111" t="s">
        <v>7315</v>
      </c>
      <c r="G46" s="28" t="s">
        <v>7448</v>
      </c>
      <c r="H46" s="111" t="s">
        <v>203</v>
      </c>
      <c r="I46" s="27" t="s">
        <v>203</v>
      </c>
      <c r="J46" s="111" t="s">
        <v>423</v>
      </c>
      <c r="K46" s="111" t="s">
        <v>113</v>
      </c>
      <c r="L46" s="111" t="s">
        <v>1889</v>
      </c>
      <c r="M46" s="111" t="s">
        <v>423</v>
      </c>
      <c r="N46" s="111"/>
      <c r="O46" s="111"/>
    </row>
    <row r="47" spans="1:15" ht="12.75" customHeight="1">
      <c r="A47" s="698" t="s">
        <v>7318</v>
      </c>
      <c r="B47" s="699" t="s">
        <v>7450</v>
      </c>
      <c r="C47" s="28" t="s">
        <v>6557</v>
      </c>
      <c r="D47" s="111" t="s">
        <v>7451</v>
      </c>
      <c r="E47" s="27" t="s">
        <v>180</v>
      </c>
      <c r="F47" s="111" t="s">
        <v>7315</v>
      </c>
      <c r="G47" s="28" t="s">
        <v>6557</v>
      </c>
      <c r="H47" s="111" t="s">
        <v>203</v>
      </c>
      <c r="I47" s="27" t="s">
        <v>203</v>
      </c>
      <c r="J47" s="111" t="s">
        <v>423</v>
      </c>
      <c r="K47" s="111" t="s">
        <v>113</v>
      </c>
      <c r="L47" s="111" t="s">
        <v>1889</v>
      </c>
      <c r="M47" s="111" t="s">
        <v>423</v>
      </c>
      <c r="N47" s="111"/>
      <c r="O47" s="111"/>
    </row>
    <row r="48" spans="1:15" ht="12.75" customHeight="1">
      <c r="A48" s="698" t="s">
        <v>7318</v>
      </c>
      <c r="B48" s="699" t="s">
        <v>7452</v>
      </c>
      <c r="C48" s="111" t="s">
        <v>516</v>
      </c>
      <c r="D48" s="111" t="s">
        <v>7453</v>
      </c>
      <c r="E48" s="27" t="s">
        <v>3177</v>
      </c>
      <c r="F48" s="111" t="s">
        <v>3121</v>
      </c>
      <c r="G48" s="130"/>
      <c r="H48" s="111" t="s">
        <v>203</v>
      </c>
      <c r="I48" s="27" t="s">
        <v>203</v>
      </c>
      <c r="J48" s="111" t="s">
        <v>423</v>
      </c>
      <c r="K48" s="111" t="s">
        <v>113</v>
      </c>
      <c r="L48" s="111" t="s">
        <v>1889</v>
      </c>
      <c r="M48" s="111" t="s">
        <v>423</v>
      </c>
      <c r="N48" s="111"/>
      <c r="O48" s="111"/>
    </row>
    <row r="49" spans="1:15" ht="12.75" customHeight="1">
      <c r="A49" s="698" t="s">
        <v>7318</v>
      </c>
      <c r="B49" s="699" t="s">
        <v>7454</v>
      </c>
      <c r="C49" s="28" t="s">
        <v>522</v>
      </c>
      <c r="D49" s="111" t="s">
        <v>7455</v>
      </c>
      <c r="E49" s="27" t="s">
        <v>180</v>
      </c>
      <c r="F49" s="111" t="s">
        <v>7315</v>
      </c>
      <c r="G49" s="28" t="s">
        <v>522</v>
      </c>
      <c r="H49" s="111" t="s">
        <v>203</v>
      </c>
      <c r="I49" s="27" t="s">
        <v>203</v>
      </c>
      <c r="J49" s="111" t="s">
        <v>423</v>
      </c>
      <c r="K49" s="111" t="s">
        <v>113</v>
      </c>
      <c r="L49" s="111" t="s">
        <v>1889</v>
      </c>
      <c r="M49" s="111" t="s">
        <v>423</v>
      </c>
      <c r="N49" s="111"/>
      <c r="O49" s="111"/>
    </row>
    <row r="50" spans="1:15" ht="12.75" customHeight="1">
      <c r="A50" s="698" t="s">
        <v>7318</v>
      </c>
      <c r="B50" s="699" t="s">
        <v>7456</v>
      </c>
      <c r="C50" s="28" t="s">
        <v>526</v>
      </c>
      <c r="D50" s="111" t="s">
        <v>7457</v>
      </c>
      <c r="E50" s="27" t="s">
        <v>180</v>
      </c>
      <c r="F50" s="111" t="s">
        <v>7315</v>
      </c>
      <c r="G50" s="28" t="s">
        <v>526</v>
      </c>
      <c r="H50" s="111" t="s">
        <v>203</v>
      </c>
      <c r="I50" s="27" t="s">
        <v>203</v>
      </c>
      <c r="J50" s="111" t="s">
        <v>423</v>
      </c>
      <c r="K50" s="111" t="s">
        <v>113</v>
      </c>
      <c r="L50" s="111" t="s">
        <v>1889</v>
      </c>
      <c r="M50" s="111" t="s">
        <v>423</v>
      </c>
      <c r="N50" s="111"/>
      <c r="O50" s="111"/>
    </row>
    <row r="51" spans="1:15" ht="12.75" customHeight="1">
      <c r="A51" s="698" t="s">
        <v>7318</v>
      </c>
      <c r="B51" s="699" t="s">
        <v>7460</v>
      </c>
      <c r="C51" s="28" t="s">
        <v>530</v>
      </c>
      <c r="D51" s="111" t="s">
        <v>7461</v>
      </c>
      <c r="E51" s="27" t="s">
        <v>180</v>
      </c>
      <c r="F51" s="111" t="s">
        <v>7315</v>
      </c>
      <c r="G51" s="28" t="s">
        <v>530</v>
      </c>
      <c r="H51" s="111" t="s">
        <v>203</v>
      </c>
      <c r="I51" s="27" t="s">
        <v>203</v>
      </c>
      <c r="J51" s="111" t="s">
        <v>423</v>
      </c>
      <c r="K51" s="111" t="s">
        <v>113</v>
      </c>
      <c r="L51" s="111" t="s">
        <v>1889</v>
      </c>
      <c r="M51" s="111" t="s">
        <v>423</v>
      </c>
      <c r="N51" s="111"/>
      <c r="O51" s="111"/>
    </row>
    <row r="52" spans="1:15" ht="12.75" customHeight="1">
      <c r="A52" s="698" t="s">
        <v>7318</v>
      </c>
      <c r="B52" s="699" t="s">
        <v>7462</v>
      </c>
      <c r="C52" s="28" t="s">
        <v>7463</v>
      </c>
      <c r="D52" s="111" t="s">
        <v>7464</v>
      </c>
      <c r="E52" s="27" t="s">
        <v>180</v>
      </c>
      <c r="F52" s="111" t="s">
        <v>7315</v>
      </c>
      <c r="G52" s="28" t="s">
        <v>534</v>
      </c>
      <c r="H52" s="111" t="s">
        <v>203</v>
      </c>
      <c r="I52" s="27" t="s">
        <v>203</v>
      </c>
      <c r="J52" s="111" t="s">
        <v>423</v>
      </c>
      <c r="K52" s="111" t="s">
        <v>113</v>
      </c>
      <c r="L52" s="111" t="s">
        <v>1889</v>
      </c>
      <c r="M52" s="111" t="s">
        <v>423</v>
      </c>
      <c r="N52" s="111"/>
      <c r="O52" s="111"/>
    </row>
    <row r="53" spans="1:15" ht="12.75" customHeight="1">
      <c r="A53" s="698" t="s">
        <v>7318</v>
      </c>
      <c r="B53" s="699" t="s">
        <v>7465</v>
      </c>
      <c r="C53" s="28" t="s">
        <v>405</v>
      </c>
      <c r="D53" s="111" t="s">
        <v>7467</v>
      </c>
      <c r="E53" s="27" t="s">
        <v>180</v>
      </c>
      <c r="F53" s="111" t="s">
        <v>6879</v>
      </c>
      <c r="G53" s="28" t="s">
        <v>405</v>
      </c>
      <c r="H53" s="111" t="s">
        <v>203</v>
      </c>
      <c r="I53" s="27" t="s">
        <v>203</v>
      </c>
      <c r="J53" s="111" t="s">
        <v>423</v>
      </c>
      <c r="K53" s="111" t="s">
        <v>113</v>
      </c>
      <c r="L53" s="111" t="s">
        <v>1889</v>
      </c>
      <c r="M53" s="111" t="s">
        <v>423</v>
      </c>
      <c r="N53" s="111"/>
      <c r="O53" s="111"/>
    </row>
    <row r="54" spans="1:15" ht="12.75" customHeight="1">
      <c r="A54" s="698" t="s">
        <v>7318</v>
      </c>
      <c r="B54" s="699" t="s">
        <v>7468</v>
      </c>
      <c r="C54" s="111" t="s">
        <v>6581</v>
      </c>
      <c r="D54" s="111" t="s">
        <v>6584</v>
      </c>
      <c r="E54" s="27" t="s">
        <v>203</v>
      </c>
      <c r="F54" s="111" t="s">
        <v>3169</v>
      </c>
      <c r="G54" s="111" t="s">
        <v>6585</v>
      </c>
      <c r="H54" s="111" t="s">
        <v>203</v>
      </c>
      <c r="I54" s="27" t="s">
        <v>203</v>
      </c>
      <c r="J54" s="111" t="s">
        <v>423</v>
      </c>
      <c r="K54" s="111" t="s">
        <v>113</v>
      </c>
      <c r="L54" s="111" t="s">
        <v>1889</v>
      </c>
      <c r="M54" s="111" t="s">
        <v>423</v>
      </c>
      <c r="N54" s="111"/>
      <c r="O54" s="111"/>
    </row>
    <row r="55" spans="1:15" ht="12.75" customHeight="1">
      <c r="A55" s="698" t="s">
        <v>7318</v>
      </c>
      <c r="B55" s="699" t="s">
        <v>7470</v>
      </c>
      <c r="C55" s="111" t="s">
        <v>6604</v>
      </c>
      <c r="D55" s="111" t="s">
        <v>7471</v>
      </c>
      <c r="E55" s="27" t="s">
        <v>203</v>
      </c>
      <c r="F55" s="111" t="s">
        <v>6879</v>
      </c>
      <c r="G55" s="130"/>
      <c r="H55" s="111" t="s">
        <v>203</v>
      </c>
      <c r="I55" s="27" t="s">
        <v>203</v>
      </c>
      <c r="J55" s="111" t="s">
        <v>423</v>
      </c>
      <c r="K55" s="111" t="s">
        <v>113</v>
      </c>
      <c r="L55" s="111" t="s">
        <v>1889</v>
      </c>
      <c r="M55" s="111" t="s">
        <v>423</v>
      </c>
      <c r="N55" s="111"/>
      <c r="O55" s="111" t="s">
        <v>7472</v>
      </c>
    </row>
    <row r="56" spans="1:15" ht="12.75" customHeight="1">
      <c r="A56" s="698" t="s">
        <v>7318</v>
      </c>
      <c r="B56" s="699" t="s">
        <v>7473</v>
      </c>
      <c r="C56" s="111" t="s">
        <v>6611</v>
      </c>
      <c r="D56" s="111" t="s">
        <v>7474</v>
      </c>
      <c r="E56" s="27" t="s">
        <v>3326</v>
      </c>
      <c r="F56" s="111" t="s">
        <v>3121</v>
      </c>
      <c r="G56" s="130"/>
      <c r="H56" s="111" t="s">
        <v>203</v>
      </c>
      <c r="I56" s="27" t="s">
        <v>203</v>
      </c>
      <c r="J56" s="111" t="s">
        <v>423</v>
      </c>
      <c r="K56" s="111" t="s">
        <v>113</v>
      </c>
      <c r="L56" s="111" t="s">
        <v>1889</v>
      </c>
      <c r="M56" s="111" t="s">
        <v>423</v>
      </c>
      <c r="N56" s="111"/>
      <c r="O56" s="111"/>
    </row>
    <row r="57" spans="1:15" ht="12.75" customHeight="1">
      <c r="A57" s="698" t="s">
        <v>7318</v>
      </c>
      <c r="B57" s="699" t="s">
        <v>7475</v>
      </c>
      <c r="C57" s="28" t="s">
        <v>6619</v>
      </c>
      <c r="D57" s="111" t="s">
        <v>7476</v>
      </c>
      <c r="E57" s="27" t="s">
        <v>180</v>
      </c>
      <c r="F57" s="111" t="s">
        <v>7315</v>
      </c>
      <c r="G57" s="28" t="s">
        <v>6619</v>
      </c>
      <c r="H57" s="111" t="s">
        <v>203</v>
      </c>
      <c r="I57" s="27" t="s">
        <v>203</v>
      </c>
      <c r="J57" s="111" t="s">
        <v>423</v>
      </c>
      <c r="K57" s="111" t="s">
        <v>113</v>
      </c>
      <c r="L57" s="111" t="s">
        <v>1889</v>
      </c>
      <c r="M57" s="111" t="s">
        <v>423</v>
      </c>
      <c r="N57" s="111"/>
      <c r="O57" s="111"/>
    </row>
    <row r="58" spans="1:15" ht="12.75" customHeight="1">
      <c r="A58" s="698" t="s">
        <v>7318</v>
      </c>
      <c r="B58" s="699" t="s">
        <v>7477</v>
      </c>
      <c r="C58" s="28" t="s">
        <v>6626</v>
      </c>
      <c r="D58" s="111" t="s">
        <v>7478</v>
      </c>
      <c r="E58" s="27" t="s">
        <v>180</v>
      </c>
      <c r="F58" s="111" t="s">
        <v>7315</v>
      </c>
      <c r="G58" s="28" t="s">
        <v>6626</v>
      </c>
      <c r="H58" s="111" t="s">
        <v>203</v>
      </c>
      <c r="I58" s="27" t="s">
        <v>203</v>
      </c>
      <c r="J58" s="111" t="s">
        <v>423</v>
      </c>
      <c r="K58" s="111" t="s">
        <v>113</v>
      </c>
      <c r="L58" s="111" t="s">
        <v>1889</v>
      </c>
      <c r="M58" s="111" t="s">
        <v>423</v>
      </c>
      <c r="N58" s="111"/>
      <c r="O58" s="111"/>
    </row>
    <row r="59" spans="1:15" ht="12.75" customHeight="1">
      <c r="A59" s="698" t="s">
        <v>7318</v>
      </c>
      <c r="B59" s="699" t="s">
        <v>7479</v>
      </c>
      <c r="C59" s="28" t="s">
        <v>6635</v>
      </c>
      <c r="D59" s="111" t="s">
        <v>7480</v>
      </c>
      <c r="E59" s="27" t="s">
        <v>180</v>
      </c>
      <c r="F59" s="111" t="s">
        <v>7315</v>
      </c>
      <c r="G59" s="28" t="s">
        <v>6635</v>
      </c>
      <c r="H59" s="111" t="s">
        <v>203</v>
      </c>
      <c r="I59" s="27" t="s">
        <v>203</v>
      </c>
      <c r="J59" s="111" t="s">
        <v>423</v>
      </c>
      <c r="K59" s="111" t="s">
        <v>113</v>
      </c>
      <c r="L59" s="111" t="s">
        <v>1889</v>
      </c>
      <c r="M59" s="111" t="s">
        <v>423</v>
      </c>
      <c r="N59" s="111"/>
      <c r="O59" s="111"/>
    </row>
    <row r="60" spans="1:15" ht="12.75" customHeight="1">
      <c r="A60" s="701" t="s">
        <v>7481</v>
      </c>
      <c r="B60" s="699" t="s">
        <v>7483</v>
      </c>
      <c r="C60" s="27" t="s">
        <v>3337</v>
      </c>
      <c r="D60" s="27" t="s">
        <v>3338</v>
      </c>
      <c r="E60" s="27" t="s">
        <v>3326</v>
      </c>
      <c r="F60" s="27" t="s">
        <v>3121</v>
      </c>
      <c r="G60" s="28"/>
      <c r="H60" s="28" t="s">
        <v>203</v>
      </c>
      <c r="I60" s="28" t="s">
        <v>203</v>
      </c>
      <c r="J60" s="28" t="s">
        <v>423</v>
      </c>
      <c r="K60" s="28" t="s">
        <v>113</v>
      </c>
      <c r="L60" s="28" t="s">
        <v>3098</v>
      </c>
      <c r="M60" s="28"/>
      <c r="N60" s="28"/>
      <c r="O60" s="28"/>
    </row>
    <row r="61" spans="1:15" ht="12.75" customHeight="1">
      <c r="A61" s="701" t="s">
        <v>7481</v>
      </c>
      <c r="B61" s="699" t="s">
        <v>7484</v>
      </c>
      <c r="C61" s="28" t="s">
        <v>3347</v>
      </c>
      <c r="D61" s="27" t="s">
        <v>3346</v>
      </c>
      <c r="E61" s="27" t="s">
        <v>180</v>
      </c>
      <c r="F61" s="27" t="s">
        <v>7315</v>
      </c>
      <c r="G61" s="28" t="s">
        <v>3347</v>
      </c>
      <c r="H61" s="28" t="s">
        <v>203</v>
      </c>
      <c r="I61" s="28" t="s">
        <v>203</v>
      </c>
      <c r="J61" s="28" t="s">
        <v>423</v>
      </c>
      <c r="K61" s="28" t="s">
        <v>113</v>
      </c>
      <c r="L61" s="28" t="s">
        <v>1889</v>
      </c>
      <c r="M61" s="28"/>
      <c r="N61" s="28"/>
      <c r="O61" s="28"/>
    </row>
    <row r="62" spans="1:15" ht="12.75" customHeight="1">
      <c r="A62" s="701" t="s">
        <v>7481</v>
      </c>
      <c r="B62" s="699" t="s">
        <v>7486</v>
      </c>
      <c r="C62" s="27" t="s">
        <v>3354</v>
      </c>
      <c r="D62" s="28" t="s">
        <v>3353</v>
      </c>
      <c r="E62" s="27" t="s">
        <v>180</v>
      </c>
      <c r="F62" s="27" t="s">
        <v>7315</v>
      </c>
      <c r="G62" s="27" t="s">
        <v>3354</v>
      </c>
      <c r="H62" s="28" t="s">
        <v>203</v>
      </c>
      <c r="I62" s="28" t="s">
        <v>203</v>
      </c>
      <c r="J62" s="28" t="s">
        <v>423</v>
      </c>
      <c r="K62" s="28" t="s">
        <v>113</v>
      </c>
      <c r="L62" s="28" t="s">
        <v>1889</v>
      </c>
      <c r="M62" s="28"/>
      <c r="N62" s="28"/>
      <c r="O62" s="28"/>
    </row>
    <row r="63" spans="1:15" ht="12.75" customHeight="1">
      <c r="A63" s="701" t="s">
        <v>7481</v>
      </c>
      <c r="B63" s="699" t="s">
        <v>7487</v>
      </c>
      <c r="C63" s="28" t="s">
        <v>3360</v>
      </c>
      <c r="D63" s="28" t="s">
        <v>3359</v>
      </c>
      <c r="E63" s="27" t="s">
        <v>180</v>
      </c>
      <c r="F63" s="27" t="s">
        <v>7315</v>
      </c>
      <c r="G63" s="28" t="s">
        <v>3360</v>
      </c>
      <c r="H63" s="28" t="s">
        <v>203</v>
      </c>
      <c r="I63" s="28" t="s">
        <v>203</v>
      </c>
      <c r="J63" s="28" t="s">
        <v>423</v>
      </c>
      <c r="K63" s="28" t="s">
        <v>113</v>
      </c>
      <c r="L63" s="28" t="s">
        <v>1889</v>
      </c>
      <c r="M63" s="28"/>
      <c r="N63" s="702" t="s">
        <v>3361</v>
      </c>
      <c r="O63" s="28"/>
    </row>
    <row r="64" spans="1:15" ht="12.75" customHeight="1">
      <c r="A64" s="701" t="s">
        <v>7481</v>
      </c>
      <c r="B64" s="699" t="s">
        <v>7488</v>
      </c>
      <c r="C64" s="27" t="s">
        <v>3366</v>
      </c>
      <c r="D64" s="28" t="s">
        <v>7489</v>
      </c>
      <c r="E64" s="27" t="s">
        <v>180</v>
      </c>
      <c r="F64" s="27" t="s">
        <v>7315</v>
      </c>
      <c r="G64" s="27" t="s">
        <v>3366</v>
      </c>
      <c r="H64" s="28" t="s">
        <v>203</v>
      </c>
      <c r="I64" s="28" t="s">
        <v>203</v>
      </c>
      <c r="J64" s="28" t="s">
        <v>423</v>
      </c>
      <c r="K64" s="28" t="s">
        <v>113</v>
      </c>
      <c r="L64" s="28" t="s">
        <v>1889</v>
      </c>
      <c r="M64" s="28"/>
      <c r="N64" s="702" t="s">
        <v>3361</v>
      </c>
      <c r="O64" s="28"/>
    </row>
    <row r="65" spans="1:15" ht="12.75" customHeight="1">
      <c r="A65" s="701" t="s">
        <v>7481</v>
      </c>
      <c r="B65" s="699" t="s">
        <v>7490</v>
      </c>
      <c r="C65" s="28" t="s">
        <v>3374</v>
      </c>
      <c r="D65" s="28" t="s">
        <v>3373</v>
      </c>
      <c r="E65" s="27" t="s">
        <v>180</v>
      </c>
      <c r="F65" s="27" t="s">
        <v>7315</v>
      </c>
      <c r="G65" s="28" t="s">
        <v>3374</v>
      </c>
      <c r="H65" s="28" t="s">
        <v>203</v>
      </c>
      <c r="I65" s="28" t="s">
        <v>203</v>
      </c>
      <c r="J65" s="28" t="s">
        <v>423</v>
      </c>
      <c r="K65" s="28" t="s">
        <v>113</v>
      </c>
      <c r="L65" s="28" t="s">
        <v>1889</v>
      </c>
      <c r="M65" s="28"/>
      <c r="N65" s="28"/>
      <c r="O65" s="28"/>
    </row>
    <row r="66" spans="1:15" ht="12.75" customHeight="1">
      <c r="A66" s="701" t="s">
        <v>7481</v>
      </c>
      <c r="B66" s="699" t="s">
        <v>7491</v>
      </c>
      <c r="C66" s="28" t="s">
        <v>3381</v>
      </c>
      <c r="D66" s="27" t="s">
        <v>3380</v>
      </c>
      <c r="E66" s="27" t="s">
        <v>180</v>
      </c>
      <c r="F66" s="27" t="s">
        <v>7315</v>
      </c>
      <c r="G66" s="28" t="s">
        <v>3381</v>
      </c>
      <c r="H66" s="28" t="s">
        <v>203</v>
      </c>
      <c r="I66" s="28" t="s">
        <v>203</v>
      </c>
      <c r="J66" s="28" t="s">
        <v>423</v>
      </c>
      <c r="K66" s="28" t="s">
        <v>113</v>
      </c>
      <c r="L66" s="28" t="s">
        <v>1889</v>
      </c>
      <c r="M66" s="28"/>
      <c r="N66" s="28"/>
      <c r="O66" s="28"/>
    </row>
    <row r="67" spans="1:15" ht="12.75" customHeight="1">
      <c r="A67" s="701" t="s">
        <v>7481</v>
      </c>
      <c r="B67" s="699" t="s">
        <v>7492</v>
      </c>
      <c r="C67" s="28" t="s">
        <v>3387</v>
      </c>
      <c r="D67" s="27" t="s">
        <v>3386</v>
      </c>
      <c r="E67" s="27" t="s">
        <v>180</v>
      </c>
      <c r="F67" s="27" t="s">
        <v>7315</v>
      </c>
      <c r="G67" s="28" t="s">
        <v>3387</v>
      </c>
      <c r="H67" s="28" t="s">
        <v>203</v>
      </c>
      <c r="I67" s="28" t="s">
        <v>203</v>
      </c>
      <c r="J67" s="28" t="s">
        <v>423</v>
      </c>
      <c r="K67" s="28" t="s">
        <v>113</v>
      </c>
      <c r="L67" s="28" t="s">
        <v>1889</v>
      </c>
      <c r="M67" s="28"/>
      <c r="N67" s="702" t="s">
        <v>3388</v>
      </c>
      <c r="O67" s="28" t="s">
        <v>3389</v>
      </c>
    </row>
    <row r="68" spans="1:15" ht="12.75" customHeight="1">
      <c r="A68" s="701" t="s">
        <v>7481</v>
      </c>
      <c r="B68" s="699" t="s">
        <v>7493</v>
      </c>
      <c r="C68" s="28" t="s">
        <v>3396</v>
      </c>
      <c r="D68" s="27" t="s">
        <v>3395</v>
      </c>
      <c r="E68" s="27" t="s">
        <v>180</v>
      </c>
      <c r="F68" s="27" t="s">
        <v>7315</v>
      </c>
      <c r="G68" s="28" t="s">
        <v>3396</v>
      </c>
      <c r="H68" s="28" t="s">
        <v>203</v>
      </c>
      <c r="I68" s="28" t="s">
        <v>203</v>
      </c>
      <c r="J68" s="28" t="s">
        <v>423</v>
      </c>
      <c r="K68" s="28" t="s">
        <v>113</v>
      </c>
      <c r="L68" s="28" t="s">
        <v>1889</v>
      </c>
      <c r="M68" s="28"/>
      <c r="N68" s="702" t="s">
        <v>3388</v>
      </c>
      <c r="O68" s="28"/>
    </row>
    <row r="69" spans="1:15" ht="12.75" customHeight="1">
      <c r="A69" s="701" t="s">
        <v>7481</v>
      </c>
      <c r="B69" s="699" t="s">
        <v>7495</v>
      </c>
      <c r="C69" s="27" t="s">
        <v>3401</v>
      </c>
      <c r="D69" s="27" t="s">
        <v>7496</v>
      </c>
      <c r="E69" s="27" t="s">
        <v>180</v>
      </c>
      <c r="F69" s="27" t="s">
        <v>7315</v>
      </c>
      <c r="G69" s="27" t="s">
        <v>3401</v>
      </c>
      <c r="H69" s="28" t="s">
        <v>203</v>
      </c>
      <c r="I69" s="28" t="s">
        <v>203</v>
      </c>
      <c r="J69" s="28" t="s">
        <v>423</v>
      </c>
      <c r="K69" s="28" t="s">
        <v>113</v>
      </c>
      <c r="L69" s="28" t="s">
        <v>1889</v>
      </c>
      <c r="M69" s="28"/>
      <c r="N69" s="28"/>
      <c r="O69" s="28"/>
    </row>
    <row r="70" spans="1:15" ht="12.75" customHeight="1">
      <c r="A70" s="701" t="s">
        <v>7481</v>
      </c>
      <c r="B70" s="699" t="s">
        <v>7497</v>
      </c>
      <c r="C70" s="28" t="s">
        <v>7498</v>
      </c>
      <c r="D70" s="28" t="s">
        <v>3408</v>
      </c>
      <c r="E70" s="28" t="s">
        <v>3326</v>
      </c>
      <c r="F70" s="28" t="s">
        <v>3121</v>
      </c>
      <c r="G70" s="28"/>
      <c r="H70" s="28" t="s">
        <v>203</v>
      </c>
      <c r="I70" s="28" t="s">
        <v>203</v>
      </c>
      <c r="J70" s="28" t="s">
        <v>423</v>
      </c>
      <c r="K70" s="28" t="s">
        <v>113</v>
      </c>
      <c r="L70" s="28" t="s">
        <v>3178</v>
      </c>
      <c r="M70" s="28" t="s">
        <v>7499</v>
      </c>
      <c r="N70" s="28"/>
      <c r="O70" s="28" t="s">
        <v>7501</v>
      </c>
    </row>
    <row r="71" spans="1:15" ht="12.75" customHeight="1">
      <c r="A71" s="701" t="s">
        <v>7481</v>
      </c>
      <c r="B71" s="699" t="s">
        <v>7503</v>
      </c>
      <c r="C71" s="28" t="s">
        <v>5271</v>
      </c>
      <c r="D71" s="28" t="s">
        <v>7504</v>
      </c>
      <c r="E71" s="28" t="s">
        <v>180</v>
      </c>
      <c r="F71" s="28" t="s">
        <v>7315</v>
      </c>
      <c r="G71" s="28" t="s">
        <v>5271</v>
      </c>
      <c r="H71" s="28" t="s">
        <v>203</v>
      </c>
      <c r="I71" s="28" t="s">
        <v>203</v>
      </c>
      <c r="J71" s="28" t="s">
        <v>423</v>
      </c>
      <c r="K71" s="28" t="s">
        <v>113</v>
      </c>
      <c r="L71" s="28" t="s">
        <v>1889</v>
      </c>
      <c r="M71" s="28"/>
      <c r="N71" s="27"/>
      <c r="O71" s="28" t="s">
        <v>7505</v>
      </c>
    </row>
    <row r="72" spans="1:15" ht="12.75" customHeight="1">
      <c r="A72" s="701" t="s">
        <v>7481</v>
      </c>
      <c r="B72" s="699" t="s">
        <v>7506</v>
      </c>
      <c r="C72" s="28" t="s">
        <v>7507</v>
      </c>
      <c r="D72" s="28" t="s">
        <v>7508</v>
      </c>
      <c r="E72" s="28" t="s">
        <v>180</v>
      </c>
      <c r="F72" s="28" t="s">
        <v>7315</v>
      </c>
      <c r="G72" s="28" t="s">
        <v>3828</v>
      </c>
      <c r="H72" s="28" t="s">
        <v>203</v>
      </c>
      <c r="I72" s="28" t="s">
        <v>203</v>
      </c>
      <c r="J72" s="28" t="s">
        <v>423</v>
      </c>
      <c r="K72" s="28" t="s">
        <v>113</v>
      </c>
      <c r="L72" s="28" t="s">
        <v>1889</v>
      </c>
      <c r="M72" s="28"/>
      <c r="N72" s="28"/>
      <c r="O72" s="28" t="s">
        <v>7510</v>
      </c>
    </row>
    <row r="73" spans="1:15" ht="12.75" customHeight="1">
      <c r="A73" s="701" t="s">
        <v>7481</v>
      </c>
      <c r="B73" s="699" t="s">
        <v>7511</v>
      </c>
      <c r="C73" s="28" t="s">
        <v>7512</v>
      </c>
      <c r="D73" s="28" t="s">
        <v>7514</v>
      </c>
      <c r="E73" s="28" t="s">
        <v>180</v>
      </c>
      <c r="F73" s="28" t="s">
        <v>7315</v>
      </c>
      <c r="G73" s="28" t="s">
        <v>7512</v>
      </c>
      <c r="H73" s="28" t="s">
        <v>203</v>
      </c>
      <c r="I73" s="28" t="s">
        <v>203</v>
      </c>
      <c r="J73" s="28" t="s">
        <v>423</v>
      </c>
      <c r="K73" s="28" t="s">
        <v>113</v>
      </c>
      <c r="L73" s="28" t="s">
        <v>1889</v>
      </c>
      <c r="M73" s="28"/>
      <c r="N73" s="28"/>
      <c r="O73" s="28" t="s">
        <v>7515</v>
      </c>
    </row>
    <row r="74" spans="1:15" ht="12.75" customHeight="1">
      <c r="A74" s="701" t="s">
        <v>7481</v>
      </c>
      <c r="B74" s="699" t="s">
        <v>7516</v>
      </c>
      <c r="C74" s="28" t="s">
        <v>7517</v>
      </c>
      <c r="D74" s="28" t="s">
        <v>7518</v>
      </c>
      <c r="E74" s="28" t="s">
        <v>180</v>
      </c>
      <c r="F74" s="28" t="s">
        <v>6879</v>
      </c>
      <c r="G74" s="28" t="s">
        <v>7519</v>
      </c>
      <c r="H74" s="28" t="s">
        <v>203</v>
      </c>
      <c r="I74" s="28" t="s">
        <v>203</v>
      </c>
      <c r="J74" s="28" t="s">
        <v>423</v>
      </c>
      <c r="K74" s="111" t="s">
        <v>113</v>
      </c>
      <c r="L74" s="28" t="s">
        <v>1889</v>
      </c>
      <c r="M74" s="28"/>
      <c r="N74" s="28"/>
      <c r="O74" s="28"/>
    </row>
    <row r="75" spans="1:15" ht="12.75" customHeight="1">
      <c r="A75" s="701" t="s">
        <v>7481</v>
      </c>
      <c r="B75" s="699" t="s">
        <v>7520</v>
      </c>
      <c r="C75" s="111" t="s">
        <v>3426</v>
      </c>
      <c r="D75" s="111" t="s">
        <v>3428</v>
      </c>
      <c r="E75" s="111" t="s">
        <v>3177</v>
      </c>
      <c r="F75" s="111" t="s">
        <v>3121</v>
      </c>
      <c r="G75" s="111"/>
      <c r="H75" s="111" t="s">
        <v>203</v>
      </c>
      <c r="I75" s="111" t="s">
        <v>203</v>
      </c>
      <c r="J75" s="111" t="s">
        <v>423</v>
      </c>
      <c r="K75" s="111" t="s">
        <v>113</v>
      </c>
      <c r="L75" s="111" t="s">
        <v>1889</v>
      </c>
      <c r="M75" s="111"/>
      <c r="N75" s="111"/>
      <c r="O75" s="111" t="s">
        <v>7521</v>
      </c>
    </row>
    <row r="76" spans="1:15" ht="12.75" customHeight="1">
      <c r="A76" s="701" t="s">
        <v>7481</v>
      </c>
      <c r="B76" s="699" t="s">
        <v>7522</v>
      </c>
      <c r="C76" s="28" t="s">
        <v>3435</v>
      </c>
      <c r="D76" s="111" t="s">
        <v>7523</v>
      </c>
      <c r="E76" s="111" t="s">
        <v>180</v>
      </c>
      <c r="F76" s="111" t="s">
        <v>7315</v>
      </c>
      <c r="G76" s="111" t="s">
        <v>3435</v>
      </c>
      <c r="H76" s="111" t="s">
        <v>203</v>
      </c>
      <c r="I76" s="111" t="s">
        <v>203</v>
      </c>
      <c r="J76" s="111" t="s">
        <v>423</v>
      </c>
      <c r="K76" s="111" t="s">
        <v>113</v>
      </c>
      <c r="L76" s="111" t="s">
        <v>1889</v>
      </c>
      <c r="M76" s="111"/>
      <c r="N76" s="111"/>
      <c r="O76" s="111"/>
    </row>
    <row r="77" spans="1:15" ht="12.75" customHeight="1">
      <c r="A77" s="701" t="s">
        <v>7481</v>
      </c>
      <c r="B77" s="699" t="s">
        <v>7524</v>
      </c>
      <c r="C77" s="28" t="s">
        <v>3439</v>
      </c>
      <c r="D77" s="111" t="s">
        <v>7525</v>
      </c>
      <c r="E77" s="111" t="s">
        <v>180</v>
      </c>
      <c r="F77" s="111" t="s">
        <v>7315</v>
      </c>
      <c r="G77" s="111" t="s">
        <v>3439</v>
      </c>
      <c r="H77" s="111" t="s">
        <v>203</v>
      </c>
      <c r="I77" s="111" t="s">
        <v>203</v>
      </c>
      <c r="J77" s="111" t="s">
        <v>423</v>
      </c>
      <c r="K77" s="111" t="s">
        <v>113</v>
      </c>
      <c r="L77" s="111" t="s">
        <v>1889</v>
      </c>
      <c r="M77" s="111"/>
      <c r="N77" s="111"/>
      <c r="O77" s="27"/>
    </row>
    <row r="78" spans="1:15" ht="12.75" customHeight="1">
      <c r="A78" s="701" t="s">
        <v>7481</v>
      </c>
      <c r="B78" s="699" t="s">
        <v>7526</v>
      </c>
      <c r="C78" s="28" t="s">
        <v>3443</v>
      </c>
      <c r="D78" s="111" t="s">
        <v>7527</v>
      </c>
      <c r="E78" s="111" t="s">
        <v>180</v>
      </c>
      <c r="F78" s="111" t="s">
        <v>7315</v>
      </c>
      <c r="G78" s="111" t="s">
        <v>3443</v>
      </c>
      <c r="H78" s="111" t="s">
        <v>203</v>
      </c>
      <c r="I78" s="111" t="s">
        <v>203</v>
      </c>
      <c r="J78" s="111" t="s">
        <v>423</v>
      </c>
      <c r="K78" s="111" t="s">
        <v>113</v>
      </c>
      <c r="L78" s="111" t="s">
        <v>1889</v>
      </c>
      <c r="M78" s="111"/>
      <c r="N78" s="111"/>
      <c r="O78" s="111"/>
    </row>
    <row r="79" spans="1:15" ht="12.75" customHeight="1">
      <c r="A79" s="701" t="s">
        <v>7481</v>
      </c>
      <c r="B79" s="699" t="s">
        <v>7528</v>
      </c>
      <c r="C79" s="28" t="s">
        <v>3447</v>
      </c>
      <c r="D79" s="111" t="s">
        <v>7529</v>
      </c>
      <c r="E79" s="111" t="s">
        <v>180</v>
      </c>
      <c r="F79" s="111" t="s">
        <v>7315</v>
      </c>
      <c r="G79" s="111" t="s">
        <v>3447</v>
      </c>
      <c r="H79" s="111" t="s">
        <v>203</v>
      </c>
      <c r="I79" s="111" t="s">
        <v>203</v>
      </c>
      <c r="J79" s="111" t="s">
        <v>423</v>
      </c>
      <c r="K79" s="111" t="s">
        <v>113</v>
      </c>
      <c r="L79" s="111" t="s">
        <v>1889</v>
      </c>
      <c r="M79" s="111"/>
      <c r="N79" s="111"/>
      <c r="O79" s="111"/>
    </row>
    <row r="80" spans="1:15" ht="12.75" customHeight="1">
      <c r="A80" s="703" t="s">
        <v>7530</v>
      </c>
      <c r="B80" s="699" t="s">
        <v>7531</v>
      </c>
      <c r="C80" s="28" t="s">
        <v>7532</v>
      </c>
      <c r="D80" s="27" t="s">
        <v>7533</v>
      </c>
      <c r="E80" s="27" t="s">
        <v>203</v>
      </c>
      <c r="F80" s="27" t="s">
        <v>3456</v>
      </c>
      <c r="G80" s="28"/>
      <c r="H80" s="28" t="s">
        <v>7534</v>
      </c>
      <c r="I80" s="28" t="s">
        <v>203</v>
      </c>
      <c r="J80" s="27" t="s">
        <v>7535</v>
      </c>
      <c r="K80" s="28" t="s">
        <v>113</v>
      </c>
      <c r="L80" s="111" t="s">
        <v>3098</v>
      </c>
      <c r="M80" s="28"/>
      <c r="N80" s="28"/>
      <c r="O80" s="28"/>
    </row>
    <row r="81" spans="1:15" ht="12.75" customHeight="1">
      <c r="A81" s="703" t="s">
        <v>7530</v>
      </c>
      <c r="B81" s="699" t="s">
        <v>7536</v>
      </c>
      <c r="C81" s="28" t="s">
        <v>3463</v>
      </c>
      <c r="D81" s="27" t="s">
        <v>3465</v>
      </c>
      <c r="E81" s="27" t="s">
        <v>203</v>
      </c>
      <c r="F81" s="27" t="s">
        <v>3456</v>
      </c>
      <c r="G81" s="28"/>
      <c r="H81" s="28" t="s">
        <v>7534</v>
      </c>
      <c r="I81" s="28" t="s">
        <v>203</v>
      </c>
      <c r="J81" s="27" t="s">
        <v>7537</v>
      </c>
      <c r="K81" s="28" t="s">
        <v>113</v>
      </c>
      <c r="L81" s="27" t="s">
        <v>3098</v>
      </c>
      <c r="M81" s="28"/>
      <c r="N81" s="28"/>
      <c r="O81" s="28" t="s">
        <v>3467</v>
      </c>
    </row>
    <row r="82" spans="1:15" ht="12.75" customHeight="1">
      <c r="A82" s="703" t="s">
        <v>7530</v>
      </c>
      <c r="B82" s="699" t="s">
        <v>7538</v>
      </c>
      <c r="C82" s="28" t="s">
        <v>1341</v>
      </c>
      <c r="D82" s="27" t="s">
        <v>7539</v>
      </c>
      <c r="E82" s="27" t="s">
        <v>203</v>
      </c>
      <c r="F82" s="27" t="s">
        <v>3456</v>
      </c>
      <c r="G82" s="28"/>
      <c r="H82" s="28" t="s">
        <v>7534</v>
      </c>
      <c r="I82" s="28" t="s">
        <v>7540</v>
      </c>
      <c r="J82" s="28" t="s">
        <v>423</v>
      </c>
      <c r="K82" s="28" t="s">
        <v>208</v>
      </c>
      <c r="L82" s="27" t="s">
        <v>3098</v>
      </c>
      <c r="M82" s="28"/>
      <c r="N82" s="28"/>
      <c r="O82" s="28" t="s">
        <v>7542</v>
      </c>
    </row>
    <row r="83" spans="1:15" ht="12.75" customHeight="1">
      <c r="A83" s="703" t="s">
        <v>7530</v>
      </c>
      <c r="B83" s="699" t="s">
        <v>7543</v>
      </c>
      <c r="C83" s="28" t="s">
        <v>4762</v>
      </c>
      <c r="D83" s="28" t="s">
        <v>4762</v>
      </c>
      <c r="E83" s="27" t="s">
        <v>203</v>
      </c>
      <c r="F83" s="27" t="s">
        <v>3456</v>
      </c>
      <c r="G83" s="28"/>
      <c r="H83" s="28" t="s">
        <v>7397</v>
      </c>
      <c r="I83" s="28" t="s">
        <v>203</v>
      </c>
      <c r="J83" s="28" t="s">
        <v>1362</v>
      </c>
      <c r="K83" s="28" t="s">
        <v>113</v>
      </c>
      <c r="L83" s="27" t="s">
        <v>3098</v>
      </c>
      <c r="M83" s="28"/>
      <c r="N83" s="28"/>
      <c r="O83" s="28"/>
    </row>
    <row r="84" spans="1:15" ht="12.75" customHeight="1">
      <c r="A84" s="703" t="s">
        <v>7530</v>
      </c>
      <c r="B84" s="699" t="s">
        <v>7544</v>
      </c>
      <c r="C84" s="28" t="s">
        <v>7545</v>
      </c>
      <c r="D84" s="28" t="s">
        <v>7545</v>
      </c>
      <c r="E84" s="27" t="s">
        <v>203</v>
      </c>
      <c r="F84" s="27" t="s">
        <v>3456</v>
      </c>
      <c r="G84" s="28"/>
      <c r="H84" s="28" t="s">
        <v>7397</v>
      </c>
      <c r="I84" s="28" t="s">
        <v>203</v>
      </c>
      <c r="J84" s="28" t="s">
        <v>1362</v>
      </c>
      <c r="K84" s="28" t="s">
        <v>113</v>
      </c>
      <c r="L84" s="27" t="s">
        <v>3098</v>
      </c>
      <c r="M84" s="28"/>
      <c r="N84" s="28"/>
      <c r="O84" s="28"/>
    </row>
    <row r="85" spans="1:15" ht="12.75" customHeight="1">
      <c r="A85" s="703" t="s">
        <v>7530</v>
      </c>
      <c r="B85" s="699" t="s">
        <v>7546</v>
      </c>
      <c r="C85" s="28" t="s">
        <v>7547</v>
      </c>
      <c r="D85" s="27" t="s">
        <v>7548</v>
      </c>
      <c r="E85" s="27" t="s">
        <v>203</v>
      </c>
      <c r="F85" s="27" t="s">
        <v>3169</v>
      </c>
      <c r="G85" s="28" t="s">
        <v>3170</v>
      </c>
      <c r="H85" s="28" t="s">
        <v>203</v>
      </c>
      <c r="I85" s="28" t="s">
        <v>203</v>
      </c>
      <c r="J85" s="28" t="s">
        <v>423</v>
      </c>
      <c r="K85" s="28" t="s">
        <v>113</v>
      </c>
      <c r="L85" s="27" t="s">
        <v>3098</v>
      </c>
      <c r="M85" s="28"/>
      <c r="N85" s="28"/>
      <c r="O85" s="28"/>
    </row>
    <row r="86" spans="1:15" ht="12.75" customHeight="1">
      <c r="A86" s="703" t="s">
        <v>7530</v>
      </c>
      <c r="B86" s="699" t="s">
        <v>7549</v>
      </c>
      <c r="C86" s="28" t="s">
        <v>6885</v>
      </c>
      <c r="D86" s="27" t="s">
        <v>7550</v>
      </c>
      <c r="E86" s="27" t="s">
        <v>203</v>
      </c>
      <c r="F86" s="27" t="s">
        <v>6879</v>
      </c>
      <c r="G86" s="28"/>
      <c r="H86" s="28" t="s">
        <v>203</v>
      </c>
      <c r="I86" s="28" t="s">
        <v>203</v>
      </c>
      <c r="J86" s="28" t="s">
        <v>423</v>
      </c>
      <c r="K86" s="28" t="s">
        <v>113</v>
      </c>
      <c r="L86" s="27" t="s">
        <v>3098</v>
      </c>
      <c r="M86" s="28"/>
      <c r="N86" s="28"/>
      <c r="O86" s="28"/>
    </row>
    <row r="87" spans="1:15" ht="12.75" customHeight="1">
      <c r="A87" s="701" t="s">
        <v>7551</v>
      </c>
      <c r="B87" s="699" t="s">
        <v>7552</v>
      </c>
      <c r="C87" s="27" t="s">
        <v>3474</v>
      </c>
      <c r="D87" s="28" t="s">
        <v>7553</v>
      </c>
      <c r="E87" s="28" t="s">
        <v>203</v>
      </c>
      <c r="F87" s="28" t="s">
        <v>3456</v>
      </c>
      <c r="G87" s="28"/>
      <c r="H87" s="28" t="s">
        <v>7397</v>
      </c>
      <c r="I87" s="28" t="s">
        <v>203</v>
      </c>
      <c r="J87" s="28" t="s">
        <v>423</v>
      </c>
      <c r="K87" s="28" t="s">
        <v>113</v>
      </c>
      <c r="L87" s="28" t="s">
        <v>3178</v>
      </c>
      <c r="M87" s="28" t="s">
        <v>3482</v>
      </c>
      <c r="N87" s="28"/>
      <c r="O87" s="28"/>
    </row>
    <row r="88" spans="1:15" ht="12.75" customHeight="1">
      <c r="A88" s="701" t="s">
        <v>7551</v>
      </c>
      <c r="B88" s="699" t="s">
        <v>7555</v>
      </c>
      <c r="C88" s="27" t="s">
        <v>3488</v>
      </c>
      <c r="D88" s="28" t="s">
        <v>3491</v>
      </c>
      <c r="E88" s="28" t="s">
        <v>203</v>
      </c>
      <c r="F88" s="28" t="s">
        <v>3456</v>
      </c>
      <c r="G88" s="28"/>
      <c r="H88" s="28" t="s">
        <v>7397</v>
      </c>
      <c r="I88" s="28" t="s">
        <v>203</v>
      </c>
      <c r="J88" s="114" t="s">
        <v>3492</v>
      </c>
      <c r="K88" s="28" t="s">
        <v>113</v>
      </c>
      <c r="L88" s="28" t="s">
        <v>3178</v>
      </c>
      <c r="M88" s="28" t="s">
        <v>3482</v>
      </c>
      <c r="N88" s="28"/>
      <c r="O88" s="28"/>
    </row>
    <row r="89" spans="1:15" ht="12.75" customHeight="1">
      <c r="A89" s="701" t="s">
        <v>7551</v>
      </c>
      <c r="B89" s="699" t="s">
        <v>7556</v>
      </c>
      <c r="C89" s="28" t="s">
        <v>3498</v>
      </c>
      <c r="D89" s="28" t="s">
        <v>3501</v>
      </c>
      <c r="E89" s="28" t="s">
        <v>203</v>
      </c>
      <c r="F89" s="28" t="s">
        <v>3169</v>
      </c>
      <c r="G89" s="28" t="s">
        <v>3170</v>
      </c>
      <c r="H89" s="28" t="s">
        <v>203</v>
      </c>
      <c r="I89" s="28" t="s">
        <v>203</v>
      </c>
      <c r="J89" s="28" t="s">
        <v>423</v>
      </c>
      <c r="K89" s="28" t="s">
        <v>113</v>
      </c>
      <c r="L89" s="28" t="s">
        <v>1889</v>
      </c>
      <c r="M89" s="28"/>
      <c r="N89" s="28"/>
      <c r="O89" s="111"/>
    </row>
    <row r="90" spans="1:15" ht="12.75" customHeight="1">
      <c r="A90" s="701" t="s">
        <v>7551</v>
      </c>
      <c r="B90" s="699" t="s">
        <v>7557</v>
      </c>
      <c r="C90" s="28" t="s">
        <v>4102</v>
      </c>
      <c r="D90" s="27" t="s">
        <v>7559</v>
      </c>
      <c r="E90" s="28" t="s">
        <v>203</v>
      </c>
      <c r="F90" s="28" t="s">
        <v>3169</v>
      </c>
      <c r="G90" s="28" t="s">
        <v>3170</v>
      </c>
      <c r="H90" s="28" t="s">
        <v>203</v>
      </c>
      <c r="I90" s="111" t="s">
        <v>203</v>
      </c>
      <c r="J90" s="28" t="s">
        <v>423</v>
      </c>
      <c r="K90" s="28" t="s">
        <v>113</v>
      </c>
      <c r="L90" s="28" t="s">
        <v>1889</v>
      </c>
      <c r="M90" s="28"/>
      <c r="N90" s="28"/>
      <c r="O90" s="28"/>
    </row>
    <row r="91" spans="1:15" ht="12.75" customHeight="1">
      <c r="A91" s="701" t="s">
        <v>7551</v>
      </c>
      <c r="B91" s="699" t="s">
        <v>7560</v>
      </c>
      <c r="C91" s="28" t="s">
        <v>4056</v>
      </c>
      <c r="D91" s="27" t="s">
        <v>7561</v>
      </c>
      <c r="E91" s="27" t="s">
        <v>203</v>
      </c>
      <c r="F91" s="28" t="s">
        <v>3456</v>
      </c>
      <c r="G91" s="28"/>
      <c r="H91" s="28" t="s">
        <v>7331</v>
      </c>
      <c r="I91" s="111" t="s">
        <v>203</v>
      </c>
      <c r="J91" s="28" t="s">
        <v>423</v>
      </c>
      <c r="K91" s="28" t="s">
        <v>113</v>
      </c>
      <c r="L91" s="28" t="s">
        <v>1889</v>
      </c>
      <c r="M91" s="28" t="s">
        <v>7562</v>
      </c>
      <c r="N91" s="28"/>
      <c r="O91" s="28"/>
    </row>
    <row r="92" spans="1:15" ht="12.75" customHeight="1">
      <c r="A92" s="701" t="s">
        <v>7551</v>
      </c>
      <c r="B92" s="699" t="s">
        <v>7563</v>
      </c>
      <c r="C92" s="28" t="s">
        <v>3516</v>
      </c>
      <c r="D92" s="28" t="s">
        <v>3520</v>
      </c>
      <c r="E92" s="28" t="s">
        <v>203</v>
      </c>
      <c r="F92" s="28" t="s">
        <v>3169</v>
      </c>
      <c r="G92" s="28" t="s">
        <v>3170</v>
      </c>
      <c r="H92" s="28" t="s">
        <v>203</v>
      </c>
      <c r="I92" s="28" t="s">
        <v>203</v>
      </c>
      <c r="J92" s="28" t="s">
        <v>423</v>
      </c>
      <c r="K92" s="28" t="s">
        <v>113</v>
      </c>
      <c r="L92" s="28" t="s">
        <v>3098</v>
      </c>
      <c r="M92" s="28"/>
      <c r="N92" s="702" t="s">
        <v>3522</v>
      </c>
      <c r="O92" s="28" t="s">
        <v>3523</v>
      </c>
    </row>
    <row r="93" spans="1:15" ht="12.75" customHeight="1">
      <c r="A93" s="701" t="s">
        <v>7551</v>
      </c>
      <c r="B93" s="699" t="s">
        <v>7565</v>
      </c>
      <c r="C93" s="27" t="s">
        <v>3846</v>
      </c>
      <c r="D93" s="28" t="s">
        <v>3849</v>
      </c>
      <c r="E93" s="28" t="s">
        <v>203</v>
      </c>
      <c r="F93" s="28" t="s">
        <v>3169</v>
      </c>
      <c r="G93" s="28" t="s">
        <v>3170</v>
      </c>
      <c r="H93" s="28" t="s">
        <v>203</v>
      </c>
      <c r="I93" s="111" t="s">
        <v>203</v>
      </c>
      <c r="J93" s="28" t="s">
        <v>423</v>
      </c>
      <c r="K93" s="28" t="s">
        <v>113</v>
      </c>
      <c r="L93" s="28" t="s">
        <v>3178</v>
      </c>
      <c r="M93" s="28" t="s">
        <v>3552</v>
      </c>
      <c r="N93" s="28"/>
      <c r="O93" s="28"/>
    </row>
    <row r="94" spans="1:15" ht="12.75" customHeight="1">
      <c r="A94" s="701" t="s">
        <v>7551</v>
      </c>
      <c r="B94" s="699" t="s">
        <v>7566</v>
      </c>
      <c r="C94" s="27" t="s">
        <v>3855</v>
      </c>
      <c r="D94" s="28" t="s">
        <v>7567</v>
      </c>
      <c r="E94" s="28" t="s">
        <v>3177</v>
      </c>
      <c r="F94" s="28" t="s">
        <v>3121</v>
      </c>
      <c r="G94" s="28"/>
      <c r="H94" s="28" t="s">
        <v>203</v>
      </c>
      <c r="I94" s="111" t="s">
        <v>203</v>
      </c>
      <c r="J94" s="28" t="s">
        <v>423</v>
      </c>
      <c r="K94" s="28" t="s">
        <v>113</v>
      </c>
      <c r="L94" s="28" t="s">
        <v>3178</v>
      </c>
      <c r="M94" s="28" t="s">
        <v>7568</v>
      </c>
      <c r="N94" s="28"/>
      <c r="O94" s="28"/>
    </row>
    <row r="95" spans="1:15" ht="12.75" customHeight="1">
      <c r="A95" s="701" t="s">
        <v>7551</v>
      </c>
      <c r="B95" s="699" t="s">
        <v>7569</v>
      </c>
      <c r="C95" s="27" t="s">
        <v>7570</v>
      </c>
      <c r="D95" s="28" t="s">
        <v>7571</v>
      </c>
      <c r="E95" s="28" t="s">
        <v>180</v>
      </c>
      <c r="F95" s="28" t="s">
        <v>7315</v>
      </c>
      <c r="G95" s="27" t="s">
        <v>7570</v>
      </c>
      <c r="H95" s="28" t="s">
        <v>203</v>
      </c>
      <c r="I95" s="111" t="s">
        <v>203</v>
      </c>
      <c r="J95" s="28" t="s">
        <v>423</v>
      </c>
      <c r="K95" s="28" t="s">
        <v>113</v>
      </c>
      <c r="L95" s="28" t="s">
        <v>3178</v>
      </c>
      <c r="M95" s="28" t="s">
        <v>7568</v>
      </c>
      <c r="N95" s="28"/>
      <c r="O95" s="28" t="s">
        <v>7572</v>
      </c>
    </row>
    <row r="96" spans="1:15" ht="12.75" customHeight="1">
      <c r="A96" s="701" t="s">
        <v>7551</v>
      </c>
      <c r="B96" s="699" t="s">
        <v>7573</v>
      </c>
      <c r="C96" s="28" t="s">
        <v>3862</v>
      </c>
      <c r="D96" s="28" t="s">
        <v>7574</v>
      </c>
      <c r="E96" s="28" t="s">
        <v>180</v>
      </c>
      <c r="F96" s="28" t="s">
        <v>7315</v>
      </c>
      <c r="G96" s="27" t="s">
        <v>3862</v>
      </c>
      <c r="H96" s="28" t="s">
        <v>203</v>
      </c>
      <c r="I96" s="111" t="s">
        <v>203</v>
      </c>
      <c r="J96" s="28" t="s">
        <v>423</v>
      </c>
      <c r="K96" s="28" t="s">
        <v>113</v>
      </c>
      <c r="L96" s="28" t="s">
        <v>3098</v>
      </c>
      <c r="M96" s="28" t="s">
        <v>7568</v>
      </c>
      <c r="N96" s="28"/>
      <c r="O96" s="28" t="s">
        <v>7575</v>
      </c>
    </row>
    <row r="97" spans="1:15" ht="12.75" customHeight="1">
      <c r="A97" s="701" t="s">
        <v>7551</v>
      </c>
      <c r="B97" s="699" t="s">
        <v>7576</v>
      </c>
      <c r="C97" s="27" t="s">
        <v>7577</v>
      </c>
      <c r="D97" s="28" t="s">
        <v>7578</v>
      </c>
      <c r="E97" s="28" t="s">
        <v>180</v>
      </c>
      <c r="F97" s="28" t="s">
        <v>7315</v>
      </c>
      <c r="G97" s="27" t="s">
        <v>7577</v>
      </c>
      <c r="H97" s="28" t="s">
        <v>203</v>
      </c>
      <c r="I97" s="111" t="s">
        <v>203</v>
      </c>
      <c r="J97" s="28" t="s">
        <v>423</v>
      </c>
      <c r="K97" s="28" t="s">
        <v>113</v>
      </c>
      <c r="L97" s="28" t="s">
        <v>3178</v>
      </c>
      <c r="M97" s="28" t="s">
        <v>7568</v>
      </c>
      <c r="N97" s="28"/>
      <c r="O97" s="28" t="s">
        <v>7579</v>
      </c>
    </row>
    <row r="98" spans="1:15" ht="12.75" customHeight="1">
      <c r="A98" s="701" t="s">
        <v>7551</v>
      </c>
      <c r="B98" s="699" t="s">
        <v>7580</v>
      </c>
      <c r="C98" s="28" t="s">
        <v>3867</v>
      </c>
      <c r="D98" s="28" t="s">
        <v>7581</v>
      </c>
      <c r="E98" s="28" t="s">
        <v>180</v>
      </c>
      <c r="F98" s="28" t="s">
        <v>7315</v>
      </c>
      <c r="G98" s="27" t="s">
        <v>7582</v>
      </c>
      <c r="H98" s="28" t="s">
        <v>203</v>
      </c>
      <c r="I98" s="111" t="s">
        <v>203</v>
      </c>
      <c r="J98" s="28" t="s">
        <v>423</v>
      </c>
      <c r="K98" s="28" t="s">
        <v>113</v>
      </c>
      <c r="L98" s="28" t="s">
        <v>3098</v>
      </c>
      <c r="M98" s="28" t="s">
        <v>7568</v>
      </c>
      <c r="N98" s="28"/>
      <c r="O98" s="28" t="s">
        <v>7583</v>
      </c>
    </row>
    <row r="99" spans="1:15" ht="12.75" customHeight="1">
      <c r="A99" s="701" t="s">
        <v>7551</v>
      </c>
      <c r="B99" s="699" t="s">
        <v>7584</v>
      </c>
      <c r="C99" s="28" t="s">
        <v>7585</v>
      </c>
      <c r="D99" s="28" t="s">
        <v>7586</v>
      </c>
      <c r="E99" s="27" t="s">
        <v>203</v>
      </c>
      <c r="F99" s="28" t="s">
        <v>3169</v>
      </c>
      <c r="G99" s="27" t="s">
        <v>3170</v>
      </c>
      <c r="H99" s="28" t="s">
        <v>203</v>
      </c>
      <c r="I99" s="111" t="s">
        <v>203</v>
      </c>
      <c r="J99" s="28" t="s">
        <v>423</v>
      </c>
      <c r="K99" s="28" t="s">
        <v>113</v>
      </c>
      <c r="L99" s="28" t="s">
        <v>3098</v>
      </c>
      <c r="M99" s="28"/>
      <c r="N99" s="28"/>
      <c r="O99" s="28" t="s">
        <v>7587</v>
      </c>
    </row>
    <row r="100" spans="1:15" ht="12.75" customHeight="1">
      <c r="A100" s="701" t="s">
        <v>7551</v>
      </c>
      <c r="B100" s="699" t="s">
        <v>7588</v>
      </c>
      <c r="C100" s="27" t="s">
        <v>3872</v>
      </c>
      <c r="D100" s="28" t="s">
        <v>7589</v>
      </c>
      <c r="E100" s="27" t="s">
        <v>203</v>
      </c>
      <c r="F100" s="28" t="s">
        <v>140</v>
      </c>
      <c r="G100" s="28"/>
      <c r="H100" s="28" t="s">
        <v>203</v>
      </c>
      <c r="I100" s="111" t="s">
        <v>203</v>
      </c>
      <c r="J100" s="28" t="s">
        <v>423</v>
      </c>
      <c r="K100" s="28" t="s">
        <v>113</v>
      </c>
      <c r="L100" s="28" t="s">
        <v>3178</v>
      </c>
      <c r="M100" s="28" t="s">
        <v>7590</v>
      </c>
      <c r="N100" s="28"/>
      <c r="O100" s="28" t="s">
        <v>7587</v>
      </c>
    </row>
    <row r="101" spans="1:15" ht="12.75" customHeight="1">
      <c r="A101" s="701" t="s">
        <v>7551</v>
      </c>
      <c r="B101" s="699" t="s">
        <v>7591</v>
      </c>
      <c r="C101" s="28" t="s">
        <v>3895</v>
      </c>
      <c r="D101" s="28" t="s">
        <v>7592</v>
      </c>
      <c r="E101" s="28" t="s">
        <v>203</v>
      </c>
      <c r="F101" s="28" t="s">
        <v>3169</v>
      </c>
      <c r="G101" s="28" t="s">
        <v>3170</v>
      </c>
      <c r="H101" s="28" t="s">
        <v>203</v>
      </c>
      <c r="I101" s="704" t="s">
        <v>203</v>
      </c>
      <c r="J101" s="704" t="s">
        <v>7593</v>
      </c>
      <c r="K101" s="28" t="s">
        <v>113</v>
      </c>
      <c r="L101" s="28" t="s">
        <v>3178</v>
      </c>
      <c r="M101" s="28" t="s">
        <v>7594</v>
      </c>
      <c r="N101" s="28"/>
      <c r="O101" s="28"/>
    </row>
    <row r="102" spans="1:15" ht="12.75" customHeight="1">
      <c r="A102" s="701" t="s">
        <v>7551</v>
      </c>
      <c r="B102" s="699" t="s">
        <v>7595</v>
      </c>
      <c r="C102" s="27" t="s">
        <v>3884</v>
      </c>
      <c r="D102" s="28" t="s">
        <v>7596</v>
      </c>
      <c r="E102" s="27" t="s">
        <v>203</v>
      </c>
      <c r="F102" s="28" t="s">
        <v>3456</v>
      </c>
      <c r="G102" s="27"/>
      <c r="H102" s="27" t="s">
        <v>7331</v>
      </c>
      <c r="I102" s="705" t="s">
        <v>7597</v>
      </c>
      <c r="J102" s="28" t="s">
        <v>423</v>
      </c>
      <c r="K102" s="28" t="s">
        <v>113</v>
      </c>
      <c r="L102" s="28" t="s">
        <v>3178</v>
      </c>
      <c r="M102" s="28" t="s">
        <v>7598</v>
      </c>
      <c r="N102" s="28"/>
      <c r="O102" s="28" t="s">
        <v>3889</v>
      </c>
    </row>
    <row r="103" spans="1:15" ht="12.75" customHeight="1">
      <c r="A103" s="701" t="s">
        <v>7551</v>
      </c>
      <c r="B103" s="699" t="s">
        <v>7599</v>
      </c>
      <c r="C103" s="27" t="s">
        <v>7600</v>
      </c>
      <c r="D103" s="28" t="s">
        <v>7601</v>
      </c>
      <c r="E103" s="27" t="s">
        <v>203</v>
      </c>
      <c r="F103" s="28" t="s">
        <v>3169</v>
      </c>
      <c r="G103" s="28" t="s">
        <v>3170</v>
      </c>
      <c r="H103" s="28"/>
      <c r="I103" s="111" t="s">
        <v>423</v>
      </c>
      <c r="J103" s="28" t="s">
        <v>7602</v>
      </c>
      <c r="K103" s="28" t="s">
        <v>113</v>
      </c>
      <c r="L103" s="28" t="s">
        <v>3178</v>
      </c>
      <c r="M103" s="28" t="s">
        <v>7594</v>
      </c>
      <c r="N103" s="28"/>
      <c r="O103" s="28"/>
    </row>
    <row r="104" spans="1:15" ht="12.75" customHeight="1">
      <c r="A104" s="701" t="s">
        <v>7551</v>
      </c>
      <c r="B104" s="699" t="s">
        <v>7604</v>
      </c>
      <c r="C104" s="27" t="s">
        <v>3924</v>
      </c>
      <c r="D104" s="28" t="s">
        <v>7605</v>
      </c>
      <c r="E104" s="27" t="s">
        <v>203</v>
      </c>
      <c r="F104" s="28" t="s">
        <v>140</v>
      </c>
      <c r="G104" s="27"/>
      <c r="H104" s="27" t="s">
        <v>203</v>
      </c>
      <c r="I104" s="111" t="s">
        <v>423</v>
      </c>
      <c r="J104" s="28" t="s">
        <v>423</v>
      </c>
      <c r="K104" s="28" t="s">
        <v>113</v>
      </c>
      <c r="L104" s="28" t="s">
        <v>3178</v>
      </c>
      <c r="M104" s="28" t="s">
        <v>7606</v>
      </c>
      <c r="N104" s="28"/>
      <c r="O104" s="28" t="s">
        <v>7607</v>
      </c>
    </row>
    <row r="105" spans="1:15" ht="12.75" customHeight="1">
      <c r="A105" s="701" t="s">
        <v>7551</v>
      </c>
      <c r="B105" s="699" t="s">
        <v>7608</v>
      </c>
      <c r="C105" s="28" t="s">
        <v>3931</v>
      </c>
      <c r="D105" s="28" t="s">
        <v>3933</v>
      </c>
      <c r="E105" s="28" t="s">
        <v>3177</v>
      </c>
      <c r="F105" s="28" t="s">
        <v>3121</v>
      </c>
      <c r="G105" s="28"/>
      <c r="H105" s="28" t="s">
        <v>203</v>
      </c>
      <c r="I105" s="111" t="s">
        <v>423</v>
      </c>
      <c r="J105" s="28" t="s">
        <v>423</v>
      </c>
      <c r="K105" s="28" t="s">
        <v>113</v>
      </c>
      <c r="L105" s="28" t="s">
        <v>3178</v>
      </c>
      <c r="M105" s="28" t="s">
        <v>7606</v>
      </c>
      <c r="N105" s="28"/>
      <c r="O105" s="28"/>
    </row>
    <row r="106" spans="1:15" ht="12.75" customHeight="1">
      <c r="A106" s="701" t="s">
        <v>7551</v>
      </c>
      <c r="B106" s="699" t="s">
        <v>7609</v>
      </c>
      <c r="C106" s="27" t="s">
        <v>3938</v>
      </c>
      <c r="D106" s="28" t="s">
        <v>3937</v>
      </c>
      <c r="E106" s="28" t="s">
        <v>180</v>
      </c>
      <c r="F106" s="28" t="s">
        <v>7315</v>
      </c>
      <c r="G106" s="27" t="s">
        <v>3938</v>
      </c>
      <c r="H106" s="28" t="s">
        <v>203</v>
      </c>
      <c r="I106" s="111" t="s">
        <v>423</v>
      </c>
      <c r="J106" s="28" t="s">
        <v>423</v>
      </c>
      <c r="K106" s="28" t="s">
        <v>113</v>
      </c>
      <c r="L106" s="28" t="s">
        <v>3178</v>
      </c>
      <c r="M106" s="28" t="s">
        <v>7606</v>
      </c>
      <c r="N106" s="28"/>
      <c r="O106" s="28"/>
    </row>
    <row r="107" spans="1:15" ht="12.75" customHeight="1">
      <c r="A107" s="701" t="s">
        <v>7551</v>
      </c>
      <c r="B107" s="699" t="s">
        <v>7610</v>
      </c>
      <c r="C107" s="27" t="s">
        <v>3946</v>
      </c>
      <c r="D107" s="28" t="s">
        <v>3945</v>
      </c>
      <c r="E107" s="28" t="s">
        <v>180</v>
      </c>
      <c r="F107" s="28" t="s">
        <v>7315</v>
      </c>
      <c r="G107" s="27" t="s">
        <v>3946</v>
      </c>
      <c r="H107" s="28" t="s">
        <v>203</v>
      </c>
      <c r="I107" s="111" t="s">
        <v>423</v>
      </c>
      <c r="J107" s="28" t="s">
        <v>423</v>
      </c>
      <c r="K107" s="28" t="s">
        <v>113</v>
      </c>
      <c r="L107" s="28" t="s">
        <v>3178</v>
      </c>
      <c r="M107" s="28" t="s">
        <v>7606</v>
      </c>
      <c r="N107" s="28"/>
      <c r="O107" s="28"/>
    </row>
    <row r="108" spans="1:15" ht="12.75" customHeight="1">
      <c r="A108" s="701" t="s">
        <v>7551</v>
      </c>
      <c r="B108" s="699" t="s">
        <v>7611</v>
      </c>
      <c r="C108" s="27" t="s">
        <v>3954</v>
      </c>
      <c r="D108" s="28" t="s">
        <v>3953</v>
      </c>
      <c r="E108" s="28" t="s">
        <v>180</v>
      </c>
      <c r="F108" s="28" t="s">
        <v>7315</v>
      </c>
      <c r="G108" s="27" t="s">
        <v>3954</v>
      </c>
      <c r="H108" s="28" t="s">
        <v>203</v>
      </c>
      <c r="I108" s="111" t="s">
        <v>423</v>
      </c>
      <c r="J108" s="28" t="s">
        <v>423</v>
      </c>
      <c r="K108" s="28" t="s">
        <v>113</v>
      </c>
      <c r="L108" s="28" t="s">
        <v>3178</v>
      </c>
      <c r="M108" s="28" t="s">
        <v>7606</v>
      </c>
      <c r="N108" s="28"/>
      <c r="O108" s="28"/>
    </row>
    <row r="109" spans="1:15" ht="12.75" customHeight="1">
      <c r="A109" s="701" t="s">
        <v>7551</v>
      </c>
      <c r="B109" s="699" t="s">
        <v>7612</v>
      </c>
      <c r="C109" s="27" t="s">
        <v>3962</v>
      </c>
      <c r="D109" s="28" t="s">
        <v>7613</v>
      </c>
      <c r="E109" s="27" t="s">
        <v>203</v>
      </c>
      <c r="F109" s="28" t="s">
        <v>140</v>
      </c>
      <c r="G109" s="27"/>
      <c r="H109" s="27" t="s">
        <v>203</v>
      </c>
      <c r="I109" s="111" t="s">
        <v>423</v>
      </c>
      <c r="J109" s="28" t="s">
        <v>423</v>
      </c>
      <c r="K109" s="28" t="s">
        <v>113</v>
      </c>
      <c r="L109" s="28" t="s">
        <v>1889</v>
      </c>
      <c r="M109" s="28"/>
      <c r="N109" s="28"/>
      <c r="O109" s="28"/>
    </row>
    <row r="110" spans="1:15" ht="12.75" customHeight="1">
      <c r="A110" s="701" t="s">
        <v>7551</v>
      </c>
      <c r="B110" s="699" t="s">
        <v>7614</v>
      </c>
      <c r="C110" s="27" t="s">
        <v>3970</v>
      </c>
      <c r="D110" s="28" t="s">
        <v>7615</v>
      </c>
      <c r="E110" s="27" t="s">
        <v>203</v>
      </c>
      <c r="F110" s="28" t="s">
        <v>3169</v>
      </c>
      <c r="G110" s="27" t="s">
        <v>3170</v>
      </c>
      <c r="H110" s="27" t="s">
        <v>203</v>
      </c>
      <c r="I110" s="111" t="s">
        <v>423</v>
      </c>
      <c r="J110" s="706" t="s">
        <v>423</v>
      </c>
      <c r="K110" s="28" t="s">
        <v>113</v>
      </c>
      <c r="L110" s="28" t="s">
        <v>3098</v>
      </c>
      <c r="M110" s="28"/>
      <c r="N110" s="28"/>
      <c r="O110" s="28" t="s">
        <v>7617</v>
      </c>
    </row>
    <row r="111" spans="1:15" ht="12.75" customHeight="1">
      <c r="A111" s="701" t="s">
        <v>7551</v>
      </c>
      <c r="B111" s="699" t="s">
        <v>7618</v>
      </c>
      <c r="C111" s="27" t="s">
        <v>6981</v>
      </c>
      <c r="D111" s="28" t="s">
        <v>7619</v>
      </c>
      <c r="E111" s="27" t="s">
        <v>203</v>
      </c>
      <c r="F111" s="28" t="s">
        <v>3169</v>
      </c>
      <c r="G111" s="27" t="s">
        <v>3170</v>
      </c>
      <c r="H111" s="27" t="s">
        <v>203</v>
      </c>
      <c r="I111" s="111" t="s">
        <v>423</v>
      </c>
      <c r="J111" s="706" t="s">
        <v>423</v>
      </c>
      <c r="K111" s="28" t="s">
        <v>113</v>
      </c>
      <c r="L111" s="28" t="s">
        <v>1889</v>
      </c>
      <c r="M111" s="28"/>
      <c r="N111" s="28"/>
      <c r="O111" s="28"/>
    </row>
    <row r="112" spans="1:15" ht="12.75" customHeight="1">
      <c r="A112" s="701" t="s">
        <v>7551</v>
      </c>
      <c r="B112" s="699" t="s">
        <v>7621</v>
      </c>
      <c r="C112" s="27" t="s">
        <v>3980</v>
      </c>
      <c r="D112" s="27" t="s">
        <v>7622</v>
      </c>
      <c r="E112" s="27" t="s">
        <v>203</v>
      </c>
      <c r="F112" s="27" t="s">
        <v>3456</v>
      </c>
      <c r="G112" s="111"/>
      <c r="H112" s="111" t="s">
        <v>7331</v>
      </c>
      <c r="I112" s="705" t="s">
        <v>7623</v>
      </c>
      <c r="J112" s="707" t="s">
        <v>7624</v>
      </c>
      <c r="K112" s="28" t="s">
        <v>113</v>
      </c>
      <c r="L112" s="28" t="s">
        <v>3098</v>
      </c>
      <c r="M112" s="28" t="s">
        <v>7625</v>
      </c>
      <c r="N112" s="28"/>
      <c r="O112" s="28" t="s">
        <v>7607</v>
      </c>
    </row>
    <row r="113" spans="1:15" ht="12.75" customHeight="1">
      <c r="A113" s="701" t="s">
        <v>7551</v>
      </c>
      <c r="B113" s="699" t="s">
        <v>7627</v>
      </c>
      <c r="C113" s="28" t="s">
        <v>3528</v>
      </c>
      <c r="D113" s="28" t="s">
        <v>3529</v>
      </c>
      <c r="E113" s="28" t="s">
        <v>3326</v>
      </c>
      <c r="F113" s="28" t="s">
        <v>3121</v>
      </c>
      <c r="G113" s="28"/>
      <c r="H113" s="28" t="s">
        <v>203</v>
      </c>
      <c r="I113" s="28" t="s">
        <v>203</v>
      </c>
      <c r="J113" s="28" t="s">
        <v>423</v>
      </c>
      <c r="K113" s="28" t="s">
        <v>113</v>
      </c>
      <c r="L113" s="28" t="s">
        <v>3098</v>
      </c>
      <c r="M113" s="28" t="s">
        <v>7628</v>
      </c>
      <c r="N113" s="702" t="s">
        <v>3531</v>
      </c>
      <c r="O113" s="28" t="s">
        <v>3532</v>
      </c>
    </row>
    <row r="114" spans="1:15" ht="12.75" customHeight="1">
      <c r="A114" s="701" t="s">
        <v>7551</v>
      </c>
      <c r="B114" s="699" t="s">
        <v>7629</v>
      </c>
      <c r="C114" s="702" t="s">
        <v>3567</v>
      </c>
      <c r="D114" s="28" t="s">
        <v>7630</v>
      </c>
      <c r="E114" s="28" t="s">
        <v>180</v>
      </c>
      <c r="F114" s="28" t="s">
        <v>7315</v>
      </c>
      <c r="G114" s="702" t="s">
        <v>3567</v>
      </c>
      <c r="H114" s="28" t="s">
        <v>203</v>
      </c>
      <c r="I114" s="28" t="s">
        <v>203</v>
      </c>
      <c r="J114" s="28" t="s">
        <v>423</v>
      </c>
      <c r="K114" s="28" t="s">
        <v>113</v>
      </c>
      <c r="L114" s="28" t="s">
        <v>3178</v>
      </c>
      <c r="M114" s="28" t="s">
        <v>3552</v>
      </c>
      <c r="N114" s="28"/>
      <c r="O114" s="28"/>
    </row>
    <row r="115" spans="1:15" ht="12.75" customHeight="1">
      <c r="A115" s="701" t="s">
        <v>7551</v>
      </c>
      <c r="B115" s="699" t="s">
        <v>7631</v>
      </c>
      <c r="C115" s="28" t="s">
        <v>3559</v>
      </c>
      <c r="D115" s="28" t="s">
        <v>7632</v>
      </c>
      <c r="E115" s="28" t="s">
        <v>180</v>
      </c>
      <c r="F115" s="28" t="s">
        <v>7315</v>
      </c>
      <c r="G115" s="28" t="s">
        <v>7633</v>
      </c>
      <c r="H115" s="28" t="s">
        <v>203</v>
      </c>
      <c r="I115" s="28" t="s">
        <v>203</v>
      </c>
      <c r="J115" s="28" t="s">
        <v>423</v>
      </c>
      <c r="K115" s="28" t="s">
        <v>113</v>
      </c>
      <c r="L115" s="28" t="s">
        <v>3178</v>
      </c>
      <c r="M115" s="28" t="s">
        <v>3552</v>
      </c>
      <c r="N115" s="28"/>
      <c r="O115" s="28"/>
    </row>
    <row r="116" spans="1:15" ht="12.75" customHeight="1">
      <c r="A116" s="701" t="s">
        <v>7551</v>
      </c>
      <c r="B116" s="699" t="s">
        <v>7634</v>
      </c>
      <c r="C116" s="28" t="s">
        <v>7635</v>
      </c>
      <c r="D116" s="28" t="s">
        <v>7636</v>
      </c>
      <c r="E116" s="28" t="s">
        <v>180</v>
      </c>
      <c r="F116" s="28" t="s">
        <v>7315</v>
      </c>
      <c r="G116" s="28" t="s">
        <v>3550</v>
      </c>
      <c r="H116" s="28" t="s">
        <v>203</v>
      </c>
      <c r="I116" s="28" t="s">
        <v>203</v>
      </c>
      <c r="J116" s="28" t="s">
        <v>423</v>
      </c>
      <c r="K116" s="28" t="s">
        <v>113</v>
      </c>
      <c r="L116" s="28" t="s">
        <v>3178</v>
      </c>
      <c r="M116" s="28" t="s">
        <v>3552</v>
      </c>
      <c r="N116" s="28"/>
      <c r="O116" s="28"/>
    </row>
    <row r="117" spans="1:15" ht="12.75" customHeight="1">
      <c r="A117" s="701" t="s">
        <v>7551</v>
      </c>
      <c r="B117" s="699" t="s">
        <v>7638</v>
      </c>
      <c r="C117" s="702" t="s">
        <v>7639</v>
      </c>
      <c r="D117" s="28" t="s">
        <v>7640</v>
      </c>
      <c r="E117" s="28" t="s">
        <v>180</v>
      </c>
      <c r="F117" s="28" t="s">
        <v>7315</v>
      </c>
      <c r="G117" s="702" t="s">
        <v>7639</v>
      </c>
      <c r="H117" s="28" t="s">
        <v>203</v>
      </c>
      <c r="I117" s="28" t="s">
        <v>203</v>
      </c>
      <c r="J117" s="28" t="s">
        <v>423</v>
      </c>
      <c r="K117" s="28" t="s">
        <v>113</v>
      </c>
      <c r="L117" s="28" t="s">
        <v>3178</v>
      </c>
      <c r="M117" s="28" t="s">
        <v>3552</v>
      </c>
      <c r="N117" s="28"/>
      <c r="O117" s="28"/>
    </row>
    <row r="118" spans="1:15" ht="12.75" customHeight="1">
      <c r="A118" s="701" t="s">
        <v>7551</v>
      </c>
      <c r="B118" s="699" t="s">
        <v>7641</v>
      </c>
      <c r="C118" s="28" t="s">
        <v>7642</v>
      </c>
      <c r="D118" s="28" t="s">
        <v>7643</v>
      </c>
      <c r="E118" s="28" t="s">
        <v>180</v>
      </c>
      <c r="F118" s="28" t="s">
        <v>7315</v>
      </c>
      <c r="G118" s="28" t="s">
        <v>7642</v>
      </c>
      <c r="H118" s="28" t="s">
        <v>203</v>
      </c>
      <c r="I118" s="28" t="s">
        <v>203</v>
      </c>
      <c r="J118" s="28" t="s">
        <v>423</v>
      </c>
      <c r="K118" s="28" t="s">
        <v>113</v>
      </c>
      <c r="L118" s="28" t="s">
        <v>3178</v>
      </c>
      <c r="M118" s="28" t="s">
        <v>3552</v>
      </c>
      <c r="N118" s="28"/>
      <c r="O118" s="28"/>
    </row>
    <row r="119" spans="1:15" ht="12.75" customHeight="1">
      <c r="A119" s="701" t="s">
        <v>7551</v>
      </c>
      <c r="B119" s="699" t="s">
        <v>7646</v>
      </c>
      <c r="C119" s="28" t="s">
        <v>7647</v>
      </c>
      <c r="D119" s="28" t="s">
        <v>7648</v>
      </c>
      <c r="E119" s="28" t="s">
        <v>180</v>
      </c>
      <c r="F119" s="28" t="s">
        <v>7315</v>
      </c>
      <c r="G119" s="28" t="s">
        <v>7647</v>
      </c>
      <c r="H119" s="28" t="s">
        <v>203</v>
      </c>
      <c r="I119" s="28" t="s">
        <v>203</v>
      </c>
      <c r="J119" s="28" t="s">
        <v>423</v>
      </c>
      <c r="K119" s="28" t="s">
        <v>113</v>
      </c>
      <c r="L119" s="28" t="s">
        <v>3178</v>
      </c>
      <c r="M119" s="28" t="s">
        <v>3552</v>
      </c>
      <c r="N119" s="28"/>
      <c r="O119" s="28"/>
    </row>
    <row r="120" spans="1:15" ht="12.75" customHeight="1">
      <c r="A120" s="701" t="s">
        <v>7551</v>
      </c>
      <c r="B120" s="699" t="s">
        <v>7649</v>
      </c>
      <c r="C120" s="702" t="s">
        <v>7650</v>
      </c>
      <c r="D120" s="28" t="s">
        <v>7651</v>
      </c>
      <c r="E120" s="28" t="s">
        <v>180</v>
      </c>
      <c r="F120" s="28" t="s">
        <v>7315</v>
      </c>
      <c r="G120" s="702" t="s">
        <v>7650</v>
      </c>
      <c r="H120" s="28" t="s">
        <v>203</v>
      </c>
      <c r="I120" s="28" t="s">
        <v>203</v>
      </c>
      <c r="J120" s="28" t="s">
        <v>423</v>
      </c>
      <c r="K120" s="28" t="s">
        <v>113</v>
      </c>
      <c r="L120" s="28" t="s">
        <v>3178</v>
      </c>
      <c r="M120" s="28" t="s">
        <v>3552</v>
      </c>
      <c r="N120" s="28"/>
      <c r="O120" s="28"/>
    </row>
    <row r="121" spans="1:15" ht="12.75" customHeight="1">
      <c r="A121" s="701" t="s">
        <v>7551</v>
      </c>
      <c r="B121" s="699" t="s">
        <v>7652</v>
      </c>
      <c r="C121" s="28" t="s">
        <v>7653</v>
      </c>
      <c r="D121" s="28" t="s">
        <v>7654</v>
      </c>
      <c r="E121" s="28" t="s">
        <v>180</v>
      </c>
      <c r="F121" s="28" t="s">
        <v>7315</v>
      </c>
      <c r="G121" s="28" t="s">
        <v>7653</v>
      </c>
      <c r="H121" s="28" t="s">
        <v>203</v>
      </c>
      <c r="I121" s="28" t="s">
        <v>203</v>
      </c>
      <c r="J121" s="28" t="s">
        <v>423</v>
      </c>
      <c r="K121" s="28" t="s">
        <v>113</v>
      </c>
      <c r="L121" s="28" t="s">
        <v>3178</v>
      </c>
      <c r="M121" s="28" t="s">
        <v>3552</v>
      </c>
      <c r="N121" s="28"/>
      <c r="O121" s="28"/>
    </row>
    <row r="122" spans="1:15" ht="12.75" customHeight="1">
      <c r="A122" s="701" t="s">
        <v>7551</v>
      </c>
      <c r="B122" s="699" t="s">
        <v>7657</v>
      </c>
      <c r="C122" s="28" t="s">
        <v>7658</v>
      </c>
      <c r="D122" s="111" t="s">
        <v>7659</v>
      </c>
      <c r="E122" s="28" t="s">
        <v>180</v>
      </c>
      <c r="F122" s="28" t="s">
        <v>7315</v>
      </c>
      <c r="G122" s="28" t="s">
        <v>7658</v>
      </c>
      <c r="H122" s="28" t="s">
        <v>203</v>
      </c>
      <c r="I122" s="28" t="s">
        <v>203</v>
      </c>
      <c r="J122" s="28" t="s">
        <v>423</v>
      </c>
      <c r="K122" s="28" t="s">
        <v>113</v>
      </c>
      <c r="L122" s="28" t="s">
        <v>3178</v>
      </c>
      <c r="M122" s="28" t="s">
        <v>3552</v>
      </c>
      <c r="N122" s="28"/>
      <c r="O122" s="28"/>
    </row>
    <row r="123" spans="1:15" ht="12.75" customHeight="1">
      <c r="A123" s="701" t="s">
        <v>7551</v>
      </c>
      <c r="B123" s="699" t="s">
        <v>7660</v>
      </c>
      <c r="C123" s="28" t="s">
        <v>7661</v>
      </c>
      <c r="D123" s="28" t="s">
        <v>7662</v>
      </c>
      <c r="E123" s="28" t="s">
        <v>180</v>
      </c>
      <c r="F123" s="28" t="s">
        <v>7315</v>
      </c>
      <c r="G123" s="28" t="s">
        <v>7661</v>
      </c>
      <c r="H123" s="28" t="s">
        <v>203</v>
      </c>
      <c r="I123" s="28" t="s">
        <v>203</v>
      </c>
      <c r="J123" s="28" t="s">
        <v>423</v>
      </c>
      <c r="K123" s="28" t="s">
        <v>113</v>
      </c>
      <c r="L123" s="28" t="s">
        <v>3178</v>
      </c>
      <c r="M123" s="28" t="s">
        <v>3552</v>
      </c>
      <c r="N123" s="28"/>
      <c r="O123" s="28"/>
    </row>
    <row r="124" spans="1:15" ht="12.75" customHeight="1">
      <c r="A124" s="701" t="s">
        <v>7551</v>
      </c>
      <c r="B124" s="699" t="s">
        <v>7663</v>
      </c>
      <c r="C124" s="28" t="s">
        <v>3688</v>
      </c>
      <c r="D124" s="28" t="s">
        <v>7664</v>
      </c>
      <c r="E124" s="28" t="s">
        <v>180</v>
      </c>
      <c r="F124" s="28" t="s">
        <v>7315</v>
      </c>
      <c r="G124" s="28" t="s">
        <v>3688</v>
      </c>
      <c r="H124" s="28" t="s">
        <v>203</v>
      </c>
      <c r="I124" s="28" t="s">
        <v>203</v>
      </c>
      <c r="J124" s="28" t="s">
        <v>423</v>
      </c>
      <c r="K124" s="28" t="s">
        <v>113</v>
      </c>
      <c r="L124" s="28" t="s">
        <v>3178</v>
      </c>
      <c r="M124" s="28" t="s">
        <v>3552</v>
      </c>
      <c r="N124" s="28"/>
      <c r="O124" s="28"/>
    </row>
    <row r="125" spans="1:15" ht="12.75" customHeight="1">
      <c r="A125" s="701" t="s">
        <v>7551</v>
      </c>
      <c r="B125" s="699" t="s">
        <v>7665</v>
      </c>
      <c r="C125" s="28" t="s">
        <v>3697</v>
      </c>
      <c r="D125" s="28" t="s">
        <v>7666</v>
      </c>
      <c r="E125" s="28" t="s">
        <v>180</v>
      </c>
      <c r="F125" s="28" t="s">
        <v>7315</v>
      </c>
      <c r="G125" s="28" t="s">
        <v>3697</v>
      </c>
      <c r="H125" s="28" t="s">
        <v>203</v>
      </c>
      <c r="I125" s="28" t="s">
        <v>203</v>
      </c>
      <c r="J125" s="28" t="s">
        <v>423</v>
      </c>
      <c r="K125" s="28" t="s">
        <v>113</v>
      </c>
      <c r="L125" s="28" t="s">
        <v>3178</v>
      </c>
      <c r="M125" s="28" t="s">
        <v>3552</v>
      </c>
      <c r="N125" s="28"/>
      <c r="O125" s="28"/>
    </row>
    <row r="126" spans="1:15" ht="12.75" customHeight="1">
      <c r="A126" s="701" t="s">
        <v>7551</v>
      </c>
      <c r="B126" s="699" t="s">
        <v>7667</v>
      </c>
      <c r="C126" s="28" t="s">
        <v>3596</v>
      </c>
      <c r="D126" s="28" t="s">
        <v>7668</v>
      </c>
      <c r="E126" s="28" t="s">
        <v>180</v>
      </c>
      <c r="F126" s="28" t="s">
        <v>7315</v>
      </c>
      <c r="G126" s="28" t="s">
        <v>3596</v>
      </c>
      <c r="H126" s="28" t="s">
        <v>203</v>
      </c>
      <c r="I126" s="28" t="s">
        <v>203</v>
      </c>
      <c r="J126" s="28" t="s">
        <v>423</v>
      </c>
      <c r="K126" s="28" t="s">
        <v>113</v>
      </c>
      <c r="L126" s="28" t="s">
        <v>3178</v>
      </c>
      <c r="M126" s="28" t="s">
        <v>3552</v>
      </c>
      <c r="N126" s="28"/>
      <c r="O126" s="28"/>
    </row>
    <row r="127" spans="1:15" ht="12.75" customHeight="1">
      <c r="A127" s="701" t="s">
        <v>7551</v>
      </c>
      <c r="B127" s="699" t="s">
        <v>7670</v>
      </c>
      <c r="C127" s="28" t="s">
        <v>3604</v>
      </c>
      <c r="D127" s="28" t="s">
        <v>7671</v>
      </c>
      <c r="E127" s="28" t="s">
        <v>180</v>
      </c>
      <c r="F127" s="28" t="s">
        <v>7315</v>
      </c>
      <c r="G127" s="28" t="s">
        <v>3604</v>
      </c>
      <c r="H127" s="28" t="s">
        <v>203</v>
      </c>
      <c r="I127" s="28" t="s">
        <v>203</v>
      </c>
      <c r="J127" s="28" t="s">
        <v>423</v>
      </c>
      <c r="K127" s="28" t="s">
        <v>113</v>
      </c>
      <c r="L127" s="28" t="s">
        <v>3178</v>
      </c>
      <c r="M127" s="28" t="s">
        <v>3552</v>
      </c>
      <c r="N127" s="28"/>
      <c r="O127" s="28"/>
    </row>
    <row r="128" spans="1:15" ht="12.75" customHeight="1">
      <c r="A128" s="701" t="s">
        <v>7551</v>
      </c>
      <c r="B128" s="699" t="s">
        <v>7672</v>
      </c>
      <c r="C128" s="28" t="s">
        <v>3613</v>
      </c>
      <c r="D128" s="28" t="s">
        <v>7673</v>
      </c>
      <c r="E128" s="28" t="s">
        <v>180</v>
      </c>
      <c r="F128" s="28" t="s">
        <v>7315</v>
      </c>
      <c r="G128" s="28" t="s">
        <v>3613</v>
      </c>
      <c r="H128" s="28" t="s">
        <v>203</v>
      </c>
      <c r="I128" s="28" t="s">
        <v>203</v>
      </c>
      <c r="J128" s="28" t="s">
        <v>423</v>
      </c>
      <c r="K128" s="28" t="s">
        <v>113</v>
      </c>
      <c r="L128" s="28" t="s">
        <v>3178</v>
      </c>
      <c r="M128" s="28" t="s">
        <v>3552</v>
      </c>
      <c r="N128" s="28"/>
      <c r="O128" s="28"/>
    </row>
    <row r="129" spans="1:15" ht="12.75" customHeight="1">
      <c r="A129" s="701" t="s">
        <v>7551</v>
      </c>
      <c r="B129" s="699" t="s">
        <v>7675</v>
      </c>
      <c r="C129" s="28" t="s">
        <v>3761</v>
      </c>
      <c r="D129" s="28" t="s">
        <v>7676</v>
      </c>
      <c r="E129" s="28" t="s">
        <v>180</v>
      </c>
      <c r="F129" s="28" t="s">
        <v>7315</v>
      </c>
      <c r="G129" s="28" t="s">
        <v>3761</v>
      </c>
      <c r="H129" s="28" t="s">
        <v>203</v>
      </c>
      <c r="I129" s="28" t="s">
        <v>203</v>
      </c>
      <c r="J129" s="28" t="s">
        <v>423</v>
      </c>
      <c r="K129" s="28" t="s">
        <v>113</v>
      </c>
      <c r="L129" s="28" t="s">
        <v>3178</v>
      </c>
      <c r="M129" s="28" t="s">
        <v>3552</v>
      </c>
      <c r="N129" s="28"/>
      <c r="O129" s="28"/>
    </row>
    <row r="130" spans="1:15" ht="12.75" customHeight="1">
      <c r="A130" s="701" t="s">
        <v>7551</v>
      </c>
      <c r="B130" s="699" t="s">
        <v>7678</v>
      </c>
      <c r="C130" s="702" t="s">
        <v>7679</v>
      </c>
      <c r="D130" s="28" t="s">
        <v>7680</v>
      </c>
      <c r="E130" s="28" t="s">
        <v>180</v>
      </c>
      <c r="F130" s="28" t="s">
        <v>7315</v>
      </c>
      <c r="G130" s="702" t="s">
        <v>7679</v>
      </c>
      <c r="H130" s="28" t="s">
        <v>203</v>
      </c>
      <c r="I130" s="28" t="s">
        <v>203</v>
      </c>
      <c r="J130" s="28" t="s">
        <v>423</v>
      </c>
      <c r="K130" s="28" t="s">
        <v>113</v>
      </c>
      <c r="L130" s="28" t="s">
        <v>1889</v>
      </c>
      <c r="M130" s="28"/>
      <c r="N130" s="28"/>
      <c r="O130" s="28"/>
    </row>
    <row r="131" spans="1:15" ht="12.75" customHeight="1">
      <c r="A131" s="701" t="s">
        <v>7551</v>
      </c>
      <c r="B131" s="699" t="s">
        <v>7681</v>
      </c>
      <c r="C131" s="28" t="s">
        <v>7682</v>
      </c>
      <c r="D131" s="28" t="s">
        <v>7683</v>
      </c>
      <c r="E131" s="28" t="s">
        <v>180</v>
      </c>
      <c r="F131" s="28" t="s">
        <v>7315</v>
      </c>
      <c r="G131" s="28" t="s">
        <v>7682</v>
      </c>
      <c r="H131" s="28" t="s">
        <v>203</v>
      </c>
      <c r="I131" s="28" t="s">
        <v>203</v>
      </c>
      <c r="J131" s="28" t="s">
        <v>423</v>
      </c>
      <c r="K131" s="28" t="s">
        <v>113</v>
      </c>
      <c r="L131" s="28" t="s">
        <v>3178</v>
      </c>
      <c r="M131" s="28" t="s">
        <v>3730</v>
      </c>
      <c r="N131" s="28"/>
      <c r="O131" s="28"/>
    </row>
    <row r="132" spans="1:15" ht="12.75" customHeight="1">
      <c r="A132" s="701" t="s">
        <v>7551</v>
      </c>
      <c r="B132" s="699" t="s">
        <v>7685</v>
      </c>
      <c r="C132" s="28" t="s">
        <v>7686</v>
      </c>
      <c r="D132" s="28" t="s">
        <v>7687</v>
      </c>
      <c r="E132" s="28" t="s">
        <v>180</v>
      </c>
      <c r="F132" s="28" t="s">
        <v>7315</v>
      </c>
      <c r="G132" s="28" t="s">
        <v>7686</v>
      </c>
      <c r="H132" s="28" t="s">
        <v>203</v>
      </c>
      <c r="I132" s="28" t="s">
        <v>203</v>
      </c>
      <c r="J132" s="28" t="s">
        <v>423</v>
      </c>
      <c r="K132" s="28" t="s">
        <v>113</v>
      </c>
      <c r="L132" s="28" t="s">
        <v>3178</v>
      </c>
      <c r="M132" s="28" t="s">
        <v>3552</v>
      </c>
      <c r="N132" s="28"/>
      <c r="O132" s="28"/>
    </row>
    <row r="133" spans="1:15" ht="12.75" customHeight="1">
      <c r="A133" s="701" t="s">
        <v>7551</v>
      </c>
      <c r="B133" s="699" t="s">
        <v>7688</v>
      </c>
      <c r="C133" s="28" t="s">
        <v>3679</v>
      </c>
      <c r="D133" s="28" t="s">
        <v>7689</v>
      </c>
      <c r="E133" s="28" t="s">
        <v>180</v>
      </c>
      <c r="F133" s="28" t="s">
        <v>7315</v>
      </c>
      <c r="G133" s="28" t="s">
        <v>3679</v>
      </c>
      <c r="H133" s="28" t="s">
        <v>203</v>
      </c>
      <c r="I133" s="28" t="s">
        <v>203</v>
      </c>
      <c r="J133" s="28" t="s">
        <v>423</v>
      </c>
      <c r="K133" s="28" t="s">
        <v>113</v>
      </c>
      <c r="L133" s="28" t="s">
        <v>3178</v>
      </c>
      <c r="M133" s="28" t="s">
        <v>3552</v>
      </c>
      <c r="N133" s="28"/>
      <c r="O133" s="28"/>
    </row>
    <row r="134" spans="1:15" ht="12.75" customHeight="1">
      <c r="A134" s="701" t="s">
        <v>7551</v>
      </c>
      <c r="B134" s="699" t="s">
        <v>7690</v>
      </c>
      <c r="C134" s="28" t="s">
        <v>3754</v>
      </c>
      <c r="D134" s="28" t="s">
        <v>7691</v>
      </c>
      <c r="E134" s="28" t="s">
        <v>180</v>
      </c>
      <c r="F134" s="28" t="s">
        <v>7315</v>
      </c>
      <c r="G134" s="28" t="s">
        <v>3754</v>
      </c>
      <c r="H134" s="28" t="s">
        <v>203</v>
      </c>
      <c r="I134" s="28" t="s">
        <v>203</v>
      </c>
      <c r="J134" s="28" t="s">
        <v>423</v>
      </c>
      <c r="K134" s="28" t="s">
        <v>113</v>
      </c>
      <c r="L134" s="28" t="s">
        <v>3178</v>
      </c>
      <c r="M134" s="28" t="s">
        <v>3552</v>
      </c>
      <c r="N134" s="28"/>
      <c r="O134" s="28"/>
    </row>
    <row r="135" spans="1:15" ht="12.75" customHeight="1">
      <c r="A135" s="701" t="s">
        <v>7551</v>
      </c>
      <c r="B135" s="699" t="s">
        <v>7692</v>
      </c>
      <c r="C135" s="28" t="s">
        <v>3729</v>
      </c>
      <c r="D135" s="28" t="s">
        <v>7693</v>
      </c>
      <c r="E135" s="28" t="s">
        <v>180</v>
      </c>
      <c r="F135" s="28" t="s">
        <v>7315</v>
      </c>
      <c r="G135" s="28" t="s">
        <v>3729</v>
      </c>
      <c r="H135" s="28" t="s">
        <v>203</v>
      </c>
      <c r="I135" s="28" t="s">
        <v>203</v>
      </c>
      <c r="J135" s="28" t="s">
        <v>423</v>
      </c>
      <c r="K135" s="28" t="s">
        <v>113</v>
      </c>
      <c r="L135" s="28" t="s">
        <v>3178</v>
      </c>
      <c r="M135" s="28" t="s">
        <v>3730</v>
      </c>
      <c r="N135" s="28"/>
      <c r="O135" s="28"/>
    </row>
    <row r="136" spans="1:15" ht="12.75" customHeight="1">
      <c r="A136" s="701" t="s">
        <v>7551</v>
      </c>
      <c r="B136" s="699" t="s">
        <v>7694</v>
      </c>
      <c r="C136" s="28" t="s">
        <v>3722</v>
      </c>
      <c r="D136" s="28" t="s">
        <v>7695</v>
      </c>
      <c r="E136" s="28" t="s">
        <v>180</v>
      </c>
      <c r="F136" s="28" t="s">
        <v>7315</v>
      </c>
      <c r="G136" s="28" t="s">
        <v>3722</v>
      </c>
      <c r="H136" s="28" t="s">
        <v>203</v>
      </c>
      <c r="I136" s="28" t="s">
        <v>203</v>
      </c>
      <c r="J136" s="28" t="s">
        <v>423</v>
      </c>
      <c r="K136" s="28" t="s">
        <v>113</v>
      </c>
      <c r="L136" s="28" t="s">
        <v>3178</v>
      </c>
      <c r="M136" s="28" t="s">
        <v>3552</v>
      </c>
      <c r="N136" s="28"/>
      <c r="O136" s="28"/>
    </row>
    <row r="137" spans="1:15" ht="12.75" customHeight="1">
      <c r="A137" s="701" t="s">
        <v>7551</v>
      </c>
      <c r="B137" s="699" t="s">
        <v>7696</v>
      </c>
      <c r="C137" s="28" t="s">
        <v>3748</v>
      </c>
      <c r="D137" s="28" t="s">
        <v>7697</v>
      </c>
      <c r="E137" s="28" t="s">
        <v>180</v>
      </c>
      <c r="F137" s="28" t="s">
        <v>7315</v>
      </c>
      <c r="G137" s="28" t="s">
        <v>3748</v>
      </c>
      <c r="H137" s="28" t="s">
        <v>203</v>
      </c>
      <c r="I137" s="28" t="s">
        <v>203</v>
      </c>
      <c r="J137" s="28" t="s">
        <v>423</v>
      </c>
      <c r="K137" s="28" t="s">
        <v>113</v>
      </c>
      <c r="L137" s="28" t="s">
        <v>3178</v>
      </c>
      <c r="M137" s="28" t="s">
        <v>3730</v>
      </c>
      <c r="N137" s="28"/>
      <c r="O137" s="28"/>
    </row>
    <row r="138" spans="1:15" ht="12.75" customHeight="1">
      <c r="A138" s="701" t="s">
        <v>7551</v>
      </c>
      <c r="B138" s="699" t="s">
        <v>7698</v>
      </c>
      <c r="C138" s="28" t="s">
        <v>3543</v>
      </c>
      <c r="D138" s="28" t="s">
        <v>7699</v>
      </c>
      <c r="E138" s="28" t="s">
        <v>180</v>
      </c>
      <c r="F138" s="28" t="s">
        <v>7315</v>
      </c>
      <c r="G138" s="28" t="s">
        <v>3543</v>
      </c>
      <c r="H138" s="28" t="s">
        <v>203</v>
      </c>
      <c r="I138" s="111" t="s">
        <v>203</v>
      </c>
      <c r="J138" s="27" t="s">
        <v>3544</v>
      </c>
      <c r="K138" s="28" t="s">
        <v>113</v>
      </c>
      <c r="L138" s="28" t="s">
        <v>3178</v>
      </c>
      <c r="M138" s="28" t="s">
        <v>7700</v>
      </c>
      <c r="N138" s="28"/>
      <c r="O138" s="28"/>
    </row>
    <row r="139" spans="1:15" ht="12.75" customHeight="1">
      <c r="A139" s="701" t="s">
        <v>7551</v>
      </c>
      <c r="B139" s="699" t="s">
        <v>7701</v>
      </c>
      <c r="C139" s="28" t="s">
        <v>7702</v>
      </c>
      <c r="D139" s="28" t="s">
        <v>7703</v>
      </c>
      <c r="E139" s="28" t="s">
        <v>180</v>
      </c>
      <c r="F139" s="28" t="s">
        <v>7315</v>
      </c>
      <c r="G139" s="28" t="s">
        <v>7702</v>
      </c>
      <c r="H139" s="28" t="s">
        <v>203</v>
      </c>
      <c r="I139" s="111" t="s">
        <v>203</v>
      </c>
      <c r="J139" s="28" t="s">
        <v>423</v>
      </c>
      <c r="K139" s="28" t="s">
        <v>113</v>
      </c>
      <c r="L139" s="28" t="s">
        <v>3178</v>
      </c>
      <c r="M139" s="28" t="s">
        <v>3552</v>
      </c>
      <c r="N139" s="28"/>
      <c r="O139" s="28"/>
    </row>
    <row r="140" spans="1:15" ht="12.75" customHeight="1">
      <c r="A140" s="701" t="s">
        <v>7551</v>
      </c>
      <c r="B140" s="699" t="s">
        <v>7704</v>
      </c>
      <c r="C140" s="28" t="s">
        <v>3768</v>
      </c>
      <c r="D140" s="28" t="s">
        <v>7705</v>
      </c>
      <c r="E140" s="28" t="s">
        <v>180</v>
      </c>
      <c r="F140" s="28" t="s">
        <v>7315</v>
      </c>
      <c r="G140" s="28" t="s">
        <v>3768</v>
      </c>
      <c r="H140" s="28" t="s">
        <v>203</v>
      </c>
      <c r="I140" s="111" t="s">
        <v>203</v>
      </c>
      <c r="J140" s="28" t="s">
        <v>423</v>
      </c>
      <c r="K140" s="28" t="s">
        <v>113</v>
      </c>
      <c r="L140" s="28" t="s">
        <v>3178</v>
      </c>
      <c r="M140" s="28" t="s">
        <v>3730</v>
      </c>
      <c r="N140" s="28"/>
      <c r="O140" s="28"/>
    </row>
    <row r="141" spans="1:15" ht="12.75" customHeight="1">
      <c r="A141" s="701" t="s">
        <v>7551</v>
      </c>
      <c r="B141" s="699" t="s">
        <v>7706</v>
      </c>
      <c r="C141" s="28" t="s">
        <v>3642</v>
      </c>
      <c r="D141" s="28" t="s">
        <v>7707</v>
      </c>
      <c r="E141" s="28" t="s">
        <v>203</v>
      </c>
      <c r="F141" s="28" t="s">
        <v>140</v>
      </c>
      <c r="G141" s="28"/>
      <c r="H141" s="28" t="s">
        <v>203</v>
      </c>
      <c r="I141" s="111" t="s">
        <v>203</v>
      </c>
      <c r="J141" s="28" t="s">
        <v>7708</v>
      </c>
      <c r="K141" s="28" t="s">
        <v>113</v>
      </c>
      <c r="L141" s="28" t="s">
        <v>3178</v>
      </c>
      <c r="M141" s="27" t="s">
        <v>7709</v>
      </c>
      <c r="N141" s="28"/>
      <c r="O141" s="28"/>
    </row>
    <row r="142" spans="1:15" ht="12.75" customHeight="1">
      <c r="A142" s="701" t="s">
        <v>7551</v>
      </c>
      <c r="B142" s="699" t="s">
        <v>7710</v>
      </c>
      <c r="C142" s="28" t="s">
        <v>3635</v>
      </c>
      <c r="D142" s="28" t="s">
        <v>7711</v>
      </c>
      <c r="E142" s="28" t="s">
        <v>203</v>
      </c>
      <c r="F142" s="28" t="s">
        <v>140</v>
      </c>
      <c r="G142" s="28"/>
      <c r="H142" s="28" t="s">
        <v>203</v>
      </c>
      <c r="I142" s="111" t="s">
        <v>203</v>
      </c>
      <c r="J142" s="28" t="s">
        <v>7712</v>
      </c>
      <c r="K142" s="28" t="s">
        <v>113</v>
      </c>
      <c r="L142" s="28" t="s">
        <v>3178</v>
      </c>
      <c r="M142" s="28" t="s">
        <v>7713</v>
      </c>
      <c r="N142" s="28"/>
      <c r="O142" s="28"/>
    </row>
    <row r="143" spans="1:15" ht="12.75" customHeight="1">
      <c r="A143" s="701" t="s">
        <v>7551</v>
      </c>
      <c r="B143" s="699" t="s">
        <v>7714</v>
      </c>
      <c r="C143" s="28" t="s">
        <v>3708</v>
      </c>
      <c r="D143" s="28" t="s">
        <v>7715</v>
      </c>
      <c r="E143" s="28" t="s">
        <v>203</v>
      </c>
      <c r="F143" s="28" t="s">
        <v>140</v>
      </c>
      <c r="G143" s="28"/>
      <c r="H143" s="28" t="s">
        <v>203</v>
      </c>
      <c r="I143" s="111" t="s">
        <v>203</v>
      </c>
      <c r="J143" s="28" t="s">
        <v>7716</v>
      </c>
      <c r="K143" s="28" t="s">
        <v>113</v>
      </c>
      <c r="L143" s="28" t="s">
        <v>3178</v>
      </c>
      <c r="M143" s="28" t="s">
        <v>7717</v>
      </c>
      <c r="N143" s="28"/>
      <c r="O143" s="28"/>
    </row>
    <row r="144" spans="1:15" ht="12.75" customHeight="1">
      <c r="A144" s="701" t="s">
        <v>7551</v>
      </c>
      <c r="B144" s="699" t="s">
        <v>7718</v>
      </c>
      <c r="C144" s="28" t="s">
        <v>3735</v>
      </c>
      <c r="D144" s="28" t="s">
        <v>7719</v>
      </c>
      <c r="E144" s="28" t="s">
        <v>203</v>
      </c>
      <c r="F144" s="28" t="s">
        <v>140</v>
      </c>
      <c r="G144" s="28"/>
      <c r="H144" s="28" t="s">
        <v>203</v>
      </c>
      <c r="I144" s="111" t="s">
        <v>203</v>
      </c>
      <c r="J144" s="28" t="s">
        <v>7720</v>
      </c>
      <c r="K144" s="28" t="s">
        <v>113</v>
      </c>
      <c r="L144" s="27" t="s">
        <v>3178</v>
      </c>
      <c r="M144" s="28" t="s">
        <v>7721</v>
      </c>
      <c r="N144" s="27"/>
      <c r="O144" s="27"/>
    </row>
    <row r="145" spans="1:15" ht="12.75" customHeight="1">
      <c r="A145" s="701" t="s">
        <v>7551</v>
      </c>
      <c r="B145" s="699" t="s">
        <v>7722</v>
      </c>
      <c r="C145" s="28" t="s">
        <v>7723</v>
      </c>
      <c r="D145" s="28" t="s">
        <v>7724</v>
      </c>
      <c r="E145" s="28" t="s">
        <v>3326</v>
      </c>
      <c r="F145" s="28" t="s">
        <v>3121</v>
      </c>
      <c r="G145" s="28"/>
      <c r="H145" s="28" t="s">
        <v>203</v>
      </c>
      <c r="I145" s="111" t="s">
        <v>203</v>
      </c>
      <c r="J145" s="28" t="s">
        <v>423</v>
      </c>
      <c r="K145" s="28" t="s">
        <v>113</v>
      </c>
      <c r="L145" s="27" t="s">
        <v>1889</v>
      </c>
      <c r="M145" s="28" t="s">
        <v>7725</v>
      </c>
      <c r="N145" s="27"/>
      <c r="O145" s="27"/>
    </row>
    <row r="146" spans="1:15" ht="12.75" customHeight="1">
      <c r="A146" s="701" t="s">
        <v>7551</v>
      </c>
      <c r="B146" s="699" t="s">
        <v>7726</v>
      </c>
      <c r="C146" s="28" t="s">
        <v>5266</v>
      </c>
      <c r="D146" s="28" t="s">
        <v>5268</v>
      </c>
      <c r="E146" s="28" t="s">
        <v>180</v>
      </c>
      <c r="F146" s="28" t="s">
        <v>7315</v>
      </c>
      <c r="G146" s="28" t="s">
        <v>5266</v>
      </c>
      <c r="H146" s="28" t="s">
        <v>203</v>
      </c>
      <c r="I146" s="28" t="s">
        <v>203</v>
      </c>
      <c r="J146" s="28" t="s">
        <v>423</v>
      </c>
      <c r="K146" s="28" t="s">
        <v>113</v>
      </c>
      <c r="L146" s="28" t="s">
        <v>1889</v>
      </c>
      <c r="M146" s="28"/>
      <c r="N146" s="27"/>
      <c r="O146" s="111"/>
    </row>
    <row r="147" spans="1:15" ht="12.75" customHeight="1">
      <c r="A147" s="701" t="s">
        <v>7551</v>
      </c>
      <c r="B147" s="699" t="s">
        <v>7728</v>
      </c>
      <c r="C147" s="28" t="s">
        <v>5271</v>
      </c>
      <c r="D147" s="28" t="s">
        <v>7504</v>
      </c>
      <c r="E147" s="28" t="s">
        <v>180</v>
      </c>
      <c r="F147" s="28" t="s">
        <v>7315</v>
      </c>
      <c r="G147" s="28" t="s">
        <v>5271</v>
      </c>
      <c r="H147" s="28" t="s">
        <v>203</v>
      </c>
      <c r="I147" s="28" t="s">
        <v>203</v>
      </c>
      <c r="J147" s="28" t="s">
        <v>423</v>
      </c>
      <c r="K147" s="28" t="s">
        <v>113</v>
      </c>
      <c r="L147" s="28" t="s">
        <v>1889</v>
      </c>
      <c r="M147" s="28"/>
      <c r="N147" s="27"/>
      <c r="O147" s="111"/>
    </row>
    <row r="148" spans="1:15" ht="12.75" customHeight="1">
      <c r="A148" s="701" t="s">
        <v>7551</v>
      </c>
      <c r="B148" s="699" t="s">
        <v>7729</v>
      </c>
      <c r="C148" s="28" t="s">
        <v>3797</v>
      </c>
      <c r="D148" s="28" t="s">
        <v>7731</v>
      </c>
      <c r="E148" s="28" t="s">
        <v>180</v>
      </c>
      <c r="F148" s="28" t="s">
        <v>7315</v>
      </c>
      <c r="G148" s="28" t="s">
        <v>3797</v>
      </c>
      <c r="H148" s="28" t="s">
        <v>203</v>
      </c>
      <c r="I148" s="28" t="s">
        <v>203</v>
      </c>
      <c r="J148" s="28" t="s">
        <v>423</v>
      </c>
      <c r="K148" s="28" t="s">
        <v>113</v>
      </c>
      <c r="L148" s="28" t="s">
        <v>1889</v>
      </c>
      <c r="M148" s="28"/>
      <c r="N148" s="27"/>
      <c r="O148" s="111"/>
    </row>
    <row r="149" spans="1:15" ht="12.75" customHeight="1">
      <c r="A149" s="701" t="s">
        <v>7551</v>
      </c>
      <c r="B149" s="699" t="s">
        <v>7733</v>
      </c>
      <c r="C149" s="28" t="s">
        <v>7734</v>
      </c>
      <c r="D149" s="28" t="s">
        <v>7735</v>
      </c>
      <c r="E149" s="28" t="s">
        <v>180</v>
      </c>
      <c r="F149" s="28" t="s">
        <v>7315</v>
      </c>
      <c r="G149" s="28" t="s">
        <v>3801</v>
      </c>
      <c r="H149" s="28" t="s">
        <v>203</v>
      </c>
      <c r="I149" s="28" t="s">
        <v>203</v>
      </c>
      <c r="J149" s="28" t="s">
        <v>423</v>
      </c>
      <c r="K149" s="28" t="s">
        <v>113</v>
      </c>
      <c r="L149" s="28" t="s">
        <v>1889</v>
      </c>
      <c r="M149" s="28"/>
      <c r="N149" s="27"/>
      <c r="O149" s="111"/>
    </row>
    <row r="150" spans="1:15" ht="12.75" customHeight="1">
      <c r="A150" s="701" t="s">
        <v>7551</v>
      </c>
      <c r="B150" s="699" t="s">
        <v>7736</v>
      </c>
      <c r="C150" s="28" t="s">
        <v>7737</v>
      </c>
      <c r="D150" s="28" t="s">
        <v>7738</v>
      </c>
      <c r="E150" s="28" t="s">
        <v>180</v>
      </c>
      <c r="F150" s="28" t="s">
        <v>7315</v>
      </c>
      <c r="G150" s="28" t="s">
        <v>3819</v>
      </c>
      <c r="H150" s="28" t="s">
        <v>203</v>
      </c>
      <c r="I150" s="28" t="s">
        <v>203</v>
      </c>
      <c r="J150" s="28" t="s">
        <v>423</v>
      </c>
      <c r="K150" s="28" t="s">
        <v>113</v>
      </c>
      <c r="L150" s="28" t="s">
        <v>1889</v>
      </c>
      <c r="M150" s="28"/>
      <c r="N150" s="28"/>
      <c r="O150" s="111"/>
    </row>
    <row r="151" spans="1:15" ht="12.75" customHeight="1">
      <c r="A151" s="701" t="s">
        <v>7551</v>
      </c>
      <c r="B151" s="699" t="s">
        <v>7741</v>
      </c>
      <c r="C151" s="28" t="s">
        <v>3828</v>
      </c>
      <c r="D151" s="28" t="s">
        <v>7508</v>
      </c>
      <c r="E151" s="28" t="s">
        <v>180</v>
      </c>
      <c r="F151" s="28" t="s">
        <v>7315</v>
      </c>
      <c r="G151" s="28" t="s">
        <v>3828</v>
      </c>
      <c r="H151" s="28" t="s">
        <v>203</v>
      </c>
      <c r="I151" s="28" t="s">
        <v>203</v>
      </c>
      <c r="J151" s="28" t="s">
        <v>423</v>
      </c>
      <c r="K151" s="28" t="s">
        <v>113</v>
      </c>
      <c r="L151" s="28" t="s">
        <v>1889</v>
      </c>
      <c r="M151" s="28"/>
      <c r="N151" s="28"/>
      <c r="O151" s="111"/>
    </row>
    <row r="152" spans="1:15" ht="12.75" customHeight="1">
      <c r="A152" s="701" t="s">
        <v>7551</v>
      </c>
      <c r="B152" s="699" t="s">
        <v>7742</v>
      </c>
      <c r="C152" s="28" t="s">
        <v>3814</v>
      </c>
      <c r="D152" s="28" t="s">
        <v>3813</v>
      </c>
      <c r="E152" s="28" t="s">
        <v>180</v>
      </c>
      <c r="F152" s="28" t="s">
        <v>7315</v>
      </c>
      <c r="G152" s="28" t="s">
        <v>3814</v>
      </c>
      <c r="H152" s="28" t="s">
        <v>203</v>
      </c>
      <c r="I152" s="28" t="s">
        <v>203</v>
      </c>
      <c r="J152" s="28" t="s">
        <v>423</v>
      </c>
      <c r="K152" s="28" t="s">
        <v>113</v>
      </c>
      <c r="L152" s="28" t="s">
        <v>1889</v>
      </c>
      <c r="M152" s="28"/>
      <c r="N152" s="28"/>
      <c r="O152" s="111"/>
    </row>
    <row r="153" spans="1:15" ht="12.75" customHeight="1">
      <c r="A153" s="701" t="s">
        <v>7551</v>
      </c>
      <c r="B153" s="699" t="s">
        <v>7743</v>
      </c>
      <c r="C153" s="28" t="s">
        <v>7744</v>
      </c>
      <c r="D153" s="28" t="s">
        <v>7745</v>
      </c>
      <c r="E153" s="28" t="s">
        <v>180</v>
      </c>
      <c r="F153" s="28" t="s">
        <v>7315</v>
      </c>
      <c r="G153" s="28" t="s">
        <v>7744</v>
      </c>
      <c r="H153" s="28" t="s">
        <v>203</v>
      </c>
      <c r="I153" s="28" t="s">
        <v>203</v>
      </c>
      <c r="J153" s="28" t="s">
        <v>423</v>
      </c>
      <c r="K153" s="28" t="s">
        <v>113</v>
      </c>
      <c r="L153" s="28" t="s">
        <v>1889</v>
      </c>
      <c r="M153" s="28"/>
      <c r="N153" s="28"/>
      <c r="O153" s="111" t="s">
        <v>7747</v>
      </c>
    </row>
    <row r="154" spans="1:15" ht="12.75" customHeight="1">
      <c r="A154" s="701" t="s">
        <v>7551</v>
      </c>
      <c r="B154" s="699" t="s">
        <v>7748</v>
      </c>
      <c r="C154" s="28" t="s">
        <v>7517</v>
      </c>
      <c r="D154" s="28" t="s">
        <v>7518</v>
      </c>
      <c r="E154" s="28" t="s">
        <v>180</v>
      </c>
      <c r="F154" s="111" t="s">
        <v>6879</v>
      </c>
      <c r="G154" s="28" t="s">
        <v>7519</v>
      </c>
      <c r="H154" s="28" t="s">
        <v>203</v>
      </c>
      <c r="I154" s="28" t="s">
        <v>203</v>
      </c>
      <c r="J154" s="28" t="s">
        <v>423</v>
      </c>
      <c r="K154" s="111" t="s">
        <v>113</v>
      </c>
      <c r="L154" s="28" t="s">
        <v>1889</v>
      </c>
      <c r="M154" s="28"/>
      <c r="N154" s="28"/>
      <c r="O154" s="111"/>
    </row>
    <row r="155" spans="1:15" ht="12.75" customHeight="1">
      <c r="A155" s="701" t="s">
        <v>7551</v>
      </c>
      <c r="B155" s="699" t="s">
        <v>7749</v>
      </c>
      <c r="C155" s="28" t="s">
        <v>3833</v>
      </c>
      <c r="D155" s="28" t="s">
        <v>7750</v>
      </c>
      <c r="E155" s="28" t="s">
        <v>3326</v>
      </c>
      <c r="F155" s="28" t="s">
        <v>3121</v>
      </c>
      <c r="G155" s="28"/>
      <c r="H155" s="28" t="s">
        <v>203</v>
      </c>
      <c r="I155" s="28" t="s">
        <v>203</v>
      </c>
      <c r="J155" s="28" t="s">
        <v>423</v>
      </c>
      <c r="K155" s="28" t="s">
        <v>113</v>
      </c>
      <c r="L155" s="28" t="s">
        <v>3178</v>
      </c>
      <c r="M155" s="28" t="s">
        <v>3836</v>
      </c>
      <c r="N155" s="28"/>
      <c r="O155" s="28"/>
    </row>
    <row r="156" spans="1:15" ht="12.75" customHeight="1">
      <c r="A156" s="701" t="s">
        <v>7551</v>
      </c>
      <c r="B156" s="699" t="s">
        <v>7752</v>
      </c>
      <c r="C156" s="702" t="s">
        <v>3567</v>
      </c>
      <c r="D156" s="28" t="s">
        <v>7630</v>
      </c>
      <c r="E156" s="28" t="s">
        <v>180</v>
      </c>
      <c r="F156" s="28" t="s">
        <v>7315</v>
      </c>
      <c r="G156" s="702" t="s">
        <v>3567</v>
      </c>
      <c r="H156" s="28" t="s">
        <v>203</v>
      </c>
      <c r="I156" s="28" t="s">
        <v>203</v>
      </c>
      <c r="J156" s="28" t="s">
        <v>423</v>
      </c>
      <c r="K156" s="28" t="s">
        <v>113</v>
      </c>
      <c r="L156" s="28" t="s">
        <v>3178</v>
      </c>
      <c r="M156" s="28" t="s">
        <v>3552</v>
      </c>
      <c r="N156" s="28"/>
      <c r="O156" s="28"/>
    </row>
    <row r="157" spans="1:15" ht="12.75" customHeight="1">
      <c r="A157" s="701" t="s">
        <v>7551</v>
      </c>
      <c r="B157" s="699" t="s">
        <v>7753</v>
      </c>
      <c r="C157" s="28" t="s">
        <v>3559</v>
      </c>
      <c r="D157" s="28" t="s">
        <v>7632</v>
      </c>
      <c r="E157" s="28" t="s">
        <v>180</v>
      </c>
      <c r="F157" s="28" t="s">
        <v>7315</v>
      </c>
      <c r="G157" s="28" t="s">
        <v>7633</v>
      </c>
      <c r="H157" s="28" t="s">
        <v>203</v>
      </c>
      <c r="I157" s="28" t="s">
        <v>203</v>
      </c>
      <c r="J157" s="28" t="s">
        <v>423</v>
      </c>
      <c r="K157" s="28" t="s">
        <v>113</v>
      </c>
      <c r="L157" s="28" t="s">
        <v>3178</v>
      </c>
      <c r="M157" s="28" t="s">
        <v>3552</v>
      </c>
      <c r="N157" s="28"/>
      <c r="O157" s="28"/>
    </row>
    <row r="158" spans="1:15" ht="12.75" customHeight="1">
      <c r="A158" s="701" t="s">
        <v>7551</v>
      </c>
      <c r="B158" s="699" t="s">
        <v>7754</v>
      </c>
      <c r="C158" s="28" t="s">
        <v>7635</v>
      </c>
      <c r="D158" s="28" t="s">
        <v>7636</v>
      </c>
      <c r="E158" s="28" t="s">
        <v>180</v>
      </c>
      <c r="F158" s="28" t="s">
        <v>7315</v>
      </c>
      <c r="G158" s="28" t="s">
        <v>3550</v>
      </c>
      <c r="H158" s="28" t="s">
        <v>203</v>
      </c>
      <c r="I158" s="28" t="s">
        <v>203</v>
      </c>
      <c r="J158" s="28" t="s">
        <v>423</v>
      </c>
      <c r="K158" s="28" t="s">
        <v>113</v>
      </c>
      <c r="L158" s="28" t="s">
        <v>3178</v>
      </c>
      <c r="M158" s="28" t="s">
        <v>3552</v>
      </c>
      <c r="N158" s="28"/>
      <c r="O158" s="28"/>
    </row>
    <row r="159" spans="1:15" ht="12.75" customHeight="1">
      <c r="A159" s="701" t="s">
        <v>7551</v>
      </c>
      <c r="B159" s="699" t="s">
        <v>7755</v>
      </c>
      <c r="C159" s="702" t="s">
        <v>7639</v>
      </c>
      <c r="D159" s="28" t="s">
        <v>7640</v>
      </c>
      <c r="E159" s="28" t="s">
        <v>180</v>
      </c>
      <c r="F159" s="28" t="s">
        <v>7315</v>
      </c>
      <c r="G159" s="702" t="s">
        <v>7639</v>
      </c>
      <c r="H159" s="28" t="s">
        <v>203</v>
      </c>
      <c r="I159" s="28" t="s">
        <v>203</v>
      </c>
      <c r="J159" s="28" t="s">
        <v>423</v>
      </c>
      <c r="K159" s="28" t="s">
        <v>113</v>
      </c>
      <c r="L159" s="28" t="s">
        <v>3178</v>
      </c>
      <c r="M159" s="28" t="s">
        <v>3552</v>
      </c>
      <c r="N159" s="28"/>
      <c r="O159" s="28"/>
    </row>
    <row r="160" spans="1:15" ht="12.75" customHeight="1">
      <c r="A160" s="701" t="s">
        <v>7551</v>
      </c>
      <c r="B160" s="699" t="s">
        <v>7757</v>
      </c>
      <c r="C160" s="28" t="s">
        <v>7642</v>
      </c>
      <c r="D160" s="28" t="s">
        <v>7643</v>
      </c>
      <c r="E160" s="28" t="s">
        <v>180</v>
      </c>
      <c r="F160" s="28" t="s">
        <v>7315</v>
      </c>
      <c r="G160" s="28" t="s">
        <v>7642</v>
      </c>
      <c r="H160" s="28" t="s">
        <v>203</v>
      </c>
      <c r="I160" s="28" t="s">
        <v>203</v>
      </c>
      <c r="J160" s="28" t="s">
        <v>423</v>
      </c>
      <c r="K160" s="28" t="s">
        <v>113</v>
      </c>
      <c r="L160" s="28" t="s">
        <v>3178</v>
      </c>
      <c r="M160" s="28" t="s">
        <v>3552</v>
      </c>
      <c r="N160" s="28"/>
      <c r="O160" s="28"/>
    </row>
    <row r="161" spans="1:15" ht="12.75" customHeight="1">
      <c r="A161" s="701" t="s">
        <v>7551</v>
      </c>
      <c r="B161" s="699" t="s">
        <v>7758</v>
      </c>
      <c r="C161" s="28" t="s">
        <v>7647</v>
      </c>
      <c r="D161" s="28" t="s">
        <v>7648</v>
      </c>
      <c r="E161" s="28" t="s">
        <v>180</v>
      </c>
      <c r="F161" s="28" t="s">
        <v>7315</v>
      </c>
      <c r="G161" s="28" t="s">
        <v>7647</v>
      </c>
      <c r="H161" s="28" t="s">
        <v>203</v>
      </c>
      <c r="I161" s="28" t="s">
        <v>203</v>
      </c>
      <c r="J161" s="28" t="s">
        <v>423</v>
      </c>
      <c r="K161" s="28" t="s">
        <v>113</v>
      </c>
      <c r="L161" s="28" t="s">
        <v>3178</v>
      </c>
      <c r="M161" s="28" t="s">
        <v>3552</v>
      </c>
      <c r="N161" s="28"/>
      <c r="O161" s="28"/>
    </row>
    <row r="162" spans="1:15" ht="12.75" customHeight="1">
      <c r="A162" s="701" t="s">
        <v>7551</v>
      </c>
      <c r="B162" s="699" t="s">
        <v>7762</v>
      </c>
      <c r="C162" s="702" t="s">
        <v>7650</v>
      </c>
      <c r="D162" s="28" t="s">
        <v>7651</v>
      </c>
      <c r="E162" s="28" t="s">
        <v>180</v>
      </c>
      <c r="F162" s="28" t="s">
        <v>7315</v>
      </c>
      <c r="G162" s="702" t="s">
        <v>7650</v>
      </c>
      <c r="H162" s="28" t="s">
        <v>203</v>
      </c>
      <c r="I162" s="28" t="s">
        <v>203</v>
      </c>
      <c r="J162" s="28" t="s">
        <v>423</v>
      </c>
      <c r="K162" s="28" t="s">
        <v>113</v>
      </c>
      <c r="L162" s="28" t="s">
        <v>3178</v>
      </c>
      <c r="M162" s="28" t="s">
        <v>3552</v>
      </c>
      <c r="N162" s="28"/>
      <c r="O162" s="28"/>
    </row>
    <row r="163" spans="1:15" ht="12.75" customHeight="1">
      <c r="A163" s="701" t="s">
        <v>7551</v>
      </c>
      <c r="B163" s="699" t="s">
        <v>7763</v>
      </c>
      <c r="C163" s="28" t="s">
        <v>7653</v>
      </c>
      <c r="D163" s="28" t="s">
        <v>7654</v>
      </c>
      <c r="E163" s="28" t="s">
        <v>180</v>
      </c>
      <c r="F163" s="28" t="s">
        <v>7315</v>
      </c>
      <c r="G163" s="28" t="s">
        <v>7653</v>
      </c>
      <c r="H163" s="28" t="s">
        <v>203</v>
      </c>
      <c r="I163" s="28" t="s">
        <v>203</v>
      </c>
      <c r="J163" s="28" t="s">
        <v>423</v>
      </c>
      <c r="K163" s="28" t="s">
        <v>113</v>
      </c>
      <c r="L163" s="28" t="s">
        <v>3178</v>
      </c>
      <c r="M163" s="28" t="s">
        <v>3552</v>
      </c>
      <c r="N163" s="28"/>
      <c r="O163" s="28"/>
    </row>
    <row r="164" spans="1:15" ht="12.75" customHeight="1">
      <c r="A164" s="701" t="s">
        <v>7551</v>
      </c>
      <c r="B164" s="699" t="s">
        <v>7764</v>
      </c>
      <c r="C164" s="28" t="s">
        <v>7658</v>
      </c>
      <c r="D164" s="111" t="s">
        <v>7659</v>
      </c>
      <c r="E164" s="28" t="s">
        <v>180</v>
      </c>
      <c r="F164" s="28" t="s">
        <v>7315</v>
      </c>
      <c r="G164" s="28" t="s">
        <v>7658</v>
      </c>
      <c r="H164" s="28" t="s">
        <v>203</v>
      </c>
      <c r="I164" s="28" t="s">
        <v>203</v>
      </c>
      <c r="J164" s="28" t="s">
        <v>423</v>
      </c>
      <c r="K164" s="28" t="s">
        <v>113</v>
      </c>
      <c r="L164" s="28" t="s">
        <v>3178</v>
      </c>
      <c r="M164" s="28" t="s">
        <v>3552</v>
      </c>
      <c r="N164" s="28"/>
      <c r="O164" s="28"/>
    </row>
    <row r="165" spans="1:15" ht="12.75" customHeight="1">
      <c r="A165" s="701" t="s">
        <v>7551</v>
      </c>
      <c r="B165" s="699" t="s">
        <v>7765</v>
      </c>
      <c r="C165" s="28" t="s">
        <v>7661</v>
      </c>
      <c r="D165" s="28" t="s">
        <v>7662</v>
      </c>
      <c r="E165" s="28" t="s">
        <v>180</v>
      </c>
      <c r="F165" s="28" t="s">
        <v>7315</v>
      </c>
      <c r="G165" s="28" t="s">
        <v>7661</v>
      </c>
      <c r="H165" s="28" t="s">
        <v>203</v>
      </c>
      <c r="I165" s="28" t="s">
        <v>203</v>
      </c>
      <c r="J165" s="28" t="s">
        <v>423</v>
      </c>
      <c r="K165" s="28" t="s">
        <v>113</v>
      </c>
      <c r="L165" s="28" t="s">
        <v>3178</v>
      </c>
      <c r="M165" s="28" t="s">
        <v>3552</v>
      </c>
      <c r="N165" s="28"/>
      <c r="O165" s="28"/>
    </row>
    <row r="166" spans="1:15" ht="12.75" customHeight="1">
      <c r="A166" s="701" t="s">
        <v>7551</v>
      </c>
      <c r="B166" s="699" t="s">
        <v>7767</v>
      </c>
      <c r="C166" s="28" t="s">
        <v>3688</v>
      </c>
      <c r="D166" s="28" t="s">
        <v>7664</v>
      </c>
      <c r="E166" s="28" t="s">
        <v>180</v>
      </c>
      <c r="F166" s="28" t="s">
        <v>7315</v>
      </c>
      <c r="G166" s="28" t="s">
        <v>3688</v>
      </c>
      <c r="H166" s="28" t="s">
        <v>203</v>
      </c>
      <c r="I166" s="28" t="s">
        <v>203</v>
      </c>
      <c r="J166" s="28" t="s">
        <v>423</v>
      </c>
      <c r="K166" s="28" t="s">
        <v>113</v>
      </c>
      <c r="L166" s="28" t="s">
        <v>3178</v>
      </c>
      <c r="M166" s="28" t="s">
        <v>3552</v>
      </c>
      <c r="N166" s="28"/>
      <c r="O166" s="28"/>
    </row>
    <row r="167" spans="1:15" ht="12.75" customHeight="1">
      <c r="A167" s="701" t="s">
        <v>7551</v>
      </c>
      <c r="B167" s="699" t="s">
        <v>7769</v>
      </c>
      <c r="C167" s="28" t="s">
        <v>3697</v>
      </c>
      <c r="D167" s="28" t="s">
        <v>7666</v>
      </c>
      <c r="E167" s="28" t="s">
        <v>180</v>
      </c>
      <c r="F167" s="28" t="s">
        <v>7315</v>
      </c>
      <c r="G167" s="28" t="s">
        <v>3697</v>
      </c>
      <c r="H167" s="28" t="s">
        <v>203</v>
      </c>
      <c r="I167" s="28" t="s">
        <v>203</v>
      </c>
      <c r="J167" s="28" t="s">
        <v>423</v>
      </c>
      <c r="K167" s="28" t="s">
        <v>113</v>
      </c>
      <c r="L167" s="28" t="s">
        <v>3178</v>
      </c>
      <c r="M167" s="28" t="s">
        <v>3552</v>
      </c>
      <c r="N167" s="28"/>
      <c r="O167" s="28"/>
    </row>
    <row r="168" spans="1:15" ht="12.75" customHeight="1">
      <c r="A168" s="701" t="s">
        <v>7551</v>
      </c>
      <c r="B168" s="699" t="s">
        <v>7770</v>
      </c>
      <c r="C168" s="28" t="s">
        <v>3596</v>
      </c>
      <c r="D168" s="28" t="s">
        <v>7668</v>
      </c>
      <c r="E168" s="28" t="s">
        <v>180</v>
      </c>
      <c r="F168" s="28" t="s">
        <v>7315</v>
      </c>
      <c r="G168" s="28" t="s">
        <v>3596</v>
      </c>
      <c r="H168" s="28" t="s">
        <v>203</v>
      </c>
      <c r="I168" s="28" t="s">
        <v>203</v>
      </c>
      <c r="J168" s="28" t="s">
        <v>423</v>
      </c>
      <c r="K168" s="28" t="s">
        <v>113</v>
      </c>
      <c r="L168" s="28" t="s">
        <v>3178</v>
      </c>
      <c r="M168" s="28" t="s">
        <v>3552</v>
      </c>
      <c r="N168" s="28"/>
      <c r="O168" s="28"/>
    </row>
    <row r="169" spans="1:15" ht="12.75" customHeight="1">
      <c r="A169" s="701" t="s">
        <v>7551</v>
      </c>
      <c r="B169" s="699" t="s">
        <v>7771</v>
      </c>
      <c r="C169" s="28" t="s">
        <v>3604</v>
      </c>
      <c r="D169" s="28" t="s">
        <v>7671</v>
      </c>
      <c r="E169" s="28" t="s">
        <v>180</v>
      </c>
      <c r="F169" s="28" t="s">
        <v>7315</v>
      </c>
      <c r="G169" s="28" t="s">
        <v>3604</v>
      </c>
      <c r="H169" s="28" t="s">
        <v>203</v>
      </c>
      <c r="I169" s="28" t="s">
        <v>203</v>
      </c>
      <c r="J169" s="28" t="s">
        <v>423</v>
      </c>
      <c r="K169" s="28" t="s">
        <v>113</v>
      </c>
      <c r="L169" s="28" t="s">
        <v>3178</v>
      </c>
      <c r="M169" s="28" t="s">
        <v>3552</v>
      </c>
      <c r="N169" s="28"/>
      <c r="O169" s="28"/>
    </row>
    <row r="170" spans="1:15" ht="12.75" customHeight="1">
      <c r="A170" s="701" t="s">
        <v>7551</v>
      </c>
      <c r="B170" s="699" t="s">
        <v>7772</v>
      </c>
      <c r="C170" s="28" t="s">
        <v>3613</v>
      </c>
      <c r="D170" s="28" t="s">
        <v>7673</v>
      </c>
      <c r="E170" s="28" t="s">
        <v>180</v>
      </c>
      <c r="F170" s="28" t="s">
        <v>7315</v>
      </c>
      <c r="G170" s="28" t="s">
        <v>3613</v>
      </c>
      <c r="H170" s="28" t="s">
        <v>203</v>
      </c>
      <c r="I170" s="28" t="s">
        <v>203</v>
      </c>
      <c r="J170" s="28" t="s">
        <v>423</v>
      </c>
      <c r="K170" s="28" t="s">
        <v>113</v>
      </c>
      <c r="L170" s="28" t="s">
        <v>3178</v>
      </c>
      <c r="M170" s="28" t="s">
        <v>3552</v>
      </c>
      <c r="N170" s="28"/>
      <c r="O170" s="28"/>
    </row>
    <row r="171" spans="1:15" ht="12.75" customHeight="1">
      <c r="A171" s="701" t="s">
        <v>7551</v>
      </c>
      <c r="B171" s="699" t="s">
        <v>7774</v>
      </c>
      <c r="C171" s="28" t="s">
        <v>3761</v>
      </c>
      <c r="D171" s="28" t="s">
        <v>7676</v>
      </c>
      <c r="E171" s="28" t="s">
        <v>180</v>
      </c>
      <c r="F171" s="28" t="s">
        <v>7315</v>
      </c>
      <c r="G171" s="28" t="s">
        <v>3761</v>
      </c>
      <c r="H171" s="28" t="s">
        <v>203</v>
      </c>
      <c r="I171" s="28" t="s">
        <v>203</v>
      </c>
      <c r="J171" s="28" t="s">
        <v>423</v>
      </c>
      <c r="K171" s="28" t="s">
        <v>113</v>
      </c>
      <c r="L171" s="28" t="s">
        <v>3178</v>
      </c>
      <c r="M171" s="28" t="s">
        <v>3552</v>
      </c>
      <c r="N171" s="28"/>
      <c r="O171" s="28"/>
    </row>
    <row r="172" spans="1:15" ht="12.75" customHeight="1">
      <c r="A172" s="701" t="s">
        <v>7551</v>
      </c>
      <c r="B172" s="699" t="s">
        <v>7777</v>
      </c>
      <c r="C172" s="702" t="s">
        <v>7679</v>
      </c>
      <c r="D172" s="28" t="s">
        <v>7680</v>
      </c>
      <c r="E172" s="28" t="s">
        <v>180</v>
      </c>
      <c r="F172" s="28" t="s">
        <v>7315</v>
      </c>
      <c r="G172" s="702" t="s">
        <v>7679</v>
      </c>
      <c r="H172" s="28" t="s">
        <v>203</v>
      </c>
      <c r="I172" s="28" t="s">
        <v>203</v>
      </c>
      <c r="J172" s="28" t="s">
        <v>423</v>
      </c>
      <c r="K172" s="28" t="s">
        <v>113</v>
      </c>
      <c r="L172" s="28" t="s">
        <v>1889</v>
      </c>
      <c r="M172" s="28"/>
      <c r="N172" s="28"/>
      <c r="O172" s="28"/>
    </row>
    <row r="173" spans="1:15" ht="12.75" customHeight="1">
      <c r="A173" s="701" t="s">
        <v>7551</v>
      </c>
      <c r="B173" s="699" t="s">
        <v>7780</v>
      </c>
      <c r="C173" s="28" t="s">
        <v>7682</v>
      </c>
      <c r="D173" s="28" t="s">
        <v>7683</v>
      </c>
      <c r="E173" s="28" t="s">
        <v>180</v>
      </c>
      <c r="F173" s="28" t="s">
        <v>7315</v>
      </c>
      <c r="G173" s="28" t="s">
        <v>7682</v>
      </c>
      <c r="H173" s="28" t="s">
        <v>203</v>
      </c>
      <c r="I173" s="28" t="s">
        <v>203</v>
      </c>
      <c r="J173" s="28" t="s">
        <v>423</v>
      </c>
      <c r="K173" s="28" t="s">
        <v>113</v>
      </c>
      <c r="L173" s="28" t="s">
        <v>3178</v>
      </c>
      <c r="M173" s="28" t="s">
        <v>3730</v>
      </c>
      <c r="N173" s="28"/>
      <c r="O173" s="28"/>
    </row>
    <row r="174" spans="1:15" ht="12.75" customHeight="1">
      <c r="A174" s="701" t="s">
        <v>7551</v>
      </c>
      <c r="B174" s="699" t="s">
        <v>7783</v>
      </c>
      <c r="C174" s="28" t="s">
        <v>7686</v>
      </c>
      <c r="D174" s="28" t="s">
        <v>7687</v>
      </c>
      <c r="E174" s="28" t="s">
        <v>180</v>
      </c>
      <c r="F174" s="28" t="s">
        <v>7315</v>
      </c>
      <c r="G174" s="28" t="s">
        <v>7686</v>
      </c>
      <c r="H174" s="28" t="s">
        <v>203</v>
      </c>
      <c r="I174" s="28" t="s">
        <v>203</v>
      </c>
      <c r="J174" s="28" t="s">
        <v>423</v>
      </c>
      <c r="K174" s="28" t="s">
        <v>113</v>
      </c>
      <c r="L174" s="28" t="s">
        <v>3178</v>
      </c>
      <c r="M174" s="28" t="s">
        <v>3552</v>
      </c>
      <c r="N174" s="28"/>
      <c r="O174" s="28"/>
    </row>
    <row r="175" spans="1:15" ht="12.75" customHeight="1">
      <c r="A175" s="701" t="s">
        <v>7551</v>
      </c>
      <c r="B175" s="699" t="s">
        <v>7784</v>
      </c>
      <c r="C175" s="28" t="s">
        <v>3679</v>
      </c>
      <c r="D175" s="28" t="s">
        <v>7689</v>
      </c>
      <c r="E175" s="28" t="s">
        <v>180</v>
      </c>
      <c r="F175" s="28" t="s">
        <v>7315</v>
      </c>
      <c r="G175" s="28" t="s">
        <v>3679</v>
      </c>
      <c r="H175" s="28" t="s">
        <v>203</v>
      </c>
      <c r="I175" s="28" t="s">
        <v>203</v>
      </c>
      <c r="J175" s="28" t="s">
        <v>423</v>
      </c>
      <c r="K175" s="28" t="s">
        <v>113</v>
      </c>
      <c r="L175" s="28" t="s">
        <v>3178</v>
      </c>
      <c r="M175" s="28" t="s">
        <v>3552</v>
      </c>
      <c r="N175" s="28"/>
      <c r="O175" s="28"/>
    </row>
    <row r="176" spans="1:15" ht="12.75" customHeight="1">
      <c r="A176" s="701" t="s">
        <v>7551</v>
      </c>
      <c r="B176" s="699" t="s">
        <v>7785</v>
      </c>
      <c r="C176" s="28" t="s">
        <v>3754</v>
      </c>
      <c r="D176" s="28" t="s">
        <v>7691</v>
      </c>
      <c r="E176" s="28" t="s">
        <v>180</v>
      </c>
      <c r="F176" s="28" t="s">
        <v>7315</v>
      </c>
      <c r="G176" s="28" t="s">
        <v>3754</v>
      </c>
      <c r="H176" s="28" t="s">
        <v>203</v>
      </c>
      <c r="I176" s="28" t="s">
        <v>203</v>
      </c>
      <c r="J176" s="28" t="s">
        <v>423</v>
      </c>
      <c r="K176" s="28" t="s">
        <v>113</v>
      </c>
      <c r="L176" s="28" t="s">
        <v>3178</v>
      </c>
      <c r="M176" s="28" t="s">
        <v>3552</v>
      </c>
      <c r="N176" s="28"/>
      <c r="O176" s="28"/>
    </row>
    <row r="177" spans="1:15" ht="12.75" customHeight="1">
      <c r="A177" s="701" t="s">
        <v>7551</v>
      </c>
      <c r="B177" s="699" t="s">
        <v>7786</v>
      </c>
      <c r="C177" s="28" t="s">
        <v>3729</v>
      </c>
      <c r="D177" s="28" t="s">
        <v>7693</v>
      </c>
      <c r="E177" s="28" t="s">
        <v>180</v>
      </c>
      <c r="F177" s="28" t="s">
        <v>7315</v>
      </c>
      <c r="G177" s="28" t="s">
        <v>3729</v>
      </c>
      <c r="H177" s="28" t="s">
        <v>203</v>
      </c>
      <c r="I177" s="28" t="s">
        <v>203</v>
      </c>
      <c r="J177" s="28" t="s">
        <v>423</v>
      </c>
      <c r="K177" s="28" t="s">
        <v>113</v>
      </c>
      <c r="L177" s="28" t="s">
        <v>3178</v>
      </c>
      <c r="M177" s="28" t="s">
        <v>3730</v>
      </c>
      <c r="N177" s="28"/>
      <c r="O177" s="28"/>
    </row>
    <row r="178" spans="1:15" ht="12.75" customHeight="1">
      <c r="A178" s="701" t="s">
        <v>7551</v>
      </c>
      <c r="B178" s="699" t="s">
        <v>7788</v>
      </c>
      <c r="C178" s="28" t="s">
        <v>3722</v>
      </c>
      <c r="D178" s="28" t="s">
        <v>7695</v>
      </c>
      <c r="E178" s="28" t="s">
        <v>180</v>
      </c>
      <c r="F178" s="28" t="s">
        <v>7315</v>
      </c>
      <c r="G178" s="28" t="s">
        <v>3722</v>
      </c>
      <c r="H178" s="28" t="s">
        <v>203</v>
      </c>
      <c r="I178" s="28" t="s">
        <v>203</v>
      </c>
      <c r="J178" s="28" t="s">
        <v>423</v>
      </c>
      <c r="K178" s="28" t="s">
        <v>113</v>
      </c>
      <c r="L178" s="28" t="s">
        <v>3178</v>
      </c>
      <c r="M178" s="28" t="s">
        <v>3552</v>
      </c>
      <c r="N178" s="28"/>
      <c r="O178" s="28"/>
    </row>
    <row r="179" spans="1:15" ht="12.75" customHeight="1">
      <c r="A179" s="701" t="s">
        <v>7551</v>
      </c>
      <c r="B179" s="699" t="s">
        <v>7792</v>
      </c>
      <c r="C179" s="28" t="s">
        <v>3748</v>
      </c>
      <c r="D179" s="28" t="s">
        <v>7697</v>
      </c>
      <c r="E179" s="28" t="s">
        <v>180</v>
      </c>
      <c r="F179" s="28" t="s">
        <v>7315</v>
      </c>
      <c r="G179" s="28" t="s">
        <v>3748</v>
      </c>
      <c r="H179" s="28" t="s">
        <v>203</v>
      </c>
      <c r="I179" s="28" t="s">
        <v>203</v>
      </c>
      <c r="J179" s="28" t="s">
        <v>423</v>
      </c>
      <c r="K179" s="28" t="s">
        <v>113</v>
      </c>
      <c r="L179" s="28" t="s">
        <v>3178</v>
      </c>
      <c r="M179" s="28" t="s">
        <v>3730</v>
      </c>
      <c r="N179" s="28"/>
      <c r="O179" s="28"/>
    </row>
    <row r="180" spans="1:15" ht="12.75" customHeight="1">
      <c r="A180" s="701" t="s">
        <v>7551</v>
      </c>
      <c r="B180" s="699" t="s">
        <v>7793</v>
      </c>
      <c r="C180" s="28" t="s">
        <v>3543</v>
      </c>
      <c r="D180" s="28" t="s">
        <v>7699</v>
      </c>
      <c r="E180" s="28" t="s">
        <v>180</v>
      </c>
      <c r="F180" s="28" t="s">
        <v>7315</v>
      </c>
      <c r="G180" s="28" t="s">
        <v>3543</v>
      </c>
      <c r="H180" s="28" t="s">
        <v>203</v>
      </c>
      <c r="I180" s="111" t="s">
        <v>203</v>
      </c>
      <c r="J180" s="27" t="s">
        <v>3544</v>
      </c>
      <c r="K180" s="28" t="s">
        <v>113</v>
      </c>
      <c r="L180" s="28" t="s">
        <v>3178</v>
      </c>
      <c r="M180" s="28" t="s">
        <v>7796</v>
      </c>
      <c r="N180" s="28"/>
      <c r="O180" s="28"/>
    </row>
    <row r="181" spans="1:15" ht="12.75" customHeight="1">
      <c r="A181" s="701" t="s">
        <v>7551</v>
      </c>
      <c r="B181" s="699" t="s">
        <v>7797</v>
      </c>
      <c r="C181" s="28" t="s">
        <v>7702</v>
      </c>
      <c r="D181" s="28" t="s">
        <v>7703</v>
      </c>
      <c r="E181" s="28" t="s">
        <v>180</v>
      </c>
      <c r="F181" s="28" t="s">
        <v>7315</v>
      </c>
      <c r="G181" s="28" t="s">
        <v>7702</v>
      </c>
      <c r="H181" s="28" t="s">
        <v>203</v>
      </c>
      <c r="I181" s="111" t="s">
        <v>203</v>
      </c>
      <c r="J181" s="28" t="s">
        <v>423</v>
      </c>
      <c r="K181" s="28" t="s">
        <v>113</v>
      </c>
      <c r="L181" s="28" t="s">
        <v>3178</v>
      </c>
      <c r="M181" s="28" t="s">
        <v>3552</v>
      </c>
      <c r="N181" s="28"/>
      <c r="O181" s="28"/>
    </row>
    <row r="182" spans="1:15" ht="12.75" customHeight="1">
      <c r="A182" s="701" t="s">
        <v>7551</v>
      </c>
      <c r="B182" s="699" t="s">
        <v>7798</v>
      </c>
      <c r="C182" s="28" t="s">
        <v>3768</v>
      </c>
      <c r="D182" s="28" t="s">
        <v>7705</v>
      </c>
      <c r="E182" s="28" t="s">
        <v>180</v>
      </c>
      <c r="F182" s="28" t="s">
        <v>7315</v>
      </c>
      <c r="G182" s="28" t="s">
        <v>3768</v>
      </c>
      <c r="H182" s="28" t="s">
        <v>203</v>
      </c>
      <c r="I182" s="111" t="s">
        <v>203</v>
      </c>
      <c r="J182" s="28" t="s">
        <v>423</v>
      </c>
      <c r="K182" s="28" t="s">
        <v>113</v>
      </c>
      <c r="L182" s="28" t="s">
        <v>3178</v>
      </c>
      <c r="M182" s="28" t="s">
        <v>3730</v>
      </c>
      <c r="N182" s="28"/>
      <c r="O182" s="28"/>
    </row>
    <row r="183" spans="1:15" ht="12.75" customHeight="1">
      <c r="A183" s="701" t="s">
        <v>7799</v>
      </c>
      <c r="B183" s="699" t="s">
        <v>7800</v>
      </c>
      <c r="C183" s="28" t="s">
        <v>6181</v>
      </c>
      <c r="D183" s="28" t="s">
        <v>7801</v>
      </c>
      <c r="E183" s="28" t="s">
        <v>203</v>
      </c>
      <c r="F183" s="28" t="s">
        <v>3169</v>
      </c>
      <c r="G183" s="28" t="s">
        <v>3170</v>
      </c>
      <c r="H183" s="28" t="s">
        <v>203</v>
      </c>
      <c r="I183" s="111" t="s">
        <v>203</v>
      </c>
      <c r="J183" s="28" t="s">
        <v>423</v>
      </c>
      <c r="K183" s="28" t="s">
        <v>113</v>
      </c>
      <c r="L183" s="28" t="s">
        <v>1889</v>
      </c>
      <c r="M183" s="28" t="s">
        <v>7803</v>
      </c>
      <c r="N183" s="28"/>
      <c r="O183" s="28"/>
    </row>
    <row r="184" spans="1:15" ht="12.75" customHeight="1">
      <c r="A184" s="708" t="s">
        <v>7799</v>
      </c>
      <c r="B184" s="699" t="s">
        <v>7808</v>
      </c>
      <c r="C184" s="709" t="s">
        <v>5203</v>
      </c>
      <c r="D184" s="709" t="s">
        <v>5205</v>
      </c>
      <c r="E184" s="709" t="s">
        <v>3326</v>
      </c>
      <c r="F184" s="709" t="s">
        <v>3121</v>
      </c>
      <c r="G184" s="709"/>
      <c r="H184" s="710" t="s">
        <v>203</v>
      </c>
      <c r="I184" s="711" t="s">
        <v>203</v>
      </c>
      <c r="J184" s="709" t="s">
        <v>423</v>
      </c>
      <c r="K184" s="709" t="s">
        <v>113</v>
      </c>
      <c r="L184" s="709" t="s">
        <v>1889</v>
      </c>
      <c r="M184" s="711" t="s">
        <v>7811</v>
      </c>
      <c r="N184" s="709"/>
      <c r="O184" s="709" t="s">
        <v>5207</v>
      </c>
    </row>
    <row r="185" spans="1:15" ht="12.75" customHeight="1">
      <c r="A185" s="708" t="s">
        <v>7799</v>
      </c>
      <c r="B185" s="699" t="s">
        <v>7812</v>
      </c>
      <c r="C185" s="709" t="s">
        <v>7813</v>
      </c>
      <c r="D185" s="709" t="s">
        <v>7814</v>
      </c>
      <c r="E185" s="709" t="s">
        <v>180</v>
      </c>
      <c r="F185" s="709" t="s">
        <v>7315</v>
      </c>
      <c r="G185" s="709" t="s">
        <v>7813</v>
      </c>
      <c r="H185" s="710" t="s">
        <v>203</v>
      </c>
      <c r="I185" s="711" t="s">
        <v>203</v>
      </c>
      <c r="J185" s="712" t="s">
        <v>7816</v>
      </c>
      <c r="K185" s="709" t="s">
        <v>208</v>
      </c>
      <c r="L185" s="709" t="s">
        <v>1889</v>
      </c>
      <c r="M185" s="711"/>
      <c r="N185" s="709"/>
      <c r="O185" s="709"/>
    </row>
    <row r="186" spans="1:15" ht="12.75" customHeight="1">
      <c r="A186" s="708" t="s">
        <v>7799</v>
      </c>
      <c r="B186" s="699" t="s">
        <v>7819</v>
      </c>
      <c r="C186" s="709" t="s">
        <v>7820</v>
      </c>
      <c r="D186" s="709" t="s">
        <v>7821</v>
      </c>
      <c r="E186" s="709" t="s">
        <v>180</v>
      </c>
      <c r="F186" s="709" t="s">
        <v>7315</v>
      </c>
      <c r="G186" s="709" t="s">
        <v>7820</v>
      </c>
      <c r="H186" s="710" t="s">
        <v>203</v>
      </c>
      <c r="I186" s="711" t="s">
        <v>203</v>
      </c>
      <c r="J186" s="709" t="s">
        <v>423</v>
      </c>
      <c r="K186" s="709" t="s">
        <v>113</v>
      </c>
      <c r="L186" s="709" t="s">
        <v>1889</v>
      </c>
      <c r="M186" s="711"/>
      <c r="N186" s="709"/>
      <c r="O186" s="709"/>
    </row>
    <row r="187" spans="1:15" ht="12.75" customHeight="1">
      <c r="A187" s="708" t="s">
        <v>7799</v>
      </c>
      <c r="B187" s="699" t="s">
        <v>7824</v>
      </c>
      <c r="C187" s="709" t="s">
        <v>7825</v>
      </c>
      <c r="D187" s="709" t="s">
        <v>7826</v>
      </c>
      <c r="E187" s="709" t="s">
        <v>180</v>
      </c>
      <c r="F187" s="709" t="s">
        <v>7315</v>
      </c>
      <c r="G187" s="709" t="s">
        <v>7825</v>
      </c>
      <c r="H187" s="710" t="s">
        <v>203</v>
      </c>
      <c r="I187" s="711" t="s">
        <v>203</v>
      </c>
      <c r="J187" s="709" t="s">
        <v>423</v>
      </c>
      <c r="K187" s="709" t="s">
        <v>113</v>
      </c>
      <c r="L187" s="709" t="s">
        <v>1889</v>
      </c>
      <c r="M187" s="711"/>
      <c r="N187" s="709"/>
      <c r="O187" s="709"/>
    </row>
    <row r="188" spans="1:15" ht="12.75" customHeight="1">
      <c r="A188" s="708" t="s">
        <v>7799</v>
      </c>
      <c r="B188" s="699" t="s">
        <v>7827</v>
      </c>
      <c r="C188" s="709" t="s">
        <v>7828</v>
      </c>
      <c r="D188" s="711" t="s">
        <v>7829</v>
      </c>
      <c r="E188" s="709" t="s">
        <v>180</v>
      </c>
      <c r="F188" s="709" t="s">
        <v>7315</v>
      </c>
      <c r="G188" s="709" t="s">
        <v>7828</v>
      </c>
      <c r="H188" s="710" t="s">
        <v>203</v>
      </c>
      <c r="I188" s="711" t="s">
        <v>203</v>
      </c>
      <c r="J188" s="709" t="s">
        <v>423</v>
      </c>
      <c r="K188" s="709" t="s">
        <v>113</v>
      </c>
      <c r="L188" s="709" t="s">
        <v>1889</v>
      </c>
      <c r="M188" s="711"/>
      <c r="N188" s="711"/>
      <c r="O188" s="711"/>
    </row>
    <row r="189" spans="1:15" ht="12.75" customHeight="1">
      <c r="A189" s="708" t="s">
        <v>7799</v>
      </c>
      <c r="B189" s="699" t="s">
        <v>7831</v>
      </c>
      <c r="C189" s="709" t="s">
        <v>6199</v>
      </c>
      <c r="D189" s="709" t="s">
        <v>7832</v>
      </c>
      <c r="E189" s="709" t="s">
        <v>180</v>
      </c>
      <c r="F189" s="709" t="s">
        <v>7315</v>
      </c>
      <c r="G189" s="709" t="s">
        <v>6199</v>
      </c>
      <c r="H189" s="710" t="s">
        <v>203</v>
      </c>
      <c r="I189" s="711" t="s">
        <v>203</v>
      </c>
      <c r="J189" s="709" t="s">
        <v>423</v>
      </c>
      <c r="K189" s="709" t="s">
        <v>113</v>
      </c>
      <c r="L189" s="709" t="s">
        <v>1889</v>
      </c>
      <c r="M189" s="711"/>
      <c r="N189" s="711"/>
      <c r="O189" s="711"/>
    </row>
    <row r="190" spans="1:15" ht="12.75" customHeight="1">
      <c r="A190" s="708" t="s">
        <v>7799</v>
      </c>
      <c r="B190" s="699" t="s">
        <v>7836</v>
      </c>
      <c r="C190" s="709" t="s">
        <v>7837</v>
      </c>
      <c r="D190" s="709" t="s">
        <v>7838</v>
      </c>
      <c r="E190" s="709" t="s">
        <v>180</v>
      </c>
      <c r="F190" s="709" t="s">
        <v>7315</v>
      </c>
      <c r="G190" s="709" t="s">
        <v>7837</v>
      </c>
      <c r="H190" s="710" t="s">
        <v>203</v>
      </c>
      <c r="I190" s="711" t="s">
        <v>203</v>
      </c>
      <c r="J190" s="709" t="s">
        <v>423</v>
      </c>
      <c r="K190" s="709" t="s">
        <v>113</v>
      </c>
      <c r="L190" s="709" t="s">
        <v>1889</v>
      </c>
      <c r="M190" s="711"/>
      <c r="N190" s="711"/>
      <c r="O190" s="711"/>
    </row>
    <row r="191" spans="1:15" ht="12.75" customHeight="1">
      <c r="A191" s="708" t="s">
        <v>7799</v>
      </c>
      <c r="B191" s="699" t="s">
        <v>7839</v>
      </c>
      <c r="C191" s="709" t="s">
        <v>7840</v>
      </c>
      <c r="D191" s="709" t="s">
        <v>7841</v>
      </c>
      <c r="E191" s="709" t="s">
        <v>180</v>
      </c>
      <c r="F191" s="709" t="s">
        <v>7315</v>
      </c>
      <c r="G191" s="709" t="s">
        <v>7840</v>
      </c>
      <c r="H191" s="710" t="s">
        <v>203</v>
      </c>
      <c r="I191" s="711" t="s">
        <v>203</v>
      </c>
      <c r="J191" s="709" t="s">
        <v>423</v>
      </c>
      <c r="K191" s="709" t="s">
        <v>113</v>
      </c>
      <c r="L191" s="709" t="s">
        <v>1889</v>
      </c>
      <c r="M191" s="711"/>
      <c r="N191" s="711"/>
      <c r="O191" s="711"/>
    </row>
    <row r="192" spans="1:15" ht="12.75" customHeight="1">
      <c r="A192" s="708" t="s">
        <v>7799</v>
      </c>
      <c r="B192" s="699" t="s">
        <v>7849</v>
      </c>
      <c r="C192" s="709" t="s">
        <v>7850</v>
      </c>
      <c r="D192" s="709" t="s">
        <v>7851</v>
      </c>
      <c r="E192" s="709" t="s">
        <v>180</v>
      </c>
      <c r="F192" s="709" t="s">
        <v>7315</v>
      </c>
      <c r="G192" s="709" t="s">
        <v>7850</v>
      </c>
      <c r="H192" s="710" t="s">
        <v>203</v>
      </c>
      <c r="I192" s="711" t="s">
        <v>203</v>
      </c>
      <c r="J192" s="711" t="s">
        <v>7852</v>
      </c>
      <c r="K192" s="711" t="s">
        <v>113</v>
      </c>
      <c r="L192" s="709" t="s">
        <v>1889</v>
      </c>
      <c r="M192" s="711"/>
      <c r="N192" s="711"/>
      <c r="O192" s="711"/>
    </row>
    <row r="193" spans="1:15" ht="12.75" customHeight="1">
      <c r="A193" s="708" t="s">
        <v>7799</v>
      </c>
      <c r="B193" s="699" t="s">
        <v>7853</v>
      </c>
      <c r="C193" s="709" t="s">
        <v>7854</v>
      </c>
      <c r="D193" s="711" t="s">
        <v>7855</v>
      </c>
      <c r="E193" s="709" t="s">
        <v>180</v>
      </c>
      <c r="F193" s="709" t="s">
        <v>7315</v>
      </c>
      <c r="G193" s="709" t="s">
        <v>7854</v>
      </c>
      <c r="H193" s="710" t="s">
        <v>203</v>
      </c>
      <c r="I193" s="711" t="s">
        <v>203</v>
      </c>
      <c r="J193" s="709" t="s">
        <v>423</v>
      </c>
      <c r="K193" s="711" t="s">
        <v>113</v>
      </c>
      <c r="L193" s="709" t="s">
        <v>1889</v>
      </c>
      <c r="M193" s="711"/>
      <c r="N193" s="711"/>
      <c r="O193" s="711"/>
    </row>
    <row r="194" spans="1:15" ht="12.75" customHeight="1">
      <c r="A194" s="708" t="s">
        <v>7799</v>
      </c>
      <c r="B194" s="699" t="s">
        <v>7857</v>
      </c>
      <c r="C194" s="709" t="s">
        <v>7858</v>
      </c>
      <c r="D194" s="711" t="s">
        <v>7859</v>
      </c>
      <c r="E194" s="709" t="s">
        <v>180</v>
      </c>
      <c r="F194" s="709" t="s">
        <v>7315</v>
      </c>
      <c r="G194" s="709" t="s">
        <v>7858</v>
      </c>
      <c r="H194" s="710" t="s">
        <v>203</v>
      </c>
      <c r="I194" s="711" t="s">
        <v>203</v>
      </c>
      <c r="J194" s="709" t="s">
        <v>423</v>
      </c>
      <c r="K194" s="711" t="s">
        <v>113</v>
      </c>
      <c r="L194" s="709" t="s">
        <v>1889</v>
      </c>
      <c r="M194" s="711"/>
      <c r="N194" s="711"/>
      <c r="O194" s="711"/>
    </row>
    <row r="195" spans="1:15" ht="12.75" customHeight="1">
      <c r="A195" s="708" t="s">
        <v>7799</v>
      </c>
      <c r="B195" s="699" t="s">
        <v>7863</v>
      </c>
      <c r="C195" s="709" t="s">
        <v>7864</v>
      </c>
      <c r="D195" s="711" t="s">
        <v>7865</v>
      </c>
      <c r="E195" s="709" t="s">
        <v>180</v>
      </c>
      <c r="F195" s="709" t="s">
        <v>7315</v>
      </c>
      <c r="G195" s="709" t="s">
        <v>7864</v>
      </c>
      <c r="H195" s="710" t="s">
        <v>203</v>
      </c>
      <c r="I195" s="711" t="s">
        <v>203</v>
      </c>
      <c r="J195" s="709" t="s">
        <v>423</v>
      </c>
      <c r="K195" s="711" t="s">
        <v>113</v>
      </c>
      <c r="L195" s="709" t="s">
        <v>1889</v>
      </c>
      <c r="M195" s="711"/>
      <c r="N195" s="711"/>
      <c r="O195" s="711"/>
    </row>
    <row r="196" spans="1:15" ht="12.75" customHeight="1">
      <c r="A196" s="698" t="s">
        <v>7799</v>
      </c>
      <c r="B196" s="699" t="s">
        <v>7867</v>
      </c>
      <c r="C196" s="114" t="s">
        <v>5244</v>
      </c>
      <c r="D196" s="111" t="s">
        <v>7868</v>
      </c>
      <c r="E196" s="27" t="s">
        <v>203</v>
      </c>
      <c r="F196" s="28" t="s">
        <v>3169</v>
      </c>
      <c r="G196" s="111" t="s">
        <v>3170</v>
      </c>
      <c r="H196" s="27" t="s">
        <v>203</v>
      </c>
      <c r="I196" s="111" t="s">
        <v>203</v>
      </c>
      <c r="J196" s="111" t="s">
        <v>7869</v>
      </c>
      <c r="K196" s="111" t="s">
        <v>113</v>
      </c>
      <c r="L196" s="28" t="s">
        <v>1889</v>
      </c>
      <c r="M196" s="111"/>
      <c r="N196" s="111"/>
      <c r="O196" s="111"/>
    </row>
    <row r="197" spans="1:15" ht="12.75" customHeight="1">
      <c r="A197" s="701" t="s">
        <v>7799</v>
      </c>
      <c r="B197" s="699" t="s">
        <v>7870</v>
      </c>
      <c r="C197" s="28" t="s">
        <v>7871</v>
      </c>
      <c r="D197" s="28" t="s">
        <v>7872</v>
      </c>
      <c r="E197" s="28" t="s">
        <v>203</v>
      </c>
      <c r="F197" s="28" t="s">
        <v>3169</v>
      </c>
      <c r="G197" s="28" t="s">
        <v>3170</v>
      </c>
      <c r="H197" s="27" t="s">
        <v>203</v>
      </c>
      <c r="I197" s="111" t="s">
        <v>203</v>
      </c>
      <c r="J197" s="28" t="s">
        <v>423</v>
      </c>
      <c r="K197" s="28" t="s">
        <v>113</v>
      </c>
      <c r="L197" s="28" t="s">
        <v>1889</v>
      </c>
      <c r="M197" s="28"/>
      <c r="N197" s="28"/>
      <c r="O197" s="28"/>
    </row>
    <row r="198" spans="1:15" ht="12.75" customHeight="1">
      <c r="A198" s="714" t="s">
        <v>7799</v>
      </c>
      <c r="B198" s="699" t="s">
        <v>7873</v>
      </c>
      <c r="C198" s="715" t="s">
        <v>7874</v>
      </c>
      <c r="D198" s="715" t="s">
        <v>7876</v>
      </c>
      <c r="E198" s="715" t="s">
        <v>3326</v>
      </c>
      <c r="F198" s="715" t="s">
        <v>3121</v>
      </c>
      <c r="G198" s="715" t="s">
        <v>4097</v>
      </c>
      <c r="H198" s="715" t="s">
        <v>203</v>
      </c>
      <c r="I198" s="716" t="s">
        <v>203</v>
      </c>
      <c r="J198" s="715" t="s">
        <v>423</v>
      </c>
      <c r="K198" s="715" t="s">
        <v>113</v>
      </c>
      <c r="L198" s="715" t="s">
        <v>1889</v>
      </c>
      <c r="M198" s="715" t="s">
        <v>7879</v>
      </c>
      <c r="N198" s="715"/>
      <c r="O198" s="715" t="s">
        <v>7880</v>
      </c>
    </row>
    <row r="199" spans="1:15" ht="12.75" customHeight="1">
      <c r="A199" s="714" t="s">
        <v>7799</v>
      </c>
      <c r="B199" s="699" t="s">
        <v>7881</v>
      </c>
      <c r="C199" s="715" t="s">
        <v>7882</v>
      </c>
      <c r="D199" s="715"/>
      <c r="E199" s="715" t="s">
        <v>180</v>
      </c>
      <c r="F199" s="715" t="s">
        <v>7315</v>
      </c>
      <c r="G199" s="715" t="s">
        <v>7882</v>
      </c>
      <c r="H199" s="715" t="s">
        <v>203</v>
      </c>
      <c r="I199" s="716" t="s">
        <v>203</v>
      </c>
      <c r="J199" s="715" t="s">
        <v>423</v>
      </c>
      <c r="K199" s="715" t="s">
        <v>113</v>
      </c>
      <c r="L199" s="715" t="s">
        <v>1889</v>
      </c>
      <c r="M199" s="715"/>
      <c r="N199" s="715"/>
      <c r="O199" s="715" t="s">
        <v>7883</v>
      </c>
    </row>
    <row r="200" spans="1:15" ht="12.75" customHeight="1">
      <c r="A200" s="714" t="s">
        <v>7799</v>
      </c>
      <c r="B200" s="699" t="s">
        <v>7884</v>
      </c>
      <c r="C200" s="715" t="s">
        <v>266</v>
      </c>
      <c r="D200" s="715"/>
      <c r="E200" s="715" t="s">
        <v>180</v>
      </c>
      <c r="F200" s="715" t="s">
        <v>7315</v>
      </c>
      <c r="G200" s="715" t="s">
        <v>266</v>
      </c>
      <c r="H200" s="715" t="s">
        <v>203</v>
      </c>
      <c r="I200" s="716" t="s">
        <v>203</v>
      </c>
      <c r="J200" s="715" t="s">
        <v>423</v>
      </c>
      <c r="K200" s="715" t="s">
        <v>113</v>
      </c>
      <c r="L200" s="715" t="s">
        <v>1889</v>
      </c>
      <c r="M200" s="715"/>
      <c r="N200" s="715"/>
      <c r="O200" s="715" t="s">
        <v>7883</v>
      </c>
    </row>
    <row r="201" spans="1:15" ht="12.75" customHeight="1">
      <c r="A201" s="714" t="s">
        <v>7799</v>
      </c>
      <c r="B201" s="699" t="s">
        <v>7886</v>
      </c>
      <c r="C201" s="715" t="s">
        <v>262</v>
      </c>
      <c r="D201" s="715"/>
      <c r="E201" s="715" t="s">
        <v>180</v>
      </c>
      <c r="F201" s="715" t="s">
        <v>7315</v>
      </c>
      <c r="G201" s="715" t="s">
        <v>262</v>
      </c>
      <c r="H201" s="715" t="s">
        <v>203</v>
      </c>
      <c r="I201" s="716" t="s">
        <v>203</v>
      </c>
      <c r="J201" s="715" t="s">
        <v>423</v>
      </c>
      <c r="K201" s="715" t="s">
        <v>113</v>
      </c>
      <c r="L201" s="715" t="s">
        <v>1889</v>
      </c>
      <c r="M201" s="715"/>
      <c r="N201" s="715"/>
      <c r="O201" s="715" t="s">
        <v>7883</v>
      </c>
    </row>
    <row r="202" spans="1:15" ht="12.75" customHeight="1">
      <c r="A202" s="714" t="s">
        <v>7799</v>
      </c>
      <c r="B202" s="699" t="s">
        <v>7887</v>
      </c>
      <c r="C202" s="715" t="s">
        <v>7888</v>
      </c>
      <c r="D202" s="715"/>
      <c r="E202" s="715" t="s">
        <v>180</v>
      </c>
      <c r="F202" s="715" t="s">
        <v>7315</v>
      </c>
      <c r="G202" s="715" t="s">
        <v>7888</v>
      </c>
      <c r="H202" s="715" t="s">
        <v>203</v>
      </c>
      <c r="I202" s="716" t="s">
        <v>203</v>
      </c>
      <c r="J202" s="715" t="s">
        <v>423</v>
      </c>
      <c r="K202" s="715" t="s">
        <v>113</v>
      </c>
      <c r="L202" s="715" t="s">
        <v>1889</v>
      </c>
      <c r="M202" s="715"/>
      <c r="N202" s="715"/>
      <c r="O202" s="715" t="s">
        <v>7883</v>
      </c>
    </row>
    <row r="203" spans="1:15" ht="12.75" customHeight="1">
      <c r="A203" s="714" t="s">
        <v>7799</v>
      </c>
      <c r="B203" s="699" t="s">
        <v>7890</v>
      </c>
      <c r="C203" s="715" t="s">
        <v>7891</v>
      </c>
      <c r="D203" s="715"/>
      <c r="E203" s="715" t="s">
        <v>180</v>
      </c>
      <c r="F203" s="715" t="s">
        <v>7315</v>
      </c>
      <c r="G203" s="715" t="s">
        <v>7891</v>
      </c>
      <c r="H203" s="715" t="s">
        <v>203</v>
      </c>
      <c r="I203" s="716" t="s">
        <v>203</v>
      </c>
      <c r="J203" s="715" t="s">
        <v>423</v>
      </c>
      <c r="K203" s="715" t="s">
        <v>113</v>
      </c>
      <c r="L203" s="715" t="s">
        <v>1889</v>
      </c>
      <c r="M203" s="715"/>
      <c r="N203" s="715"/>
      <c r="O203" s="715" t="s">
        <v>7883</v>
      </c>
    </row>
    <row r="204" spans="1:15" ht="12.75" customHeight="1">
      <c r="A204" s="714" t="s">
        <v>7799</v>
      </c>
      <c r="B204" s="699" t="s">
        <v>7893</v>
      </c>
      <c r="C204" s="715" t="s">
        <v>7894</v>
      </c>
      <c r="D204" s="715"/>
      <c r="E204" s="715" t="s">
        <v>180</v>
      </c>
      <c r="F204" s="715" t="s">
        <v>7315</v>
      </c>
      <c r="G204" s="715" t="s">
        <v>7894</v>
      </c>
      <c r="H204" s="715" t="s">
        <v>203</v>
      </c>
      <c r="I204" s="716" t="s">
        <v>203</v>
      </c>
      <c r="J204" s="715" t="s">
        <v>423</v>
      </c>
      <c r="K204" s="715" t="s">
        <v>113</v>
      </c>
      <c r="L204" s="715" t="s">
        <v>1889</v>
      </c>
      <c r="M204" s="715"/>
      <c r="N204" s="715"/>
      <c r="O204" s="715" t="s">
        <v>7883</v>
      </c>
    </row>
    <row r="205" spans="1:15" ht="12.75" customHeight="1">
      <c r="A205" s="714" t="s">
        <v>7799</v>
      </c>
      <c r="B205" s="699" t="s">
        <v>7897</v>
      </c>
      <c r="C205" s="715" t="s">
        <v>7898</v>
      </c>
      <c r="D205" s="715"/>
      <c r="E205" s="715" t="s">
        <v>180</v>
      </c>
      <c r="F205" s="715" t="s">
        <v>7315</v>
      </c>
      <c r="G205" s="715" t="s">
        <v>7898</v>
      </c>
      <c r="H205" s="715" t="s">
        <v>203</v>
      </c>
      <c r="I205" s="716" t="s">
        <v>203</v>
      </c>
      <c r="J205" s="715" t="s">
        <v>423</v>
      </c>
      <c r="K205" s="715" t="s">
        <v>113</v>
      </c>
      <c r="L205" s="715" t="s">
        <v>1889</v>
      </c>
      <c r="M205" s="715"/>
      <c r="N205" s="715"/>
      <c r="O205" s="715" t="s">
        <v>7883</v>
      </c>
    </row>
    <row r="206" spans="1:15" ht="12.75" customHeight="1">
      <c r="A206" s="714" t="s">
        <v>7799</v>
      </c>
      <c r="B206" s="699" t="s">
        <v>7899</v>
      </c>
      <c r="C206" s="715" t="s">
        <v>7900</v>
      </c>
      <c r="D206" s="715"/>
      <c r="E206" s="715" t="s">
        <v>180</v>
      </c>
      <c r="F206" s="715" t="s">
        <v>7315</v>
      </c>
      <c r="G206" s="715" t="s">
        <v>7900</v>
      </c>
      <c r="H206" s="715" t="s">
        <v>203</v>
      </c>
      <c r="I206" s="716" t="s">
        <v>203</v>
      </c>
      <c r="J206" s="715" t="s">
        <v>423</v>
      </c>
      <c r="K206" s="715" t="s">
        <v>113</v>
      </c>
      <c r="L206" s="715" t="s">
        <v>1889</v>
      </c>
      <c r="M206" s="715"/>
      <c r="N206" s="715"/>
      <c r="O206" s="715" t="s">
        <v>7883</v>
      </c>
    </row>
    <row r="207" spans="1:15" ht="12.75" customHeight="1">
      <c r="A207" s="714" t="s">
        <v>7799</v>
      </c>
      <c r="B207" s="699" t="s">
        <v>7902</v>
      </c>
      <c r="C207" s="715" t="s">
        <v>7903</v>
      </c>
      <c r="D207" s="715"/>
      <c r="E207" s="715" t="s">
        <v>180</v>
      </c>
      <c r="F207" s="715" t="s">
        <v>7315</v>
      </c>
      <c r="G207" s="715" t="s">
        <v>7903</v>
      </c>
      <c r="H207" s="715" t="s">
        <v>203</v>
      </c>
      <c r="I207" s="716" t="s">
        <v>203</v>
      </c>
      <c r="J207" s="715" t="s">
        <v>423</v>
      </c>
      <c r="K207" s="715" t="s">
        <v>113</v>
      </c>
      <c r="L207" s="715" t="s">
        <v>1889</v>
      </c>
      <c r="M207" s="715"/>
      <c r="N207" s="715"/>
      <c r="O207" s="715" t="s">
        <v>7883</v>
      </c>
    </row>
    <row r="208" spans="1:15" ht="12.75" customHeight="1">
      <c r="A208" s="714" t="s">
        <v>7799</v>
      </c>
      <c r="B208" s="699" t="s">
        <v>7906</v>
      </c>
      <c r="C208" s="715" t="s">
        <v>7907</v>
      </c>
      <c r="D208" s="715"/>
      <c r="E208" s="715" t="s">
        <v>180</v>
      </c>
      <c r="F208" s="715" t="s">
        <v>7315</v>
      </c>
      <c r="G208" s="715" t="s">
        <v>7907</v>
      </c>
      <c r="H208" s="715" t="s">
        <v>203</v>
      </c>
      <c r="I208" s="716" t="s">
        <v>203</v>
      </c>
      <c r="J208" s="715" t="s">
        <v>423</v>
      </c>
      <c r="K208" s="715" t="s">
        <v>113</v>
      </c>
      <c r="L208" s="715" t="s">
        <v>1889</v>
      </c>
      <c r="M208" s="715"/>
      <c r="N208" s="715"/>
      <c r="O208" s="715" t="s">
        <v>7883</v>
      </c>
    </row>
    <row r="209" spans="1:15" ht="12.75" customHeight="1">
      <c r="A209" s="714" t="s">
        <v>7799</v>
      </c>
      <c r="B209" s="699" t="s">
        <v>7910</v>
      </c>
      <c r="C209" s="715" t="s">
        <v>7911</v>
      </c>
      <c r="D209" s="715"/>
      <c r="E209" s="715" t="s">
        <v>180</v>
      </c>
      <c r="F209" s="715" t="s">
        <v>7315</v>
      </c>
      <c r="G209" s="715" t="s">
        <v>7911</v>
      </c>
      <c r="H209" s="715" t="s">
        <v>203</v>
      </c>
      <c r="I209" s="716" t="s">
        <v>203</v>
      </c>
      <c r="J209" s="715" t="s">
        <v>423</v>
      </c>
      <c r="K209" s="715" t="s">
        <v>113</v>
      </c>
      <c r="L209" s="715" t="s">
        <v>1889</v>
      </c>
      <c r="M209" s="715"/>
      <c r="N209" s="715"/>
      <c r="O209" s="715" t="s">
        <v>7883</v>
      </c>
    </row>
    <row r="210" spans="1:15" ht="12.75" customHeight="1">
      <c r="A210" s="714" t="s">
        <v>7799</v>
      </c>
      <c r="B210" s="699" t="s">
        <v>7912</v>
      </c>
      <c r="C210" s="715" t="s">
        <v>7913</v>
      </c>
      <c r="D210" s="716" t="s">
        <v>7914</v>
      </c>
      <c r="E210" s="715" t="s">
        <v>180</v>
      </c>
      <c r="F210" s="715" t="s">
        <v>7315</v>
      </c>
      <c r="G210" s="715" t="s">
        <v>7913</v>
      </c>
      <c r="H210" s="715" t="s">
        <v>203</v>
      </c>
      <c r="I210" s="716" t="s">
        <v>203</v>
      </c>
      <c r="J210" s="715" t="s">
        <v>423</v>
      </c>
      <c r="K210" s="715" t="s">
        <v>113</v>
      </c>
      <c r="L210" s="715" t="s">
        <v>1889</v>
      </c>
      <c r="M210" s="716"/>
      <c r="N210" s="716"/>
      <c r="O210" s="715" t="s">
        <v>7883</v>
      </c>
    </row>
    <row r="211" spans="1:15" ht="12.75" customHeight="1">
      <c r="A211" s="714" t="s">
        <v>7799</v>
      </c>
      <c r="B211" s="699" t="s">
        <v>7916</v>
      </c>
      <c r="C211" s="715" t="s">
        <v>7917</v>
      </c>
      <c r="D211" s="715" t="s">
        <v>7918</v>
      </c>
      <c r="E211" s="715" t="s">
        <v>180</v>
      </c>
      <c r="F211" s="715" t="s">
        <v>7315</v>
      </c>
      <c r="G211" s="715" t="s">
        <v>7917</v>
      </c>
      <c r="H211" s="715" t="s">
        <v>203</v>
      </c>
      <c r="I211" s="716" t="s">
        <v>203</v>
      </c>
      <c r="J211" s="715" t="s">
        <v>423</v>
      </c>
      <c r="K211" s="715" t="s">
        <v>113</v>
      </c>
      <c r="L211" s="715" t="s">
        <v>1889</v>
      </c>
      <c r="M211" s="715"/>
      <c r="N211" s="715"/>
      <c r="O211" s="715" t="s">
        <v>7883</v>
      </c>
    </row>
    <row r="212" spans="1:15" ht="12.75" customHeight="1">
      <c r="A212" s="714" t="s">
        <v>7799</v>
      </c>
      <c r="B212" s="699" t="s">
        <v>7921</v>
      </c>
      <c r="C212" s="715" t="s">
        <v>7922</v>
      </c>
      <c r="D212" s="715"/>
      <c r="E212" s="715" t="s">
        <v>180</v>
      </c>
      <c r="F212" s="715" t="s">
        <v>7315</v>
      </c>
      <c r="G212" s="715" t="s">
        <v>7922</v>
      </c>
      <c r="H212" s="715" t="s">
        <v>203</v>
      </c>
      <c r="I212" s="716" t="s">
        <v>203</v>
      </c>
      <c r="J212" s="715" t="s">
        <v>423</v>
      </c>
      <c r="K212" s="715" t="s">
        <v>113</v>
      </c>
      <c r="L212" s="715" t="s">
        <v>1889</v>
      </c>
      <c r="M212" s="715"/>
      <c r="N212" s="715"/>
      <c r="O212" s="715" t="s">
        <v>7883</v>
      </c>
    </row>
    <row r="213" spans="1:15" ht="12.75" customHeight="1">
      <c r="A213" s="714" t="s">
        <v>7799</v>
      </c>
      <c r="B213" s="699" t="s">
        <v>7923</v>
      </c>
      <c r="C213" s="715" t="s">
        <v>7924</v>
      </c>
      <c r="D213" s="715" t="s">
        <v>7925</v>
      </c>
      <c r="E213" s="715" t="s">
        <v>180</v>
      </c>
      <c r="F213" s="715" t="s">
        <v>7315</v>
      </c>
      <c r="G213" s="715" t="s">
        <v>7924</v>
      </c>
      <c r="H213" s="715" t="s">
        <v>203</v>
      </c>
      <c r="I213" s="716" t="s">
        <v>203</v>
      </c>
      <c r="J213" s="715" t="s">
        <v>423</v>
      </c>
      <c r="K213" s="715" t="s">
        <v>113</v>
      </c>
      <c r="L213" s="715" t="s">
        <v>1889</v>
      </c>
      <c r="M213" s="715"/>
      <c r="N213" s="715"/>
      <c r="O213" s="715" t="s">
        <v>7883</v>
      </c>
    </row>
    <row r="214" spans="1:15" ht="12.75" customHeight="1">
      <c r="A214" s="714" t="s">
        <v>7799</v>
      </c>
      <c r="B214" s="699" t="s">
        <v>7927</v>
      </c>
      <c r="C214" s="715" t="s">
        <v>7928</v>
      </c>
      <c r="D214" s="715" t="s">
        <v>7929</v>
      </c>
      <c r="E214" s="715" t="s">
        <v>180</v>
      </c>
      <c r="F214" s="715" t="s">
        <v>7315</v>
      </c>
      <c r="G214" s="715" t="s">
        <v>7928</v>
      </c>
      <c r="H214" s="715" t="s">
        <v>203</v>
      </c>
      <c r="I214" s="716" t="s">
        <v>203</v>
      </c>
      <c r="J214" s="715" t="s">
        <v>423</v>
      </c>
      <c r="K214" s="715" t="s">
        <v>113</v>
      </c>
      <c r="L214" s="715" t="s">
        <v>1889</v>
      </c>
      <c r="M214" s="715"/>
      <c r="N214" s="715"/>
      <c r="O214" s="715" t="s">
        <v>7883</v>
      </c>
    </row>
    <row r="215" spans="1:15" ht="12.75" customHeight="1">
      <c r="A215" s="714" t="s">
        <v>7799</v>
      </c>
      <c r="B215" s="699" t="s">
        <v>7930</v>
      </c>
      <c r="C215" s="715" t="s">
        <v>7931</v>
      </c>
      <c r="D215" s="715" t="s">
        <v>7932</v>
      </c>
      <c r="E215" s="715" t="s">
        <v>180</v>
      </c>
      <c r="F215" s="715" t="s">
        <v>7315</v>
      </c>
      <c r="G215" s="715" t="s">
        <v>7931</v>
      </c>
      <c r="H215" s="715" t="s">
        <v>203</v>
      </c>
      <c r="I215" s="716" t="s">
        <v>203</v>
      </c>
      <c r="J215" s="715" t="s">
        <v>423</v>
      </c>
      <c r="K215" s="715" t="s">
        <v>113</v>
      </c>
      <c r="L215" s="715" t="s">
        <v>1889</v>
      </c>
      <c r="M215" s="715"/>
      <c r="N215" s="715"/>
      <c r="O215" s="715" t="s">
        <v>7883</v>
      </c>
    </row>
    <row r="216" spans="1:15" ht="12.75" customHeight="1">
      <c r="A216" s="714" t="s">
        <v>7799</v>
      </c>
      <c r="B216" s="699" t="s">
        <v>7934</v>
      </c>
      <c r="C216" s="715" t="s">
        <v>7935</v>
      </c>
      <c r="D216" s="715" t="s">
        <v>7936</v>
      </c>
      <c r="E216" s="715" t="s">
        <v>203</v>
      </c>
      <c r="F216" s="715" t="s">
        <v>3169</v>
      </c>
      <c r="G216" s="715" t="s">
        <v>3170</v>
      </c>
      <c r="H216" s="715" t="s">
        <v>203</v>
      </c>
      <c r="I216" s="716" t="s">
        <v>203</v>
      </c>
      <c r="J216" s="715" t="s">
        <v>423</v>
      </c>
      <c r="K216" s="715" t="s">
        <v>113</v>
      </c>
      <c r="L216" s="715" t="s">
        <v>3178</v>
      </c>
      <c r="M216" s="715" t="s">
        <v>7939</v>
      </c>
      <c r="N216" s="715"/>
      <c r="O216" s="715" t="s">
        <v>7880</v>
      </c>
    </row>
    <row r="217" spans="1:15" ht="12.75" customHeight="1">
      <c r="A217" s="701" t="s">
        <v>7940</v>
      </c>
      <c r="B217" s="699" t="s">
        <v>7941</v>
      </c>
      <c r="C217" s="28" t="s">
        <v>3381</v>
      </c>
      <c r="D217" s="27" t="s">
        <v>4121</v>
      </c>
      <c r="E217" s="27" t="s">
        <v>3326</v>
      </c>
      <c r="F217" s="27" t="s">
        <v>3121</v>
      </c>
      <c r="G217" s="28"/>
      <c r="H217" s="28" t="s">
        <v>203</v>
      </c>
      <c r="I217" s="111" t="s">
        <v>203</v>
      </c>
      <c r="J217" s="27" t="s">
        <v>423</v>
      </c>
      <c r="K217" s="28" t="s">
        <v>113</v>
      </c>
      <c r="L217" s="28" t="s">
        <v>3178</v>
      </c>
      <c r="M217" s="28" t="s">
        <v>4123</v>
      </c>
      <c r="N217" s="114"/>
      <c r="O217" s="28"/>
    </row>
    <row r="218" spans="1:15" ht="12.75" customHeight="1">
      <c r="A218" s="701" t="s">
        <v>7940</v>
      </c>
      <c r="B218" s="699" t="s">
        <v>7942</v>
      </c>
      <c r="C218" s="27" t="s">
        <v>4185</v>
      </c>
      <c r="D218" s="28" t="s">
        <v>7944</v>
      </c>
      <c r="E218" s="28" t="s">
        <v>180</v>
      </c>
      <c r="F218" s="27" t="s">
        <v>7315</v>
      </c>
      <c r="G218" s="27" t="s">
        <v>4185</v>
      </c>
      <c r="H218" s="28" t="s">
        <v>203</v>
      </c>
      <c r="I218" s="111" t="s">
        <v>203</v>
      </c>
      <c r="J218" s="27" t="s">
        <v>423</v>
      </c>
      <c r="K218" s="28" t="s">
        <v>113</v>
      </c>
      <c r="L218" s="27" t="s">
        <v>1889</v>
      </c>
      <c r="M218" s="717"/>
      <c r="N218" s="111"/>
      <c r="O218" s="28"/>
    </row>
    <row r="219" spans="1:15" ht="12.75" customHeight="1">
      <c r="A219" s="701" t="s">
        <v>7940</v>
      </c>
      <c r="B219" s="699" t="s">
        <v>7945</v>
      </c>
      <c r="C219" s="27" t="s">
        <v>4160</v>
      </c>
      <c r="D219" s="28" t="s">
        <v>7946</v>
      </c>
      <c r="E219" s="28" t="s">
        <v>180</v>
      </c>
      <c r="F219" s="27" t="s">
        <v>7315</v>
      </c>
      <c r="G219" s="27" t="s">
        <v>4160</v>
      </c>
      <c r="H219" s="28" t="s">
        <v>203</v>
      </c>
      <c r="I219" s="111" t="s">
        <v>203</v>
      </c>
      <c r="J219" s="27" t="s">
        <v>423</v>
      </c>
      <c r="K219" s="28" t="s">
        <v>113</v>
      </c>
      <c r="L219" s="27" t="s">
        <v>1889</v>
      </c>
      <c r="M219" s="717"/>
      <c r="N219" s="111"/>
      <c r="O219" s="28"/>
    </row>
    <row r="220" spans="1:15" ht="12.75" customHeight="1">
      <c r="A220" s="701" t="s">
        <v>7940</v>
      </c>
      <c r="B220" s="699" t="s">
        <v>7947</v>
      </c>
      <c r="C220" s="27" t="s">
        <v>6981</v>
      </c>
      <c r="D220" s="28" t="s">
        <v>7948</v>
      </c>
      <c r="E220" s="28" t="s">
        <v>180</v>
      </c>
      <c r="F220" s="27" t="s">
        <v>7315</v>
      </c>
      <c r="G220" s="27" t="s">
        <v>6981</v>
      </c>
      <c r="H220" s="28" t="s">
        <v>203</v>
      </c>
      <c r="I220" s="111" t="s">
        <v>203</v>
      </c>
      <c r="J220" s="27" t="s">
        <v>423</v>
      </c>
      <c r="K220" s="28" t="s">
        <v>113</v>
      </c>
      <c r="L220" s="27" t="s">
        <v>1889</v>
      </c>
      <c r="M220" s="717"/>
      <c r="N220" s="111"/>
      <c r="O220" s="28"/>
    </row>
    <row r="221" spans="1:15" ht="12.75" customHeight="1">
      <c r="A221" s="701" t="s">
        <v>7940</v>
      </c>
      <c r="B221" s="699" t="s">
        <v>7949</v>
      </c>
      <c r="C221" s="27" t="s">
        <v>7459</v>
      </c>
      <c r="D221" s="28" t="s">
        <v>7950</v>
      </c>
      <c r="E221" s="28" t="s">
        <v>180</v>
      </c>
      <c r="F221" s="27" t="s">
        <v>7315</v>
      </c>
      <c r="G221" s="27" t="s">
        <v>4193</v>
      </c>
      <c r="H221" s="28" t="s">
        <v>203</v>
      </c>
      <c r="I221" s="111" t="s">
        <v>203</v>
      </c>
      <c r="J221" s="27" t="s">
        <v>423</v>
      </c>
      <c r="K221" s="28" t="s">
        <v>113</v>
      </c>
      <c r="L221" s="27" t="s">
        <v>1889</v>
      </c>
      <c r="M221" s="717"/>
      <c r="N221" s="111"/>
      <c r="O221" s="227"/>
    </row>
    <row r="222" spans="1:15" ht="12.75" customHeight="1">
      <c r="A222" s="701" t="s">
        <v>7940</v>
      </c>
      <c r="B222" s="699" t="s">
        <v>7952</v>
      </c>
      <c r="C222" s="28" t="s">
        <v>7953</v>
      </c>
      <c r="D222" s="27" t="s">
        <v>7954</v>
      </c>
      <c r="E222" s="28" t="s">
        <v>180</v>
      </c>
      <c r="F222" s="27" t="s">
        <v>7315</v>
      </c>
      <c r="G222" s="28" t="s">
        <v>7953</v>
      </c>
      <c r="H222" s="28" t="s">
        <v>203</v>
      </c>
      <c r="I222" s="111" t="s">
        <v>203</v>
      </c>
      <c r="J222" s="27" t="s">
        <v>423</v>
      </c>
      <c r="K222" s="28" t="s">
        <v>113</v>
      </c>
      <c r="L222" s="27" t="s">
        <v>1889</v>
      </c>
      <c r="M222" s="717"/>
      <c r="N222" s="114"/>
      <c r="O222" s="28"/>
    </row>
    <row r="223" spans="1:15" ht="12.75" customHeight="1">
      <c r="A223" s="701" t="s">
        <v>7940</v>
      </c>
      <c r="B223" s="699" t="s">
        <v>7955</v>
      </c>
      <c r="C223" s="28" t="s">
        <v>7956</v>
      </c>
      <c r="D223" s="27" t="s">
        <v>7957</v>
      </c>
      <c r="E223" s="28" t="s">
        <v>180</v>
      </c>
      <c r="F223" s="27" t="s">
        <v>7315</v>
      </c>
      <c r="G223" s="28" t="s">
        <v>7956</v>
      </c>
      <c r="H223" s="28" t="s">
        <v>203</v>
      </c>
      <c r="I223" s="111" t="s">
        <v>203</v>
      </c>
      <c r="J223" s="27" t="s">
        <v>423</v>
      </c>
      <c r="K223" s="28" t="s">
        <v>113</v>
      </c>
      <c r="L223" s="27" t="s">
        <v>1889</v>
      </c>
      <c r="M223" s="717"/>
      <c r="N223" s="114"/>
      <c r="O223" s="28"/>
    </row>
    <row r="224" spans="1:15" ht="12.75" customHeight="1">
      <c r="A224" s="701" t="s">
        <v>7940</v>
      </c>
      <c r="B224" s="699" t="s">
        <v>7960</v>
      </c>
      <c r="C224" s="28" t="s">
        <v>7961</v>
      </c>
      <c r="D224" s="27" t="s">
        <v>7962</v>
      </c>
      <c r="E224" s="28" t="s">
        <v>180</v>
      </c>
      <c r="F224" s="27" t="s">
        <v>7315</v>
      </c>
      <c r="G224" s="28" t="s">
        <v>7961</v>
      </c>
      <c r="H224" s="28" t="s">
        <v>203</v>
      </c>
      <c r="I224" s="111" t="s">
        <v>203</v>
      </c>
      <c r="J224" s="27" t="s">
        <v>423</v>
      </c>
      <c r="K224" s="28" t="s">
        <v>113</v>
      </c>
      <c r="L224" s="27" t="s">
        <v>1889</v>
      </c>
      <c r="M224" s="717"/>
      <c r="N224" s="114"/>
      <c r="O224" s="28" t="s">
        <v>7963</v>
      </c>
    </row>
    <row r="225" spans="1:15" ht="12.75" customHeight="1">
      <c r="A225" s="701" t="s">
        <v>7940</v>
      </c>
      <c r="B225" s="699" t="s">
        <v>7964</v>
      </c>
      <c r="C225" s="27" t="s">
        <v>4222</v>
      </c>
      <c r="D225" s="28" t="s">
        <v>7965</v>
      </c>
      <c r="E225" s="28" t="s">
        <v>180</v>
      </c>
      <c r="F225" s="27" t="s">
        <v>7315</v>
      </c>
      <c r="G225" s="27" t="s">
        <v>4222</v>
      </c>
      <c r="H225" s="28" t="s">
        <v>203</v>
      </c>
      <c r="I225" s="111" t="s">
        <v>203</v>
      </c>
      <c r="J225" s="27" t="s">
        <v>423</v>
      </c>
      <c r="K225" s="28" t="s">
        <v>113</v>
      </c>
      <c r="L225" s="27" t="s">
        <v>1889</v>
      </c>
      <c r="M225" s="717"/>
      <c r="N225" s="28"/>
      <c r="O225" s="28"/>
    </row>
    <row r="226" spans="1:15" ht="12.75" customHeight="1">
      <c r="A226" s="701" t="s">
        <v>7940</v>
      </c>
      <c r="B226" s="699" t="s">
        <v>7967</v>
      </c>
      <c r="C226" s="28" t="s">
        <v>7968</v>
      </c>
      <c r="D226" s="27" t="s">
        <v>7969</v>
      </c>
      <c r="E226" s="28" t="s">
        <v>180</v>
      </c>
      <c r="F226" s="27" t="s">
        <v>7315</v>
      </c>
      <c r="G226" s="28" t="s">
        <v>7968</v>
      </c>
      <c r="H226" s="28" t="s">
        <v>203</v>
      </c>
      <c r="I226" s="111" t="s">
        <v>203</v>
      </c>
      <c r="J226" s="27" t="s">
        <v>423</v>
      </c>
      <c r="K226" s="28" t="s">
        <v>113</v>
      </c>
      <c r="L226" s="27" t="s">
        <v>1889</v>
      </c>
      <c r="M226" s="717"/>
      <c r="N226" s="114"/>
      <c r="O226" s="28" t="s">
        <v>7963</v>
      </c>
    </row>
    <row r="227" spans="1:15" ht="12.75" customHeight="1">
      <c r="A227" s="701" t="s">
        <v>7940</v>
      </c>
      <c r="B227" s="699" t="s">
        <v>7970</v>
      </c>
      <c r="C227" s="27" t="s">
        <v>4144</v>
      </c>
      <c r="D227" s="28" t="s">
        <v>7971</v>
      </c>
      <c r="E227" s="28" t="s">
        <v>180</v>
      </c>
      <c r="F227" s="27" t="s">
        <v>7315</v>
      </c>
      <c r="G227" s="27" t="s">
        <v>4144</v>
      </c>
      <c r="H227" s="28" t="s">
        <v>203</v>
      </c>
      <c r="I227" s="111" t="s">
        <v>203</v>
      </c>
      <c r="J227" s="27" t="s">
        <v>423</v>
      </c>
      <c r="K227" s="28" t="s">
        <v>113</v>
      </c>
      <c r="L227" s="27" t="s">
        <v>1889</v>
      </c>
      <c r="M227" s="717"/>
      <c r="N227" s="28"/>
      <c r="O227" s="28" t="s">
        <v>7963</v>
      </c>
    </row>
    <row r="228" spans="1:15" ht="12.75" customHeight="1">
      <c r="A228" s="701" t="s">
        <v>7940</v>
      </c>
      <c r="B228" s="699" t="s">
        <v>7972</v>
      </c>
      <c r="C228" s="27" t="s">
        <v>4149</v>
      </c>
      <c r="D228" s="28" t="s">
        <v>7973</v>
      </c>
      <c r="E228" s="28" t="s">
        <v>180</v>
      </c>
      <c r="F228" s="27" t="s">
        <v>7315</v>
      </c>
      <c r="G228" s="27" t="s">
        <v>4149</v>
      </c>
      <c r="H228" s="28" t="s">
        <v>203</v>
      </c>
      <c r="I228" s="111" t="s">
        <v>203</v>
      </c>
      <c r="J228" s="27" t="s">
        <v>423</v>
      </c>
      <c r="K228" s="28" t="s">
        <v>113</v>
      </c>
      <c r="L228" s="27" t="s">
        <v>1889</v>
      </c>
      <c r="M228" s="717"/>
      <c r="N228" s="28"/>
      <c r="O228" s="28" t="s">
        <v>7963</v>
      </c>
    </row>
    <row r="229" spans="1:15" ht="12.75" customHeight="1">
      <c r="A229" s="701" t="s">
        <v>7940</v>
      </c>
      <c r="B229" s="699" t="s">
        <v>7974</v>
      </c>
      <c r="C229" s="28" t="s">
        <v>7975</v>
      </c>
      <c r="D229" s="27" t="s">
        <v>7977</v>
      </c>
      <c r="E229" s="28" t="s">
        <v>180</v>
      </c>
      <c r="F229" s="27" t="s">
        <v>7315</v>
      </c>
      <c r="G229" s="28"/>
      <c r="H229" s="28" t="s">
        <v>203</v>
      </c>
      <c r="I229" s="111" t="s">
        <v>203</v>
      </c>
      <c r="J229" s="27" t="s">
        <v>423</v>
      </c>
      <c r="K229" s="28" t="s">
        <v>113</v>
      </c>
      <c r="L229" s="27" t="s">
        <v>1889</v>
      </c>
      <c r="M229" s="717"/>
      <c r="N229" s="114"/>
      <c r="O229" s="28" t="s">
        <v>7963</v>
      </c>
    </row>
    <row r="230" spans="1:15" ht="12.75" customHeight="1">
      <c r="A230" s="701" t="s">
        <v>7940</v>
      </c>
      <c r="B230" s="699" t="s">
        <v>7978</v>
      </c>
      <c r="C230" s="27" t="s">
        <v>4303</v>
      </c>
      <c r="D230" s="28" t="s">
        <v>7979</v>
      </c>
      <c r="E230" s="28" t="s">
        <v>180</v>
      </c>
      <c r="F230" s="27" t="s">
        <v>7315</v>
      </c>
      <c r="G230" s="27" t="s">
        <v>4303</v>
      </c>
      <c r="H230" s="28" t="s">
        <v>203</v>
      </c>
      <c r="I230" s="111" t="s">
        <v>203</v>
      </c>
      <c r="J230" s="27" t="s">
        <v>423</v>
      </c>
      <c r="K230" s="28" t="s">
        <v>113</v>
      </c>
      <c r="L230" s="27" t="s">
        <v>1889</v>
      </c>
      <c r="M230" s="717"/>
      <c r="N230" s="111"/>
      <c r="O230" s="28"/>
    </row>
    <row r="231" spans="1:15" ht="12.75" customHeight="1">
      <c r="A231" s="701" t="s">
        <v>7940</v>
      </c>
      <c r="B231" s="699" t="s">
        <v>7983</v>
      </c>
      <c r="C231" s="28" t="s">
        <v>7984</v>
      </c>
      <c r="D231" s="28" t="s">
        <v>7985</v>
      </c>
      <c r="E231" s="28" t="s">
        <v>180</v>
      </c>
      <c r="F231" s="27" t="s">
        <v>7315</v>
      </c>
      <c r="G231" s="28" t="s">
        <v>4313</v>
      </c>
      <c r="H231" s="28" t="s">
        <v>203</v>
      </c>
      <c r="I231" s="111" t="s">
        <v>203</v>
      </c>
      <c r="J231" s="27" t="s">
        <v>423</v>
      </c>
      <c r="K231" s="28" t="s">
        <v>113</v>
      </c>
      <c r="L231" s="27" t="s">
        <v>1889</v>
      </c>
      <c r="M231" s="718"/>
      <c r="N231" s="111"/>
      <c r="O231" s="719"/>
    </row>
    <row r="232" spans="1:15" ht="12.75" customHeight="1">
      <c r="A232" s="701" t="s">
        <v>7940</v>
      </c>
      <c r="B232" s="699" t="s">
        <v>7988</v>
      </c>
      <c r="C232" s="28" t="s">
        <v>4319</v>
      </c>
      <c r="D232" s="28" t="s">
        <v>7989</v>
      </c>
      <c r="E232" s="28" t="s">
        <v>180</v>
      </c>
      <c r="F232" s="27" t="s">
        <v>7315</v>
      </c>
      <c r="G232" s="28" t="s">
        <v>4319</v>
      </c>
      <c r="H232" s="28" t="s">
        <v>203</v>
      </c>
      <c r="I232" s="111" t="s">
        <v>203</v>
      </c>
      <c r="J232" s="27" t="s">
        <v>423</v>
      </c>
      <c r="K232" s="28" t="s">
        <v>113</v>
      </c>
      <c r="L232" s="27" t="s">
        <v>1889</v>
      </c>
      <c r="M232" s="718"/>
      <c r="N232" s="111"/>
      <c r="O232" s="719"/>
    </row>
    <row r="233" spans="1:15" ht="12.75" customHeight="1">
      <c r="A233" s="701" t="s">
        <v>7940</v>
      </c>
      <c r="B233" s="699" t="s">
        <v>7990</v>
      </c>
      <c r="C233" s="27" t="s">
        <v>4308</v>
      </c>
      <c r="D233" s="28" t="s">
        <v>7991</v>
      </c>
      <c r="E233" s="28" t="s">
        <v>180</v>
      </c>
      <c r="F233" s="27" t="s">
        <v>7315</v>
      </c>
      <c r="G233" s="27" t="s">
        <v>4308</v>
      </c>
      <c r="H233" s="28" t="s">
        <v>203</v>
      </c>
      <c r="I233" s="111" t="s">
        <v>203</v>
      </c>
      <c r="J233" s="27" t="s">
        <v>423</v>
      </c>
      <c r="K233" s="28" t="s">
        <v>113</v>
      </c>
      <c r="L233" s="27" t="s">
        <v>1889</v>
      </c>
      <c r="M233" s="718"/>
      <c r="N233" s="111"/>
      <c r="O233" s="28"/>
    </row>
    <row r="234" spans="1:15" ht="12.75" customHeight="1">
      <c r="A234" s="701" t="s">
        <v>7940</v>
      </c>
      <c r="B234" s="699" t="s">
        <v>7992</v>
      </c>
      <c r="C234" s="27" t="s">
        <v>7993</v>
      </c>
      <c r="D234" s="27" t="s">
        <v>7993</v>
      </c>
      <c r="E234" s="28" t="s">
        <v>180</v>
      </c>
      <c r="F234" s="27" t="s">
        <v>7315</v>
      </c>
      <c r="G234" s="27" t="s">
        <v>4327</v>
      </c>
      <c r="H234" s="28" t="s">
        <v>203</v>
      </c>
      <c r="I234" s="111" t="s">
        <v>203</v>
      </c>
      <c r="J234" s="27" t="s">
        <v>423</v>
      </c>
      <c r="K234" s="28" t="s">
        <v>113</v>
      </c>
      <c r="L234" s="27" t="s">
        <v>1889</v>
      </c>
      <c r="M234" s="718"/>
      <c r="N234" s="111"/>
      <c r="O234" s="28"/>
    </row>
    <row r="235" spans="1:15" ht="12.75" customHeight="1">
      <c r="A235" s="701" t="s">
        <v>7940</v>
      </c>
      <c r="B235" s="699" t="s">
        <v>7994</v>
      </c>
      <c r="C235" s="28" t="s">
        <v>7995</v>
      </c>
      <c r="D235" s="28" t="s">
        <v>4936</v>
      </c>
      <c r="E235" s="28" t="s">
        <v>180</v>
      </c>
      <c r="F235" s="27" t="s">
        <v>7315</v>
      </c>
      <c r="G235" s="28" t="s">
        <v>7995</v>
      </c>
      <c r="H235" s="28" t="s">
        <v>203</v>
      </c>
      <c r="I235" s="111" t="s">
        <v>203</v>
      </c>
      <c r="J235" s="27" t="s">
        <v>423</v>
      </c>
      <c r="K235" s="28" t="s">
        <v>113</v>
      </c>
      <c r="L235" s="27" t="s">
        <v>1889</v>
      </c>
      <c r="M235" s="718"/>
      <c r="N235" s="111"/>
      <c r="O235" s="719"/>
    </row>
    <row r="236" spans="1:15" ht="12.75" customHeight="1">
      <c r="A236" s="701" t="s">
        <v>7940</v>
      </c>
      <c r="B236" s="699" t="s">
        <v>7997</v>
      </c>
      <c r="C236" s="28" t="s">
        <v>7998</v>
      </c>
      <c r="D236" s="28" t="s">
        <v>7999</v>
      </c>
      <c r="E236" s="28" t="s">
        <v>180</v>
      </c>
      <c r="F236" s="27" t="s">
        <v>7315</v>
      </c>
      <c r="G236" s="28" t="s">
        <v>7998</v>
      </c>
      <c r="H236" s="28" t="s">
        <v>203</v>
      </c>
      <c r="I236" s="111" t="s">
        <v>203</v>
      </c>
      <c r="J236" s="27" t="s">
        <v>423</v>
      </c>
      <c r="K236" s="28" t="s">
        <v>113</v>
      </c>
      <c r="L236" s="27" t="s">
        <v>1889</v>
      </c>
      <c r="M236" s="718"/>
      <c r="N236" s="111"/>
      <c r="O236" s="719"/>
    </row>
    <row r="237" spans="1:15" ht="12.75" customHeight="1">
      <c r="A237" s="701" t="s">
        <v>7940</v>
      </c>
      <c r="B237" s="699" t="s">
        <v>8000</v>
      </c>
      <c r="C237" s="702" t="s">
        <v>8001</v>
      </c>
      <c r="D237" s="720" t="s">
        <v>8003</v>
      </c>
      <c r="E237" s="28" t="s">
        <v>180</v>
      </c>
      <c r="F237" s="27" t="s">
        <v>7315</v>
      </c>
      <c r="G237" s="702" t="s">
        <v>8001</v>
      </c>
      <c r="H237" s="702" t="s">
        <v>203</v>
      </c>
      <c r="I237" s="722" t="s">
        <v>203</v>
      </c>
      <c r="J237" s="720" t="s">
        <v>423</v>
      </c>
      <c r="K237" s="702" t="s">
        <v>113</v>
      </c>
      <c r="L237" s="27" t="s">
        <v>1889</v>
      </c>
      <c r="M237" s="723"/>
      <c r="N237" s="702"/>
      <c r="O237" s="702" t="s">
        <v>4131</v>
      </c>
    </row>
    <row r="238" spans="1:15" ht="12.75" customHeight="1">
      <c r="A238" s="701" t="s">
        <v>7940</v>
      </c>
      <c r="B238" s="699" t="s">
        <v>8008</v>
      </c>
      <c r="C238" s="702" t="s">
        <v>8009</v>
      </c>
      <c r="D238" s="720" t="s">
        <v>8010</v>
      </c>
      <c r="E238" s="28" t="s">
        <v>180</v>
      </c>
      <c r="F238" s="27" t="s">
        <v>7315</v>
      </c>
      <c r="G238" s="702" t="s">
        <v>8009</v>
      </c>
      <c r="H238" s="702" t="s">
        <v>203</v>
      </c>
      <c r="I238" s="722" t="s">
        <v>203</v>
      </c>
      <c r="J238" s="720" t="s">
        <v>423</v>
      </c>
      <c r="K238" s="702" t="s">
        <v>113</v>
      </c>
      <c r="L238" s="27" t="s">
        <v>1889</v>
      </c>
      <c r="M238" s="723"/>
      <c r="N238" s="702"/>
      <c r="O238" s="702"/>
    </row>
    <row r="239" spans="1:15" ht="12.75" customHeight="1">
      <c r="A239" s="701" t="s">
        <v>7940</v>
      </c>
      <c r="B239" s="699" t="s">
        <v>8011</v>
      </c>
      <c r="C239" s="28" t="s">
        <v>8012</v>
      </c>
      <c r="D239" s="28" t="s">
        <v>8013</v>
      </c>
      <c r="E239" s="28" t="s">
        <v>180</v>
      </c>
      <c r="F239" s="27" t="s">
        <v>7315</v>
      </c>
      <c r="G239" s="28" t="s">
        <v>8012</v>
      </c>
      <c r="H239" s="28" t="s">
        <v>203</v>
      </c>
      <c r="I239" s="111" t="s">
        <v>203</v>
      </c>
      <c r="J239" s="28" t="s">
        <v>423</v>
      </c>
      <c r="K239" s="28" t="s">
        <v>113</v>
      </c>
      <c r="L239" s="27" t="s">
        <v>1889</v>
      </c>
      <c r="M239" s="718"/>
      <c r="N239" s="111"/>
      <c r="O239" s="719"/>
    </row>
    <row r="240" spans="1:15" ht="12.75" customHeight="1">
      <c r="A240" s="701" t="s">
        <v>7940</v>
      </c>
      <c r="B240" s="699" t="s">
        <v>8014</v>
      </c>
      <c r="C240" s="28" t="s">
        <v>8015</v>
      </c>
      <c r="D240" s="28" t="s">
        <v>4166</v>
      </c>
      <c r="E240" s="28" t="s">
        <v>180</v>
      </c>
      <c r="F240" s="27" t="s">
        <v>7315</v>
      </c>
      <c r="G240" s="28" t="s">
        <v>8015</v>
      </c>
      <c r="H240" s="28" t="s">
        <v>203</v>
      </c>
      <c r="I240" s="111" t="s">
        <v>203</v>
      </c>
      <c r="J240" s="28" t="s">
        <v>423</v>
      </c>
      <c r="K240" s="28" t="s">
        <v>113</v>
      </c>
      <c r="L240" s="27" t="s">
        <v>1889</v>
      </c>
      <c r="M240" s="718"/>
      <c r="N240" s="111"/>
      <c r="O240" s="719"/>
    </row>
    <row r="241" spans="1:15" ht="12.75" customHeight="1">
      <c r="A241" s="701" t="s">
        <v>7940</v>
      </c>
      <c r="B241" s="699" t="s">
        <v>8017</v>
      </c>
      <c r="C241" s="28" t="s">
        <v>8018</v>
      </c>
      <c r="D241" s="28" t="s">
        <v>8019</v>
      </c>
      <c r="E241" s="28" t="s">
        <v>180</v>
      </c>
      <c r="F241" s="27" t="s">
        <v>7315</v>
      </c>
      <c r="G241" s="28" t="s">
        <v>8018</v>
      </c>
      <c r="H241" s="28" t="s">
        <v>203</v>
      </c>
      <c r="I241" s="111" t="s">
        <v>203</v>
      </c>
      <c r="J241" s="28" t="s">
        <v>423</v>
      </c>
      <c r="K241" s="28" t="s">
        <v>113</v>
      </c>
      <c r="L241" s="27" t="s">
        <v>1889</v>
      </c>
      <c r="M241" s="718"/>
      <c r="N241" s="111"/>
      <c r="O241" s="719"/>
    </row>
    <row r="242" spans="1:15" ht="12.75" customHeight="1">
      <c r="A242" s="701" t="s">
        <v>7940</v>
      </c>
      <c r="B242" s="699" t="s">
        <v>8022</v>
      </c>
      <c r="C242" s="28" t="s">
        <v>8023</v>
      </c>
      <c r="D242" s="28" t="s">
        <v>8024</v>
      </c>
      <c r="E242" s="28" t="s">
        <v>180</v>
      </c>
      <c r="F242" s="27" t="s">
        <v>7315</v>
      </c>
      <c r="G242" s="28" t="s">
        <v>8023</v>
      </c>
      <c r="H242" s="28" t="s">
        <v>203</v>
      </c>
      <c r="I242" s="111" t="s">
        <v>203</v>
      </c>
      <c r="J242" s="28" t="s">
        <v>423</v>
      </c>
      <c r="K242" s="28" t="s">
        <v>113</v>
      </c>
      <c r="L242" s="27" t="s">
        <v>1889</v>
      </c>
      <c r="M242" s="718"/>
      <c r="N242" s="111"/>
      <c r="O242" s="719"/>
    </row>
    <row r="243" spans="1:15" ht="12.75" customHeight="1">
      <c r="A243" s="701" t="s">
        <v>7940</v>
      </c>
      <c r="B243" s="699" t="s">
        <v>8025</v>
      </c>
      <c r="C243" s="27" t="s">
        <v>4179</v>
      </c>
      <c r="D243" s="28" t="s">
        <v>8026</v>
      </c>
      <c r="E243" s="28" t="s">
        <v>180</v>
      </c>
      <c r="F243" s="27" t="s">
        <v>7315</v>
      </c>
      <c r="G243" s="27" t="s">
        <v>4179</v>
      </c>
      <c r="H243" s="28" t="s">
        <v>203</v>
      </c>
      <c r="I243" s="111" t="s">
        <v>203</v>
      </c>
      <c r="J243" s="28" t="s">
        <v>423</v>
      </c>
      <c r="K243" s="28" t="s">
        <v>113</v>
      </c>
      <c r="L243" s="27" t="s">
        <v>1889</v>
      </c>
      <c r="M243" s="717"/>
      <c r="N243" s="111"/>
      <c r="O243" s="28"/>
    </row>
    <row r="244" spans="1:15" ht="12.75" customHeight="1">
      <c r="A244" s="701" t="s">
        <v>7940</v>
      </c>
      <c r="B244" s="699" t="s">
        <v>8029</v>
      </c>
      <c r="C244" s="28" t="s">
        <v>8030</v>
      </c>
      <c r="D244" s="28" t="s">
        <v>8030</v>
      </c>
      <c r="E244" s="28" t="s">
        <v>180</v>
      </c>
      <c r="F244" s="27" t="s">
        <v>7315</v>
      </c>
      <c r="G244" s="28" t="s">
        <v>8030</v>
      </c>
      <c r="H244" s="28" t="s">
        <v>203</v>
      </c>
      <c r="I244" s="111" t="s">
        <v>203</v>
      </c>
      <c r="J244" s="28" t="s">
        <v>423</v>
      </c>
      <c r="K244" s="28" t="s">
        <v>113</v>
      </c>
      <c r="L244" s="27" t="s">
        <v>1889</v>
      </c>
      <c r="M244" s="718"/>
      <c r="N244" s="111"/>
      <c r="O244" s="27" t="s">
        <v>8032</v>
      </c>
    </row>
    <row r="245" spans="1:15" ht="12.75" customHeight="1">
      <c r="A245" s="701" t="s">
        <v>7940</v>
      </c>
      <c r="B245" s="699" t="s">
        <v>8033</v>
      </c>
      <c r="C245" s="27" t="s">
        <v>4216</v>
      </c>
      <c r="D245" s="28" t="s">
        <v>8034</v>
      </c>
      <c r="E245" s="28" t="s">
        <v>180</v>
      </c>
      <c r="F245" s="27" t="s">
        <v>7315</v>
      </c>
      <c r="G245" s="27" t="s">
        <v>4216</v>
      </c>
      <c r="H245" s="28" t="s">
        <v>203</v>
      </c>
      <c r="I245" s="111" t="s">
        <v>203</v>
      </c>
      <c r="J245" s="28" t="s">
        <v>423</v>
      </c>
      <c r="K245" s="28" t="s">
        <v>113</v>
      </c>
      <c r="L245" s="27" t="s">
        <v>1889</v>
      </c>
      <c r="M245" s="717"/>
      <c r="N245" s="111"/>
      <c r="O245" s="28"/>
    </row>
    <row r="246" spans="1:15" ht="12.75" customHeight="1">
      <c r="A246" s="701" t="s">
        <v>7940</v>
      </c>
      <c r="B246" s="699" t="s">
        <v>8036</v>
      </c>
      <c r="C246" s="28" t="s">
        <v>8037</v>
      </c>
      <c r="D246" s="28" t="s">
        <v>8038</v>
      </c>
      <c r="E246" s="28" t="s">
        <v>180</v>
      </c>
      <c r="F246" s="27" t="s">
        <v>7315</v>
      </c>
      <c r="G246" s="28" t="s">
        <v>8037</v>
      </c>
      <c r="H246" s="28" t="s">
        <v>203</v>
      </c>
      <c r="I246" s="111" t="s">
        <v>203</v>
      </c>
      <c r="J246" s="28" t="s">
        <v>423</v>
      </c>
      <c r="K246" s="28" t="s">
        <v>113</v>
      </c>
      <c r="L246" s="27" t="s">
        <v>1889</v>
      </c>
      <c r="M246" s="718"/>
      <c r="N246" s="111"/>
      <c r="O246" s="719"/>
    </row>
    <row r="247" spans="1:15" ht="12.75" customHeight="1">
      <c r="A247" s="701" t="s">
        <v>7940</v>
      </c>
      <c r="B247" s="699" t="s">
        <v>8039</v>
      </c>
      <c r="C247" s="28" t="s">
        <v>4229</v>
      </c>
      <c r="D247" s="28" t="s">
        <v>8040</v>
      </c>
      <c r="E247" s="28" t="s">
        <v>180</v>
      </c>
      <c r="F247" s="27" t="s">
        <v>7315</v>
      </c>
      <c r="G247" s="28" t="s">
        <v>4229</v>
      </c>
      <c r="H247" s="28" t="s">
        <v>203</v>
      </c>
      <c r="I247" s="111" t="s">
        <v>203</v>
      </c>
      <c r="J247" s="28" t="s">
        <v>423</v>
      </c>
      <c r="K247" s="28" t="s">
        <v>113</v>
      </c>
      <c r="L247" s="27" t="s">
        <v>1889</v>
      </c>
      <c r="M247" s="718"/>
      <c r="N247" s="111"/>
      <c r="O247" s="719"/>
    </row>
    <row r="248" spans="1:15" ht="12.75" customHeight="1">
      <c r="A248" s="701" t="s">
        <v>7940</v>
      </c>
      <c r="B248" s="699" t="s">
        <v>8042</v>
      </c>
      <c r="C248" s="28" t="s">
        <v>8043</v>
      </c>
      <c r="D248" s="28" t="s">
        <v>8044</v>
      </c>
      <c r="E248" s="28" t="s">
        <v>180</v>
      </c>
      <c r="F248" s="27" t="s">
        <v>7315</v>
      </c>
      <c r="G248" s="28" t="s">
        <v>8043</v>
      </c>
      <c r="H248" s="28" t="s">
        <v>203</v>
      </c>
      <c r="I248" s="111" t="s">
        <v>203</v>
      </c>
      <c r="J248" s="28" t="s">
        <v>423</v>
      </c>
      <c r="K248" s="28" t="s">
        <v>113</v>
      </c>
      <c r="L248" s="27" t="s">
        <v>1889</v>
      </c>
      <c r="M248" s="718"/>
      <c r="N248" s="111"/>
      <c r="O248" s="719"/>
    </row>
    <row r="249" spans="1:15" ht="12.75" customHeight="1">
      <c r="A249" s="701" t="s">
        <v>7940</v>
      </c>
      <c r="B249" s="699" t="s">
        <v>8047</v>
      </c>
      <c r="C249" s="28" t="s">
        <v>4295</v>
      </c>
      <c r="D249" s="28" t="s">
        <v>8048</v>
      </c>
      <c r="E249" s="28" t="s">
        <v>180</v>
      </c>
      <c r="F249" s="27" t="s">
        <v>7315</v>
      </c>
      <c r="G249" s="28" t="s">
        <v>4295</v>
      </c>
      <c r="H249" s="28" t="s">
        <v>203</v>
      </c>
      <c r="I249" s="111" t="s">
        <v>203</v>
      </c>
      <c r="J249" s="28" t="s">
        <v>423</v>
      </c>
      <c r="K249" s="28" t="s">
        <v>113</v>
      </c>
      <c r="L249" s="27" t="s">
        <v>1889</v>
      </c>
      <c r="M249" s="717"/>
      <c r="N249" s="28"/>
      <c r="O249" s="28"/>
    </row>
    <row r="250" spans="1:15" ht="12.75" customHeight="1">
      <c r="A250" s="701" t="s">
        <v>7940</v>
      </c>
      <c r="B250" s="699" t="s">
        <v>8049</v>
      </c>
      <c r="C250" s="28" t="s">
        <v>8050</v>
      </c>
      <c r="D250" s="28" t="s">
        <v>8051</v>
      </c>
      <c r="E250" s="28" t="s">
        <v>180</v>
      </c>
      <c r="F250" s="27" t="s">
        <v>7315</v>
      </c>
      <c r="G250" s="28" t="s">
        <v>8050</v>
      </c>
      <c r="H250" s="28" t="s">
        <v>203</v>
      </c>
      <c r="I250" s="111" t="s">
        <v>203</v>
      </c>
      <c r="J250" s="28" t="s">
        <v>423</v>
      </c>
      <c r="K250" s="28" t="s">
        <v>113</v>
      </c>
      <c r="L250" s="27" t="s">
        <v>1889</v>
      </c>
      <c r="M250" s="717"/>
      <c r="N250" s="28"/>
      <c r="O250" s="28"/>
    </row>
    <row r="251" spans="1:15" ht="12.75" customHeight="1">
      <c r="A251" s="701" t="s">
        <v>7940</v>
      </c>
      <c r="B251" s="699" t="s">
        <v>8056</v>
      </c>
      <c r="C251" s="28" t="s">
        <v>4291</v>
      </c>
      <c r="D251" s="111" t="s">
        <v>4290</v>
      </c>
      <c r="E251" s="28" t="s">
        <v>180</v>
      </c>
      <c r="F251" s="27" t="s">
        <v>7315</v>
      </c>
      <c r="G251" s="28" t="s">
        <v>4291</v>
      </c>
      <c r="H251" s="28" t="s">
        <v>203</v>
      </c>
      <c r="I251" s="111" t="s">
        <v>203</v>
      </c>
      <c r="J251" s="28" t="s">
        <v>423</v>
      </c>
      <c r="K251" s="28" t="s">
        <v>113</v>
      </c>
      <c r="L251" s="27" t="s">
        <v>1889</v>
      </c>
      <c r="M251" s="717"/>
      <c r="N251" s="28"/>
      <c r="O251" s="28"/>
    </row>
    <row r="252" spans="1:15" ht="12.75" customHeight="1">
      <c r="A252" s="701" t="s">
        <v>7940</v>
      </c>
      <c r="B252" s="699" t="s">
        <v>8057</v>
      </c>
      <c r="C252" s="28" t="s">
        <v>8058</v>
      </c>
      <c r="D252" s="28" t="s">
        <v>8058</v>
      </c>
      <c r="E252" s="28" t="s">
        <v>180</v>
      </c>
      <c r="F252" s="27" t="s">
        <v>7315</v>
      </c>
      <c r="G252" s="28" t="s">
        <v>8058</v>
      </c>
      <c r="H252" s="28" t="s">
        <v>203</v>
      </c>
      <c r="I252" s="111" t="s">
        <v>203</v>
      </c>
      <c r="J252" s="28" t="s">
        <v>423</v>
      </c>
      <c r="K252" s="28" t="s">
        <v>113</v>
      </c>
      <c r="L252" s="27" t="s">
        <v>1889</v>
      </c>
      <c r="M252" s="718"/>
      <c r="N252" s="227"/>
      <c r="O252" s="227"/>
    </row>
    <row r="253" spans="1:15" ht="12.75" customHeight="1">
      <c r="A253" s="701" t="s">
        <v>7940</v>
      </c>
      <c r="B253" s="699" t="s">
        <v>8059</v>
      </c>
      <c r="C253" s="28" t="s">
        <v>8060</v>
      </c>
      <c r="D253" s="28" t="s">
        <v>8061</v>
      </c>
      <c r="E253" s="28" t="s">
        <v>180</v>
      </c>
      <c r="F253" s="27" t="s">
        <v>7315</v>
      </c>
      <c r="G253" s="28" t="s">
        <v>8060</v>
      </c>
      <c r="H253" s="28" t="s">
        <v>203</v>
      </c>
      <c r="I253" s="111" t="s">
        <v>203</v>
      </c>
      <c r="J253" s="28" t="s">
        <v>423</v>
      </c>
      <c r="K253" s="28" t="s">
        <v>113</v>
      </c>
      <c r="L253" s="27" t="s">
        <v>1889</v>
      </c>
      <c r="M253" s="718"/>
      <c r="N253" s="111"/>
      <c r="O253" s="27" t="s">
        <v>8062</v>
      </c>
    </row>
    <row r="254" spans="1:15" ht="12.75" customHeight="1">
      <c r="A254" s="701" t="s">
        <v>7940</v>
      </c>
      <c r="B254" s="699" t="s">
        <v>8063</v>
      </c>
      <c r="C254" s="28" t="s">
        <v>8064</v>
      </c>
      <c r="D254" s="28" t="s">
        <v>8065</v>
      </c>
      <c r="E254" s="28" t="s">
        <v>180</v>
      </c>
      <c r="F254" s="27" t="s">
        <v>7315</v>
      </c>
      <c r="G254" s="28" t="s">
        <v>8064</v>
      </c>
      <c r="H254" s="28" t="s">
        <v>203</v>
      </c>
      <c r="I254" s="111" t="s">
        <v>203</v>
      </c>
      <c r="J254" s="28" t="s">
        <v>423</v>
      </c>
      <c r="K254" s="28" t="s">
        <v>113</v>
      </c>
      <c r="L254" s="27" t="s">
        <v>1889</v>
      </c>
      <c r="M254" s="718"/>
      <c r="N254" s="111"/>
      <c r="O254" s="27" t="s">
        <v>8066</v>
      </c>
    </row>
    <row r="255" spans="1:15" ht="12.75" customHeight="1">
      <c r="A255" s="701" t="s">
        <v>7940</v>
      </c>
      <c r="B255" s="699" t="s">
        <v>8067</v>
      </c>
      <c r="C255" s="28" t="s">
        <v>8068</v>
      </c>
      <c r="D255" s="28" t="s">
        <v>8069</v>
      </c>
      <c r="E255" s="28" t="s">
        <v>180</v>
      </c>
      <c r="F255" s="27" t="s">
        <v>7315</v>
      </c>
      <c r="G255" s="28" t="s">
        <v>8068</v>
      </c>
      <c r="H255" s="28" t="s">
        <v>203</v>
      </c>
      <c r="I255" s="111" t="s">
        <v>203</v>
      </c>
      <c r="J255" s="28" t="s">
        <v>423</v>
      </c>
      <c r="K255" s="28" t="s">
        <v>113</v>
      </c>
      <c r="L255" s="27" t="s">
        <v>1889</v>
      </c>
      <c r="M255" s="718"/>
      <c r="N255" s="111"/>
      <c r="O255" s="27" t="s">
        <v>8071</v>
      </c>
    </row>
    <row r="256" spans="1:15" ht="12.75" customHeight="1">
      <c r="A256" s="701" t="s">
        <v>7940</v>
      </c>
      <c r="B256" s="699" t="s">
        <v>8072</v>
      </c>
      <c r="C256" s="28" t="s">
        <v>8073</v>
      </c>
      <c r="D256" s="28" t="s">
        <v>8074</v>
      </c>
      <c r="E256" s="28" t="s">
        <v>180</v>
      </c>
      <c r="F256" s="27" t="s">
        <v>7315</v>
      </c>
      <c r="G256" s="28" t="s">
        <v>8073</v>
      </c>
      <c r="H256" s="28" t="s">
        <v>203</v>
      </c>
      <c r="I256" s="111" t="s">
        <v>203</v>
      </c>
      <c r="J256" s="28" t="s">
        <v>423</v>
      </c>
      <c r="K256" s="28" t="s">
        <v>113</v>
      </c>
      <c r="L256" s="27" t="s">
        <v>1889</v>
      </c>
      <c r="M256" s="718"/>
      <c r="N256" s="111"/>
      <c r="O256" s="27" t="s">
        <v>8076</v>
      </c>
    </row>
    <row r="257" spans="1:15" ht="12.75" customHeight="1">
      <c r="A257" s="701" t="s">
        <v>7940</v>
      </c>
      <c r="B257" s="699" t="s">
        <v>8078</v>
      </c>
      <c r="C257" s="28" t="s">
        <v>5170</v>
      </c>
      <c r="D257" s="28" t="s">
        <v>8079</v>
      </c>
      <c r="E257" s="28" t="s">
        <v>180</v>
      </c>
      <c r="F257" s="27" t="s">
        <v>7315</v>
      </c>
      <c r="G257" s="28" t="s">
        <v>5170</v>
      </c>
      <c r="H257" s="28" t="s">
        <v>203</v>
      </c>
      <c r="I257" s="111" t="s">
        <v>203</v>
      </c>
      <c r="J257" s="28" t="s">
        <v>423</v>
      </c>
      <c r="K257" s="28" t="s">
        <v>113</v>
      </c>
      <c r="L257" s="27" t="s">
        <v>1889</v>
      </c>
      <c r="M257" s="718"/>
      <c r="N257" s="111"/>
      <c r="O257" s="27" t="s">
        <v>8080</v>
      </c>
    </row>
    <row r="258" spans="1:15" ht="12.75" customHeight="1">
      <c r="A258" s="701" t="s">
        <v>7940</v>
      </c>
      <c r="B258" s="699" t="s">
        <v>8081</v>
      </c>
      <c r="C258" s="28" t="s">
        <v>8082</v>
      </c>
      <c r="D258" s="28" t="s">
        <v>8083</v>
      </c>
      <c r="E258" s="28" t="s">
        <v>180</v>
      </c>
      <c r="F258" s="27" t="s">
        <v>7315</v>
      </c>
      <c r="G258" s="28" t="s">
        <v>8082</v>
      </c>
      <c r="H258" s="28" t="s">
        <v>203</v>
      </c>
      <c r="I258" s="111" t="s">
        <v>203</v>
      </c>
      <c r="J258" s="28" t="s">
        <v>423</v>
      </c>
      <c r="K258" s="28" t="s">
        <v>113</v>
      </c>
      <c r="L258" s="27" t="s">
        <v>1889</v>
      </c>
      <c r="M258" s="718"/>
      <c r="N258" s="111"/>
      <c r="O258" s="27" t="s">
        <v>8087</v>
      </c>
    </row>
    <row r="259" spans="1:15" ht="12.75" customHeight="1">
      <c r="A259" s="701" t="s">
        <v>7940</v>
      </c>
      <c r="B259" s="699" t="s">
        <v>8088</v>
      </c>
      <c r="C259" s="28" t="s">
        <v>8089</v>
      </c>
      <c r="D259" s="28" t="s">
        <v>8090</v>
      </c>
      <c r="E259" s="28" t="s">
        <v>180</v>
      </c>
      <c r="F259" s="27" t="s">
        <v>7315</v>
      </c>
      <c r="G259" s="28" t="s">
        <v>8089</v>
      </c>
      <c r="H259" s="28" t="s">
        <v>203</v>
      </c>
      <c r="I259" s="111" t="s">
        <v>203</v>
      </c>
      <c r="J259" s="28" t="s">
        <v>423</v>
      </c>
      <c r="K259" s="28" t="s">
        <v>113</v>
      </c>
      <c r="L259" s="27" t="s">
        <v>1889</v>
      </c>
      <c r="M259" s="718"/>
      <c r="N259" s="111"/>
      <c r="O259" s="27" t="s">
        <v>8093</v>
      </c>
    </row>
    <row r="260" spans="1:15" ht="12.75" customHeight="1">
      <c r="A260" s="701" t="s">
        <v>7940</v>
      </c>
      <c r="B260" s="699" t="s">
        <v>8097</v>
      </c>
      <c r="C260" s="28" t="s">
        <v>8098</v>
      </c>
      <c r="D260" s="28" t="s">
        <v>8099</v>
      </c>
      <c r="E260" s="28" t="s">
        <v>180</v>
      </c>
      <c r="F260" s="27" t="s">
        <v>7315</v>
      </c>
      <c r="G260" s="28" t="s">
        <v>8098</v>
      </c>
      <c r="H260" s="28" t="s">
        <v>203</v>
      </c>
      <c r="I260" s="111" t="s">
        <v>203</v>
      </c>
      <c r="J260" s="28" t="s">
        <v>423</v>
      </c>
      <c r="K260" s="28" t="s">
        <v>113</v>
      </c>
      <c r="L260" s="27" t="s">
        <v>1889</v>
      </c>
      <c r="M260" s="718"/>
      <c r="N260" s="111"/>
      <c r="O260" s="27" t="s">
        <v>8100</v>
      </c>
    </row>
    <row r="261" spans="1:15" ht="12.75" customHeight="1">
      <c r="A261" s="701" t="s">
        <v>7940</v>
      </c>
      <c r="B261" s="699" t="s">
        <v>8101</v>
      </c>
      <c r="C261" s="28" t="s">
        <v>4589</v>
      </c>
      <c r="D261" s="28" t="s">
        <v>8102</v>
      </c>
      <c r="E261" s="28" t="s">
        <v>180</v>
      </c>
      <c r="F261" s="27" t="s">
        <v>7315</v>
      </c>
      <c r="G261" s="28" t="s">
        <v>4589</v>
      </c>
      <c r="H261" s="28" t="s">
        <v>203</v>
      </c>
      <c r="I261" s="111" t="s">
        <v>203</v>
      </c>
      <c r="J261" s="28" t="s">
        <v>423</v>
      </c>
      <c r="K261" s="28" t="s">
        <v>113</v>
      </c>
      <c r="L261" s="27" t="s">
        <v>1889</v>
      </c>
      <c r="M261" s="718"/>
      <c r="N261" s="111"/>
      <c r="O261" s="27" t="s">
        <v>8104</v>
      </c>
    </row>
    <row r="262" spans="1:15" ht="12.75" customHeight="1">
      <c r="A262" s="701" t="s">
        <v>7940</v>
      </c>
      <c r="B262" s="699" t="s">
        <v>8106</v>
      </c>
      <c r="C262" s="28" t="s">
        <v>4252</v>
      </c>
      <c r="D262" s="28" t="s">
        <v>8107</v>
      </c>
      <c r="E262" s="28" t="s">
        <v>180</v>
      </c>
      <c r="F262" s="27" t="s">
        <v>7315</v>
      </c>
      <c r="G262" s="28" t="s">
        <v>4252</v>
      </c>
      <c r="H262" s="28" t="s">
        <v>203</v>
      </c>
      <c r="I262" s="111" t="s">
        <v>203</v>
      </c>
      <c r="J262" s="28" t="s">
        <v>423</v>
      </c>
      <c r="K262" s="28" t="s">
        <v>113</v>
      </c>
      <c r="L262" s="27" t="s">
        <v>1889</v>
      </c>
      <c r="M262" s="718"/>
      <c r="N262" s="111"/>
      <c r="O262" s="27" t="s">
        <v>8109</v>
      </c>
    </row>
    <row r="263" spans="1:15" ht="12.75" customHeight="1">
      <c r="A263" s="701" t="s">
        <v>7940</v>
      </c>
      <c r="B263" s="699" t="s">
        <v>8110</v>
      </c>
      <c r="C263" s="27" t="s">
        <v>8111</v>
      </c>
      <c r="D263" s="28" t="s">
        <v>8112</v>
      </c>
      <c r="E263" s="28" t="s">
        <v>180</v>
      </c>
      <c r="F263" s="27" t="s">
        <v>6879</v>
      </c>
      <c r="G263" s="27" t="s">
        <v>4334</v>
      </c>
      <c r="H263" s="28" t="s">
        <v>203</v>
      </c>
      <c r="I263" s="111" t="s">
        <v>203</v>
      </c>
      <c r="J263" s="28" t="s">
        <v>423</v>
      </c>
      <c r="K263" s="28" t="s">
        <v>113</v>
      </c>
      <c r="L263" s="27" t="s">
        <v>3178</v>
      </c>
      <c r="M263" s="28"/>
      <c r="N263" s="28"/>
      <c r="O263" s="28"/>
    </row>
    <row r="264" spans="1:15" ht="12.75" customHeight="1">
      <c r="A264" s="701" t="s">
        <v>8114</v>
      </c>
      <c r="B264" s="699" t="s">
        <v>8115</v>
      </c>
      <c r="C264" s="28" t="s">
        <v>8116</v>
      </c>
      <c r="D264" s="28" t="s">
        <v>8117</v>
      </c>
      <c r="E264" s="28" t="s">
        <v>3326</v>
      </c>
      <c r="F264" s="28" t="s">
        <v>3121</v>
      </c>
      <c r="G264" s="27"/>
      <c r="H264" s="27" t="s">
        <v>203</v>
      </c>
      <c r="I264" s="111" t="s">
        <v>203</v>
      </c>
      <c r="J264" s="28" t="s">
        <v>423</v>
      </c>
      <c r="K264" s="28" t="s">
        <v>113</v>
      </c>
      <c r="L264" s="28" t="s">
        <v>3178</v>
      </c>
      <c r="M264" s="28" t="s">
        <v>8118</v>
      </c>
      <c r="N264" s="28"/>
      <c r="O264" s="28"/>
    </row>
    <row r="265" spans="1:15" ht="12.75" customHeight="1">
      <c r="A265" s="701" t="s">
        <v>8114</v>
      </c>
      <c r="B265" s="699" t="s">
        <v>8119</v>
      </c>
      <c r="C265" s="28" t="s">
        <v>8120</v>
      </c>
      <c r="D265" s="28" t="s">
        <v>8121</v>
      </c>
      <c r="E265" s="28" t="s">
        <v>180</v>
      </c>
      <c r="F265" s="28" t="s">
        <v>7315</v>
      </c>
      <c r="G265" s="28" t="s">
        <v>8120</v>
      </c>
      <c r="H265" s="27" t="s">
        <v>203</v>
      </c>
      <c r="I265" s="111" t="s">
        <v>203</v>
      </c>
      <c r="J265" s="28" t="s">
        <v>423</v>
      </c>
      <c r="K265" s="28" t="s">
        <v>113</v>
      </c>
      <c r="L265" s="28" t="s">
        <v>1889</v>
      </c>
      <c r="M265" s="28"/>
      <c r="N265" s="28"/>
      <c r="O265" s="28"/>
    </row>
    <row r="266" spans="1:15" ht="12.75" customHeight="1">
      <c r="A266" s="701" t="s">
        <v>8114</v>
      </c>
      <c r="B266" s="699" t="s">
        <v>8122</v>
      </c>
      <c r="C266" s="28" t="s">
        <v>8123</v>
      </c>
      <c r="D266" s="28" t="s">
        <v>8124</v>
      </c>
      <c r="E266" s="28" t="s">
        <v>180</v>
      </c>
      <c r="F266" s="28" t="s">
        <v>7315</v>
      </c>
      <c r="G266" s="28" t="s">
        <v>8123</v>
      </c>
      <c r="H266" s="27" t="s">
        <v>203</v>
      </c>
      <c r="I266" s="111" t="s">
        <v>203</v>
      </c>
      <c r="J266" s="28" t="s">
        <v>423</v>
      </c>
      <c r="K266" s="28" t="s">
        <v>113</v>
      </c>
      <c r="L266" s="28" t="s">
        <v>1889</v>
      </c>
      <c r="M266" s="28"/>
      <c r="N266" s="28"/>
      <c r="O266" s="28"/>
    </row>
    <row r="267" spans="1:15" ht="12.75" customHeight="1">
      <c r="A267" s="701" t="s">
        <v>8114</v>
      </c>
      <c r="B267" s="699" t="s">
        <v>8125</v>
      </c>
      <c r="C267" s="28" t="s">
        <v>8126</v>
      </c>
      <c r="D267" s="28" t="s">
        <v>8127</v>
      </c>
      <c r="E267" s="28" t="s">
        <v>180</v>
      </c>
      <c r="F267" s="28" t="s">
        <v>7315</v>
      </c>
      <c r="G267" s="28" t="s">
        <v>8126</v>
      </c>
      <c r="H267" s="27" t="s">
        <v>203</v>
      </c>
      <c r="I267" s="111" t="s">
        <v>203</v>
      </c>
      <c r="J267" s="28" t="s">
        <v>423</v>
      </c>
      <c r="K267" s="28" t="s">
        <v>113</v>
      </c>
      <c r="L267" s="28" t="s">
        <v>1889</v>
      </c>
      <c r="M267" s="28"/>
      <c r="N267" s="28"/>
      <c r="O267" s="28"/>
    </row>
    <row r="268" spans="1:15" ht="12.75" customHeight="1">
      <c r="A268" s="703" t="s">
        <v>8129</v>
      </c>
      <c r="B268" s="699" t="s">
        <v>8130</v>
      </c>
      <c r="C268" s="28" t="s">
        <v>4391</v>
      </c>
      <c r="D268" s="28" t="s">
        <v>8131</v>
      </c>
      <c r="E268" s="28" t="s">
        <v>203</v>
      </c>
      <c r="F268" s="28" t="s">
        <v>3169</v>
      </c>
      <c r="G268" s="28" t="s">
        <v>3170</v>
      </c>
      <c r="H268" s="27" t="s">
        <v>203</v>
      </c>
      <c r="I268" s="111" t="s">
        <v>203</v>
      </c>
      <c r="J268" s="28" t="s">
        <v>423</v>
      </c>
      <c r="K268" s="28" t="s">
        <v>113</v>
      </c>
      <c r="L268" s="28" t="s">
        <v>3098</v>
      </c>
      <c r="M268" s="724"/>
      <c r="N268" s="28"/>
      <c r="O268" s="28"/>
    </row>
    <row r="269" spans="1:15" ht="12.75" customHeight="1">
      <c r="A269" s="703" t="s">
        <v>8134</v>
      </c>
      <c r="B269" s="699" t="s">
        <v>8135</v>
      </c>
      <c r="C269" s="28" t="s">
        <v>4398</v>
      </c>
      <c r="D269" s="28" t="s">
        <v>4399</v>
      </c>
      <c r="E269" s="28" t="s">
        <v>3326</v>
      </c>
      <c r="F269" s="28" t="s">
        <v>3121</v>
      </c>
      <c r="G269" s="28"/>
      <c r="H269" s="27" t="s">
        <v>203</v>
      </c>
      <c r="I269" s="111" t="s">
        <v>203</v>
      </c>
      <c r="J269" s="28" t="s">
        <v>423</v>
      </c>
      <c r="K269" s="28" t="s">
        <v>113</v>
      </c>
      <c r="L269" s="28" t="s">
        <v>3178</v>
      </c>
      <c r="M269" s="28" t="s">
        <v>8136</v>
      </c>
      <c r="N269" s="722" t="s">
        <v>4401</v>
      </c>
      <c r="O269" s="28" t="s">
        <v>4402</v>
      </c>
    </row>
    <row r="270" spans="1:15" ht="12.75" customHeight="1">
      <c r="A270" s="703" t="s">
        <v>8134</v>
      </c>
      <c r="B270" s="699" t="s">
        <v>8140</v>
      </c>
      <c r="C270" s="28" t="s">
        <v>3559</v>
      </c>
      <c r="D270" s="28" t="s">
        <v>8141</v>
      </c>
      <c r="E270" s="28" t="s">
        <v>180</v>
      </c>
      <c r="F270" s="28" t="s">
        <v>7315</v>
      </c>
      <c r="G270" s="28" t="s">
        <v>7633</v>
      </c>
      <c r="H270" s="28" t="s">
        <v>203</v>
      </c>
      <c r="I270" s="28" t="s">
        <v>203</v>
      </c>
      <c r="J270" s="28" t="s">
        <v>423</v>
      </c>
      <c r="K270" s="28" t="s">
        <v>113</v>
      </c>
      <c r="L270" s="28" t="s">
        <v>3178</v>
      </c>
      <c r="M270" s="28" t="s">
        <v>3552</v>
      </c>
      <c r="N270" s="28"/>
      <c r="O270" s="28" t="s">
        <v>8143</v>
      </c>
    </row>
    <row r="271" spans="1:15" ht="12.75" customHeight="1">
      <c r="A271" s="703" t="s">
        <v>8134</v>
      </c>
      <c r="B271" s="699" t="s">
        <v>8144</v>
      </c>
      <c r="C271" s="28" t="s">
        <v>7635</v>
      </c>
      <c r="D271" s="28" t="s">
        <v>8145</v>
      </c>
      <c r="E271" s="28" t="s">
        <v>180</v>
      </c>
      <c r="F271" s="28" t="s">
        <v>7315</v>
      </c>
      <c r="G271" s="28" t="s">
        <v>3550</v>
      </c>
      <c r="H271" s="28" t="s">
        <v>203</v>
      </c>
      <c r="I271" s="28" t="s">
        <v>203</v>
      </c>
      <c r="J271" s="28" t="s">
        <v>423</v>
      </c>
      <c r="K271" s="28" t="s">
        <v>113</v>
      </c>
      <c r="L271" s="28" t="s">
        <v>3178</v>
      </c>
      <c r="M271" s="28" t="s">
        <v>3552</v>
      </c>
      <c r="N271" s="28"/>
      <c r="O271" s="28" t="s">
        <v>8143</v>
      </c>
    </row>
    <row r="272" spans="1:15" ht="12.75" customHeight="1">
      <c r="A272" s="703" t="s">
        <v>8134</v>
      </c>
      <c r="B272" s="699" t="s">
        <v>8146</v>
      </c>
      <c r="C272" s="28" t="s">
        <v>7642</v>
      </c>
      <c r="D272" s="28" t="s">
        <v>8147</v>
      </c>
      <c r="E272" s="28" t="s">
        <v>180</v>
      </c>
      <c r="F272" s="28" t="s">
        <v>7315</v>
      </c>
      <c r="G272" s="28" t="s">
        <v>7642</v>
      </c>
      <c r="H272" s="28" t="s">
        <v>203</v>
      </c>
      <c r="I272" s="28" t="s">
        <v>203</v>
      </c>
      <c r="J272" s="28" t="s">
        <v>423</v>
      </c>
      <c r="K272" s="28" t="s">
        <v>113</v>
      </c>
      <c r="L272" s="28" t="s">
        <v>3178</v>
      </c>
      <c r="M272" s="28" t="s">
        <v>3552</v>
      </c>
      <c r="N272" s="28"/>
      <c r="O272" s="28" t="s">
        <v>8143</v>
      </c>
    </row>
    <row r="273" spans="1:15" ht="12.75" customHeight="1">
      <c r="A273" s="703" t="s">
        <v>8134</v>
      </c>
      <c r="B273" s="699" t="s">
        <v>8148</v>
      </c>
      <c r="C273" s="28" t="s">
        <v>7647</v>
      </c>
      <c r="D273" s="28" t="s">
        <v>8149</v>
      </c>
      <c r="E273" s="28" t="s">
        <v>180</v>
      </c>
      <c r="F273" s="28" t="s">
        <v>7315</v>
      </c>
      <c r="G273" s="28" t="s">
        <v>7647</v>
      </c>
      <c r="H273" s="28" t="s">
        <v>203</v>
      </c>
      <c r="I273" s="28" t="s">
        <v>203</v>
      </c>
      <c r="J273" s="28" t="s">
        <v>423</v>
      </c>
      <c r="K273" s="28" t="s">
        <v>113</v>
      </c>
      <c r="L273" s="28" t="s">
        <v>3178</v>
      </c>
      <c r="M273" s="28" t="s">
        <v>3552</v>
      </c>
      <c r="N273" s="28"/>
      <c r="O273" s="28" t="s">
        <v>8143</v>
      </c>
    </row>
    <row r="274" spans="1:15" ht="12.75" customHeight="1">
      <c r="A274" s="703" t="s">
        <v>8134</v>
      </c>
      <c r="B274" s="699" t="s">
        <v>8150</v>
      </c>
      <c r="C274" s="28" t="s">
        <v>7653</v>
      </c>
      <c r="D274" s="28" t="s">
        <v>8151</v>
      </c>
      <c r="E274" s="28" t="s">
        <v>180</v>
      </c>
      <c r="F274" s="28" t="s">
        <v>7315</v>
      </c>
      <c r="G274" s="28" t="s">
        <v>7653</v>
      </c>
      <c r="H274" s="28" t="s">
        <v>203</v>
      </c>
      <c r="I274" s="28" t="s">
        <v>203</v>
      </c>
      <c r="J274" s="28" t="s">
        <v>423</v>
      </c>
      <c r="K274" s="28" t="s">
        <v>113</v>
      </c>
      <c r="L274" s="28" t="s">
        <v>3178</v>
      </c>
      <c r="M274" s="28" t="s">
        <v>3552</v>
      </c>
      <c r="N274" s="28"/>
      <c r="O274" s="28" t="s">
        <v>8143</v>
      </c>
    </row>
    <row r="275" spans="1:15" ht="12.75" customHeight="1">
      <c r="A275" s="703" t="s">
        <v>8134</v>
      </c>
      <c r="B275" s="699" t="s">
        <v>8152</v>
      </c>
      <c r="C275" s="28" t="s">
        <v>7658</v>
      </c>
      <c r="D275" s="111" t="s">
        <v>8153</v>
      </c>
      <c r="E275" s="28" t="s">
        <v>180</v>
      </c>
      <c r="F275" s="28" t="s">
        <v>7315</v>
      </c>
      <c r="G275" s="28" t="s">
        <v>7658</v>
      </c>
      <c r="H275" s="28" t="s">
        <v>203</v>
      </c>
      <c r="I275" s="28" t="s">
        <v>203</v>
      </c>
      <c r="J275" s="28" t="s">
        <v>423</v>
      </c>
      <c r="K275" s="28" t="s">
        <v>113</v>
      </c>
      <c r="L275" s="28" t="s">
        <v>3178</v>
      </c>
      <c r="M275" s="28" t="s">
        <v>3552</v>
      </c>
      <c r="N275" s="28"/>
      <c r="O275" s="28" t="s">
        <v>8143</v>
      </c>
    </row>
    <row r="276" spans="1:15" ht="12.75" customHeight="1">
      <c r="A276" s="703" t="s">
        <v>8134</v>
      </c>
      <c r="B276" s="699" t="s">
        <v>8154</v>
      </c>
      <c r="C276" s="28" t="s">
        <v>7661</v>
      </c>
      <c r="D276" s="28" t="s">
        <v>8155</v>
      </c>
      <c r="E276" s="28" t="s">
        <v>180</v>
      </c>
      <c r="F276" s="28" t="s">
        <v>7315</v>
      </c>
      <c r="G276" s="28" t="s">
        <v>7661</v>
      </c>
      <c r="H276" s="28" t="s">
        <v>203</v>
      </c>
      <c r="I276" s="28" t="s">
        <v>203</v>
      </c>
      <c r="J276" s="28" t="s">
        <v>423</v>
      </c>
      <c r="K276" s="28" t="s">
        <v>113</v>
      </c>
      <c r="L276" s="28" t="s">
        <v>3178</v>
      </c>
      <c r="M276" s="28" t="s">
        <v>3552</v>
      </c>
      <c r="N276" s="28"/>
      <c r="O276" s="28" t="s">
        <v>8143</v>
      </c>
    </row>
    <row r="277" spans="1:15" ht="12.75" customHeight="1">
      <c r="A277" s="703" t="s">
        <v>8134</v>
      </c>
      <c r="B277" s="699" t="s">
        <v>8156</v>
      </c>
      <c r="C277" s="28" t="s">
        <v>3688</v>
      </c>
      <c r="D277" s="28" t="s">
        <v>3688</v>
      </c>
      <c r="E277" s="28" t="s">
        <v>180</v>
      </c>
      <c r="F277" s="28" t="s">
        <v>7315</v>
      </c>
      <c r="G277" s="28" t="s">
        <v>3688</v>
      </c>
      <c r="H277" s="28" t="s">
        <v>203</v>
      </c>
      <c r="I277" s="28" t="s">
        <v>203</v>
      </c>
      <c r="J277" s="28" t="s">
        <v>423</v>
      </c>
      <c r="K277" s="28" t="s">
        <v>113</v>
      </c>
      <c r="L277" s="28" t="s">
        <v>3178</v>
      </c>
      <c r="M277" s="28" t="s">
        <v>3552</v>
      </c>
      <c r="N277" s="28"/>
      <c r="O277" s="28" t="s">
        <v>8143</v>
      </c>
    </row>
    <row r="278" spans="1:15" ht="12.75" customHeight="1">
      <c r="A278" s="703" t="s">
        <v>8134</v>
      </c>
      <c r="B278" s="699" t="s">
        <v>8157</v>
      </c>
      <c r="C278" s="28" t="s">
        <v>3697</v>
      </c>
      <c r="D278" s="28" t="s">
        <v>8158</v>
      </c>
      <c r="E278" s="28" t="s">
        <v>180</v>
      </c>
      <c r="F278" s="28" t="s">
        <v>7315</v>
      </c>
      <c r="G278" s="28" t="s">
        <v>3697</v>
      </c>
      <c r="H278" s="28" t="s">
        <v>203</v>
      </c>
      <c r="I278" s="28" t="s">
        <v>203</v>
      </c>
      <c r="J278" s="28" t="s">
        <v>423</v>
      </c>
      <c r="K278" s="28" t="s">
        <v>113</v>
      </c>
      <c r="L278" s="28" t="s">
        <v>3178</v>
      </c>
      <c r="M278" s="28" t="s">
        <v>3552</v>
      </c>
      <c r="N278" s="28"/>
      <c r="O278" s="28" t="s">
        <v>8143</v>
      </c>
    </row>
    <row r="279" spans="1:15" ht="12.75" customHeight="1">
      <c r="A279" s="703" t="s">
        <v>8134</v>
      </c>
      <c r="B279" s="699" t="s">
        <v>8159</v>
      </c>
      <c r="C279" s="28" t="s">
        <v>3596</v>
      </c>
      <c r="D279" s="28" t="s">
        <v>8160</v>
      </c>
      <c r="E279" s="28" t="s">
        <v>180</v>
      </c>
      <c r="F279" s="28" t="s">
        <v>7315</v>
      </c>
      <c r="G279" s="28" t="s">
        <v>3596</v>
      </c>
      <c r="H279" s="28" t="s">
        <v>203</v>
      </c>
      <c r="I279" s="28" t="s">
        <v>203</v>
      </c>
      <c r="J279" s="28" t="s">
        <v>423</v>
      </c>
      <c r="K279" s="28" t="s">
        <v>113</v>
      </c>
      <c r="L279" s="28" t="s">
        <v>3178</v>
      </c>
      <c r="M279" s="28" t="s">
        <v>3552</v>
      </c>
      <c r="N279" s="28"/>
      <c r="O279" s="28" t="s">
        <v>8143</v>
      </c>
    </row>
    <row r="280" spans="1:15" ht="12.75" customHeight="1">
      <c r="A280" s="703" t="s">
        <v>8134</v>
      </c>
      <c r="B280" s="699" t="s">
        <v>8161</v>
      </c>
      <c r="C280" s="28" t="s">
        <v>3604</v>
      </c>
      <c r="D280" s="28" t="s">
        <v>3604</v>
      </c>
      <c r="E280" s="28" t="s">
        <v>180</v>
      </c>
      <c r="F280" s="28" t="s">
        <v>7315</v>
      </c>
      <c r="G280" s="28" t="s">
        <v>3604</v>
      </c>
      <c r="H280" s="28" t="s">
        <v>203</v>
      </c>
      <c r="I280" s="28" t="s">
        <v>203</v>
      </c>
      <c r="J280" s="28" t="s">
        <v>423</v>
      </c>
      <c r="K280" s="28" t="s">
        <v>113</v>
      </c>
      <c r="L280" s="28" t="s">
        <v>3178</v>
      </c>
      <c r="M280" s="28" t="s">
        <v>3552</v>
      </c>
      <c r="N280" s="28"/>
      <c r="O280" s="28" t="s">
        <v>8143</v>
      </c>
    </row>
    <row r="281" spans="1:15" ht="12.75" customHeight="1">
      <c r="A281" s="703" t="s">
        <v>8134</v>
      </c>
      <c r="B281" s="699" t="s">
        <v>8163</v>
      </c>
      <c r="C281" s="28" t="s">
        <v>3613</v>
      </c>
      <c r="D281" s="28" t="s">
        <v>3613</v>
      </c>
      <c r="E281" s="28" t="s">
        <v>180</v>
      </c>
      <c r="F281" s="28" t="s">
        <v>7315</v>
      </c>
      <c r="G281" s="28" t="s">
        <v>3613</v>
      </c>
      <c r="H281" s="28" t="s">
        <v>203</v>
      </c>
      <c r="I281" s="28" t="s">
        <v>203</v>
      </c>
      <c r="J281" s="28" t="s">
        <v>423</v>
      </c>
      <c r="K281" s="28" t="s">
        <v>113</v>
      </c>
      <c r="L281" s="28" t="s">
        <v>3178</v>
      </c>
      <c r="M281" s="28" t="s">
        <v>3552</v>
      </c>
      <c r="N281" s="28"/>
      <c r="O281" s="28" t="s">
        <v>8143</v>
      </c>
    </row>
    <row r="282" spans="1:15" ht="12.75" customHeight="1">
      <c r="A282" s="703" t="s">
        <v>8134</v>
      </c>
      <c r="B282" s="699" t="s">
        <v>8164</v>
      </c>
      <c r="C282" s="28" t="s">
        <v>3761</v>
      </c>
      <c r="D282" s="28" t="s">
        <v>3761</v>
      </c>
      <c r="E282" s="28" t="s">
        <v>180</v>
      </c>
      <c r="F282" s="28" t="s">
        <v>7315</v>
      </c>
      <c r="G282" s="28" t="s">
        <v>3761</v>
      </c>
      <c r="H282" s="28" t="s">
        <v>203</v>
      </c>
      <c r="I282" s="28" t="s">
        <v>203</v>
      </c>
      <c r="J282" s="28" t="s">
        <v>423</v>
      </c>
      <c r="K282" s="28" t="s">
        <v>113</v>
      </c>
      <c r="L282" s="28" t="s">
        <v>3178</v>
      </c>
      <c r="M282" s="28" t="s">
        <v>3552</v>
      </c>
      <c r="N282" s="28"/>
      <c r="O282" s="28" t="s">
        <v>8143</v>
      </c>
    </row>
    <row r="283" spans="1:15" ht="12.75" customHeight="1">
      <c r="A283" s="703" t="s">
        <v>8134</v>
      </c>
      <c r="B283" s="699" t="s">
        <v>8166</v>
      </c>
      <c r="C283" s="28" t="s">
        <v>7682</v>
      </c>
      <c r="D283" s="28" t="s">
        <v>7682</v>
      </c>
      <c r="E283" s="28" t="s">
        <v>180</v>
      </c>
      <c r="F283" s="28" t="s">
        <v>7315</v>
      </c>
      <c r="G283" s="28" t="s">
        <v>7682</v>
      </c>
      <c r="H283" s="28" t="s">
        <v>203</v>
      </c>
      <c r="I283" s="28" t="s">
        <v>203</v>
      </c>
      <c r="J283" s="28" t="s">
        <v>423</v>
      </c>
      <c r="K283" s="28" t="s">
        <v>113</v>
      </c>
      <c r="L283" s="28" t="s">
        <v>3178</v>
      </c>
      <c r="M283" s="28" t="s">
        <v>3730</v>
      </c>
      <c r="N283" s="28"/>
      <c r="O283" s="28" t="s">
        <v>8143</v>
      </c>
    </row>
    <row r="284" spans="1:15" ht="12.75" customHeight="1">
      <c r="A284" s="703" t="s">
        <v>8134</v>
      </c>
      <c r="B284" s="699" t="s">
        <v>8167</v>
      </c>
      <c r="C284" s="28" t="s">
        <v>7686</v>
      </c>
      <c r="D284" s="28" t="s">
        <v>7686</v>
      </c>
      <c r="E284" s="28" t="s">
        <v>180</v>
      </c>
      <c r="F284" s="28" t="s">
        <v>7315</v>
      </c>
      <c r="G284" s="28" t="s">
        <v>7686</v>
      </c>
      <c r="H284" s="28" t="s">
        <v>203</v>
      </c>
      <c r="I284" s="28" t="s">
        <v>203</v>
      </c>
      <c r="J284" s="28" t="s">
        <v>423</v>
      </c>
      <c r="K284" s="28" t="s">
        <v>113</v>
      </c>
      <c r="L284" s="28" t="s">
        <v>3178</v>
      </c>
      <c r="M284" s="28" t="s">
        <v>3552</v>
      </c>
      <c r="N284" s="28"/>
      <c r="O284" s="28" t="s">
        <v>8143</v>
      </c>
    </row>
    <row r="285" spans="1:15" ht="12.75" customHeight="1">
      <c r="A285" s="703" t="s">
        <v>8134</v>
      </c>
      <c r="B285" s="699" t="s">
        <v>8168</v>
      </c>
      <c r="C285" s="28" t="s">
        <v>3679</v>
      </c>
      <c r="D285" s="28" t="s">
        <v>3679</v>
      </c>
      <c r="E285" s="28" t="s">
        <v>180</v>
      </c>
      <c r="F285" s="28" t="s">
        <v>7315</v>
      </c>
      <c r="G285" s="28" t="s">
        <v>3679</v>
      </c>
      <c r="H285" s="28" t="s">
        <v>203</v>
      </c>
      <c r="I285" s="28" t="s">
        <v>203</v>
      </c>
      <c r="J285" s="28" t="s">
        <v>423</v>
      </c>
      <c r="K285" s="28" t="s">
        <v>113</v>
      </c>
      <c r="L285" s="28" t="s">
        <v>3178</v>
      </c>
      <c r="M285" s="28" t="s">
        <v>3552</v>
      </c>
      <c r="N285" s="28"/>
      <c r="O285" s="28" t="s">
        <v>8143</v>
      </c>
    </row>
    <row r="286" spans="1:15" ht="12.75" customHeight="1">
      <c r="A286" s="703" t="s">
        <v>8134</v>
      </c>
      <c r="B286" s="699" t="s">
        <v>8169</v>
      </c>
      <c r="C286" s="28" t="s">
        <v>3754</v>
      </c>
      <c r="D286" s="28" t="s">
        <v>3754</v>
      </c>
      <c r="E286" s="28" t="s">
        <v>180</v>
      </c>
      <c r="F286" s="28" t="s">
        <v>7315</v>
      </c>
      <c r="G286" s="28" t="s">
        <v>3754</v>
      </c>
      <c r="H286" s="28" t="s">
        <v>203</v>
      </c>
      <c r="I286" s="28" t="s">
        <v>203</v>
      </c>
      <c r="J286" s="28" t="s">
        <v>423</v>
      </c>
      <c r="K286" s="28" t="s">
        <v>113</v>
      </c>
      <c r="L286" s="28" t="s">
        <v>3178</v>
      </c>
      <c r="M286" s="28" t="s">
        <v>3552</v>
      </c>
      <c r="N286" s="28"/>
      <c r="O286" s="28" t="s">
        <v>8143</v>
      </c>
    </row>
    <row r="287" spans="1:15" ht="12.75" customHeight="1">
      <c r="A287" s="703" t="s">
        <v>8134</v>
      </c>
      <c r="B287" s="699" t="s">
        <v>8170</v>
      </c>
      <c r="C287" s="28" t="s">
        <v>3729</v>
      </c>
      <c r="D287" s="28" t="s">
        <v>8171</v>
      </c>
      <c r="E287" s="28" t="s">
        <v>180</v>
      </c>
      <c r="F287" s="28" t="s">
        <v>7315</v>
      </c>
      <c r="G287" s="28" t="s">
        <v>3729</v>
      </c>
      <c r="H287" s="28" t="s">
        <v>203</v>
      </c>
      <c r="I287" s="28" t="s">
        <v>203</v>
      </c>
      <c r="J287" s="28" t="s">
        <v>423</v>
      </c>
      <c r="K287" s="28" t="s">
        <v>113</v>
      </c>
      <c r="L287" s="28" t="s">
        <v>3178</v>
      </c>
      <c r="M287" s="28" t="s">
        <v>3730</v>
      </c>
      <c r="N287" s="28"/>
      <c r="O287" s="28" t="s">
        <v>8143</v>
      </c>
    </row>
    <row r="288" spans="1:15" ht="12.75" customHeight="1">
      <c r="A288" s="703" t="s">
        <v>8134</v>
      </c>
      <c r="B288" s="699" t="s">
        <v>8172</v>
      </c>
      <c r="C288" s="28" t="s">
        <v>3722</v>
      </c>
      <c r="D288" s="28" t="s">
        <v>8173</v>
      </c>
      <c r="E288" s="28" t="s">
        <v>180</v>
      </c>
      <c r="F288" s="28" t="s">
        <v>7315</v>
      </c>
      <c r="G288" s="28" t="s">
        <v>3722</v>
      </c>
      <c r="H288" s="28" t="s">
        <v>203</v>
      </c>
      <c r="I288" s="28" t="s">
        <v>203</v>
      </c>
      <c r="J288" s="28" t="s">
        <v>423</v>
      </c>
      <c r="K288" s="28" t="s">
        <v>113</v>
      </c>
      <c r="L288" s="28" t="s">
        <v>3178</v>
      </c>
      <c r="M288" s="28" t="s">
        <v>3552</v>
      </c>
      <c r="N288" s="28"/>
      <c r="O288" s="28" t="s">
        <v>8143</v>
      </c>
    </row>
    <row r="289" spans="1:15" ht="12.75" customHeight="1">
      <c r="A289" s="703" t="s">
        <v>8134</v>
      </c>
      <c r="B289" s="699" t="s">
        <v>8174</v>
      </c>
      <c r="C289" s="28" t="s">
        <v>3748</v>
      </c>
      <c r="D289" s="28" t="s">
        <v>8175</v>
      </c>
      <c r="E289" s="28" t="s">
        <v>180</v>
      </c>
      <c r="F289" s="28" t="s">
        <v>7315</v>
      </c>
      <c r="G289" s="28" t="s">
        <v>3748</v>
      </c>
      <c r="H289" s="28" t="s">
        <v>203</v>
      </c>
      <c r="I289" s="28" t="s">
        <v>203</v>
      </c>
      <c r="J289" s="28" t="s">
        <v>423</v>
      </c>
      <c r="K289" s="28" t="s">
        <v>113</v>
      </c>
      <c r="L289" s="28" t="s">
        <v>3178</v>
      </c>
      <c r="M289" s="28" t="s">
        <v>3730</v>
      </c>
      <c r="N289" s="28"/>
      <c r="O289" s="28" t="s">
        <v>8143</v>
      </c>
    </row>
    <row r="290" spans="1:15" ht="12.75" customHeight="1">
      <c r="A290" s="701" t="s">
        <v>8177</v>
      </c>
      <c r="B290" s="699" t="s">
        <v>8178</v>
      </c>
      <c r="C290" s="28" t="s">
        <v>8179</v>
      </c>
      <c r="D290" s="28" t="s">
        <v>8180</v>
      </c>
      <c r="E290" s="28" t="s">
        <v>3326</v>
      </c>
      <c r="F290" s="28" t="s">
        <v>3121</v>
      </c>
      <c r="G290" s="28"/>
      <c r="H290" s="28" t="s">
        <v>203</v>
      </c>
      <c r="I290" s="28" t="s">
        <v>203</v>
      </c>
      <c r="J290" s="28" t="s">
        <v>423</v>
      </c>
      <c r="K290" s="28" t="s">
        <v>113</v>
      </c>
      <c r="L290" s="28" t="s">
        <v>3098</v>
      </c>
      <c r="M290" s="111"/>
      <c r="N290" s="28"/>
      <c r="O290" s="28"/>
    </row>
    <row r="291" spans="1:15" ht="12.75" customHeight="1">
      <c r="A291" s="701" t="s">
        <v>8177</v>
      </c>
      <c r="B291" s="699" t="s">
        <v>8181</v>
      </c>
      <c r="C291" s="28" t="s">
        <v>8182</v>
      </c>
      <c r="D291" s="28" t="s">
        <v>8183</v>
      </c>
      <c r="E291" s="28" t="s">
        <v>180</v>
      </c>
      <c r="F291" s="28" t="s">
        <v>7315</v>
      </c>
      <c r="G291" s="28" t="s">
        <v>8182</v>
      </c>
      <c r="H291" s="28" t="s">
        <v>203</v>
      </c>
      <c r="I291" s="28" t="s">
        <v>203</v>
      </c>
      <c r="J291" s="28" t="s">
        <v>423</v>
      </c>
      <c r="K291" s="28" t="s">
        <v>113</v>
      </c>
      <c r="L291" s="28" t="s">
        <v>3178</v>
      </c>
      <c r="M291" s="28" t="s">
        <v>8184</v>
      </c>
      <c r="N291" s="28"/>
      <c r="O291" s="28"/>
    </row>
    <row r="292" spans="1:15" ht="12.75" customHeight="1">
      <c r="A292" s="725" t="s">
        <v>8177</v>
      </c>
      <c r="B292" s="726"/>
      <c r="C292" s="726" t="s">
        <v>8185</v>
      </c>
      <c r="D292" s="726" t="s">
        <v>8186</v>
      </c>
      <c r="E292" s="726"/>
      <c r="F292" s="726"/>
      <c r="G292" s="727" t="s">
        <v>8187</v>
      </c>
      <c r="H292" s="726"/>
      <c r="I292" s="728"/>
      <c r="J292" s="726"/>
      <c r="K292" s="726"/>
      <c r="L292" s="726"/>
      <c r="M292" s="726"/>
      <c r="N292" s="726"/>
      <c r="O292" s="726"/>
    </row>
    <row r="293" spans="1:15" ht="12.75" customHeight="1">
      <c r="A293" s="701" t="s">
        <v>8177</v>
      </c>
      <c r="B293" s="699" t="s">
        <v>8189</v>
      </c>
      <c r="C293" s="28" t="s">
        <v>8190</v>
      </c>
      <c r="D293" s="28" t="s">
        <v>8191</v>
      </c>
      <c r="E293" s="28" t="s">
        <v>180</v>
      </c>
      <c r="F293" s="28" t="s">
        <v>7315</v>
      </c>
      <c r="G293" s="28" t="s">
        <v>8190</v>
      </c>
      <c r="H293" s="28" t="s">
        <v>203</v>
      </c>
      <c r="I293" s="28" t="s">
        <v>203</v>
      </c>
      <c r="J293" s="28" t="s">
        <v>423</v>
      </c>
      <c r="K293" s="28" t="s">
        <v>113</v>
      </c>
      <c r="L293" s="28" t="s">
        <v>1889</v>
      </c>
      <c r="M293" s="28"/>
      <c r="N293" s="28"/>
      <c r="O293" s="28"/>
    </row>
    <row r="294" spans="1:15" ht="12.75" customHeight="1">
      <c r="A294" s="701" t="s">
        <v>8177</v>
      </c>
      <c r="B294" s="699" t="s">
        <v>8192</v>
      </c>
      <c r="C294" s="27" t="s">
        <v>8193</v>
      </c>
      <c r="D294" s="28" t="s">
        <v>8194</v>
      </c>
      <c r="E294" s="28" t="s">
        <v>180</v>
      </c>
      <c r="F294" s="28" t="s">
        <v>7315</v>
      </c>
      <c r="G294" s="27" t="s">
        <v>8193</v>
      </c>
      <c r="H294" s="28" t="s">
        <v>203</v>
      </c>
      <c r="I294" s="28" t="s">
        <v>203</v>
      </c>
      <c r="J294" s="28" t="s">
        <v>423</v>
      </c>
      <c r="K294" s="28" t="s">
        <v>113</v>
      </c>
      <c r="L294" s="28" t="s">
        <v>1889</v>
      </c>
      <c r="M294" s="717"/>
      <c r="N294" s="729"/>
      <c r="O294" s="27" t="s">
        <v>8195</v>
      </c>
    </row>
    <row r="295" spans="1:15" ht="12.75" customHeight="1">
      <c r="A295" s="701" t="s">
        <v>8177</v>
      </c>
      <c r="B295" s="699" t="s">
        <v>8196</v>
      </c>
      <c r="C295" s="27" t="s">
        <v>8197</v>
      </c>
      <c r="D295" s="28" t="s">
        <v>8198</v>
      </c>
      <c r="E295" s="28" t="s">
        <v>180</v>
      </c>
      <c r="F295" s="28" t="s">
        <v>7315</v>
      </c>
      <c r="G295" s="27" t="s">
        <v>8197</v>
      </c>
      <c r="H295" s="28" t="s">
        <v>203</v>
      </c>
      <c r="I295" s="28" t="s">
        <v>203</v>
      </c>
      <c r="J295" s="28" t="s">
        <v>423</v>
      </c>
      <c r="K295" s="28" t="s">
        <v>113</v>
      </c>
      <c r="L295" s="28" t="s">
        <v>1889</v>
      </c>
      <c r="M295" s="717"/>
      <c r="N295" s="729"/>
      <c r="O295" s="27" t="s">
        <v>8200</v>
      </c>
    </row>
    <row r="296" spans="1:15" ht="12.75" customHeight="1">
      <c r="A296" s="701" t="s">
        <v>8177</v>
      </c>
      <c r="B296" s="699" t="s">
        <v>8201</v>
      </c>
      <c r="C296" s="27" t="s">
        <v>8202</v>
      </c>
      <c r="D296" s="27" t="s">
        <v>8203</v>
      </c>
      <c r="E296" s="28" t="s">
        <v>180</v>
      </c>
      <c r="F296" s="28" t="s">
        <v>7315</v>
      </c>
      <c r="G296" s="27" t="s">
        <v>8202</v>
      </c>
      <c r="H296" s="28" t="s">
        <v>203</v>
      </c>
      <c r="I296" s="28" t="s">
        <v>203</v>
      </c>
      <c r="J296" s="28" t="s">
        <v>423</v>
      </c>
      <c r="K296" s="28" t="s">
        <v>113</v>
      </c>
      <c r="L296" s="28" t="s">
        <v>1889</v>
      </c>
      <c r="M296" s="717"/>
      <c r="N296" s="729"/>
      <c r="O296" s="27" t="s">
        <v>8204</v>
      </c>
    </row>
    <row r="297" spans="1:15" ht="12.75" customHeight="1">
      <c r="A297" s="701" t="s">
        <v>8177</v>
      </c>
      <c r="B297" s="699" t="s">
        <v>8205</v>
      </c>
      <c r="C297" s="27" t="s">
        <v>8206</v>
      </c>
      <c r="D297" s="27" t="s">
        <v>8207</v>
      </c>
      <c r="E297" s="28" t="s">
        <v>180</v>
      </c>
      <c r="F297" s="28" t="s">
        <v>7315</v>
      </c>
      <c r="G297" s="27" t="s">
        <v>8206</v>
      </c>
      <c r="H297" s="28" t="s">
        <v>203</v>
      </c>
      <c r="I297" s="28" t="s">
        <v>203</v>
      </c>
      <c r="J297" s="28" t="s">
        <v>423</v>
      </c>
      <c r="K297" s="28" t="s">
        <v>113</v>
      </c>
      <c r="L297" s="28" t="s">
        <v>1889</v>
      </c>
      <c r="M297" s="717"/>
      <c r="N297" s="729"/>
      <c r="O297" s="27" t="s">
        <v>8204</v>
      </c>
    </row>
    <row r="298" spans="1:15" ht="12.75" customHeight="1">
      <c r="A298" s="701" t="s">
        <v>8177</v>
      </c>
      <c r="B298" s="699" t="s">
        <v>8208</v>
      </c>
      <c r="C298" s="27" t="s">
        <v>8209</v>
      </c>
      <c r="D298" s="27" t="s">
        <v>8210</v>
      </c>
      <c r="E298" s="28" t="s">
        <v>180</v>
      </c>
      <c r="F298" s="28" t="s">
        <v>7315</v>
      </c>
      <c r="G298" s="27" t="s">
        <v>8209</v>
      </c>
      <c r="H298" s="28" t="s">
        <v>203</v>
      </c>
      <c r="I298" s="28" t="s">
        <v>203</v>
      </c>
      <c r="J298" s="28" t="s">
        <v>423</v>
      </c>
      <c r="K298" s="28" t="s">
        <v>113</v>
      </c>
      <c r="L298" s="28" t="s">
        <v>1889</v>
      </c>
      <c r="M298" s="717"/>
      <c r="N298" s="729"/>
      <c r="O298" s="27" t="s">
        <v>8204</v>
      </c>
    </row>
    <row r="299" spans="1:15" ht="12.75" customHeight="1">
      <c r="A299" s="701" t="s">
        <v>8177</v>
      </c>
      <c r="B299" s="699" t="s">
        <v>8212</v>
      </c>
      <c r="C299" s="27" t="s">
        <v>8213</v>
      </c>
      <c r="D299" s="27" t="s">
        <v>8214</v>
      </c>
      <c r="E299" s="28" t="s">
        <v>180</v>
      </c>
      <c r="F299" s="28" t="s">
        <v>7315</v>
      </c>
      <c r="G299" s="27" t="s">
        <v>8213</v>
      </c>
      <c r="H299" s="28" t="s">
        <v>203</v>
      </c>
      <c r="I299" s="28" t="s">
        <v>203</v>
      </c>
      <c r="J299" s="28" t="s">
        <v>423</v>
      </c>
      <c r="K299" s="28" t="s">
        <v>113</v>
      </c>
      <c r="L299" s="28" t="s">
        <v>1889</v>
      </c>
      <c r="M299" s="717"/>
      <c r="N299" s="729"/>
      <c r="O299" s="27" t="s">
        <v>8204</v>
      </c>
    </row>
    <row r="300" spans="1:15" ht="12.75" customHeight="1">
      <c r="A300" s="701" t="s">
        <v>8177</v>
      </c>
      <c r="B300" s="699" t="s">
        <v>8215</v>
      </c>
      <c r="C300" s="27" t="s">
        <v>4505</v>
      </c>
      <c r="D300" s="28" t="s">
        <v>8216</v>
      </c>
      <c r="E300" s="28" t="s">
        <v>180</v>
      </c>
      <c r="F300" s="28" t="s">
        <v>7315</v>
      </c>
      <c r="G300" s="27" t="s">
        <v>4505</v>
      </c>
      <c r="H300" s="28" t="s">
        <v>203</v>
      </c>
      <c r="I300" s="28" t="s">
        <v>203</v>
      </c>
      <c r="J300" s="28" t="s">
        <v>423</v>
      </c>
      <c r="K300" s="28" t="s">
        <v>113</v>
      </c>
      <c r="L300" s="28" t="s">
        <v>1889</v>
      </c>
      <c r="M300" s="28"/>
      <c r="N300" s="28"/>
      <c r="O300" s="28" t="s">
        <v>4507</v>
      </c>
    </row>
    <row r="301" spans="1:15" ht="12.75" customHeight="1">
      <c r="A301" s="701" t="s">
        <v>8177</v>
      </c>
      <c r="B301" s="699" t="s">
        <v>8217</v>
      </c>
      <c r="C301" s="27" t="s">
        <v>4512</v>
      </c>
      <c r="D301" s="28" t="s">
        <v>8218</v>
      </c>
      <c r="E301" s="28" t="s">
        <v>180</v>
      </c>
      <c r="F301" s="28" t="s">
        <v>7315</v>
      </c>
      <c r="G301" s="27" t="s">
        <v>4512</v>
      </c>
      <c r="H301" s="28" t="s">
        <v>203</v>
      </c>
      <c r="I301" s="28" t="s">
        <v>203</v>
      </c>
      <c r="J301" s="28" t="s">
        <v>423</v>
      </c>
      <c r="K301" s="28" t="s">
        <v>113</v>
      </c>
      <c r="L301" s="28" t="s">
        <v>1889</v>
      </c>
      <c r="M301" s="28"/>
      <c r="N301" s="28"/>
      <c r="O301" s="28" t="s">
        <v>4514</v>
      </c>
    </row>
    <row r="302" spans="1:15" ht="12.75" customHeight="1">
      <c r="A302" s="701" t="s">
        <v>8177</v>
      </c>
      <c r="B302" s="699" t="s">
        <v>8220</v>
      </c>
      <c r="C302" s="28" t="s">
        <v>4635</v>
      </c>
      <c r="D302" s="28" t="s">
        <v>8221</v>
      </c>
      <c r="E302" s="28" t="s">
        <v>180</v>
      </c>
      <c r="F302" s="28" t="s">
        <v>7315</v>
      </c>
      <c r="G302" s="28" t="s">
        <v>4635</v>
      </c>
      <c r="H302" s="28" t="s">
        <v>203</v>
      </c>
      <c r="I302" s="111" t="s">
        <v>8222</v>
      </c>
      <c r="J302" s="28" t="s">
        <v>423</v>
      </c>
      <c r="K302" s="28" t="s">
        <v>113</v>
      </c>
      <c r="L302" s="28" t="s">
        <v>1889</v>
      </c>
      <c r="M302" s="28"/>
      <c r="N302" s="28"/>
      <c r="O302" s="28" t="s">
        <v>8223</v>
      </c>
    </row>
    <row r="303" spans="1:15" ht="12.75" customHeight="1">
      <c r="A303" s="725" t="s">
        <v>8177</v>
      </c>
      <c r="B303" s="730"/>
      <c r="C303" s="726" t="s">
        <v>8224</v>
      </c>
      <c r="D303" s="726" t="s">
        <v>8186</v>
      </c>
      <c r="E303" s="727"/>
      <c r="F303" s="727"/>
      <c r="G303" s="727" t="s">
        <v>8187</v>
      </c>
      <c r="H303" s="727"/>
      <c r="I303" s="730"/>
      <c r="J303" s="727"/>
      <c r="K303" s="727"/>
      <c r="L303" s="727"/>
      <c r="M303" s="727"/>
      <c r="N303" s="727"/>
      <c r="O303" s="727"/>
    </row>
    <row r="304" spans="1:15" ht="12.75" customHeight="1">
      <c r="A304" s="701" t="s">
        <v>8177</v>
      </c>
      <c r="B304" s="699" t="s">
        <v>8226</v>
      </c>
      <c r="C304" s="28" t="s">
        <v>8227</v>
      </c>
      <c r="D304" s="28" t="s">
        <v>8228</v>
      </c>
      <c r="E304" s="28" t="s">
        <v>180</v>
      </c>
      <c r="F304" s="28" t="s">
        <v>7315</v>
      </c>
      <c r="G304" s="28" t="s">
        <v>8227</v>
      </c>
      <c r="H304" s="28" t="s">
        <v>203</v>
      </c>
      <c r="I304" s="28" t="s">
        <v>203</v>
      </c>
      <c r="J304" s="28" t="s">
        <v>423</v>
      </c>
      <c r="K304" s="28" t="s">
        <v>113</v>
      </c>
      <c r="L304" s="28" t="s">
        <v>1889</v>
      </c>
      <c r="M304" s="28"/>
      <c r="N304" s="28"/>
      <c r="O304" s="28"/>
    </row>
    <row r="305" spans="1:15" ht="12.75" customHeight="1">
      <c r="A305" s="701" t="s">
        <v>8177</v>
      </c>
      <c r="B305" s="699" t="s">
        <v>8231</v>
      </c>
      <c r="C305" s="28" t="s">
        <v>8232</v>
      </c>
      <c r="D305" s="28" t="s">
        <v>8234</v>
      </c>
      <c r="E305" s="28" t="s">
        <v>180</v>
      </c>
      <c r="F305" s="28" t="s">
        <v>7315</v>
      </c>
      <c r="G305" s="28" t="s">
        <v>8232</v>
      </c>
      <c r="H305" s="28" t="s">
        <v>203</v>
      </c>
      <c r="I305" s="28" t="s">
        <v>203</v>
      </c>
      <c r="J305" s="28" t="s">
        <v>423</v>
      </c>
      <c r="K305" s="28" t="s">
        <v>113</v>
      </c>
      <c r="L305" s="28" t="s">
        <v>1889</v>
      </c>
      <c r="M305" s="28"/>
      <c r="N305" s="28"/>
      <c r="O305" s="28" t="s">
        <v>4489</v>
      </c>
    </row>
    <row r="306" spans="1:15" ht="12.75" customHeight="1">
      <c r="A306" s="725" t="s">
        <v>8177</v>
      </c>
      <c r="B306" s="731"/>
      <c r="C306" s="726" t="s">
        <v>879</v>
      </c>
      <c r="D306" s="726" t="s">
        <v>8237</v>
      </c>
      <c r="E306" s="732"/>
      <c r="F306" s="732"/>
      <c r="G306" s="727" t="s">
        <v>8187</v>
      </c>
      <c r="H306" s="732"/>
      <c r="I306" s="731"/>
      <c r="J306" s="732"/>
      <c r="K306" s="732"/>
      <c r="L306" s="732"/>
      <c r="M306" s="732"/>
      <c r="N306" s="732"/>
      <c r="O306" s="732" t="s">
        <v>4489</v>
      </c>
    </row>
    <row r="307" spans="1:15" ht="12.75" customHeight="1">
      <c r="A307" s="701" t="s">
        <v>8177</v>
      </c>
      <c r="B307" s="699" t="s">
        <v>8240</v>
      </c>
      <c r="C307" s="28" t="s">
        <v>8241</v>
      </c>
      <c r="D307" s="28" t="s">
        <v>8242</v>
      </c>
      <c r="E307" s="28" t="s">
        <v>180</v>
      </c>
      <c r="F307" s="28" t="s">
        <v>7315</v>
      </c>
      <c r="G307" s="28" t="s">
        <v>8241</v>
      </c>
      <c r="H307" s="28" t="s">
        <v>203</v>
      </c>
      <c r="I307" s="111" t="s">
        <v>203</v>
      </c>
      <c r="J307" s="28" t="s">
        <v>423</v>
      </c>
      <c r="K307" s="28" t="s">
        <v>113</v>
      </c>
      <c r="L307" s="28" t="s">
        <v>1889</v>
      </c>
      <c r="M307" s="28"/>
      <c r="N307" s="28"/>
      <c r="O307" s="28" t="s">
        <v>4489</v>
      </c>
    </row>
    <row r="308" spans="1:15" ht="12.75" customHeight="1">
      <c r="A308" s="701" t="s">
        <v>8177</v>
      </c>
      <c r="B308" s="699" t="s">
        <v>8243</v>
      </c>
      <c r="C308" s="28" t="s">
        <v>4700</v>
      </c>
      <c r="D308" s="28" t="s">
        <v>4698</v>
      </c>
      <c r="E308" s="28" t="s">
        <v>180</v>
      </c>
      <c r="F308" s="28" t="s">
        <v>7315</v>
      </c>
      <c r="G308" s="28" t="s">
        <v>4700</v>
      </c>
      <c r="H308" s="28" t="s">
        <v>203</v>
      </c>
      <c r="I308" s="111" t="s">
        <v>203</v>
      </c>
      <c r="J308" s="28" t="s">
        <v>423</v>
      </c>
      <c r="K308" s="28" t="s">
        <v>113</v>
      </c>
      <c r="L308" s="28" t="s">
        <v>1889</v>
      </c>
      <c r="M308" s="28"/>
      <c r="N308" s="28"/>
      <c r="O308" s="28" t="s">
        <v>4489</v>
      </c>
    </row>
    <row r="309" spans="1:15" ht="12.75" customHeight="1">
      <c r="A309" s="701" t="s">
        <v>8177</v>
      </c>
      <c r="B309" s="699" t="s">
        <v>8244</v>
      </c>
      <c r="C309" s="28" t="s">
        <v>8245</v>
      </c>
      <c r="D309" s="28" t="s">
        <v>8246</v>
      </c>
      <c r="E309" s="28" t="s">
        <v>180</v>
      </c>
      <c r="F309" s="28" t="s">
        <v>7315</v>
      </c>
      <c r="G309" s="28" t="s">
        <v>8245</v>
      </c>
      <c r="H309" s="28" t="s">
        <v>203</v>
      </c>
      <c r="I309" s="111" t="s">
        <v>203</v>
      </c>
      <c r="J309" s="28" t="s">
        <v>423</v>
      </c>
      <c r="K309" s="28" t="s">
        <v>113</v>
      </c>
      <c r="L309" s="28" t="s">
        <v>1889</v>
      </c>
      <c r="M309" s="28"/>
      <c r="N309" s="28"/>
      <c r="O309" s="28" t="s">
        <v>4489</v>
      </c>
    </row>
    <row r="310" spans="1:15" ht="12.75" customHeight="1">
      <c r="A310" s="701" t="s">
        <v>8177</v>
      </c>
      <c r="B310" s="699" t="s">
        <v>8247</v>
      </c>
      <c r="C310" s="28" t="s">
        <v>4719</v>
      </c>
      <c r="D310" s="28" t="s">
        <v>8248</v>
      </c>
      <c r="E310" s="28" t="s">
        <v>180</v>
      </c>
      <c r="F310" s="28" t="s">
        <v>7315</v>
      </c>
      <c r="G310" s="28" t="s">
        <v>4719</v>
      </c>
      <c r="H310" s="28" t="s">
        <v>203</v>
      </c>
      <c r="I310" s="111" t="s">
        <v>203</v>
      </c>
      <c r="J310" s="28" t="s">
        <v>423</v>
      </c>
      <c r="K310" s="28" t="s">
        <v>113</v>
      </c>
      <c r="L310" s="28" t="s">
        <v>1889</v>
      </c>
      <c r="M310" s="28"/>
      <c r="N310" s="28"/>
      <c r="O310" s="28" t="s">
        <v>8251</v>
      </c>
    </row>
    <row r="311" spans="1:15" ht="12.75" customHeight="1">
      <c r="A311" s="701" t="s">
        <v>8177</v>
      </c>
      <c r="B311" s="699" t="s">
        <v>8252</v>
      </c>
      <c r="C311" s="28" t="s">
        <v>4724</v>
      </c>
      <c r="D311" s="28" t="s">
        <v>8253</v>
      </c>
      <c r="E311" s="28" t="s">
        <v>180</v>
      </c>
      <c r="F311" s="28" t="s">
        <v>7315</v>
      </c>
      <c r="G311" s="28" t="s">
        <v>4724</v>
      </c>
      <c r="H311" s="28" t="s">
        <v>203</v>
      </c>
      <c r="I311" s="111" t="s">
        <v>203</v>
      </c>
      <c r="J311" s="28" t="s">
        <v>423</v>
      </c>
      <c r="K311" s="28" t="s">
        <v>113</v>
      </c>
      <c r="L311" s="28" t="s">
        <v>1889</v>
      </c>
      <c r="M311" s="28"/>
      <c r="N311" s="28"/>
      <c r="O311" s="28" t="s">
        <v>8254</v>
      </c>
    </row>
    <row r="312" spans="1:15" ht="12.75" customHeight="1">
      <c r="A312" s="701" t="s">
        <v>8177</v>
      </c>
      <c r="B312" s="699" t="s">
        <v>8256</v>
      </c>
      <c r="C312" s="28" t="s">
        <v>4729</v>
      </c>
      <c r="D312" s="28" t="s">
        <v>8258</v>
      </c>
      <c r="E312" s="28" t="s">
        <v>180</v>
      </c>
      <c r="F312" s="28" t="s">
        <v>7315</v>
      </c>
      <c r="G312" s="28" t="s">
        <v>4729</v>
      </c>
      <c r="H312" s="28" t="s">
        <v>203</v>
      </c>
      <c r="I312" s="111" t="s">
        <v>203</v>
      </c>
      <c r="J312" s="28" t="s">
        <v>423</v>
      </c>
      <c r="K312" s="28" t="s">
        <v>113</v>
      </c>
      <c r="L312" s="28" t="s">
        <v>1889</v>
      </c>
      <c r="M312" s="28"/>
      <c r="N312" s="28"/>
      <c r="O312" s="28" t="s">
        <v>8259</v>
      </c>
    </row>
    <row r="313" spans="1:15" ht="12.75" customHeight="1">
      <c r="A313" s="701" t="s">
        <v>8177</v>
      </c>
      <c r="B313" s="699" t="s">
        <v>8260</v>
      </c>
      <c r="C313" s="28" t="s">
        <v>4711</v>
      </c>
      <c r="D313" s="28" t="s">
        <v>8261</v>
      </c>
      <c r="E313" s="28" t="s">
        <v>180</v>
      </c>
      <c r="F313" s="28" t="s">
        <v>7315</v>
      </c>
      <c r="G313" s="28" t="s">
        <v>4711</v>
      </c>
      <c r="H313" s="28" t="s">
        <v>203</v>
      </c>
      <c r="I313" s="111" t="s">
        <v>203</v>
      </c>
      <c r="J313" s="28" t="s">
        <v>423</v>
      </c>
      <c r="K313" s="28" t="s">
        <v>113</v>
      </c>
      <c r="L313" s="28" t="s">
        <v>1889</v>
      </c>
      <c r="M313" s="28"/>
      <c r="N313" s="28"/>
      <c r="O313" s="28" t="s">
        <v>4489</v>
      </c>
    </row>
    <row r="314" spans="1:15" ht="12.75" customHeight="1">
      <c r="A314" s="701" t="s">
        <v>8177</v>
      </c>
      <c r="B314" s="699" t="s">
        <v>8262</v>
      </c>
      <c r="C314" s="28" t="s">
        <v>4715</v>
      </c>
      <c r="D314" s="28" t="s">
        <v>8263</v>
      </c>
      <c r="E314" s="28" t="s">
        <v>180</v>
      </c>
      <c r="F314" s="28" t="s">
        <v>7315</v>
      </c>
      <c r="G314" s="28" t="s">
        <v>4715</v>
      </c>
      <c r="H314" s="28" t="s">
        <v>203</v>
      </c>
      <c r="I314" s="111" t="s">
        <v>203</v>
      </c>
      <c r="J314" s="28" t="s">
        <v>423</v>
      </c>
      <c r="K314" s="28" t="s">
        <v>113</v>
      </c>
      <c r="L314" s="28" t="s">
        <v>1889</v>
      </c>
      <c r="M314" s="28"/>
      <c r="N314" s="28"/>
      <c r="O314" s="28" t="s">
        <v>4489</v>
      </c>
    </row>
    <row r="315" spans="1:15" ht="12.75" customHeight="1">
      <c r="A315" s="725" t="s">
        <v>8177</v>
      </c>
      <c r="B315" s="731"/>
      <c r="C315" s="726" t="s">
        <v>8264</v>
      </c>
      <c r="D315" s="726" t="s">
        <v>8186</v>
      </c>
      <c r="E315" s="732"/>
      <c r="F315" s="732"/>
      <c r="G315" s="727" t="s">
        <v>8187</v>
      </c>
      <c r="H315" s="732"/>
      <c r="I315" s="731"/>
      <c r="J315" s="732"/>
      <c r="K315" s="732"/>
      <c r="L315" s="732"/>
      <c r="M315" s="732"/>
      <c r="N315" s="732"/>
      <c r="O315" s="732"/>
    </row>
    <row r="316" spans="1:15" ht="12.75" customHeight="1">
      <c r="A316" s="701" t="s">
        <v>8177</v>
      </c>
      <c r="B316" s="699" t="s">
        <v>8266</v>
      </c>
      <c r="C316" s="28" t="s">
        <v>8267</v>
      </c>
      <c r="D316" s="28" t="s">
        <v>4652</v>
      </c>
      <c r="E316" s="28" t="s">
        <v>180</v>
      </c>
      <c r="F316" s="28" t="s">
        <v>7315</v>
      </c>
      <c r="G316" s="28" t="s">
        <v>8267</v>
      </c>
      <c r="H316" s="28" t="s">
        <v>203</v>
      </c>
      <c r="I316" s="111" t="s">
        <v>203</v>
      </c>
      <c r="J316" s="28" t="s">
        <v>423</v>
      </c>
      <c r="K316" s="28" t="s">
        <v>113</v>
      </c>
      <c r="L316" s="28" t="s">
        <v>1889</v>
      </c>
      <c r="M316" s="28"/>
      <c r="N316" s="28"/>
      <c r="O316" s="28" t="s">
        <v>4655</v>
      </c>
    </row>
    <row r="317" spans="1:15" ht="12.75" customHeight="1">
      <c r="A317" s="701" t="s">
        <v>8177</v>
      </c>
      <c r="B317" s="699" t="s">
        <v>8268</v>
      </c>
      <c r="C317" s="28" t="s">
        <v>8269</v>
      </c>
      <c r="D317" s="28" t="s">
        <v>8270</v>
      </c>
      <c r="E317" s="28" t="s">
        <v>180</v>
      </c>
      <c r="F317" s="28" t="s">
        <v>7315</v>
      </c>
      <c r="G317" s="28" t="s">
        <v>8269</v>
      </c>
      <c r="H317" s="28" t="s">
        <v>203</v>
      </c>
      <c r="I317" s="111" t="s">
        <v>203</v>
      </c>
      <c r="J317" s="28" t="s">
        <v>423</v>
      </c>
      <c r="K317" s="28" t="s">
        <v>113</v>
      </c>
      <c r="L317" s="28" t="s">
        <v>1889</v>
      </c>
      <c r="M317" s="28"/>
      <c r="N317" s="28"/>
      <c r="O317" s="28" t="s">
        <v>8271</v>
      </c>
    </row>
    <row r="318" spans="1:15" ht="12.75" customHeight="1">
      <c r="A318" s="701" t="s">
        <v>8177</v>
      </c>
      <c r="B318" s="699" t="s">
        <v>8272</v>
      </c>
      <c r="C318" s="28" t="s">
        <v>8273</v>
      </c>
      <c r="D318" s="111" t="s">
        <v>8274</v>
      </c>
      <c r="E318" s="28" t="s">
        <v>180</v>
      </c>
      <c r="F318" s="28" t="s">
        <v>7315</v>
      </c>
      <c r="G318" s="28" t="s">
        <v>8273</v>
      </c>
      <c r="H318" s="28" t="s">
        <v>203</v>
      </c>
      <c r="I318" s="111" t="s">
        <v>203</v>
      </c>
      <c r="J318" s="28" t="s">
        <v>423</v>
      </c>
      <c r="K318" s="28" t="s">
        <v>113</v>
      </c>
      <c r="L318" s="28" t="s">
        <v>1889</v>
      </c>
      <c r="M318" s="111"/>
      <c r="N318" s="111"/>
      <c r="O318" s="111"/>
    </row>
    <row r="319" spans="1:15" ht="12.75" customHeight="1">
      <c r="A319" s="701" t="s">
        <v>8177</v>
      </c>
      <c r="B319" s="699" t="s">
        <v>8275</v>
      </c>
      <c r="C319" s="28" t="s">
        <v>8276</v>
      </c>
      <c r="D319" s="28" t="s">
        <v>8277</v>
      </c>
      <c r="E319" s="28" t="s">
        <v>180</v>
      </c>
      <c r="F319" s="28" t="s">
        <v>7315</v>
      </c>
      <c r="G319" s="28" t="s">
        <v>8276</v>
      </c>
      <c r="H319" s="28" t="s">
        <v>203</v>
      </c>
      <c r="I319" s="111" t="s">
        <v>203</v>
      </c>
      <c r="J319" s="28" t="s">
        <v>423</v>
      </c>
      <c r="K319" s="28" t="s">
        <v>113</v>
      </c>
      <c r="L319" s="28" t="s">
        <v>1889</v>
      </c>
      <c r="M319" s="28"/>
      <c r="N319" s="28"/>
      <c r="O319" s="28" t="s">
        <v>8279</v>
      </c>
    </row>
    <row r="320" spans="1:15" ht="12.75" customHeight="1">
      <c r="A320" s="701" t="s">
        <v>8177</v>
      </c>
      <c r="B320" s="699" t="s">
        <v>8280</v>
      </c>
      <c r="C320" s="27" t="s">
        <v>4895</v>
      </c>
      <c r="D320" s="28" t="s">
        <v>8282</v>
      </c>
      <c r="E320" s="28" t="s">
        <v>180</v>
      </c>
      <c r="F320" s="28" t="s">
        <v>7315</v>
      </c>
      <c r="G320" s="27" t="s">
        <v>4895</v>
      </c>
      <c r="H320" s="28" t="s">
        <v>203</v>
      </c>
      <c r="I320" s="111" t="s">
        <v>203</v>
      </c>
      <c r="J320" s="28" t="s">
        <v>423</v>
      </c>
      <c r="K320" s="28" t="s">
        <v>113</v>
      </c>
      <c r="L320" s="28" t="s">
        <v>1889</v>
      </c>
      <c r="M320" s="28"/>
      <c r="N320" s="28"/>
      <c r="O320" s="227" t="s">
        <v>8283</v>
      </c>
    </row>
    <row r="321" spans="1:15" ht="12.75" customHeight="1">
      <c r="A321" s="701" t="s">
        <v>8177</v>
      </c>
      <c r="B321" s="699" t="s">
        <v>8284</v>
      </c>
      <c r="C321" s="27" t="s">
        <v>8285</v>
      </c>
      <c r="D321" s="28" t="s">
        <v>8286</v>
      </c>
      <c r="E321" s="28" t="s">
        <v>180</v>
      </c>
      <c r="F321" s="28" t="s">
        <v>7315</v>
      </c>
      <c r="G321" s="27" t="s">
        <v>8285</v>
      </c>
      <c r="H321" s="28" t="s">
        <v>203</v>
      </c>
      <c r="I321" s="111" t="s">
        <v>203</v>
      </c>
      <c r="J321" s="28" t="s">
        <v>423</v>
      </c>
      <c r="K321" s="28" t="s">
        <v>113</v>
      </c>
      <c r="L321" s="28" t="s">
        <v>1889</v>
      </c>
      <c r="M321" s="28"/>
      <c r="N321" s="28"/>
      <c r="O321" s="28"/>
    </row>
    <row r="322" spans="1:15" ht="12.75" customHeight="1">
      <c r="A322" s="725" t="s">
        <v>8177</v>
      </c>
      <c r="B322" s="732"/>
      <c r="C322" s="726" t="s">
        <v>8288</v>
      </c>
      <c r="D322" s="726" t="s">
        <v>8289</v>
      </c>
      <c r="E322" s="730"/>
      <c r="F322" s="730"/>
      <c r="G322" s="727" t="s">
        <v>8187</v>
      </c>
      <c r="H322" s="727"/>
      <c r="I322" s="730"/>
      <c r="J322" s="727"/>
      <c r="K322" s="727"/>
      <c r="L322" s="727"/>
      <c r="M322" s="727"/>
      <c r="N322" s="727"/>
      <c r="O322" s="727" t="s">
        <v>4489</v>
      </c>
    </row>
    <row r="323" spans="1:15" ht="12.75" customHeight="1">
      <c r="A323" s="701" t="s">
        <v>8177</v>
      </c>
      <c r="B323" s="699" t="s">
        <v>8290</v>
      </c>
      <c r="C323" s="28" t="s">
        <v>4539</v>
      </c>
      <c r="D323" s="114" t="s">
        <v>4538</v>
      </c>
      <c r="E323" s="28" t="s">
        <v>180</v>
      </c>
      <c r="F323" s="28" t="s">
        <v>7315</v>
      </c>
      <c r="G323" s="28" t="s">
        <v>4539</v>
      </c>
      <c r="H323" s="28" t="s">
        <v>203</v>
      </c>
      <c r="I323" s="111" t="s">
        <v>203</v>
      </c>
      <c r="J323" s="28" t="s">
        <v>423</v>
      </c>
      <c r="K323" s="28" t="s">
        <v>113</v>
      </c>
      <c r="L323" s="28" t="s">
        <v>1889</v>
      </c>
      <c r="M323" s="28"/>
      <c r="N323" s="28"/>
      <c r="O323" s="28"/>
    </row>
    <row r="324" spans="1:15" ht="12.75" customHeight="1">
      <c r="A324" s="701" t="s">
        <v>8177</v>
      </c>
      <c r="B324" s="699" t="s">
        <v>8291</v>
      </c>
      <c r="C324" s="28" t="s">
        <v>4545</v>
      </c>
      <c r="D324" s="733" t="s">
        <v>4544</v>
      </c>
      <c r="E324" s="28" t="s">
        <v>180</v>
      </c>
      <c r="F324" s="28" t="s">
        <v>7315</v>
      </c>
      <c r="G324" s="28" t="s">
        <v>4545</v>
      </c>
      <c r="H324" s="28" t="s">
        <v>203</v>
      </c>
      <c r="I324" s="111" t="s">
        <v>203</v>
      </c>
      <c r="J324" s="28" t="s">
        <v>423</v>
      </c>
      <c r="K324" s="28" t="s">
        <v>113</v>
      </c>
      <c r="L324" s="28" t="s">
        <v>1889</v>
      </c>
      <c r="M324" s="28"/>
      <c r="N324" s="28"/>
      <c r="O324" s="28" t="s">
        <v>4489</v>
      </c>
    </row>
    <row r="325" spans="1:15" ht="12.75" customHeight="1">
      <c r="A325" s="701" t="s">
        <v>8177</v>
      </c>
      <c r="B325" s="699" t="s">
        <v>8293</v>
      </c>
      <c r="C325" s="28" t="s">
        <v>8294</v>
      </c>
      <c r="D325" s="733" t="s">
        <v>8295</v>
      </c>
      <c r="E325" s="28" t="s">
        <v>180</v>
      </c>
      <c r="F325" s="28" t="s">
        <v>7315</v>
      </c>
      <c r="G325" s="28" t="s">
        <v>8294</v>
      </c>
      <c r="H325" s="28" t="s">
        <v>203</v>
      </c>
      <c r="I325" s="111" t="s">
        <v>203</v>
      </c>
      <c r="J325" s="28" t="s">
        <v>423</v>
      </c>
      <c r="K325" s="28" t="s">
        <v>113</v>
      </c>
      <c r="L325" s="28" t="s">
        <v>1889</v>
      </c>
      <c r="M325" s="28"/>
      <c r="N325" s="28"/>
      <c r="O325" s="28"/>
    </row>
    <row r="326" spans="1:15" ht="12.75" customHeight="1">
      <c r="A326" s="701" t="s">
        <v>8177</v>
      </c>
      <c r="B326" s="699" t="s">
        <v>8296</v>
      </c>
      <c r="C326" s="28" t="s">
        <v>8297</v>
      </c>
      <c r="D326" s="733" t="s">
        <v>8298</v>
      </c>
      <c r="E326" s="28" t="s">
        <v>180</v>
      </c>
      <c r="F326" s="28" t="s">
        <v>7315</v>
      </c>
      <c r="G326" s="28" t="s">
        <v>8297</v>
      </c>
      <c r="H326" s="28" t="s">
        <v>203</v>
      </c>
      <c r="I326" s="111" t="s">
        <v>203</v>
      </c>
      <c r="J326" s="28" t="s">
        <v>423</v>
      </c>
      <c r="K326" s="28" t="s">
        <v>113</v>
      </c>
      <c r="L326" s="28" t="s">
        <v>1889</v>
      </c>
      <c r="M326" s="28"/>
      <c r="N326" s="28"/>
      <c r="O326" s="28"/>
    </row>
    <row r="327" spans="1:15" ht="12.75" customHeight="1">
      <c r="A327" s="701" t="s">
        <v>8177</v>
      </c>
      <c r="B327" s="699" t="s">
        <v>8299</v>
      </c>
      <c r="C327" s="733" t="s">
        <v>8300</v>
      </c>
      <c r="D327" s="733" t="s">
        <v>8300</v>
      </c>
      <c r="E327" s="28" t="s">
        <v>180</v>
      </c>
      <c r="F327" s="28" t="s">
        <v>7315</v>
      </c>
      <c r="G327" s="733" t="s">
        <v>8300</v>
      </c>
      <c r="H327" s="28" t="s">
        <v>203</v>
      </c>
      <c r="I327" s="111" t="s">
        <v>203</v>
      </c>
      <c r="J327" s="28" t="s">
        <v>423</v>
      </c>
      <c r="K327" s="28" t="s">
        <v>113</v>
      </c>
      <c r="L327" s="28" t="s">
        <v>1889</v>
      </c>
      <c r="M327" s="28"/>
      <c r="N327" s="28"/>
      <c r="O327" s="28" t="s">
        <v>4489</v>
      </c>
    </row>
    <row r="328" spans="1:15" ht="12.75" customHeight="1">
      <c r="A328" s="701" t="s">
        <v>8177</v>
      </c>
      <c r="B328" s="699" t="s">
        <v>8301</v>
      </c>
      <c r="C328" s="28" t="s">
        <v>4555</v>
      </c>
      <c r="D328" s="28" t="s">
        <v>4555</v>
      </c>
      <c r="E328" s="28" t="s">
        <v>180</v>
      </c>
      <c r="F328" s="28" t="s">
        <v>7315</v>
      </c>
      <c r="G328" s="28" t="s">
        <v>4555</v>
      </c>
      <c r="H328" s="28" t="s">
        <v>203</v>
      </c>
      <c r="I328" s="111" t="s">
        <v>203</v>
      </c>
      <c r="J328" s="28" t="s">
        <v>423</v>
      </c>
      <c r="K328" s="28" t="s">
        <v>113</v>
      </c>
      <c r="L328" s="28" t="s">
        <v>1889</v>
      </c>
      <c r="M328" s="28"/>
      <c r="N328" s="28"/>
      <c r="O328" s="28"/>
    </row>
    <row r="329" spans="1:15" ht="12.75" customHeight="1">
      <c r="A329" s="701" t="s">
        <v>8177</v>
      </c>
      <c r="B329" s="699" t="s">
        <v>8302</v>
      </c>
      <c r="C329" s="28" t="s">
        <v>4560</v>
      </c>
      <c r="D329" s="28" t="s">
        <v>4560</v>
      </c>
      <c r="E329" s="28" t="s">
        <v>180</v>
      </c>
      <c r="F329" s="28" t="s">
        <v>7315</v>
      </c>
      <c r="G329" s="28" t="s">
        <v>4560</v>
      </c>
      <c r="H329" s="28" t="s">
        <v>203</v>
      </c>
      <c r="I329" s="111" t="s">
        <v>203</v>
      </c>
      <c r="J329" s="28" t="s">
        <v>423</v>
      </c>
      <c r="K329" s="28" t="s">
        <v>113</v>
      </c>
      <c r="L329" s="28" t="s">
        <v>1889</v>
      </c>
      <c r="M329" s="28"/>
      <c r="N329" s="28"/>
      <c r="O329" s="28"/>
    </row>
    <row r="330" spans="1:15" ht="12.75" customHeight="1">
      <c r="A330" s="701" t="s">
        <v>8177</v>
      </c>
      <c r="B330" s="699" t="s">
        <v>8304</v>
      </c>
      <c r="C330" s="28" t="s">
        <v>4565</v>
      </c>
      <c r="D330" s="28" t="s">
        <v>8305</v>
      </c>
      <c r="E330" s="28" t="s">
        <v>180</v>
      </c>
      <c r="F330" s="28" t="s">
        <v>7315</v>
      </c>
      <c r="G330" s="28" t="s">
        <v>4565</v>
      </c>
      <c r="H330" s="28" t="s">
        <v>203</v>
      </c>
      <c r="I330" s="111" t="s">
        <v>203</v>
      </c>
      <c r="J330" s="28" t="s">
        <v>423</v>
      </c>
      <c r="K330" s="28" t="s">
        <v>113</v>
      </c>
      <c r="L330" s="28" t="s">
        <v>1889</v>
      </c>
      <c r="M330" s="28"/>
      <c r="N330" s="28"/>
      <c r="O330" s="28" t="s">
        <v>8306</v>
      </c>
    </row>
    <row r="331" spans="1:15" ht="12.75" customHeight="1">
      <c r="A331" s="725" t="s">
        <v>8177</v>
      </c>
      <c r="B331" s="732"/>
      <c r="C331" s="726" t="s">
        <v>8307</v>
      </c>
      <c r="D331" s="726" t="s">
        <v>8186</v>
      </c>
      <c r="E331" s="727"/>
      <c r="F331" s="727"/>
      <c r="G331" s="727" t="s">
        <v>8187</v>
      </c>
      <c r="H331" s="727"/>
      <c r="I331" s="730"/>
      <c r="J331" s="727"/>
      <c r="K331" s="727"/>
      <c r="L331" s="727"/>
      <c r="M331" s="727"/>
      <c r="N331" s="727"/>
      <c r="O331" s="727"/>
    </row>
    <row r="332" spans="1:15" ht="12.75" customHeight="1">
      <c r="A332" s="701" t="s">
        <v>8177</v>
      </c>
      <c r="B332" s="699" t="s">
        <v>8308</v>
      </c>
      <c r="C332" s="28" t="s">
        <v>1229</v>
      </c>
      <c r="D332" s="28" t="s">
        <v>8309</v>
      </c>
      <c r="E332" s="28" t="s">
        <v>180</v>
      </c>
      <c r="F332" s="28" t="s">
        <v>7315</v>
      </c>
      <c r="G332" s="28" t="s">
        <v>1229</v>
      </c>
      <c r="H332" s="28" t="s">
        <v>203</v>
      </c>
      <c r="I332" s="111" t="s">
        <v>203</v>
      </c>
      <c r="J332" s="28" t="s">
        <v>423</v>
      </c>
      <c r="K332" s="28" t="s">
        <v>113</v>
      </c>
      <c r="L332" s="28" t="s">
        <v>1889</v>
      </c>
      <c r="M332" s="28"/>
      <c r="N332" s="28"/>
      <c r="O332" s="28" t="s">
        <v>8311</v>
      </c>
    </row>
    <row r="333" spans="1:15" ht="12.75" customHeight="1">
      <c r="A333" s="701" t="s">
        <v>8177</v>
      </c>
      <c r="B333" s="699" t="s">
        <v>8312</v>
      </c>
      <c r="C333" s="28" t="s">
        <v>4573</v>
      </c>
      <c r="D333" s="28" t="s">
        <v>8313</v>
      </c>
      <c r="E333" s="28" t="s">
        <v>180</v>
      </c>
      <c r="F333" s="28" t="s">
        <v>7315</v>
      </c>
      <c r="G333" s="28" t="s">
        <v>4573</v>
      </c>
      <c r="H333" s="28" t="s">
        <v>203</v>
      </c>
      <c r="I333" s="111" t="s">
        <v>203</v>
      </c>
      <c r="J333" s="28" t="s">
        <v>423</v>
      </c>
      <c r="K333" s="28" t="s">
        <v>113</v>
      </c>
      <c r="L333" s="28" t="s">
        <v>1889</v>
      </c>
      <c r="M333" s="28"/>
      <c r="N333" s="28"/>
      <c r="O333" s="28" t="s">
        <v>8314</v>
      </c>
    </row>
    <row r="334" spans="1:15" ht="12.75" customHeight="1">
      <c r="A334" s="701" t="s">
        <v>8177</v>
      </c>
      <c r="B334" s="699" t="s">
        <v>8315</v>
      </c>
      <c r="C334" s="28" t="s">
        <v>4595</v>
      </c>
      <c r="D334" s="28" t="s">
        <v>8316</v>
      </c>
      <c r="E334" s="28" t="s">
        <v>180</v>
      </c>
      <c r="F334" s="28" t="s">
        <v>7315</v>
      </c>
      <c r="G334" s="28" t="s">
        <v>4595</v>
      </c>
      <c r="H334" s="28" t="s">
        <v>203</v>
      </c>
      <c r="I334" s="111" t="s">
        <v>203</v>
      </c>
      <c r="J334" s="28" t="s">
        <v>423</v>
      </c>
      <c r="K334" s="28" t="s">
        <v>113</v>
      </c>
      <c r="L334" s="28" t="s">
        <v>1889</v>
      </c>
      <c r="M334" s="28"/>
      <c r="N334" s="28"/>
      <c r="O334" s="28" t="s">
        <v>8317</v>
      </c>
    </row>
    <row r="335" spans="1:15" ht="12.75" customHeight="1">
      <c r="A335" s="701" t="s">
        <v>8177</v>
      </c>
      <c r="B335" s="699" t="s">
        <v>8318</v>
      </c>
      <c r="C335" s="28" t="s">
        <v>4589</v>
      </c>
      <c r="D335" s="28" t="s">
        <v>8319</v>
      </c>
      <c r="E335" s="28" t="s">
        <v>180</v>
      </c>
      <c r="F335" s="28" t="s">
        <v>7315</v>
      </c>
      <c r="G335" s="28" t="s">
        <v>4589</v>
      </c>
      <c r="H335" s="28" t="s">
        <v>203</v>
      </c>
      <c r="I335" s="111" t="s">
        <v>203</v>
      </c>
      <c r="J335" s="28" t="s">
        <v>423</v>
      </c>
      <c r="K335" s="28" t="s">
        <v>113</v>
      </c>
      <c r="L335" s="28" t="s">
        <v>1889</v>
      </c>
      <c r="M335" s="28"/>
      <c r="N335" s="28"/>
      <c r="O335" s="28" t="s">
        <v>8321</v>
      </c>
    </row>
    <row r="336" spans="1:15" ht="12.75" customHeight="1">
      <c r="A336" s="725" t="s">
        <v>8177</v>
      </c>
      <c r="B336" s="732"/>
      <c r="C336" s="726" t="s">
        <v>4910</v>
      </c>
      <c r="D336" s="726" t="s">
        <v>8322</v>
      </c>
      <c r="E336" s="727"/>
      <c r="F336" s="727"/>
      <c r="G336" s="727" t="s">
        <v>8187</v>
      </c>
      <c r="H336" s="727"/>
      <c r="I336" s="730"/>
      <c r="J336" s="727"/>
      <c r="K336" s="727"/>
      <c r="L336" s="727"/>
      <c r="M336" s="727"/>
      <c r="N336" s="727"/>
      <c r="O336" s="727" t="s">
        <v>8324</v>
      </c>
    </row>
    <row r="337" spans="1:15" ht="12.75" customHeight="1">
      <c r="A337" s="701" t="s">
        <v>8177</v>
      </c>
      <c r="B337" s="699" t="s">
        <v>8325</v>
      </c>
      <c r="C337" s="28" t="s">
        <v>8326</v>
      </c>
      <c r="D337" s="111" t="s">
        <v>8327</v>
      </c>
      <c r="E337" s="28" t="s">
        <v>180</v>
      </c>
      <c r="F337" s="28" t="s">
        <v>7315</v>
      </c>
      <c r="G337" s="28" t="s">
        <v>8326</v>
      </c>
      <c r="H337" s="111" t="s">
        <v>203</v>
      </c>
      <c r="I337" s="111" t="s">
        <v>203</v>
      </c>
      <c r="J337" s="28" t="s">
        <v>423</v>
      </c>
      <c r="K337" s="28" t="s">
        <v>113</v>
      </c>
      <c r="L337" s="28" t="s">
        <v>1889</v>
      </c>
      <c r="M337" s="111"/>
      <c r="N337" s="111"/>
      <c r="O337" s="28" t="s">
        <v>8328</v>
      </c>
    </row>
    <row r="338" spans="1:15" ht="12.75" customHeight="1">
      <c r="A338" s="701" t="s">
        <v>8177</v>
      </c>
      <c r="B338" s="699" t="s">
        <v>8329</v>
      </c>
      <c r="C338" s="27" t="s">
        <v>8330</v>
      </c>
      <c r="D338" s="28" t="s">
        <v>8331</v>
      </c>
      <c r="E338" s="28" t="s">
        <v>180</v>
      </c>
      <c r="F338" s="28" t="s">
        <v>7315</v>
      </c>
      <c r="G338" s="27" t="s">
        <v>8330</v>
      </c>
      <c r="H338" s="111" t="s">
        <v>203</v>
      </c>
      <c r="I338" s="111" t="s">
        <v>203</v>
      </c>
      <c r="J338" s="28" t="s">
        <v>423</v>
      </c>
      <c r="K338" s="28" t="s">
        <v>113</v>
      </c>
      <c r="L338" s="28" t="s">
        <v>1889</v>
      </c>
      <c r="M338" s="28"/>
      <c r="N338" s="28"/>
      <c r="O338" s="28" t="s">
        <v>8332</v>
      </c>
    </row>
    <row r="339" spans="1:15" ht="12.75" customHeight="1">
      <c r="A339" s="725" t="s">
        <v>8177</v>
      </c>
      <c r="B339" s="732"/>
      <c r="C339" s="726" t="s">
        <v>8333</v>
      </c>
      <c r="D339" s="726" t="s">
        <v>8334</v>
      </c>
      <c r="E339" s="731"/>
      <c r="F339" s="731"/>
      <c r="G339" s="727" t="s">
        <v>8187</v>
      </c>
      <c r="H339" s="730"/>
      <c r="I339" s="730"/>
      <c r="J339" s="727"/>
      <c r="K339" s="727"/>
      <c r="L339" s="727"/>
      <c r="M339" s="727"/>
      <c r="N339" s="727"/>
      <c r="O339" s="727"/>
    </row>
    <row r="340" spans="1:15" ht="12.75" customHeight="1">
      <c r="A340" s="701" t="s">
        <v>8177</v>
      </c>
      <c r="B340" s="699" t="s">
        <v>8335</v>
      </c>
      <c r="C340" s="27" t="s">
        <v>5771</v>
      </c>
      <c r="D340" s="28" t="s">
        <v>8336</v>
      </c>
      <c r="E340" s="28" t="s">
        <v>180</v>
      </c>
      <c r="F340" s="28" t="s">
        <v>7315</v>
      </c>
      <c r="G340" s="27" t="s">
        <v>5771</v>
      </c>
      <c r="H340" s="114" t="s">
        <v>203</v>
      </c>
      <c r="I340" s="111" t="s">
        <v>203</v>
      </c>
      <c r="J340" s="28" t="s">
        <v>5772</v>
      </c>
      <c r="K340" s="28" t="s">
        <v>113</v>
      </c>
      <c r="L340" s="28" t="s">
        <v>1889</v>
      </c>
      <c r="M340" s="28"/>
      <c r="N340" s="28"/>
      <c r="O340" s="28"/>
    </row>
    <row r="341" spans="1:15" ht="12.75" customHeight="1">
      <c r="A341" s="701" t="s">
        <v>8177</v>
      </c>
      <c r="B341" s="699" t="s">
        <v>8338</v>
      </c>
      <c r="C341" s="27" t="s">
        <v>5778</v>
      </c>
      <c r="D341" s="28" t="s">
        <v>8339</v>
      </c>
      <c r="E341" s="28" t="s">
        <v>180</v>
      </c>
      <c r="F341" s="28" t="s">
        <v>7315</v>
      </c>
      <c r="G341" s="27" t="s">
        <v>5778</v>
      </c>
      <c r="H341" s="114" t="s">
        <v>203</v>
      </c>
      <c r="I341" s="111" t="s">
        <v>203</v>
      </c>
      <c r="J341" s="28" t="s">
        <v>5772</v>
      </c>
      <c r="K341" s="28" t="s">
        <v>113</v>
      </c>
      <c r="L341" s="28" t="s">
        <v>1889</v>
      </c>
      <c r="M341" s="28"/>
      <c r="N341" s="28"/>
      <c r="O341" s="28"/>
    </row>
    <row r="342" spans="1:15" ht="12.75" customHeight="1">
      <c r="A342" s="701" t="s">
        <v>8177</v>
      </c>
      <c r="B342" s="699" t="s">
        <v>8340</v>
      </c>
      <c r="C342" s="27" t="s">
        <v>5784</v>
      </c>
      <c r="D342" s="28" t="s">
        <v>8341</v>
      </c>
      <c r="E342" s="28" t="s">
        <v>180</v>
      </c>
      <c r="F342" s="28" t="s">
        <v>7315</v>
      </c>
      <c r="G342" s="27" t="s">
        <v>5784</v>
      </c>
      <c r="H342" s="114" t="s">
        <v>203</v>
      </c>
      <c r="I342" s="111" t="s">
        <v>203</v>
      </c>
      <c r="J342" s="28" t="s">
        <v>5772</v>
      </c>
      <c r="K342" s="28" t="s">
        <v>113</v>
      </c>
      <c r="L342" s="28" t="s">
        <v>1889</v>
      </c>
      <c r="M342" s="28"/>
      <c r="N342" s="28"/>
      <c r="O342" s="28"/>
    </row>
    <row r="343" spans="1:15" ht="12.75" customHeight="1">
      <c r="A343" s="701" t="s">
        <v>8177</v>
      </c>
      <c r="B343" s="699" t="s">
        <v>8343</v>
      </c>
      <c r="C343" s="28" t="s">
        <v>1074</v>
      </c>
      <c r="D343" s="28" t="s">
        <v>8344</v>
      </c>
      <c r="E343" s="28" t="s">
        <v>180</v>
      </c>
      <c r="F343" s="28" t="s">
        <v>7315</v>
      </c>
      <c r="G343" s="28" t="s">
        <v>1074</v>
      </c>
      <c r="H343" s="114" t="s">
        <v>203</v>
      </c>
      <c r="I343" s="111" t="s">
        <v>203</v>
      </c>
      <c r="J343" s="28" t="s">
        <v>5789</v>
      </c>
      <c r="K343" s="28" t="s">
        <v>113</v>
      </c>
      <c r="L343" s="28" t="s">
        <v>1889</v>
      </c>
      <c r="M343" s="28"/>
      <c r="N343" s="28"/>
      <c r="O343" s="28"/>
    </row>
    <row r="344" spans="1:15" ht="12.75" customHeight="1">
      <c r="A344" s="725" t="s">
        <v>8177</v>
      </c>
      <c r="B344" s="732"/>
      <c r="C344" s="734" t="s">
        <v>8345</v>
      </c>
      <c r="D344" s="726" t="s">
        <v>8186</v>
      </c>
      <c r="E344" s="727"/>
      <c r="F344" s="727"/>
      <c r="G344" s="727" t="s">
        <v>8187</v>
      </c>
      <c r="H344" s="727"/>
      <c r="I344" s="730"/>
      <c r="J344" s="727"/>
      <c r="K344" s="727"/>
      <c r="L344" s="727"/>
      <c r="M344" s="727"/>
      <c r="N344" s="727"/>
      <c r="O344" s="727"/>
    </row>
    <row r="345" spans="1:15" ht="12.75" customHeight="1">
      <c r="A345" s="701" t="s">
        <v>8177</v>
      </c>
      <c r="B345" s="699" t="s">
        <v>8347</v>
      </c>
      <c r="C345" s="28" t="s">
        <v>8348</v>
      </c>
      <c r="D345" s="28" t="s">
        <v>8349</v>
      </c>
      <c r="E345" s="28" t="s">
        <v>180</v>
      </c>
      <c r="F345" s="28" t="s">
        <v>7315</v>
      </c>
      <c r="G345" s="28" t="s">
        <v>8348</v>
      </c>
      <c r="H345" s="28" t="s">
        <v>203</v>
      </c>
      <c r="I345" s="111" t="s">
        <v>203</v>
      </c>
      <c r="J345" s="28" t="s">
        <v>423</v>
      </c>
      <c r="K345" s="28" t="s">
        <v>113</v>
      </c>
      <c r="L345" s="28" t="s">
        <v>1889</v>
      </c>
      <c r="M345" s="28"/>
      <c r="N345" s="28"/>
      <c r="O345" s="227"/>
    </row>
    <row r="346" spans="1:15" ht="12.75" customHeight="1">
      <c r="A346" s="701" t="s">
        <v>8177</v>
      </c>
      <c r="B346" s="699" t="s">
        <v>8351</v>
      </c>
      <c r="C346" s="27" t="s">
        <v>4791</v>
      </c>
      <c r="D346" s="28" t="s">
        <v>8352</v>
      </c>
      <c r="E346" s="28" t="s">
        <v>180</v>
      </c>
      <c r="F346" s="28" t="s">
        <v>7315</v>
      </c>
      <c r="G346" s="27" t="s">
        <v>4791</v>
      </c>
      <c r="H346" s="28" t="s">
        <v>203</v>
      </c>
      <c r="I346" s="111" t="s">
        <v>203</v>
      </c>
      <c r="J346" s="28" t="s">
        <v>423</v>
      </c>
      <c r="K346" s="28" t="s">
        <v>113</v>
      </c>
      <c r="L346" s="28" t="s">
        <v>1889</v>
      </c>
      <c r="M346" s="28"/>
      <c r="N346" s="28"/>
      <c r="O346" s="28" t="s">
        <v>8354</v>
      </c>
    </row>
    <row r="347" spans="1:15" ht="12.75" customHeight="1">
      <c r="A347" s="701" t="s">
        <v>8177</v>
      </c>
      <c r="B347" s="699" t="s">
        <v>8355</v>
      </c>
      <c r="C347" s="28" t="s">
        <v>4802</v>
      </c>
      <c r="D347" s="28" t="s">
        <v>8356</v>
      </c>
      <c r="E347" s="28" t="s">
        <v>180</v>
      </c>
      <c r="F347" s="28" t="s">
        <v>7315</v>
      </c>
      <c r="G347" s="28" t="s">
        <v>4802</v>
      </c>
      <c r="H347" s="28" t="s">
        <v>203</v>
      </c>
      <c r="I347" s="111" t="s">
        <v>203</v>
      </c>
      <c r="J347" s="28" t="s">
        <v>423</v>
      </c>
      <c r="K347" s="28" t="s">
        <v>113</v>
      </c>
      <c r="L347" s="28" t="s">
        <v>1889</v>
      </c>
      <c r="M347" s="28"/>
      <c r="N347" s="28"/>
      <c r="O347" s="28" t="s">
        <v>8357</v>
      </c>
    </row>
    <row r="348" spans="1:15" ht="12.75" customHeight="1">
      <c r="A348" s="701" t="s">
        <v>8177</v>
      </c>
      <c r="B348" s="699" t="s">
        <v>8358</v>
      </c>
      <c r="C348" s="28" t="s">
        <v>883</v>
      </c>
      <c r="D348" s="111" t="s">
        <v>8359</v>
      </c>
      <c r="E348" s="28" t="s">
        <v>180</v>
      </c>
      <c r="F348" s="28" t="s">
        <v>7315</v>
      </c>
      <c r="G348" s="28" t="s">
        <v>883</v>
      </c>
      <c r="H348" s="28" t="s">
        <v>203</v>
      </c>
      <c r="I348" s="111" t="s">
        <v>203</v>
      </c>
      <c r="J348" s="28" t="s">
        <v>423</v>
      </c>
      <c r="K348" s="28" t="s">
        <v>113</v>
      </c>
      <c r="L348" s="28" t="s">
        <v>1889</v>
      </c>
      <c r="M348" s="111"/>
      <c r="N348" s="111"/>
      <c r="O348" s="28" t="s">
        <v>8360</v>
      </c>
    </row>
    <row r="349" spans="1:15" ht="12.75" customHeight="1">
      <c r="A349" s="701" t="s">
        <v>8177</v>
      </c>
      <c r="B349" s="699" t="s">
        <v>8361</v>
      </c>
      <c r="C349" s="28" t="s">
        <v>4961</v>
      </c>
      <c r="D349" s="111" t="s">
        <v>8362</v>
      </c>
      <c r="E349" s="28" t="s">
        <v>180</v>
      </c>
      <c r="F349" s="28" t="s">
        <v>7315</v>
      </c>
      <c r="G349" s="28" t="s">
        <v>4961</v>
      </c>
      <c r="H349" s="28" t="s">
        <v>203</v>
      </c>
      <c r="I349" s="111" t="s">
        <v>203</v>
      </c>
      <c r="J349" s="28" t="s">
        <v>423</v>
      </c>
      <c r="K349" s="28" t="s">
        <v>113</v>
      </c>
      <c r="L349" s="28" t="s">
        <v>1889</v>
      </c>
      <c r="M349" s="111"/>
      <c r="N349" s="111"/>
      <c r="O349" s="28" t="s">
        <v>8363</v>
      </c>
    </row>
    <row r="350" spans="1:15" ht="12.75" customHeight="1">
      <c r="A350" s="725" t="s">
        <v>8177</v>
      </c>
      <c r="B350" s="731"/>
      <c r="C350" s="735" t="s">
        <v>8364</v>
      </c>
      <c r="D350" s="735" t="s">
        <v>8366</v>
      </c>
      <c r="E350" s="730"/>
      <c r="F350" s="730"/>
      <c r="G350" s="727" t="s">
        <v>8187</v>
      </c>
      <c r="H350" s="730"/>
      <c r="I350" s="730"/>
      <c r="J350" s="730"/>
      <c r="K350" s="730"/>
      <c r="L350" s="730"/>
      <c r="M350" s="730"/>
      <c r="N350" s="730"/>
      <c r="O350" s="730"/>
    </row>
    <row r="351" spans="1:15" ht="12.75" customHeight="1">
      <c r="A351" s="701" t="s">
        <v>8177</v>
      </c>
      <c r="B351" s="699" t="s">
        <v>8367</v>
      </c>
      <c r="C351" s="27" t="s">
        <v>8368</v>
      </c>
      <c r="D351" s="28" t="s">
        <v>8370</v>
      </c>
      <c r="E351" s="28" t="s">
        <v>180</v>
      </c>
      <c r="F351" s="28" t="s">
        <v>7315</v>
      </c>
      <c r="G351" s="27" t="s">
        <v>8368</v>
      </c>
      <c r="H351" s="27" t="s">
        <v>203</v>
      </c>
      <c r="I351" s="111" t="s">
        <v>203</v>
      </c>
      <c r="J351" s="28" t="s">
        <v>423</v>
      </c>
      <c r="K351" s="28" t="s">
        <v>113</v>
      </c>
      <c r="L351" s="28" t="s">
        <v>1889</v>
      </c>
      <c r="M351" s="111"/>
      <c r="N351" s="28"/>
      <c r="O351" s="227"/>
    </row>
    <row r="352" spans="1:15" ht="12.75" customHeight="1">
      <c r="A352" s="701" t="s">
        <v>8177</v>
      </c>
      <c r="B352" s="699" t="s">
        <v>8371</v>
      </c>
      <c r="C352" s="27" t="s">
        <v>8372</v>
      </c>
      <c r="D352" s="27" t="s">
        <v>8373</v>
      </c>
      <c r="E352" s="28" t="s">
        <v>180</v>
      </c>
      <c r="F352" s="28" t="s">
        <v>7315</v>
      </c>
      <c r="G352" s="27" t="s">
        <v>8372</v>
      </c>
      <c r="H352" s="27" t="s">
        <v>203</v>
      </c>
      <c r="I352" s="111" t="s">
        <v>203</v>
      </c>
      <c r="J352" s="28" t="s">
        <v>423</v>
      </c>
      <c r="K352" s="28" t="s">
        <v>113</v>
      </c>
      <c r="L352" s="28" t="s">
        <v>1889</v>
      </c>
      <c r="M352" s="111"/>
      <c r="N352" s="227"/>
      <c r="O352" s="227"/>
    </row>
    <row r="353" spans="1:15" ht="12.75" customHeight="1">
      <c r="A353" s="701" t="s">
        <v>8177</v>
      </c>
      <c r="B353" s="699" t="s">
        <v>8374</v>
      </c>
      <c r="C353" s="27" t="s">
        <v>7459</v>
      </c>
      <c r="D353" s="27" t="s">
        <v>8375</v>
      </c>
      <c r="E353" s="28" t="s">
        <v>180</v>
      </c>
      <c r="F353" s="28" t="s">
        <v>7315</v>
      </c>
      <c r="G353" s="27" t="s">
        <v>7459</v>
      </c>
      <c r="H353" s="27" t="s">
        <v>203</v>
      </c>
      <c r="I353" s="111" t="s">
        <v>203</v>
      </c>
      <c r="J353" s="28" t="s">
        <v>423</v>
      </c>
      <c r="K353" s="28" t="s">
        <v>113</v>
      </c>
      <c r="L353" s="28" t="s">
        <v>1889</v>
      </c>
      <c r="M353" s="111"/>
      <c r="N353" s="227"/>
      <c r="O353" s="28" t="s">
        <v>8377</v>
      </c>
    </row>
    <row r="354" spans="1:15" ht="12.75" customHeight="1">
      <c r="A354" s="701" t="s">
        <v>8177</v>
      </c>
      <c r="B354" s="699" t="s">
        <v>8378</v>
      </c>
      <c r="C354" s="27" t="s">
        <v>5015</v>
      </c>
      <c r="D354" s="28" t="s">
        <v>8379</v>
      </c>
      <c r="E354" s="28" t="s">
        <v>180</v>
      </c>
      <c r="F354" s="28" t="s">
        <v>7315</v>
      </c>
      <c r="G354" s="27" t="s">
        <v>5015</v>
      </c>
      <c r="H354" s="27" t="s">
        <v>203</v>
      </c>
      <c r="I354" s="111" t="s">
        <v>203</v>
      </c>
      <c r="J354" s="28" t="s">
        <v>423</v>
      </c>
      <c r="K354" s="28" t="s">
        <v>113</v>
      </c>
      <c r="L354" s="28" t="s">
        <v>1889</v>
      </c>
      <c r="M354" s="111"/>
      <c r="N354" s="227"/>
      <c r="O354" s="28" t="s">
        <v>8381</v>
      </c>
    </row>
    <row r="355" spans="1:15" ht="12.75" customHeight="1">
      <c r="A355" s="701" t="s">
        <v>8177</v>
      </c>
      <c r="B355" s="699" t="s">
        <v>8382</v>
      </c>
      <c r="C355" s="27" t="s">
        <v>8383</v>
      </c>
      <c r="D355" s="28" t="s">
        <v>8384</v>
      </c>
      <c r="E355" s="28" t="s">
        <v>180</v>
      </c>
      <c r="F355" s="28" t="s">
        <v>7315</v>
      </c>
      <c r="G355" s="27" t="s">
        <v>8383</v>
      </c>
      <c r="H355" s="27" t="s">
        <v>203</v>
      </c>
      <c r="I355" s="111" t="s">
        <v>203</v>
      </c>
      <c r="J355" s="28" t="s">
        <v>423</v>
      </c>
      <c r="K355" s="28" t="s">
        <v>113</v>
      </c>
      <c r="L355" s="28" t="s">
        <v>1889</v>
      </c>
      <c r="M355" s="111"/>
      <c r="N355" s="227"/>
      <c r="O355" s="28" t="s">
        <v>8385</v>
      </c>
    </row>
    <row r="356" spans="1:15" ht="12.75" customHeight="1">
      <c r="A356" s="701" t="s">
        <v>8177</v>
      </c>
      <c r="B356" s="699" t="s">
        <v>8386</v>
      </c>
      <c r="C356" s="27" t="s">
        <v>5028</v>
      </c>
      <c r="D356" s="28" t="s">
        <v>8387</v>
      </c>
      <c r="E356" s="28" t="s">
        <v>180</v>
      </c>
      <c r="F356" s="28" t="s">
        <v>7315</v>
      </c>
      <c r="G356" s="27" t="s">
        <v>5028</v>
      </c>
      <c r="H356" s="27" t="s">
        <v>203</v>
      </c>
      <c r="I356" s="111" t="s">
        <v>203</v>
      </c>
      <c r="J356" s="28" t="s">
        <v>423</v>
      </c>
      <c r="K356" s="28" t="s">
        <v>113</v>
      </c>
      <c r="L356" s="28" t="s">
        <v>1889</v>
      </c>
      <c r="M356" s="111"/>
      <c r="N356" s="227"/>
      <c r="O356" s="28" t="s">
        <v>8388</v>
      </c>
    </row>
    <row r="357" spans="1:15" ht="12.75" customHeight="1">
      <c r="A357" s="725" t="s">
        <v>8177</v>
      </c>
      <c r="B357" s="736"/>
      <c r="C357" s="726" t="s">
        <v>8391</v>
      </c>
      <c r="D357" s="726" t="s">
        <v>8392</v>
      </c>
      <c r="E357" s="727"/>
      <c r="F357" s="727"/>
      <c r="G357" s="727" t="s">
        <v>8187</v>
      </c>
      <c r="H357" s="736"/>
      <c r="I357" s="737"/>
      <c r="J357" s="736"/>
      <c r="K357" s="736"/>
      <c r="L357" s="736"/>
      <c r="M357" s="737"/>
      <c r="N357" s="738"/>
      <c r="O357" s="727" t="s">
        <v>8394</v>
      </c>
    </row>
    <row r="358" spans="1:15" ht="12.75" customHeight="1">
      <c r="A358" s="701" t="s">
        <v>8177</v>
      </c>
      <c r="B358" s="699" t="s">
        <v>8395</v>
      </c>
      <c r="C358" s="27" t="s">
        <v>8396</v>
      </c>
      <c r="D358" s="28" t="s">
        <v>8397</v>
      </c>
      <c r="E358" s="28" t="s">
        <v>180</v>
      </c>
      <c r="F358" s="28" t="s">
        <v>7315</v>
      </c>
      <c r="G358" s="27" t="s">
        <v>8396</v>
      </c>
      <c r="H358" s="27" t="s">
        <v>203</v>
      </c>
      <c r="I358" s="111" t="s">
        <v>203</v>
      </c>
      <c r="J358" s="28" t="s">
        <v>423</v>
      </c>
      <c r="K358" s="28" t="s">
        <v>113</v>
      </c>
      <c r="L358" s="28" t="s">
        <v>1889</v>
      </c>
      <c r="M358" s="28"/>
      <c r="N358" s="227"/>
      <c r="O358" s="28" t="s">
        <v>8398</v>
      </c>
    </row>
    <row r="359" spans="1:15" ht="12.75" customHeight="1">
      <c r="A359" s="701" t="s">
        <v>8177</v>
      </c>
      <c r="B359" s="699" t="s">
        <v>8399</v>
      </c>
      <c r="C359" s="27" t="s">
        <v>8400</v>
      </c>
      <c r="D359" s="28" t="s">
        <v>8401</v>
      </c>
      <c r="E359" s="28" t="s">
        <v>180</v>
      </c>
      <c r="F359" s="28" t="s">
        <v>7315</v>
      </c>
      <c r="G359" s="27" t="s">
        <v>8400</v>
      </c>
      <c r="H359" s="27" t="s">
        <v>203</v>
      </c>
      <c r="I359" s="111" t="s">
        <v>203</v>
      </c>
      <c r="J359" s="28" t="s">
        <v>423</v>
      </c>
      <c r="K359" s="28" t="s">
        <v>113</v>
      </c>
      <c r="L359" s="28" t="s">
        <v>1889</v>
      </c>
      <c r="M359" s="28"/>
      <c r="N359" s="227"/>
      <c r="O359" s="28" t="s">
        <v>8403</v>
      </c>
    </row>
    <row r="360" spans="1:15" ht="12.75" customHeight="1">
      <c r="A360" s="701" t="s">
        <v>8177</v>
      </c>
      <c r="B360" s="699" t="s">
        <v>8404</v>
      </c>
      <c r="C360" s="27" t="s">
        <v>5061</v>
      </c>
      <c r="D360" s="28" t="s">
        <v>8405</v>
      </c>
      <c r="E360" s="28" t="s">
        <v>180</v>
      </c>
      <c r="F360" s="28" t="s">
        <v>7315</v>
      </c>
      <c r="G360" s="27" t="s">
        <v>5061</v>
      </c>
      <c r="H360" s="27" t="s">
        <v>203</v>
      </c>
      <c r="I360" s="111" t="s">
        <v>203</v>
      </c>
      <c r="J360" s="28" t="s">
        <v>423</v>
      </c>
      <c r="K360" s="28" t="s">
        <v>113</v>
      </c>
      <c r="L360" s="28" t="s">
        <v>1889</v>
      </c>
      <c r="M360" s="28"/>
      <c r="N360" s="227"/>
      <c r="O360" s="28" t="s">
        <v>8406</v>
      </c>
    </row>
    <row r="361" spans="1:15" ht="12.75" customHeight="1">
      <c r="A361" s="701" t="s">
        <v>8177</v>
      </c>
      <c r="B361" s="699" t="s">
        <v>8407</v>
      </c>
      <c r="C361" s="27" t="s">
        <v>8408</v>
      </c>
      <c r="D361" s="28" t="s">
        <v>8409</v>
      </c>
      <c r="E361" s="28" t="s">
        <v>180</v>
      </c>
      <c r="F361" s="28" t="s">
        <v>7315</v>
      </c>
      <c r="G361" s="27" t="s">
        <v>8408</v>
      </c>
      <c r="H361" s="27" t="s">
        <v>203</v>
      </c>
      <c r="I361" s="111" t="s">
        <v>203</v>
      </c>
      <c r="J361" s="28" t="s">
        <v>423</v>
      </c>
      <c r="K361" s="28" t="s">
        <v>113</v>
      </c>
      <c r="L361" s="28" t="s">
        <v>1889</v>
      </c>
      <c r="M361" s="28"/>
      <c r="N361" s="227"/>
      <c r="O361" s="28" t="s">
        <v>8410</v>
      </c>
    </row>
    <row r="362" spans="1:15" ht="12.75" customHeight="1">
      <c r="A362" s="701" t="s">
        <v>8177</v>
      </c>
      <c r="B362" s="699" t="s">
        <v>8411</v>
      </c>
      <c r="C362" s="28" t="s">
        <v>8412</v>
      </c>
      <c r="D362" s="27" t="s">
        <v>8413</v>
      </c>
      <c r="E362" s="28" t="s">
        <v>180</v>
      </c>
      <c r="F362" s="28" t="s">
        <v>7315</v>
      </c>
      <c r="G362" s="28" t="s">
        <v>8412</v>
      </c>
      <c r="H362" s="27" t="s">
        <v>203</v>
      </c>
      <c r="I362" s="111" t="s">
        <v>203</v>
      </c>
      <c r="J362" s="28" t="s">
        <v>423</v>
      </c>
      <c r="K362" s="28" t="s">
        <v>113</v>
      </c>
      <c r="L362" s="28" t="s">
        <v>1889</v>
      </c>
      <c r="M362" s="28"/>
      <c r="N362" s="28"/>
      <c r="O362" s="28" t="s">
        <v>8414</v>
      </c>
    </row>
    <row r="363" spans="1:15" ht="12.75" customHeight="1">
      <c r="A363" s="725" t="s">
        <v>8177</v>
      </c>
      <c r="B363" s="732"/>
      <c r="C363" s="726" t="s">
        <v>8415</v>
      </c>
      <c r="D363" s="726" t="s">
        <v>8416</v>
      </c>
      <c r="E363" s="727"/>
      <c r="F363" s="727"/>
      <c r="G363" s="727" t="s">
        <v>8187</v>
      </c>
      <c r="H363" s="727"/>
      <c r="I363" s="730"/>
      <c r="J363" s="735"/>
      <c r="K363" s="727"/>
      <c r="L363" s="727"/>
      <c r="M363" s="730"/>
      <c r="N363" s="735"/>
      <c r="O363" s="735"/>
    </row>
    <row r="364" spans="1:15" ht="12.75" customHeight="1">
      <c r="A364" s="701" t="s">
        <v>8177</v>
      </c>
      <c r="B364" s="699" t="s">
        <v>8417</v>
      </c>
      <c r="C364" s="27" t="s">
        <v>5086</v>
      </c>
      <c r="D364" s="28" t="s">
        <v>8418</v>
      </c>
      <c r="E364" s="28" t="s">
        <v>180</v>
      </c>
      <c r="F364" s="28" t="s">
        <v>7315</v>
      </c>
      <c r="G364" s="27" t="s">
        <v>5086</v>
      </c>
      <c r="H364" s="27" t="s">
        <v>203</v>
      </c>
      <c r="I364" s="111" t="s">
        <v>203</v>
      </c>
      <c r="J364" s="28" t="s">
        <v>423</v>
      </c>
      <c r="K364" s="28" t="s">
        <v>113</v>
      </c>
      <c r="L364" s="28" t="s">
        <v>1889</v>
      </c>
      <c r="M364" s="111"/>
      <c r="N364" s="227"/>
      <c r="O364" s="227"/>
    </row>
    <row r="365" spans="1:15" ht="12.75" customHeight="1">
      <c r="A365" s="701" t="s">
        <v>8177</v>
      </c>
      <c r="B365" s="699" t="s">
        <v>8420</v>
      </c>
      <c r="C365" s="27" t="s">
        <v>5092</v>
      </c>
      <c r="D365" s="28" t="s">
        <v>8421</v>
      </c>
      <c r="E365" s="28" t="s">
        <v>180</v>
      </c>
      <c r="F365" s="28" t="s">
        <v>7315</v>
      </c>
      <c r="G365" s="27" t="s">
        <v>5092</v>
      </c>
      <c r="H365" s="27" t="s">
        <v>203</v>
      </c>
      <c r="I365" s="111" t="s">
        <v>203</v>
      </c>
      <c r="J365" s="28" t="s">
        <v>423</v>
      </c>
      <c r="K365" s="28" t="s">
        <v>113</v>
      </c>
      <c r="L365" s="28" t="s">
        <v>1889</v>
      </c>
      <c r="M365" s="111"/>
      <c r="N365" s="227"/>
      <c r="O365" s="28" t="s">
        <v>8422</v>
      </c>
    </row>
    <row r="366" spans="1:15" ht="12.75" customHeight="1">
      <c r="A366" s="701" t="s">
        <v>8177</v>
      </c>
      <c r="B366" s="699" t="s">
        <v>8423</v>
      </c>
      <c r="C366" s="27" t="s">
        <v>5095</v>
      </c>
      <c r="D366" s="28" t="s">
        <v>8424</v>
      </c>
      <c r="E366" s="28" t="s">
        <v>180</v>
      </c>
      <c r="F366" s="28" t="s">
        <v>7315</v>
      </c>
      <c r="G366" s="27" t="s">
        <v>5095</v>
      </c>
      <c r="H366" s="27" t="s">
        <v>203</v>
      </c>
      <c r="I366" s="111" t="s">
        <v>203</v>
      </c>
      <c r="J366" s="28" t="s">
        <v>423</v>
      </c>
      <c r="K366" s="28" t="s">
        <v>113</v>
      </c>
      <c r="L366" s="28" t="s">
        <v>1889</v>
      </c>
      <c r="M366" s="111"/>
      <c r="N366" s="227"/>
      <c r="O366" s="227"/>
    </row>
    <row r="367" spans="1:15" ht="12.75" customHeight="1">
      <c r="A367" s="701" t="s">
        <v>8177</v>
      </c>
      <c r="B367" s="699" t="s">
        <v>8425</v>
      </c>
      <c r="C367" s="27" t="s">
        <v>8426</v>
      </c>
      <c r="D367" s="28" t="s">
        <v>8427</v>
      </c>
      <c r="E367" s="28" t="s">
        <v>180</v>
      </c>
      <c r="F367" s="28" t="s">
        <v>7315</v>
      </c>
      <c r="G367" s="27" t="s">
        <v>8426</v>
      </c>
      <c r="H367" s="27" t="s">
        <v>203</v>
      </c>
      <c r="I367" s="111" t="s">
        <v>203</v>
      </c>
      <c r="J367" s="28" t="s">
        <v>423</v>
      </c>
      <c r="K367" s="28" t="s">
        <v>113</v>
      </c>
      <c r="L367" s="28" t="s">
        <v>1889</v>
      </c>
      <c r="M367" s="28"/>
      <c r="N367" s="227"/>
      <c r="O367" s="28" t="s">
        <v>8429</v>
      </c>
    </row>
    <row r="368" spans="1:15" ht="12.75" customHeight="1">
      <c r="A368" s="701" t="s">
        <v>8177</v>
      </c>
      <c r="B368" s="699" t="s">
        <v>8430</v>
      </c>
      <c r="C368" s="27" t="s">
        <v>8431</v>
      </c>
      <c r="D368" s="28" t="s">
        <v>8432</v>
      </c>
      <c r="E368" s="28" t="s">
        <v>180</v>
      </c>
      <c r="F368" s="28" t="s">
        <v>7315</v>
      </c>
      <c r="G368" s="27" t="s">
        <v>8431</v>
      </c>
      <c r="H368" s="27" t="s">
        <v>203</v>
      </c>
      <c r="I368" s="111" t="s">
        <v>203</v>
      </c>
      <c r="J368" s="28" t="s">
        <v>423</v>
      </c>
      <c r="K368" s="28" t="s">
        <v>113</v>
      </c>
      <c r="L368" s="28" t="s">
        <v>1889</v>
      </c>
      <c r="M368" s="111"/>
      <c r="N368" s="227"/>
      <c r="O368" s="28" t="s">
        <v>8433</v>
      </c>
    </row>
    <row r="369" spans="1:15" ht="12.75" customHeight="1">
      <c r="A369" s="701" t="s">
        <v>8177</v>
      </c>
      <c r="B369" s="699" t="s">
        <v>8434</v>
      </c>
      <c r="C369" s="27" t="s">
        <v>5121</v>
      </c>
      <c r="D369" s="28" t="s">
        <v>8435</v>
      </c>
      <c r="E369" s="28" t="s">
        <v>180</v>
      </c>
      <c r="F369" s="28" t="s">
        <v>7315</v>
      </c>
      <c r="G369" s="27" t="s">
        <v>5121</v>
      </c>
      <c r="H369" s="27" t="s">
        <v>203</v>
      </c>
      <c r="I369" s="111" t="s">
        <v>203</v>
      </c>
      <c r="J369" s="28" t="s">
        <v>423</v>
      </c>
      <c r="K369" s="28" t="s">
        <v>113</v>
      </c>
      <c r="L369" s="28" t="s">
        <v>1889</v>
      </c>
      <c r="M369" s="28"/>
      <c r="N369" s="28"/>
      <c r="O369" s="28" t="s">
        <v>8436</v>
      </c>
    </row>
    <row r="370" spans="1:15" ht="12.75" customHeight="1">
      <c r="A370" s="701" t="s">
        <v>8177</v>
      </c>
      <c r="B370" s="699" t="s">
        <v>8439</v>
      </c>
      <c r="C370" s="27" t="s">
        <v>5126</v>
      </c>
      <c r="D370" s="28" t="s">
        <v>8440</v>
      </c>
      <c r="E370" s="28" t="s">
        <v>180</v>
      </c>
      <c r="F370" s="28" t="s">
        <v>7315</v>
      </c>
      <c r="G370" s="27" t="s">
        <v>5126</v>
      </c>
      <c r="H370" s="27" t="s">
        <v>203</v>
      </c>
      <c r="I370" s="111" t="s">
        <v>203</v>
      </c>
      <c r="J370" s="28" t="s">
        <v>423</v>
      </c>
      <c r="K370" s="28" t="s">
        <v>113</v>
      </c>
      <c r="L370" s="28" t="s">
        <v>1889</v>
      </c>
      <c r="M370" s="28"/>
      <c r="N370" s="28"/>
      <c r="O370" s="227"/>
    </row>
    <row r="371" spans="1:15" ht="12.75" customHeight="1">
      <c r="A371" s="725" t="s">
        <v>8177</v>
      </c>
      <c r="B371" s="732"/>
      <c r="C371" s="726" t="s">
        <v>8441</v>
      </c>
      <c r="D371" s="726" t="s">
        <v>8442</v>
      </c>
      <c r="E371" s="727"/>
      <c r="F371" s="727"/>
      <c r="G371" s="727" t="s">
        <v>8187</v>
      </c>
      <c r="H371" s="727"/>
      <c r="I371" s="730"/>
      <c r="J371" s="735"/>
      <c r="K371" s="727"/>
      <c r="L371" s="727"/>
      <c r="M371" s="727"/>
      <c r="N371" s="727"/>
      <c r="O371" s="735"/>
    </row>
    <row r="372" spans="1:15" ht="12.75" customHeight="1">
      <c r="A372" s="701" t="s">
        <v>8177</v>
      </c>
      <c r="B372" s="699" t="s">
        <v>8443</v>
      </c>
      <c r="C372" s="27" t="s">
        <v>8444</v>
      </c>
      <c r="D372" s="27" t="s">
        <v>8445</v>
      </c>
      <c r="E372" s="28" t="s">
        <v>180</v>
      </c>
      <c r="F372" s="28" t="s">
        <v>7315</v>
      </c>
      <c r="G372" s="27" t="s">
        <v>8444</v>
      </c>
      <c r="H372" s="27" t="s">
        <v>203</v>
      </c>
      <c r="I372" s="111" t="s">
        <v>203</v>
      </c>
      <c r="J372" s="28" t="s">
        <v>423</v>
      </c>
      <c r="K372" s="28" t="s">
        <v>113</v>
      </c>
      <c r="L372" s="28" t="s">
        <v>1889</v>
      </c>
      <c r="M372" s="28"/>
      <c r="N372" s="28"/>
      <c r="O372" s="28" t="s">
        <v>8447</v>
      </c>
    </row>
    <row r="373" spans="1:15" ht="12.75" customHeight="1">
      <c r="A373" s="701" t="s">
        <v>8177</v>
      </c>
      <c r="B373" s="699" t="s">
        <v>8448</v>
      </c>
      <c r="C373" s="27" t="s">
        <v>8449</v>
      </c>
      <c r="D373" s="27" t="s">
        <v>8450</v>
      </c>
      <c r="E373" s="28" t="s">
        <v>180</v>
      </c>
      <c r="F373" s="28" t="s">
        <v>7315</v>
      </c>
      <c r="G373" s="27" t="s">
        <v>8449</v>
      </c>
      <c r="H373" s="27" t="s">
        <v>203</v>
      </c>
      <c r="I373" s="111" t="s">
        <v>203</v>
      </c>
      <c r="J373" s="28" t="s">
        <v>423</v>
      </c>
      <c r="K373" s="28" t="s">
        <v>113</v>
      </c>
      <c r="L373" s="28" t="s">
        <v>1889</v>
      </c>
      <c r="M373" s="28"/>
      <c r="N373" s="28"/>
      <c r="O373" s="28" t="s">
        <v>8452</v>
      </c>
    </row>
    <row r="374" spans="1:15" ht="12.75" customHeight="1">
      <c r="A374" s="725" t="s">
        <v>8177</v>
      </c>
      <c r="B374" s="732"/>
      <c r="C374" s="726" t="s">
        <v>8454</v>
      </c>
      <c r="D374" s="726" t="s">
        <v>8186</v>
      </c>
      <c r="E374" s="727"/>
      <c r="F374" s="727"/>
      <c r="G374" s="727" t="s">
        <v>8187</v>
      </c>
      <c r="H374" s="732"/>
      <c r="I374" s="730"/>
      <c r="J374" s="735"/>
      <c r="K374" s="727"/>
      <c r="L374" s="727"/>
      <c r="M374" s="727"/>
      <c r="N374" s="727"/>
      <c r="O374" s="735"/>
    </row>
    <row r="375" spans="1:15" ht="12.75" customHeight="1">
      <c r="A375" s="701" t="s">
        <v>8177</v>
      </c>
      <c r="B375" s="699" t="s">
        <v>8455</v>
      </c>
      <c r="C375" s="27" t="s">
        <v>8456</v>
      </c>
      <c r="D375" s="27" t="s">
        <v>8458</v>
      </c>
      <c r="E375" s="28" t="s">
        <v>180</v>
      </c>
      <c r="F375" s="28" t="s">
        <v>7315</v>
      </c>
      <c r="G375" s="27" t="s">
        <v>8456</v>
      </c>
      <c r="H375" s="28" t="s">
        <v>203</v>
      </c>
      <c r="I375" s="111" t="s">
        <v>203</v>
      </c>
      <c r="J375" s="28" t="s">
        <v>423</v>
      </c>
      <c r="K375" s="28" t="s">
        <v>113</v>
      </c>
      <c r="L375" s="28" t="s">
        <v>1889</v>
      </c>
      <c r="M375" s="28"/>
      <c r="N375" s="28"/>
      <c r="O375" s="729"/>
    </row>
    <row r="376" spans="1:15" ht="12.75" customHeight="1">
      <c r="A376" s="701" t="s">
        <v>8177</v>
      </c>
      <c r="B376" s="699" t="s">
        <v>8459</v>
      </c>
      <c r="C376" s="28" t="s">
        <v>8460</v>
      </c>
      <c r="D376" s="28" t="s">
        <v>8461</v>
      </c>
      <c r="E376" s="28" t="s">
        <v>180</v>
      </c>
      <c r="F376" s="28" t="s">
        <v>7315</v>
      </c>
      <c r="G376" s="28" t="s">
        <v>8460</v>
      </c>
      <c r="H376" s="28" t="s">
        <v>203</v>
      </c>
      <c r="I376" s="111" t="s">
        <v>203</v>
      </c>
      <c r="J376" s="28" t="s">
        <v>423</v>
      </c>
      <c r="K376" s="28" t="s">
        <v>113</v>
      </c>
      <c r="L376" s="28" t="s">
        <v>1889</v>
      </c>
      <c r="M376" s="111"/>
      <c r="N376" s="111"/>
      <c r="O376" s="111"/>
    </row>
    <row r="377" spans="1:15" ht="12.75" customHeight="1">
      <c r="A377" s="725" t="s">
        <v>8177</v>
      </c>
      <c r="B377" s="731"/>
      <c r="C377" s="726" t="s">
        <v>8462</v>
      </c>
      <c r="D377" s="726" t="s">
        <v>8463</v>
      </c>
      <c r="E377" s="730"/>
      <c r="F377" s="730"/>
      <c r="G377" s="727" t="s">
        <v>8187</v>
      </c>
      <c r="H377" s="730"/>
      <c r="I377" s="730"/>
      <c r="J377" s="730"/>
      <c r="K377" s="730"/>
      <c r="L377" s="730"/>
      <c r="M377" s="730"/>
      <c r="N377" s="730"/>
      <c r="O377" s="727" t="s">
        <v>8465</v>
      </c>
    </row>
    <row r="378" spans="1:15" ht="12.75" customHeight="1">
      <c r="A378" s="701" t="s">
        <v>8177</v>
      </c>
      <c r="B378" s="699" t="s">
        <v>8466</v>
      </c>
      <c r="C378" s="28" t="s">
        <v>8467</v>
      </c>
      <c r="D378" s="111" t="s">
        <v>8468</v>
      </c>
      <c r="E378" s="28" t="s">
        <v>180</v>
      </c>
      <c r="F378" s="28" t="s">
        <v>7315</v>
      </c>
      <c r="G378" s="28" t="s">
        <v>8467</v>
      </c>
      <c r="H378" s="111" t="s">
        <v>203</v>
      </c>
      <c r="I378" s="111" t="s">
        <v>203</v>
      </c>
      <c r="J378" s="28" t="s">
        <v>423</v>
      </c>
      <c r="K378" s="28" t="s">
        <v>113</v>
      </c>
      <c r="L378" s="28" t="s">
        <v>1889</v>
      </c>
      <c r="M378" s="111"/>
      <c r="N378" s="111"/>
      <c r="O378" s="28" t="s">
        <v>8469</v>
      </c>
    </row>
    <row r="379" spans="1:15" ht="12.75" customHeight="1">
      <c r="A379" s="701" t="s">
        <v>8177</v>
      </c>
      <c r="B379" s="699" t="s">
        <v>8470</v>
      </c>
      <c r="C379" s="28" t="s">
        <v>8471</v>
      </c>
      <c r="D379" s="111" t="s">
        <v>8472</v>
      </c>
      <c r="E379" s="28" t="s">
        <v>180</v>
      </c>
      <c r="F379" s="28" t="s">
        <v>7315</v>
      </c>
      <c r="G379" s="28" t="s">
        <v>8471</v>
      </c>
      <c r="H379" s="111" t="s">
        <v>203</v>
      </c>
      <c r="I379" s="111" t="s">
        <v>203</v>
      </c>
      <c r="J379" s="28" t="s">
        <v>423</v>
      </c>
      <c r="K379" s="28" t="s">
        <v>113</v>
      </c>
      <c r="L379" s="28" t="s">
        <v>1889</v>
      </c>
      <c r="M379" s="111"/>
      <c r="N379" s="111"/>
      <c r="O379" s="28" t="s">
        <v>8473</v>
      </c>
    </row>
    <row r="380" spans="1:15" ht="12.75" customHeight="1">
      <c r="A380" s="701" t="s">
        <v>8177</v>
      </c>
      <c r="B380" s="699" t="s">
        <v>8474</v>
      </c>
      <c r="C380" s="27" t="s">
        <v>8475</v>
      </c>
      <c r="D380" s="28" t="s">
        <v>8476</v>
      </c>
      <c r="E380" s="28" t="s">
        <v>180</v>
      </c>
      <c r="F380" s="28" t="s">
        <v>7315</v>
      </c>
      <c r="G380" s="27" t="s">
        <v>8475</v>
      </c>
      <c r="H380" s="111" t="s">
        <v>203</v>
      </c>
      <c r="I380" s="111" t="s">
        <v>203</v>
      </c>
      <c r="J380" s="28" t="s">
        <v>423</v>
      </c>
      <c r="K380" s="28" t="s">
        <v>113</v>
      </c>
      <c r="L380" s="28" t="s">
        <v>1889</v>
      </c>
      <c r="M380" s="28"/>
      <c r="N380" s="28"/>
      <c r="O380" s="28" t="s">
        <v>8477</v>
      </c>
    </row>
    <row r="381" spans="1:15" ht="12.75" customHeight="1">
      <c r="A381" s="725" t="s">
        <v>8177</v>
      </c>
      <c r="B381" s="732"/>
      <c r="C381" s="726" t="s">
        <v>8478</v>
      </c>
      <c r="D381" s="726" t="s">
        <v>8186</v>
      </c>
      <c r="E381" s="727"/>
      <c r="F381" s="727"/>
      <c r="G381" s="727" t="s">
        <v>8187</v>
      </c>
      <c r="H381" s="727"/>
      <c r="I381" s="730"/>
      <c r="J381" s="735"/>
      <c r="K381" s="727"/>
      <c r="L381" s="727"/>
      <c r="M381" s="730"/>
      <c r="N381" s="735"/>
      <c r="O381" s="735"/>
    </row>
    <row r="382" spans="1:15" ht="12.75" customHeight="1">
      <c r="A382" s="701" t="s">
        <v>8177</v>
      </c>
      <c r="B382" s="699" t="s">
        <v>8479</v>
      </c>
      <c r="C382" s="28" t="s">
        <v>5221</v>
      </c>
      <c r="D382" s="28" t="s">
        <v>8480</v>
      </c>
      <c r="E382" s="28" t="s">
        <v>180</v>
      </c>
      <c r="F382" s="28" t="s">
        <v>7315</v>
      </c>
      <c r="G382" s="28" t="s">
        <v>5221</v>
      </c>
      <c r="H382" s="28" t="s">
        <v>203</v>
      </c>
      <c r="I382" s="111" t="s">
        <v>203</v>
      </c>
      <c r="J382" s="28" t="s">
        <v>423</v>
      </c>
      <c r="K382" s="28" t="s">
        <v>113</v>
      </c>
      <c r="L382" s="28" t="s">
        <v>1889</v>
      </c>
      <c r="M382" s="111"/>
      <c r="N382" s="227"/>
      <c r="O382" s="28" t="s">
        <v>8481</v>
      </c>
    </row>
    <row r="383" spans="1:15" ht="12.75" customHeight="1">
      <c r="A383" s="701" t="s">
        <v>8177</v>
      </c>
      <c r="B383" s="699" t="s">
        <v>8483</v>
      </c>
      <c r="C383" s="28" t="s">
        <v>5212</v>
      </c>
      <c r="D383" s="28" t="s">
        <v>8484</v>
      </c>
      <c r="E383" s="28" t="s">
        <v>180</v>
      </c>
      <c r="F383" s="28" t="s">
        <v>7315</v>
      </c>
      <c r="G383" s="28" t="s">
        <v>5212</v>
      </c>
      <c r="H383" s="28" t="s">
        <v>203</v>
      </c>
      <c r="I383" s="111" t="s">
        <v>203</v>
      </c>
      <c r="J383" s="28" t="s">
        <v>423</v>
      </c>
      <c r="K383" s="28" t="s">
        <v>113</v>
      </c>
      <c r="L383" s="28" t="s">
        <v>1889</v>
      </c>
      <c r="M383" s="111"/>
      <c r="N383" s="28"/>
      <c r="O383" s="28" t="s">
        <v>8486</v>
      </c>
    </row>
    <row r="384" spans="1:15" ht="12.75" customHeight="1">
      <c r="A384" s="701" t="s">
        <v>8177</v>
      </c>
      <c r="B384" s="699" t="s">
        <v>8487</v>
      </c>
      <c r="C384" s="28" t="s">
        <v>5201</v>
      </c>
      <c r="D384" s="28" t="s">
        <v>8489</v>
      </c>
      <c r="E384" s="28" t="s">
        <v>180</v>
      </c>
      <c r="F384" s="28" t="s">
        <v>7315</v>
      </c>
      <c r="G384" s="28" t="s">
        <v>5201</v>
      </c>
      <c r="H384" s="28" t="s">
        <v>203</v>
      </c>
      <c r="I384" s="111" t="s">
        <v>203</v>
      </c>
      <c r="J384" s="28" t="s">
        <v>423</v>
      </c>
      <c r="K384" s="28" t="s">
        <v>113</v>
      </c>
      <c r="L384" s="28" t="s">
        <v>1889</v>
      </c>
      <c r="M384" s="111"/>
      <c r="N384" s="28"/>
      <c r="O384" s="28" t="s">
        <v>8490</v>
      </c>
    </row>
    <row r="385" spans="1:15" ht="12.75" customHeight="1">
      <c r="A385" s="701" t="s">
        <v>8177</v>
      </c>
      <c r="B385" s="699" t="s">
        <v>8491</v>
      </c>
      <c r="C385" s="28" t="s">
        <v>8492</v>
      </c>
      <c r="D385" s="28" t="s">
        <v>8493</v>
      </c>
      <c r="E385" s="28" t="s">
        <v>180</v>
      </c>
      <c r="F385" s="28" t="s">
        <v>7315</v>
      </c>
      <c r="G385" s="28" t="s">
        <v>8492</v>
      </c>
      <c r="H385" s="28" t="s">
        <v>203</v>
      </c>
      <c r="I385" s="111" t="s">
        <v>203</v>
      </c>
      <c r="J385" s="28" t="s">
        <v>423</v>
      </c>
      <c r="K385" s="28" t="s">
        <v>113</v>
      </c>
      <c r="L385" s="28" t="s">
        <v>1889</v>
      </c>
      <c r="M385" s="111"/>
      <c r="N385" s="227"/>
      <c r="O385" s="227"/>
    </row>
    <row r="386" spans="1:15" ht="12.75" customHeight="1">
      <c r="A386" s="701" t="s">
        <v>8177</v>
      </c>
      <c r="B386" s="699" t="s">
        <v>8495</v>
      </c>
      <c r="C386" s="27" t="s">
        <v>8496</v>
      </c>
      <c r="D386" s="28" t="s">
        <v>8497</v>
      </c>
      <c r="E386" s="28" t="s">
        <v>180</v>
      </c>
      <c r="F386" s="28" t="s">
        <v>7315</v>
      </c>
      <c r="G386" s="27" t="s">
        <v>8496</v>
      </c>
      <c r="H386" s="28" t="s">
        <v>203</v>
      </c>
      <c r="I386" s="111" t="s">
        <v>203</v>
      </c>
      <c r="J386" s="28" t="s">
        <v>5233</v>
      </c>
      <c r="K386" s="28" t="s">
        <v>113</v>
      </c>
      <c r="L386" s="28" t="s">
        <v>1889</v>
      </c>
      <c r="M386" s="28"/>
      <c r="N386" s="227"/>
      <c r="O386" s="28" t="s">
        <v>8498</v>
      </c>
    </row>
    <row r="387" spans="1:15" ht="12.75" customHeight="1">
      <c r="A387" s="701" t="s">
        <v>8177</v>
      </c>
      <c r="B387" s="699" t="s">
        <v>8499</v>
      </c>
      <c r="C387" s="27" t="s">
        <v>5244</v>
      </c>
      <c r="D387" s="28" t="s">
        <v>5245</v>
      </c>
      <c r="E387" s="28" t="s">
        <v>180</v>
      </c>
      <c r="F387" s="28" t="s">
        <v>7315</v>
      </c>
      <c r="G387" s="27" t="s">
        <v>5244</v>
      </c>
      <c r="H387" s="28" t="s">
        <v>203</v>
      </c>
      <c r="I387" s="111" t="s">
        <v>203</v>
      </c>
      <c r="J387" s="28" t="s">
        <v>423</v>
      </c>
      <c r="K387" s="28" t="s">
        <v>113</v>
      </c>
      <c r="L387" s="28" t="s">
        <v>1889</v>
      </c>
      <c r="M387" s="28"/>
      <c r="N387" s="227"/>
      <c r="O387" s="28" t="s">
        <v>4489</v>
      </c>
    </row>
    <row r="388" spans="1:15" ht="12.75" customHeight="1">
      <c r="A388" s="725" t="s">
        <v>8177</v>
      </c>
      <c r="B388" s="732"/>
      <c r="C388" s="726" t="s">
        <v>8501</v>
      </c>
      <c r="D388" s="726" t="s">
        <v>8502</v>
      </c>
      <c r="E388" s="727"/>
      <c r="F388" s="727"/>
      <c r="G388" s="727" t="s">
        <v>8187</v>
      </c>
      <c r="H388" s="727"/>
      <c r="I388" s="730"/>
      <c r="J388" s="735"/>
      <c r="K388" s="727"/>
      <c r="L388" s="727"/>
      <c r="M388" s="730"/>
      <c r="N388" s="735"/>
      <c r="O388" s="735"/>
    </row>
    <row r="389" spans="1:15" ht="12.75" customHeight="1">
      <c r="A389" s="701" t="s">
        <v>8177</v>
      </c>
      <c r="B389" s="699" t="s">
        <v>8504</v>
      </c>
      <c r="C389" s="27" t="s">
        <v>5267</v>
      </c>
      <c r="D389" s="28" t="s">
        <v>8506</v>
      </c>
      <c r="E389" s="28" t="s">
        <v>180</v>
      </c>
      <c r="F389" s="28" t="s">
        <v>7315</v>
      </c>
      <c r="G389" s="27" t="s">
        <v>5267</v>
      </c>
      <c r="H389" s="28" t="s">
        <v>203</v>
      </c>
      <c r="I389" s="111" t="s">
        <v>203</v>
      </c>
      <c r="J389" s="28" t="s">
        <v>423</v>
      </c>
      <c r="K389" s="28" t="s">
        <v>113</v>
      </c>
      <c r="L389" s="28" t="s">
        <v>1889</v>
      </c>
      <c r="M389" s="111"/>
      <c r="N389" s="227"/>
      <c r="O389" s="227"/>
    </row>
    <row r="390" spans="1:15" ht="12.75" customHeight="1">
      <c r="A390" s="701" t="s">
        <v>8177</v>
      </c>
      <c r="B390" s="699" t="s">
        <v>8507</v>
      </c>
      <c r="C390" s="28" t="s">
        <v>8508</v>
      </c>
      <c r="D390" s="28" t="s">
        <v>8509</v>
      </c>
      <c r="E390" s="28" t="s">
        <v>180</v>
      </c>
      <c r="F390" s="28" t="s">
        <v>7315</v>
      </c>
      <c r="G390" s="28" t="s">
        <v>8508</v>
      </c>
      <c r="H390" s="28" t="s">
        <v>203</v>
      </c>
      <c r="I390" s="111" t="s">
        <v>203</v>
      </c>
      <c r="J390" s="28" t="s">
        <v>423</v>
      </c>
      <c r="K390" s="28" t="s">
        <v>113</v>
      </c>
      <c r="L390" s="28" t="s">
        <v>1889</v>
      </c>
      <c r="M390" s="28"/>
      <c r="N390" s="28"/>
      <c r="O390" s="28"/>
    </row>
    <row r="391" spans="1:15" ht="12.75" customHeight="1">
      <c r="A391" s="701" t="s">
        <v>8177</v>
      </c>
      <c r="B391" s="699" t="s">
        <v>8510</v>
      </c>
      <c r="C391" s="28" t="s">
        <v>8511</v>
      </c>
      <c r="D391" s="28" t="s">
        <v>8512</v>
      </c>
      <c r="E391" s="28" t="s">
        <v>180</v>
      </c>
      <c r="F391" s="28" t="s">
        <v>7315</v>
      </c>
      <c r="G391" s="28" t="s">
        <v>8511</v>
      </c>
      <c r="H391" s="28" t="s">
        <v>203</v>
      </c>
      <c r="I391" s="111" t="s">
        <v>203</v>
      </c>
      <c r="J391" s="28" t="s">
        <v>423</v>
      </c>
      <c r="K391" s="28" t="s">
        <v>113</v>
      </c>
      <c r="L391" s="28" t="s">
        <v>1889</v>
      </c>
      <c r="M391" s="28"/>
      <c r="N391" s="28"/>
      <c r="O391" s="28"/>
    </row>
    <row r="392" spans="1:15" ht="12.75" customHeight="1">
      <c r="A392" s="701" t="s">
        <v>8177</v>
      </c>
      <c r="B392" s="699" t="s">
        <v>8515</v>
      </c>
      <c r="C392" s="28" t="s">
        <v>8516</v>
      </c>
      <c r="D392" s="28" t="s">
        <v>8517</v>
      </c>
      <c r="E392" s="28" t="s">
        <v>180</v>
      </c>
      <c r="F392" s="28" t="s">
        <v>7315</v>
      </c>
      <c r="G392" s="28" t="s">
        <v>8516</v>
      </c>
      <c r="H392" s="28" t="s">
        <v>203</v>
      </c>
      <c r="I392" s="111" t="s">
        <v>203</v>
      </c>
      <c r="J392" s="28" t="s">
        <v>423</v>
      </c>
      <c r="K392" s="28" t="s">
        <v>113</v>
      </c>
      <c r="L392" s="28" t="s">
        <v>1889</v>
      </c>
      <c r="M392" s="28"/>
      <c r="N392" s="28"/>
      <c r="O392" s="28" t="s">
        <v>4489</v>
      </c>
    </row>
    <row r="393" spans="1:15" ht="12.75" customHeight="1">
      <c r="A393" s="701" t="s">
        <v>8177</v>
      </c>
      <c r="B393" s="699" t="s">
        <v>8518</v>
      </c>
      <c r="C393" s="28" t="s">
        <v>8519</v>
      </c>
      <c r="D393" s="28" t="s">
        <v>8520</v>
      </c>
      <c r="E393" s="28" t="s">
        <v>180</v>
      </c>
      <c r="F393" s="28" t="s">
        <v>7315</v>
      </c>
      <c r="G393" s="28" t="s">
        <v>8519</v>
      </c>
      <c r="H393" s="28" t="s">
        <v>203</v>
      </c>
      <c r="I393" s="111" t="s">
        <v>203</v>
      </c>
      <c r="J393" s="28" t="s">
        <v>423</v>
      </c>
      <c r="K393" s="28" t="s">
        <v>113</v>
      </c>
      <c r="L393" s="28" t="s">
        <v>1889</v>
      </c>
      <c r="M393" s="28"/>
      <c r="N393" s="28"/>
      <c r="O393" s="28" t="s">
        <v>4489</v>
      </c>
    </row>
    <row r="394" spans="1:15" ht="12.75" customHeight="1">
      <c r="A394" s="725" t="s">
        <v>8177</v>
      </c>
      <c r="B394" s="732"/>
      <c r="C394" s="726" t="s">
        <v>8521</v>
      </c>
      <c r="D394" s="726" t="s">
        <v>8522</v>
      </c>
      <c r="E394" s="727"/>
      <c r="F394" s="727"/>
      <c r="G394" s="727" t="s">
        <v>8187</v>
      </c>
      <c r="H394" s="727"/>
      <c r="I394" s="730"/>
      <c r="J394" s="735"/>
      <c r="K394" s="727"/>
      <c r="L394" s="727"/>
      <c r="M394" s="730"/>
      <c r="N394" s="735"/>
      <c r="O394" s="727" t="s">
        <v>8523</v>
      </c>
    </row>
    <row r="395" spans="1:15" ht="12.75" customHeight="1">
      <c r="A395" s="701" t="s">
        <v>8177</v>
      </c>
      <c r="B395" s="699" t="s">
        <v>8524</v>
      </c>
      <c r="C395" s="27" t="s">
        <v>4930</v>
      </c>
      <c r="D395" s="28" t="s">
        <v>8525</v>
      </c>
      <c r="E395" s="28" t="s">
        <v>180</v>
      </c>
      <c r="F395" s="28" t="s">
        <v>7315</v>
      </c>
      <c r="G395" s="27" t="s">
        <v>4930</v>
      </c>
      <c r="H395" s="27" t="s">
        <v>203</v>
      </c>
      <c r="I395" s="111" t="s">
        <v>203</v>
      </c>
      <c r="J395" s="28" t="s">
        <v>423</v>
      </c>
      <c r="K395" s="28" t="s">
        <v>113</v>
      </c>
      <c r="L395" s="28" t="s">
        <v>1889</v>
      </c>
      <c r="M395" s="111"/>
      <c r="N395" s="227"/>
      <c r="O395" s="227"/>
    </row>
    <row r="396" spans="1:15" ht="12.75" customHeight="1">
      <c r="A396" s="701" t="s">
        <v>8177</v>
      </c>
      <c r="B396" s="699" t="s">
        <v>8527</v>
      </c>
      <c r="C396" s="27" t="s">
        <v>5294</v>
      </c>
      <c r="D396" s="28" t="s">
        <v>8528</v>
      </c>
      <c r="E396" s="28" t="s">
        <v>180</v>
      </c>
      <c r="F396" s="28" t="s">
        <v>7315</v>
      </c>
      <c r="G396" s="27" t="s">
        <v>5294</v>
      </c>
      <c r="H396" s="27" t="s">
        <v>203</v>
      </c>
      <c r="I396" s="111" t="s">
        <v>203</v>
      </c>
      <c r="J396" s="28" t="s">
        <v>423</v>
      </c>
      <c r="K396" s="28" t="s">
        <v>113</v>
      </c>
      <c r="L396" s="28" t="s">
        <v>1889</v>
      </c>
      <c r="M396" s="111"/>
      <c r="N396" s="227"/>
      <c r="O396" s="227"/>
    </row>
    <row r="397" spans="1:15" ht="12.75" customHeight="1">
      <c r="A397" s="725" t="s">
        <v>8177</v>
      </c>
      <c r="B397" s="732"/>
      <c r="C397" s="726" t="s">
        <v>8529</v>
      </c>
      <c r="D397" s="726" t="s">
        <v>8530</v>
      </c>
      <c r="E397" s="727"/>
      <c r="F397" s="727"/>
      <c r="G397" s="727" t="s">
        <v>8187</v>
      </c>
      <c r="H397" s="727"/>
      <c r="I397" s="730"/>
      <c r="J397" s="735"/>
      <c r="K397" s="727"/>
      <c r="L397" s="727"/>
      <c r="M397" s="730"/>
      <c r="N397" s="735"/>
      <c r="O397" s="727" t="s">
        <v>8531</v>
      </c>
    </row>
    <row r="398" spans="1:15" ht="12.75" customHeight="1">
      <c r="A398" s="701" t="s">
        <v>8177</v>
      </c>
      <c r="B398" s="699" t="s">
        <v>8532</v>
      </c>
      <c r="C398" s="27" t="s">
        <v>5305</v>
      </c>
      <c r="D398" s="28" t="s">
        <v>8533</v>
      </c>
      <c r="E398" s="28" t="s">
        <v>180</v>
      </c>
      <c r="F398" s="28" t="s">
        <v>7315</v>
      </c>
      <c r="G398" s="27" t="s">
        <v>5305</v>
      </c>
      <c r="H398" s="27" t="s">
        <v>203</v>
      </c>
      <c r="I398" s="111" t="s">
        <v>203</v>
      </c>
      <c r="J398" s="28" t="s">
        <v>423</v>
      </c>
      <c r="K398" s="28" t="s">
        <v>113</v>
      </c>
      <c r="L398" s="28" t="s">
        <v>1889</v>
      </c>
      <c r="M398" s="111"/>
      <c r="N398" s="227"/>
      <c r="O398" s="227"/>
    </row>
    <row r="399" spans="1:15" ht="12.75" customHeight="1">
      <c r="A399" s="701" t="s">
        <v>8177</v>
      </c>
      <c r="B399" s="699" t="s">
        <v>8534</v>
      </c>
      <c r="C399" s="27" t="s">
        <v>5311</v>
      </c>
      <c r="D399" s="28" t="s">
        <v>8535</v>
      </c>
      <c r="E399" s="28" t="s">
        <v>180</v>
      </c>
      <c r="F399" s="28" t="s">
        <v>7315</v>
      </c>
      <c r="G399" s="27" t="s">
        <v>5311</v>
      </c>
      <c r="H399" s="27" t="s">
        <v>203</v>
      </c>
      <c r="I399" s="111" t="s">
        <v>203</v>
      </c>
      <c r="J399" s="28" t="s">
        <v>423</v>
      </c>
      <c r="K399" s="28" t="s">
        <v>113</v>
      </c>
      <c r="L399" s="28" t="s">
        <v>1889</v>
      </c>
      <c r="M399" s="111"/>
      <c r="N399" s="227"/>
      <c r="O399" s="227"/>
    </row>
    <row r="400" spans="1:15" ht="12.75" customHeight="1">
      <c r="A400" s="701" t="s">
        <v>8177</v>
      </c>
      <c r="B400" s="699" t="s">
        <v>8536</v>
      </c>
      <c r="C400" s="27" t="s">
        <v>5315</v>
      </c>
      <c r="D400" s="28" t="s">
        <v>8537</v>
      </c>
      <c r="E400" s="28" t="s">
        <v>180</v>
      </c>
      <c r="F400" s="28" t="s">
        <v>7315</v>
      </c>
      <c r="G400" s="27" t="s">
        <v>5315</v>
      </c>
      <c r="H400" s="27" t="s">
        <v>203</v>
      </c>
      <c r="I400" s="111" t="s">
        <v>203</v>
      </c>
      <c r="J400" s="28" t="s">
        <v>423</v>
      </c>
      <c r="K400" s="28" t="s">
        <v>113</v>
      </c>
      <c r="L400" s="28" t="s">
        <v>1889</v>
      </c>
      <c r="M400" s="111"/>
      <c r="N400" s="227"/>
      <c r="O400" s="227"/>
    </row>
    <row r="401" spans="1:15" ht="12.75" customHeight="1">
      <c r="A401" s="725" t="s">
        <v>8177</v>
      </c>
      <c r="B401" s="732"/>
      <c r="C401" s="726" t="s">
        <v>5344</v>
      </c>
      <c r="D401" s="726" t="s">
        <v>8538</v>
      </c>
      <c r="E401" s="727"/>
      <c r="F401" s="727"/>
      <c r="G401" s="727" t="s">
        <v>8187</v>
      </c>
      <c r="H401" s="727"/>
      <c r="I401" s="730"/>
      <c r="J401" s="735"/>
      <c r="K401" s="727"/>
      <c r="L401" s="727"/>
      <c r="M401" s="727"/>
      <c r="N401" s="735"/>
      <c r="O401" s="727" t="s">
        <v>8539</v>
      </c>
    </row>
    <row r="402" spans="1:15" ht="12.75" customHeight="1">
      <c r="A402" s="701" t="s">
        <v>8177</v>
      </c>
      <c r="B402" s="699" t="s">
        <v>8540</v>
      </c>
      <c r="C402" s="27" t="s">
        <v>5350</v>
      </c>
      <c r="D402" s="28" t="s">
        <v>8541</v>
      </c>
      <c r="E402" s="28" t="s">
        <v>180</v>
      </c>
      <c r="F402" s="28" t="s">
        <v>7315</v>
      </c>
      <c r="G402" s="27" t="s">
        <v>5350</v>
      </c>
      <c r="H402" s="27" t="s">
        <v>203</v>
      </c>
      <c r="I402" s="111" t="s">
        <v>203</v>
      </c>
      <c r="J402" s="28" t="s">
        <v>423</v>
      </c>
      <c r="K402" s="28" t="s">
        <v>113</v>
      </c>
      <c r="L402" s="28" t="s">
        <v>1889</v>
      </c>
      <c r="M402" s="111"/>
      <c r="N402" s="227"/>
      <c r="O402" s="28" t="s">
        <v>8542</v>
      </c>
    </row>
    <row r="403" spans="1:15" ht="12.75" customHeight="1">
      <c r="A403" s="701" t="s">
        <v>8177</v>
      </c>
      <c r="B403" s="699" t="s">
        <v>8543</v>
      </c>
      <c r="C403" s="27" t="s">
        <v>5355</v>
      </c>
      <c r="D403" s="28" t="s">
        <v>8544</v>
      </c>
      <c r="E403" s="28" t="s">
        <v>180</v>
      </c>
      <c r="F403" s="28" t="s">
        <v>7315</v>
      </c>
      <c r="G403" s="27" t="s">
        <v>5355</v>
      </c>
      <c r="H403" s="27" t="s">
        <v>203</v>
      </c>
      <c r="I403" s="111" t="s">
        <v>203</v>
      </c>
      <c r="J403" s="28" t="s">
        <v>423</v>
      </c>
      <c r="K403" s="28" t="s">
        <v>113</v>
      </c>
      <c r="L403" s="28" t="s">
        <v>1889</v>
      </c>
      <c r="M403" s="111"/>
      <c r="N403" s="227"/>
      <c r="O403" s="28" t="s">
        <v>8545</v>
      </c>
    </row>
    <row r="404" spans="1:15" ht="12.75" customHeight="1">
      <c r="A404" s="701" t="s">
        <v>8177</v>
      </c>
      <c r="B404" s="699" t="s">
        <v>8546</v>
      </c>
      <c r="C404" s="28" t="s">
        <v>5362</v>
      </c>
      <c r="D404" s="28" t="s">
        <v>8547</v>
      </c>
      <c r="E404" s="28" t="s">
        <v>180</v>
      </c>
      <c r="F404" s="28" t="s">
        <v>7315</v>
      </c>
      <c r="G404" s="28" t="s">
        <v>5362</v>
      </c>
      <c r="H404" s="28" t="s">
        <v>203</v>
      </c>
      <c r="I404" s="111" t="s">
        <v>203</v>
      </c>
      <c r="J404" s="28" t="s">
        <v>423</v>
      </c>
      <c r="K404" s="28" t="s">
        <v>113</v>
      </c>
      <c r="L404" s="28" t="s">
        <v>1889</v>
      </c>
      <c r="M404" s="111"/>
      <c r="N404" s="227"/>
      <c r="O404" s="28" t="s">
        <v>8548</v>
      </c>
    </row>
    <row r="405" spans="1:15" ht="12.75" customHeight="1">
      <c r="A405" s="725" t="s">
        <v>8177</v>
      </c>
      <c r="B405" s="732"/>
      <c r="C405" s="726" t="s">
        <v>8549</v>
      </c>
      <c r="D405" s="726" t="s">
        <v>8550</v>
      </c>
      <c r="E405" s="727"/>
      <c r="F405" s="727"/>
      <c r="G405" s="727" t="s">
        <v>8187</v>
      </c>
      <c r="H405" s="727"/>
      <c r="I405" s="730"/>
      <c r="J405" s="735"/>
      <c r="K405" s="727"/>
      <c r="L405" s="727"/>
      <c r="M405" s="735"/>
      <c r="N405" s="735"/>
      <c r="O405" s="727" t="s">
        <v>8551</v>
      </c>
    </row>
    <row r="406" spans="1:15" ht="12.75" customHeight="1">
      <c r="A406" s="701" t="s">
        <v>8177</v>
      </c>
      <c r="B406" s="699" t="s">
        <v>8552</v>
      </c>
      <c r="C406" s="27" t="s">
        <v>8553</v>
      </c>
      <c r="D406" s="28" t="s">
        <v>8554</v>
      </c>
      <c r="E406" s="28" t="s">
        <v>180</v>
      </c>
      <c r="F406" s="28" t="s">
        <v>7315</v>
      </c>
      <c r="G406" s="27" t="s">
        <v>8553</v>
      </c>
      <c r="H406" s="27" t="s">
        <v>203</v>
      </c>
      <c r="I406" s="111" t="s">
        <v>203</v>
      </c>
      <c r="J406" s="28" t="s">
        <v>423</v>
      </c>
      <c r="K406" s="28" t="s">
        <v>113</v>
      </c>
      <c r="L406" s="28" t="s">
        <v>1889</v>
      </c>
      <c r="M406" s="111"/>
      <c r="N406" s="227"/>
      <c r="O406" s="28" t="s">
        <v>8555</v>
      </c>
    </row>
    <row r="407" spans="1:15" ht="12.75" customHeight="1">
      <c r="A407" s="701" t="s">
        <v>8177</v>
      </c>
      <c r="B407" s="699" t="s">
        <v>8556</v>
      </c>
      <c r="C407" s="27" t="s">
        <v>8557</v>
      </c>
      <c r="D407" s="28" t="s">
        <v>5421</v>
      </c>
      <c r="E407" s="28" t="s">
        <v>180</v>
      </c>
      <c r="F407" s="28" t="s">
        <v>7315</v>
      </c>
      <c r="G407" s="27" t="s">
        <v>8557</v>
      </c>
      <c r="H407" s="27" t="s">
        <v>203</v>
      </c>
      <c r="I407" s="111" t="s">
        <v>203</v>
      </c>
      <c r="J407" s="28" t="s">
        <v>423</v>
      </c>
      <c r="K407" s="28" t="s">
        <v>113</v>
      </c>
      <c r="L407" s="28" t="s">
        <v>1889</v>
      </c>
      <c r="M407" s="111"/>
      <c r="N407" s="227"/>
      <c r="O407" s="227"/>
    </row>
    <row r="408" spans="1:15" ht="12.75" customHeight="1">
      <c r="A408" s="701" t="s">
        <v>8177</v>
      </c>
      <c r="B408" s="699" t="s">
        <v>8558</v>
      </c>
      <c r="C408" s="28" t="s">
        <v>5431</v>
      </c>
      <c r="D408" s="28" t="s">
        <v>5430</v>
      </c>
      <c r="E408" s="28" t="s">
        <v>180</v>
      </c>
      <c r="F408" s="28" t="s">
        <v>7315</v>
      </c>
      <c r="G408" s="28" t="s">
        <v>5431</v>
      </c>
      <c r="H408" s="27" t="s">
        <v>203</v>
      </c>
      <c r="I408" s="111" t="s">
        <v>203</v>
      </c>
      <c r="J408" s="28" t="s">
        <v>423</v>
      </c>
      <c r="K408" s="28" t="s">
        <v>113</v>
      </c>
      <c r="L408" s="28" t="s">
        <v>1889</v>
      </c>
      <c r="M408" s="111"/>
      <c r="N408" s="227"/>
      <c r="O408" s="227"/>
    </row>
    <row r="409" spans="1:15" ht="12.75" customHeight="1">
      <c r="A409" s="701" t="s">
        <v>8177</v>
      </c>
      <c r="B409" s="699" t="s">
        <v>8560</v>
      </c>
      <c r="C409" s="28" t="s">
        <v>8561</v>
      </c>
      <c r="D409" s="27" t="s">
        <v>8562</v>
      </c>
      <c r="E409" s="28" t="s">
        <v>180</v>
      </c>
      <c r="F409" s="28" t="s">
        <v>7315</v>
      </c>
      <c r="G409" s="28" t="s">
        <v>8561</v>
      </c>
      <c r="H409" s="27" t="s">
        <v>203</v>
      </c>
      <c r="I409" s="111" t="s">
        <v>203</v>
      </c>
      <c r="J409" s="28" t="s">
        <v>423</v>
      </c>
      <c r="K409" s="28" t="s">
        <v>113</v>
      </c>
      <c r="L409" s="28" t="s">
        <v>1889</v>
      </c>
      <c r="M409" s="111"/>
      <c r="N409" s="227"/>
      <c r="O409" s="111"/>
    </row>
    <row r="410" spans="1:15" ht="12.75" customHeight="1">
      <c r="A410" s="725" t="s">
        <v>8177</v>
      </c>
      <c r="B410" s="732"/>
      <c r="C410" s="726" t="s">
        <v>8563</v>
      </c>
      <c r="D410" s="726" t="s">
        <v>8564</v>
      </c>
      <c r="E410" s="727"/>
      <c r="F410" s="727"/>
      <c r="G410" s="727" t="s">
        <v>8187</v>
      </c>
      <c r="H410" s="727"/>
      <c r="I410" s="730"/>
      <c r="J410" s="735"/>
      <c r="K410" s="727"/>
      <c r="L410" s="727"/>
      <c r="M410" s="735"/>
      <c r="N410" s="735"/>
      <c r="O410" s="727" t="s">
        <v>8565</v>
      </c>
    </row>
    <row r="411" spans="1:15" ht="12.75" customHeight="1">
      <c r="A411" s="701" t="s">
        <v>8177</v>
      </c>
      <c r="B411" s="699" t="s">
        <v>8566</v>
      </c>
      <c r="C411" s="27" t="s">
        <v>5458</v>
      </c>
      <c r="D411" s="28" t="s">
        <v>8567</v>
      </c>
      <c r="E411" s="28" t="s">
        <v>180</v>
      </c>
      <c r="F411" s="28" t="s">
        <v>7315</v>
      </c>
      <c r="G411" s="27" t="s">
        <v>5458</v>
      </c>
      <c r="H411" s="27" t="s">
        <v>203</v>
      </c>
      <c r="I411" s="111" t="s">
        <v>203</v>
      </c>
      <c r="J411" s="28" t="s">
        <v>423</v>
      </c>
      <c r="K411" s="28" t="s">
        <v>113</v>
      </c>
      <c r="L411" s="28" t="s">
        <v>1889</v>
      </c>
      <c r="M411" s="111"/>
      <c r="N411" s="227"/>
      <c r="O411" s="227"/>
    </row>
    <row r="412" spans="1:15" ht="12.75" customHeight="1">
      <c r="A412" s="701" t="s">
        <v>8177</v>
      </c>
      <c r="B412" s="699" t="s">
        <v>8569</v>
      </c>
      <c r="C412" s="27" t="s">
        <v>5466</v>
      </c>
      <c r="D412" s="28" t="s">
        <v>8570</v>
      </c>
      <c r="E412" s="28" t="s">
        <v>180</v>
      </c>
      <c r="F412" s="28" t="s">
        <v>7315</v>
      </c>
      <c r="G412" s="27" t="s">
        <v>5466</v>
      </c>
      <c r="H412" s="27" t="s">
        <v>203</v>
      </c>
      <c r="I412" s="111" t="s">
        <v>203</v>
      </c>
      <c r="J412" s="28" t="s">
        <v>423</v>
      </c>
      <c r="K412" s="28" t="s">
        <v>113</v>
      </c>
      <c r="L412" s="28" t="s">
        <v>1889</v>
      </c>
      <c r="M412" s="111"/>
      <c r="N412" s="227"/>
      <c r="O412" s="227"/>
    </row>
    <row r="413" spans="1:15" ht="12.75" customHeight="1">
      <c r="A413" s="725" t="s">
        <v>8177</v>
      </c>
      <c r="B413" s="732"/>
      <c r="C413" s="726" t="s">
        <v>8571</v>
      </c>
      <c r="D413" s="726" t="s">
        <v>8572</v>
      </c>
      <c r="E413" s="727"/>
      <c r="F413" s="727"/>
      <c r="G413" s="727" t="s">
        <v>8187</v>
      </c>
      <c r="H413" s="727"/>
      <c r="I413" s="730"/>
      <c r="J413" s="735"/>
      <c r="K413" s="727"/>
      <c r="L413" s="727"/>
      <c r="M413" s="735"/>
      <c r="N413" s="735"/>
      <c r="O413" s="727" t="s">
        <v>8573</v>
      </c>
    </row>
    <row r="414" spans="1:15" ht="12.75" customHeight="1">
      <c r="A414" s="701" t="s">
        <v>8177</v>
      </c>
      <c r="B414" s="699" t="s">
        <v>8574</v>
      </c>
      <c r="C414" s="27" t="s">
        <v>5495</v>
      </c>
      <c r="D414" s="28" t="s">
        <v>5493</v>
      </c>
      <c r="E414" s="28" t="s">
        <v>180</v>
      </c>
      <c r="F414" s="28" t="s">
        <v>7315</v>
      </c>
      <c r="G414" s="27" t="s">
        <v>5495</v>
      </c>
      <c r="H414" s="27" t="s">
        <v>203</v>
      </c>
      <c r="I414" s="111" t="s">
        <v>203</v>
      </c>
      <c r="J414" s="28" t="s">
        <v>423</v>
      </c>
      <c r="K414" s="28" t="s">
        <v>113</v>
      </c>
      <c r="L414" s="28" t="s">
        <v>1889</v>
      </c>
      <c r="M414" s="111"/>
      <c r="N414" s="227"/>
      <c r="O414" s="227"/>
    </row>
    <row r="415" spans="1:15" ht="12.75" customHeight="1">
      <c r="A415" s="701" t="s">
        <v>8177</v>
      </c>
      <c r="B415" s="699" t="s">
        <v>8575</v>
      </c>
      <c r="C415" s="27" t="s">
        <v>5506</v>
      </c>
      <c r="D415" s="28" t="s">
        <v>5505</v>
      </c>
      <c r="E415" s="28" t="s">
        <v>180</v>
      </c>
      <c r="F415" s="28" t="s">
        <v>7315</v>
      </c>
      <c r="G415" s="27" t="s">
        <v>5506</v>
      </c>
      <c r="H415" s="27" t="s">
        <v>203</v>
      </c>
      <c r="I415" s="111" t="s">
        <v>203</v>
      </c>
      <c r="J415" s="28" t="s">
        <v>423</v>
      </c>
      <c r="K415" s="28" t="s">
        <v>113</v>
      </c>
      <c r="L415" s="28" t="s">
        <v>1889</v>
      </c>
      <c r="M415" s="111"/>
      <c r="N415" s="227"/>
      <c r="O415" s="227"/>
    </row>
    <row r="416" spans="1:15" ht="12.75" customHeight="1">
      <c r="A416" s="701" t="s">
        <v>8177</v>
      </c>
      <c r="B416" s="699" t="s">
        <v>8576</v>
      </c>
      <c r="C416" s="27" t="s">
        <v>5515</v>
      </c>
      <c r="D416" s="28" t="s">
        <v>5514</v>
      </c>
      <c r="E416" s="28" t="s">
        <v>180</v>
      </c>
      <c r="F416" s="28" t="s">
        <v>7315</v>
      </c>
      <c r="G416" s="27" t="s">
        <v>5515</v>
      </c>
      <c r="H416" s="27" t="s">
        <v>203</v>
      </c>
      <c r="I416" s="111" t="s">
        <v>203</v>
      </c>
      <c r="J416" s="28" t="s">
        <v>423</v>
      </c>
      <c r="K416" s="28" t="s">
        <v>113</v>
      </c>
      <c r="L416" s="28" t="s">
        <v>1889</v>
      </c>
      <c r="M416" s="111"/>
      <c r="N416" s="227"/>
      <c r="O416" s="227"/>
    </row>
    <row r="417" spans="1:15" ht="12.75" customHeight="1">
      <c r="A417" s="725" t="s">
        <v>8177</v>
      </c>
      <c r="B417" s="732"/>
      <c r="C417" s="726" t="s">
        <v>8577</v>
      </c>
      <c r="D417" s="726" t="s">
        <v>8578</v>
      </c>
      <c r="E417" s="727"/>
      <c r="F417" s="727"/>
      <c r="G417" s="727" t="s">
        <v>8187</v>
      </c>
      <c r="H417" s="727"/>
      <c r="I417" s="730"/>
      <c r="J417" s="735"/>
      <c r="K417" s="727"/>
      <c r="L417" s="727"/>
      <c r="M417" s="730"/>
      <c r="N417" s="735"/>
      <c r="O417" s="727" t="s">
        <v>8579</v>
      </c>
    </row>
    <row r="418" spans="1:15" ht="12.75" customHeight="1">
      <c r="A418" s="701" t="s">
        <v>8177</v>
      </c>
      <c r="B418" s="699" t="s">
        <v>8580</v>
      </c>
      <c r="C418" s="27" t="s">
        <v>5535</v>
      </c>
      <c r="D418" s="28" t="s">
        <v>5534</v>
      </c>
      <c r="E418" s="28" t="s">
        <v>180</v>
      </c>
      <c r="F418" s="28" t="s">
        <v>7315</v>
      </c>
      <c r="G418" s="27" t="s">
        <v>5535</v>
      </c>
      <c r="H418" s="27" t="s">
        <v>203</v>
      </c>
      <c r="I418" s="111" t="s">
        <v>203</v>
      </c>
      <c r="J418" s="28" t="s">
        <v>423</v>
      </c>
      <c r="K418" s="28" t="s">
        <v>113</v>
      </c>
      <c r="L418" s="28" t="s">
        <v>1889</v>
      </c>
      <c r="M418" s="111"/>
      <c r="N418" s="227"/>
      <c r="O418" s="227"/>
    </row>
    <row r="419" spans="1:15" ht="12.75" customHeight="1">
      <c r="A419" s="701" t="s">
        <v>8177</v>
      </c>
      <c r="B419" s="699" t="s">
        <v>8581</v>
      </c>
      <c r="C419" s="27" t="s">
        <v>5544</v>
      </c>
      <c r="D419" s="28" t="s">
        <v>5543</v>
      </c>
      <c r="E419" s="28" t="s">
        <v>180</v>
      </c>
      <c r="F419" s="28" t="s">
        <v>7315</v>
      </c>
      <c r="G419" s="27" t="s">
        <v>5544</v>
      </c>
      <c r="H419" s="27" t="s">
        <v>203</v>
      </c>
      <c r="I419" s="111" t="s">
        <v>203</v>
      </c>
      <c r="J419" s="28" t="s">
        <v>423</v>
      </c>
      <c r="K419" s="28" t="s">
        <v>113</v>
      </c>
      <c r="L419" s="28" t="s">
        <v>1889</v>
      </c>
      <c r="M419" s="111"/>
      <c r="N419" s="227"/>
      <c r="O419" s="227"/>
    </row>
    <row r="420" spans="1:15" ht="12.75" customHeight="1">
      <c r="A420" s="725" t="s">
        <v>8177</v>
      </c>
      <c r="B420" s="732"/>
      <c r="C420" s="726" t="s">
        <v>8583</v>
      </c>
      <c r="D420" s="726" t="s">
        <v>8584</v>
      </c>
      <c r="E420" s="727"/>
      <c r="F420" s="727"/>
      <c r="G420" s="727" t="s">
        <v>8187</v>
      </c>
      <c r="H420" s="727"/>
      <c r="I420" s="730"/>
      <c r="J420" s="735"/>
      <c r="K420" s="727"/>
      <c r="L420" s="727"/>
      <c r="M420" s="735"/>
      <c r="N420" s="735"/>
      <c r="O420" s="735"/>
    </row>
    <row r="421" spans="1:15" ht="12.75" customHeight="1">
      <c r="A421" s="701" t="s">
        <v>8177</v>
      </c>
      <c r="B421" s="699" t="s">
        <v>8585</v>
      </c>
      <c r="C421" s="27" t="s">
        <v>8586</v>
      </c>
      <c r="D421" s="27" t="s">
        <v>8586</v>
      </c>
      <c r="E421" s="28" t="s">
        <v>180</v>
      </c>
      <c r="F421" s="28" t="s">
        <v>7315</v>
      </c>
      <c r="G421" s="27" t="s">
        <v>8586</v>
      </c>
      <c r="H421" s="27" t="s">
        <v>203</v>
      </c>
      <c r="I421" s="111" t="s">
        <v>203</v>
      </c>
      <c r="J421" s="28" t="s">
        <v>423</v>
      </c>
      <c r="K421" s="28" t="s">
        <v>113</v>
      </c>
      <c r="L421" s="28" t="s">
        <v>1889</v>
      </c>
      <c r="M421" s="227"/>
      <c r="N421" s="227"/>
      <c r="O421" s="227"/>
    </row>
    <row r="422" spans="1:15" ht="12.75" customHeight="1">
      <c r="A422" s="701" t="s">
        <v>8177</v>
      </c>
      <c r="B422" s="699" t="s">
        <v>8587</v>
      </c>
      <c r="C422" s="27" t="s">
        <v>8588</v>
      </c>
      <c r="D422" s="27" t="s">
        <v>8588</v>
      </c>
      <c r="E422" s="28" t="s">
        <v>180</v>
      </c>
      <c r="F422" s="28" t="s">
        <v>7315</v>
      </c>
      <c r="G422" s="27" t="s">
        <v>8588</v>
      </c>
      <c r="H422" s="27" t="s">
        <v>203</v>
      </c>
      <c r="I422" s="111" t="s">
        <v>203</v>
      </c>
      <c r="J422" s="28" t="s">
        <v>423</v>
      </c>
      <c r="K422" s="28" t="s">
        <v>113</v>
      </c>
      <c r="L422" s="28" t="s">
        <v>1889</v>
      </c>
      <c r="M422" s="227"/>
      <c r="N422" s="227"/>
      <c r="O422" s="227"/>
    </row>
    <row r="423" spans="1:15" ht="12.75" customHeight="1">
      <c r="A423" s="701" t="s">
        <v>8177</v>
      </c>
      <c r="B423" s="699" t="s">
        <v>8589</v>
      </c>
      <c r="C423" s="27" t="s">
        <v>8590</v>
      </c>
      <c r="D423" s="27" t="s">
        <v>8590</v>
      </c>
      <c r="E423" s="28" t="s">
        <v>180</v>
      </c>
      <c r="F423" s="28" t="s">
        <v>7315</v>
      </c>
      <c r="G423" s="27" t="s">
        <v>8590</v>
      </c>
      <c r="H423" s="27" t="s">
        <v>203</v>
      </c>
      <c r="I423" s="111" t="s">
        <v>203</v>
      </c>
      <c r="J423" s="28" t="s">
        <v>423</v>
      </c>
      <c r="K423" s="28" t="s">
        <v>113</v>
      </c>
      <c r="L423" s="28" t="s">
        <v>1889</v>
      </c>
      <c r="M423" s="227"/>
      <c r="N423" s="227"/>
      <c r="O423" s="227"/>
    </row>
    <row r="424" spans="1:15" ht="12.75" customHeight="1">
      <c r="A424" s="725" t="s">
        <v>8177</v>
      </c>
      <c r="B424" s="732"/>
      <c r="C424" s="726" t="s">
        <v>8592</v>
      </c>
      <c r="D424" s="726" t="s">
        <v>8593</v>
      </c>
      <c r="E424" s="727"/>
      <c r="F424" s="727"/>
      <c r="G424" s="727" t="s">
        <v>8187</v>
      </c>
      <c r="H424" s="727"/>
      <c r="I424" s="730"/>
      <c r="J424" s="735"/>
      <c r="K424" s="727"/>
      <c r="L424" s="727"/>
      <c r="M424" s="730"/>
      <c r="N424" s="735"/>
      <c r="O424" s="727" t="s">
        <v>8594</v>
      </c>
    </row>
    <row r="425" spans="1:15" ht="12.75" customHeight="1">
      <c r="A425" s="701" t="s">
        <v>8177</v>
      </c>
      <c r="B425" s="699" t="s">
        <v>8595</v>
      </c>
      <c r="C425" s="28" t="s">
        <v>5581</v>
      </c>
      <c r="D425" s="28" t="s">
        <v>8596</v>
      </c>
      <c r="E425" s="28" t="s">
        <v>180</v>
      </c>
      <c r="F425" s="28" t="s">
        <v>7315</v>
      </c>
      <c r="G425" s="28" t="s">
        <v>5581</v>
      </c>
      <c r="H425" s="28" t="s">
        <v>203</v>
      </c>
      <c r="I425" s="111" t="s">
        <v>203</v>
      </c>
      <c r="J425" s="28" t="s">
        <v>423</v>
      </c>
      <c r="K425" s="28" t="s">
        <v>113</v>
      </c>
      <c r="L425" s="28" t="s">
        <v>1889</v>
      </c>
      <c r="M425" s="111"/>
      <c r="N425" s="227"/>
      <c r="O425" s="28" t="s">
        <v>8597</v>
      </c>
    </row>
    <row r="426" spans="1:15" ht="12.75" customHeight="1">
      <c r="A426" s="701" t="s">
        <v>8177</v>
      </c>
      <c r="B426" s="699" t="s">
        <v>8598</v>
      </c>
      <c r="C426" s="28" t="s">
        <v>5590</v>
      </c>
      <c r="D426" s="28" t="s">
        <v>8599</v>
      </c>
      <c r="E426" s="28" t="s">
        <v>180</v>
      </c>
      <c r="F426" s="28" t="s">
        <v>7315</v>
      </c>
      <c r="G426" s="28" t="s">
        <v>5590</v>
      </c>
      <c r="H426" s="28" t="s">
        <v>203</v>
      </c>
      <c r="I426" s="111" t="s">
        <v>203</v>
      </c>
      <c r="J426" s="28" t="s">
        <v>423</v>
      </c>
      <c r="K426" s="28" t="s">
        <v>113</v>
      </c>
      <c r="L426" s="28" t="s">
        <v>1889</v>
      </c>
      <c r="M426" s="111"/>
      <c r="N426" s="227"/>
      <c r="O426" s="28" t="s">
        <v>8601</v>
      </c>
    </row>
    <row r="427" spans="1:15" ht="12.75" customHeight="1">
      <c r="A427" s="701" t="s">
        <v>8177</v>
      </c>
      <c r="B427" s="699" t="s">
        <v>8602</v>
      </c>
      <c r="C427" s="27" t="s">
        <v>8603</v>
      </c>
      <c r="D427" s="111" t="s">
        <v>8604</v>
      </c>
      <c r="E427" s="28" t="s">
        <v>180</v>
      </c>
      <c r="F427" s="28" t="s">
        <v>7315</v>
      </c>
      <c r="G427" s="27" t="s">
        <v>8603</v>
      </c>
      <c r="H427" s="28" t="s">
        <v>203</v>
      </c>
      <c r="I427" s="111" t="s">
        <v>203</v>
      </c>
      <c r="J427" s="28" t="s">
        <v>423</v>
      </c>
      <c r="K427" s="28" t="s">
        <v>113</v>
      </c>
      <c r="L427" s="28" t="s">
        <v>1889</v>
      </c>
      <c r="M427" s="111"/>
      <c r="N427" s="227"/>
      <c r="O427" s="227"/>
    </row>
    <row r="428" spans="1:15" ht="12.75" customHeight="1">
      <c r="A428" s="725" t="s">
        <v>8177</v>
      </c>
      <c r="B428" s="732"/>
      <c r="C428" s="726" t="s">
        <v>8605</v>
      </c>
      <c r="D428" s="726" t="s">
        <v>8606</v>
      </c>
      <c r="E428" s="727"/>
      <c r="F428" s="727"/>
      <c r="G428" s="727" t="s">
        <v>8187</v>
      </c>
      <c r="H428" s="727"/>
      <c r="I428" s="730"/>
      <c r="J428" s="735"/>
      <c r="K428" s="727"/>
      <c r="L428" s="727"/>
      <c r="M428" s="727"/>
      <c r="N428" s="735"/>
      <c r="O428" s="735"/>
    </row>
    <row r="429" spans="1:15" ht="12.75" customHeight="1">
      <c r="A429" s="701" t="s">
        <v>8177</v>
      </c>
      <c r="B429" s="699" t="s">
        <v>8607</v>
      </c>
      <c r="C429" s="28" t="s">
        <v>8608</v>
      </c>
      <c r="D429" s="114" t="s">
        <v>8609</v>
      </c>
      <c r="E429" s="28" t="s">
        <v>180</v>
      </c>
      <c r="F429" s="28" t="s">
        <v>7315</v>
      </c>
      <c r="G429" s="28" t="s">
        <v>8608</v>
      </c>
      <c r="H429" s="111" t="s">
        <v>203</v>
      </c>
      <c r="I429" s="111" t="s">
        <v>203</v>
      </c>
      <c r="J429" s="28" t="s">
        <v>423</v>
      </c>
      <c r="K429" s="28" t="s">
        <v>113</v>
      </c>
      <c r="L429" s="28" t="s">
        <v>1889</v>
      </c>
      <c r="M429" s="28"/>
      <c r="N429" s="111"/>
      <c r="O429" s="111"/>
    </row>
    <row r="430" spans="1:15" ht="12.75" customHeight="1">
      <c r="A430" s="725" t="s">
        <v>8177</v>
      </c>
      <c r="B430" s="732"/>
      <c r="C430" s="726" t="s">
        <v>8611</v>
      </c>
      <c r="D430" s="726" t="s">
        <v>8186</v>
      </c>
      <c r="E430" s="731"/>
      <c r="F430" s="731"/>
      <c r="G430" s="727" t="s">
        <v>8612</v>
      </c>
      <c r="H430" s="730"/>
      <c r="I430" s="730"/>
      <c r="J430" s="730"/>
      <c r="K430" s="727"/>
      <c r="L430" s="727"/>
      <c r="M430" s="727"/>
      <c r="N430" s="730"/>
      <c r="O430" s="730"/>
    </row>
    <row r="431" spans="1:15" ht="12.75" customHeight="1">
      <c r="A431" s="701" t="s">
        <v>8177</v>
      </c>
      <c r="B431" s="699" t="s">
        <v>8613</v>
      </c>
      <c r="C431" s="28" t="s">
        <v>5714</v>
      </c>
      <c r="D431" s="114" t="s">
        <v>5716</v>
      </c>
      <c r="E431" s="28" t="s">
        <v>180</v>
      </c>
      <c r="F431" s="28" t="s">
        <v>7315</v>
      </c>
      <c r="G431" s="111" t="s">
        <v>5714</v>
      </c>
      <c r="H431" s="111" t="s">
        <v>203</v>
      </c>
      <c r="I431" s="111" t="s">
        <v>203</v>
      </c>
      <c r="J431" s="28" t="s">
        <v>423</v>
      </c>
      <c r="K431" s="28" t="s">
        <v>113</v>
      </c>
      <c r="L431" s="28" t="s">
        <v>1889</v>
      </c>
      <c r="M431" s="28"/>
      <c r="N431" s="111"/>
      <c r="O431" s="111"/>
    </row>
    <row r="432" spans="1:15" ht="12.75" customHeight="1">
      <c r="A432" s="701" t="s">
        <v>8177</v>
      </c>
      <c r="B432" s="699" t="s">
        <v>8614</v>
      </c>
      <c r="C432" s="28" t="s">
        <v>5719</v>
      </c>
      <c r="D432" s="111" t="s">
        <v>8615</v>
      </c>
      <c r="E432" s="28" t="s">
        <v>180</v>
      </c>
      <c r="F432" s="28" t="s">
        <v>7315</v>
      </c>
      <c r="G432" s="111" t="s">
        <v>5719</v>
      </c>
      <c r="H432" s="111" t="s">
        <v>203</v>
      </c>
      <c r="I432" s="111" t="s">
        <v>203</v>
      </c>
      <c r="J432" s="28" t="s">
        <v>423</v>
      </c>
      <c r="K432" s="28" t="s">
        <v>113</v>
      </c>
      <c r="L432" s="28" t="s">
        <v>1889</v>
      </c>
      <c r="M432" s="28"/>
      <c r="N432" s="111"/>
      <c r="O432" s="111"/>
    </row>
    <row r="433" spans="1:15" ht="12.75" customHeight="1">
      <c r="A433" s="701" t="s">
        <v>8177</v>
      </c>
      <c r="B433" s="699" t="s">
        <v>8616</v>
      </c>
      <c r="C433" s="28" t="s">
        <v>5724</v>
      </c>
      <c r="D433" s="111" t="s">
        <v>5726</v>
      </c>
      <c r="E433" s="28" t="s">
        <v>180</v>
      </c>
      <c r="F433" s="28" t="s">
        <v>7315</v>
      </c>
      <c r="G433" s="111" t="s">
        <v>5724</v>
      </c>
      <c r="H433" s="111" t="s">
        <v>203</v>
      </c>
      <c r="I433" s="111" t="s">
        <v>203</v>
      </c>
      <c r="J433" s="28" t="s">
        <v>423</v>
      </c>
      <c r="K433" s="28" t="s">
        <v>113</v>
      </c>
      <c r="L433" s="28" t="s">
        <v>1889</v>
      </c>
      <c r="M433" s="28"/>
      <c r="N433" s="111"/>
      <c r="O433" s="111"/>
    </row>
    <row r="434" spans="1:15" ht="12.75" customHeight="1">
      <c r="A434" s="701" t="s">
        <v>8177</v>
      </c>
      <c r="B434" s="699" t="s">
        <v>8617</v>
      </c>
      <c r="C434" s="28" t="s">
        <v>5729</v>
      </c>
      <c r="D434" s="114" t="s">
        <v>5731</v>
      </c>
      <c r="E434" s="28" t="s">
        <v>180</v>
      </c>
      <c r="F434" s="28" t="s">
        <v>7315</v>
      </c>
      <c r="G434" s="111" t="s">
        <v>5729</v>
      </c>
      <c r="H434" s="111" t="s">
        <v>203</v>
      </c>
      <c r="I434" s="111" t="s">
        <v>203</v>
      </c>
      <c r="J434" s="28" t="s">
        <v>423</v>
      </c>
      <c r="K434" s="28" t="s">
        <v>113</v>
      </c>
      <c r="L434" s="28" t="s">
        <v>1889</v>
      </c>
      <c r="M434" s="28"/>
      <c r="N434" s="111"/>
      <c r="O434" s="111"/>
    </row>
    <row r="435" spans="1:15" ht="12.75" customHeight="1">
      <c r="A435" s="701" t="s">
        <v>8177</v>
      </c>
      <c r="B435" s="699" t="s">
        <v>8618</v>
      </c>
      <c r="C435" s="28" t="s">
        <v>8619</v>
      </c>
      <c r="D435" s="114" t="s">
        <v>8620</v>
      </c>
      <c r="E435" s="28" t="s">
        <v>180</v>
      </c>
      <c r="F435" s="28" t="s">
        <v>7315</v>
      </c>
      <c r="G435" s="111" t="s">
        <v>5734</v>
      </c>
      <c r="H435" s="111" t="s">
        <v>203</v>
      </c>
      <c r="I435" s="111" t="s">
        <v>203</v>
      </c>
      <c r="J435" s="28" t="s">
        <v>423</v>
      </c>
      <c r="K435" s="28" t="s">
        <v>113</v>
      </c>
      <c r="L435" s="28" t="s">
        <v>1889</v>
      </c>
      <c r="M435" s="28"/>
      <c r="N435" s="111"/>
      <c r="O435" s="111"/>
    </row>
    <row r="436" spans="1:15" ht="12.75" customHeight="1">
      <c r="A436" s="701" t="s">
        <v>8177</v>
      </c>
      <c r="B436" s="699" t="s">
        <v>8621</v>
      </c>
      <c r="C436" s="28" t="s">
        <v>5739</v>
      </c>
      <c r="D436" s="114" t="s">
        <v>8622</v>
      </c>
      <c r="E436" s="28" t="s">
        <v>180</v>
      </c>
      <c r="F436" s="28" t="s">
        <v>7315</v>
      </c>
      <c r="G436" s="111" t="s">
        <v>5739</v>
      </c>
      <c r="H436" s="111" t="s">
        <v>203</v>
      </c>
      <c r="I436" s="111" t="s">
        <v>203</v>
      </c>
      <c r="J436" s="28" t="s">
        <v>423</v>
      </c>
      <c r="K436" s="28" t="s">
        <v>113</v>
      </c>
      <c r="L436" s="28" t="s">
        <v>1889</v>
      </c>
      <c r="M436" s="28"/>
      <c r="N436" s="111"/>
      <c r="O436" s="111"/>
    </row>
    <row r="437" spans="1:15" ht="12.75" customHeight="1">
      <c r="A437" s="701" t="s">
        <v>8177</v>
      </c>
      <c r="B437" s="699" t="s">
        <v>8624</v>
      </c>
      <c r="C437" s="28" t="s">
        <v>5619</v>
      </c>
      <c r="D437" s="28" t="s">
        <v>8625</v>
      </c>
      <c r="E437" s="28" t="s">
        <v>180</v>
      </c>
      <c r="F437" s="28" t="s">
        <v>7315</v>
      </c>
      <c r="G437" s="28" t="s">
        <v>5619</v>
      </c>
      <c r="H437" s="111" t="s">
        <v>203</v>
      </c>
      <c r="I437" s="111" t="s">
        <v>203</v>
      </c>
      <c r="J437" s="28" t="s">
        <v>423</v>
      </c>
      <c r="K437" s="28" t="s">
        <v>113</v>
      </c>
      <c r="L437" s="28" t="s">
        <v>1889</v>
      </c>
      <c r="M437" s="28"/>
      <c r="N437" s="227"/>
      <c r="O437" s="227"/>
    </row>
    <row r="438" spans="1:15" ht="12.75" customHeight="1">
      <c r="A438" s="701" t="s">
        <v>8177</v>
      </c>
      <c r="B438" s="699" t="s">
        <v>8626</v>
      </c>
      <c r="C438" s="28" t="s">
        <v>8627</v>
      </c>
      <c r="D438" s="28" t="str">
        <f>"Client is currently taking "&amp;G438</f>
        <v>Client is currently taking Anticonvulsant therapy with lamotrigine</v>
      </c>
      <c r="E438" s="28" t="s">
        <v>180</v>
      </c>
      <c r="F438" s="28" t="s">
        <v>7315</v>
      </c>
      <c r="G438" s="28" t="s">
        <v>8627</v>
      </c>
      <c r="H438" s="111" t="s">
        <v>203</v>
      </c>
      <c r="I438" s="111" t="s">
        <v>203</v>
      </c>
      <c r="J438" s="28" t="s">
        <v>423</v>
      </c>
      <c r="K438" s="28" t="s">
        <v>113</v>
      </c>
      <c r="L438" s="28" t="s">
        <v>1889</v>
      </c>
      <c r="M438" s="28"/>
      <c r="N438" s="227"/>
      <c r="O438" s="227"/>
    </row>
    <row r="439" spans="1:15" ht="12.75" customHeight="1">
      <c r="A439" s="701" t="s">
        <v>8177</v>
      </c>
      <c r="B439" s="699" t="s">
        <v>8629</v>
      </c>
      <c r="C439" s="27" t="s">
        <v>5613</v>
      </c>
      <c r="D439" s="28" t="s">
        <v>8630</v>
      </c>
      <c r="E439" s="28" t="s">
        <v>180</v>
      </c>
      <c r="F439" s="28" t="s">
        <v>7315</v>
      </c>
      <c r="G439" s="27" t="s">
        <v>5613</v>
      </c>
      <c r="H439" s="111" t="s">
        <v>203</v>
      </c>
      <c r="I439" s="111" t="s">
        <v>203</v>
      </c>
      <c r="J439" s="28" t="s">
        <v>423</v>
      </c>
      <c r="K439" s="28" t="s">
        <v>113</v>
      </c>
      <c r="L439" s="28" t="s">
        <v>1889</v>
      </c>
      <c r="M439" s="28"/>
      <c r="N439" s="227"/>
      <c r="O439" s="227"/>
    </row>
    <row r="440" spans="1:15" ht="12.75" customHeight="1">
      <c r="A440" s="701" t="s">
        <v>8177</v>
      </c>
      <c r="B440" s="699" t="s">
        <v>8632</v>
      </c>
      <c r="C440" s="27" t="s">
        <v>8633</v>
      </c>
      <c r="D440" s="28" t="s">
        <v>8634</v>
      </c>
      <c r="E440" s="28" t="s">
        <v>180</v>
      </c>
      <c r="F440" s="28" t="s">
        <v>7315</v>
      </c>
      <c r="G440" s="27" t="s">
        <v>8633</v>
      </c>
      <c r="H440" s="111" t="s">
        <v>203</v>
      </c>
      <c r="I440" s="111" t="s">
        <v>203</v>
      </c>
      <c r="J440" s="28" t="s">
        <v>423</v>
      </c>
      <c r="K440" s="28" t="s">
        <v>113</v>
      </c>
      <c r="L440" s="28" t="s">
        <v>1889</v>
      </c>
      <c r="M440" s="717"/>
      <c r="N440" s="729"/>
      <c r="O440" s="729"/>
    </row>
    <row r="441" spans="1:15" ht="12.75" customHeight="1">
      <c r="A441" s="701" t="s">
        <v>8177</v>
      </c>
      <c r="B441" s="699" t="s">
        <v>8635</v>
      </c>
      <c r="C441" s="27" t="s">
        <v>8636</v>
      </c>
      <c r="D441" s="27" t="s">
        <v>8637</v>
      </c>
      <c r="E441" s="28" t="s">
        <v>180</v>
      </c>
      <c r="F441" s="28" t="s">
        <v>7315</v>
      </c>
      <c r="G441" s="27" t="s">
        <v>8636</v>
      </c>
      <c r="H441" s="111" t="s">
        <v>203</v>
      </c>
      <c r="I441" s="111" t="s">
        <v>203</v>
      </c>
      <c r="J441" s="28" t="s">
        <v>423</v>
      </c>
      <c r="K441" s="28" t="s">
        <v>113</v>
      </c>
      <c r="L441" s="28" t="s">
        <v>1889</v>
      </c>
      <c r="M441" s="717"/>
      <c r="N441" s="729"/>
      <c r="O441" s="28" t="s">
        <v>8638</v>
      </c>
    </row>
    <row r="442" spans="1:15" ht="12.75" customHeight="1">
      <c r="A442" s="701" t="s">
        <v>8177</v>
      </c>
      <c r="B442" s="699" t="s">
        <v>8639</v>
      </c>
      <c r="C442" s="27" t="s">
        <v>8640</v>
      </c>
      <c r="D442" s="27" t="s">
        <v>8642</v>
      </c>
      <c r="E442" s="28" t="s">
        <v>180</v>
      </c>
      <c r="F442" s="28" t="s">
        <v>7315</v>
      </c>
      <c r="G442" s="27" t="s">
        <v>8640</v>
      </c>
      <c r="H442" s="111" t="s">
        <v>203</v>
      </c>
      <c r="I442" s="111" t="s">
        <v>203</v>
      </c>
      <c r="J442" s="28" t="s">
        <v>423</v>
      </c>
      <c r="K442" s="28" t="s">
        <v>113</v>
      </c>
      <c r="L442" s="28" t="s">
        <v>1889</v>
      </c>
      <c r="M442" s="717"/>
      <c r="N442" s="729"/>
      <c r="O442" s="729"/>
    </row>
    <row r="443" spans="1:15" ht="12.75" customHeight="1">
      <c r="A443" s="701" t="s">
        <v>8177</v>
      </c>
      <c r="B443" s="699" t="s">
        <v>8643</v>
      </c>
      <c r="C443" s="27" t="s">
        <v>8644</v>
      </c>
      <c r="D443" s="27" t="s">
        <v>8646</v>
      </c>
      <c r="E443" s="28" t="s">
        <v>180</v>
      </c>
      <c r="F443" s="28" t="s">
        <v>7315</v>
      </c>
      <c r="G443" s="27" t="s">
        <v>8644</v>
      </c>
      <c r="H443" s="111" t="s">
        <v>203</v>
      </c>
      <c r="I443" s="111" t="s">
        <v>203</v>
      </c>
      <c r="J443" s="28" t="s">
        <v>423</v>
      </c>
      <c r="K443" s="28" t="s">
        <v>113</v>
      </c>
      <c r="L443" s="28" t="s">
        <v>1889</v>
      </c>
      <c r="M443" s="27"/>
      <c r="N443" s="27"/>
      <c r="O443" s="27" t="s">
        <v>8648</v>
      </c>
    </row>
    <row r="444" spans="1:15" ht="12.75" customHeight="1">
      <c r="A444" s="701" t="s">
        <v>8177</v>
      </c>
      <c r="B444" s="699" t="s">
        <v>8649</v>
      </c>
      <c r="C444" s="27" t="s">
        <v>8650</v>
      </c>
      <c r="D444" s="27" t="s">
        <v>8651</v>
      </c>
      <c r="E444" s="28" t="s">
        <v>180</v>
      </c>
      <c r="F444" s="28" t="s">
        <v>7315</v>
      </c>
      <c r="G444" s="27" t="s">
        <v>8650</v>
      </c>
      <c r="H444" s="111" t="s">
        <v>203</v>
      </c>
      <c r="I444" s="111" t="s">
        <v>203</v>
      </c>
      <c r="J444" s="28" t="s">
        <v>423</v>
      </c>
      <c r="K444" s="28" t="s">
        <v>113</v>
      </c>
      <c r="L444" s="28" t="s">
        <v>1889</v>
      </c>
      <c r="M444" s="717"/>
      <c r="N444" s="729"/>
      <c r="O444" s="729"/>
    </row>
    <row r="445" spans="1:15" ht="12.75" customHeight="1">
      <c r="A445" s="701" t="s">
        <v>8177</v>
      </c>
      <c r="B445" s="699" t="s">
        <v>8652</v>
      </c>
      <c r="C445" s="27" t="s">
        <v>8653</v>
      </c>
      <c r="D445" s="27" t="s">
        <v>8654</v>
      </c>
      <c r="E445" s="28" t="s">
        <v>180</v>
      </c>
      <c r="F445" s="28" t="s">
        <v>7315</v>
      </c>
      <c r="G445" s="27" t="s">
        <v>8653</v>
      </c>
      <c r="H445" s="111" t="s">
        <v>203</v>
      </c>
      <c r="I445" s="111" t="s">
        <v>203</v>
      </c>
      <c r="J445" s="28" t="s">
        <v>423</v>
      </c>
      <c r="K445" s="28" t="s">
        <v>113</v>
      </c>
      <c r="L445" s="28" t="s">
        <v>1889</v>
      </c>
      <c r="M445" s="717"/>
      <c r="N445" s="729"/>
      <c r="O445" s="729"/>
    </row>
    <row r="446" spans="1:15" ht="12.75" customHeight="1">
      <c r="A446" s="725" t="s">
        <v>8177</v>
      </c>
      <c r="B446" s="739"/>
      <c r="C446" s="726" t="s">
        <v>8656</v>
      </c>
      <c r="D446" s="726" t="s">
        <v>8186</v>
      </c>
      <c r="E446" s="740"/>
      <c r="F446" s="740"/>
      <c r="G446" s="727" t="s">
        <v>8187</v>
      </c>
      <c r="H446" s="740"/>
      <c r="I446" s="739"/>
      <c r="J446" s="741"/>
      <c r="K446" s="740"/>
      <c r="L446" s="740"/>
      <c r="M446" s="740"/>
      <c r="N446" s="741"/>
      <c r="O446" s="741"/>
    </row>
    <row r="447" spans="1:15" ht="12.75" customHeight="1">
      <c r="A447" s="701" t="s">
        <v>8177</v>
      </c>
      <c r="B447" s="699" t="s">
        <v>8658</v>
      </c>
      <c r="C447" s="27" t="s">
        <v>4930</v>
      </c>
      <c r="D447" s="27" t="s">
        <v>8659</v>
      </c>
      <c r="E447" s="28" t="s">
        <v>180</v>
      </c>
      <c r="F447" s="28" t="s">
        <v>7315</v>
      </c>
      <c r="G447" s="27" t="s">
        <v>4930</v>
      </c>
      <c r="H447" s="111" t="s">
        <v>203</v>
      </c>
      <c r="I447" s="111" t="s">
        <v>203</v>
      </c>
      <c r="J447" s="28" t="s">
        <v>423</v>
      </c>
      <c r="K447" s="28" t="s">
        <v>113</v>
      </c>
      <c r="L447" s="28" t="s">
        <v>1889</v>
      </c>
      <c r="M447" s="717"/>
      <c r="N447" s="729"/>
      <c r="O447" s="729"/>
    </row>
    <row r="448" spans="1:15" ht="12.75" customHeight="1">
      <c r="A448" s="701" t="s">
        <v>8177</v>
      </c>
      <c r="B448" s="699" t="s">
        <v>8660</v>
      </c>
      <c r="C448" s="27" t="s">
        <v>8661</v>
      </c>
      <c r="D448" s="27" t="s">
        <v>8662</v>
      </c>
      <c r="E448" s="28" t="s">
        <v>180</v>
      </c>
      <c r="F448" s="28" t="s">
        <v>7315</v>
      </c>
      <c r="G448" s="27" t="s">
        <v>8661</v>
      </c>
      <c r="H448" s="111" t="s">
        <v>203</v>
      </c>
      <c r="I448" s="111" t="s">
        <v>203</v>
      </c>
      <c r="J448" s="28" t="s">
        <v>423</v>
      </c>
      <c r="K448" s="28" t="s">
        <v>113</v>
      </c>
      <c r="L448" s="28" t="s">
        <v>1889</v>
      </c>
      <c r="M448" s="717"/>
      <c r="N448" s="729"/>
      <c r="O448" s="729"/>
    </row>
    <row r="449" spans="1:15" ht="12.75" customHeight="1">
      <c r="A449" s="701" t="s">
        <v>8177</v>
      </c>
      <c r="B449" s="699" t="s">
        <v>8663</v>
      </c>
      <c r="C449" s="27" t="s">
        <v>8664</v>
      </c>
      <c r="D449" s="27" t="s">
        <v>8665</v>
      </c>
      <c r="E449" s="28" t="s">
        <v>180</v>
      </c>
      <c r="F449" s="28" t="s">
        <v>7315</v>
      </c>
      <c r="G449" s="27" t="s">
        <v>8664</v>
      </c>
      <c r="H449" s="111" t="s">
        <v>203</v>
      </c>
      <c r="I449" s="111" t="s">
        <v>203</v>
      </c>
      <c r="J449" s="28" t="s">
        <v>423</v>
      </c>
      <c r="K449" s="28" t="s">
        <v>113</v>
      </c>
      <c r="L449" s="28" t="s">
        <v>1889</v>
      </c>
      <c r="M449" s="717"/>
      <c r="N449" s="729"/>
      <c r="O449" s="729"/>
    </row>
    <row r="450" spans="1:15" ht="12.75" customHeight="1">
      <c r="A450" s="701" t="s">
        <v>8177</v>
      </c>
      <c r="B450" s="699" t="s">
        <v>8666</v>
      </c>
      <c r="C450" s="27" t="s">
        <v>8667</v>
      </c>
      <c r="D450" s="27" t="s">
        <v>8668</v>
      </c>
      <c r="E450" s="28" t="s">
        <v>180</v>
      </c>
      <c r="F450" s="28" t="s">
        <v>7315</v>
      </c>
      <c r="G450" s="27" t="s">
        <v>8667</v>
      </c>
      <c r="H450" s="111" t="s">
        <v>203</v>
      </c>
      <c r="I450" s="111" t="s">
        <v>203</v>
      </c>
      <c r="J450" s="28" t="s">
        <v>423</v>
      </c>
      <c r="K450" s="28" t="s">
        <v>113</v>
      </c>
      <c r="L450" s="28" t="s">
        <v>1889</v>
      </c>
      <c r="M450" s="717"/>
      <c r="N450" s="729"/>
      <c r="O450" s="729"/>
    </row>
    <row r="451" spans="1:15" ht="12.75" customHeight="1">
      <c r="A451" s="701" t="s">
        <v>8177</v>
      </c>
      <c r="B451" s="699" t="s">
        <v>8669</v>
      </c>
      <c r="C451" s="27" t="s">
        <v>8670</v>
      </c>
      <c r="D451" s="27" t="s">
        <v>8671</v>
      </c>
      <c r="E451" s="28" t="s">
        <v>180</v>
      </c>
      <c r="F451" s="28" t="s">
        <v>7315</v>
      </c>
      <c r="G451" s="27" t="s">
        <v>8670</v>
      </c>
      <c r="H451" s="111" t="s">
        <v>203</v>
      </c>
      <c r="I451" s="111" t="s">
        <v>203</v>
      </c>
      <c r="J451" s="28" t="s">
        <v>423</v>
      </c>
      <c r="K451" s="28" t="s">
        <v>113</v>
      </c>
      <c r="L451" s="28" t="s">
        <v>1889</v>
      </c>
      <c r="M451" s="717"/>
      <c r="N451" s="729"/>
      <c r="O451" s="28" t="s">
        <v>8672</v>
      </c>
    </row>
    <row r="452" spans="1:15" ht="12.75" customHeight="1">
      <c r="A452" s="701" t="s">
        <v>8177</v>
      </c>
      <c r="B452" s="699" t="s">
        <v>8673</v>
      </c>
      <c r="C452" s="27" t="s">
        <v>8674</v>
      </c>
      <c r="D452" s="27" t="s">
        <v>8675</v>
      </c>
      <c r="E452" s="28" t="s">
        <v>180</v>
      </c>
      <c r="F452" s="28" t="s">
        <v>7315</v>
      </c>
      <c r="G452" s="27" t="s">
        <v>8674</v>
      </c>
      <c r="H452" s="111" t="s">
        <v>203</v>
      </c>
      <c r="I452" s="111" t="s">
        <v>203</v>
      </c>
      <c r="J452" s="28" t="s">
        <v>423</v>
      </c>
      <c r="K452" s="28" t="s">
        <v>113</v>
      </c>
      <c r="L452" s="28" t="s">
        <v>1889</v>
      </c>
      <c r="M452" s="717"/>
      <c r="N452" s="729"/>
      <c r="O452" s="28" t="s">
        <v>8676</v>
      </c>
    </row>
    <row r="453" spans="1:15" ht="12.75" customHeight="1">
      <c r="A453" s="701" t="s">
        <v>8177</v>
      </c>
      <c r="B453" s="699" t="s">
        <v>8677</v>
      </c>
      <c r="C453" s="27" t="s">
        <v>8678</v>
      </c>
      <c r="D453" s="27" t="s">
        <v>8679</v>
      </c>
      <c r="E453" s="28" t="s">
        <v>180</v>
      </c>
      <c r="F453" s="28" t="s">
        <v>7315</v>
      </c>
      <c r="G453" s="27" t="s">
        <v>8678</v>
      </c>
      <c r="H453" s="111" t="s">
        <v>203</v>
      </c>
      <c r="I453" s="111" t="s">
        <v>203</v>
      </c>
      <c r="J453" s="28" t="s">
        <v>423</v>
      </c>
      <c r="K453" s="28" t="s">
        <v>113</v>
      </c>
      <c r="L453" s="28" t="s">
        <v>1889</v>
      </c>
      <c r="M453" s="717"/>
      <c r="N453" s="729"/>
      <c r="O453" s="27" t="s">
        <v>8680</v>
      </c>
    </row>
    <row r="454" spans="1:15" ht="12.75" customHeight="1">
      <c r="A454" s="701" t="s">
        <v>8177</v>
      </c>
      <c r="B454" s="699" t="s">
        <v>8681</v>
      </c>
      <c r="C454" s="27" t="s">
        <v>5797</v>
      </c>
      <c r="D454" s="27" t="s">
        <v>8682</v>
      </c>
      <c r="E454" s="28" t="s">
        <v>180</v>
      </c>
      <c r="F454" s="28" t="s">
        <v>7315</v>
      </c>
      <c r="G454" s="27" t="s">
        <v>5797</v>
      </c>
      <c r="H454" s="111" t="s">
        <v>203</v>
      </c>
      <c r="I454" s="111" t="s">
        <v>203</v>
      </c>
      <c r="J454" s="28" t="s">
        <v>423</v>
      </c>
      <c r="K454" s="28" t="s">
        <v>113</v>
      </c>
      <c r="L454" s="28" t="s">
        <v>1889</v>
      </c>
      <c r="M454" s="717"/>
      <c r="N454" s="729"/>
      <c r="O454" s="27" t="s">
        <v>8683</v>
      </c>
    </row>
    <row r="455" spans="1:15" ht="12.75" customHeight="1">
      <c r="A455" s="725" t="s">
        <v>8177</v>
      </c>
      <c r="B455" s="739"/>
      <c r="C455" s="726" t="s">
        <v>8684</v>
      </c>
      <c r="D455" s="726" t="s">
        <v>8186</v>
      </c>
      <c r="E455" s="740"/>
      <c r="F455" s="740"/>
      <c r="G455" s="727" t="s">
        <v>8187</v>
      </c>
      <c r="H455" s="740"/>
      <c r="I455" s="739"/>
      <c r="J455" s="741"/>
      <c r="K455" s="740"/>
      <c r="L455" s="740"/>
      <c r="M455" s="740"/>
      <c r="N455" s="741"/>
      <c r="O455" s="732" t="s">
        <v>8680</v>
      </c>
    </row>
    <row r="456" spans="1:15" ht="12.75" customHeight="1">
      <c r="A456" s="701" t="s">
        <v>8177</v>
      </c>
      <c r="B456" s="699" t="s">
        <v>8685</v>
      </c>
      <c r="C456" s="27" t="s">
        <v>8686</v>
      </c>
      <c r="D456" s="27" t="s">
        <v>8687</v>
      </c>
      <c r="E456" s="28" t="s">
        <v>180</v>
      </c>
      <c r="F456" s="28" t="s">
        <v>7315</v>
      </c>
      <c r="G456" s="27" t="s">
        <v>8686</v>
      </c>
      <c r="H456" s="111" t="s">
        <v>203</v>
      </c>
      <c r="I456" s="111" t="s">
        <v>203</v>
      </c>
      <c r="J456" s="28" t="s">
        <v>423</v>
      </c>
      <c r="K456" s="28" t="s">
        <v>113</v>
      </c>
      <c r="L456" s="28" t="s">
        <v>1889</v>
      </c>
      <c r="M456" s="717"/>
      <c r="N456" s="729"/>
      <c r="O456" s="27" t="s">
        <v>8680</v>
      </c>
    </row>
    <row r="457" spans="1:15" ht="12.75" customHeight="1">
      <c r="A457" s="701" t="s">
        <v>8177</v>
      </c>
      <c r="B457" s="699" t="s">
        <v>8688</v>
      </c>
      <c r="C457" s="27" t="s">
        <v>5515</v>
      </c>
      <c r="D457" s="27" t="s">
        <v>8689</v>
      </c>
      <c r="E457" s="28" t="s">
        <v>180</v>
      </c>
      <c r="F457" s="28" t="s">
        <v>7315</v>
      </c>
      <c r="G457" s="27" t="s">
        <v>5515</v>
      </c>
      <c r="H457" s="111" t="s">
        <v>203</v>
      </c>
      <c r="I457" s="111" t="s">
        <v>203</v>
      </c>
      <c r="J457" s="28" t="s">
        <v>423</v>
      </c>
      <c r="K457" s="28" t="s">
        <v>113</v>
      </c>
      <c r="L457" s="28" t="s">
        <v>1889</v>
      </c>
      <c r="M457" s="717"/>
      <c r="N457" s="729"/>
      <c r="O457" s="27" t="s">
        <v>8680</v>
      </c>
    </row>
    <row r="458" spans="1:15" ht="12.75" customHeight="1">
      <c r="A458" s="701" t="s">
        <v>8177</v>
      </c>
      <c r="B458" s="699" t="s">
        <v>8690</v>
      </c>
      <c r="C458" s="27" t="s">
        <v>8691</v>
      </c>
      <c r="D458" s="27" t="s">
        <v>8692</v>
      </c>
      <c r="E458" s="28" t="s">
        <v>180</v>
      </c>
      <c r="F458" s="28" t="s">
        <v>7315</v>
      </c>
      <c r="G458" s="27" t="s">
        <v>8691</v>
      </c>
      <c r="H458" s="111" t="s">
        <v>203</v>
      </c>
      <c r="I458" s="111" t="s">
        <v>203</v>
      </c>
      <c r="J458" s="28" t="s">
        <v>423</v>
      </c>
      <c r="K458" s="28" t="s">
        <v>113</v>
      </c>
      <c r="L458" s="28" t="s">
        <v>1889</v>
      </c>
      <c r="M458" s="717"/>
      <c r="N458" s="729"/>
      <c r="O458" s="27" t="s">
        <v>8694</v>
      </c>
    </row>
    <row r="459" spans="1:15" ht="12.75" customHeight="1">
      <c r="A459" s="701" t="s">
        <v>8177</v>
      </c>
      <c r="B459" s="699" t="s">
        <v>8695</v>
      </c>
      <c r="C459" s="27" t="s">
        <v>8696</v>
      </c>
      <c r="D459" s="27" t="s">
        <v>8697</v>
      </c>
      <c r="E459" s="28" t="s">
        <v>180</v>
      </c>
      <c r="F459" s="28" t="s">
        <v>7315</v>
      </c>
      <c r="G459" s="27" t="s">
        <v>8696</v>
      </c>
      <c r="H459" s="111" t="s">
        <v>203</v>
      </c>
      <c r="I459" s="111" t="s">
        <v>203</v>
      </c>
      <c r="J459" s="28" t="s">
        <v>423</v>
      </c>
      <c r="K459" s="28" t="s">
        <v>113</v>
      </c>
      <c r="L459" s="28" t="s">
        <v>1889</v>
      </c>
      <c r="M459" s="717"/>
      <c r="N459" s="729"/>
      <c r="O459" s="27" t="s">
        <v>8698</v>
      </c>
    </row>
    <row r="460" spans="1:15" ht="12.75" customHeight="1">
      <c r="A460" s="701" t="s">
        <v>8177</v>
      </c>
      <c r="B460" s="699" t="s">
        <v>8700</v>
      </c>
      <c r="C460" s="27" t="s">
        <v>8701</v>
      </c>
      <c r="D460" s="27" t="s">
        <v>8702</v>
      </c>
      <c r="E460" s="28" t="s">
        <v>180</v>
      </c>
      <c r="F460" s="28" t="s">
        <v>7315</v>
      </c>
      <c r="G460" s="27" t="s">
        <v>8701</v>
      </c>
      <c r="H460" s="111" t="s">
        <v>203</v>
      </c>
      <c r="I460" s="111" t="s">
        <v>203</v>
      </c>
      <c r="J460" s="28" t="s">
        <v>423</v>
      </c>
      <c r="K460" s="28" t="s">
        <v>113</v>
      </c>
      <c r="L460" s="28" t="s">
        <v>1889</v>
      </c>
      <c r="M460" s="717"/>
      <c r="N460" s="729"/>
      <c r="O460" s="27" t="s">
        <v>8703</v>
      </c>
    </row>
    <row r="461" spans="1:15" ht="12.75" customHeight="1">
      <c r="A461" s="701" t="s">
        <v>8177</v>
      </c>
      <c r="B461" s="699" t="s">
        <v>8704</v>
      </c>
      <c r="C461" s="27" t="s">
        <v>8705</v>
      </c>
      <c r="D461" s="27" t="s">
        <v>8706</v>
      </c>
      <c r="E461" s="28" t="s">
        <v>180</v>
      </c>
      <c r="F461" s="28" t="s">
        <v>7315</v>
      </c>
      <c r="G461" s="27" t="s">
        <v>8705</v>
      </c>
      <c r="H461" s="111" t="s">
        <v>203</v>
      </c>
      <c r="I461" s="111" t="s">
        <v>203</v>
      </c>
      <c r="J461" s="28" t="s">
        <v>423</v>
      </c>
      <c r="K461" s="28" t="s">
        <v>113</v>
      </c>
      <c r="L461" s="28" t="s">
        <v>1889</v>
      </c>
      <c r="M461" s="717"/>
      <c r="N461" s="729"/>
      <c r="O461" s="27" t="s">
        <v>8708</v>
      </c>
    </row>
    <row r="462" spans="1:15" ht="12.75" customHeight="1">
      <c r="A462" s="701" t="s">
        <v>8177</v>
      </c>
      <c r="B462" s="699" t="s">
        <v>8709</v>
      </c>
      <c r="C462" s="27" t="s">
        <v>894</v>
      </c>
      <c r="D462" s="27" t="s">
        <v>8710</v>
      </c>
      <c r="E462" s="28" t="s">
        <v>180</v>
      </c>
      <c r="F462" s="28" t="s">
        <v>7315</v>
      </c>
      <c r="G462" s="27" t="s">
        <v>894</v>
      </c>
      <c r="H462" s="111" t="s">
        <v>203</v>
      </c>
      <c r="I462" s="111" t="s">
        <v>203</v>
      </c>
      <c r="J462" s="28" t="s">
        <v>423</v>
      </c>
      <c r="K462" s="28" t="s">
        <v>113</v>
      </c>
      <c r="L462" s="28" t="s">
        <v>1889</v>
      </c>
      <c r="M462" s="717"/>
      <c r="N462" s="729"/>
      <c r="O462" s="27" t="s">
        <v>8680</v>
      </c>
    </row>
    <row r="463" spans="1:15" ht="12.75" customHeight="1">
      <c r="A463" s="701" t="s">
        <v>8177</v>
      </c>
      <c r="B463" s="699" t="s">
        <v>8711</v>
      </c>
      <c r="C463" s="27" t="s">
        <v>8712</v>
      </c>
      <c r="D463" s="27" t="s">
        <v>8713</v>
      </c>
      <c r="E463" s="28" t="s">
        <v>180</v>
      </c>
      <c r="F463" s="28" t="s">
        <v>7315</v>
      </c>
      <c r="G463" s="27" t="s">
        <v>8712</v>
      </c>
      <c r="H463" s="111" t="s">
        <v>203</v>
      </c>
      <c r="I463" s="111" t="s">
        <v>203</v>
      </c>
      <c r="J463" s="28" t="s">
        <v>423</v>
      </c>
      <c r="K463" s="28" t="s">
        <v>113</v>
      </c>
      <c r="L463" s="28" t="s">
        <v>1889</v>
      </c>
      <c r="M463" s="717"/>
      <c r="N463" s="729"/>
      <c r="O463" s="27" t="s">
        <v>8680</v>
      </c>
    </row>
    <row r="464" spans="1:15" ht="12.75" customHeight="1">
      <c r="A464" s="701" t="s">
        <v>8177</v>
      </c>
      <c r="B464" s="699" t="s">
        <v>8714</v>
      </c>
      <c r="C464" s="27" t="s">
        <v>8715</v>
      </c>
      <c r="D464" s="27" t="s">
        <v>8716</v>
      </c>
      <c r="E464" s="28" t="s">
        <v>180</v>
      </c>
      <c r="F464" s="28" t="s">
        <v>7315</v>
      </c>
      <c r="G464" s="27" t="s">
        <v>8715</v>
      </c>
      <c r="H464" s="111" t="s">
        <v>203</v>
      </c>
      <c r="I464" s="111" t="s">
        <v>203</v>
      </c>
      <c r="J464" s="28" t="s">
        <v>423</v>
      </c>
      <c r="K464" s="28" t="s">
        <v>113</v>
      </c>
      <c r="L464" s="28" t="s">
        <v>1889</v>
      </c>
      <c r="M464" s="717"/>
      <c r="N464" s="729"/>
      <c r="O464" s="27" t="s">
        <v>8680</v>
      </c>
    </row>
    <row r="465" spans="1:15" ht="12.75" customHeight="1">
      <c r="A465" s="725" t="s">
        <v>8177</v>
      </c>
      <c r="B465" s="742"/>
      <c r="C465" s="726" t="s">
        <v>8717</v>
      </c>
      <c r="D465" s="726" t="s">
        <v>8186</v>
      </c>
      <c r="E465" s="740"/>
      <c r="F465" s="740"/>
      <c r="G465" s="727" t="s">
        <v>8187</v>
      </c>
      <c r="H465" s="740"/>
      <c r="I465" s="739"/>
      <c r="J465" s="741"/>
      <c r="K465" s="740"/>
      <c r="L465" s="740"/>
      <c r="M465" s="740"/>
      <c r="N465" s="741"/>
      <c r="O465" s="732" t="s">
        <v>8680</v>
      </c>
    </row>
    <row r="466" spans="1:15" ht="12.75" customHeight="1">
      <c r="A466" s="701" t="s">
        <v>8177</v>
      </c>
      <c r="B466" s="699" t="s">
        <v>8718</v>
      </c>
      <c r="C466" s="27" t="s">
        <v>8719</v>
      </c>
      <c r="D466" s="27" t="s">
        <v>8720</v>
      </c>
      <c r="E466" s="28" t="s">
        <v>180</v>
      </c>
      <c r="F466" s="28" t="s">
        <v>7315</v>
      </c>
      <c r="G466" s="27" t="s">
        <v>8719</v>
      </c>
      <c r="H466" s="111" t="s">
        <v>203</v>
      </c>
      <c r="I466" s="111" t="s">
        <v>203</v>
      </c>
      <c r="J466" s="28" t="s">
        <v>423</v>
      </c>
      <c r="K466" s="28" t="s">
        <v>113</v>
      </c>
      <c r="L466" s="28" t="s">
        <v>1889</v>
      </c>
      <c r="M466" s="717"/>
      <c r="N466" s="729"/>
      <c r="O466" s="27" t="s">
        <v>8680</v>
      </c>
    </row>
    <row r="467" spans="1:15" ht="12.75" customHeight="1">
      <c r="A467" s="701" t="s">
        <v>8177</v>
      </c>
      <c r="B467" s="699" t="s">
        <v>8721</v>
      </c>
      <c r="C467" s="27" t="s">
        <v>8722</v>
      </c>
      <c r="D467" s="27" t="s">
        <v>8723</v>
      </c>
      <c r="E467" s="28" t="s">
        <v>180</v>
      </c>
      <c r="F467" s="28" t="s">
        <v>7315</v>
      </c>
      <c r="G467" s="27" t="s">
        <v>8722</v>
      </c>
      <c r="H467" s="111" t="s">
        <v>203</v>
      </c>
      <c r="I467" s="111" t="s">
        <v>203</v>
      </c>
      <c r="J467" s="28" t="s">
        <v>423</v>
      </c>
      <c r="K467" s="28" t="s">
        <v>113</v>
      </c>
      <c r="L467" s="28" t="s">
        <v>1889</v>
      </c>
      <c r="M467" s="717"/>
      <c r="N467" s="729"/>
      <c r="O467" s="27" t="s">
        <v>8680</v>
      </c>
    </row>
    <row r="468" spans="1:15" ht="12.75" customHeight="1">
      <c r="A468" s="701" t="s">
        <v>8177</v>
      </c>
      <c r="B468" s="699" t="s">
        <v>8724</v>
      </c>
      <c r="C468" s="27" t="s">
        <v>8725</v>
      </c>
      <c r="D468" s="27" t="s">
        <v>8726</v>
      </c>
      <c r="E468" s="28" t="s">
        <v>180</v>
      </c>
      <c r="F468" s="28" t="s">
        <v>7315</v>
      </c>
      <c r="G468" s="27" t="s">
        <v>8725</v>
      </c>
      <c r="H468" s="111" t="s">
        <v>203</v>
      </c>
      <c r="I468" s="111" t="s">
        <v>203</v>
      </c>
      <c r="J468" s="28" t="s">
        <v>423</v>
      </c>
      <c r="K468" s="28" t="s">
        <v>113</v>
      </c>
      <c r="L468" s="28" t="s">
        <v>1889</v>
      </c>
      <c r="M468" s="717"/>
      <c r="N468" s="729"/>
      <c r="O468" s="27" t="s">
        <v>8680</v>
      </c>
    </row>
    <row r="469" spans="1:15" ht="12.75" customHeight="1">
      <c r="A469" s="701" t="s">
        <v>8177</v>
      </c>
      <c r="B469" s="699" t="s">
        <v>8727</v>
      </c>
      <c r="C469" s="27" t="s">
        <v>8728</v>
      </c>
      <c r="D469" s="27" t="s">
        <v>8728</v>
      </c>
      <c r="E469" s="28" t="s">
        <v>180</v>
      </c>
      <c r="F469" s="28" t="s">
        <v>7315</v>
      </c>
      <c r="G469" s="27" t="s">
        <v>8728</v>
      </c>
      <c r="H469" s="111" t="s">
        <v>203</v>
      </c>
      <c r="I469" s="111" t="s">
        <v>203</v>
      </c>
      <c r="J469" s="28" t="s">
        <v>423</v>
      </c>
      <c r="K469" s="28" t="s">
        <v>113</v>
      </c>
      <c r="L469" s="28" t="s">
        <v>1889</v>
      </c>
      <c r="M469" s="717"/>
      <c r="N469" s="729"/>
      <c r="O469" s="27" t="s">
        <v>8680</v>
      </c>
    </row>
    <row r="470" spans="1:15" ht="12.75" customHeight="1">
      <c r="A470" s="725" t="s">
        <v>8177</v>
      </c>
      <c r="B470" s="742"/>
      <c r="C470" s="726" t="s">
        <v>8729</v>
      </c>
      <c r="D470" s="726" t="s">
        <v>8730</v>
      </c>
      <c r="E470" s="740"/>
      <c r="F470" s="740"/>
      <c r="G470" s="727" t="s">
        <v>8187</v>
      </c>
      <c r="H470" s="740"/>
      <c r="I470" s="739"/>
      <c r="J470" s="741"/>
      <c r="K470" s="740"/>
      <c r="L470" s="740"/>
      <c r="M470" s="740"/>
      <c r="N470" s="741"/>
      <c r="O470" s="732" t="s">
        <v>8732</v>
      </c>
    </row>
    <row r="471" spans="1:15" ht="12.75" customHeight="1">
      <c r="A471" s="701" t="s">
        <v>8177</v>
      </c>
      <c r="B471" s="699" t="s">
        <v>8733</v>
      </c>
      <c r="C471" s="27" t="s">
        <v>5853</v>
      </c>
      <c r="D471" s="27" t="s">
        <v>8734</v>
      </c>
      <c r="E471" s="28" t="s">
        <v>180</v>
      </c>
      <c r="F471" s="28" t="s">
        <v>7315</v>
      </c>
      <c r="G471" s="27" t="s">
        <v>5853</v>
      </c>
      <c r="H471" s="111" t="s">
        <v>203</v>
      </c>
      <c r="I471" s="111" t="s">
        <v>203</v>
      </c>
      <c r="J471" s="28" t="s">
        <v>423</v>
      </c>
      <c r="K471" s="28" t="s">
        <v>113</v>
      </c>
      <c r="L471" s="28" t="s">
        <v>1889</v>
      </c>
      <c r="M471" s="717"/>
      <c r="N471" s="729"/>
      <c r="O471" s="27" t="s">
        <v>8732</v>
      </c>
    </row>
    <row r="472" spans="1:15" ht="12.75" customHeight="1">
      <c r="A472" s="701" t="s">
        <v>8177</v>
      </c>
      <c r="B472" s="699" t="s">
        <v>8735</v>
      </c>
      <c r="C472" s="27" t="s">
        <v>8736</v>
      </c>
      <c r="D472" s="27" t="s">
        <v>8737</v>
      </c>
      <c r="E472" s="28" t="s">
        <v>180</v>
      </c>
      <c r="F472" s="28" t="s">
        <v>7315</v>
      </c>
      <c r="G472" s="27" t="s">
        <v>8736</v>
      </c>
      <c r="H472" s="111" t="s">
        <v>203</v>
      </c>
      <c r="I472" s="111" t="s">
        <v>203</v>
      </c>
      <c r="J472" s="28" t="s">
        <v>423</v>
      </c>
      <c r="K472" s="28" t="s">
        <v>113</v>
      </c>
      <c r="L472" s="28" t="s">
        <v>1889</v>
      </c>
      <c r="M472" s="717"/>
      <c r="N472" s="729"/>
      <c r="O472" s="27" t="s">
        <v>8732</v>
      </c>
    </row>
    <row r="473" spans="1:15" ht="12.75" customHeight="1">
      <c r="A473" s="701" t="s">
        <v>8177</v>
      </c>
      <c r="B473" s="699" t="s">
        <v>8738</v>
      </c>
      <c r="C473" s="27" t="s">
        <v>5858</v>
      </c>
      <c r="D473" s="27" t="s">
        <v>8739</v>
      </c>
      <c r="E473" s="28" t="s">
        <v>180</v>
      </c>
      <c r="F473" s="28" t="s">
        <v>7315</v>
      </c>
      <c r="G473" s="27" t="s">
        <v>5858</v>
      </c>
      <c r="H473" s="111" t="s">
        <v>203</v>
      </c>
      <c r="I473" s="111" t="s">
        <v>203</v>
      </c>
      <c r="J473" s="28" t="s">
        <v>423</v>
      </c>
      <c r="K473" s="28" t="s">
        <v>113</v>
      </c>
      <c r="L473" s="28" t="s">
        <v>1889</v>
      </c>
      <c r="M473" s="717"/>
      <c r="N473" s="729"/>
      <c r="O473" s="27" t="s">
        <v>8740</v>
      </c>
    </row>
    <row r="474" spans="1:15" ht="12.75" customHeight="1">
      <c r="A474" s="701" t="s">
        <v>8177</v>
      </c>
      <c r="B474" s="699" t="s">
        <v>8741</v>
      </c>
      <c r="C474" s="27" t="s">
        <v>5864</v>
      </c>
      <c r="D474" s="27" t="s">
        <v>8742</v>
      </c>
      <c r="E474" s="28" t="s">
        <v>180</v>
      </c>
      <c r="F474" s="28" t="s">
        <v>7315</v>
      </c>
      <c r="G474" s="27" t="s">
        <v>5864</v>
      </c>
      <c r="H474" s="111" t="s">
        <v>203</v>
      </c>
      <c r="I474" s="111" t="s">
        <v>203</v>
      </c>
      <c r="J474" s="28" t="s">
        <v>423</v>
      </c>
      <c r="K474" s="28" t="s">
        <v>113</v>
      </c>
      <c r="L474" s="28" t="s">
        <v>1889</v>
      </c>
      <c r="M474" s="717"/>
      <c r="N474" s="729"/>
      <c r="O474" s="27" t="s">
        <v>8743</v>
      </c>
    </row>
    <row r="475" spans="1:15" ht="12.75" customHeight="1">
      <c r="A475" s="701" t="s">
        <v>8177</v>
      </c>
      <c r="B475" s="699" t="s">
        <v>8744</v>
      </c>
      <c r="C475" s="27" t="s">
        <v>5869</v>
      </c>
      <c r="D475" s="27" t="s">
        <v>8745</v>
      </c>
      <c r="E475" s="28" t="s">
        <v>180</v>
      </c>
      <c r="F475" s="28" t="s">
        <v>7315</v>
      </c>
      <c r="G475" s="27" t="s">
        <v>5869</v>
      </c>
      <c r="H475" s="111" t="s">
        <v>203</v>
      </c>
      <c r="I475" s="111" t="s">
        <v>203</v>
      </c>
      <c r="J475" s="28" t="s">
        <v>423</v>
      </c>
      <c r="K475" s="28" t="s">
        <v>113</v>
      </c>
      <c r="L475" s="28" t="s">
        <v>1889</v>
      </c>
      <c r="M475" s="717"/>
      <c r="N475" s="729"/>
      <c r="O475" s="27" t="s">
        <v>8746</v>
      </c>
    </row>
    <row r="476" spans="1:15" ht="12.75" customHeight="1">
      <c r="A476" s="701" t="s">
        <v>8177</v>
      </c>
      <c r="B476" s="699" t="s">
        <v>8747</v>
      </c>
      <c r="C476" s="27" t="s">
        <v>5802</v>
      </c>
      <c r="D476" s="27" t="s">
        <v>8748</v>
      </c>
      <c r="E476" s="28" t="s">
        <v>180</v>
      </c>
      <c r="F476" s="28" t="s">
        <v>7315</v>
      </c>
      <c r="G476" s="27" t="s">
        <v>5802</v>
      </c>
      <c r="H476" s="111" t="s">
        <v>203</v>
      </c>
      <c r="I476" s="111" t="s">
        <v>203</v>
      </c>
      <c r="J476" s="28" t="s">
        <v>423</v>
      </c>
      <c r="K476" s="28" t="s">
        <v>113</v>
      </c>
      <c r="L476" s="28" t="s">
        <v>1889</v>
      </c>
      <c r="M476" s="717"/>
      <c r="N476" s="729"/>
      <c r="O476" s="27" t="s">
        <v>8732</v>
      </c>
    </row>
    <row r="477" spans="1:15" ht="12.75" customHeight="1">
      <c r="A477" s="701" t="s">
        <v>8177</v>
      </c>
      <c r="B477" s="699" t="s">
        <v>8749</v>
      </c>
      <c r="C477" s="27" t="s">
        <v>5813</v>
      </c>
      <c r="D477" s="27" t="s">
        <v>8750</v>
      </c>
      <c r="E477" s="28" t="s">
        <v>180</v>
      </c>
      <c r="F477" s="28" t="s">
        <v>7315</v>
      </c>
      <c r="G477" s="27" t="s">
        <v>5813</v>
      </c>
      <c r="H477" s="111" t="s">
        <v>203</v>
      </c>
      <c r="I477" s="111" t="s">
        <v>203</v>
      </c>
      <c r="J477" s="28" t="s">
        <v>423</v>
      </c>
      <c r="K477" s="28" t="s">
        <v>113</v>
      </c>
      <c r="L477" s="28" t="s">
        <v>1889</v>
      </c>
      <c r="M477" s="717"/>
      <c r="N477" s="729"/>
      <c r="O477" s="27" t="s">
        <v>8732</v>
      </c>
    </row>
    <row r="478" spans="1:15" ht="12.75" customHeight="1">
      <c r="A478" s="701" t="s">
        <v>8177</v>
      </c>
      <c r="B478" s="699" t="s">
        <v>8751</v>
      </c>
      <c r="C478" s="27" t="s">
        <v>5820</v>
      </c>
      <c r="D478" s="27" t="s">
        <v>8752</v>
      </c>
      <c r="E478" s="28" t="s">
        <v>180</v>
      </c>
      <c r="F478" s="28" t="s">
        <v>7315</v>
      </c>
      <c r="G478" s="27" t="s">
        <v>5820</v>
      </c>
      <c r="H478" s="111" t="s">
        <v>203</v>
      </c>
      <c r="I478" s="111" t="s">
        <v>203</v>
      </c>
      <c r="J478" s="28" t="s">
        <v>423</v>
      </c>
      <c r="K478" s="28" t="s">
        <v>113</v>
      </c>
      <c r="L478" s="28" t="s">
        <v>1889</v>
      </c>
      <c r="M478" s="717"/>
      <c r="N478" s="729"/>
      <c r="O478" s="27" t="s">
        <v>8732</v>
      </c>
    </row>
    <row r="479" spans="1:15" ht="12.75" customHeight="1">
      <c r="A479" s="701" t="s">
        <v>8177</v>
      </c>
      <c r="B479" s="699" t="s">
        <v>8754</v>
      </c>
      <c r="C479" s="27" t="s">
        <v>8755</v>
      </c>
      <c r="D479" s="27" t="s">
        <v>8756</v>
      </c>
      <c r="E479" s="28" t="s">
        <v>180</v>
      </c>
      <c r="F479" s="28" t="s">
        <v>7315</v>
      </c>
      <c r="G479" s="27" t="s">
        <v>8755</v>
      </c>
      <c r="H479" s="111" t="s">
        <v>203</v>
      </c>
      <c r="I479" s="111" t="s">
        <v>203</v>
      </c>
      <c r="J479" s="28" t="s">
        <v>423</v>
      </c>
      <c r="K479" s="28" t="s">
        <v>113</v>
      </c>
      <c r="L479" s="28" t="s">
        <v>1889</v>
      </c>
      <c r="M479" s="717"/>
      <c r="N479" s="729"/>
      <c r="O479" s="27" t="s">
        <v>8760</v>
      </c>
    </row>
    <row r="480" spans="1:15" ht="12.75" customHeight="1">
      <c r="A480" s="701" t="s">
        <v>8177</v>
      </c>
      <c r="B480" s="699" t="s">
        <v>8761</v>
      </c>
      <c r="C480" s="27" t="s">
        <v>8762</v>
      </c>
      <c r="D480" s="27" t="s">
        <v>8763</v>
      </c>
      <c r="E480" s="28" t="s">
        <v>180</v>
      </c>
      <c r="F480" s="28" t="s">
        <v>7315</v>
      </c>
      <c r="G480" s="27" t="s">
        <v>8762</v>
      </c>
      <c r="H480" s="111" t="s">
        <v>203</v>
      </c>
      <c r="I480" s="111" t="s">
        <v>203</v>
      </c>
      <c r="J480" s="28" t="s">
        <v>423</v>
      </c>
      <c r="K480" s="28" t="s">
        <v>113</v>
      </c>
      <c r="L480" s="28" t="s">
        <v>1889</v>
      </c>
      <c r="M480" s="717"/>
      <c r="N480" s="729"/>
      <c r="O480" s="27" t="s">
        <v>8732</v>
      </c>
    </row>
    <row r="481" spans="1:15" ht="12.75" customHeight="1">
      <c r="A481" s="701" t="s">
        <v>8177</v>
      </c>
      <c r="B481" s="699" t="s">
        <v>8764</v>
      </c>
      <c r="C481" s="27" t="s">
        <v>5842</v>
      </c>
      <c r="D481" s="27" t="s">
        <v>8765</v>
      </c>
      <c r="E481" s="28" t="s">
        <v>180</v>
      </c>
      <c r="F481" s="28" t="s">
        <v>7315</v>
      </c>
      <c r="G481" s="27" t="s">
        <v>5842</v>
      </c>
      <c r="H481" s="111" t="s">
        <v>203</v>
      </c>
      <c r="I481" s="111" t="s">
        <v>203</v>
      </c>
      <c r="J481" s="28" t="s">
        <v>423</v>
      </c>
      <c r="K481" s="28" t="s">
        <v>113</v>
      </c>
      <c r="L481" s="28" t="s">
        <v>1889</v>
      </c>
      <c r="M481" s="717"/>
      <c r="N481" s="729"/>
      <c r="O481" s="27" t="s">
        <v>8766</v>
      </c>
    </row>
    <row r="482" spans="1:15" ht="12.75" customHeight="1">
      <c r="A482" s="701" t="s">
        <v>8177</v>
      </c>
      <c r="B482" s="699" t="s">
        <v>8767</v>
      </c>
      <c r="C482" s="27" t="s">
        <v>5847</v>
      </c>
      <c r="D482" s="27" t="s">
        <v>8768</v>
      </c>
      <c r="E482" s="28" t="s">
        <v>180</v>
      </c>
      <c r="F482" s="28" t="s">
        <v>7315</v>
      </c>
      <c r="G482" s="27" t="s">
        <v>5847</v>
      </c>
      <c r="H482" s="111" t="s">
        <v>203</v>
      </c>
      <c r="I482" s="111" t="s">
        <v>203</v>
      </c>
      <c r="J482" s="28" t="s">
        <v>423</v>
      </c>
      <c r="K482" s="28" t="s">
        <v>113</v>
      </c>
      <c r="L482" s="28" t="s">
        <v>1889</v>
      </c>
      <c r="M482" s="717"/>
      <c r="N482" s="729"/>
      <c r="O482" s="27" t="s">
        <v>8770</v>
      </c>
    </row>
    <row r="483" spans="1:15" ht="12.75" customHeight="1">
      <c r="A483" s="701" t="s">
        <v>8177</v>
      </c>
      <c r="B483" s="699" t="s">
        <v>8771</v>
      </c>
      <c r="C483" s="28" t="s">
        <v>8772</v>
      </c>
      <c r="D483" s="28" t="s">
        <v>8773</v>
      </c>
      <c r="E483" s="28" t="s">
        <v>3177</v>
      </c>
      <c r="F483" s="28" t="s">
        <v>3121</v>
      </c>
      <c r="G483" s="28"/>
      <c r="H483" s="28" t="s">
        <v>203</v>
      </c>
      <c r="I483" s="111" t="s">
        <v>8775</v>
      </c>
      <c r="J483" s="28" t="s">
        <v>8776</v>
      </c>
      <c r="K483" s="28" t="s">
        <v>208</v>
      </c>
      <c r="L483" s="28" t="s">
        <v>3098</v>
      </c>
      <c r="M483" s="111" t="s">
        <v>8777</v>
      </c>
      <c r="N483" s="28"/>
      <c r="O483" s="28" t="s">
        <v>4430</v>
      </c>
    </row>
    <row r="484" spans="1:15" ht="12.75" customHeight="1">
      <c r="A484" s="701" t="s">
        <v>8177</v>
      </c>
      <c r="B484" s="699" t="s">
        <v>8778</v>
      </c>
      <c r="C484" s="28">
        <v>1</v>
      </c>
      <c r="D484" s="28" t="s">
        <v>4436</v>
      </c>
      <c r="E484" s="28" t="s">
        <v>203</v>
      </c>
      <c r="F484" s="28" t="s">
        <v>7315</v>
      </c>
      <c r="G484" s="28">
        <v>1</v>
      </c>
      <c r="H484" s="28" t="s">
        <v>203</v>
      </c>
      <c r="I484" s="111" t="s">
        <v>8775</v>
      </c>
      <c r="J484" s="28" t="s">
        <v>423</v>
      </c>
      <c r="K484" s="28" t="s">
        <v>208</v>
      </c>
      <c r="L484" s="28" t="s">
        <v>3178</v>
      </c>
      <c r="M484" s="111" t="s">
        <v>8777</v>
      </c>
      <c r="N484" s="28"/>
      <c r="O484" s="28" t="s">
        <v>4429</v>
      </c>
    </row>
    <row r="485" spans="1:15" ht="12.75" customHeight="1">
      <c r="A485" s="701" t="s">
        <v>8177</v>
      </c>
      <c r="B485" s="699" t="s">
        <v>8779</v>
      </c>
      <c r="C485" s="28">
        <v>2</v>
      </c>
      <c r="D485" s="28" t="s">
        <v>4440</v>
      </c>
      <c r="E485" s="28" t="s">
        <v>203</v>
      </c>
      <c r="F485" s="28" t="s">
        <v>7315</v>
      </c>
      <c r="G485" s="28">
        <v>2</v>
      </c>
      <c r="H485" s="28" t="s">
        <v>203</v>
      </c>
      <c r="I485" s="111" t="s">
        <v>8775</v>
      </c>
      <c r="J485" s="28" t="s">
        <v>423</v>
      </c>
      <c r="K485" s="28" t="s">
        <v>208</v>
      </c>
      <c r="L485" s="28" t="s">
        <v>3178</v>
      </c>
      <c r="M485" s="111" t="s">
        <v>8777</v>
      </c>
      <c r="N485" s="28"/>
      <c r="O485" s="28"/>
    </row>
    <row r="486" spans="1:15" ht="12.75" customHeight="1">
      <c r="A486" s="701" t="s">
        <v>8177</v>
      </c>
      <c r="B486" s="699" t="s">
        <v>8780</v>
      </c>
      <c r="C486" s="28">
        <v>3</v>
      </c>
      <c r="D486" s="28" t="s">
        <v>4443</v>
      </c>
      <c r="E486" s="28" t="s">
        <v>203</v>
      </c>
      <c r="F486" s="28" t="s">
        <v>7315</v>
      </c>
      <c r="G486" s="28">
        <v>3</v>
      </c>
      <c r="H486" s="28" t="s">
        <v>203</v>
      </c>
      <c r="I486" s="111" t="s">
        <v>8775</v>
      </c>
      <c r="J486" s="28" t="s">
        <v>423</v>
      </c>
      <c r="K486" s="28" t="s">
        <v>208</v>
      </c>
      <c r="L486" s="28" t="s">
        <v>3178</v>
      </c>
      <c r="M486" s="111" t="s">
        <v>8777</v>
      </c>
      <c r="N486" s="28"/>
      <c r="O486" s="28"/>
    </row>
    <row r="487" spans="1:15" ht="12.75" customHeight="1">
      <c r="A487" s="701" t="s">
        <v>8177</v>
      </c>
      <c r="B487" s="699" t="s">
        <v>8782</v>
      </c>
      <c r="C487" s="28">
        <v>4</v>
      </c>
      <c r="D487" s="28" t="s">
        <v>4446</v>
      </c>
      <c r="E487" s="28" t="s">
        <v>203</v>
      </c>
      <c r="F487" s="28" t="s">
        <v>7315</v>
      </c>
      <c r="G487" s="28">
        <v>4</v>
      </c>
      <c r="H487" s="28" t="s">
        <v>203</v>
      </c>
      <c r="I487" s="111" t="s">
        <v>8775</v>
      </c>
      <c r="J487" s="28" t="s">
        <v>423</v>
      </c>
      <c r="K487" s="28" t="s">
        <v>208</v>
      </c>
      <c r="L487" s="28" t="s">
        <v>3178</v>
      </c>
      <c r="M487" s="111" t="s">
        <v>8777</v>
      </c>
      <c r="N487" s="28"/>
      <c r="O487" s="28"/>
    </row>
    <row r="488" spans="1:15" ht="12.75" customHeight="1">
      <c r="A488" s="703" t="s">
        <v>8784</v>
      </c>
      <c r="B488" s="699" t="s">
        <v>8785</v>
      </c>
      <c r="C488" s="28" t="s">
        <v>8787</v>
      </c>
      <c r="D488" s="28" t="s">
        <v>8788</v>
      </c>
      <c r="E488" s="28" t="s">
        <v>203</v>
      </c>
      <c r="F488" s="28" t="s">
        <v>3169</v>
      </c>
      <c r="G488" s="28" t="s">
        <v>3170</v>
      </c>
      <c r="H488" s="28" t="s">
        <v>203</v>
      </c>
      <c r="I488" s="111" t="s">
        <v>8789</v>
      </c>
      <c r="J488" s="28" t="s">
        <v>423</v>
      </c>
      <c r="K488" s="28" t="s">
        <v>208</v>
      </c>
      <c r="L488" s="28" t="s">
        <v>3098</v>
      </c>
      <c r="M488" s="28"/>
      <c r="N488" s="28"/>
      <c r="O488" s="28" t="s">
        <v>8791</v>
      </c>
    </row>
    <row r="489" spans="1:15" ht="12.75" customHeight="1">
      <c r="A489" s="701" t="s">
        <v>8177</v>
      </c>
      <c r="B489" s="699" t="s">
        <v>8792</v>
      </c>
      <c r="C489" s="28" t="s">
        <v>4455</v>
      </c>
      <c r="D489" s="28" t="s">
        <v>8793</v>
      </c>
      <c r="E489" s="28" t="s">
        <v>203</v>
      </c>
      <c r="F489" s="28" t="s">
        <v>7315</v>
      </c>
      <c r="G489" s="28" t="s">
        <v>4455</v>
      </c>
      <c r="H489" s="28" t="s">
        <v>203</v>
      </c>
      <c r="I489" s="111" t="s">
        <v>8775</v>
      </c>
      <c r="J489" s="28" t="s">
        <v>423</v>
      </c>
      <c r="K489" s="28" t="s">
        <v>208</v>
      </c>
      <c r="L489" s="28" t="s">
        <v>3178</v>
      </c>
      <c r="M489" s="111" t="s">
        <v>8794</v>
      </c>
      <c r="N489" s="28"/>
      <c r="O489" s="28" t="s">
        <v>4429</v>
      </c>
    </row>
    <row r="490" spans="1:15" ht="12.75" customHeight="1">
      <c r="A490" s="701" t="s">
        <v>8177</v>
      </c>
      <c r="B490" s="699" t="s">
        <v>8795</v>
      </c>
      <c r="C490" s="28" t="s">
        <v>8797</v>
      </c>
      <c r="D490" s="28" t="s">
        <v>8798</v>
      </c>
      <c r="E490" s="28" t="s">
        <v>203</v>
      </c>
      <c r="F490" s="28" t="s">
        <v>7315</v>
      </c>
      <c r="G490" s="28" t="s">
        <v>8797</v>
      </c>
      <c r="H490" s="28" t="s">
        <v>203</v>
      </c>
      <c r="I490" s="111" t="s">
        <v>8775</v>
      </c>
      <c r="J490" s="28" t="s">
        <v>423</v>
      </c>
      <c r="K490" s="28" t="s">
        <v>208</v>
      </c>
      <c r="L490" s="28" t="s">
        <v>3178</v>
      </c>
      <c r="M490" s="111" t="s">
        <v>8794</v>
      </c>
      <c r="N490" s="28"/>
      <c r="O490" s="28"/>
    </row>
    <row r="491" spans="1:15" ht="12.75" customHeight="1">
      <c r="A491" s="701" t="s">
        <v>8177</v>
      </c>
      <c r="B491" s="699" t="s">
        <v>8801</v>
      </c>
      <c r="C491" s="28" t="s">
        <v>4463</v>
      </c>
      <c r="D491" s="28" t="s">
        <v>4462</v>
      </c>
      <c r="E491" s="28" t="s">
        <v>203</v>
      </c>
      <c r="F491" s="28" t="s">
        <v>7315</v>
      </c>
      <c r="G491" s="28" t="s">
        <v>4463</v>
      </c>
      <c r="H491" s="28" t="s">
        <v>203</v>
      </c>
      <c r="I491" s="111" t="s">
        <v>8775</v>
      </c>
      <c r="J491" s="28" t="s">
        <v>423</v>
      </c>
      <c r="K491" s="28" t="s">
        <v>208</v>
      </c>
      <c r="L491" s="28" t="s">
        <v>3178</v>
      </c>
      <c r="M491" s="111" t="s">
        <v>8794</v>
      </c>
      <c r="N491" s="28"/>
      <c r="O491" s="28"/>
    </row>
    <row r="492" spans="1:15" ht="12.75" customHeight="1">
      <c r="A492" s="701" t="s">
        <v>8177</v>
      </c>
      <c r="B492" s="699" t="s">
        <v>8802</v>
      </c>
      <c r="C492" s="28" t="s">
        <v>4467</v>
      </c>
      <c r="D492" s="28" t="s">
        <v>4466</v>
      </c>
      <c r="E492" s="28" t="s">
        <v>203</v>
      </c>
      <c r="F492" s="28" t="s">
        <v>7315</v>
      </c>
      <c r="G492" s="28" t="s">
        <v>4467</v>
      </c>
      <c r="H492" s="28" t="s">
        <v>203</v>
      </c>
      <c r="I492" s="111" t="s">
        <v>8775</v>
      </c>
      <c r="J492" s="28" t="s">
        <v>423</v>
      </c>
      <c r="K492" s="28" t="s">
        <v>208</v>
      </c>
      <c r="L492" s="28" t="s">
        <v>3178</v>
      </c>
      <c r="M492" s="111" t="s">
        <v>8803</v>
      </c>
      <c r="N492" s="28"/>
      <c r="O492" s="28"/>
    </row>
    <row r="493" spans="1:15" ht="12.75" customHeight="1">
      <c r="A493" s="703" t="s">
        <v>8804</v>
      </c>
      <c r="B493" s="699" t="s">
        <v>8805</v>
      </c>
      <c r="C493" s="28" t="s">
        <v>8806</v>
      </c>
      <c r="D493" s="28" t="s">
        <v>8807</v>
      </c>
      <c r="E493" s="28" t="s">
        <v>3326</v>
      </c>
      <c r="F493" s="28" t="s">
        <v>3121</v>
      </c>
      <c r="G493" s="28" t="s">
        <v>203</v>
      </c>
      <c r="H493" s="28" t="s">
        <v>203</v>
      </c>
      <c r="I493" s="111" t="s">
        <v>203</v>
      </c>
      <c r="J493" s="28" t="s">
        <v>423</v>
      </c>
      <c r="K493" s="28" t="s">
        <v>113</v>
      </c>
      <c r="L493" s="28" t="s">
        <v>3098</v>
      </c>
      <c r="M493" s="28"/>
      <c r="N493" s="28"/>
      <c r="O493" s="28"/>
    </row>
    <row r="494" spans="1:15" ht="12.75" customHeight="1">
      <c r="A494" s="703" t="s">
        <v>8804</v>
      </c>
      <c r="B494" s="699" t="s">
        <v>8808</v>
      </c>
      <c r="C494" s="28" t="s">
        <v>3559</v>
      </c>
      <c r="D494" s="28" t="s">
        <v>8141</v>
      </c>
      <c r="E494" s="28" t="s">
        <v>180</v>
      </c>
      <c r="F494" s="28" t="s">
        <v>7315</v>
      </c>
      <c r="G494" s="28" t="s">
        <v>7633</v>
      </c>
      <c r="H494" s="28" t="s">
        <v>203</v>
      </c>
      <c r="I494" s="28" t="s">
        <v>203</v>
      </c>
      <c r="J494" s="28" t="s">
        <v>423</v>
      </c>
      <c r="K494" s="28" t="s">
        <v>113</v>
      </c>
      <c r="L494" s="28" t="s">
        <v>3178</v>
      </c>
      <c r="M494" s="28" t="s">
        <v>8809</v>
      </c>
      <c r="N494" s="28"/>
      <c r="O494" s="28" t="s">
        <v>8143</v>
      </c>
    </row>
    <row r="495" spans="1:15" ht="12.75" customHeight="1">
      <c r="A495" s="703" t="s">
        <v>8804</v>
      </c>
      <c r="B495" s="699" t="s">
        <v>8810</v>
      </c>
      <c r="C495" s="28" t="s">
        <v>7635</v>
      </c>
      <c r="D495" s="28" t="s">
        <v>8145</v>
      </c>
      <c r="E495" s="28" t="s">
        <v>180</v>
      </c>
      <c r="F495" s="28" t="s">
        <v>7315</v>
      </c>
      <c r="G495" s="28" t="s">
        <v>3550</v>
      </c>
      <c r="H495" s="28" t="s">
        <v>203</v>
      </c>
      <c r="I495" s="28" t="s">
        <v>203</v>
      </c>
      <c r="J495" s="28" t="s">
        <v>423</v>
      </c>
      <c r="K495" s="28" t="s">
        <v>113</v>
      </c>
      <c r="L495" s="28" t="s">
        <v>3178</v>
      </c>
      <c r="M495" s="28" t="s">
        <v>8809</v>
      </c>
      <c r="N495" s="28"/>
      <c r="O495" s="28" t="s">
        <v>8143</v>
      </c>
    </row>
    <row r="496" spans="1:15" ht="12.75" customHeight="1">
      <c r="A496" s="703" t="s">
        <v>8804</v>
      </c>
      <c r="B496" s="699" t="s">
        <v>8812</v>
      </c>
      <c r="C496" s="28" t="s">
        <v>7642</v>
      </c>
      <c r="D496" s="28" t="s">
        <v>8147</v>
      </c>
      <c r="E496" s="28" t="s">
        <v>180</v>
      </c>
      <c r="F496" s="28" t="s">
        <v>7315</v>
      </c>
      <c r="G496" s="28" t="s">
        <v>7642</v>
      </c>
      <c r="H496" s="28" t="s">
        <v>203</v>
      </c>
      <c r="I496" s="28" t="s">
        <v>203</v>
      </c>
      <c r="J496" s="28" t="s">
        <v>423</v>
      </c>
      <c r="K496" s="28" t="s">
        <v>113</v>
      </c>
      <c r="L496" s="28" t="s">
        <v>3178</v>
      </c>
      <c r="M496" s="28" t="s">
        <v>8809</v>
      </c>
      <c r="N496" s="28"/>
      <c r="O496" s="28" t="s">
        <v>8143</v>
      </c>
    </row>
    <row r="497" spans="1:15" ht="12.75" customHeight="1">
      <c r="A497" s="703" t="s">
        <v>8804</v>
      </c>
      <c r="B497" s="699" t="s">
        <v>8816</v>
      </c>
      <c r="C497" s="28" t="s">
        <v>7647</v>
      </c>
      <c r="D497" s="28" t="s">
        <v>8149</v>
      </c>
      <c r="E497" s="28" t="s">
        <v>180</v>
      </c>
      <c r="F497" s="28" t="s">
        <v>7315</v>
      </c>
      <c r="G497" s="28" t="s">
        <v>7647</v>
      </c>
      <c r="H497" s="28" t="s">
        <v>203</v>
      </c>
      <c r="I497" s="28" t="s">
        <v>203</v>
      </c>
      <c r="J497" s="28" t="s">
        <v>423</v>
      </c>
      <c r="K497" s="28" t="s">
        <v>113</v>
      </c>
      <c r="L497" s="28" t="s">
        <v>3178</v>
      </c>
      <c r="M497" s="28" t="s">
        <v>8809</v>
      </c>
      <c r="N497" s="28"/>
      <c r="O497" s="28" t="s">
        <v>8143</v>
      </c>
    </row>
    <row r="498" spans="1:15" ht="12.75" customHeight="1">
      <c r="A498" s="703" t="s">
        <v>8804</v>
      </c>
      <c r="B498" s="699" t="s">
        <v>8817</v>
      </c>
      <c r="C498" s="28" t="s">
        <v>7653</v>
      </c>
      <c r="D498" s="28" t="s">
        <v>8151</v>
      </c>
      <c r="E498" s="28" t="s">
        <v>180</v>
      </c>
      <c r="F498" s="28" t="s">
        <v>7315</v>
      </c>
      <c r="G498" s="28" t="s">
        <v>7653</v>
      </c>
      <c r="H498" s="28" t="s">
        <v>203</v>
      </c>
      <c r="I498" s="28" t="s">
        <v>203</v>
      </c>
      <c r="J498" s="28" t="s">
        <v>423</v>
      </c>
      <c r="K498" s="28" t="s">
        <v>113</v>
      </c>
      <c r="L498" s="28" t="s">
        <v>3178</v>
      </c>
      <c r="M498" s="28" t="s">
        <v>8809</v>
      </c>
      <c r="N498" s="28"/>
      <c r="O498" s="28" t="s">
        <v>8143</v>
      </c>
    </row>
    <row r="499" spans="1:15" ht="12.75" customHeight="1">
      <c r="A499" s="703" t="s">
        <v>8804</v>
      </c>
      <c r="B499" s="699" t="s">
        <v>8818</v>
      </c>
      <c r="C499" s="28" t="s">
        <v>7658</v>
      </c>
      <c r="D499" s="111" t="s">
        <v>8153</v>
      </c>
      <c r="E499" s="28" t="s">
        <v>180</v>
      </c>
      <c r="F499" s="28" t="s">
        <v>7315</v>
      </c>
      <c r="G499" s="28" t="s">
        <v>7658</v>
      </c>
      <c r="H499" s="28" t="s">
        <v>203</v>
      </c>
      <c r="I499" s="28" t="s">
        <v>203</v>
      </c>
      <c r="J499" s="28" t="s">
        <v>423</v>
      </c>
      <c r="K499" s="28" t="s">
        <v>113</v>
      </c>
      <c r="L499" s="28" t="s">
        <v>3178</v>
      </c>
      <c r="M499" s="28" t="s">
        <v>8809</v>
      </c>
      <c r="N499" s="28"/>
      <c r="O499" s="28" t="s">
        <v>8143</v>
      </c>
    </row>
    <row r="500" spans="1:15" ht="12.75" customHeight="1">
      <c r="A500" s="703" t="s">
        <v>8804</v>
      </c>
      <c r="B500" s="699" t="s">
        <v>8820</v>
      </c>
      <c r="C500" s="28" t="s">
        <v>7661</v>
      </c>
      <c r="D500" s="28" t="s">
        <v>8155</v>
      </c>
      <c r="E500" s="28" t="s">
        <v>180</v>
      </c>
      <c r="F500" s="28" t="s">
        <v>7315</v>
      </c>
      <c r="G500" s="28" t="s">
        <v>7661</v>
      </c>
      <c r="H500" s="28" t="s">
        <v>203</v>
      </c>
      <c r="I500" s="28" t="s">
        <v>203</v>
      </c>
      <c r="J500" s="28" t="s">
        <v>423</v>
      </c>
      <c r="K500" s="28" t="s">
        <v>113</v>
      </c>
      <c r="L500" s="28" t="s">
        <v>3178</v>
      </c>
      <c r="M500" s="28" t="s">
        <v>8809</v>
      </c>
      <c r="N500" s="28"/>
      <c r="O500" s="28" t="s">
        <v>8143</v>
      </c>
    </row>
    <row r="501" spans="1:15" ht="12.75" customHeight="1">
      <c r="A501" s="703" t="s">
        <v>8804</v>
      </c>
      <c r="B501" s="699" t="s">
        <v>8821</v>
      </c>
      <c r="C501" s="28" t="s">
        <v>3688</v>
      </c>
      <c r="D501" s="28" t="s">
        <v>3688</v>
      </c>
      <c r="E501" s="28" t="s">
        <v>180</v>
      </c>
      <c r="F501" s="28" t="s">
        <v>7315</v>
      </c>
      <c r="G501" s="28" t="s">
        <v>3688</v>
      </c>
      <c r="H501" s="28" t="s">
        <v>203</v>
      </c>
      <c r="I501" s="28" t="s">
        <v>203</v>
      </c>
      <c r="J501" s="28" t="s">
        <v>423</v>
      </c>
      <c r="K501" s="28" t="s">
        <v>113</v>
      </c>
      <c r="L501" s="28" t="s">
        <v>3178</v>
      </c>
      <c r="M501" s="28" t="s">
        <v>8809</v>
      </c>
      <c r="N501" s="28"/>
      <c r="O501" s="28" t="s">
        <v>8143</v>
      </c>
    </row>
    <row r="502" spans="1:15" ht="12.75" customHeight="1">
      <c r="A502" s="703" t="s">
        <v>8804</v>
      </c>
      <c r="B502" s="699" t="s">
        <v>8822</v>
      </c>
      <c r="C502" s="28" t="s">
        <v>3697</v>
      </c>
      <c r="D502" s="28" t="s">
        <v>8158</v>
      </c>
      <c r="E502" s="28" t="s">
        <v>180</v>
      </c>
      <c r="F502" s="28" t="s">
        <v>7315</v>
      </c>
      <c r="G502" s="28" t="s">
        <v>3697</v>
      </c>
      <c r="H502" s="28" t="s">
        <v>203</v>
      </c>
      <c r="I502" s="28" t="s">
        <v>203</v>
      </c>
      <c r="J502" s="28" t="s">
        <v>423</v>
      </c>
      <c r="K502" s="28" t="s">
        <v>113</v>
      </c>
      <c r="L502" s="28" t="s">
        <v>3178</v>
      </c>
      <c r="M502" s="28" t="s">
        <v>8809</v>
      </c>
      <c r="N502" s="28"/>
      <c r="O502" s="28" t="s">
        <v>8143</v>
      </c>
    </row>
    <row r="503" spans="1:15" ht="12.75" customHeight="1">
      <c r="A503" s="703" t="s">
        <v>8804</v>
      </c>
      <c r="B503" s="699" t="s">
        <v>8824</v>
      </c>
      <c r="C503" s="28" t="s">
        <v>3596</v>
      </c>
      <c r="D503" s="28" t="s">
        <v>8160</v>
      </c>
      <c r="E503" s="28" t="s">
        <v>180</v>
      </c>
      <c r="F503" s="28" t="s">
        <v>7315</v>
      </c>
      <c r="G503" s="28" t="s">
        <v>3596</v>
      </c>
      <c r="H503" s="28" t="s">
        <v>203</v>
      </c>
      <c r="I503" s="28" t="s">
        <v>203</v>
      </c>
      <c r="J503" s="28" t="s">
        <v>423</v>
      </c>
      <c r="K503" s="28" t="s">
        <v>113</v>
      </c>
      <c r="L503" s="28" t="s">
        <v>3178</v>
      </c>
      <c r="M503" s="28" t="s">
        <v>8809</v>
      </c>
      <c r="N503" s="28"/>
      <c r="O503" s="28" t="s">
        <v>8143</v>
      </c>
    </row>
    <row r="504" spans="1:15" ht="12.75" customHeight="1">
      <c r="A504" s="703" t="s">
        <v>8804</v>
      </c>
      <c r="B504" s="699" t="s">
        <v>8825</v>
      </c>
      <c r="C504" s="28" t="s">
        <v>3604</v>
      </c>
      <c r="D504" s="28" t="s">
        <v>3604</v>
      </c>
      <c r="E504" s="28" t="s">
        <v>180</v>
      </c>
      <c r="F504" s="28" t="s">
        <v>7315</v>
      </c>
      <c r="G504" s="28" t="s">
        <v>3604</v>
      </c>
      <c r="H504" s="28" t="s">
        <v>203</v>
      </c>
      <c r="I504" s="28" t="s">
        <v>203</v>
      </c>
      <c r="J504" s="28" t="s">
        <v>423</v>
      </c>
      <c r="K504" s="28" t="s">
        <v>113</v>
      </c>
      <c r="L504" s="28" t="s">
        <v>3178</v>
      </c>
      <c r="M504" s="28" t="s">
        <v>8809</v>
      </c>
      <c r="N504" s="28"/>
      <c r="O504" s="28" t="s">
        <v>8143</v>
      </c>
    </row>
    <row r="505" spans="1:15" ht="12.75" customHeight="1">
      <c r="A505" s="703" t="s">
        <v>8804</v>
      </c>
      <c r="B505" s="699" t="s">
        <v>8829</v>
      </c>
      <c r="C505" s="28" t="s">
        <v>3613</v>
      </c>
      <c r="D505" s="28" t="s">
        <v>3613</v>
      </c>
      <c r="E505" s="28" t="s">
        <v>180</v>
      </c>
      <c r="F505" s="28" t="s">
        <v>7315</v>
      </c>
      <c r="G505" s="28" t="s">
        <v>3613</v>
      </c>
      <c r="H505" s="28" t="s">
        <v>203</v>
      </c>
      <c r="I505" s="28" t="s">
        <v>203</v>
      </c>
      <c r="J505" s="28" t="s">
        <v>423</v>
      </c>
      <c r="K505" s="28" t="s">
        <v>113</v>
      </c>
      <c r="L505" s="28" t="s">
        <v>3178</v>
      </c>
      <c r="M505" s="28" t="s">
        <v>8809</v>
      </c>
      <c r="N505" s="28"/>
      <c r="O505" s="28" t="s">
        <v>8143</v>
      </c>
    </row>
    <row r="506" spans="1:15" ht="12.75" customHeight="1">
      <c r="A506" s="703" t="s">
        <v>8804</v>
      </c>
      <c r="B506" s="699" t="s">
        <v>8830</v>
      </c>
      <c r="C506" s="28" t="s">
        <v>3761</v>
      </c>
      <c r="D506" s="28" t="s">
        <v>3761</v>
      </c>
      <c r="E506" s="28" t="s">
        <v>180</v>
      </c>
      <c r="F506" s="28" t="s">
        <v>7315</v>
      </c>
      <c r="G506" s="28" t="s">
        <v>3761</v>
      </c>
      <c r="H506" s="28" t="s">
        <v>203</v>
      </c>
      <c r="I506" s="28" t="s">
        <v>203</v>
      </c>
      <c r="J506" s="28" t="s">
        <v>423</v>
      </c>
      <c r="K506" s="28" t="s">
        <v>113</v>
      </c>
      <c r="L506" s="28" t="s">
        <v>3178</v>
      </c>
      <c r="M506" s="28" t="s">
        <v>8809</v>
      </c>
      <c r="N506" s="28"/>
      <c r="O506" s="28" t="s">
        <v>8143</v>
      </c>
    </row>
    <row r="507" spans="1:15" ht="12.75" customHeight="1">
      <c r="A507" s="703" t="s">
        <v>8804</v>
      </c>
      <c r="B507" s="699" t="s">
        <v>8831</v>
      </c>
      <c r="C507" s="28" t="s">
        <v>7682</v>
      </c>
      <c r="D507" s="28" t="s">
        <v>7682</v>
      </c>
      <c r="E507" s="28" t="s">
        <v>180</v>
      </c>
      <c r="F507" s="28" t="s">
        <v>7315</v>
      </c>
      <c r="G507" s="28" t="s">
        <v>7682</v>
      </c>
      <c r="H507" s="28" t="s">
        <v>203</v>
      </c>
      <c r="I507" s="28" t="s">
        <v>203</v>
      </c>
      <c r="J507" s="28" t="s">
        <v>423</v>
      </c>
      <c r="K507" s="28" t="s">
        <v>113</v>
      </c>
      <c r="L507" s="28" t="s">
        <v>3178</v>
      </c>
      <c r="M507" s="28" t="s">
        <v>8809</v>
      </c>
      <c r="N507" s="28"/>
      <c r="O507" s="28" t="s">
        <v>8143</v>
      </c>
    </row>
    <row r="508" spans="1:15" ht="12.75" customHeight="1">
      <c r="A508" s="703" t="s">
        <v>8804</v>
      </c>
      <c r="B508" s="699" t="s">
        <v>8833</v>
      </c>
      <c r="C508" s="28" t="s">
        <v>7686</v>
      </c>
      <c r="D508" s="28" t="s">
        <v>7686</v>
      </c>
      <c r="E508" s="28" t="s">
        <v>180</v>
      </c>
      <c r="F508" s="28" t="s">
        <v>7315</v>
      </c>
      <c r="G508" s="28" t="s">
        <v>7686</v>
      </c>
      <c r="H508" s="28" t="s">
        <v>203</v>
      </c>
      <c r="I508" s="28" t="s">
        <v>203</v>
      </c>
      <c r="J508" s="28" t="s">
        <v>423</v>
      </c>
      <c r="K508" s="28" t="s">
        <v>113</v>
      </c>
      <c r="L508" s="28" t="s">
        <v>3178</v>
      </c>
      <c r="M508" s="28" t="s">
        <v>8809</v>
      </c>
      <c r="N508" s="28"/>
      <c r="O508" s="28" t="s">
        <v>8143</v>
      </c>
    </row>
    <row r="509" spans="1:15" ht="12.75" customHeight="1">
      <c r="A509" s="703" t="s">
        <v>8804</v>
      </c>
      <c r="B509" s="699" t="s">
        <v>8834</v>
      </c>
      <c r="C509" s="28" t="s">
        <v>3679</v>
      </c>
      <c r="D509" s="28" t="s">
        <v>3679</v>
      </c>
      <c r="E509" s="28" t="s">
        <v>180</v>
      </c>
      <c r="F509" s="28" t="s">
        <v>7315</v>
      </c>
      <c r="G509" s="28" t="s">
        <v>3679</v>
      </c>
      <c r="H509" s="28" t="s">
        <v>203</v>
      </c>
      <c r="I509" s="28" t="s">
        <v>203</v>
      </c>
      <c r="J509" s="28" t="s">
        <v>423</v>
      </c>
      <c r="K509" s="28" t="s">
        <v>113</v>
      </c>
      <c r="L509" s="28" t="s">
        <v>3178</v>
      </c>
      <c r="M509" s="28" t="s">
        <v>8809</v>
      </c>
      <c r="N509" s="28"/>
      <c r="O509" s="28" t="s">
        <v>8143</v>
      </c>
    </row>
    <row r="510" spans="1:15" ht="12.75" customHeight="1">
      <c r="A510" s="703" t="s">
        <v>8804</v>
      </c>
      <c r="B510" s="699" t="s">
        <v>8835</v>
      </c>
      <c r="C510" s="28" t="s">
        <v>3754</v>
      </c>
      <c r="D510" s="28" t="s">
        <v>3754</v>
      </c>
      <c r="E510" s="28" t="s">
        <v>180</v>
      </c>
      <c r="F510" s="28" t="s">
        <v>7315</v>
      </c>
      <c r="G510" s="28" t="s">
        <v>3754</v>
      </c>
      <c r="H510" s="28" t="s">
        <v>203</v>
      </c>
      <c r="I510" s="28" t="s">
        <v>203</v>
      </c>
      <c r="J510" s="28" t="s">
        <v>423</v>
      </c>
      <c r="K510" s="28" t="s">
        <v>113</v>
      </c>
      <c r="L510" s="28" t="s">
        <v>3178</v>
      </c>
      <c r="M510" s="28" t="s">
        <v>8809</v>
      </c>
      <c r="N510" s="28"/>
      <c r="O510" s="28" t="s">
        <v>8143</v>
      </c>
    </row>
    <row r="511" spans="1:15" ht="12.75" customHeight="1">
      <c r="A511" s="703" t="s">
        <v>8804</v>
      </c>
      <c r="B511" s="699" t="s">
        <v>8836</v>
      </c>
      <c r="C511" s="28" t="s">
        <v>3729</v>
      </c>
      <c r="D511" s="28" t="s">
        <v>8171</v>
      </c>
      <c r="E511" s="28" t="s">
        <v>180</v>
      </c>
      <c r="F511" s="28" t="s">
        <v>7315</v>
      </c>
      <c r="G511" s="28" t="s">
        <v>3729</v>
      </c>
      <c r="H511" s="28" t="s">
        <v>203</v>
      </c>
      <c r="I511" s="28" t="s">
        <v>203</v>
      </c>
      <c r="J511" s="28" t="s">
        <v>423</v>
      </c>
      <c r="K511" s="28" t="s">
        <v>113</v>
      </c>
      <c r="L511" s="28" t="s">
        <v>3178</v>
      </c>
      <c r="M511" s="28" t="s">
        <v>8809</v>
      </c>
      <c r="N511" s="28"/>
      <c r="O511" s="28" t="s">
        <v>8143</v>
      </c>
    </row>
    <row r="512" spans="1:15" ht="12.75" customHeight="1">
      <c r="A512" s="703" t="s">
        <v>8804</v>
      </c>
      <c r="B512" s="699" t="s">
        <v>8838</v>
      </c>
      <c r="C512" s="28" t="s">
        <v>3722</v>
      </c>
      <c r="D512" s="28" t="s">
        <v>8173</v>
      </c>
      <c r="E512" s="28" t="s">
        <v>180</v>
      </c>
      <c r="F512" s="28" t="s">
        <v>7315</v>
      </c>
      <c r="G512" s="28" t="s">
        <v>3722</v>
      </c>
      <c r="H512" s="28" t="s">
        <v>203</v>
      </c>
      <c r="I512" s="28" t="s">
        <v>203</v>
      </c>
      <c r="J512" s="28" t="s">
        <v>423</v>
      </c>
      <c r="K512" s="28" t="s">
        <v>113</v>
      </c>
      <c r="L512" s="28" t="s">
        <v>3178</v>
      </c>
      <c r="M512" s="28" t="s">
        <v>8809</v>
      </c>
      <c r="N512" s="28"/>
      <c r="O512" s="28" t="s">
        <v>8143</v>
      </c>
    </row>
    <row r="513" spans="1:15" ht="12.75" customHeight="1">
      <c r="A513" s="703" t="s">
        <v>8804</v>
      </c>
      <c r="B513" s="699" t="s">
        <v>8839</v>
      </c>
      <c r="C513" s="28" t="s">
        <v>3748</v>
      </c>
      <c r="D513" s="28" t="s">
        <v>8175</v>
      </c>
      <c r="E513" s="28" t="s">
        <v>180</v>
      </c>
      <c r="F513" s="28" t="s">
        <v>7315</v>
      </c>
      <c r="G513" s="28" t="s">
        <v>3748</v>
      </c>
      <c r="H513" s="28" t="s">
        <v>203</v>
      </c>
      <c r="I513" s="28" t="s">
        <v>203</v>
      </c>
      <c r="J513" s="28" t="s">
        <v>423</v>
      </c>
      <c r="K513" s="28" t="s">
        <v>113</v>
      </c>
      <c r="L513" s="28" t="s">
        <v>3178</v>
      </c>
      <c r="M513" s="28" t="s">
        <v>8809</v>
      </c>
      <c r="N513" s="28"/>
      <c r="O513" s="28" t="s">
        <v>8143</v>
      </c>
    </row>
    <row r="514" spans="1:15" ht="12.75" customHeight="1">
      <c r="A514" s="703" t="s">
        <v>8804</v>
      </c>
      <c r="B514" s="699" t="s">
        <v>8841</v>
      </c>
      <c r="C514" s="28" t="s">
        <v>3543</v>
      </c>
      <c r="D514" s="28" t="s">
        <v>8843</v>
      </c>
      <c r="E514" s="28" t="s">
        <v>180</v>
      </c>
      <c r="F514" s="28" t="s">
        <v>7315</v>
      </c>
      <c r="G514" s="28" t="s">
        <v>3543</v>
      </c>
      <c r="H514" s="28" t="s">
        <v>203</v>
      </c>
      <c r="I514" s="28" t="s">
        <v>203</v>
      </c>
      <c r="J514" s="28" t="s">
        <v>423</v>
      </c>
      <c r="K514" s="28" t="s">
        <v>113</v>
      </c>
      <c r="L514" s="28" t="s">
        <v>3178</v>
      </c>
      <c r="M514" s="28" t="s">
        <v>8844</v>
      </c>
      <c r="N514" s="28"/>
      <c r="O514" s="28"/>
    </row>
    <row r="515" spans="1:15" ht="12.75" customHeight="1">
      <c r="A515" s="701" t="s">
        <v>8845</v>
      </c>
      <c r="B515" s="699" t="s">
        <v>8846</v>
      </c>
      <c r="C515" s="114" t="s">
        <v>8847</v>
      </c>
      <c r="D515" s="114" t="s">
        <v>8848</v>
      </c>
      <c r="E515" s="27" t="s">
        <v>3177</v>
      </c>
      <c r="F515" s="27" t="s">
        <v>3121</v>
      </c>
      <c r="G515" s="27"/>
      <c r="H515" s="28" t="s">
        <v>203</v>
      </c>
      <c r="I515" s="28" t="s">
        <v>203</v>
      </c>
      <c r="J515" s="28" t="s">
        <v>423</v>
      </c>
      <c r="K515" s="28" t="s">
        <v>113</v>
      </c>
      <c r="L515" s="28" t="s">
        <v>3098</v>
      </c>
      <c r="M515" s="114" t="s">
        <v>6024</v>
      </c>
      <c r="N515" s="27"/>
      <c r="O515" s="114"/>
    </row>
    <row r="516" spans="1:15" ht="12.75" customHeight="1">
      <c r="A516" s="701" t="s">
        <v>8845</v>
      </c>
      <c r="B516" s="699" t="s">
        <v>8849</v>
      </c>
      <c r="C516" s="27" t="s">
        <v>8850</v>
      </c>
      <c r="D516" s="27" t="s">
        <v>8851</v>
      </c>
      <c r="E516" s="27" t="s">
        <v>180</v>
      </c>
      <c r="F516" s="27" t="s">
        <v>7315</v>
      </c>
      <c r="G516" s="27" t="s">
        <v>8850</v>
      </c>
      <c r="H516" s="28" t="s">
        <v>203</v>
      </c>
      <c r="I516" s="28" t="s">
        <v>203</v>
      </c>
      <c r="J516" s="28" t="s">
        <v>423</v>
      </c>
      <c r="K516" s="28" t="s">
        <v>113</v>
      </c>
      <c r="L516" s="28" t="s">
        <v>3178</v>
      </c>
      <c r="M516" s="27" t="s">
        <v>8852</v>
      </c>
      <c r="N516" s="27"/>
      <c r="O516" s="27"/>
    </row>
    <row r="517" spans="1:15" ht="12.75" customHeight="1">
      <c r="A517" s="701" t="s">
        <v>8845</v>
      </c>
      <c r="B517" s="699" t="s">
        <v>8853</v>
      </c>
      <c r="C517" s="27" t="s">
        <v>3142</v>
      </c>
      <c r="D517" s="27" t="s">
        <v>8854</v>
      </c>
      <c r="E517" s="27" t="s">
        <v>180</v>
      </c>
      <c r="F517" s="27" t="s">
        <v>7315</v>
      </c>
      <c r="G517" s="27" t="s">
        <v>3142</v>
      </c>
      <c r="H517" s="28" t="s">
        <v>203</v>
      </c>
      <c r="I517" s="28" t="s">
        <v>203</v>
      </c>
      <c r="J517" s="28" t="s">
        <v>423</v>
      </c>
      <c r="K517" s="28" t="s">
        <v>113</v>
      </c>
      <c r="L517" s="28" t="s">
        <v>3178</v>
      </c>
      <c r="M517" s="27" t="s">
        <v>8852</v>
      </c>
      <c r="N517" s="27"/>
      <c r="O517" s="27"/>
    </row>
    <row r="518" spans="1:15" ht="12.75" customHeight="1">
      <c r="A518" s="699" t="s">
        <v>8855</v>
      </c>
      <c r="B518" s="699" t="s">
        <v>8856</v>
      </c>
      <c r="C518" s="114" t="s">
        <v>8857</v>
      </c>
      <c r="D518" s="111" t="s">
        <v>8858</v>
      </c>
      <c r="E518" s="28" t="s">
        <v>203</v>
      </c>
      <c r="F518" s="111" t="s">
        <v>3169</v>
      </c>
      <c r="G518" s="111" t="s">
        <v>3170</v>
      </c>
      <c r="H518" s="28" t="s">
        <v>203</v>
      </c>
      <c r="I518" s="114" t="s">
        <v>8859</v>
      </c>
      <c r="J518" s="111" t="s">
        <v>423</v>
      </c>
      <c r="K518" s="111" t="s">
        <v>208</v>
      </c>
      <c r="L518" s="111" t="s">
        <v>3178</v>
      </c>
      <c r="M518" s="111" t="s">
        <v>8860</v>
      </c>
      <c r="N518" s="743"/>
      <c r="O518" s="743" t="s">
        <v>8861</v>
      </c>
    </row>
    <row r="519" spans="1:15" ht="12.75" customHeight="1">
      <c r="A519" s="699" t="s">
        <v>8855</v>
      </c>
      <c r="B519" s="699" t="s">
        <v>8863</v>
      </c>
      <c r="C519" s="114" t="s">
        <v>8864</v>
      </c>
      <c r="D519" s="111" t="s">
        <v>8865</v>
      </c>
      <c r="E519" s="28" t="s">
        <v>203</v>
      </c>
      <c r="F519" s="111" t="s">
        <v>3169</v>
      </c>
      <c r="G519" s="111" t="s">
        <v>3170</v>
      </c>
      <c r="H519" s="28" t="s">
        <v>203</v>
      </c>
      <c r="I519" s="111" t="s">
        <v>203</v>
      </c>
      <c r="J519" s="111" t="s">
        <v>423</v>
      </c>
      <c r="K519" s="111" t="s">
        <v>113</v>
      </c>
      <c r="L519" s="111" t="s">
        <v>3178</v>
      </c>
      <c r="M519" s="111" t="s">
        <v>8860</v>
      </c>
      <c r="N519" s="743"/>
      <c r="O519" s="743" t="s">
        <v>8866</v>
      </c>
    </row>
    <row r="520" spans="1:15" ht="12.75" customHeight="1">
      <c r="A520" s="699" t="s">
        <v>8855</v>
      </c>
      <c r="B520" s="699" t="s">
        <v>8867</v>
      </c>
      <c r="C520" s="114" t="s">
        <v>8868</v>
      </c>
      <c r="D520" s="111" t="s">
        <v>8869</v>
      </c>
      <c r="E520" s="28" t="s">
        <v>203</v>
      </c>
      <c r="F520" s="111" t="s">
        <v>3169</v>
      </c>
      <c r="G520" s="111" t="s">
        <v>3170</v>
      </c>
      <c r="H520" s="28" t="s">
        <v>203</v>
      </c>
      <c r="I520" s="111" t="s">
        <v>203</v>
      </c>
      <c r="J520" s="111" t="s">
        <v>423</v>
      </c>
      <c r="K520" s="111" t="s">
        <v>113</v>
      </c>
      <c r="L520" s="111" t="s">
        <v>3178</v>
      </c>
      <c r="M520" s="111" t="s">
        <v>8860</v>
      </c>
      <c r="N520" s="743"/>
      <c r="O520" s="743" t="s">
        <v>8873</v>
      </c>
    </row>
    <row r="521" spans="1:15" ht="12.75" customHeight="1">
      <c r="A521" s="699" t="s">
        <v>8855</v>
      </c>
      <c r="B521" s="699" t="s">
        <v>8874</v>
      </c>
      <c r="C521" s="114" t="s">
        <v>8875</v>
      </c>
      <c r="D521" s="114" t="s">
        <v>8876</v>
      </c>
      <c r="E521" s="28" t="s">
        <v>203</v>
      </c>
      <c r="F521" s="111" t="s">
        <v>3169</v>
      </c>
      <c r="G521" s="111" t="s">
        <v>3170</v>
      </c>
      <c r="H521" s="28" t="s">
        <v>203</v>
      </c>
      <c r="I521" s="114" t="s">
        <v>8877</v>
      </c>
      <c r="J521" s="111" t="s">
        <v>423</v>
      </c>
      <c r="K521" s="111" t="s">
        <v>208</v>
      </c>
      <c r="L521" s="111" t="s">
        <v>3178</v>
      </c>
      <c r="M521" s="111" t="s">
        <v>8860</v>
      </c>
      <c r="N521" s="743"/>
      <c r="O521" s="743" t="s">
        <v>8878</v>
      </c>
    </row>
    <row r="522" spans="1:15" ht="12.75" customHeight="1">
      <c r="A522" s="699" t="s">
        <v>8855</v>
      </c>
      <c r="B522" s="699" t="s">
        <v>8880</v>
      </c>
      <c r="C522" s="114" t="s">
        <v>8881</v>
      </c>
      <c r="D522" s="114" t="s">
        <v>8882</v>
      </c>
      <c r="E522" s="28" t="s">
        <v>203</v>
      </c>
      <c r="F522" s="111" t="s">
        <v>3169</v>
      </c>
      <c r="G522" s="111" t="s">
        <v>3170</v>
      </c>
      <c r="H522" s="28" t="s">
        <v>203</v>
      </c>
      <c r="I522" s="743" t="s">
        <v>8883</v>
      </c>
      <c r="J522" s="111" t="s">
        <v>423</v>
      </c>
      <c r="K522" s="111" t="s">
        <v>208</v>
      </c>
      <c r="L522" s="111" t="s">
        <v>3178</v>
      </c>
      <c r="M522" s="111" t="s">
        <v>8860</v>
      </c>
      <c r="N522" s="743"/>
      <c r="O522" s="111" t="s">
        <v>8884</v>
      </c>
    </row>
    <row r="523" spans="1:15" ht="12.75" customHeight="1">
      <c r="A523" s="699" t="s">
        <v>8855</v>
      </c>
      <c r="B523" s="699" t="s">
        <v>8885</v>
      </c>
      <c r="C523" s="114" t="s">
        <v>8887</v>
      </c>
      <c r="D523" s="114" t="s">
        <v>8888</v>
      </c>
      <c r="E523" s="28" t="s">
        <v>203</v>
      </c>
      <c r="F523" s="111" t="s">
        <v>3169</v>
      </c>
      <c r="G523" s="111" t="s">
        <v>3170</v>
      </c>
      <c r="H523" s="28" t="s">
        <v>203</v>
      </c>
      <c r="I523" s="114" t="s">
        <v>8889</v>
      </c>
      <c r="J523" s="111" t="s">
        <v>423</v>
      </c>
      <c r="K523" s="111" t="s">
        <v>208</v>
      </c>
      <c r="L523" s="111" t="s">
        <v>3178</v>
      </c>
      <c r="M523" s="111" t="s">
        <v>8860</v>
      </c>
      <c r="N523" s="743"/>
      <c r="O523" s="743"/>
    </row>
    <row r="524" spans="1:15" ht="12.75" customHeight="1">
      <c r="A524" s="699" t="s">
        <v>8855</v>
      </c>
      <c r="B524" s="699" t="s">
        <v>8890</v>
      </c>
      <c r="C524" s="114" t="s">
        <v>8891</v>
      </c>
      <c r="D524" s="114" t="s">
        <v>8892</v>
      </c>
      <c r="E524" s="28" t="s">
        <v>203</v>
      </c>
      <c r="F524" s="111" t="s">
        <v>3169</v>
      </c>
      <c r="G524" s="111" t="s">
        <v>3170</v>
      </c>
      <c r="H524" s="28" t="s">
        <v>203</v>
      </c>
      <c r="I524" s="114" t="s">
        <v>8893</v>
      </c>
      <c r="J524" s="111" t="s">
        <v>423</v>
      </c>
      <c r="K524" s="111" t="s">
        <v>208</v>
      </c>
      <c r="L524" s="111" t="s">
        <v>3178</v>
      </c>
      <c r="M524" s="111" t="s">
        <v>8860</v>
      </c>
      <c r="N524" s="743"/>
      <c r="O524" s="743"/>
    </row>
    <row r="525" spans="1:15" ht="12.75" customHeight="1">
      <c r="A525" s="698" t="s">
        <v>8894</v>
      </c>
      <c r="B525" s="699" t="s">
        <v>8895</v>
      </c>
      <c r="C525" s="111" t="s">
        <v>8896</v>
      </c>
      <c r="D525" s="111" t="s">
        <v>8897</v>
      </c>
      <c r="E525" s="28" t="s">
        <v>203</v>
      </c>
      <c r="F525" s="111" t="s">
        <v>3169</v>
      </c>
      <c r="G525" s="111" t="s">
        <v>3170</v>
      </c>
      <c r="H525" s="28" t="s">
        <v>203</v>
      </c>
      <c r="I525" s="743" t="s">
        <v>8898</v>
      </c>
      <c r="J525" s="111" t="s">
        <v>423</v>
      </c>
      <c r="K525" s="111" t="s">
        <v>208</v>
      </c>
      <c r="L525" s="111" t="s">
        <v>3178</v>
      </c>
      <c r="M525" s="111" t="s">
        <v>8860</v>
      </c>
      <c r="N525" s="743"/>
      <c r="O525" s="743"/>
    </row>
    <row r="526" spans="1:15" ht="12.75" customHeight="1">
      <c r="A526" s="698" t="s">
        <v>8899</v>
      </c>
      <c r="B526" s="699" t="s">
        <v>8900</v>
      </c>
      <c r="C526" s="111" t="s">
        <v>8901</v>
      </c>
      <c r="D526" s="112" t="s">
        <v>8902</v>
      </c>
      <c r="E526" s="111" t="s">
        <v>3177</v>
      </c>
      <c r="F526" s="111" t="s">
        <v>3121</v>
      </c>
      <c r="G526" s="743"/>
      <c r="H526" s="28" t="s">
        <v>203</v>
      </c>
      <c r="I526" s="111" t="s">
        <v>203</v>
      </c>
      <c r="J526" s="111" t="s">
        <v>423</v>
      </c>
      <c r="K526" s="111" t="s">
        <v>113</v>
      </c>
      <c r="L526" s="111" t="s">
        <v>3178</v>
      </c>
      <c r="M526" s="111" t="s">
        <v>8903</v>
      </c>
      <c r="N526" s="112"/>
      <c r="O526" s="743"/>
    </row>
    <row r="527" spans="1:15" ht="12.75" customHeight="1">
      <c r="A527" s="698" t="s">
        <v>8899</v>
      </c>
      <c r="B527" s="699" t="s">
        <v>8904</v>
      </c>
      <c r="C527" s="28" t="s">
        <v>3997</v>
      </c>
      <c r="D527" s="111" t="s">
        <v>8905</v>
      </c>
      <c r="E527" s="111" t="s">
        <v>180</v>
      </c>
      <c r="F527" s="111" t="s">
        <v>7315</v>
      </c>
      <c r="G527" s="111" t="s">
        <v>3997</v>
      </c>
      <c r="H527" s="28" t="s">
        <v>203</v>
      </c>
      <c r="I527" s="111" t="s">
        <v>203</v>
      </c>
      <c r="J527" s="111" t="s">
        <v>423</v>
      </c>
      <c r="K527" s="111" t="s">
        <v>113</v>
      </c>
      <c r="L527" s="111" t="s">
        <v>3178</v>
      </c>
      <c r="M527" s="111" t="s">
        <v>8903</v>
      </c>
      <c r="N527" s="112"/>
      <c r="O527" s="743"/>
    </row>
    <row r="528" spans="1:15" ht="12.75" customHeight="1">
      <c r="A528" s="698" t="s">
        <v>8899</v>
      </c>
      <c r="B528" s="699" t="s">
        <v>8906</v>
      </c>
      <c r="C528" s="28" t="s">
        <v>8907</v>
      </c>
      <c r="D528" s="111" t="s">
        <v>8908</v>
      </c>
      <c r="E528" s="111" t="s">
        <v>180</v>
      </c>
      <c r="F528" s="111" t="s">
        <v>7315</v>
      </c>
      <c r="G528" s="111" t="s">
        <v>8907</v>
      </c>
      <c r="H528" s="28" t="s">
        <v>203</v>
      </c>
      <c r="I528" s="111" t="s">
        <v>203</v>
      </c>
      <c r="J528" s="111" t="s">
        <v>423</v>
      </c>
      <c r="K528" s="111" t="s">
        <v>113</v>
      </c>
      <c r="L528" s="111" t="s">
        <v>3178</v>
      </c>
      <c r="M528" s="111" t="s">
        <v>8903</v>
      </c>
      <c r="N528" s="112"/>
      <c r="O528" s="111" t="s">
        <v>8909</v>
      </c>
    </row>
    <row r="529" spans="1:15" ht="12.75" customHeight="1">
      <c r="A529" s="698" t="s">
        <v>8910</v>
      </c>
      <c r="B529" s="699" t="s">
        <v>8911</v>
      </c>
      <c r="C529" s="112" t="s">
        <v>8912</v>
      </c>
      <c r="D529" s="111" t="s">
        <v>8913</v>
      </c>
      <c r="E529" s="28" t="s">
        <v>203</v>
      </c>
      <c r="F529" s="111" t="s">
        <v>3169</v>
      </c>
      <c r="G529" s="111" t="s">
        <v>3170</v>
      </c>
      <c r="H529" s="28" t="s">
        <v>203</v>
      </c>
      <c r="I529" s="27" t="s">
        <v>203</v>
      </c>
      <c r="J529" s="111" t="s">
        <v>8914</v>
      </c>
      <c r="K529" s="112" t="s">
        <v>113</v>
      </c>
      <c r="L529" s="111" t="s">
        <v>1889</v>
      </c>
      <c r="M529" s="111"/>
      <c r="N529" s="112"/>
      <c r="O529" s="111" t="s">
        <v>8917</v>
      </c>
    </row>
    <row r="530" spans="1:15" ht="12.75" customHeight="1">
      <c r="A530" s="698" t="s">
        <v>8918</v>
      </c>
      <c r="B530" s="699" t="s">
        <v>8919</v>
      </c>
      <c r="C530" s="27" t="s">
        <v>5522</v>
      </c>
      <c r="D530" s="111" t="s">
        <v>8920</v>
      </c>
      <c r="E530" s="28" t="s">
        <v>203</v>
      </c>
      <c r="F530" s="111" t="s">
        <v>3169</v>
      </c>
      <c r="G530" s="111" t="s">
        <v>3170</v>
      </c>
      <c r="H530" s="28" t="s">
        <v>203</v>
      </c>
      <c r="I530" s="27" t="s">
        <v>8921</v>
      </c>
      <c r="J530" s="111" t="s">
        <v>423</v>
      </c>
      <c r="K530" s="112" t="s">
        <v>208</v>
      </c>
      <c r="L530" s="111" t="s">
        <v>3098</v>
      </c>
      <c r="M530" s="111"/>
      <c r="N530" s="112"/>
      <c r="O530" s="111"/>
    </row>
    <row r="531" spans="1:15" ht="12.75" customHeight="1">
      <c r="A531" s="698" t="s">
        <v>8918</v>
      </c>
      <c r="B531" s="699" t="s">
        <v>8922</v>
      </c>
      <c r="C531" s="112" t="s">
        <v>8923</v>
      </c>
      <c r="D531" s="111" t="s">
        <v>8924</v>
      </c>
      <c r="E531" s="28" t="s">
        <v>203</v>
      </c>
      <c r="F531" s="111" t="s">
        <v>3169</v>
      </c>
      <c r="G531" s="111" t="s">
        <v>3170</v>
      </c>
      <c r="H531" s="28" t="s">
        <v>203</v>
      </c>
      <c r="I531" s="27" t="s">
        <v>8921</v>
      </c>
      <c r="J531" s="111" t="s">
        <v>423</v>
      </c>
      <c r="K531" s="112" t="s">
        <v>208</v>
      </c>
      <c r="L531" s="111" t="s">
        <v>3098</v>
      </c>
      <c r="M531" s="111"/>
      <c r="N531" s="112"/>
      <c r="O531" s="111"/>
    </row>
    <row r="532" spans="1:15" ht="12.75" customHeight="1">
      <c r="A532" s="698" t="s">
        <v>8918</v>
      </c>
      <c r="B532" s="699" t="s">
        <v>8925</v>
      </c>
      <c r="C532" s="111" t="s">
        <v>8926</v>
      </c>
      <c r="D532" s="111" t="s">
        <v>8927</v>
      </c>
      <c r="E532" s="28" t="s">
        <v>203</v>
      </c>
      <c r="F532" s="111" t="s">
        <v>3169</v>
      </c>
      <c r="G532" s="111" t="s">
        <v>3170</v>
      </c>
      <c r="H532" s="28" t="s">
        <v>203</v>
      </c>
      <c r="I532" s="27" t="s">
        <v>8921</v>
      </c>
      <c r="J532" s="111" t="s">
        <v>423</v>
      </c>
      <c r="K532" s="112" t="s">
        <v>208</v>
      </c>
      <c r="L532" s="111" t="s">
        <v>3098</v>
      </c>
      <c r="M532" s="111"/>
      <c r="N532" s="112"/>
      <c r="O532" s="111"/>
    </row>
    <row r="533" spans="1:15" ht="12.75" customHeight="1">
      <c r="A533" s="698" t="s">
        <v>8918</v>
      </c>
      <c r="B533" s="699" t="s">
        <v>8928</v>
      </c>
      <c r="C533" s="112" t="s">
        <v>8929</v>
      </c>
      <c r="D533" s="111" t="s">
        <v>8931</v>
      </c>
      <c r="E533" s="28" t="s">
        <v>203</v>
      </c>
      <c r="F533" s="111" t="s">
        <v>3169</v>
      </c>
      <c r="G533" s="111" t="s">
        <v>3170</v>
      </c>
      <c r="H533" s="28" t="s">
        <v>203</v>
      </c>
      <c r="I533" s="27" t="s">
        <v>8921</v>
      </c>
      <c r="J533" s="111" t="s">
        <v>423</v>
      </c>
      <c r="K533" s="112" t="s">
        <v>208</v>
      </c>
      <c r="L533" s="111" t="s">
        <v>3098</v>
      </c>
      <c r="M533" s="111"/>
      <c r="N533" s="112"/>
      <c r="O533" s="111"/>
    </row>
    <row r="534" spans="1:15" ht="12.75" customHeight="1">
      <c r="A534" s="698" t="s">
        <v>8918</v>
      </c>
      <c r="B534" s="699" t="s">
        <v>8932</v>
      </c>
      <c r="C534" s="112" t="s">
        <v>8933</v>
      </c>
      <c r="D534" s="111" t="s">
        <v>8934</v>
      </c>
      <c r="E534" s="28" t="s">
        <v>203</v>
      </c>
      <c r="F534" s="111" t="s">
        <v>3169</v>
      </c>
      <c r="G534" s="111" t="s">
        <v>3170</v>
      </c>
      <c r="H534" s="28" t="s">
        <v>203</v>
      </c>
      <c r="I534" s="27" t="s">
        <v>8921</v>
      </c>
      <c r="J534" s="111" t="s">
        <v>8935</v>
      </c>
      <c r="K534" s="112" t="s">
        <v>208</v>
      </c>
      <c r="L534" s="111" t="s">
        <v>3098</v>
      </c>
      <c r="M534" s="111"/>
      <c r="N534" s="112"/>
      <c r="O534" s="111"/>
    </row>
    <row r="535" spans="1:15" ht="12.75" customHeight="1">
      <c r="A535" s="698" t="s">
        <v>8918</v>
      </c>
      <c r="B535" s="699" t="s">
        <v>8936</v>
      </c>
      <c r="C535" s="744" t="s">
        <v>8937</v>
      </c>
      <c r="D535" s="745" t="s">
        <v>8938</v>
      </c>
      <c r="E535" s="745" t="s">
        <v>203</v>
      </c>
      <c r="F535" s="745" t="s">
        <v>3169</v>
      </c>
      <c r="G535" s="745" t="s">
        <v>3170</v>
      </c>
      <c r="H535" s="744" t="s">
        <v>203</v>
      </c>
      <c r="I535" s="744" t="s">
        <v>203</v>
      </c>
      <c r="J535" s="745" t="s">
        <v>423</v>
      </c>
      <c r="K535" s="744" t="s">
        <v>113</v>
      </c>
      <c r="L535" s="745" t="s">
        <v>3098</v>
      </c>
      <c r="M535" s="745"/>
      <c r="N535" s="745"/>
      <c r="O535" s="745" t="s">
        <v>8939</v>
      </c>
    </row>
    <row r="536" spans="1:15" ht="12.75" customHeight="1">
      <c r="A536" s="698" t="s">
        <v>8918</v>
      </c>
      <c r="B536" s="699" t="s">
        <v>8940</v>
      </c>
      <c r="C536" s="744" t="s">
        <v>8941</v>
      </c>
      <c r="D536" s="745" t="s">
        <v>8942</v>
      </c>
      <c r="E536" s="745" t="s">
        <v>203</v>
      </c>
      <c r="F536" s="745" t="s">
        <v>3169</v>
      </c>
      <c r="G536" s="745" t="s">
        <v>3170</v>
      </c>
      <c r="H536" s="744" t="s">
        <v>203</v>
      </c>
      <c r="I536" s="744" t="s">
        <v>203</v>
      </c>
      <c r="J536" s="745" t="s">
        <v>423</v>
      </c>
      <c r="K536" s="744" t="s">
        <v>113</v>
      </c>
      <c r="L536" s="745" t="s">
        <v>3098</v>
      </c>
      <c r="M536" s="745"/>
      <c r="N536" s="745"/>
      <c r="O536" s="745" t="s">
        <v>8939</v>
      </c>
    </row>
    <row r="537" spans="1:15" ht="12.75" customHeight="1">
      <c r="A537" s="698" t="s">
        <v>8918</v>
      </c>
      <c r="B537" s="699" t="s">
        <v>8944</v>
      </c>
      <c r="C537" s="745" t="s">
        <v>8945</v>
      </c>
      <c r="D537" s="745" t="s">
        <v>8946</v>
      </c>
      <c r="E537" s="745" t="s">
        <v>203</v>
      </c>
      <c r="F537" s="745" t="s">
        <v>3169</v>
      </c>
      <c r="G537" s="745" t="s">
        <v>3170</v>
      </c>
      <c r="H537" s="744" t="s">
        <v>203</v>
      </c>
      <c r="I537" s="744" t="s">
        <v>203</v>
      </c>
      <c r="J537" s="745" t="s">
        <v>423</v>
      </c>
      <c r="K537" s="744" t="s">
        <v>113</v>
      </c>
      <c r="L537" s="745" t="s">
        <v>3098</v>
      </c>
      <c r="M537" s="745"/>
      <c r="N537" s="745"/>
      <c r="O537" s="745" t="s">
        <v>8939</v>
      </c>
    </row>
    <row r="538" spans="1:15" ht="12.75" customHeight="1">
      <c r="A538" s="698" t="s">
        <v>8918</v>
      </c>
      <c r="B538" s="699" t="s">
        <v>8949</v>
      </c>
      <c r="C538" s="27" t="s">
        <v>8950</v>
      </c>
      <c r="D538" s="27" t="s">
        <v>8951</v>
      </c>
      <c r="E538" s="25" t="s">
        <v>203</v>
      </c>
      <c r="F538" s="111" t="s">
        <v>3169</v>
      </c>
      <c r="G538" s="114" t="s">
        <v>3170</v>
      </c>
      <c r="H538" s="28" t="s">
        <v>203</v>
      </c>
      <c r="I538" s="28" t="s">
        <v>203</v>
      </c>
      <c r="J538" s="111" t="s">
        <v>423</v>
      </c>
      <c r="K538" s="28" t="s">
        <v>113</v>
      </c>
      <c r="L538" s="111" t="s">
        <v>1889</v>
      </c>
      <c r="M538" s="111"/>
      <c r="N538" s="111"/>
      <c r="O538" s="111"/>
    </row>
    <row r="539" spans="1:15" ht="12.75" customHeight="1">
      <c r="A539" s="698" t="s">
        <v>8918</v>
      </c>
      <c r="B539" s="699" t="s">
        <v>8952</v>
      </c>
      <c r="C539" s="111" t="s">
        <v>8953</v>
      </c>
      <c r="D539" s="111" t="s">
        <v>8954</v>
      </c>
      <c r="E539" s="25" t="s">
        <v>203</v>
      </c>
      <c r="F539" s="111" t="s">
        <v>3169</v>
      </c>
      <c r="G539" s="114" t="s">
        <v>3170</v>
      </c>
      <c r="H539" s="28" t="s">
        <v>203</v>
      </c>
      <c r="I539" s="28" t="s">
        <v>203</v>
      </c>
      <c r="J539" s="111" t="s">
        <v>423</v>
      </c>
      <c r="K539" s="28" t="s">
        <v>113</v>
      </c>
      <c r="L539" s="111" t="s">
        <v>1889</v>
      </c>
      <c r="M539" s="111"/>
      <c r="N539" s="111"/>
      <c r="O539" s="111"/>
    </row>
    <row r="540" spans="1:15" ht="12.75" customHeight="1">
      <c r="A540" s="698" t="s">
        <v>8918</v>
      </c>
      <c r="B540" s="699" t="s">
        <v>8955</v>
      </c>
      <c r="C540" s="111" t="s">
        <v>8956</v>
      </c>
      <c r="D540" s="111" t="s">
        <v>8957</v>
      </c>
      <c r="E540" s="25" t="s">
        <v>203</v>
      </c>
      <c r="F540" s="111" t="s">
        <v>3169</v>
      </c>
      <c r="G540" s="114" t="s">
        <v>3170</v>
      </c>
      <c r="H540" s="28" t="s">
        <v>203</v>
      </c>
      <c r="I540" s="28" t="s">
        <v>203</v>
      </c>
      <c r="J540" s="111" t="s">
        <v>423</v>
      </c>
      <c r="K540" s="28" t="s">
        <v>113</v>
      </c>
      <c r="L540" s="111" t="s">
        <v>1889</v>
      </c>
      <c r="M540" s="111"/>
      <c r="N540" s="111"/>
      <c r="O540" s="111"/>
    </row>
    <row r="541" spans="1:15" ht="12.75" customHeight="1">
      <c r="A541" s="698" t="s">
        <v>8918</v>
      </c>
      <c r="B541" s="699" t="s">
        <v>8958</v>
      </c>
      <c r="C541" s="111" t="s">
        <v>8959</v>
      </c>
      <c r="D541" s="111" t="s">
        <v>8960</v>
      </c>
      <c r="E541" s="25" t="s">
        <v>203</v>
      </c>
      <c r="F541" s="111" t="s">
        <v>3169</v>
      </c>
      <c r="G541" s="114" t="s">
        <v>3170</v>
      </c>
      <c r="H541" s="28" t="s">
        <v>203</v>
      </c>
      <c r="I541" s="28" t="s">
        <v>203</v>
      </c>
      <c r="J541" s="111" t="s">
        <v>423</v>
      </c>
      <c r="K541" s="28" t="s">
        <v>113</v>
      </c>
      <c r="L541" s="111"/>
      <c r="M541" s="111"/>
      <c r="N541" s="111"/>
      <c r="O541" s="111"/>
    </row>
    <row r="542" spans="1:15" ht="12.75" customHeight="1">
      <c r="A542" s="698" t="s">
        <v>8918</v>
      </c>
      <c r="B542" s="699" t="s">
        <v>8961</v>
      </c>
      <c r="C542" s="28" t="s">
        <v>5963</v>
      </c>
      <c r="D542" s="28" t="s">
        <v>5966</v>
      </c>
      <c r="E542" s="25" t="s">
        <v>203</v>
      </c>
      <c r="F542" s="111" t="s">
        <v>6879</v>
      </c>
      <c r="G542" s="28"/>
      <c r="H542" s="28" t="s">
        <v>203</v>
      </c>
      <c r="I542" s="28" t="s">
        <v>203</v>
      </c>
      <c r="J542" s="111" t="s">
        <v>423</v>
      </c>
      <c r="K542" s="28" t="s">
        <v>113</v>
      </c>
      <c r="L542" s="28" t="s">
        <v>1889</v>
      </c>
      <c r="M542" s="28" t="s">
        <v>8962</v>
      </c>
      <c r="N542" s="28"/>
      <c r="O542" s="28" t="s">
        <v>8963</v>
      </c>
    </row>
    <row r="543" spans="1:15" ht="12.75" customHeight="1">
      <c r="A543" s="698" t="s">
        <v>8965</v>
      </c>
      <c r="B543" s="699" t="s">
        <v>8966</v>
      </c>
      <c r="C543" s="28" t="s">
        <v>8967</v>
      </c>
      <c r="D543" s="28" t="s">
        <v>8968</v>
      </c>
      <c r="E543" s="111" t="s">
        <v>3177</v>
      </c>
      <c r="F543" s="111" t="s">
        <v>3121</v>
      </c>
      <c r="G543" s="28"/>
      <c r="H543" s="28" t="s">
        <v>203</v>
      </c>
      <c r="I543" s="28" t="s">
        <v>8883</v>
      </c>
      <c r="J543" s="111" t="s">
        <v>423</v>
      </c>
      <c r="K543" s="28" t="s">
        <v>208</v>
      </c>
      <c r="L543" s="28" t="s">
        <v>3098</v>
      </c>
      <c r="M543" s="25"/>
      <c r="N543" s="28"/>
      <c r="O543" s="28"/>
    </row>
    <row r="544" spans="1:15" ht="12.75" customHeight="1">
      <c r="A544" s="698" t="s">
        <v>8965</v>
      </c>
      <c r="B544" s="699" t="s">
        <v>8969</v>
      </c>
      <c r="C544" s="28" t="s">
        <v>8970</v>
      </c>
      <c r="D544" s="28" t="s">
        <v>8971</v>
      </c>
      <c r="E544" s="111" t="s">
        <v>180</v>
      </c>
      <c r="F544" s="111" t="s">
        <v>7315</v>
      </c>
      <c r="G544" s="28" t="s">
        <v>8970</v>
      </c>
      <c r="H544" s="28" t="s">
        <v>203</v>
      </c>
      <c r="I544" s="28" t="s">
        <v>8883</v>
      </c>
      <c r="J544" s="111" t="s">
        <v>423</v>
      </c>
      <c r="K544" s="28" t="s">
        <v>208</v>
      </c>
      <c r="L544" s="28" t="s">
        <v>1889</v>
      </c>
      <c r="M544" s="25"/>
      <c r="N544" s="28"/>
      <c r="O544" s="28"/>
    </row>
    <row r="545" spans="1:15" ht="12.75" customHeight="1">
      <c r="A545" s="698" t="s">
        <v>8965</v>
      </c>
      <c r="B545" s="699" t="s">
        <v>8972</v>
      </c>
      <c r="C545" s="28" t="s">
        <v>8973</v>
      </c>
      <c r="D545" s="28" t="s">
        <v>8974</v>
      </c>
      <c r="E545" s="111" t="s">
        <v>180</v>
      </c>
      <c r="F545" s="111" t="s">
        <v>7315</v>
      </c>
      <c r="G545" s="28" t="s">
        <v>8973</v>
      </c>
      <c r="H545" s="28" t="s">
        <v>203</v>
      </c>
      <c r="I545" s="28" t="s">
        <v>8883</v>
      </c>
      <c r="J545" s="111" t="s">
        <v>423</v>
      </c>
      <c r="K545" s="28" t="s">
        <v>208</v>
      </c>
      <c r="L545" s="28" t="s">
        <v>1889</v>
      </c>
      <c r="M545" s="25"/>
      <c r="N545" s="28"/>
      <c r="O545" s="28"/>
    </row>
    <row r="546" spans="1:15" ht="12.75" customHeight="1">
      <c r="A546" s="698" t="s">
        <v>8965</v>
      </c>
      <c r="B546" s="699" t="s">
        <v>8975</v>
      </c>
      <c r="C546" s="28" t="s">
        <v>1387</v>
      </c>
      <c r="D546" s="28" t="s">
        <v>8976</v>
      </c>
      <c r="E546" s="111" t="s">
        <v>180</v>
      </c>
      <c r="F546" s="111" t="s">
        <v>6879</v>
      </c>
      <c r="G546" s="28" t="s">
        <v>1387</v>
      </c>
      <c r="H546" s="28" t="s">
        <v>203</v>
      </c>
      <c r="I546" s="28"/>
      <c r="J546" s="111" t="s">
        <v>423</v>
      </c>
      <c r="K546" s="28" t="s">
        <v>113</v>
      </c>
      <c r="L546" s="28" t="s">
        <v>1889</v>
      </c>
      <c r="M546" s="25"/>
      <c r="N546" s="28"/>
      <c r="O546" s="28"/>
    </row>
    <row r="547" spans="1:15" ht="12.75" customHeight="1">
      <c r="A547" s="698" t="s">
        <v>8977</v>
      </c>
      <c r="B547" s="699" t="s">
        <v>8978</v>
      </c>
      <c r="C547" s="25" t="s">
        <v>6045</v>
      </c>
      <c r="D547" s="111" t="s">
        <v>6046</v>
      </c>
      <c r="E547" s="112" t="s">
        <v>3243</v>
      </c>
      <c r="F547" s="112" t="s">
        <v>3121</v>
      </c>
      <c r="G547" s="25"/>
      <c r="H547" s="28" t="s">
        <v>203</v>
      </c>
      <c r="I547" s="28" t="s">
        <v>203</v>
      </c>
      <c r="J547" s="111" t="s">
        <v>6047</v>
      </c>
      <c r="K547" s="112" t="s">
        <v>208</v>
      </c>
      <c r="L547" s="25" t="s">
        <v>3098</v>
      </c>
      <c r="M547" s="25"/>
      <c r="N547" s="100" t="s">
        <v>6048</v>
      </c>
      <c r="O547" s="28"/>
    </row>
    <row r="548" spans="1:15" ht="12.75" customHeight="1">
      <c r="A548" s="698" t="s">
        <v>8977</v>
      </c>
      <c r="B548" s="699" t="s">
        <v>8980</v>
      </c>
      <c r="C548" s="25" t="s">
        <v>8981</v>
      </c>
      <c r="D548" s="28" t="s">
        <v>8982</v>
      </c>
      <c r="E548" s="112" t="s">
        <v>3326</v>
      </c>
      <c r="F548" s="112" t="s">
        <v>3121</v>
      </c>
      <c r="G548" s="25"/>
      <c r="H548" s="28" t="s">
        <v>203</v>
      </c>
      <c r="I548" s="28" t="s">
        <v>203</v>
      </c>
      <c r="J548" s="28" t="s">
        <v>423</v>
      </c>
      <c r="K548" s="112" t="s">
        <v>113</v>
      </c>
      <c r="L548" s="112" t="s">
        <v>3098</v>
      </c>
      <c r="M548" s="25"/>
      <c r="N548" s="100" t="s">
        <v>4401</v>
      </c>
      <c r="O548" s="111"/>
    </row>
    <row r="549" spans="1:15" ht="12.75" customHeight="1">
      <c r="A549" s="698" t="s">
        <v>8977</v>
      </c>
      <c r="B549" s="699" t="s">
        <v>8984</v>
      </c>
      <c r="C549" s="28" t="s">
        <v>8985</v>
      </c>
      <c r="D549" s="28" t="s">
        <v>8141</v>
      </c>
      <c r="E549" s="28" t="s">
        <v>180</v>
      </c>
      <c r="F549" s="28" t="s">
        <v>7315</v>
      </c>
      <c r="G549" s="28" t="s">
        <v>7633</v>
      </c>
      <c r="H549" s="28" t="s">
        <v>203</v>
      </c>
      <c r="I549" s="28" t="s">
        <v>203</v>
      </c>
      <c r="J549" s="28" t="s">
        <v>423</v>
      </c>
      <c r="K549" s="28" t="s">
        <v>113</v>
      </c>
      <c r="L549" s="28" t="s">
        <v>1889</v>
      </c>
      <c r="M549" s="25"/>
      <c r="N549" s="25"/>
      <c r="O549" s="111"/>
    </row>
    <row r="550" spans="1:15" ht="12.75" customHeight="1">
      <c r="A550" s="698" t="s">
        <v>8977</v>
      </c>
      <c r="B550" s="699" t="s">
        <v>8987</v>
      </c>
      <c r="C550" s="28" t="s">
        <v>8988</v>
      </c>
      <c r="D550" s="28" t="s">
        <v>8145</v>
      </c>
      <c r="E550" s="28" t="s">
        <v>180</v>
      </c>
      <c r="F550" s="28" t="s">
        <v>7315</v>
      </c>
      <c r="G550" s="28" t="s">
        <v>3550</v>
      </c>
      <c r="H550" s="28" t="s">
        <v>203</v>
      </c>
      <c r="I550" s="28" t="s">
        <v>203</v>
      </c>
      <c r="J550" s="28" t="s">
        <v>423</v>
      </c>
      <c r="K550" s="28" t="s">
        <v>113</v>
      </c>
      <c r="L550" s="28" t="s">
        <v>1889</v>
      </c>
      <c r="M550" s="25"/>
      <c r="N550" s="25"/>
      <c r="O550" s="111"/>
    </row>
    <row r="551" spans="1:15" ht="12.75" customHeight="1">
      <c r="A551" s="698" t="s">
        <v>8977</v>
      </c>
      <c r="B551" s="699" t="s">
        <v>8989</v>
      </c>
      <c r="C551" s="28" t="s">
        <v>8990</v>
      </c>
      <c r="D551" s="28" t="s">
        <v>8991</v>
      </c>
      <c r="E551" s="28" t="s">
        <v>180</v>
      </c>
      <c r="F551" s="28" t="s">
        <v>7315</v>
      </c>
      <c r="G551" s="28" t="s">
        <v>8990</v>
      </c>
      <c r="H551" s="28" t="s">
        <v>203</v>
      </c>
      <c r="I551" s="28" t="s">
        <v>203</v>
      </c>
      <c r="J551" s="28" t="s">
        <v>423</v>
      </c>
      <c r="K551" s="28" t="s">
        <v>113</v>
      </c>
      <c r="L551" s="28" t="s">
        <v>1889</v>
      </c>
      <c r="M551" s="25"/>
      <c r="N551" s="25"/>
      <c r="O551" s="111"/>
    </row>
    <row r="552" spans="1:15" ht="12.75" customHeight="1">
      <c r="A552" s="698" t="s">
        <v>8977</v>
      </c>
      <c r="B552" s="699" t="s">
        <v>8992</v>
      </c>
      <c r="C552" s="28" t="s">
        <v>8993</v>
      </c>
      <c r="D552" s="28" t="s">
        <v>8994</v>
      </c>
      <c r="E552" s="28" t="s">
        <v>180</v>
      </c>
      <c r="F552" s="28" t="s">
        <v>7315</v>
      </c>
      <c r="G552" s="28" t="s">
        <v>8993</v>
      </c>
      <c r="H552" s="28" t="s">
        <v>203</v>
      </c>
      <c r="I552" s="28" t="s">
        <v>203</v>
      </c>
      <c r="J552" s="28" t="s">
        <v>423</v>
      </c>
      <c r="K552" s="28" t="s">
        <v>113</v>
      </c>
      <c r="L552" s="28" t="s">
        <v>1889</v>
      </c>
      <c r="M552" s="25"/>
      <c r="N552" s="25"/>
      <c r="O552" s="111"/>
    </row>
    <row r="553" spans="1:15" ht="12.75" customHeight="1">
      <c r="A553" s="698" t="s">
        <v>8977</v>
      </c>
      <c r="B553" s="699" t="s">
        <v>8995</v>
      </c>
      <c r="C553" s="28" t="s">
        <v>8996</v>
      </c>
      <c r="D553" s="28" t="s">
        <v>8997</v>
      </c>
      <c r="E553" s="28" t="s">
        <v>180</v>
      </c>
      <c r="F553" s="28" t="s">
        <v>7315</v>
      </c>
      <c r="G553" s="28" t="s">
        <v>8996</v>
      </c>
      <c r="H553" s="28" t="s">
        <v>203</v>
      </c>
      <c r="I553" s="28" t="s">
        <v>203</v>
      </c>
      <c r="J553" s="28" t="s">
        <v>423</v>
      </c>
      <c r="K553" s="28" t="s">
        <v>113</v>
      </c>
      <c r="L553" s="28" t="s">
        <v>1889</v>
      </c>
      <c r="M553" s="25"/>
      <c r="N553" s="25"/>
      <c r="O553" s="111"/>
    </row>
    <row r="554" spans="1:15" ht="12.75" customHeight="1">
      <c r="A554" s="698" t="s">
        <v>8977</v>
      </c>
      <c r="B554" s="699" t="s">
        <v>9000</v>
      </c>
      <c r="C554" s="28" t="s">
        <v>9001</v>
      </c>
      <c r="D554" s="28" t="s">
        <v>8147</v>
      </c>
      <c r="E554" s="28" t="s">
        <v>180</v>
      </c>
      <c r="F554" s="28" t="s">
        <v>7315</v>
      </c>
      <c r="G554" s="28" t="s">
        <v>7642</v>
      </c>
      <c r="H554" s="28" t="s">
        <v>203</v>
      </c>
      <c r="I554" s="28" t="s">
        <v>203</v>
      </c>
      <c r="J554" s="28" t="s">
        <v>423</v>
      </c>
      <c r="K554" s="28" t="s">
        <v>113</v>
      </c>
      <c r="L554" s="28" t="s">
        <v>1889</v>
      </c>
      <c r="M554" s="25"/>
      <c r="N554" s="25"/>
      <c r="O554" s="111"/>
    </row>
    <row r="555" spans="1:15" ht="12.75" customHeight="1">
      <c r="A555" s="698" t="s">
        <v>8977</v>
      </c>
      <c r="B555" s="699" t="s">
        <v>9003</v>
      </c>
      <c r="C555" s="28" t="s">
        <v>9004</v>
      </c>
      <c r="D555" s="28" t="s">
        <v>8149</v>
      </c>
      <c r="E555" s="28" t="s">
        <v>180</v>
      </c>
      <c r="F555" s="28" t="s">
        <v>7315</v>
      </c>
      <c r="G555" s="28" t="s">
        <v>7647</v>
      </c>
      <c r="H555" s="28" t="s">
        <v>203</v>
      </c>
      <c r="I555" s="28" t="s">
        <v>203</v>
      </c>
      <c r="J555" s="28" t="s">
        <v>423</v>
      </c>
      <c r="K555" s="28" t="s">
        <v>113</v>
      </c>
      <c r="L555" s="28" t="s">
        <v>1889</v>
      </c>
      <c r="M555" s="25"/>
      <c r="N555" s="25"/>
      <c r="O555" s="111"/>
    </row>
    <row r="556" spans="1:15" ht="12.75" customHeight="1">
      <c r="A556" s="698" t="s">
        <v>8977</v>
      </c>
      <c r="B556" s="699" t="s">
        <v>9005</v>
      </c>
      <c r="C556" s="28" t="s">
        <v>9006</v>
      </c>
      <c r="D556" s="28" t="s">
        <v>9007</v>
      </c>
      <c r="E556" s="28" t="s">
        <v>180</v>
      </c>
      <c r="F556" s="28" t="s">
        <v>7315</v>
      </c>
      <c r="G556" s="28" t="s">
        <v>9006</v>
      </c>
      <c r="H556" s="28" t="s">
        <v>203</v>
      </c>
      <c r="I556" s="28" t="s">
        <v>203</v>
      </c>
      <c r="J556" s="28" t="s">
        <v>423</v>
      </c>
      <c r="K556" s="28" t="s">
        <v>113</v>
      </c>
      <c r="L556" s="28" t="s">
        <v>1889</v>
      </c>
      <c r="M556" s="25"/>
      <c r="N556" s="25"/>
      <c r="O556" s="111"/>
    </row>
    <row r="557" spans="1:15" ht="12.75" customHeight="1">
      <c r="A557" s="698" t="s">
        <v>8977</v>
      </c>
      <c r="B557" s="699" t="s">
        <v>9008</v>
      </c>
      <c r="C557" s="28" t="s">
        <v>9009</v>
      </c>
      <c r="D557" s="28" t="s">
        <v>9010</v>
      </c>
      <c r="E557" s="28" t="s">
        <v>180</v>
      </c>
      <c r="F557" s="28" t="s">
        <v>7315</v>
      </c>
      <c r="G557" s="28" t="s">
        <v>9009</v>
      </c>
      <c r="H557" s="28" t="s">
        <v>203</v>
      </c>
      <c r="I557" s="28" t="s">
        <v>203</v>
      </c>
      <c r="J557" s="28" t="s">
        <v>423</v>
      </c>
      <c r="K557" s="28" t="s">
        <v>113</v>
      </c>
      <c r="L557" s="28" t="s">
        <v>1889</v>
      </c>
      <c r="M557" s="25"/>
      <c r="N557" s="25"/>
      <c r="O557" s="111"/>
    </row>
    <row r="558" spans="1:15" ht="12.75" customHeight="1">
      <c r="A558" s="698" t="s">
        <v>8977</v>
      </c>
      <c r="B558" s="699" t="s">
        <v>9011</v>
      </c>
      <c r="C558" s="28" t="s">
        <v>9012</v>
      </c>
      <c r="D558" s="28" t="s">
        <v>9013</v>
      </c>
      <c r="E558" s="28" t="s">
        <v>180</v>
      </c>
      <c r="F558" s="28" t="s">
        <v>7315</v>
      </c>
      <c r="G558" s="28" t="s">
        <v>9012</v>
      </c>
      <c r="H558" s="28" t="s">
        <v>203</v>
      </c>
      <c r="I558" s="28" t="s">
        <v>203</v>
      </c>
      <c r="J558" s="28" t="s">
        <v>423</v>
      </c>
      <c r="K558" s="28" t="s">
        <v>113</v>
      </c>
      <c r="L558" s="28" t="s">
        <v>1889</v>
      </c>
      <c r="M558" s="25"/>
      <c r="N558" s="25"/>
      <c r="O558" s="111"/>
    </row>
    <row r="559" spans="1:15" ht="12.75" customHeight="1">
      <c r="A559" s="698" t="s">
        <v>8977</v>
      </c>
      <c r="B559" s="699" t="s">
        <v>9015</v>
      </c>
      <c r="C559" s="28" t="s">
        <v>9016</v>
      </c>
      <c r="D559" s="28" t="s">
        <v>8151</v>
      </c>
      <c r="E559" s="28" t="s">
        <v>180</v>
      </c>
      <c r="F559" s="28" t="s">
        <v>7315</v>
      </c>
      <c r="G559" s="28" t="s">
        <v>7653</v>
      </c>
      <c r="H559" s="28" t="s">
        <v>203</v>
      </c>
      <c r="I559" s="28" t="s">
        <v>203</v>
      </c>
      <c r="J559" s="28" t="s">
        <v>423</v>
      </c>
      <c r="K559" s="28" t="s">
        <v>113</v>
      </c>
      <c r="L559" s="28" t="s">
        <v>1889</v>
      </c>
      <c r="M559" s="25"/>
      <c r="N559" s="25"/>
      <c r="O559" s="111"/>
    </row>
    <row r="560" spans="1:15" ht="12.75" customHeight="1">
      <c r="A560" s="698" t="s">
        <v>8977</v>
      </c>
      <c r="B560" s="699" t="s">
        <v>9018</v>
      </c>
      <c r="C560" s="28" t="s">
        <v>9019</v>
      </c>
      <c r="D560" s="111" t="s">
        <v>8153</v>
      </c>
      <c r="E560" s="28" t="s">
        <v>180</v>
      </c>
      <c r="F560" s="28" t="s">
        <v>7315</v>
      </c>
      <c r="G560" s="28" t="s">
        <v>7658</v>
      </c>
      <c r="H560" s="28" t="s">
        <v>203</v>
      </c>
      <c r="I560" s="28" t="s">
        <v>203</v>
      </c>
      <c r="J560" s="28" t="s">
        <v>423</v>
      </c>
      <c r="K560" s="28" t="s">
        <v>113</v>
      </c>
      <c r="L560" s="28" t="s">
        <v>1889</v>
      </c>
      <c r="M560" s="25"/>
      <c r="N560" s="25"/>
      <c r="O560" s="111"/>
    </row>
    <row r="561" spans="1:15" ht="12.75" customHeight="1">
      <c r="A561" s="698" t="s">
        <v>8977</v>
      </c>
      <c r="B561" s="699" t="s">
        <v>9022</v>
      </c>
      <c r="C561" s="28" t="s">
        <v>9023</v>
      </c>
      <c r="D561" s="28" t="s">
        <v>8155</v>
      </c>
      <c r="E561" s="28" t="s">
        <v>180</v>
      </c>
      <c r="F561" s="28" t="s">
        <v>7315</v>
      </c>
      <c r="G561" s="28" t="s">
        <v>7661</v>
      </c>
      <c r="H561" s="28" t="s">
        <v>203</v>
      </c>
      <c r="I561" s="28" t="s">
        <v>203</v>
      </c>
      <c r="J561" s="28" t="s">
        <v>423</v>
      </c>
      <c r="K561" s="28" t="s">
        <v>113</v>
      </c>
      <c r="L561" s="28" t="s">
        <v>1889</v>
      </c>
      <c r="M561" s="25"/>
      <c r="N561" s="25"/>
      <c r="O561" s="111"/>
    </row>
    <row r="562" spans="1:15" ht="12.75" customHeight="1">
      <c r="A562" s="698" t="s">
        <v>8977</v>
      </c>
      <c r="B562" s="699" t="s">
        <v>9024</v>
      </c>
      <c r="C562" s="28" t="s">
        <v>3688</v>
      </c>
      <c r="D562" s="28" t="s">
        <v>3688</v>
      </c>
      <c r="E562" s="28" t="s">
        <v>180</v>
      </c>
      <c r="F562" s="28" t="s">
        <v>7315</v>
      </c>
      <c r="G562" s="28" t="s">
        <v>3688</v>
      </c>
      <c r="H562" s="28" t="s">
        <v>203</v>
      </c>
      <c r="I562" s="28" t="s">
        <v>203</v>
      </c>
      <c r="J562" s="28" t="s">
        <v>423</v>
      </c>
      <c r="K562" s="28" t="s">
        <v>113</v>
      </c>
      <c r="L562" s="28" t="s">
        <v>1889</v>
      </c>
      <c r="M562" s="25"/>
      <c r="N562" s="25"/>
      <c r="O562" s="111"/>
    </row>
    <row r="563" spans="1:15" ht="12.75" customHeight="1">
      <c r="A563" s="698" t="s">
        <v>8977</v>
      </c>
      <c r="B563" s="699" t="s">
        <v>9026</v>
      </c>
      <c r="C563" s="28" t="s">
        <v>3697</v>
      </c>
      <c r="D563" s="28" t="s">
        <v>8158</v>
      </c>
      <c r="E563" s="28" t="s">
        <v>180</v>
      </c>
      <c r="F563" s="28" t="s">
        <v>7315</v>
      </c>
      <c r="G563" s="28" t="s">
        <v>3697</v>
      </c>
      <c r="H563" s="28" t="s">
        <v>203</v>
      </c>
      <c r="I563" s="28" t="s">
        <v>203</v>
      </c>
      <c r="J563" s="28" t="s">
        <v>423</v>
      </c>
      <c r="K563" s="28" t="s">
        <v>113</v>
      </c>
      <c r="L563" s="28" t="s">
        <v>1889</v>
      </c>
      <c r="M563" s="25"/>
      <c r="N563" s="25"/>
      <c r="O563" s="111"/>
    </row>
    <row r="564" spans="1:15" ht="12.75" customHeight="1">
      <c r="A564" s="698" t="s">
        <v>8977</v>
      </c>
      <c r="B564" s="699" t="s">
        <v>9027</v>
      </c>
      <c r="C564" s="28" t="s">
        <v>3596</v>
      </c>
      <c r="D564" s="28" t="s">
        <v>8160</v>
      </c>
      <c r="E564" s="28" t="s">
        <v>180</v>
      </c>
      <c r="F564" s="28" t="s">
        <v>7315</v>
      </c>
      <c r="G564" s="28" t="s">
        <v>3596</v>
      </c>
      <c r="H564" s="28" t="s">
        <v>203</v>
      </c>
      <c r="I564" s="28" t="s">
        <v>203</v>
      </c>
      <c r="J564" s="28" t="s">
        <v>423</v>
      </c>
      <c r="K564" s="28" t="s">
        <v>113</v>
      </c>
      <c r="L564" s="28" t="s">
        <v>1889</v>
      </c>
      <c r="M564" s="25"/>
      <c r="N564" s="25"/>
      <c r="O564" s="111"/>
    </row>
    <row r="565" spans="1:15" ht="12.75" customHeight="1">
      <c r="A565" s="698" t="s">
        <v>8977</v>
      </c>
      <c r="B565" s="699" t="s">
        <v>9028</v>
      </c>
      <c r="C565" s="28" t="s">
        <v>3604</v>
      </c>
      <c r="D565" s="28" t="s">
        <v>3604</v>
      </c>
      <c r="E565" s="28" t="s">
        <v>180</v>
      </c>
      <c r="F565" s="28" t="s">
        <v>7315</v>
      </c>
      <c r="G565" s="28" t="s">
        <v>3604</v>
      </c>
      <c r="H565" s="28" t="s">
        <v>203</v>
      </c>
      <c r="I565" s="28" t="s">
        <v>203</v>
      </c>
      <c r="J565" s="28" t="s">
        <v>423</v>
      </c>
      <c r="K565" s="28" t="s">
        <v>113</v>
      </c>
      <c r="L565" s="28" t="s">
        <v>1889</v>
      </c>
      <c r="M565" s="25"/>
      <c r="N565" s="25"/>
      <c r="O565" s="111"/>
    </row>
    <row r="566" spans="1:15" ht="12.75" customHeight="1">
      <c r="A566" s="698" t="s">
        <v>8977</v>
      </c>
      <c r="B566" s="699" t="s">
        <v>9029</v>
      </c>
      <c r="C566" s="28" t="s">
        <v>3613</v>
      </c>
      <c r="D566" s="28" t="s">
        <v>3613</v>
      </c>
      <c r="E566" s="28" t="s">
        <v>180</v>
      </c>
      <c r="F566" s="28" t="s">
        <v>7315</v>
      </c>
      <c r="G566" s="28" t="s">
        <v>3613</v>
      </c>
      <c r="H566" s="28" t="s">
        <v>203</v>
      </c>
      <c r="I566" s="28" t="s">
        <v>203</v>
      </c>
      <c r="J566" s="28" t="s">
        <v>423</v>
      </c>
      <c r="K566" s="28" t="s">
        <v>113</v>
      </c>
      <c r="L566" s="28" t="s">
        <v>1889</v>
      </c>
      <c r="M566" s="25"/>
      <c r="N566" s="25"/>
      <c r="O566" s="111"/>
    </row>
    <row r="567" spans="1:15" ht="12.75" customHeight="1">
      <c r="A567" s="698" t="s">
        <v>8977</v>
      </c>
      <c r="B567" s="699" t="s">
        <v>9031</v>
      </c>
      <c r="C567" s="28" t="s">
        <v>3761</v>
      </c>
      <c r="D567" s="28" t="s">
        <v>3761</v>
      </c>
      <c r="E567" s="28" t="s">
        <v>180</v>
      </c>
      <c r="F567" s="28" t="s">
        <v>7315</v>
      </c>
      <c r="G567" s="28" t="s">
        <v>3761</v>
      </c>
      <c r="H567" s="28" t="s">
        <v>203</v>
      </c>
      <c r="I567" s="28" t="s">
        <v>203</v>
      </c>
      <c r="J567" s="28" t="s">
        <v>423</v>
      </c>
      <c r="K567" s="28" t="s">
        <v>113</v>
      </c>
      <c r="L567" s="28" t="s">
        <v>1889</v>
      </c>
      <c r="M567" s="25"/>
      <c r="N567" s="25"/>
      <c r="O567" s="111"/>
    </row>
    <row r="568" spans="1:15" ht="12.75" customHeight="1">
      <c r="A568" s="698" t="s">
        <v>8977</v>
      </c>
      <c r="B568" s="699" t="s">
        <v>9032</v>
      </c>
      <c r="C568" s="28" t="s">
        <v>7682</v>
      </c>
      <c r="D568" s="28" t="s">
        <v>7682</v>
      </c>
      <c r="E568" s="28" t="s">
        <v>180</v>
      </c>
      <c r="F568" s="28" t="s">
        <v>7315</v>
      </c>
      <c r="G568" s="28" t="s">
        <v>7682</v>
      </c>
      <c r="H568" s="28" t="s">
        <v>203</v>
      </c>
      <c r="I568" s="28" t="s">
        <v>203</v>
      </c>
      <c r="J568" s="28" t="s">
        <v>423</v>
      </c>
      <c r="K568" s="28" t="s">
        <v>113</v>
      </c>
      <c r="L568" s="28" t="s">
        <v>1889</v>
      </c>
      <c r="M568" s="25"/>
      <c r="N568" s="25"/>
      <c r="O568" s="111"/>
    </row>
    <row r="569" spans="1:15" ht="12.75" customHeight="1">
      <c r="A569" s="698" t="s">
        <v>8977</v>
      </c>
      <c r="B569" s="699" t="s">
        <v>9035</v>
      </c>
      <c r="C569" s="28" t="s">
        <v>7686</v>
      </c>
      <c r="D569" s="28" t="s">
        <v>7686</v>
      </c>
      <c r="E569" s="28" t="s">
        <v>180</v>
      </c>
      <c r="F569" s="28" t="s">
        <v>7315</v>
      </c>
      <c r="G569" s="28" t="s">
        <v>7686</v>
      </c>
      <c r="H569" s="28" t="s">
        <v>203</v>
      </c>
      <c r="I569" s="28" t="s">
        <v>203</v>
      </c>
      <c r="J569" s="28" t="s">
        <v>423</v>
      </c>
      <c r="K569" s="28" t="s">
        <v>113</v>
      </c>
      <c r="L569" s="28" t="s">
        <v>1889</v>
      </c>
      <c r="M569" s="25"/>
      <c r="N569" s="25"/>
      <c r="O569" s="111"/>
    </row>
    <row r="570" spans="1:15" ht="12.75" customHeight="1">
      <c r="A570" s="698" t="s">
        <v>8977</v>
      </c>
      <c r="B570" s="699" t="s">
        <v>9036</v>
      </c>
      <c r="C570" s="28" t="s">
        <v>3679</v>
      </c>
      <c r="D570" s="28" t="s">
        <v>3679</v>
      </c>
      <c r="E570" s="28" t="s">
        <v>180</v>
      </c>
      <c r="F570" s="28" t="s">
        <v>7315</v>
      </c>
      <c r="G570" s="28" t="s">
        <v>3679</v>
      </c>
      <c r="H570" s="28" t="s">
        <v>203</v>
      </c>
      <c r="I570" s="28" t="s">
        <v>203</v>
      </c>
      <c r="J570" s="28" t="s">
        <v>423</v>
      </c>
      <c r="K570" s="28" t="s">
        <v>113</v>
      </c>
      <c r="L570" s="28" t="s">
        <v>1889</v>
      </c>
      <c r="M570" s="25"/>
      <c r="N570" s="25"/>
      <c r="O570" s="111"/>
    </row>
    <row r="571" spans="1:15" ht="12.75" customHeight="1">
      <c r="A571" s="698" t="s">
        <v>8977</v>
      </c>
      <c r="B571" s="699" t="s">
        <v>9037</v>
      </c>
      <c r="C571" s="27" t="s">
        <v>9038</v>
      </c>
      <c r="D571" s="27" t="s">
        <v>9039</v>
      </c>
      <c r="E571" s="27" t="s">
        <v>180</v>
      </c>
      <c r="F571" s="27" t="s">
        <v>7315</v>
      </c>
      <c r="G571" s="27" t="s">
        <v>9038</v>
      </c>
      <c r="H571" s="28" t="s">
        <v>203</v>
      </c>
      <c r="I571" s="28" t="s">
        <v>203</v>
      </c>
      <c r="J571" s="28" t="s">
        <v>423</v>
      </c>
      <c r="K571" s="27" t="s">
        <v>113</v>
      </c>
      <c r="L571" s="27" t="s">
        <v>1889</v>
      </c>
      <c r="M571" s="29"/>
      <c r="N571" s="29"/>
      <c r="O571" s="746"/>
    </row>
    <row r="572" spans="1:15" ht="12.75" customHeight="1">
      <c r="A572" s="698" t="s">
        <v>8977</v>
      </c>
      <c r="B572" s="699" t="s">
        <v>9041</v>
      </c>
      <c r="C572" s="28" t="s">
        <v>9042</v>
      </c>
      <c r="D572" s="28" t="s">
        <v>3754</v>
      </c>
      <c r="E572" s="28" t="s">
        <v>180</v>
      </c>
      <c r="F572" s="28" t="s">
        <v>7315</v>
      </c>
      <c r="G572" s="28" t="s">
        <v>3754</v>
      </c>
      <c r="H572" s="28" t="s">
        <v>203</v>
      </c>
      <c r="I572" s="28" t="s">
        <v>203</v>
      </c>
      <c r="J572" s="28" t="s">
        <v>423</v>
      </c>
      <c r="K572" s="28" t="s">
        <v>113</v>
      </c>
      <c r="L572" s="28" t="s">
        <v>1889</v>
      </c>
      <c r="M572" s="25"/>
      <c r="N572" s="25"/>
      <c r="O572" s="111"/>
    </row>
    <row r="573" spans="1:15" ht="12.75" customHeight="1">
      <c r="A573" s="698" t="s">
        <v>8977</v>
      </c>
      <c r="B573" s="699" t="s">
        <v>9043</v>
      </c>
      <c r="C573" s="28" t="s">
        <v>3729</v>
      </c>
      <c r="D573" s="28" t="s">
        <v>8171</v>
      </c>
      <c r="E573" s="28" t="s">
        <v>180</v>
      </c>
      <c r="F573" s="28" t="s">
        <v>7315</v>
      </c>
      <c r="G573" s="28" t="s">
        <v>3729</v>
      </c>
      <c r="H573" s="28" t="s">
        <v>203</v>
      </c>
      <c r="I573" s="28" t="s">
        <v>203</v>
      </c>
      <c r="J573" s="28" t="s">
        <v>423</v>
      </c>
      <c r="K573" s="28" t="s">
        <v>113</v>
      </c>
      <c r="L573" s="28" t="s">
        <v>1889</v>
      </c>
      <c r="M573" s="25"/>
      <c r="N573" s="25"/>
      <c r="O573" s="111"/>
    </row>
    <row r="574" spans="1:15" ht="12.75" customHeight="1">
      <c r="A574" s="698" t="s">
        <v>8977</v>
      </c>
      <c r="B574" s="699" t="s">
        <v>9044</v>
      </c>
      <c r="C574" s="28" t="s">
        <v>3722</v>
      </c>
      <c r="D574" s="28" t="s">
        <v>8173</v>
      </c>
      <c r="E574" s="28" t="s">
        <v>180</v>
      </c>
      <c r="F574" s="28" t="s">
        <v>7315</v>
      </c>
      <c r="G574" s="28" t="s">
        <v>3722</v>
      </c>
      <c r="H574" s="28" t="s">
        <v>203</v>
      </c>
      <c r="I574" s="28" t="s">
        <v>203</v>
      </c>
      <c r="J574" s="28" t="s">
        <v>423</v>
      </c>
      <c r="K574" s="28" t="s">
        <v>113</v>
      </c>
      <c r="L574" s="28" t="s">
        <v>1889</v>
      </c>
      <c r="M574" s="25"/>
      <c r="N574" s="25"/>
      <c r="O574" s="111"/>
    </row>
    <row r="575" spans="1:15" ht="12.75" customHeight="1">
      <c r="A575" s="698" t="s">
        <v>8977</v>
      </c>
      <c r="B575" s="699" t="s">
        <v>9045</v>
      </c>
      <c r="C575" s="28" t="s">
        <v>9046</v>
      </c>
      <c r="D575" s="28" t="s">
        <v>8175</v>
      </c>
      <c r="E575" s="28" t="s">
        <v>180</v>
      </c>
      <c r="F575" s="28" t="s">
        <v>7315</v>
      </c>
      <c r="G575" s="28" t="s">
        <v>3748</v>
      </c>
      <c r="H575" s="28" t="s">
        <v>203</v>
      </c>
      <c r="I575" s="28" t="s">
        <v>203</v>
      </c>
      <c r="J575" s="28" t="s">
        <v>423</v>
      </c>
      <c r="K575" s="28" t="s">
        <v>113</v>
      </c>
      <c r="L575" s="28" t="s">
        <v>1889</v>
      </c>
      <c r="M575" s="25"/>
      <c r="N575" s="25"/>
      <c r="O575" s="111"/>
    </row>
    <row r="576" spans="1:15" ht="12.75" customHeight="1">
      <c r="A576" s="698" t="s">
        <v>8977</v>
      </c>
      <c r="B576" s="699" t="s">
        <v>9047</v>
      </c>
      <c r="C576" s="28" t="s">
        <v>9048</v>
      </c>
      <c r="D576" s="28" t="s">
        <v>9049</v>
      </c>
      <c r="E576" s="28" t="s">
        <v>180</v>
      </c>
      <c r="F576" s="28" t="s">
        <v>7315</v>
      </c>
      <c r="G576" s="28" t="s">
        <v>3543</v>
      </c>
      <c r="H576" s="28" t="s">
        <v>203</v>
      </c>
      <c r="I576" s="28" t="s">
        <v>203</v>
      </c>
      <c r="J576" s="28" t="s">
        <v>423</v>
      </c>
      <c r="K576" s="28" t="s">
        <v>113</v>
      </c>
      <c r="L576" s="28" t="s">
        <v>1889</v>
      </c>
      <c r="M576" s="25"/>
      <c r="N576" s="25"/>
      <c r="O576" s="111"/>
    </row>
    <row r="577" spans="1:15" ht="12.75" customHeight="1">
      <c r="A577" s="698" t="s">
        <v>8977</v>
      </c>
      <c r="B577" s="699" t="s">
        <v>9051</v>
      </c>
      <c r="C577" s="100" t="s">
        <v>6056</v>
      </c>
      <c r="D577" s="702" t="s">
        <v>9052</v>
      </c>
      <c r="E577" s="747" t="s">
        <v>3326</v>
      </c>
      <c r="F577" s="747" t="s">
        <v>3121</v>
      </c>
      <c r="G577" s="100"/>
      <c r="H577" s="702" t="s">
        <v>203</v>
      </c>
      <c r="I577" s="722" t="s">
        <v>203</v>
      </c>
      <c r="J577" s="702" t="s">
        <v>423</v>
      </c>
      <c r="K577" s="747" t="s">
        <v>113</v>
      </c>
      <c r="L577" s="100" t="s">
        <v>3178</v>
      </c>
      <c r="M577" s="722" t="s">
        <v>9055</v>
      </c>
      <c r="N577" s="100" t="s">
        <v>6060</v>
      </c>
      <c r="O577" s="702"/>
    </row>
    <row r="578" spans="1:15" ht="12.75" customHeight="1">
      <c r="A578" s="698" t="s">
        <v>8977</v>
      </c>
      <c r="B578" s="699" t="s">
        <v>9056</v>
      </c>
      <c r="C578" s="100" t="s">
        <v>6069</v>
      </c>
      <c r="D578" s="722" t="s">
        <v>9057</v>
      </c>
      <c r="E578" s="100" t="s">
        <v>180</v>
      </c>
      <c r="F578" s="100" t="s">
        <v>7315</v>
      </c>
      <c r="G578" s="747" t="s">
        <v>6069</v>
      </c>
      <c r="H578" s="702" t="s">
        <v>203</v>
      </c>
      <c r="I578" s="722" t="s">
        <v>203</v>
      </c>
      <c r="J578" s="702" t="s">
        <v>423</v>
      </c>
      <c r="K578" s="747" t="s">
        <v>113</v>
      </c>
      <c r="L578" s="100" t="s">
        <v>1889</v>
      </c>
      <c r="M578" s="100"/>
      <c r="N578" s="100"/>
      <c r="O578" s="702"/>
    </row>
    <row r="579" spans="1:15" ht="12.75" customHeight="1">
      <c r="A579" s="698" t="s">
        <v>8977</v>
      </c>
      <c r="B579" s="699" t="s">
        <v>9058</v>
      </c>
      <c r="C579" s="100" t="s">
        <v>3814</v>
      </c>
      <c r="D579" s="702" t="s">
        <v>9059</v>
      </c>
      <c r="E579" s="747" t="s">
        <v>180</v>
      </c>
      <c r="F579" s="100" t="s">
        <v>7315</v>
      </c>
      <c r="G579" s="100" t="s">
        <v>3814</v>
      </c>
      <c r="H579" s="702" t="s">
        <v>203</v>
      </c>
      <c r="I579" s="722" t="s">
        <v>203</v>
      </c>
      <c r="J579" s="702" t="s">
        <v>423</v>
      </c>
      <c r="K579" s="747" t="s">
        <v>113</v>
      </c>
      <c r="L579" s="100" t="s">
        <v>1889</v>
      </c>
      <c r="M579" s="100"/>
      <c r="N579" s="100"/>
      <c r="O579" s="702"/>
    </row>
    <row r="580" spans="1:15" ht="12.75" customHeight="1">
      <c r="A580" s="698" t="s">
        <v>8977</v>
      </c>
      <c r="B580" s="699" t="s">
        <v>9060</v>
      </c>
      <c r="C580" s="29" t="s">
        <v>6009</v>
      </c>
      <c r="D580" s="114" t="s">
        <v>9061</v>
      </c>
      <c r="E580" s="746" t="s">
        <v>180</v>
      </c>
      <c r="F580" s="746" t="s">
        <v>7315</v>
      </c>
      <c r="G580" s="746" t="s">
        <v>3170</v>
      </c>
      <c r="H580" s="28" t="s">
        <v>203</v>
      </c>
      <c r="I580" s="28" t="s">
        <v>203</v>
      </c>
      <c r="J580" s="27" t="s">
        <v>423</v>
      </c>
      <c r="K580" s="746" t="s">
        <v>113</v>
      </c>
      <c r="L580" s="29" t="s">
        <v>3178</v>
      </c>
      <c r="M580" s="114" t="s">
        <v>9062</v>
      </c>
      <c r="N580" s="29"/>
      <c r="O580" s="27"/>
    </row>
    <row r="581" spans="1:15" ht="12.75" customHeight="1">
      <c r="A581" s="698" t="s">
        <v>8977</v>
      </c>
      <c r="B581" s="699" t="s">
        <v>9063</v>
      </c>
      <c r="C581" s="100" t="s">
        <v>7517</v>
      </c>
      <c r="D581" s="722" t="s">
        <v>3806</v>
      </c>
      <c r="E581" s="747" t="s">
        <v>180</v>
      </c>
      <c r="F581" s="747" t="s">
        <v>6879</v>
      </c>
      <c r="G581" s="100" t="s">
        <v>3807</v>
      </c>
      <c r="H581" s="702" t="s">
        <v>203</v>
      </c>
      <c r="I581" s="722" t="s">
        <v>203</v>
      </c>
      <c r="J581" s="702" t="s">
        <v>423</v>
      </c>
      <c r="K581" s="747" t="s">
        <v>113</v>
      </c>
      <c r="L581" s="100" t="s">
        <v>1889</v>
      </c>
      <c r="M581" s="100"/>
      <c r="N581" s="100"/>
      <c r="O581" s="747"/>
    </row>
    <row r="582" spans="1:15" ht="12.75" customHeight="1">
      <c r="A582" s="698" t="s">
        <v>8977</v>
      </c>
      <c r="B582" s="699" t="s">
        <v>9065</v>
      </c>
      <c r="C582" s="29" t="s">
        <v>6154</v>
      </c>
      <c r="D582" s="27" t="s">
        <v>9066</v>
      </c>
      <c r="E582" s="25" t="s">
        <v>203</v>
      </c>
      <c r="F582" s="29" t="s">
        <v>3169</v>
      </c>
      <c r="G582" s="29" t="s">
        <v>3170</v>
      </c>
      <c r="H582" s="29" t="s">
        <v>203</v>
      </c>
      <c r="I582" s="29" t="s">
        <v>203</v>
      </c>
      <c r="J582" s="27" t="s">
        <v>423</v>
      </c>
      <c r="K582" s="746" t="s">
        <v>113</v>
      </c>
      <c r="L582" s="746" t="s">
        <v>3098</v>
      </c>
      <c r="M582" s="112" t="s">
        <v>9069</v>
      </c>
      <c r="N582" s="29"/>
      <c r="O582" s="27"/>
    </row>
    <row r="583" spans="1:15" ht="12.75" customHeight="1">
      <c r="A583" s="698" t="s">
        <v>9070</v>
      </c>
      <c r="B583" s="699" t="s">
        <v>9071</v>
      </c>
      <c r="C583" s="25" t="s">
        <v>6125</v>
      </c>
      <c r="D583" s="111" t="s">
        <v>9073</v>
      </c>
      <c r="E583" s="25" t="s">
        <v>203</v>
      </c>
      <c r="F583" s="25" t="s">
        <v>3169</v>
      </c>
      <c r="G583" s="25" t="s">
        <v>3170</v>
      </c>
      <c r="H583" s="29" t="s">
        <v>203</v>
      </c>
      <c r="I583" s="29" t="s">
        <v>203</v>
      </c>
      <c r="J583" s="27" t="s">
        <v>423</v>
      </c>
      <c r="K583" s="112" t="s">
        <v>113</v>
      </c>
      <c r="L583" s="112" t="s">
        <v>1889</v>
      </c>
      <c r="M583" s="112"/>
      <c r="N583" s="25"/>
      <c r="O583" s="28"/>
    </row>
    <row r="584" spans="1:15" ht="12.75" customHeight="1">
      <c r="A584" s="698" t="s">
        <v>9070</v>
      </c>
      <c r="B584" s="699" t="s">
        <v>9077</v>
      </c>
      <c r="C584" s="25" t="s">
        <v>6134</v>
      </c>
      <c r="D584" s="28" t="s">
        <v>6134</v>
      </c>
      <c r="E584" s="25" t="s">
        <v>3326</v>
      </c>
      <c r="F584" s="25" t="s">
        <v>3121</v>
      </c>
      <c r="G584" s="25"/>
      <c r="H584" s="29" t="s">
        <v>203</v>
      </c>
      <c r="I584" s="29" t="s">
        <v>203</v>
      </c>
      <c r="J584" s="27" t="s">
        <v>423</v>
      </c>
      <c r="K584" s="112" t="s">
        <v>113</v>
      </c>
      <c r="L584" s="112" t="s">
        <v>3178</v>
      </c>
      <c r="M584" s="111" t="s">
        <v>9079</v>
      </c>
      <c r="N584" s="25"/>
      <c r="O584" s="28"/>
    </row>
    <row r="585" spans="1:15" ht="12.75" customHeight="1">
      <c r="A585" s="698" t="s">
        <v>9070</v>
      </c>
      <c r="B585" s="699" t="s">
        <v>9080</v>
      </c>
      <c r="C585" s="25" t="s">
        <v>3626</v>
      </c>
      <c r="D585" s="28" t="s">
        <v>9081</v>
      </c>
      <c r="E585" s="25" t="s">
        <v>180</v>
      </c>
      <c r="F585" s="25" t="s">
        <v>7315</v>
      </c>
      <c r="G585" s="25" t="s">
        <v>3626</v>
      </c>
      <c r="H585" s="29" t="s">
        <v>203</v>
      </c>
      <c r="I585" s="29" t="s">
        <v>203</v>
      </c>
      <c r="J585" s="27" t="s">
        <v>423</v>
      </c>
      <c r="K585" s="112" t="s">
        <v>113</v>
      </c>
      <c r="L585" s="28" t="s">
        <v>1889</v>
      </c>
      <c r="M585" s="25"/>
      <c r="N585" s="25"/>
      <c r="O585" s="28"/>
    </row>
    <row r="586" spans="1:15" ht="12.75" customHeight="1">
      <c r="A586" s="698" t="s">
        <v>9070</v>
      </c>
      <c r="B586" s="699" t="s">
        <v>9082</v>
      </c>
      <c r="C586" s="25" t="s">
        <v>3632</v>
      </c>
      <c r="D586" s="28" t="s">
        <v>9083</v>
      </c>
      <c r="E586" s="25" t="s">
        <v>180</v>
      </c>
      <c r="F586" s="25" t="s">
        <v>7315</v>
      </c>
      <c r="G586" s="25" t="s">
        <v>3632</v>
      </c>
      <c r="H586" s="29" t="s">
        <v>203</v>
      </c>
      <c r="I586" s="29" t="s">
        <v>203</v>
      </c>
      <c r="J586" s="27" t="s">
        <v>423</v>
      </c>
      <c r="K586" s="112" t="s">
        <v>113</v>
      </c>
      <c r="L586" s="28" t="s">
        <v>1889</v>
      </c>
      <c r="M586" s="25"/>
      <c r="N586" s="25"/>
      <c r="O586" s="28"/>
    </row>
    <row r="587" spans="1:15" ht="12.75" customHeight="1">
      <c r="A587" s="698" t="s">
        <v>9070</v>
      </c>
      <c r="B587" s="699" t="s">
        <v>9084</v>
      </c>
      <c r="C587" s="25" t="s">
        <v>405</v>
      </c>
      <c r="D587" s="28" t="s">
        <v>9085</v>
      </c>
      <c r="E587" s="25" t="s">
        <v>180</v>
      </c>
      <c r="F587" s="25" t="s">
        <v>6879</v>
      </c>
      <c r="G587" s="112" t="s">
        <v>405</v>
      </c>
      <c r="H587" s="29" t="s">
        <v>203</v>
      </c>
      <c r="I587" s="29" t="s">
        <v>203</v>
      </c>
      <c r="J587" s="27" t="s">
        <v>423</v>
      </c>
      <c r="K587" s="112" t="s">
        <v>113</v>
      </c>
      <c r="L587" s="25" t="s">
        <v>1889</v>
      </c>
      <c r="M587" s="25"/>
      <c r="N587" s="25"/>
      <c r="O587" s="28"/>
    </row>
    <row r="588" spans="1:15" ht="12.75" customHeight="1">
      <c r="A588" s="698" t="s">
        <v>9086</v>
      </c>
      <c r="B588" s="699" t="s">
        <v>9087</v>
      </c>
      <c r="C588" s="25" t="s">
        <v>9088</v>
      </c>
      <c r="D588" s="28" t="s">
        <v>6359</v>
      </c>
      <c r="E588" s="25" t="s">
        <v>203</v>
      </c>
      <c r="F588" s="25" t="s">
        <v>140</v>
      </c>
      <c r="G588" s="25"/>
      <c r="H588" s="29" t="s">
        <v>203</v>
      </c>
      <c r="I588" s="29" t="s">
        <v>203</v>
      </c>
      <c r="J588" s="27" t="s">
        <v>423</v>
      </c>
      <c r="K588" s="112" t="s">
        <v>113</v>
      </c>
      <c r="L588" s="25" t="s">
        <v>3178</v>
      </c>
      <c r="M588" s="25"/>
      <c r="N588" s="100" t="s">
        <v>3531</v>
      </c>
      <c r="O588" s="28"/>
    </row>
    <row r="589" spans="1:15" ht="12.75" customHeight="1">
      <c r="A589" s="698" t="s">
        <v>9089</v>
      </c>
      <c r="B589" s="699" t="s">
        <v>9090</v>
      </c>
      <c r="C589" s="25" t="s">
        <v>6106</v>
      </c>
      <c r="D589" s="111" t="s">
        <v>9091</v>
      </c>
      <c r="E589" s="25" t="s">
        <v>203</v>
      </c>
      <c r="F589" s="25" t="s">
        <v>3169</v>
      </c>
      <c r="G589" s="112" t="s">
        <v>3170</v>
      </c>
      <c r="H589" s="29" t="s">
        <v>203</v>
      </c>
      <c r="I589" s="29" t="s">
        <v>203</v>
      </c>
      <c r="J589" s="27" t="s">
        <v>423</v>
      </c>
      <c r="K589" s="112" t="s">
        <v>113</v>
      </c>
      <c r="L589" s="25" t="s">
        <v>3098</v>
      </c>
      <c r="M589" s="112" t="s">
        <v>9069</v>
      </c>
      <c r="N589" s="25"/>
      <c r="O589" s="28"/>
    </row>
    <row r="590" spans="1:15" ht="12.75" customHeight="1">
      <c r="A590" s="698" t="s">
        <v>9092</v>
      </c>
      <c r="B590" s="699" t="s">
        <v>9093</v>
      </c>
      <c r="C590" s="111" t="s">
        <v>6640</v>
      </c>
      <c r="D590" s="111" t="s">
        <v>6643</v>
      </c>
      <c r="E590" s="111" t="s">
        <v>203</v>
      </c>
      <c r="F590" s="27" t="s">
        <v>3169</v>
      </c>
      <c r="G590" s="746" t="s">
        <v>3170</v>
      </c>
      <c r="H590" s="28" t="s">
        <v>203</v>
      </c>
      <c r="I590" s="27" t="s">
        <v>203</v>
      </c>
      <c r="J590" s="111" t="s">
        <v>423</v>
      </c>
      <c r="K590" s="111" t="s">
        <v>113</v>
      </c>
      <c r="L590" s="111" t="s">
        <v>3098</v>
      </c>
      <c r="M590" s="111"/>
      <c r="N590" s="111"/>
      <c r="O590" s="111"/>
    </row>
    <row r="591" spans="1:15" ht="12.75" customHeight="1">
      <c r="A591" s="698" t="s">
        <v>9094</v>
      </c>
      <c r="B591" s="699" t="s">
        <v>9095</v>
      </c>
      <c r="C591" s="746" t="s">
        <v>6754</v>
      </c>
      <c r="D591" s="111" t="s">
        <v>6760</v>
      </c>
      <c r="E591" s="111" t="s">
        <v>3326</v>
      </c>
      <c r="F591" s="27" t="s">
        <v>3121</v>
      </c>
      <c r="G591" s="112"/>
      <c r="H591" s="28" t="s">
        <v>203</v>
      </c>
      <c r="I591" s="27" t="s">
        <v>203</v>
      </c>
      <c r="J591" s="111" t="s">
        <v>423</v>
      </c>
      <c r="K591" s="111" t="s">
        <v>113</v>
      </c>
      <c r="L591" s="111" t="s">
        <v>3098</v>
      </c>
      <c r="M591" s="112"/>
      <c r="N591" s="112"/>
      <c r="O591" s="111"/>
    </row>
    <row r="592" spans="1:15" ht="12.75" customHeight="1">
      <c r="A592" s="698" t="s">
        <v>9094</v>
      </c>
      <c r="B592" s="699" t="s">
        <v>9096</v>
      </c>
      <c r="C592" s="28" t="s">
        <v>6767</v>
      </c>
      <c r="D592" s="111" t="s">
        <v>9097</v>
      </c>
      <c r="E592" s="111" t="s">
        <v>180</v>
      </c>
      <c r="F592" s="27" t="s">
        <v>7315</v>
      </c>
      <c r="G592" s="28" t="s">
        <v>6767</v>
      </c>
      <c r="H592" s="28" t="s">
        <v>203</v>
      </c>
      <c r="I592" s="27" t="s">
        <v>203</v>
      </c>
      <c r="J592" s="111" t="s">
        <v>423</v>
      </c>
      <c r="K592" s="111" t="s">
        <v>113</v>
      </c>
      <c r="L592" s="111" t="s">
        <v>1889</v>
      </c>
      <c r="M592" s="112"/>
      <c r="N592" s="112"/>
      <c r="O592" s="111"/>
    </row>
    <row r="593" spans="1:15" ht="12.75" customHeight="1">
      <c r="A593" s="698" t="s">
        <v>9094</v>
      </c>
      <c r="B593" s="699" t="s">
        <v>9098</v>
      </c>
      <c r="C593" s="28" t="s">
        <v>6775</v>
      </c>
      <c r="D593" s="111" t="s">
        <v>9099</v>
      </c>
      <c r="E593" s="111" t="s">
        <v>180</v>
      </c>
      <c r="F593" s="27" t="s">
        <v>7315</v>
      </c>
      <c r="G593" s="28" t="s">
        <v>6775</v>
      </c>
      <c r="H593" s="28" t="s">
        <v>203</v>
      </c>
      <c r="I593" s="27" t="s">
        <v>203</v>
      </c>
      <c r="J593" s="111" t="s">
        <v>423</v>
      </c>
      <c r="K593" s="111" t="s">
        <v>113</v>
      </c>
      <c r="L593" s="111" t="s">
        <v>1889</v>
      </c>
      <c r="M593" s="112"/>
      <c r="N593" s="112"/>
      <c r="O593" s="112"/>
    </row>
    <row r="594" spans="1:15" ht="12.75" customHeight="1">
      <c r="A594" s="698" t="s">
        <v>9094</v>
      </c>
      <c r="B594" s="699" t="s">
        <v>9101</v>
      </c>
      <c r="C594" s="28" t="s">
        <v>9102</v>
      </c>
      <c r="D594" s="111" t="s">
        <v>9103</v>
      </c>
      <c r="E594" s="111" t="s">
        <v>180</v>
      </c>
      <c r="F594" s="27" t="s">
        <v>7315</v>
      </c>
      <c r="G594" s="28" t="s">
        <v>9102</v>
      </c>
      <c r="H594" s="28" t="s">
        <v>203</v>
      </c>
      <c r="I594" s="27" t="s">
        <v>203</v>
      </c>
      <c r="J594" s="111" t="s">
        <v>423</v>
      </c>
      <c r="K594" s="111" t="s">
        <v>113</v>
      </c>
      <c r="L594" s="111" t="s">
        <v>1889</v>
      </c>
      <c r="M594" s="112"/>
      <c r="N594" s="112"/>
      <c r="O594" s="112"/>
    </row>
    <row r="595" spans="1:15" ht="12.75" customHeight="1">
      <c r="A595" s="698" t="s">
        <v>9094</v>
      </c>
      <c r="B595" s="699" t="s">
        <v>9104</v>
      </c>
      <c r="C595" s="746" t="s">
        <v>6816</v>
      </c>
      <c r="D595" s="111" t="s">
        <v>6820</v>
      </c>
      <c r="E595" s="111" t="s">
        <v>203</v>
      </c>
      <c r="F595" s="27" t="s">
        <v>3158</v>
      </c>
      <c r="G595" s="112"/>
      <c r="H595" s="28" t="s">
        <v>203</v>
      </c>
      <c r="I595" s="27" t="s">
        <v>203</v>
      </c>
      <c r="J595" s="111" t="s">
        <v>423</v>
      </c>
      <c r="K595" s="111" t="s">
        <v>113</v>
      </c>
      <c r="L595" s="111" t="s">
        <v>3098</v>
      </c>
      <c r="M595" s="112"/>
      <c r="N595" s="112"/>
      <c r="O595" s="111"/>
    </row>
    <row r="596" spans="1:15" ht="12.75" customHeight="1">
      <c r="A596" s="698" t="s">
        <v>9094</v>
      </c>
      <c r="B596" s="699" t="s">
        <v>9106</v>
      </c>
      <c r="C596" s="746" t="s">
        <v>6829</v>
      </c>
      <c r="D596" s="111" t="s">
        <v>6835</v>
      </c>
      <c r="E596" s="111" t="s">
        <v>203</v>
      </c>
      <c r="F596" s="27" t="s">
        <v>6879</v>
      </c>
      <c r="G596" s="746"/>
      <c r="H596" s="28" t="s">
        <v>203</v>
      </c>
      <c r="I596" s="27" t="s">
        <v>203</v>
      </c>
      <c r="J596" s="111" t="s">
        <v>9107</v>
      </c>
      <c r="K596" s="111" t="s">
        <v>113</v>
      </c>
      <c r="L596" s="111" t="s">
        <v>3098</v>
      </c>
      <c r="M596" s="112"/>
      <c r="N596" s="112"/>
      <c r="O596" s="111"/>
    </row>
    <row r="597" spans="1:15" ht="12.75" customHeight="1">
      <c r="A597" s="698" t="s">
        <v>9094</v>
      </c>
      <c r="B597" s="699" t="s">
        <v>9108</v>
      </c>
      <c r="C597" s="746" t="s">
        <v>6867</v>
      </c>
      <c r="D597" s="111" t="s">
        <v>6871</v>
      </c>
      <c r="E597" s="111" t="s">
        <v>203</v>
      </c>
      <c r="F597" s="27" t="s">
        <v>3158</v>
      </c>
      <c r="G597" s="112"/>
      <c r="H597" s="28" t="s">
        <v>203</v>
      </c>
      <c r="I597" s="749" t="s">
        <v>9109</v>
      </c>
      <c r="J597" s="749" t="s">
        <v>9109</v>
      </c>
      <c r="K597" s="112" t="s">
        <v>208</v>
      </c>
      <c r="L597" s="111" t="s">
        <v>3098</v>
      </c>
      <c r="M597" s="112"/>
      <c r="N597" s="112"/>
      <c r="O597" s="111"/>
    </row>
    <row r="598" spans="1:15" ht="12.75" customHeight="1">
      <c r="A598" s="698" t="s">
        <v>9094</v>
      </c>
      <c r="B598" s="699" t="s">
        <v>9110</v>
      </c>
      <c r="C598" s="746" t="s">
        <v>9112</v>
      </c>
      <c r="D598" s="111" t="s">
        <v>9113</v>
      </c>
      <c r="E598" s="111" t="s">
        <v>203</v>
      </c>
      <c r="F598" s="27" t="s">
        <v>6879</v>
      </c>
      <c r="G598" s="112"/>
      <c r="H598" s="28" t="s">
        <v>203</v>
      </c>
      <c r="I598" s="111" t="s">
        <v>9114</v>
      </c>
      <c r="J598" s="111" t="s">
        <v>9114</v>
      </c>
      <c r="K598" s="112" t="s">
        <v>208</v>
      </c>
      <c r="L598" s="111" t="s">
        <v>3098</v>
      </c>
      <c r="M598" s="112"/>
      <c r="N598" s="112"/>
      <c r="O598" s="112"/>
    </row>
    <row r="599" spans="1:15" ht="12.75" customHeight="1">
      <c r="A599" s="698" t="s">
        <v>9094</v>
      </c>
      <c r="B599" s="699" t="s">
        <v>9115</v>
      </c>
      <c r="C599" s="746" t="s">
        <v>9116</v>
      </c>
      <c r="D599" s="114" t="s">
        <v>9117</v>
      </c>
      <c r="E599" s="111" t="s">
        <v>203</v>
      </c>
      <c r="F599" s="27" t="s">
        <v>6879</v>
      </c>
      <c r="G599" s="112"/>
      <c r="H599" s="28" t="s">
        <v>203</v>
      </c>
      <c r="I599" s="111" t="s">
        <v>9118</v>
      </c>
      <c r="J599" s="111" t="s">
        <v>9118</v>
      </c>
      <c r="K599" s="112" t="s">
        <v>208</v>
      </c>
      <c r="L599" s="111" t="s">
        <v>3098</v>
      </c>
      <c r="M599" s="112"/>
      <c r="N599" s="112"/>
      <c r="O599" s="112"/>
    </row>
    <row r="600" spans="1:15" ht="12.75" customHeight="1">
      <c r="A600" s="698" t="s">
        <v>9094</v>
      </c>
      <c r="B600" s="699" t="s">
        <v>9119</v>
      </c>
      <c r="C600" s="746" t="s">
        <v>9120</v>
      </c>
      <c r="D600" s="111" t="s">
        <v>9121</v>
      </c>
      <c r="E600" s="111" t="s">
        <v>203</v>
      </c>
      <c r="F600" s="27" t="s">
        <v>3456</v>
      </c>
      <c r="G600" s="112"/>
      <c r="H600" s="28" t="s">
        <v>7397</v>
      </c>
      <c r="I600" s="111" t="s">
        <v>9118</v>
      </c>
      <c r="J600" s="111" t="s">
        <v>9118</v>
      </c>
      <c r="K600" s="112" t="s">
        <v>208</v>
      </c>
      <c r="L600" s="111" t="s">
        <v>3098</v>
      </c>
      <c r="M600" s="112"/>
      <c r="N600" s="112"/>
      <c r="O600" s="112"/>
    </row>
    <row r="601" spans="1:15" ht="12.75" customHeight="1">
      <c r="A601" s="698" t="s">
        <v>9094</v>
      </c>
      <c r="B601" s="699" t="s">
        <v>9122</v>
      </c>
      <c r="C601" s="746" t="s">
        <v>9123</v>
      </c>
      <c r="D601" s="111" t="s">
        <v>9124</v>
      </c>
      <c r="E601" s="111" t="s">
        <v>203</v>
      </c>
      <c r="F601" s="27" t="s">
        <v>6879</v>
      </c>
      <c r="G601" s="112"/>
      <c r="H601" s="28" t="s">
        <v>203</v>
      </c>
      <c r="I601" s="111" t="s">
        <v>203</v>
      </c>
      <c r="J601" s="111" t="s">
        <v>423</v>
      </c>
      <c r="K601" s="112" t="s">
        <v>113</v>
      </c>
      <c r="L601" s="111" t="s">
        <v>3098</v>
      </c>
      <c r="M601" s="112"/>
      <c r="N601" s="112"/>
      <c r="O601" s="112"/>
    </row>
    <row r="602" spans="1:15" ht="12.75" customHeight="1">
      <c r="A602" s="698" t="s">
        <v>9094</v>
      </c>
      <c r="B602" s="699" t="s">
        <v>9125</v>
      </c>
      <c r="C602" s="746" t="s">
        <v>9126</v>
      </c>
      <c r="D602" s="111" t="s">
        <v>9127</v>
      </c>
      <c r="E602" s="111" t="s">
        <v>203</v>
      </c>
      <c r="F602" s="27" t="s">
        <v>6879</v>
      </c>
      <c r="G602" s="112"/>
      <c r="H602" s="28" t="s">
        <v>203</v>
      </c>
      <c r="I602" s="111" t="s">
        <v>203</v>
      </c>
      <c r="J602" s="111" t="s">
        <v>9128</v>
      </c>
      <c r="K602" s="112" t="s">
        <v>208</v>
      </c>
      <c r="L602" s="111" t="s">
        <v>3098</v>
      </c>
      <c r="M602" s="112"/>
      <c r="N602" s="112"/>
      <c r="O602" s="112"/>
    </row>
  </sheetData>
  <printOptions gridLines="1"/>
  <pageMargins left="0.25" right="0.25" top="0.75" bottom="0.75" header="0" footer="0"/>
  <pageSetup paperSize="8"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K93"/>
  <sheetViews>
    <sheetView topLeftCell="A22" workbookViewId="0"/>
  </sheetViews>
  <sheetFormatPr baseColWidth="10" defaultColWidth="14.5" defaultRowHeight="15" customHeight="1"/>
  <cols>
    <col min="1" max="1" width="16.5" customWidth="1"/>
    <col min="2" max="2" width="11.33203125" customWidth="1"/>
    <col min="3" max="3" width="10.5" customWidth="1"/>
    <col min="4" max="4" width="5.6640625" customWidth="1"/>
    <col min="5" max="5" width="7.33203125" customWidth="1"/>
    <col min="6" max="10" width="15.5" customWidth="1"/>
    <col min="11" max="11" width="39.6640625" customWidth="1"/>
  </cols>
  <sheetData>
    <row r="1" spans="1:11" ht="14" hidden="1">
      <c r="A1" s="663" t="e">
        <v>#REF!</v>
      </c>
      <c r="F1" s="713" t="s">
        <v>7842</v>
      </c>
      <c r="G1" s="713" t="s">
        <v>7844</v>
      </c>
      <c r="H1" s="713" t="s">
        <v>7845</v>
      </c>
      <c r="I1" s="713" t="s">
        <v>7846</v>
      </c>
      <c r="J1" s="713" t="s">
        <v>7847</v>
      </c>
      <c r="K1" s="713" t="s">
        <v>7848</v>
      </c>
    </row>
    <row r="2" spans="1:11" ht="14" hidden="1">
      <c r="A2" s="663"/>
      <c r="F2" s="668" t="s">
        <v>120</v>
      </c>
      <c r="G2" s="665" t="s">
        <v>83</v>
      </c>
      <c r="H2" s="665" t="s">
        <v>124</v>
      </c>
      <c r="I2" s="665" t="s">
        <v>79</v>
      </c>
      <c r="J2" s="665" t="s">
        <v>82</v>
      </c>
      <c r="K2" s="627" t="s">
        <v>3131</v>
      </c>
    </row>
    <row r="3" spans="1:11" ht="14" hidden="1">
      <c r="A3" s="663"/>
      <c r="F3" s="668" t="s">
        <v>120</v>
      </c>
      <c r="G3" s="665" t="s">
        <v>83</v>
      </c>
      <c r="H3" s="665" t="s">
        <v>82</v>
      </c>
      <c r="I3" s="665" t="s">
        <v>79</v>
      </c>
      <c r="J3" s="665" t="s">
        <v>124</v>
      </c>
      <c r="K3" s="627" t="s">
        <v>3131</v>
      </c>
    </row>
    <row r="4" spans="1:11" ht="14" hidden="1">
      <c r="A4" s="663"/>
      <c r="F4" s="668" t="s">
        <v>120</v>
      </c>
      <c r="G4" s="665" t="s">
        <v>82</v>
      </c>
      <c r="H4" s="665" t="s">
        <v>83</v>
      </c>
      <c r="I4" s="665" t="s">
        <v>79</v>
      </c>
      <c r="J4" s="665" t="s">
        <v>124</v>
      </c>
      <c r="K4" s="627" t="s">
        <v>3131</v>
      </c>
    </row>
    <row r="5" spans="1:11" ht="14" hidden="1">
      <c r="A5" s="663"/>
      <c r="F5" s="668" t="s">
        <v>120</v>
      </c>
      <c r="G5" s="665" t="s">
        <v>79</v>
      </c>
      <c r="H5" s="665" t="s">
        <v>83</v>
      </c>
      <c r="I5" s="665" t="s">
        <v>82</v>
      </c>
      <c r="J5" s="665" t="s">
        <v>124</v>
      </c>
      <c r="K5" s="627" t="s">
        <v>3131</v>
      </c>
    </row>
    <row r="6" spans="1:11" ht="14" hidden="1">
      <c r="A6" s="663"/>
      <c r="F6" s="668" t="s">
        <v>120</v>
      </c>
      <c r="G6" s="665" t="s">
        <v>82</v>
      </c>
      <c r="H6" s="665" t="s">
        <v>79</v>
      </c>
      <c r="I6" s="665" t="s">
        <v>83</v>
      </c>
      <c r="J6" s="665" t="s">
        <v>124</v>
      </c>
      <c r="K6" s="627" t="s">
        <v>3131</v>
      </c>
    </row>
    <row r="7" spans="1:11" ht="14" hidden="1">
      <c r="A7" s="663"/>
      <c r="F7" s="668" t="s">
        <v>120</v>
      </c>
      <c r="G7" s="665" t="s">
        <v>79</v>
      </c>
      <c r="H7" s="665" t="s">
        <v>83</v>
      </c>
      <c r="I7" s="665" t="s">
        <v>82</v>
      </c>
      <c r="J7" s="665" t="s">
        <v>124</v>
      </c>
      <c r="K7" s="627" t="s">
        <v>3131</v>
      </c>
    </row>
    <row r="8" spans="1:11" ht="14" hidden="1">
      <c r="A8" s="663"/>
      <c r="F8" s="668" t="s">
        <v>120</v>
      </c>
      <c r="G8" s="665" t="s">
        <v>79</v>
      </c>
      <c r="H8" s="665" t="s">
        <v>83</v>
      </c>
      <c r="I8" s="665" t="s">
        <v>82</v>
      </c>
      <c r="J8" s="665" t="s">
        <v>124</v>
      </c>
      <c r="K8" s="627" t="s">
        <v>3131</v>
      </c>
    </row>
    <row r="9" spans="1:11" ht="14" hidden="1">
      <c r="A9" s="663"/>
      <c r="F9" s="668" t="s">
        <v>120</v>
      </c>
      <c r="G9" s="665" t="s">
        <v>82</v>
      </c>
      <c r="H9" s="665" t="s">
        <v>83</v>
      </c>
      <c r="I9" s="665" t="s">
        <v>124</v>
      </c>
      <c r="J9" s="665" t="s">
        <v>79</v>
      </c>
      <c r="K9" s="627" t="s">
        <v>3131</v>
      </c>
    </row>
    <row r="10" spans="1:11" ht="14" hidden="1">
      <c r="A10" s="663"/>
      <c r="F10" s="668" t="s">
        <v>120</v>
      </c>
      <c r="G10" s="665" t="s">
        <v>82</v>
      </c>
      <c r="H10" s="665" t="s">
        <v>79</v>
      </c>
      <c r="I10" s="665" t="s">
        <v>83</v>
      </c>
      <c r="J10" s="665" t="s">
        <v>124</v>
      </c>
      <c r="K10" s="627" t="s">
        <v>3131</v>
      </c>
    </row>
    <row r="11" spans="1:11" ht="14" hidden="1">
      <c r="A11" s="663"/>
      <c r="F11" s="668" t="s">
        <v>120</v>
      </c>
      <c r="G11" s="665" t="s">
        <v>82</v>
      </c>
      <c r="H11" s="665" t="s">
        <v>79</v>
      </c>
      <c r="I11" s="665" t="s">
        <v>83</v>
      </c>
      <c r="J11" s="665" t="s">
        <v>124</v>
      </c>
      <c r="K11" s="627" t="s">
        <v>3131</v>
      </c>
    </row>
    <row r="12" spans="1:11" ht="14" hidden="1">
      <c r="A12" s="663"/>
      <c r="F12" s="668" t="s">
        <v>120</v>
      </c>
      <c r="G12" s="665" t="s">
        <v>82</v>
      </c>
      <c r="H12" s="665" t="s">
        <v>124</v>
      </c>
      <c r="I12" s="665" t="s">
        <v>79</v>
      </c>
      <c r="J12" s="665" t="s">
        <v>83</v>
      </c>
      <c r="K12" s="627" t="s">
        <v>3131</v>
      </c>
    </row>
    <row r="13" spans="1:11" ht="14" hidden="1">
      <c r="A13" s="663"/>
      <c r="F13" s="668" t="s">
        <v>120</v>
      </c>
      <c r="G13" s="665" t="s">
        <v>82</v>
      </c>
      <c r="H13" s="665" t="s">
        <v>79</v>
      </c>
      <c r="I13" s="665" t="s">
        <v>83</v>
      </c>
      <c r="J13" s="665" t="s">
        <v>124</v>
      </c>
      <c r="K13" s="627" t="s">
        <v>3131</v>
      </c>
    </row>
    <row r="14" spans="1:11" ht="14" hidden="1">
      <c r="A14" s="663"/>
      <c r="F14" s="668" t="s">
        <v>120</v>
      </c>
      <c r="G14" s="665" t="s">
        <v>124</v>
      </c>
      <c r="H14" s="665" t="s">
        <v>82</v>
      </c>
      <c r="I14" s="665" t="s">
        <v>83</v>
      </c>
      <c r="J14" s="665" t="s">
        <v>79</v>
      </c>
      <c r="K14" s="627" t="s">
        <v>3131</v>
      </c>
    </row>
    <row r="15" spans="1:11" ht="14" hidden="1">
      <c r="A15" s="663"/>
      <c r="F15" s="668" t="s">
        <v>120</v>
      </c>
      <c r="G15" s="665" t="s">
        <v>82</v>
      </c>
      <c r="H15" s="665" t="s">
        <v>83</v>
      </c>
      <c r="I15" s="665" t="s">
        <v>79</v>
      </c>
      <c r="J15" s="665" t="s">
        <v>124</v>
      </c>
      <c r="K15" s="627" t="s">
        <v>3131</v>
      </c>
    </row>
    <row r="16" spans="1:11" ht="14" hidden="1">
      <c r="A16" s="663"/>
      <c r="F16" s="668" t="s">
        <v>120</v>
      </c>
      <c r="G16" s="665" t="s">
        <v>82</v>
      </c>
      <c r="H16" s="665" t="s">
        <v>83</v>
      </c>
      <c r="I16" s="665" t="s">
        <v>79</v>
      </c>
      <c r="J16" s="665" t="s">
        <v>124</v>
      </c>
      <c r="K16" s="627" t="s">
        <v>3131</v>
      </c>
    </row>
    <row r="17" spans="1:11" ht="14" hidden="1">
      <c r="A17" s="663"/>
      <c r="F17" s="668" t="s">
        <v>120</v>
      </c>
      <c r="G17" s="665" t="s">
        <v>79</v>
      </c>
      <c r="H17" s="665" t="s">
        <v>83</v>
      </c>
      <c r="I17" s="665" t="s">
        <v>82</v>
      </c>
      <c r="J17" s="665" t="s">
        <v>124</v>
      </c>
      <c r="K17" s="627" t="s">
        <v>3131</v>
      </c>
    </row>
    <row r="18" spans="1:11" ht="14" hidden="1">
      <c r="A18" s="663"/>
      <c r="F18" s="668" t="s">
        <v>120</v>
      </c>
      <c r="G18" s="665" t="s">
        <v>82</v>
      </c>
      <c r="H18" s="665" t="s">
        <v>83</v>
      </c>
      <c r="I18" s="665" t="s">
        <v>79</v>
      </c>
      <c r="J18" s="665" t="s">
        <v>124</v>
      </c>
      <c r="K18" s="627" t="s">
        <v>3131</v>
      </c>
    </row>
    <row r="19" spans="1:11" ht="14" hidden="1">
      <c r="A19" s="663"/>
      <c r="F19" s="668" t="s">
        <v>120</v>
      </c>
      <c r="G19" s="665" t="s">
        <v>82</v>
      </c>
      <c r="H19" s="665" t="s">
        <v>83</v>
      </c>
      <c r="I19" s="665" t="s">
        <v>79</v>
      </c>
      <c r="J19" s="665" t="s">
        <v>124</v>
      </c>
      <c r="K19" s="627" t="s">
        <v>3131</v>
      </c>
    </row>
    <row r="20" spans="1:11" ht="14" hidden="1">
      <c r="A20" s="663"/>
      <c r="F20" s="668" t="s">
        <v>120</v>
      </c>
      <c r="G20" s="665" t="s">
        <v>79</v>
      </c>
      <c r="H20" s="665" t="s">
        <v>83</v>
      </c>
      <c r="I20" s="665" t="s">
        <v>82</v>
      </c>
      <c r="J20" s="665" t="s">
        <v>124</v>
      </c>
      <c r="K20" s="627" t="s">
        <v>3131</v>
      </c>
    </row>
    <row r="21" spans="1:11" ht="14" hidden="1">
      <c r="A21" s="665" t="s">
        <v>7904</v>
      </c>
    </row>
    <row r="23" spans="1:11" ht="14">
      <c r="A23" s="795" t="s">
        <v>42</v>
      </c>
      <c r="B23" s="796" t="s">
        <v>180</v>
      </c>
      <c r="F23" s="713" t="s">
        <v>7842</v>
      </c>
      <c r="G23" s="713" t="s">
        <v>7844</v>
      </c>
      <c r="H23" s="713" t="s">
        <v>7845</v>
      </c>
      <c r="I23" s="713" t="s">
        <v>7846</v>
      </c>
      <c r="J23" s="713" t="s">
        <v>7847</v>
      </c>
      <c r="K23" s="713" t="s">
        <v>7848</v>
      </c>
    </row>
    <row r="24" spans="1:11" ht="14">
      <c r="A24" s="795" t="s">
        <v>3082</v>
      </c>
      <c r="B24" s="796" t="s">
        <v>9714</v>
      </c>
      <c r="F24" s="668" t="s">
        <v>120</v>
      </c>
      <c r="G24" s="665" t="s">
        <v>83</v>
      </c>
      <c r="H24" s="665" t="s">
        <v>124</v>
      </c>
      <c r="I24" s="665" t="s">
        <v>79</v>
      </c>
      <c r="J24" s="665" t="s">
        <v>82</v>
      </c>
      <c r="K24" s="627" t="s">
        <v>3131</v>
      </c>
    </row>
    <row r="25" spans="1:11" ht="14">
      <c r="F25" s="668" t="s">
        <v>120</v>
      </c>
      <c r="G25" s="665" t="s">
        <v>79</v>
      </c>
      <c r="H25" s="665" t="s">
        <v>83</v>
      </c>
      <c r="I25" s="665" t="s">
        <v>82</v>
      </c>
      <c r="J25" s="665" t="s">
        <v>124</v>
      </c>
      <c r="K25" s="627" t="s">
        <v>3131</v>
      </c>
    </row>
    <row r="26" spans="1:11" ht="14">
      <c r="A26" s="788"/>
      <c r="B26" s="786" t="s">
        <v>1787</v>
      </c>
      <c r="C26" s="797"/>
      <c r="D26" s="797"/>
      <c r="E26" s="798"/>
      <c r="F26" s="668" t="s">
        <v>120</v>
      </c>
      <c r="G26" s="665" t="s">
        <v>82</v>
      </c>
      <c r="H26" s="665" t="s">
        <v>83</v>
      </c>
      <c r="I26" s="665" t="s">
        <v>79</v>
      </c>
      <c r="J26" s="665" t="s">
        <v>124</v>
      </c>
      <c r="K26" s="627" t="s">
        <v>3131</v>
      </c>
    </row>
    <row r="27" spans="1:11" ht="14">
      <c r="A27" s="786" t="s">
        <v>3086</v>
      </c>
      <c r="B27" s="788" t="s">
        <v>8035</v>
      </c>
      <c r="C27" s="799" t="s">
        <v>82</v>
      </c>
      <c r="D27" s="799" t="s">
        <v>83</v>
      </c>
      <c r="E27" s="800" t="s">
        <v>124</v>
      </c>
      <c r="F27" s="668" t="s">
        <v>120</v>
      </c>
      <c r="G27" s="665" t="s">
        <v>82</v>
      </c>
      <c r="H27" s="665" t="s">
        <v>79</v>
      </c>
      <c r="I27" s="665" t="s">
        <v>83</v>
      </c>
      <c r="J27" s="665" t="s">
        <v>124</v>
      </c>
      <c r="K27" s="627" t="s">
        <v>3131</v>
      </c>
    </row>
    <row r="28" spans="1:11" ht="14">
      <c r="A28" s="793">
        <v>0</v>
      </c>
      <c r="B28" s="807">
        <v>157</v>
      </c>
      <c r="C28" s="808">
        <v>356</v>
      </c>
      <c r="D28" s="808">
        <v>59</v>
      </c>
      <c r="E28" s="809">
        <v>59</v>
      </c>
      <c r="F28" s="668" t="s">
        <v>120</v>
      </c>
      <c r="G28" s="665" t="s">
        <v>79</v>
      </c>
      <c r="H28" s="665" t="s">
        <v>83</v>
      </c>
      <c r="I28" s="665" t="s">
        <v>82</v>
      </c>
      <c r="J28" s="665" t="s">
        <v>124</v>
      </c>
      <c r="K28" s="627" t="s">
        <v>3131</v>
      </c>
    </row>
    <row r="29" spans="1:11" ht="14">
      <c r="F29" s="668" t="s">
        <v>120</v>
      </c>
      <c r="G29" s="665" t="s">
        <v>82</v>
      </c>
      <c r="H29" s="665" t="s">
        <v>83</v>
      </c>
      <c r="I29" s="665" t="s">
        <v>124</v>
      </c>
      <c r="J29" s="665" t="s">
        <v>79</v>
      </c>
      <c r="K29" s="627" t="s">
        <v>3131</v>
      </c>
    </row>
    <row r="30" spans="1:11" ht="14">
      <c r="F30" s="668" t="s">
        <v>120</v>
      </c>
      <c r="G30" s="665" t="s">
        <v>82</v>
      </c>
      <c r="H30" s="665" t="s">
        <v>79</v>
      </c>
      <c r="I30" s="665" t="s">
        <v>83</v>
      </c>
      <c r="J30" s="665" t="s">
        <v>124</v>
      </c>
      <c r="K30" s="627" t="s">
        <v>3131</v>
      </c>
    </row>
    <row r="31" spans="1:11" ht="14">
      <c r="F31" s="668" t="s">
        <v>120</v>
      </c>
      <c r="G31" s="665" t="s">
        <v>82</v>
      </c>
      <c r="H31" s="665" t="s">
        <v>124</v>
      </c>
      <c r="I31" s="665" t="s">
        <v>79</v>
      </c>
      <c r="J31" s="665" t="s">
        <v>83</v>
      </c>
      <c r="K31" s="627" t="s">
        <v>3131</v>
      </c>
    </row>
    <row r="32" spans="1:11" ht="14">
      <c r="F32" s="668" t="s">
        <v>120</v>
      </c>
      <c r="G32" s="665" t="s">
        <v>82</v>
      </c>
      <c r="H32" s="665" t="s">
        <v>79</v>
      </c>
      <c r="I32" s="665" t="s">
        <v>83</v>
      </c>
      <c r="J32" s="665" t="s">
        <v>124</v>
      </c>
      <c r="K32" s="627" t="s">
        <v>3131</v>
      </c>
    </row>
    <row r="33" spans="1:11" ht="14">
      <c r="F33" s="668" t="s">
        <v>120</v>
      </c>
      <c r="G33" s="665" t="s">
        <v>124</v>
      </c>
      <c r="H33" s="665" t="s">
        <v>82</v>
      </c>
      <c r="I33" s="665" t="s">
        <v>83</v>
      </c>
      <c r="J33" s="665" t="s">
        <v>79</v>
      </c>
      <c r="K33" s="627" t="s">
        <v>3131</v>
      </c>
    </row>
    <row r="34" spans="1:11" ht="14">
      <c r="F34" s="668" t="s">
        <v>120</v>
      </c>
      <c r="G34" s="665" t="s">
        <v>82</v>
      </c>
      <c r="H34" s="665" t="s">
        <v>79</v>
      </c>
      <c r="I34" s="665" t="s">
        <v>83</v>
      </c>
      <c r="J34" s="665" t="s">
        <v>124</v>
      </c>
      <c r="K34" s="627" t="s">
        <v>3131</v>
      </c>
    </row>
    <row r="35" spans="1:11" ht="14">
      <c r="F35" s="668" t="s">
        <v>120</v>
      </c>
      <c r="G35" s="665" t="s">
        <v>82</v>
      </c>
      <c r="H35" s="665" t="s">
        <v>79</v>
      </c>
      <c r="I35" s="665" t="s">
        <v>83</v>
      </c>
      <c r="J35" s="665" t="s">
        <v>124</v>
      </c>
      <c r="K35" s="627" t="s">
        <v>3131</v>
      </c>
    </row>
    <row r="36" spans="1:11" ht="14">
      <c r="F36" s="668" t="s">
        <v>120</v>
      </c>
      <c r="G36" s="665" t="s">
        <v>82</v>
      </c>
      <c r="H36" s="665" t="s">
        <v>83</v>
      </c>
      <c r="I36" s="665" t="s">
        <v>79</v>
      </c>
      <c r="J36" s="665" t="s">
        <v>124</v>
      </c>
      <c r="K36" s="627" t="s">
        <v>3131</v>
      </c>
    </row>
    <row r="37" spans="1:11" ht="14">
      <c r="F37" s="668" t="s">
        <v>120</v>
      </c>
      <c r="G37" s="665" t="s">
        <v>82</v>
      </c>
      <c r="H37" s="665" t="s">
        <v>79</v>
      </c>
      <c r="I37" s="665" t="s">
        <v>83</v>
      </c>
      <c r="J37" s="665" t="s">
        <v>124</v>
      </c>
      <c r="K37" s="627" t="s">
        <v>3131</v>
      </c>
    </row>
    <row r="40" spans="1:11" ht="14">
      <c r="A40" s="665" t="s">
        <v>8091</v>
      </c>
    </row>
    <row r="41" spans="1:11" ht="14">
      <c r="A41" s="665" t="s">
        <v>8092</v>
      </c>
    </row>
    <row r="42" spans="1:11" ht="14">
      <c r="A42" s="665" t="s">
        <v>8094</v>
      </c>
    </row>
    <row r="43" spans="1:11" ht="14">
      <c r="A43" s="665" t="s">
        <v>8095</v>
      </c>
    </row>
    <row r="44" spans="1:11" ht="14">
      <c r="A44" s="665" t="s">
        <v>8096</v>
      </c>
    </row>
    <row r="45" spans="1:11" ht="15" customHeight="1">
      <c r="A45" s="795" t="s">
        <v>42</v>
      </c>
      <c r="B45" s="796" t="s">
        <v>180</v>
      </c>
    </row>
    <row r="46" spans="1:11" ht="15" customHeight="1">
      <c r="A46" s="795" t="s">
        <v>3082</v>
      </c>
      <c r="B46" s="796" t="s">
        <v>9714</v>
      </c>
    </row>
    <row r="48" spans="1:11" ht="13">
      <c r="A48" s="788"/>
      <c r="B48" s="786" t="s">
        <v>1787</v>
      </c>
      <c r="C48" s="797"/>
      <c r="D48" s="797"/>
      <c r="E48" s="798"/>
    </row>
    <row r="49" spans="1:5" ht="13">
      <c r="A49" s="786" t="s">
        <v>3087</v>
      </c>
      <c r="B49" s="788" t="s">
        <v>8035</v>
      </c>
      <c r="C49" s="799" t="s">
        <v>82</v>
      </c>
      <c r="D49" s="799" t="s">
        <v>83</v>
      </c>
      <c r="E49" s="800" t="s">
        <v>124</v>
      </c>
    </row>
    <row r="50" spans="1:5" ht="13">
      <c r="A50" s="788" t="s">
        <v>6404</v>
      </c>
      <c r="B50" s="801"/>
      <c r="C50" s="802"/>
      <c r="D50" s="802">
        <v>2</v>
      </c>
      <c r="E50" s="803">
        <v>2</v>
      </c>
    </row>
    <row r="51" spans="1:5" ht="13">
      <c r="A51" s="791" t="s">
        <v>3124</v>
      </c>
      <c r="B51" s="804"/>
      <c r="C51" s="805"/>
      <c r="D51" s="805"/>
      <c r="E51" s="806"/>
    </row>
    <row r="52" spans="1:5" ht="13">
      <c r="A52" s="791" t="s">
        <v>3742</v>
      </c>
      <c r="B52" s="804"/>
      <c r="C52" s="805">
        <v>5</v>
      </c>
      <c r="D52" s="805">
        <v>4</v>
      </c>
      <c r="E52" s="806"/>
    </row>
    <row r="53" spans="1:5" ht="13">
      <c r="A53" s="791" t="s">
        <v>6728</v>
      </c>
      <c r="B53" s="804"/>
      <c r="C53" s="805"/>
      <c r="D53" s="805"/>
      <c r="E53" s="806"/>
    </row>
    <row r="54" spans="1:5" ht="13">
      <c r="A54" s="791" t="s">
        <v>3535</v>
      </c>
      <c r="B54" s="804">
        <v>1</v>
      </c>
      <c r="C54" s="805">
        <v>11</v>
      </c>
      <c r="D54" s="805">
        <v>6</v>
      </c>
      <c r="E54" s="806">
        <v>4</v>
      </c>
    </row>
    <row r="55" spans="1:5" ht="13">
      <c r="A55" s="791" t="s">
        <v>3651</v>
      </c>
      <c r="B55" s="804"/>
      <c r="C55" s="805">
        <v>7</v>
      </c>
      <c r="D55" s="805">
        <v>4</v>
      </c>
      <c r="E55" s="806">
        <v>2</v>
      </c>
    </row>
    <row r="56" spans="1:5" ht="13">
      <c r="A56" s="791" t="s">
        <v>4824</v>
      </c>
      <c r="B56" s="804"/>
      <c r="C56" s="805">
        <v>4</v>
      </c>
      <c r="D56" s="805"/>
      <c r="E56" s="806"/>
    </row>
    <row r="57" spans="1:5" ht="13">
      <c r="A57" s="791" t="s">
        <v>5934</v>
      </c>
      <c r="B57" s="804">
        <v>1</v>
      </c>
      <c r="C57" s="805">
        <v>3</v>
      </c>
      <c r="D57" s="805"/>
      <c r="E57" s="806"/>
    </row>
    <row r="58" spans="1:5" ht="13">
      <c r="A58" s="791" t="s">
        <v>3917</v>
      </c>
      <c r="B58" s="804">
        <v>3</v>
      </c>
      <c r="C58" s="805">
        <v>5</v>
      </c>
      <c r="D58" s="805">
        <v>5</v>
      </c>
      <c r="E58" s="806"/>
    </row>
    <row r="59" spans="1:5" ht="13">
      <c r="A59" s="791" t="s">
        <v>3992</v>
      </c>
      <c r="B59" s="804"/>
      <c r="C59" s="805">
        <v>3</v>
      </c>
      <c r="D59" s="805">
        <v>3</v>
      </c>
      <c r="E59" s="806"/>
    </row>
    <row r="60" spans="1:5" ht="13">
      <c r="A60" s="791" t="s">
        <v>3776</v>
      </c>
      <c r="B60" s="804">
        <v>3</v>
      </c>
      <c r="C60" s="805">
        <v>7</v>
      </c>
      <c r="D60" s="805">
        <v>5</v>
      </c>
      <c r="E60" s="806"/>
    </row>
    <row r="61" spans="1:5" ht="13">
      <c r="A61" s="791" t="s">
        <v>6192</v>
      </c>
      <c r="B61" s="804">
        <v>3</v>
      </c>
      <c r="C61" s="805">
        <v>5</v>
      </c>
      <c r="D61" s="805"/>
      <c r="E61" s="806"/>
    </row>
    <row r="62" spans="1:5" ht="13">
      <c r="A62" s="791" t="s">
        <v>3102</v>
      </c>
      <c r="B62" s="804"/>
      <c r="C62" s="805">
        <v>2</v>
      </c>
      <c r="D62" s="805"/>
      <c r="E62" s="806"/>
    </row>
    <row r="63" spans="1:5" ht="13">
      <c r="A63" s="791" t="s">
        <v>3716</v>
      </c>
      <c r="B63" s="804"/>
      <c r="C63" s="805">
        <v>3</v>
      </c>
      <c r="D63" s="805">
        <v>2</v>
      </c>
      <c r="E63" s="806"/>
    </row>
    <row r="64" spans="1:5" ht="13">
      <c r="A64" s="791" t="s">
        <v>3182</v>
      </c>
      <c r="B64" s="804"/>
      <c r="C64" s="805">
        <v>4</v>
      </c>
      <c r="D64" s="805"/>
      <c r="E64" s="806"/>
    </row>
    <row r="65" spans="1:5" ht="13">
      <c r="A65" s="791" t="s">
        <v>6136</v>
      </c>
      <c r="B65" s="804"/>
      <c r="C65" s="805">
        <v>2</v>
      </c>
      <c r="D65" s="805">
        <v>2</v>
      </c>
      <c r="E65" s="806"/>
    </row>
    <row r="66" spans="1:5" ht="13">
      <c r="A66" s="791" t="s">
        <v>6018</v>
      </c>
      <c r="B66" s="804"/>
      <c r="C66" s="805">
        <v>3</v>
      </c>
      <c r="D66" s="805"/>
      <c r="E66" s="806"/>
    </row>
    <row r="67" spans="1:5" ht="13">
      <c r="A67" s="791" t="s">
        <v>5900</v>
      </c>
      <c r="B67" s="804"/>
      <c r="C67" s="805">
        <v>2</v>
      </c>
      <c r="D67" s="805"/>
      <c r="E67" s="806"/>
    </row>
    <row r="68" spans="1:5" ht="13">
      <c r="A68" s="791" t="s">
        <v>4477</v>
      </c>
      <c r="B68" s="804">
        <v>70</v>
      </c>
      <c r="C68" s="805">
        <v>102</v>
      </c>
      <c r="D68" s="805">
        <v>1</v>
      </c>
      <c r="E68" s="806"/>
    </row>
    <row r="69" spans="1:5" ht="13">
      <c r="A69" s="791" t="s">
        <v>3342</v>
      </c>
      <c r="B69" s="804">
        <v>7</v>
      </c>
      <c r="C69" s="805">
        <v>5</v>
      </c>
      <c r="D69" s="805">
        <v>1</v>
      </c>
      <c r="E69" s="806"/>
    </row>
    <row r="70" spans="1:5" ht="13">
      <c r="A70" s="791" t="s">
        <v>4124</v>
      </c>
      <c r="B70" s="804">
        <v>20</v>
      </c>
      <c r="C70" s="805">
        <v>25</v>
      </c>
      <c r="D70" s="805">
        <v>4</v>
      </c>
      <c r="E70" s="806"/>
    </row>
    <row r="71" spans="1:5" ht="13">
      <c r="A71" s="791" t="s">
        <v>5605</v>
      </c>
      <c r="B71" s="804"/>
      <c r="C71" s="805">
        <v>11</v>
      </c>
      <c r="D71" s="805"/>
      <c r="E71" s="806">
        <v>18</v>
      </c>
    </row>
    <row r="72" spans="1:5" ht="13">
      <c r="A72" s="791" t="s">
        <v>3858</v>
      </c>
      <c r="B72" s="804"/>
      <c r="C72" s="805">
        <v>1</v>
      </c>
      <c r="D72" s="805">
        <v>2</v>
      </c>
      <c r="E72" s="806"/>
    </row>
    <row r="73" spans="1:5" ht="13">
      <c r="A73" s="791" t="s">
        <v>4431</v>
      </c>
      <c r="B73" s="804"/>
      <c r="C73" s="805"/>
      <c r="D73" s="805"/>
      <c r="E73" s="806"/>
    </row>
    <row r="74" spans="1:5" ht="13">
      <c r="A74" s="791" t="s">
        <v>4451</v>
      </c>
      <c r="B74" s="804"/>
      <c r="C74" s="805"/>
      <c r="D74" s="805"/>
      <c r="E74" s="806"/>
    </row>
    <row r="75" spans="1:5" ht="13">
      <c r="A75" s="791" t="s">
        <v>4473</v>
      </c>
      <c r="B75" s="804">
        <v>3</v>
      </c>
      <c r="C75" s="805">
        <v>7</v>
      </c>
      <c r="D75" s="805">
        <v>1</v>
      </c>
      <c r="E75" s="806"/>
    </row>
    <row r="76" spans="1:5" ht="13">
      <c r="A76" s="791" t="s">
        <v>3430</v>
      </c>
      <c r="B76" s="804"/>
      <c r="C76" s="805"/>
      <c r="D76" s="805">
        <v>4</v>
      </c>
      <c r="E76" s="806"/>
    </row>
    <row r="77" spans="1:5" ht="13">
      <c r="A77" s="791" t="s">
        <v>6061</v>
      </c>
      <c r="B77" s="804">
        <v>2</v>
      </c>
      <c r="C77" s="805">
        <v>7</v>
      </c>
      <c r="D77" s="805">
        <v>5</v>
      </c>
      <c r="E77" s="806"/>
    </row>
    <row r="78" spans="1:5" ht="13">
      <c r="A78" s="791" t="s">
        <v>4744</v>
      </c>
      <c r="B78" s="804"/>
      <c r="C78" s="805"/>
      <c r="D78" s="805"/>
      <c r="E78" s="806"/>
    </row>
    <row r="79" spans="1:5" ht="13">
      <c r="A79" s="791" t="s">
        <v>6005</v>
      </c>
      <c r="B79" s="804"/>
      <c r="C79" s="805"/>
      <c r="D79" s="805"/>
      <c r="E79" s="806"/>
    </row>
    <row r="80" spans="1:5" ht="13">
      <c r="A80" s="791" t="s">
        <v>6515</v>
      </c>
      <c r="B80" s="804">
        <v>2</v>
      </c>
      <c r="C80" s="805">
        <v>18</v>
      </c>
      <c r="D80" s="805"/>
      <c r="E80" s="806"/>
    </row>
    <row r="81" spans="1:5" ht="13">
      <c r="A81" s="791" t="s">
        <v>6719</v>
      </c>
      <c r="B81" s="804">
        <v>7</v>
      </c>
      <c r="C81" s="805">
        <v>20</v>
      </c>
      <c r="D81" s="805"/>
      <c r="E81" s="806"/>
    </row>
    <row r="82" spans="1:5" ht="13">
      <c r="A82" s="791" t="s">
        <v>6290</v>
      </c>
      <c r="B82" s="804">
        <v>10</v>
      </c>
      <c r="C82" s="805">
        <v>13</v>
      </c>
      <c r="D82" s="805"/>
      <c r="E82" s="806"/>
    </row>
    <row r="83" spans="1:5" ht="13">
      <c r="A83" s="791" t="s">
        <v>6740</v>
      </c>
      <c r="B83" s="804"/>
      <c r="C83" s="805">
        <v>13</v>
      </c>
      <c r="D83" s="805"/>
      <c r="E83" s="806">
        <v>1</v>
      </c>
    </row>
    <row r="84" spans="1:5" ht="13">
      <c r="A84" s="791" t="s">
        <v>6744</v>
      </c>
      <c r="B84" s="804"/>
      <c r="C84" s="805">
        <v>5</v>
      </c>
      <c r="D84" s="805"/>
      <c r="E84" s="806"/>
    </row>
    <row r="85" spans="1:5" ht="13">
      <c r="A85" s="791" t="s">
        <v>6755</v>
      </c>
      <c r="B85" s="804"/>
      <c r="C85" s="805">
        <v>6</v>
      </c>
      <c r="D85" s="805"/>
      <c r="E85" s="806">
        <v>32</v>
      </c>
    </row>
    <row r="86" spans="1:5" ht="13">
      <c r="A86" s="791" t="s">
        <v>6788</v>
      </c>
      <c r="B86" s="804">
        <v>2</v>
      </c>
      <c r="C86" s="805">
        <v>7</v>
      </c>
      <c r="D86" s="805"/>
      <c r="E86" s="806"/>
    </row>
    <row r="87" spans="1:5" ht="13">
      <c r="A87" s="791" t="s">
        <v>6792</v>
      </c>
      <c r="B87" s="804"/>
      <c r="C87" s="805">
        <v>3</v>
      </c>
      <c r="D87" s="805"/>
      <c r="E87" s="806"/>
    </row>
    <row r="88" spans="1:5" ht="13">
      <c r="A88" s="791" t="s">
        <v>6571</v>
      </c>
      <c r="B88" s="804">
        <v>8</v>
      </c>
      <c r="C88" s="805">
        <v>29</v>
      </c>
      <c r="D88" s="805"/>
      <c r="E88" s="806"/>
    </row>
    <row r="89" spans="1:5" ht="13">
      <c r="A89" s="791" t="s">
        <v>6798</v>
      </c>
      <c r="B89" s="804">
        <v>5</v>
      </c>
      <c r="C89" s="805">
        <v>10</v>
      </c>
      <c r="D89" s="805"/>
      <c r="E89" s="806"/>
    </row>
    <row r="90" spans="1:5" ht="13">
      <c r="A90" s="791" t="s">
        <v>6800</v>
      </c>
      <c r="B90" s="804">
        <v>5</v>
      </c>
      <c r="C90" s="805"/>
      <c r="D90" s="805">
        <v>6</v>
      </c>
      <c r="E90" s="806"/>
    </row>
    <row r="91" spans="1:5" ht="13">
      <c r="A91" s="791" t="s">
        <v>6809</v>
      </c>
      <c r="B91" s="804">
        <v>3</v>
      </c>
      <c r="C91" s="805"/>
      <c r="D91" s="805"/>
      <c r="E91" s="806"/>
    </row>
    <row r="92" spans="1:5" ht="13">
      <c r="A92" s="791" t="s">
        <v>6838</v>
      </c>
      <c r="B92" s="804">
        <v>2</v>
      </c>
      <c r="C92" s="805">
        <v>8</v>
      </c>
      <c r="D92" s="805">
        <v>2</v>
      </c>
      <c r="E92" s="806"/>
    </row>
    <row r="93" spans="1:5" ht="15" customHeight="1">
      <c r="A93" s="793" t="s">
        <v>7252</v>
      </c>
      <c r="B93" s="807">
        <v>157</v>
      </c>
      <c r="C93" s="808">
        <v>356</v>
      </c>
      <c r="D93" s="808">
        <v>59</v>
      </c>
      <c r="E93" s="809">
        <v>59</v>
      </c>
    </row>
  </sheetData>
  <hyperlinks>
    <hyperlink ref="K2" r:id="rId3" xr:uid="{00000000-0004-0000-0A00-000000000000}"/>
    <hyperlink ref="K3" r:id="rId4" xr:uid="{00000000-0004-0000-0A00-000001000000}"/>
    <hyperlink ref="K4" r:id="rId5" xr:uid="{00000000-0004-0000-0A00-000002000000}"/>
    <hyperlink ref="K5" r:id="rId6" xr:uid="{00000000-0004-0000-0A00-000003000000}"/>
    <hyperlink ref="K6" r:id="rId7" xr:uid="{00000000-0004-0000-0A00-000004000000}"/>
    <hyperlink ref="K7" r:id="rId8" xr:uid="{00000000-0004-0000-0A00-000005000000}"/>
    <hyperlink ref="K8" r:id="rId9" xr:uid="{00000000-0004-0000-0A00-000006000000}"/>
    <hyperlink ref="K9" r:id="rId10" xr:uid="{00000000-0004-0000-0A00-000007000000}"/>
    <hyperlink ref="K10" r:id="rId11" xr:uid="{00000000-0004-0000-0A00-000008000000}"/>
    <hyperlink ref="K11" r:id="rId12" xr:uid="{00000000-0004-0000-0A00-000009000000}"/>
    <hyperlink ref="K12" r:id="rId13" xr:uid="{00000000-0004-0000-0A00-00000A000000}"/>
    <hyperlink ref="K13" r:id="rId14" xr:uid="{00000000-0004-0000-0A00-00000B000000}"/>
    <hyperlink ref="K14" r:id="rId15" xr:uid="{00000000-0004-0000-0A00-00000C000000}"/>
    <hyperlink ref="K15" r:id="rId16" xr:uid="{00000000-0004-0000-0A00-00000D000000}"/>
    <hyperlink ref="K16" r:id="rId17" xr:uid="{00000000-0004-0000-0A00-00000E000000}"/>
    <hyperlink ref="K17" r:id="rId18" xr:uid="{00000000-0004-0000-0A00-00000F000000}"/>
    <hyperlink ref="K18" r:id="rId19" xr:uid="{00000000-0004-0000-0A00-000010000000}"/>
    <hyperlink ref="K19" r:id="rId20" xr:uid="{00000000-0004-0000-0A00-000011000000}"/>
    <hyperlink ref="K20" r:id="rId21" xr:uid="{00000000-0004-0000-0A00-000012000000}"/>
    <hyperlink ref="K24" r:id="rId22" xr:uid="{00000000-0004-0000-0A00-000013000000}"/>
    <hyperlink ref="K25" r:id="rId23" xr:uid="{00000000-0004-0000-0A00-000014000000}"/>
    <hyperlink ref="K26" r:id="rId24" xr:uid="{00000000-0004-0000-0A00-000015000000}"/>
    <hyperlink ref="K27" r:id="rId25" xr:uid="{00000000-0004-0000-0A00-000016000000}"/>
    <hyperlink ref="K28" r:id="rId26" xr:uid="{00000000-0004-0000-0A00-000017000000}"/>
    <hyperlink ref="K29" r:id="rId27" xr:uid="{00000000-0004-0000-0A00-000018000000}"/>
    <hyperlink ref="K30" r:id="rId28" xr:uid="{00000000-0004-0000-0A00-000019000000}"/>
    <hyperlink ref="K31" r:id="rId29" xr:uid="{00000000-0004-0000-0A00-00001A000000}"/>
    <hyperlink ref="K32" r:id="rId30" xr:uid="{00000000-0004-0000-0A00-00001B000000}"/>
    <hyperlink ref="K33" r:id="rId31" xr:uid="{00000000-0004-0000-0A00-00001C000000}"/>
    <hyperlink ref="K34" r:id="rId32" xr:uid="{00000000-0004-0000-0A00-00001D000000}"/>
    <hyperlink ref="K35" r:id="rId33" xr:uid="{00000000-0004-0000-0A00-00001E000000}"/>
    <hyperlink ref="K36" r:id="rId34" xr:uid="{00000000-0004-0000-0A00-00001F000000}"/>
    <hyperlink ref="K37" r:id="rId35" xr:uid="{00000000-0004-0000-0A00-00002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3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5" defaultRowHeight="15" customHeight="1"/>
  <cols>
    <col min="1" max="1" width="9.83203125" customWidth="1"/>
    <col min="2" max="2" width="33.83203125" customWidth="1"/>
    <col min="3" max="4" width="17.1640625" customWidth="1"/>
    <col min="5" max="5" width="17" customWidth="1"/>
    <col min="6" max="6" width="14.5" customWidth="1"/>
    <col min="7" max="8" width="14" customWidth="1"/>
    <col min="9" max="9" width="17" customWidth="1"/>
    <col min="10" max="10" width="21.5" customWidth="1"/>
    <col min="11" max="11" width="20.6640625" customWidth="1"/>
    <col min="12" max="12" width="21.33203125" customWidth="1"/>
    <col min="13" max="13" width="22.33203125" customWidth="1"/>
    <col min="14" max="17" width="14.83203125" customWidth="1"/>
    <col min="18" max="18" width="18.5" customWidth="1"/>
    <col min="19" max="24" width="14.83203125" customWidth="1"/>
    <col min="25" max="25" width="30.1640625" customWidth="1"/>
    <col min="26" max="26" width="14.83203125" customWidth="1"/>
    <col min="27" max="27" width="22.6640625" customWidth="1"/>
    <col min="28" max="36" width="14.83203125" customWidth="1"/>
    <col min="37" max="37" width="19.33203125" customWidth="1"/>
    <col min="38" max="38" width="17" customWidth="1"/>
    <col min="39" max="39" width="40.83203125" customWidth="1"/>
  </cols>
  <sheetData>
    <row r="1" spans="1:39" ht="56.25" customHeight="1">
      <c r="A1" s="1" t="s">
        <v>0</v>
      </c>
      <c r="B1" s="1" t="s">
        <v>1</v>
      </c>
      <c r="C1" s="1" t="s">
        <v>2</v>
      </c>
      <c r="D1" s="1" t="s">
        <v>3</v>
      </c>
      <c r="E1" s="1" t="s">
        <v>4</v>
      </c>
      <c r="F1" s="1" t="s">
        <v>5</v>
      </c>
      <c r="G1" s="1" t="s">
        <v>6</v>
      </c>
      <c r="H1" s="1" t="s">
        <v>7</v>
      </c>
      <c r="I1" s="1" t="s">
        <v>8</v>
      </c>
      <c r="J1" s="3" t="s">
        <v>10</v>
      </c>
      <c r="K1" s="3" t="s">
        <v>15</v>
      </c>
      <c r="L1" s="3" t="s">
        <v>16</v>
      </c>
      <c r="M1" s="3" t="s">
        <v>17</v>
      </c>
      <c r="N1" s="3" t="s">
        <v>18</v>
      </c>
      <c r="O1" s="3" t="s">
        <v>19</v>
      </c>
      <c r="P1" s="3" t="s">
        <v>20</v>
      </c>
      <c r="Q1" s="3" t="s">
        <v>21</v>
      </c>
      <c r="R1" s="3" t="s">
        <v>22</v>
      </c>
      <c r="S1" s="3" t="s">
        <v>23</v>
      </c>
      <c r="T1" s="3" t="s">
        <v>24</v>
      </c>
      <c r="U1" s="3" t="s">
        <v>26</v>
      </c>
      <c r="V1" s="3" t="s">
        <v>27</v>
      </c>
      <c r="W1" s="3"/>
      <c r="X1" s="3" t="s">
        <v>28</v>
      </c>
      <c r="Y1" s="3" t="s">
        <v>29</v>
      </c>
      <c r="Z1" s="3" t="s">
        <v>30</v>
      </c>
      <c r="AA1" s="3" t="s">
        <v>31</v>
      </c>
      <c r="AB1" s="3" t="s">
        <v>32</v>
      </c>
      <c r="AC1" s="3" t="s">
        <v>33</v>
      </c>
      <c r="AD1" s="6" t="s">
        <v>34</v>
      </c>
      <c r="AE1" s="6" t="s">
        <v>34</v>
      </c>
      <c r="AF1" s="7" t="s">
        <v>35</v>
      </c>
      <c r="AG1" s="7" t="s">
        <v>35</v>
      </c>
      <c r="AH1" s="8"/>
      <c r="AI1" s="8"/>
      <c r="AJ1" s="8"/>
      <c r="AK1" s="7" t="s">
        <v>37</v>
      </c>
      <c r="AL1" s="7" t="s">
        <v>38</v>
      </c>
      <c r="AM1" s="7" t="s">
        <v>39</v>
      </c>
    </row>
    <row r="2" spans="1:39" ht="12.75" customHeight="1">
      <c r="A2" s="9" t="s">
        <v>40</v>
      </c>
      <c r="B2" s="9" t="s">
        <v>41</v>
      </c>
      <c r="C2" s="9" t="s">
        <v>42</v>
      </c>
      <c r="D2" s="9" t="s">
        <v>43</v>
      </c>
      <c r="E2" s="9" t="s">
        <v>44</v>
      </c>
      <c r="F2" s="9" t="s">
        <v>45</v>
      </c>
      <c r="G2" s="9" t="s">
        <v>47</v>
      </c>
      <c r="H2" s="9" t="s">
        <v>48</v>
      </c>
      <c r="I2" s="11" t="s">
        <v>50</v>
      </c>
      <c r="J2" s="12" t="s">
        <v>52</v>
      </c>
      <c r="K2" s="13" t="s">
        <v>59</v>
      </c>
      <c r="L2" s="12" t="s">
        <v>61</v>
      </c>
      <c r="M2" s="12" t="s">
        <v>62</v>
      </c>
      <c r="N2" s="12" t="s">
        <v>63</v>
      </c>
      <c r="O2" s="15" t="s">
        <v>64</v>
      </c>
      <c r="P2" s="12" t="s">
        <v>65</v>
      </c>
      <c r="Q2" s="12" t="s">
        <v>66</v>
      </c>
      <c r="R2" s="15" t="s">
        <v>67</v>
      </c>
      <c r="S2" s="12" t="s">
        <v>68</v>
      </c>
      <c r="T2" s="12" t="s">
        <v>69</v>
      </c>
      <c r="U2" s="15" t="s">
        <v>70</v>
      </c>
      <c r="V2" s="12" t="s">
        <v>71</v>
      </c>
      <c r="W2" s="12" t="s">
        <v>72</v>
      </c>
      <c r="X2" s="12" t="s">
        <v>73</v>
      </c>
      <c r="Y2" s="15" t="s">
        <v>74</v>
      </c>
      <c r="Z2" s="12" t="s">
        <v>75</v>
      </c>
      <c r="AA2" s="13" t="s">
        <v>76</v>
      </c>
      <c r="AB2" s="12" t="s">
        <v>77</v>
      </c>
      <c r="AC2" s="12" t="s">
        <v>78</v>
      </c>
      <c r="AD2" s="19" t="s">
        <v>79</v>
      </c>
      <c r="AE2" s="19" t="s">
        <v>81</v>
      </c>
      <c r="AF2" s="19" t="s">
        <v>82</v>
      </c>
      <c r="AG2" s="19" t="s">
        <v>83</v>
      </c>
      <c r="AH2" s="21" t="s">
        <v>84</v>
      </c>
      <c r="AI2" s="21" t="s">
        <v>86</v>
      </c>
      <c r="AJ2" s="21" t="s">
        <v>87</v>
      </c>
      <c r="AK2" s="19" t="s">
        <v>89</v>
      </c>
      <c r="AL2" s="19" t="s">
        <v>90</v>
      </c>
      <c r="AM2" s="19" t="s">
        <v>91</v>
      </c>
    </row>
    <row r="3" spans="1:39" ht="12.75" customHeight="1">
      <c r="A3" s="22">
        <v>1</v>
      </c>
      <c r="B3" s="22" t="s">
        <v>95</v>
      </c>
      <c r="C3" s="22" t="s">
        <v>96</v>
      </c>
      <c r="D3" s="22"/>
      <c r="E3" s="22"/>
      <c r="F3" s="24">
        <v>1</v>
      </c>
      <c r="G3" s="24" t="s">
        <v>99</v>
      </c>
      <c r="H3" s="24"/>
      <c r="I3" s="22" t="s">
        <v>100</v>
      </c>
      <c r="J3" s="25"/>
      <c r="K3" s="27" t="s">
        <v>95</v>
      </c>
      <c r="L3" s="25" t="s">
        <v>101</v>
      </c>
      <c r="M3" s="27" t="s">
        <v>102</v>
      </c>
      <c r="N3" s="27" t="s">
        <v>103</v>
      </c>
      <c r="O3" s="28"/>
      <c r="P3" s="25"/>
      <c r="Q3" s="29"/>
      <c r="R3" s="27" t="s">
        <v>104</v>
      </c>
      <c r="S3" s="28"/>
      <c r="T3" s="28"/>
      <c r="U3" s="28"/>
      <c r="V3" s="28"/>
      <c r="W3" s="28"/>
      <c r="X3" s="28"/>
      <c r="Y3" s="25"/>
      <c r="Z3" s="25"/>
      <c r="AA3" s="28"/>
      <c r="AB3" s="25"/>
      <c r="AC3" s="25"/>
      <c r="AD3" s="27"/>
      <c r="AE3" s="27"/>
      <c r="AF3" s="27"/>
      <c r="AG3" s="27"/>
      <c r="AH3" s="25"/>
      <c r="AI3" s="27" t="s">
        <v>105</v>
      </c>
      <c r="AJ3" s="27"/>
      <c r="AK3" s="27" t="s">
        <v>106</v>
      </c>
      <c r="AL3" s="27"/>
      <c r="AM3" s="27"/>
    </row>
    <row r="4" spans="1:39" ht="12.75" customHeight="1">
      <c r="A4" s="22">
        <v>2</v>
      </c>
      <c r="B4" s="22" t="s">
        <v>108</v>
      </c>
      <c r="C4" s="22" t="s">
        <v>96</v>
      </c>
      <c r="D4" s="22"/>
      <c r="E4" s="22"/>
      <c r="F4" s="24">
        <v>1</v>
      </c>
      <c r="G4" s="24" t="s">
        <v>99</v>
      </c>
      <c r="H4" s="24"/>
      <c r="I4" s="22" t="s">
        <v>100</v>
      </c>
      <c r="J4" s="25"/>
      <c r="K4" s="27" t="s">
        <v>108</v>
      </c>
      <c r="L4" s="27" t="s">
        <v>109</v>
      </c>
      <c r="M4" s="27" t="s">
        <v>110</v>
      </c>
      <c r="N4" s="27" t="s">
        <v>111</v>
      </c>
      <c r="O4" s="29"/>
      <c r="P4" s="29"/>
      <c r="Q4" s="29"/>
      <c r="R4" s="27" t="s">
        <v>112</v>
      </c>
      <c r="S4" s="27" t="s">
        <v>113</v>
      </c>
      <c r="T4" s="27" t="s">
        <v>113</v>
      </c>
      <c r="U4" s="28"/>
      <c r="V4" s="28"/>
      <c r="W4" s="28"/>
      <c r="X4" s="28"/>
      <c r="Y4" s="25"/>
      <c r="Z4" s="25"/>
      <c r="AA4" s="28"/>
      <c r="AB4" s="25"/>
      <c r="AC4" s="25"/>
      <c r="AD4" s="27"/>
      <c r="AE4" s="27"/>
      <c r="AF4" s="27"/>
      <c r="AG4" s="27"/>
      <c r="AH4" s="32" t="s">
        <v>115</v>
      </c>
      <c r="AI4" s="32" t="s">
        <v>118</v>
      </c>
      <c r="AJ4" s="32" t="s">
        <v>109</v>
      </c>
      <c r="AK4" s="34" t="s">
        <v>121</v>
      </c>
      <c r="AL4" s="27"/>
      <c r="AM4" s="27"/>
    </row>
    <row r="5" spans="1:39" ht="12.75" customHeight="1">
      <c r="A5" s="22">
        <v>3</v>
      </c>
      <c r="B5" s="22" t="s">
        <v>123</v>
      </c>
      <c r="C5" s="22" t="s">
        <v>96</v>
      </c>
      <c r="D5" s="22"/>
      <c r="E5" s="22"/>
      <c r="F5" s="24">
        <v>1</v>
      </c>
      <c r="G5" s="24" t="s">
        <v>99</v>
      </c>
      <c r="H5" s="24"/>
      <c r="I5" s="22" t="s">
        <v>100</v>
      </c>
      <c r="J5" s="25"/>
      <c r="K5" s="27" t="s">
        <v>123</v>
      </c>
      <c r="L5" s="27" t="s">
        <v>125</v>
      </c>
      <c r="M5" s="27" t="s">
        <v>127</v>
      </c>
      <c r="N5" s="27" t="s">
        <v>111</v>
      </c>
      <c r="O5" s="29"/>
      <c r="P5" s="29"/>
      <c r="Q5" s="29"/>
      <c r="R5" s="27" t="s">
        <v>112</v>
      </c>
      <c r="S5" s="27" t="s">
        <v>113</v>
      </c>
      <c r="T5" s="27" t="s">
        <v>113</v>
      </c>
      <c r="U5" s="25"/>
      <c r="V5" s="37"/>
      <c r="W5" s="37"/>
      <c r="X5" s="37"/>
      <c r="Y5" s="37"/>
      <c r="Z5" s="25"/>
      <c r="AA5" s="28"/>
      <c r="AB5" s="25"/>
      <c r="AC5" s="25"/>
      <c r="AD5" s="27"/>
      <c r="AE5" s="27"/>
      <c r="AF5" s="27"/>
      <c r="AG5" s="27"/>
      <c r="AH5" s="32" t="s">
        <v>115</v>
      </c>
      <c r="AI5" s="32" t="s">
        <v>118</v>
      </c>
      <c r="AJ5" s="32" t="s">
        <v>125</v>
      </c>
      <c r="AK5" s="27" t="s">
        <v>136</v>
      </c>
      <c r="AL5" s="27"/>
      <c r="AM5" s="27"/>
    </row>
    <row r="6" spans="1:39" ht="12.75" customHeight="1">
      <c r="A6" s="22">
        <v>4</v>
      </c>
      <c r="B6" s="22" t="s">
        <v>137</v>
      </c>
      <c r="C6" s="22" t="s">
        <v>96</v>
      </c>
      <c r="D6" s="22"/>
      <c r="E6" s="22"/>
      <c r="F6" s="24">
        <v>1</v>
      </c>
      <c r="G6" s="24" t="s">
        <v>99</v>
      </c>
      <c r="H6" s="24"/>
      <c r="I6" s="22" t="s">
        <v>100</v>
      </c>
      <c r="J6" s="25"/>
      <c r="K6" s="27" t="s">
        <v>137</v>
      </c>
      <c r="L6" s="27" t="s">
        <v>138</v>
      </c>
      <c r="M6" s="27" t="s">
        <v>139</v>
      </c>
      <c r="N6" s="27" t="s">
        <v>140</v>
      </c>
      <c r="O6" s="29"/>
      <c r="P6" s="29"/>
      <c r="Q6" s="29"/>
      <c r="R6" s="27" t="s">
        <v>141</v>
      </c>
      <c r="S6" s="27" t="s">
        <v>113</v>
      </c>
      <c r="T6" s="27" t="s">
        <v>142</v>
      </c>
      <c r="U6" s="25"/>
      <c r="V6" s="37"/>
      <c r="W6" s="37"/>
      <c r="X6" s="37"/>
      <c r="Y6" s="37"/>
      <c r="Z6" s="25"/>
      <c r="AA6" s="28"/>
      <c r="AB6" s="25"/>
      <c r="AC6" s="25"/>
      <c r="AD6" s="27"/>
      <c r="AE6" s="27"/>
      <c r="AF6" s="27"/>
      <c r="AG6" s="27"/>
      <c r="AH6" s="32" t="s">
        <v>115</v>
      </c>
      <c r="AI6" s="32" t="s">
        <v>118</v>
      </c>
      <c r="AJ6" s="32" t="s">
        <v>144</v>
      </c>
      <c r="AK6" s="27" t="s">
        <v>145</v>
      </c>
      <c r="AL6" s="27"/>
      <c r="AM6" s="27"/>
    </row>
    <row r="7" spans="1:39" ht="12.75" customHeight="1">
      <c r="A7" s="22">
        <v>5</v>
      </c>
      <c r="B7" s="22" t="s">
        <v>146</v>
      </c>
      <c r="C7" s="22" t="s">
        <v>96</v>
      </c>
      <c r="D7" s="22"/>
      <c r="E7" s="22"/>
      <c r="F7" s="24">
        <v>1</v>
      </c>
      <c r="G7" s="24" t="s">
        <v>99</v>
      </c>
      <c r="H7" s="24"/>
      <c r="I7" s="22" t="s">
        <v>100</v>
      </c>
      <c r="J7" s="25"/>
      <c r="K7" s="27" t="s">
        <v>149</v>
      </c>
      <c r="L7" s="27" t="s">
        <v>150</v>
      </c>
      <c r="M7" s="27" t="s">
        <v>151</v>
      </c>
      <c r="N7" s="27" t="s">
        <v>153</v>
      </c>
      <c r="O7" s="29"/>
      <c r="P7" s="29"/>
      <c r="Q7" s="29"/>
      <c r="R7" s="29"/>
      <c r="S7" s="27" t="s">
        <v>113</v>
      </c>
      <c r="T7" s="27" t="s">
        <v>142</v>
      </c>
      <c r="U7" s="27"/>
      <c r="V7" s="27"/>
      <c r="W7" s="27"/>
      <c r="X7" s="28"/>
      <c r="Y7" s="25"/>
      <c r="Z7" s="25"/>
      <c r="AA7" s="28"/>
      <c r="AB7" s="25"/>
      <c r="AC7" s="25"/>
      <c r="AD7" s="27"/>
      <c r="AE7" s="27"/>
      <c r="AF7" s="27"/>
      <c r="AG7" s="27"/>
      <c r="AH7" s="32" t="s">
        <v>156</v>
      </c>
      <c r="AI7" s="32" t="s">
        <v>156</v>
      </c>
      <c r="AJ7" s="32" t="s">
        <v>156</v>
      </c>
      <c r="AK7" s="27"/>
      <c r="AL7" s="27"/>
      <c r="AM7" s="27"/>
    </row>
    <row r="8" spans="1:39" ht="12.75" customHeight="1">
      <c r="A8" s="22">
        <v>6</v>
      </c>
      <c r="B8" s="22" t="s">
        <v>157</v>
      </c>
      <c r="C8" s="22" t="s">
        <v>65</v>
      </c>
      <c r="D8" s="22"/>
      <c r="E8" s="22"/>
      <c r="F8" s="24">
        <v>1</v>
      </c>
      <c r="G8" s="24" t="s">
        <v>99</v>
      </c>
      <c r="H8" s="24"/>
      <c r="I8" s="22" t="s">
        <v>100</v>
      </c>
      <c r="J8" s="25"/>
      <c r="K8" s="27" t="s">
        <v>115</v>
      </c>
      <c r="L8" s="27" t="s">
        <v>158</v>
      </c>
      <c r="M8" s="27" t="s">
        <v>159</v>
      </c>
      <c r="N8" s="27" t="s">
        <v>65</v>
      </c>
      <c r="O8" s="29"/>
      <c r="P8" s="27" t="s">
        <v>160</v>
      </c>
      <c r="Q8" s="29"/>
      <c r="R8" s="29"/>
      <c r="S8" s="27" t="s">
        <v>115</v>
      </c>
      <c r="T8" s="27" t="s">
        <v>115</v>
      </c>
      <c r="U8" s="27"/>
      <c r="V8" s="28"/>
      <c r="W8" s="28"/>
      <c r="X8" s="28"/>
      <c r="Y8" s="25"/>
      <c r="Z8" s="25"/>
      <c r="AA8" s="28"/>
      <c r="AB8" s="25"/>
      <c r="AC8" s="25"/>
      <c r="AD8" s="27"/>
      <c r="AE8" s="27"/>
      <c r="AF8" s="27"/>
      <c r="AG8" s="27"/>
      <c r="AH8" s="32" t="s">
        <v>156</v>
      </c>
      <c r="AI8" s="32" t="s">
        <v>156</v>
      </c>
      <c r="AJ8" s="32" t="s">
        <v>156</v>
      </c>
      <c r="AK8" s="27"/>
      <c r="AL8" s="27"/>
      <c r="AM8" s="27"/>
    </row>
    <row r="9" spans="1:39" ht="12.75" customHeight="1">
      <c r="A9" s="22">
        <v>7</v>
      </c>
      <c r="B9" s="22" t="s">
        <v>161</v>
      </c>
      <c r="C9" s="22" t="s">
        <v>96</v>
      </c>
      <c r="D9" s="22"/>
      <c r="E9" s="22"/>
      <c r="F9" s="24">
        <v>1</v>
      </c>
      <c r="G9" s="24" t="s">
        <v>99</v>
      </c>
      <c r="H9" s="24"/>
      <c r="I9" s="22" t="s">
        <v>100</v>
      </c>
      <c r="J9" s="25"/>
      <c r="K9" s="27" t="s">
        <v>162</v>
      </c>
      <c r="L9" s="27" t="s">
        <v>115</v>
      </c>
      <c r="M9" s="27" t="s">
        <v>163</v>
      </c>
      <c r="N9" s="27" t="s">
        <v>164</v>
      </c>
      <c r="O9" s="29"/>
      <c r="P9" s="29"/>
      <c r="Q9" s="29"/>
      <c r="R9" s="29"/>
      <c r="S9" s="27" t="s">
        <v>115</v>
      </c>
      <c r="T9" s="27" t="s">
        <v>115</v>
      </c>
      <c r="U9" s="25"/>
      <c r="V9" s="37"/>
      <c r="W9" s="37"/>
      <c r="X9" s="37"/>
      <c r="Y9" s="37"/>
      <c r="Z9" s="25"/>
      <c r="AA9" s="28"/>
      <c r="AB9" s="25"/>
      <c r="AC9" s="25"/>
      <c r="AD9" s="27"/>
      <c r="AE9" s="27"/>
      <c r="AF9" s="27"/>
      <c r="AG9" s="27"/>
      <c r="AH9" s="32" t="s">
        <v>156</v>
      </c>
      <c r="AI9" s="32" t="s">
        <v>156</v>
      </c>
      <c r="AJ9" s="32" t="s">
        <v>156</v>
      </c>
      <c r="AK9" s="27"/>
      <c r="AL9" s="27"/>
      <c r="AM9" s="27"/>
    </row>
    <row r="10" spans="1:39" ht="12.75" customHeight="1">
      <c r="A10" s="22">
        <v>8</v>
      </c>
      <c r="B10" s="22" t="s">
        <v>165</v>
      </c>
      <c r="C10" s="22" t="s">
        <v>96</v>
      </c>
      <c r="D10" s="22"/>
      <c r="E10" s="22"/>
      <c r="F10" s="24">
        <v>1</v>
      </c>
      <c r="G10" s="24" t="s">
        <v>99</v>
      </c>
      <c r="H10" s="24"/>
      <c r="I10" s="22" t="s">
        <v>100</v>
      </c>
      <c r="J10" s="25"/>
      <c r="K10" s="27" t="s">
        <v>165</v>
      </c>
      <c r="L10" s="27" t="s">
        <v>166</v>
      </c>
      <c r="M10" s="27" t="s">
        <v>167</v>
      </c>
      <c r="N10" s="27" t="s">
        <v>168</v>
      </c>
      <c r="O10" s="29"/>
      <c r="P10" s="29"/>
      <c r="Q10" s="29"/>
      <c r="R10" s="27" t="s">
        <v>141</v>
      </c>
      <c r="S10" s="27" t="s">
        <v>113</v>
      </c>
      <c r="T10" s="27" t="s">
        <v>169</v>
      </c>
      <c r="U10" s="25"/>
      <c r="V10" s="37"/>
      <c r="W10" s="37"/>
      <c r="X10" s="37"/>
      <c r="Y10" s="28"/>
      <c r="Z10" s="25"/>
      <c r="AA10" s="28"/>
      <c r="AB10" s="25"/>
      <c r="AC10" s="25"/>
      <c r="AD10" s="27"/>
      <c r="AE10" s="27"/>
      <c r="AF10" s="27"/>
      <c r="AG10" s="27"/>
      <c r="AH10" s="32" t="s">
        <v>115</v>
      </c>
      <c r="AI10" s="32" t="s">
        <v>118</v>
      </c>
      <c r="AJ10" s="32" t="s">
        <v>170</v>
      </c>
      <c r="AK10" s="27"/>
      <c r="AL10" s="27"/>
      <c r="AM10" s="27"/>
    </row>
    <row r="11" spans="1:39" ht="12.75" customHeight="1">
      <c r="A11" s="22">
        <v>9</v>
      </c>
      <c r="B11" s="22" t="s">
        <v>171</v>
      </c>
      <c r="C11" s="22" t="s">
        <v>65</v>
      </c>
      <c r="D11" s="22"/>
      <c r="E11" s="22"/>
      <c r="F11" s="24">
        <v>1</v>
      </c>
      <c r="G11" s="24" t="s">
        <v>99</v>
      </c>
      <c r="H11" s="24"/>
      <c r="I11" s="22" t="s">
        <v>100</v>
      </c>
      <c r="J11" s="25"/>
      <c r="K11" s="27" t="s">
        <v>172</v>
      </c>
      <c r="L11" s="27" t="s">
        <v>173</v>
      </c>
      <c r="M11" s="27" t="s">
        <v>174</v>
      </c>
      <c r="N11" s="27" t="s">
        <v>65</v>
      </c>
      <c r="O11" s="29"/>
      <c r="P11" s="27" t="s">
        <v>175</v>
      </c>
      <c r="Q11" s="29"/>
      <c r="R11" s="29"/>
      <c r="S11" s="27" t="s">
        <v>115</v>
      </c>
      <c r="T11" s="27" t="s">
        <v>115</v>
      </c>
      <c r="U11" s="25"/>
      <c r="V11" s="37"/>
      <c r="W11" s="37"/>
      <c r="X11" s="37"/>
      <c r="Y11" s="37"/>
      <c r="Z11" s="25"/>
      <c r="AA11" s="28"/>
      <c r="AB11" s="25"/>
      <c r="AC11" s="25"/>
      <c r="AD11" s="27"/>
      <c r="AE11" s="27"/>
      <c r="AF11" s="27"/>
      <c r="AG11" s="27"/>
      <c r="AH11" s="32" t="s">
        <v>156</v>
      </c>
      <c r="AI11" s="32" t="s">
        <v>156</v>
      </c>
      <c r="AJ11" s="32" t="s">
        <v>156</v>
      </c>
      <c r="AK11" s="27"/>
      <c r="AL11" s="27"/>
      <c r="AM11" s="27"/>
    </row>
    <row r="12" spans="1:39" ht="12.75" customHeight="1">
      <c r="A12" s="22">
        <v>10</v>
      </c>
      <c r="B12" s="22" t="s">
        <v>176</v>
      </c>
      <c r="C12" s="22" t="s">
        <v>96</v>
      </c>
      <c r="D12" s="22"/>
      <c r="E12" s="22"/>
      <c r="F12" s="24">
        <v>1</v>
      </c>
      <c r="G12" s="24" t="s">
        <v>99</v>
      </c>
      <c r="H12" s="24"/>
      <c r="I12" s="22" t="s">
        <v>100</v>
      </c>
      <c r="J12" s="25"/>
      <c r="K12" s="27" t="s">
        <v>177</v>
      </c>
      <c r="L12" s="27" t="s">
        <v>115</v>
      </c>
      <c r="M12" s="27" t="s">
        <v>178</v>
      </c>
      <c r="N12" s="27"/>
      <c r="O12" s="29"/>
      <c r="P12" s="27"/>
      <c r="Q12" s="29"/>
      <c r="R12" s="29"/>
      <c r="S12" s="27" t="s">
        <v>115</v>
      </c>
      <c r="T12" s="27" t="s">
        <v>115</v>
      </c>
      <c r="U12" s="28"/>
      <c r="V12" s="28"/>
      <c r="W12" s="28"/>
      <c r="X12" s="28"/>
      <c r="Y12" s="25"/>
      <c r="Z12" s="25"/>
      <c r="AA12" s="28"/>
      <c r="AB12" s="25"/>
      <c r="AC12" s="25"/>
      <c r="AD12" s="27"/>
      <c r="AE12" s="27"/>
      <c r="AF12" s="27"/>
      <c r="AG12" s="27"/>
      <c r="AH12" s="32" t="s">
        <v>179</v>
      </c>
      <c r="AI12" s="32" t="s">
        <v>156</v>
      </c>
      <c r="AJ12" s="32" t="s">
        <v>156</v>
      </c>
      <c r="AK12" s="27"/>
      <c r="AL12" s="27"/>
      <c r="AM12" s="27"/>
    </row>
    <row r="13" spans="1:39" ht="12.75" customHeight="1">
      <c r="A13" s="22">
        <v>11</v>
      </c>
      <c r="B13" s="22" t="s">
        <v>181</v>
      </c>
      <c r="C13" s="22" t="s">
        <v>65</v>
      </c>
      <c r="D13" s="22"/>
      <c r="E13" s="22"/>
      <c r="F13" s="24">
        <v>1</v>
      </c>
      <c r="G13" s="24" t="s">
        <v>99</v>
      </c>
      <c r="H13" s="24"/>
      <c r="I13" s="22" t="s">
        <v>100</v>
      </c>
      <c r="J13" s="25"/>
      <c r="K13" s="27" t="s">
        <v>115</v>
      </c>
      <c r="L13" s="27" t="s">
        <v>182</v>
      </c>
      <c r="M13" s="27" t="s">
        <v>183</v>
      </c>
      <c r="N13" s="27" t="s">
        <v>65</v>
      </c>
      <c r="O13" s="29"/>
      <c r="P13" s="27" t="s">
        <v>184</v>
      </c>
      <c r="Q13" s="29"/>
      <c r="R13" s="27"/>
      <c r="S13" s="27" t="s">
        <v>115</v>
      </c>
      <c r="T13" s="27" t="s">
        <v>115</v>
      </c>
      <c r="U13" s="28"/>
      <c r="V13" s="28"/>
      <c r="W13" s="28"/>
      <c r="X13" s="28"/>
      <c r="Y13" s="25"/>
      <c r="Z13" s="25"/>
      <c r="AA13" s="28"/>
      <c r="AB13" s="25"/>
      <c r="AC13" s="25"/>
      <c r="AD13" s="28"/>
      <c r="AE13" s="28"/>
      <c r="AF13" s="28"/>
      <c r="AG13" s="28"/>
      <c r="AH13" s="32" t="s">
        <v>156</v>
      </c>
      <c r="AI13" s="32" t="s">
        <v>156</v>
      </c>
      <c r="AJ13" s="32" t="s">
        <v>156</v>
      </c>
      <c r="AK13" s="28"/>
      <c r="AL13" s="28"/>
      <c r="AM13" s="28"/>
    </row>
    <row r="14" spans="1:39" ht="12.75" customHeight="1">
      <c r="A14" s="22">
        <v>12</v>
      </c>
      <c r="B14" s="22" t="s">
        <v>185</v>
      </c>
      <c r="C14" s="22" t="s">
        <v>65</v>
      </c>
      <c r="D14" s="22"/>
      <c r="E14" s="22"/>
      <c r="F14" s="24">
        <v>1</v>
      </c>
      <c r="G14" s="24" t="s">
        <v>99</v>
      </c>
      <c r="H14" s="24"/>
      <c r="I14" s="22" t="s">
        <v>100</v>
      </c>
      <c r="J14" s="25"/>
      <c r="K14" s="27" t="s">
        <v>115</v>
      </c>
      <c r="L14" s="27" t="s">
        <v>170</v>
      </c>
      <c r="M14" s="27" t="s">
        <v>186</v>
      </c>
      <c r="N14" s="27" t="s">
        <v>65</v>
      </c>
      <c r="O14" s="29"/>
      <c r="P14" s="27" t="s">
        <v>187</v>
      </c>
      <c r="Q14" s="29"/>
      <c r="R14" s="27"/>
      <c r="S14" s="27" t="s">
        <v>115</v>
      </c>
      <c r="T14" s="27" t="s">
        <v>115</v>
      </c>
      <c r="U14" s="28"/>
      <c r="V14" s="28"/>
      <c r="W14" s="28"/>
      <c r="X14" s="28"/>
      <c r="Y14" s="25"/>
      <c r="Z14" s="25"/>
      <c r="AA14" s="28"/>
      <c r="AB14" s="25"/>
      <c r="AC14" s="25"/>
      <c r="AD14" s="27"/>
      <c r="AE14" s="27"/>
      <c r="AF14" s="27"/>
      <c r="AG14" s="27"/>
      <c r="AH14" s="32" t="s">
        <v>156</v>
      </c>
      <c r="AI14" s="32" t="s">
        <v>156</v>
      </c>
      <c r="AJ14" s="32" t="s">
        <v>156</v>
      </c>
      <c r="AK14" s="27"/>
      <c r="AL14" s="27"/>
      <c r="AM14" s="27"/>
    </row>
    <row r="15" spans="1:39" ht="12.75" customHeight="1">
      <c r="A15" s="22">
        <v>13</v>
      </c>
      <c r="B15" s="22" t="s">
        <v>188</v>
      </c>
      <c r="C15" s="22" t="s">
        <v>96</v>
      </c>
      <c r="D15" s="22"/>
      <c r="E15" s="22"/>
      <c r="F15" s="24">
        <v>1</v>
      </c>
      <c r="G15" s="24" t="s">
        <v>99</v>
      </c>
      <c r="H15" s="24"/>
      <c r="I15" s="22" t="s">
        <v>100</v>
      </c>
      <c r="J15" s="25"/>
      <c r="K15" s="27" t="s">
        <v>188</v>
      </c>
      <c r="L15" s="27" t="s">
        <v>189</v>
      </c>
      <c r="M15" s="29" t="s">
        <v>190</v>
      </c>
      <c r="N15" s="27" t="s">
        <v>111</v>
      </c>
      <c r="O15" s="29"/>
      <c r="P15" s="29"/>
      <c r="Q15" s="29"/>
      <c r="R15" s="29"/>
      <c r="S15" s="27" t="s">
        <v>113</v>
      </c>
      <c r="T15" s="27" t="s">
        <v>113</v>
      </c>
      <c r="U15" s="28"/>
      <c r="V15" s="28"/>
      <c r="W15" s="28"/>
      <c r="X15" s="28"/>
      <c r="Y15" s="28"/>
      <c r="Z15" s="25"/>
      <c r="AA15" s="28" t="s">
        <v>191</v>
      </c>
      <c r="AB15" s="25"/>
      <c r="AC15" s="25"/>
      <c r="AD15" s="27"/>
      <c r="AE15" s="27"/>
      <c r="AF15" s="27"/>
      <c r="AG15" s="27"/>
      <c r="AH15" s="32" t="s">
        <v>115</v>
      </c>
      <c r="AI15" s="32" t="s">
        <v>192</v>
      </c>
      <c r="AJ15" s="32" t="s">
        <v>193</v>
      </c>
      <c r="AK15" s="27"/>
      <c r="AL15" s="27"/>
      <c r="AM15" s="27"/>
    </row>
    <row r="16" spans="1:39" ht="12.75" customHeight="1">
      <c r="A16" s="22">
        <v>14</v>
      </c>
      <c r="B16" s="22" t="s">
        <v>194</v>
      </c>
      <c r="C16" s="22" t="s">
        <v>96</v>
      </c>
      <c r="D16" s="22"/>
      <c r="E16" s="22"/>
      <c r="F16" s="24">
        <v>1</v>
      </c>
      <c r="G16" s="24" t="s">
        <v>99</v>
      </c>
      <c r="H16" s="24"/>
      <c r="I16" s="22" t="s">
        <v>100</v>
      </c>
      <c r="J16" s="25"/>
      <c r="K16" s="27" t="s">
        <v>194</v>
      </c>
      <c r="L16" s="27" t="s">
        <v>195</v>
      </c>
      <c r="M16" s="27" t="s">
        <v>196</v>
      </c>
      <c r="N16" s="27" t="s">
        <v>168</v>
      </c>
      <c r="O16" s="29"/>
      <c r="P16" s="29"/>
      <c r="Q16" s="29"/>
      <c r="R16" s="29"/>
      <c r="S16" s="27" t="s">
        <v>113</v>
      </c>
      <c r="T16" s="27" t="s">
        <v>113</v>
      </c>
      <c r="U16" s="28"/>
      <c r="V16" s="28"/>
      <c r="W16" s="28"/>
      <c r="X16" s="28"/>
      <c r="Y16" s="25"/>
      <c r="Z16" s="25"/>
      <c r="AA16" s="28"/>
      <c r="AB16" s="25"/>
      <c r="AC16" s="25"/>
      <c r="AD16" s="27"/>
      <c r="AE16" s="27"/>
      <c r="AF16" s="27">
        <v>184103008</v>
      </c>
      <c r="AG16" s="27"/>
      <c r="AH16" s="32" t="s">
        <v>115</v>
      </c>
      <c r="AI16" s="32" t="s">
        <v>197</v>
      </c>
      <c r="AJ16" s="50" t="s">
        <v>198</v>
      </c>
      <c r="AK16" s="27"/>
      <c r="AL16" s="27"/>
      <c r="AM16" s="27"/>
    </row>
    <row r="17" spans="1:39" ht="12.75" customHeight="1">
      <c r="A17" s="22">
        <v>15</v>
      </c>
      <c r="B17" s="22" t="s">
        <v>199</v>
      </c>
      <c r="C17" s="22" t="s">
        <v>96</v>
      </c>
      <c r="D17" s="22"/>
      <c r="E17" s="22"/>
      <c r="F17" s="24">
        <v>1</v>
      </c>
      <c r="G17" s="24" t="s">
        <v>99</v>
      </c>
      <c r="H17" s="24"/>
      <c r="I17" s="22" t="s">
        <v>100</v>
      </c>
      <c r="J17" s="25"/>
      <c r="K17" s="27" t="s">
        <v>199</v>
      </c>
      <c r="L17" s="27" t="s">
        <v>200</v>
      </c>
      <c r="M17" s="27" t="s">
        <v>201</v>
      </c>
      <c r="N17" s="27" t="s">
        <v>202</v>
      </c>
      <c r="O17" s="29"/>
      <c r="P17" s="29"/>
      <c r="Q17" s="29"/>
      <c r="R17" s="27"/>
      <c r="S17" s="27" t="s">
        <v>113</v>
      </c>
      <c r="T17" s="27" t="s">
        <v>113</v>
      </c>
      <c r="U17" s="28"/>
      <c r="V17" s="28"/>
      <c r="W17" s="28"/>
      <c r="X17" s="28"/>
      <c r="Y17" s="25"/>
      <c r="Z17" s="25"/>
      <c r="AA17" s="28"/>
      <c r="AB17" s="25"/>
      <c r="AC17" s="25"/>
      <c r="AD17" s="27" t="s">
        <v>203</v>
      </c>
      <c r="AE17" s="27" t="s">
        <v>203</v>
      </c>
      <c r="AF17" s="27" t="s">
        <v>203</v>
      </c>
      <c r="AG17" s="27"/>
      <c r="AH17" s="32" t="s">
        <v>115</v>
      </c>
      <c r="AI17" s="51" t="s">
        <v>204</v>
      </c>
      <c r="AJ17" s="50" t="s">
        <v>205</v>
      </c>
      <c r="AK17" s="27"/>
      <c r="AL17" s="27"/>
      <c r="AM17" s="27"/>
    </row>
    <row r="18" spans="1:39" ht="12.75" customHeight="1">
      <c r="A18" s="22">
        <v>16</v>
      </c>
      <c r="B18" s="22" t="s">
        <v>113</v>
      </c>
      <c r="C18" s="22" t="s">
        <v>180</v>
      </c>
      <c r="D18" s="22" t="s">
        <v>199</v>
      </c>
      <c r="E18" s="22"/>
      <c r="F18" s="24">
        <v>1</v>
      </c>
      <c r="G18" s="24" t="s">
        <v>99</v>
      </c>
      <c r="H18" s="24"/>
      <c r="I18" s="22" t="s">
        <v>100</v>
      </c>
      <c r="J18" s="25"/>
      <c r="K18" s="27"/>
      <c r="L18" s="27"/>
      <c r="M18" s="27"/>
      <c r="N18" s="27"/>
      <c r="O18" s="29" t="s">
        <v>113</v>
      </c>
      <c r="P18" s="29"/>
      <c r="Q18" s="29"/>
      <c r="R18" s="27"/>
      <c r="S18" s="27"/>
      <c r="T18" s="27"/>
      <c r="U18" s="28"/>
      <c r="V18" s="28"/>
      <c r="W18" s="28"/>
      <c r="X18" s="28"/>
      <c r="Y18" s="25"/>
      <c r="Z18" s="25"/>
      <c r="AA18" s="28"/>
      <c r="AB18" s="25"/>
      <c r="AC18" s="25"/>
      <c r="AD18" s="27"/>
      <c r="AE18" s="27"/>
      <c r="AF18" s="53">
        <v>373066001</v>
      </c>
      <c r="AG18" s="27"/>
      <c r="AH18" s="32" t="s">
        <v>115</v>
      </c>
      <c r="AI18" s="32" t="s">
        <v>206</v>
      </c>
      <c r="AJ18" s="32" t="s">
        <v>207</v>
      </c>
      <c r="AK18" s="27"/>
      <c r="AL18" s="27"/>
      <c r="AM18" s="27"/>
    </row>
    <row r="19" spans="1:39" ht="12.75" customHeight="1">
      <c r="A19" s="22">
        <v>17</v>
      </c>
      <c r="B19" s="22" t="s">
        <v>208</v>
      </c>
      <c r="C19" s="22" t="s">
        <v>180</v>
      </c>
      <c r="D19" s="22" t="s">
        <v>199</v>
      </c>
      <c r="E19" s="22"/>
      <c r="F19" s="24">
        <v>1</v>
      </c>
      <c r="G19" s="24" t="s">
        <v>99</v>
      </c>
      <c r="H19" s="24"/>
      <c r="I19" s="22" t="s">
        <v>100</v>
      </c>
      <c r="J19" s="25"/>
      <c r="K19" s="27"/>
      <c r="L19" s="27"/>
      <c r="M19" s="27"/>
      <c r="N19" s="27"/>
      <c r="O19" s="29" t="s">
        <v>208</v>
      </c>
      <c r="P19" s="29"/>
      <c r="Q19" s="29"/>
      <c r="R19" s="27"/>
      <c r="S19" s="27"/>
      <c r="T19" s="27"/>
      <c r="U19" s="25"/>
      <c r="V19" s="37"/>
      <c r="W19" s="37"/>
      <c r="X19" s="37"/>
      <c r="Y19" s="37"/>
      <c r="Z19" s="25"/>
      <c r="AA19" s="28"/>
      <c r="AB19" s="25"/>
      <c r="AC19" s="25"/>
      <c r="AD19" s="27"/>
      <c r="AE19" s="27"/>
      <c r="AF19" s="54">
        <v>373067005</v>
      </c>
      <c r="AG19" s="27"/>
      <c r="AH19" s="32" t="s">
        <v>115</v>
      </c>
      <c r="AI19" s="32" t="s">
        <v>209</v>
      </c>
      <c r="AJ19" s="32" t="s">
        <v>210</v>
      </c>
      <c r="AK19" s="27"/>
      <c r="AL19" s="27"/>
      <c r="AM19" s="27"/>
    </row>
    <row r="20" spans="1:39" ht="12.75" customHeight="1">
      <c r="A20" s="22">
        <v>18</v>
      </c>
      <c r="B20" s="22" t="s">
        <v>211</v>
      </c>
      <c r="C20" s="22" t="s">
        <v>96</v>
      </c>
      <c r="D20" s="22"/>
      <c r="E20" s="22"/>
      <c r="F20" s="24">
        <v>1</v>
      </c>
      <c r="G20" s="24" t="s">
        <v>99</v>
      </c>
      <c r="H20" s="24"/>
      <c r="I20" s="22" t="s">
        <v>100</v>
      </c>
      <c r="J20" s="25"/>
      <c r="K20" s="28" t="s">
        <v>211</v>
      </c>
      <c r="L20" s="27" t="s">
        <v>212</v>
      </c>
      <c r="M20" s="27" t="s">
        <v>213</v>
      </c>
      <c r="N20" s="27" t="s">
        <v>111</v>
      </c>
      <c r="O20" s="29"/>
      <c r="P20" s="29"/>
      <c r="Q20" s="29"/>
      <c r="R20" s="27" t="s">
        <v>112</v>
      </c>
      <c r="S20" s="27" t="s">
        <v>113</v>
      </c>
      <c r="T20" s="27" t="s">
        <v>208</v>
      </c>
      <c r="U20" s="28"/>
      <c r="V20" s="28"/>
      <c r="W20" s="28"/>
      <c r="X20" s="28"/>
      <c r="Y20" s="25"/>
      <c r="Z20" s="25"/>
      <c r="AA20" s="28"/>
      <c r="AB20" s="25"/>
      <c r="AC20" s="25"/>
      <c r="AD20" s="27"/>
      <c r="AE20" s="27"/>
      <c r="AF20" s="27">
        <v>70862002</v>
      </c>
      <c r="AG20" s="27"/>
      <c r="AH20" s="32" t="s">
        <v>214</v>
      </c>
      <c r="AI20" s="32" t="s">
        <v>215</v>
      </c>
      <c r="AJ20" s="32" t="s">
        <v>216</v>
      </c>
      <c r="AK20" s="27"/>
      <c r="AL20" s="27"/>
      <c r="AM20" s="27"/>
    </row>
    <row r="21" spans="1:39" ht="12.75" customHeight="1">
      <c r="A21" s="22">
        <v>19</v>
      </c>
      <c r="B21" s="22" t="s">
        <v>217</v>
      </c>
      <c r="C21" s="22" t="s">
        <v>96</v>
      </c>
      <c r="D21" s="22"/>
      <c r="E21" s="22"/>
      <c r="F21" s="24">
        <v>1</v>
      </c>
      <c r="G21" s="24" t="s">
        <v>99</v>
      </c>
      <c r="H21" s="24"/>
      <c r="I21" s="22" t="s">
        <v>100</v>
      </c>
      <c r="J21" s="25"/>
      <c r="K21" s="28" t="s">
        <v>217</v>
      </c>
      <c r="L21" s="27" t="s">
        <v>218</v>
      </c>
      <c r="M21" s="27" t="s">
        <v>219</v>
      </c>
      <c r="N21" s="27" t="s">
        <v>168</v>
      </c>
      <c r="O21" s="29"/>
      <c r="P21" s="29"/>
      <c r="Q21" s="29"/>
      <c r="R21" s="29"/>
      <c r="S21" s="27" t="s">
        <v>113</v>
      </c>
      <c r="T21" s="27" t="s">
        <v>208</v>
      </c>
      <c r="U21" s="28"/>
      <c r="V21" s="28"/>
      <c r="W21" s="28"/>
      <c r="X21" s="28"/>
      <c r="Y21" s="25"/>
      <c r="Z21" s="25"/>
      <c r="AA21" s="28"/>
      <c r="AB21" s="25"/>
      <c r="AC21" s="25"/>
      <c r="AD21" s="28"/>
      <c r="AE21" s="28"/>
      <c r="AF21" s="54">
        <v>184103008</v>
      </c>
      <c r="AG21" s="22"/>
      <c r="AH21" s="32" t="s">
        <v>115</v>
      </c>
      <c r="AI21" s="32" t="s">
        <v>197</v>
      </c>
      <c r="AJ21" s="50" t="s">
        <v>198</v>
      </c>
      <c r="AK21" s="22"/>
      <c r="AL21" s="22"/>
      <c r="AM21" s="22"/>
    </row>
    <row r="22" spans="1:39" ht="12.75" customHeight="1">
      <c r="A22" s="22">
        <v>20</v>
      </c>
      <c r="B22" s="55" t="s">
        <v>220</v>
      </c>
      <c r="C22" s="22" t="s">
        <v>96</v>
      </c>
      <c r="D22" s="22"/>
      <c r="E22" s="22"/>
      <c r="F22" s="24">
        <v>1</v>
      </c>
      <c r="G22" s="24" t="s">
        <v>221</v>
      </c>
      <c r="H22" s="24"/>
      <c r="I22" s="22"/>
      <c r="J22" s="24"/>
      <c r="K22" s="55" t="s">
        <v>220</v>
      </c>
      <c r="L22" s="55" t="s">
        <v>222</v>
      </c>
      <c r="M22" s="55" t="s">
        <v>223</v>
      </c>
      <c r="N22" s="27" t="s">
        <v>202</v>
      </c>
      <c r="O22" s="56"/>
      <c r="P22" s="56"/>
      <c r="Q22" s="25"/>
      <c r="R22" s="25"/>
      <c r="S22" s="55" t="s">
        <v>113</v>
      </c>
      <c r="T22" s="55" t="s">
        <v>208</v>
      </c>
      <c r="U22" s="25"/>
      <c r="V22" s="25"/>
      <c r="W22" s="25"/>
      <c r="X22" s="25"/>
      <c r="Y22" s="25"/>
      <c r="Z22" s="25"/>
      <c r="AA22" s="24"/>
      <c r="AB22" s="24"/>
      <c r="AC22" s="24"/>
      <c r="AD22" s="25"/>
      <c r="AE22" s="25"/>
      <c r="AF22" s="53">
        <v>410666004</v>
      </c>
      <c r="AG22" s="25"/>
      <c r="AH22" s="57" t="s">
        <v>115</v>
      </c>
      <c r="AI22" s="57" t="s">
        <v>224</v>
      </c>
      <c r="AJ22" s="57" t="s">
        <v>225</v>
      </c>
      <c r="AK22" s="24"/>
      <c r="AL22" s="24"/>
      <c r="AM22" s="22"/>
    </row>
    <row r="23" spans="1:39" ht="12.75" customHeight="1">
      <c r="A23" s="22">
        <v>21</v>
      </c>
      <c r="B23" s="56" t="s">
        <v>226</v>
      </c>
      <c r="C23" s="22" t="s">
        <v>180</v>
      </c>
      <c r="D23" s="22" t="s">
        <v>220</v>
      </c>
      <c r="E23" s="22"/>
      <c r="F23" s="24">
        <v>1</v>
      </c>
      <c r="G23" s="24" t="s">
        <v>221</v>
      </c>
      <c r="H23" s="24"/>
      <c r="I23" s="22"/>
      <c r="J23" s="24"/>
      <c r="K23" s="29"/>
      <c r="L23" s="29"/>
      <c r="M23" s="29"/>
      <c r="N23" s="29"/>
      <c r="O23" s="56" t="s">
        <v>226</v>
      </c>
      <c r="P23" s="56"/>
      <c r="Q23" s="25"/>
      <c r="R23" s="25"/>
      <c r="S23" s="29"/>
      <c r="T23" s="29"/>
      <c r="U23" s="25"/>
      <c r="V23" s="25"/>
      <c r="W23" s="25"/>
      <c r="X23" s="25"/>
      <c r="Y23" s="25"/>
      <c r="Z23" s="25"/>
      <c r="AA23" s="24"/>
      <c r="AB23" s="24"/>
      <c r="AC23" s="24"/>
      <c r="AD23" s="25"/>
      <c r="AE23" s="25"/>
      <c r="AF23" s="25">
        <v>103324002</v>
      </c>
      <c r="AG23" s="25"/>
      <c r="AH23" s="57" t="s">
        <v>115</v>
      </c>
      <c r="AI23" s="58" t="s">
        <v>227</v>
      </c>
      <c r="AJ23" s="59" t="s">
        <v>228</v>
      </c>
      <c r="AK23" s="24"/>
      <c r="AL23" s="24"/>
      <c r="AM23" s="22"/>
    </row>
    <row r="24" spans="1:39" ht="12.75" customHeight="1">
      <c r="A24" s="22">
        <v>22</v>
      </c>
      <c r="B24" s="27" t="s">
        <v>229</v>
      </c>
      <c r="C24" s="22" t="s">
        <v>180</v>
      </c>
      <c r="D24" s="22" t="s">
        <v>220</v>
      </c>
      <c r="E24" s="22"/>
      <c r="F24" s="24">
        <v>1</v>
      </c>
      <c r="G24" s="24" t="s">
        <v>221</v>
      </c>
      <c r="H24" s="24"/>
      <c r="I24" s="22"/>
      <c r="J24" s="24"/>
      <c r="K24" s="29"/>
      <c r="L24" s="29"/>
      <c r="M24" s="29"/>
      <c r="N24" s="29"/>
      <c r="O24" s="27" t="s">
        <v>229</v>
      </c>
      <c r="P24" s="27"/>
      <c r="Q24" s="25"/>
      <c r="R24" s="25"/>
      <c r="S24" s="29"/>
      <c r="T24" s="29"/>
      <c r="U24" s="25"/>
      <c r="V24" s="25"/>
      <c r="W24" s="25"/>
      <c r="X24" s="25"/>
      <c r="Y24" s="25"/>
      <c r="Z24" s="25"/>
      <c r="AA24" s="24"/>
      <c r="AB24" s="24"/>
      <c r="AC24" s="24"/>
      <c r="AD24" s="25"/>
      <c r="AE24" s="25"/>
      <c r="AF24" s="25">
        <v>416151008</v>
      </c>
      <c r="AG24" s="25"/>
      <c r="AH24" s="57" t="s">
        <v>115</v>
      </c>
      <c r="AI24" s="57" t="s">
        <v>230</v>
      </c>
      <c r="AJ24" s="57" t="s">
        <v>231</v>
      </c>
      <c r="AK24" s="24"/>
      <c r="AL24" s="24"/>
      <c r="AM24" s="22"/>
    </row>
    <row r="25" spans="1:39" ht="12.75" customHeight="1">
      <c r="A25" s="22">
        <v>23</v>
      </c>
      <c r="B25" s="56" t="s">
        <v>232</v>
      </c>
      <c r="C25" s="22" t="s">
        <v>180</v>
      </c>
      <c r="D25" s="22" t="s">
        <v>220</v>
      </c>
      <c r="E25" s="22"/>
      <c r="F25" s="24">
        <v>1</v>
      </c>
      <c r="G25" s="24" t="s">
        <v>221</v>
      </c>
      <c r="H25" s="24"/>
      <c r="I25" s="22"/>
      <c r="J25" s="24"/>
      <c r="K25" s="55"/>
      <c r="L25" s="55"/>
      <c r="M25" s="55"/>
      <c r="N25" s="29"/>
      <c r="O25" s="56" t="s">
        <v>232</v>
      </c>
      <c r="P25" s="56"/>
      <c r="Q25" s="25"/>
      <c r="R25" s="25"/>
      <c r="S25" s="55"/>
      <c r="T25" s="55"/>
      <c r="U25" s="25"/>
      <c r="V25" s="25"/>
      <c r="W25" s="25"/>
      <c r="X25" s="25"/>
      <c r="Y25" s="25"/>
      <c r="Z25" s="25"/>
      <c r="AA25" s="24"/>
      <c r="AB25" s="24"/>
      <c r="AC25" s="24"/>
      <c r="AD25" s="25"/>
      <c r="AE25" s="25"/>
      <c r="AF25" s="25">
        <v>33962009</v>
      </c>
      <c r="AG25" s="25"/>
      <c r="AH25" s="58" t="s">
        <v>115</v>
      </c>
      <c r="AI25" s="58" t="s">
        <v>233</v>
      </c>
      <c r="AJ25" s="58" t="s">
        <v>234</v>
      </c>
      <c r="AK25" s="24"/>
      <c r="AL25" s="24"/>
      <c r="AM25" s="22"/>
    </row>
    <row r="26" spans="1:39" ht="12.75" customHeight="1">
      <c r="A26" s="22">
        <v>24</v>
      </c>
      <c r="B26" s="55" t="s">
        <v>235</v>
      </c>
      <c r="C26" s="22" t="s">
        <v>96</v>
      </c>
      <c r="D26" s="22"/>
      <c r="E26" s="22"/>
      <c r="F26" s="24">
        <v>1</v>
      </c>
      <c r="G26" s="24" t="s">
        <v>221</v>
      </c>
      <c r="H26" s="24"/>
      <c r="I26" s="22"/>
      <c r="J26" s="24"/>
      <c r="K26" s="55" t="s">
        <v>235</v>
      </c>
      <c r="L26" s="55" t="s">
        <v>236</v>
      </c>
      <c r="M26" s="55" t="s">
        <v>237</v>
      </c>
      <c r="N26" s="55" t="s">
        <v>238</v>
      </c>
      <c r="O26" s="56"/>
      <c r="P26" s="56"/>
      <c r="Q26" s="25"/>
      <c r="R26" s="25"/>
      <c r="S26" s="55" t="s">
        <v>113</v>
      </c>
      <c r="T26" s="55" t="s">
        <v>208</v>
      </c>
      <c r="U26" s="25"/>
      <c r="V26" s="25"/>
      <c r="W26" s="25"/>
      <c r="X26" s="25"/>
      <c r="Y26" s="25"/>
      <c r="Z26" s="25"/>
      <c r="AA26" s="24"/>
      <c r="AB26" s="24"/>
      <c r="AC26" s="24"/>
      <c r="AD26" s="25"/>
      <c r="AE26" s="25"/>
      <c r="AF26" s="25">
        <v>33962009</v>
      </c>
      <c r="AG26" s="25"/>
      <c r="AH26" s="58" t="s">
        <v>115</v>
      </c>
      <c r="AI26" s="58" t="s">
        <v>233</v>
      </c>
      <c r="AJ26" s="58" t="s">
        <v>234</v>
      </c>
      <c r="AK26" s="24"/>
      <c r="AL26" s="24"/>
      <c r="AM26" s="22"/>
    </row>
    <row r="27" spans="1:39" ht="12.75" customHeight="1">
      <c r="A27" s="22">
        <v>25</v>
      </c>
      <c r="B27" s="56" t="s">
        <v>239</v>
      </c>
      <c r="C27" s="22" t="s">
        <v>180</v>
      </c>
      <c r="D27" s="55" t="s">
        <v>235</v>
      </c>
      <c r="E27" s="22"/>
      <c r="F27" s="24">
        <v>1</v>
      </c>
      <c r="G27" s="24" t="s">
        <v>221</v>
      </c>
      <c r="H27" s="24"/>
      <c r="I27" s="22"/>
      <c r="J27" s="24"/>
      <c r="K27" s="55"/>
      <c r="L27" s="55"/>
      <c r="M27" s="55"/>
      <c r="N27" s="29"/>
      <c r="O27" s="56" t="s">
        <v>239</v>
      </c>
      <c r="P27" s="56"/>
      <c r="Q27" s="25"/>
      <c r="R27" s="25"/>
      <c r="S27" s="55"/>
      <c r="T27" s="55"/>
      <c r="U27" s="25"/>
      <c r="V27" s="25"/>
      <c r="W27" s="25"/>
      <c r="X27" s="25"/>
      <c r="Y27" s="25"/>
      <c r="Z27" s="25"/>
      <c r="AA27" s="24"/>
      <c r="AB27" s="24"/>
      <c r="AC27" s="24"/>
      <c r="AD27" s="25"/>
      <c r="AE27" s="25"/>
      <c r="AF27" s="54">
        <v>289567003</v>
      </c>
      <c r="AG27" s="25"/>
      <c r="AH27" s="57" t="s">
        <v>115</v>
      </c>
      <c r="AI27" s="57" t="s">
        <v>240</v>
      </c>
      <c r="AJ27" s="57" t="s">
        <v>241</v>
      </c>
      <c r="AK27" s="24"/>
      <c r="AL27" s="24"/>
      <c r="AM27" s="22"/>
    </row>
    <row r="28" spans="1:39" ht="12.75" customHeight="1">
      <c r="A28" s="22">
        <v>26</v>
      </c>
      <c r="B28" s="27" t="s">
        <v>242</v>
      </c>
      <c r="C28" s="22" t="s">
        <v>180</v>
      </c>
      <c r="D28" s="55" t="s">
        <v>235</v>
      </c>
      <c r="E28" s="22"/>
      <c r="F28" s="24">
        <v>1</v>
      </c>
      <c r="G28" s="24" t="s">
        <v>221</v>
      </c>
      <c r="H28" s="24"/>
      <c r="I28" s="22"/>
      <c r="J28" s="22"/>
      <c r="K28" s="55"/>
      <c r="L28" s="55"/>
      <c r="M28" s="55"/>
      <c r="N28" s="29"/>
      <c r="O28" s="27" t="s">
        <v>242</v>
      </c>
      <c r="P28" s="27"/>
      <c r="Q28" s="25"/>
      <c r="R28" s="25"/>
      <c r="S28" s="55"/>
      <c r="T28" s="55"/>
      <c r="U28" s="25"/>
      <c r="V28" s="25"/>
      <c r="W28" s="25"/>
      <c r="X28" s="25"/>
      <c r="Y28" s="25"/>
      <c r="Z28" s="25"/>
      <c r="AA28" s="24"/>
      <c r="AB28" s="24"/>
      <c r="AC28" s="24"/>
      <c r="AD28" s="25"/>
      <c r="AE28" s="25"/>
      <c r="AF28" s="25">
        <v>18165001</v>
      </c>
      <c r="AG28" s="25"/>
      <c r="AH28" s="44"/>
      <c r="AI28" s="58" t="s">
        <v>243</v>
      </c>
      <c r="AJ28" s="57" t="s">
        <v>244</v>
      </c>
      <c r="AK28" s="24"/>
      <c r="AL28" s="24"/>
      <c r="AM28" s="22"/>
    </row>
    <row r="29" spans="1:39" ht="12.75" customHeight="1">
      <c r="A29" s="22">
        <v>27</v>
      </c>
      <c r="B29" s="56" t="s">
        <v>245</v>
      </c>
      <c r="C29" s="22" t="s">
        <v>180</v>
      </c>
      <c r="D29" s="55" t="s">
        <v>235</v>
      </c>
      <c r="E29" s="22"/>
      <c r="F29" s="24">
        <v>1</v>
      </c>
      <c r="G29" s="24" t="s">
        <v>221</v>
      </c>
      <c r="H29" s="24"/>
      <c r="I29" s="22"/>
      <c r="J29" s="22"/>
      <c r="K29" s="55"/>
      <c r="L29" s="55"/>
      <c r="M29" s="55"/>
      <c r="N29" s="29"/>
      <c r="O29" s="56" t="s">
        <v>245</v>
      </c>
      <c r="P29" s="56"/>
      <c r="Q29" s="25"/>
      <c r="R29" s="25"/>
      <c r="S29" s="55"/>
      <c r="T29" s="55"/>
      <c r="U29" s="25"/>
      <c r="V29" s="25"/>
      <c r="W29" s="25"/>
      <c r="X29" s="25"/>
      <c r="Y29" s="25"/>
      <c r="Z29" s="25"/>
      <c r="AA29" s="24"/>
      <c r="AB29" s="24"/>
      <c r="AC29" s="24"/>
      <c r="AD29" s="61" t="s">
        <v>246</v>
      </c>
      <c r="AE29" s="25"/>
      <c r="AF29" s="54">
        <v>129899009</v>
      </c>
      <c r="AG29" s="25"/>
      <c r="AH29" s="57" t="s">
        <v>115</v>
      </c>
      <c r="AI29" s="62" t="s">
        <v>247</v>
      </c>
      <c r="AJ29" s="58" t="s">
        <v>248</v>
      </c>
      <c r="AK29" s="24"/>
      <c r="AL29" s="24"/>
      <c r="AM29" s="22"/>
    </row>
    <row r="30" spans="1:39" ht="12.75" customHeight="1">
      <c r="A30" s="22">
        <v>28</v>
      </c>
      <c r="B30" s="56" t="s">
        <v>249</v>
      </c>
      <c r="C30" s="22" t="s">
        <v>180</v>
      </c>
      <c r="D30" s="55" t="s">
        <v>235</v>
      </c>
      <c r="E30" s="22"/>
      <c r="F30" s="24">
        <v>1</v>
      </c>
      <c r="G30" s="24" t="s">
        <v>221</v>
      </c>
      <c r="H30" s="24"/>
      <c r="I30" s="22"/>
      <c r="J30" s="22"/>
      <c r="K30" s="55"/>
      <c r="L30" s="55"/>
      <c r="M30" s="55"/>
      <c r="N30" s="29"/>
      <c r="O30" s="56" t="s">
        <v>249</v>
      </c>
      <c r="P30" s="56"/>
      <c r="Q30" s="25"/>
      <c r="R30" s="25"/>
      <c r="S30" s="55"/>
      <c r="T30" s="55"/>
      <c r="U30" s="25"/>
      <c r="V30" s="25"/>
      <c r="W30" s="25"/>
      <c r="X30" s="25"/>
      <c r="Y30" s="25"/>
      <c r="Z30" s="25"/>
      <c r="AA30" s="24"/>
      <c r="AB30" s="24"/>
      <c r="AC30" s="24"/>
      <c r="AD30" s="54" t="s">
        <v>251</v>
      </c>
      <c r="AE30" s="25"/>
      <c r="AF30" s="53">
        <v>14760008</v>
      </c>
      <c r="AG30" s="25"/>
      <c r="AH30" s="57" t="s">
        <v>115</v>
      </c>
      <c r="AI30" s="57" t="s">
        <v>252</v>
      </c>
      <c r="AJ30" s="57" t="s">
        <v>253</v>
      </c>
      <c r="AK30" s="24"/>
      <c r="AL30" s="24"/>
      <c r="AM30" s="22"/>
    </row>
    <row r="31" spans="1:39" ht="12.75" customHeight="1">
      <c r="A31" s="22">
        <v>29</v>
      </c>
      <c r="B31" s="56" t="s">
        <v>254</v>
      </c>
      <c r="C31" s="22" t="s">
        <v>180</v>
      </c>
      <c r="D31" s="55" t="s">
        <v>235</v>
      </c>
      <c r="E31" s="22"/>
      <c r="F31" s="24">
        <v>1</v>
      </c>
      <c r="G31" s="24" t="s">
        <v>221</v>
      </c>
      <c r="H31" s="24"/>
      <c r="I31" s="22"/>
      <c r="J31" s="22"/>
      <c r="K31" s="55"/>
      <c r="L31" s="55"/>
      <c r="M31" s="55"/>
      <c r="N31" s="29"/>
      <c r="O31" s="56" t="s">
        <v>254</v>
      </c>
      <c r="P31" s="56"/>
      <c r="Q31" s="25"/>
      <c r="R31" s="25"/>
      <c r="S31" s="55"/>
      <c r="T31" s="55"/>
      <c r="U31" s="25"/>
      <c r="V31" s="25"/>
      <c r="W31" s="25"/>
      <c r="X31" s="25"/>
      <c r="Y31" s="25"/>
      <c r="Z31" s="25"/>
      <c r="AA31" s="24"/>
      <c r="AB31" s="24"/>
      <c r="AC31" s="24"/>
      <c r="AD31" s="25"/>
      <c r="AE31" s="25"/>
      <c r="AF31" s="53">
        <v>289741005</v>
      </c>
      <c r="AG31" s="25"/>
      <c r="AH31" s="57" t="s">
        <v>115</v>
      </c>
      <c r="AI31" s="57" t="s">
        <v>256</v>
      </c>
      <c r="AJ31" s="57" t="s">
        <v>257</v>
      </c>
      <c r="AK31" s="24"/>
      <c r="AL31" s="24"/>
      <c r="AM31" s="22"/>
    </row>
    <row r="32" spans="1:39" ht="12.75" customHeight="1">
      <c r="A32" s="22">
        <v>30</v>
      </c>
      <c r="B32" s="56" t="s">
        <v>258</v>
      </c>
      <c r="C32" s="22" t="s">
        <v>180</v>
      </c>
      <c r="D32" s="55" t="s">
        <v>235</v>
      </c>
      <c r="E32" s="22"/>
      <c r="F32" s="24">
        <v>1</v>
      </c>
      <c r="G32" s="24" t="s">
        <v>221</v>
      </c>
      <c r="H32" s="24"/>
      <c r="I32" s="22"/>
      <c r="J32" s="22"/>
      <c r="K32" s="55"/>
      <c r="L32" s="55"/>
      <c r="M32" s="55"/>
      <c r="N32" s="29"/>
      <c r="O32" s="56" t="s">
        <v>258</v>
      </c>
      <c r="P32" s="56"/>
      <c r="Q32" s="25"/>
      <c r="R32" s="25"/>
      <c r="S32" s="55"/>
      <c r="T32" s="55"/>
      <c r="U32" s="25"/>
      <c r="V32" s="25"/>
      <c r="W32" s="25"/>
      <c r="X32" s="25"/>
      <c r="Y32" s="25"/>
      <c r="Z32" s="25"/>
      <c r="AA32" s="24"/>
      <c r="AB32" s="24"/>
      <c r="AC32" s="24"/>
      <c r="AD32" s="54" t="s">
        <v>259</v>
      </c>
      <c r="AE32" s="25"/>
      <c r="AF32" s="25">
        <v>49727002</v>
      </c>
      <c r="AG32" s="25"/>
      <c r="AH32" s="57" t="s">
        <v>115</v>
      </c>
      <c r="AI32" s="58" t="s">
        <v>260</v>
      </c>
      <c r="AJ32" s="57" t="s">
        <v>261</v>
      </c>
      <c r="AK32" s="24"/>
      <c r="AL32" s="24"/>
      <c r="AM32" s="22"/>
    </row>
    <row r="33" spans="1:39" ht="12.75" customHeight="1">
      <c r="A33" s="22">
        <v>31</v>
      </c>
      <c r="B33" s="27" t="s">
        <v>262</v>
      </c>
      <c r="C33" s="22" t="s">
        <v>180</v>
      </c>
      <c r="D33" s="55" t="s">
        <v>235</v>
      </c>
      <c r="E33" s="22"/>
      <c r="F33" s="24">
        <v>1</v>
      </c>
      <c r="G33" s="24" t="s">
        <v>221</v>
      </c>
      <c r="H33" s="24"/>
      <c r="I33" s="22"/>
      <c r="J33" s="22"/>
      <c r="K33" s="55"/>
      <c r="L33" s="55"/>
      <c r="M33" s="55"/>
      <c r="N33" s="29"/>
      <c r="O33" s="27" t="s">
        <v>262</v>
      </c>
      <c r="P33" s="27"/>
      <c r="Q33" s="25"/>
      <c r="R33" s="25"/>
      <c r="S33" s="55"/>
      <c r="T33" s="55"/>
      <c r="U33" s="25"/>
      <c r="V33" s="25"/>
      <c r="W33" s="25"/>
      <c r="X33" s="25"/>
      <c r="Y33" s="25"/>
      <c r="Z33" s="25"/>
      <c r="AA33" s="24"/>
      <c r="AB33" s="24"/>
      <c r="AC33" s="24"/>
      <c r="AD33" s="54" t="s">
        <v>263</v>
      </c>
      <c r="AE33" s="25"/>
      <c r="AF33" s="53">
        <v>35489007</v>
      </c>
      <c r="AG33" s="25"/>
      <c r="AH33" s="58" t="s">
        <v>115</v>
      </c>
      <c r="AI33" s="58" t="s">
        <v>264</v>
      </c>
      <c r="AJ33" s="58" t="s">
        <v>265</v>
      </c>
      <c r="AK33" s="24"/>
      <c r="AL33" s="24"/>
      <c r="AM33" s="22"/>
    </row>
    <row r="34" spans="1:39" ht="12.75" customHeight="1">
      <c r="A34" s="22">
        <v>32</v>
      </c>
      <c r="B34" s="27" t="s">
        <v>266</v>
      </c>
      <c r="C34" s="22" t="s">
        <v>180</v>
      </c>
      <c r="D34" s="55" t="s">
        <v>235</v>
      </c>
      <c r="E34" s="22"/>
      <c r="F34" s="24">
        <v>1</v>
      </c>
      <c r="G34" s="24" t="s">
        <v>221</v>
      </c>
      <c r="H34" s="24"/>
      <c r="I34" s="22"/>
      <c r="J34" s="22"/>
      <c r="K34" s="55"/>
      <c r="L34" s="55"/>
      <c r="M34" s="55"/>
      <c r="N34" s="29"/>
      <c r="O34" s="27" t="s">
        <v>266</v>
      </c>
      <c r="P34" s="27"/>
      <c r="Q34" s="25"/>
      <c r="R34" s="25"/>
      <c r="S34" s="55"/>
      <c r="T34" s="55"/>
      <c r="U34" s="25"/>
      <c r="V34" s="25"/>
      <c r="W34" s="25"/>
      <c r="X34" s="25"/>
      <c r="Y34" s="25"/>
      <c r="Z34" s="25"/>
      <c r="AA34" s="24"/>
      <c r="AB34" s="24"/>
      <c r="AC34" s="24"/>
      <c r="AD34" s="54" t="s">
        <v>267</v>
      </c>
      <c r="AE34" s="25"/>
      <c r="AF34" s="53">
        <v>48694002</v>
      </c>
      <c r="AG34" s="25"/>
      <c r="AH34" s="58" t="s">
        <v>115</v>
      </c>
      <c r="AI34" s="58" t="s">
        <v>268</v>
      </c>
      <c r="AJ34" s="58" t="s">
        <v>269</v>
      </c>
      <c r="AK34" s="24"/>
      <c r="AL34" s="24"/>
      <c r="AM34" s="22"/>
    </row>
    <row r="35" spans="1:39" ht="12.75" customHeight="1">
      <c r="A35" s="22">
        <v>33</v>
      </c>
      <c r="B35" s="56" t="s">
        <v>270</v>
      </c>
      <c r="C35" s="22" t="s">
        <v>180</v>
      </c>
      <c r="D35" s="55" t="s">
        <v>235</v>
      </c>
      <c r="E35" s="22"/>
      <c r="F35" s="24">
        <v>1</v>
      </c>
      <c r="G35" s="24" t="s">
        <v>221</v>
      </c>
      <c r="H35" s="24"/>
      <c r="I35" s="22"/>
      <c r="J35" s="22"/>
      <c r="K35" s="55"/>
      <c r="L35" s="55"/>
      <c r="M35" s="55"/>
      <c r="N35" s="29"/>
      <c r="O35" s="56" t="s">
        <v>270</v>
      </c>
      <c r="P35" s="56"/>
      <c r="Q35" s="25"/>
      <c r="R35" s="25"/>
      <c r="S35" s="55"/>
      <c r="T35" s="55"/>
      <c r="U35" s="25"/>
      <c r="V35" s="25"/>
      <c r="W35" s="25"/>
      <c r="X35" s="25"/>
      <c r="Y35" s="25"/>
      <c r="Z35" s="25"/>
      <c r="AA35" s="24"/>
      <c r="AB35" s="24"/>
      <c r="AC35" s="24"/>
      <c r="AD35" s="61" t="s">
        <v>271</v>
      </c>
      <c r="AE35" s="25"/>
      <c r="AF35" s="54">
        <v>315018008</v>
      </c>
      <c r="AG35" s="25"/>
      <c r="AH35" s="58" t="s">
        <v>115</v>
      </c>
      <c r="AI35" s="58" t="s">
        <v>272</v>
      </c>
      <c r="AJ35" s="71" t="s">
        <v>273</v>
      </c>
      <c r="AK35" s="24"/>
      <c r="AL35" s="24"/>
      <c r="AM35" s="22"/>
    </row>
    <row r="36" spans="1:39" ht="12.75" customHeight="1">
      <c r="A36" s="22">
        <v>34</v>
      </c>
      <c r="B36" s="56" t="s">
        <v>274</v>
      </c>
      <c r="C36" s="22" t="s">
        <v>180</v>
      </c>
      <c r="D36" s="55" t="s">
        <v>235</v>
      </c>
      <c r="E36" s="22"/>
      <c r="F36" s="24">
        <v>1</v>
      </c>
      <c r="G36" s="24" t="s">
        <v>221</v>
      </c>
      <c r="H36" s="24"/>
      <c r="I36" s="22"/>
      <c r="J36" s="22"/>
      <c r="K36" s="55"/>
      <c r="L36" s="55"/>
      <c r="M36" s="55"/>
      <c r="N36" s="29"/>
      <c r="O36" s="56" t="s">
        <v>274</v>
      </c>
      <c r="P36" s="56"/>
      <c r="Q36" s="25"/>
      <c r="R36" s="25"/>
      <c r="S36" s="55"/>
      <c r="T36" s="55"/>
      <c r="U36" s="25"/>
      <c r="V36" s="25"/>
      <c r="W36" s="25"/>
      <c r="X36" s="25"/>
      <c r="Y36" s="25"/>
      <c r="Z36" s="25"/>
      <c r="AA36" s="24"/>
      <c r="AB36" s="24"/>
      <c r="AC36" s="24"/>
      <c r="AD36" s="61" t="s">
        <v>275</v>
      </c>
      <c r="AE36" s="25"/>
      <c r="AF36" s="53">
        <v>404189009</v>
      </c>
      <c r="AG36" s="25"/>
      <c r="AH36" s="57" t="s">
        <v>115</v>
      </c>
      <c r="AI36" s="57" t="s">
        <v>276</v>
      </c>
      <c r="AJ36" s="57" t="s">
        <v>277</v>
      </c>
      <c r="AK36" s="24"/>
      <c r="AL36" s="24"/>
      <c r="AM36" s="22"/>
    </row>
    <row r="37" spans="1:39" ht="12.75" customHeight="1">
      <c r="A37" s="22">
        <v>35</v>
      </c>
      <c r="B37" s="56" t="s">
        <v>278</v>
      </c>
      <c r="C37" s="22" t="s">
        <v>180</v>
      </c>
      <c r="D37" s="55" t="s">
        <v>235</v>
      </c>
      <c r="E37" s="22"/>
      <c r="F37" s="24">
        <v>1</v>
      </c>
      <c r="G37" s="24" t="s">
        <v>221</v>
      </c>
      <c r="H37" s="24"/>
      <c r="I37" s="22"/>
      <c r="J37" s="22"/>
      <c r="K37" s="55"/>
      <c r="L37" s="55"/>
      <c r="M37" s="55"/>
      <c r="N37" s="29"/>
      <c r="O37" s="56" t="s">
        <v>278</v>
      </c>
      <c r="P37" s="56"/>
      <c r="Q37" s="25"/>
      <c r="R37" s="25"/>
      <c r="S37" s="55"/>
      <c r="T37" s="55"/>
      <c r="U37" s="25"/>
      <c r="V37" s="25"/>
      <c r="W37" s="25"/>
      <c r="X37" s="25"/>
      <c r="Y37" s="25"/>
      <c r="Z37" s="25"/>
      <c r="AA37" s="24"/>
      <c r="AB37" s="24"/>
      <c r="AC37" s="24"/>
      <c r="AD37" s="76"/>
      <c r="AE37" s="76"/>
      <c r="AF37" s="76"/>
      <c r="AG37" s="25"/>
      <c r="AH37" s="57" t="s">
        <v>115</v>
      </c>
      <c r="AI37" s="58" t="s">
        <v>279</v>
      </c>
      <c r="AJ37" s="78" t="s">
        <v>280</v>
      </c>
      <c r="AK37" s="24"/>
      <c r="AL37" s="24"/>
      <c r="AM37" s="22"/>
    </row>
    <row r="38" spans="1:39" ht="12.75" customHeight="1">
      <c r="A38" s="22">
        <v>36</v>
      </c>
      <c r="B38" s="56" t="s">
        <v>281</v>
      </c>
      <c r="C38" s="22" t="s">
        <v>180</v>
      </c>
      <c r="D38" s="55" t="s">
        <v>235</v>
      </c>
      <c r="E38" s="22"/>
      <c r="F38" s="24">
        <v>1</v>
      </c>
      <c r="G38" s="24" t="s">
        <v>221</v>
      </c>
      <c r="H38" s="24"/>
      <c r="I38" s="22"/>
      <c r="J38" s="22"/>
      <c r="K38" s="55"/>
      <c r="L38" s="55"/>
      <c r="M38" s="55"/>
      <c r="N38" s="29"/>
      <c r="O38" s="56" t="s">
        <v>281</v>
      </c>
      <c r="P38" s="56"/>
      <c r="Q38" s="25"/>
      <c r="R38" s="25"/>
      <c r="S38" s="55"/>
      <c r="T38" s="55"/>
      <c r="U38" s="25"/>
      <c r="V38" s="25"/>
      <c r="W38" s="25"/>
      <c r="X38" s="25"/>
      <c r="Y38" s="25"/>
      <c r="Z38" s="25"/>
      <c r="AA38" s="24"/>
      <c r="AB38" s="24"/>
      <c r="AC38" s="24"/>
      <c r="AD38" s="53" t="s">
        <v>283</v>
      </c>
      <c r="AE38" s="25"/>
      <c r="AF38" s="54">
        <v>386661006</v>
      </c>
      <c r="AG38" s="25"/>
      <c r="AH38" s="57" t="s">
        <v>115</v>
      </c>
      <c r="AI38" s="57" t="s">
        <v>284</v>
      </c>
      <c r="AJ38" s="57" t="s">
        <v>285</v>
      </c>
      <c r="AK38" s="24"/>
      <c r="AL38" s="24"/>
      <c r="AM38" s="22"/>
    </row>
    <row r="39" spans="1:39" ht="12.75" customHeight="1">
      <c r="A39" s="22">
        <v>37</v>
      </c>
      <c r="B39" s="56" t="s">
        <v>286</v>
      </c>
      <c r="C39" s="22" t="s">
        <v>180</v>
      </c>
      <c r="D39" s="55" t="s">
        <v>235</v>
      </c>
      <c r="E39" s="22"/>
      <c r="F39" s="24">
        <v>1</v>
      </c>
      <c r="G39" s="24" t="s">
        <v>221</v>
      </c>
      <c r="H39" s="24"/>
      <c r="I39" s="22"/>
      <c r="J39" s="22"/>
      <c r="K39" s="55"/>
      <c r="L39" s="55"/>
      <c r="M39" s="55"/>
      <c r="N39" s="29"/>
      <c r="O39" s="56" t="s">
        <v>286</v>
      </c>
      <c r="P39" s="56"/>
      <c r="Q39" s="25"/>
      <c r="R39" s="25"/>
      <c r="S39" s="55"/>
      <c r="T39" s="55"/>
      <c r="U39" s="25"/>
      <c r="V39" s="25"/>
      <c r="W39" s="25"/>
      <c r="X39" s="25"/>
      <c r="Y39" s="25"/>
      <c r="Z39" s="25"/>
      <c r="AA39" s="24"/>
      <c r="AB39" s="24"/>
      <c r="AC39" s="24"/>
      <c r="AD39" s="61" t="s">
        <v>287</v>
      </c>
      <c r="AE39" s="25"/>
      <c r="AF39" s="54">
        <v>102614006</v>
      </c>
      <c r="AG39" s="25"/>
      <c r="AH39" s="57" t="s">
        <v>115</v>
      </c>
      <c r="AI39" s="57" t="s">
        <v>288</v>
      </c>
      <c r="AJ39" s="57" t="s">
        <v>289</v>
      </c>
      <c r="AK39" s="24"/>
      <c r="AL39" s="24"/>
      <c r="AM39" s="22"/>
    </row>
    <row r="40" spans="1:39" ht="12.75" customHeight="1">
      <c r="A40" s="22">
        <v>38</v>
      </c>
      <c r="B40" s="56" t="s">
        <v>291</v>
      </c>
      <c r="C40" s="22" t="s">
        <v>180</v>
      </c>
      <c r="D40" s="55" t="s">
        <v>235</v>
      </c>
      <c r="E40" s="22"/>
      <c r="F40" s="24">
        <v>1</v>
      </c>
      <c r="G40" s="24" t="s">
        <v>221</v>
      </c>
      <c r="H40" s="24"/>
      <c r="I40" s="22"/>
      <c r="J40" s="22"/>
      <c r="K40" s="55"/>
      <c r="L40" s="55"/>
      <c r="M40" s="55"/>
      <c r="N40" s="29"/>
      <c r="O40" s="56" t="s">
        <v>291</v>
      </c>
      <c r="P40" s="56"/>
      <c r="Q40" s="25"/>
      <c r="R40" s="25"/>
      <c r="S40" s="55"/>
      <c r="T40" s="55"/>
      <c r="U40" s="25"/>
      <c r="V40" s="25"/>
      <c r="W40" s="25"/>
      <c r="X40" s="25"/>
      <c r="Y40" s="25"/>
      <c r="Z40" s="25"/>
      <c r="AA40" s="24"/>
      <c r="AB40" s="24"/>
      <c r="AC40" s="24"/>
      <c r="AD40" s="25"/>
      <c r="AE40" s="25"/>
      <c r="AF40" s="53">
        <v>315642008</v>
      </c>
      <c r="AG40" s="25"/>
      <c r="AH40" s="57" t="s">
        <v>115</v>
      </c>
      <c r="AI40" s="57" t="s">
        <v>292</v>
      </c>
      <c r="AJ40" s="57" t="s">
        <v>293</v>
      </c>
      <c r="AK40" s="24"/>
      <c r="AL40" s="24"/>
      <c r="AM40" s="22"/>
    </row>
    <row r="41" spans="1:39" ht="12.75" customHeight="1">
      <c r="A41" s="22">
        <v>39</v>
      </c>
      <c r="B41" s="56" t="s">
        <v>294</v>
      </c>
      <c r="C41" s="22" t="s">
        <v>180</v>
      </c>
      <c r="D41" s="55" t="s">
        <v>235</v>
      </c>
      <c r="E41" s="22"/>
      <c r="F41" s="24">
        <v>1</v>
      </c>
      <c r="G41" s="24" t="s">
        <v>221</v>
      </c>
      <c r="H41" s="24"/>
      <c r="I41" s="22"/>
      <c r="J41" s="22"/>
      <c r="K41" s="55"/>
      <c r="L41" s="55"/>
      <c r="M41" s="55"/>
      <c r="N41" s="29"/>
      <c r="O41" s="56" t="s">
        <v>294</v>
      </c>
      <c r="P41" s="56"/>
      <c r="Q41" s="25"/>
      <c r="R41" s="25"/>
      <c r="S41" s="55"/>
      <c r="T41" s="55"/>
      <c r="U41" s="25"/>
      <c r="V41" s="25"/>
      <c r="W41" s="25"/>
      <c r="X41" s="25"/>
      <c r="Y41" s="25"/>
      <c r="Z41" s="25"/>
      <c r="AA41" s="24"/>
      <c r="AB41" s="24"/>
      <c r="AC41" s="24"/>
      <c r="AD41" s="25"/>
      <c r="AE41" s="25"/>
      <c r="AF41" s="54">
        <v>371380006</v>
      </c>
      <c r="AG41" s="25"/>
      <c r="AH41" s="57" t="s">
        <v>115</v>
      </c>
      <c r="AI41" s="58" t="s">
        <v>296</v>
      </c>
      <c r="AJ41" s="57" t="s">
        <v>297</v>
      </c>
      <c r="AK41" s="24"/>
      <c r="AL41" s="24"/>
      <c r="AM41" s="22"/>
    </row>
    <row r="42" spans="1:39" ht="12.75" customHeight="1">
      <c r="A42" s="22">
        <v>40</v>
      </c>
      <c r="B42" s="56" t="s">
        <v>298</v>
      </c>
      <c r="C42" s="22" t="s">
        <v>180</v>
      </c>
      <c r="D42" s="55" t="s">
        <v>235</v>
      </c>
      <c r="E42" s="22"/>
      <c r="F42" s="24">
        <v>1</v>
      </c>
      <c r="G42" s="24" t="s">
        <v>221</v>
      </c>
      <c r="H42" s="24"/>
      <c r="I42" s="22"/>
      <c r="J42" s="22"/>
      <c r="K42" s="55"/>
      <c r="L42" s="55"/>
      <c r="M42" s="55"/>
      <c r="N42" s="29"/>
      <c r="O42" s="56" t="s">
        <v>298</v>
      </c>
      <c r="P42" s="56"/>
      <c r="Q42" s="25"/>
      <c r="R42" s="25"/>
      <c r="S42" s="55"/>
      <c r="T42" s="55"/>
      <c r="U42" s="25"/>
      <c r="V42" s="25"/>
      <c r="W42" s="25"/>
      <c r="X42" s="25"/>
      <c r="Y42" s="25"/>
      <c r="Z42" s="25"/>
      <c r="AA42" s="24"/>
      <c r="AB42" s="24"/>
      <c r="AC42" s="24"/>
      <c r="AD42" s="54" t="s">
        <v>299</v>
      </c>
      <c r="AE42" s="25"/>
      <c r="AF42" s="53">
        <v>25064002</v>
      </c>
      <c r="AG42" s="25"/>
      <c r="AH42" s="57" t="s">
        <v>115</v>
      </c>
      <c r="AI42" s="57" t="s">
        <v>300</v>
      </c>
      <c r="AJ42" s="57" t="s">
        <v>301</v>
      </c>
      <c r="AK42" s="24"/>
      <c r="AL42" s="24"/>
      <c r="AM42" s="22"/>
    </row>
    <row r="43" spans="1:39" ht="12.75" customHeight="1">
      <c r="A43" s="22">
        <v>41</v>
      </c>
      <c r="B43" s="56" t="s">
        <v>302</v>
      </c>
      <c r="C43" s="22" t="s">
        <v>180</v>
      </c>
      <c r="D43" s="55" t="s">
        <v>235</v>
      </c>
      <c r="E43" s="22"/>
      <c r="F43" s="24">
        <v>1</v>
      </c>
      <c r="G43" s="24" t="s">
        <v>221</v>
      </c>
      <c r="H43" s="24"/>
      <c r="I43" s="22"/>
      <c r="J43" s="22"/>
      <c r="K43" s="55"/>
      <c r="L43" s="55"/>
      <c r="M43" s="55"/>
      <c r="N43" s="29"/>
      <c r="O43" s="56" t="s">
        <v>302</v>
      </c>
      <c r="P43" s="56"/>
      <c r="Q43" s="25"/>
      <c r="R43" s="25"/>
      <c r="S43" s="55"/>
      <c r="T43" s="55"/>
      <c r="U43" s="25"/>
      <c r="V43" s="25"/>
      <c r="W43" s="25"/>
      <c r="X43" s="25"/>
      <c r="Y43" s="25"/>
      <c r="Z43" s="25"/>
      <c r="AA43" s="24"/>
      <c r="AB43" s="24"/>
      <c r="AC43" s="24"/>
      <c r="AD43" s="54" t="s">
        <v>303</v>
      </c>
      <c r="AE43" s="25"/>
      <c r="AF43" s="53">
        <v>16331000</v>
      </c>
      <c r="AG43" s="25"/>
      <c r="AH43" s="57" t="s">
        <v>115</v>
      </c>
      <c r="AI43" s="57" t="s">
        <v>305</v>
      </c>
      <c r="AJ43" s="83" t="s">
        <v>306</v>
      </c>
      <c r="AK43" s="24"/>
      <c r="AL43" s="24"/>
      <c r="AM43" s="22"/>
    </row>
    <row r="44" spans="1:39" ht="12.75" customHeight="1">
      <c r="A44" s="22">
        <v>42</v>
      </c>
      <c r="B44" s="56" t="s">
        <v>307</v>
      </c>
      <c r="C44" s="22" t="s">
        <v>180</v>
      </c>
      <c r="D44" s="55" t="s">
        <v>235</v>
      </c>
      <c r="E44" s="22"/>
      <c r="F44" s="24">
        <v>1</v>
      </c>
      <c r="G44" s="24" t="s">
        <v>221</v>
      </c>
      <c r="H44" s="24"/>
      <c r="I44" s="22"/>
      <c r="J44" s="22"/>
      <c r="K44" s="55"/>
      <c r="L44" s="55"/>
      <c r="M44" s="55"/>
      <c r="N44" s="29"/>
      <c r="O44" s="56" t="s">
        <v>307</v>
      </c>
      <c r="P44" s="56"/>
      <c r="Q44" s="25"/>
      <c r="R44" s="25"/>
      <c r="S44" s="55"/>
      <c r="T44" s="55"/>
      <c r="U44" s="25"/>
      <c r="V44" s="25"/>
      <c r="W44" s="25"/>
      <c r="X44" s="25"/>
      <c r="Y44" s="25"/>
      <c r="Z44" s="25"/>
      <c r="AA44" s="24"/>
      <c r="AB44" s="24"/>
      <c r="AC44" s="24"/>
      <c r="AD44" s="61" t="s">
        <v>309</v>
      </c>
      <c r="AE44" s="25"/>
      <c r="AF44" s="54">
        <v>449917004</v>
      </c>
      <c r="AG44" s="25"/>
      <c r="AH44" s="58" t="s">
        <v>115</v>
      </c>
      <c r="AI44" s="58" t="s">
        <v>310</v>
      </c>
      <c r="AJ44" s="83" t="s">
        <v>311</v>
      </c>
      <c r="AK44" s="24"/>
      <c r="AL44" s="24"/>
      <c r="AM44" s="22"/>
    </row>
    <row r="45" spans="1:39" ht="12.75" customHeight="1">
      <c r="A45" s="22">
        <v>43</v>
      </c>
      <c r="B45" s="56" t="s">
        <v>312</v>
      </c>
      <c r="C45" s="22" t="s">
        <v>180</v>
      </c>
      <c r="D45" s="55" t="s">
        <v>235</v>
      </c>
      <c r="E45" s="22"/>
      <c r="F45" s="24">
        <v>1</v>
      </c>
      <c r="G45" s="24" t="s">
        <v>221</v>
      </c>
      <c r="H45" s="24"/>
      <c r="I45" s="22"/>
      <c r="J45" s="22"/>
      <c r="K45" s="55"/>
      <c r="L45" s="55"/>
      <c r="M45" s="55"/>
      <c r="N45" s="29"/>
      <c r="O45" s="56" t="s">
        <v>312</v>
      </c>
      <c r="P45" s="56"/>
      <c r="Q45" s="25"/>
      <c r="R45" s="25"/>
      <c r="S45" s="55"/>
      <c r="T45" s="55"/>
      <c r="U45" s="25"/>
      <c r="V45" s="25"/>
      <c r="W45" s="25"/>
      <c r="X45" s="25"/>
      <c r="Y45" s="25"/>
      <c r="Z45" s="25"/>
      <c r="AA45" s="24"/>
      <c r="AB45" s="24"/>
      <c r="AC45" s="24"/>
      <c r="AD45" s="61" t="s">
        <v>314</v>
      </c>
      <c r="AE45" s="25"/>
      <c r="AF45" s="54">
        <v>10601006</v>
      </c>
      <c r="AG45" s="25"/>
      <c r="AH45" s="57" t="s">
        <v>115</v>
      </c>
      <c r="AI45" s="57" t="s">
        <v>315</v>
      </c>
      <c r="AJ45" s="57" t="s">
        <v>316</v>
      </c>
      <c r="AK45" s="24"/>
      <c r="AL45" s="24"/>
      <c r="AM45" s="22"/>
    </row>
    <row r="46" spans="1:39" ht="12.75" customHeight="1">
      <c r="A46" s="22">
        <v>44</v>
      </c>
      <c r="B46" s="56" t="s">
        <v>317</v>
      </c>
      <c r="C46" s="22" t="s">
        <v>180</v>
      </c>
      <c r="D46" s="55" t="s">
        <v>235</v>
      </c>
      <c r="E46" s="22"/>
      <c r="F46" s="24">
        <v>1</v>
      </c>
      <c r="G46" s="24" t="s">
        <v>221</v>
      </c>
      <c r="H46" s="24"/>
      <c r="I46" s="22"/>
      <c r="J46" s="22"/>
      <c r="K46" s="55"/>
      <c r="L46" s="55"/>
      <c r="M46" s="55"/>
      <c r="N46" s="29"/>
      <c r="O46" s="56" t="s">
        <v>317</v>
      </c>
      <c r="P46" s="56"/>
      <c r="Q46" s="25"/>
      <c r="R46" s="25"/>
      <c r="S46" s="55"/>
      <c r="T46" s="55"/>
      <c r="U46" s="25"/>
      <c r="V46" s="25"/>
      <c r="W46" s="25"/>
      <c r="X46" s="25"/>
      <c r="Y46" s="25"/>
      <c r="Z46" s="25"/>
      <c r="AA46" s="24"/>
      <c r="AB46" s="24"/>
      <c r="AC46" s="24"/>
      <c r="AD46" s="25"/>
      <c r="AE46" s="25"/>
      <c r="AF46" s="25"/>
      <c r="AG46" s="25"/>
      <c r="AH46" s="57" t="s">
        <v>115</v>
      </c>
      <c r="AI46" s="58" t="s">
        <v>318</v>
      </c>
      <c r="AJ46" s="59" t="s">
        <v>319</v>
      </c>
      <c r="AK46" s="24"/>
      <c r="AL46" s="24"/>
      <c r="AM46" s="22"/>
    </row>
    <row r="47" spans="1:39" ht="25.5" customHeight="1">
      <c r="A47" s="22">
        <v>45</v>
      </c>
      <c r="B47" s="27" t="s">
        <v>320</v>
      </c>
      <c r="C47" s="22" t="s">
        <v>180</v>
      </c>
      <c r="D47" s="55" t="s">
        <v>235</v>
      </c>
      <c r="E47" s="22"/>
      <c r="F47" s="24">
        <v>1</v>
      </c>
      <c r="G47" s="24" t="s">
        <v>221</v>
      </c>
      <c r="H47" s="24"/>
      <c r="I47" s="22"/>
      <c r="J47" s="22"/>
      <c r="K47" s="55"/>
      <c r="L47" s="55"/>
      <c r="M47" s="55"/>
      <c r="N47" s="29"/>
      <c r="O47" s="27" t="s">
        <v>320</v>
      </c>
      <c r="P47" s="27"/>
      <c r="Q47" s="25"/>
      <c r="R47" s="25"/>
      <c r="S47" s="55"/>
      <c r="T47" s="55"/>
      <c r="U47" s="25"/>
      <c r="V47" s="25"/>
      <c r="W47" s="25"/>
      <c r="X47" s="25"/>
      <c r="Y47" s="25"/>
      <c r="Z47" s="25"/>
      <c r="AA47" s="24"/>
      <c r="AB47" s="24"/>
      <c r="AC47" s="24"/>
      <c r="AD47" s="54" t="s">
        <v>322</v>
      </c>
      <c r="AE47" s="25"/>
      <c r="AF47" s="53">
        <v>279039007</v>
      </c>
      <c r="AG47" s="25"/>
      <c r="AH47" s="57" t="s">
        <v>115</v>
      </c>
      <c r="AI47" s="58" t="s">
        <v>323</v>
      </c>
      <c r="AJ47" s="58" t="s">
        <v>324</v>
      </c>
      <c r="AK47" s="24"/>
      <c r="AL47" s="24"/>
      <c r="AM47" s="22"/>
    </row>
    <row r="48" spans="1:39" ht="25.5" customHeight="1">
      <c r="A48" s="22">
        <v>46</v>
      </c>
      <c r="B48" s="27" t="s">
        <v>325</v>
      </c>
      <c r="C48" s="22" t="s">
        <v>180</v>
      </c>
      <c r="D48" s="55" t="s">
        <v>235</v>
      </c>
      <c r="E48" s="22"/>
      <c r="F48" s="24">
        <v>1</v>
      </c>
      <c r="G48" s="24" t="s">
        <v>221</v>
      </c>
      <c r="H48" s="24"/>
      <c r="I48" s="22"/>
      <c r="J48" s="22"/>
      <c r="K48" s="55"/>
      <c r="L48" s="55"/>
      <c r="M48" s="55"/>
      <c r="N48" s="29"/>
      <c r="O48" s="27" t="s">
        <v>325</v>
      </c>
      <c r="P48" s="27"/>
      <c r="Q48" s="25"/>
      <c r="R48" s="25"/>
      <c r="S48" s="55"/>
      <c r="T48" s="55"/>
      <c r="U48" s="25"/>
      <c r="V48" s="25"/>
      <c r="W48" s="25"/>
      <c r="X48" s="25"/>
      <c r="Y48" s="25"/>
      <c r="Z48" s="25"/>
      <c r="AA48" s="24"/>
      <c r="AB48" s="24"/>
      <c r="AC48" s="24"/>
      <c r="AD48" s="61" t="s">
        <v>326</v>
      </c>
      <c r="AE48" s="25"/>
      <c r="AF48" s="54">
        <v>30473006</v>
      </c>
      <c r="AG48" s="25"/>
      <c r="AH48" s="57" t="s">
        <v>115</v>
      </c>
      <c r="AI48" s="58" t="s">
        <v>328</v>
      </c>
      <c r="AJ48" s="58" t="s">
        <v>329</v>
      </c>
      <c r="AK48" s="24"/>
      <c r="AL48" s="24"/>
      <c r="AM48" s="22"/>
    </row>
    <row r="49" spans="1:39" ht="12.75" customHeight="1">
      <c r="A49" s="22">
        <v>47</v>
      </c>
      <c r="B49" s="56" t="s">
        <v>330</v>
      </c>
      <c r="C49" s="22" t="s">
        <v>180</v>
      </c>
      <c r="D49" s="55" t="s">
        <v>235</v>
      </c>
      <c r="E49" s="22"/>
      <c r="F49" s="24">
        <v>1</v>
      </c>
      <c r="G49" s="24" t="s">
        <v>221</v>
      </c>
      <c r="H49" s="24"/>
      <c r="I49" s="22"/>
      <c r="J49" s="22"/>
      <c r="K49" s="55"/>
      <c r="L49" s="55"/>
      <c r="M49" s="55"/>
      <c r="N49" s="29"/>
      <c r="O49" s="56" t="s">
        <v>330</v>
      </c>
      <c r="P49" s="56"/>
      <c r="Q49" s="25"/>
      <c r="R49" s="25"/>
      <c r="S49" s="55"/>
      <c r="T49" s="55"/>
      <c r="U49" s="25"/>
      <c r="V49" s="25"/>
      <c r="W49" s="25"/>
      <c r="X49" s="25"/>
      <c r="Y49" s="25"/>
      <c r="Z49" s="25"/>
      <c r="AA49" s="24"/>
      <c r="AB49" s="24"/>
      <c r="AC49" s="24"/>
      <c r="AD49" s="61" t="s">
        <v>331</v>
      </c>
      <c r="AE49" s="25"/>
      <c r="AF49" s="53">
        <v>2919008</v>
      </c>
      <c r="AG49" s="25"/>
      <c r="AH49" s="57" t="s">
        <v>115</v>
      </c>
      <c r="AI49" s="57" t="s">
        <v>333</v>
      </c>
      <c r="AJ49" s="57" t="s">
        <v>334</v>
      </c>
      <c r="AK49" s="24"/>
      <c r="AL49" s="24"/>
      <c r="AM49" s="22"/>
    </row>
    <row r="50" spans="1:39" ht="12.75" customHeight="1">
      <c r="A50" s="22">
        <v>48</v>
      </c>
      <c r="B50" s="56" t="s">
        <v>335</v>
      </c>
      <c r="C50" s="22" t="s">
        <v>180</v>
      </c>
      <c r="D50" s="55" t="s">
        <v>235</v>
      </c>
      <c r="E50" s="22"/>
      <c r="F50" s="24">
        <v>1</v>
      </c>
      <c r="G50" s="24" t="s">
        <v>221</v>
      </c>
      <c r="H50" s="24"/>
      <c r="I50" s="22"/>
      <c r="J50" s="22"/>
      <c r="K50" s="55"/>
      <c r="L50" s="55"/>
      <c r="M50" s="55"/>
      <c r="N50" s="29"/>
      <c r="O50" s="56" t="s">
        <v>335</v>
      </c>
      <c r="P50" s="56"/>
      <c r="Q50" s="25"/>
      <c r="R50" s="25"/>
      <c r="S50" s="55"/>
      <c r="T50" s="55"/>
      <c r="U50" s="25"/>
      <c r="V50" s="25"/>
      <c r="W50" s="25"/>
      <c r="X50" s="25"/>
      <c r="Y50" s="25"/>
      <c r="Z50" s="25"/>
      <c r="AA50" s="24"/>
      <c r="AB50" s="24"/>
      <c r="AC50" s="24"/>
      <c r="AD50" s="61" t="s">
        <v>336</v>
      </c>
      <c r="AE50" s="25"/>
      <c r="AF50" s="54">
        <v>289433006</v>
      </c>
      <c r="AG50" s="25"/>
      <c r="AH50" s="57" t="s">
        <v>115</v>
      </c>
      <c r="AI50" s="57" t="s">
        <v>338</v>
      </c>
      <c r="AJ50" s="57" t="s">
        <v>339</v>
      </c>
      <c r="AK50" s="24"/>
      <c r="AL50" s="24"/>
      <c r="AM50" s="22"/>
    </row>
    <row r="51" spans="1:39" ht="12.75" customHeight="1">
      <c r="A51" s="22">
        <v>49</v>
      </c>
      <c r="B51" s="56" t="s">
        <v>340</v>
      </c>
      <c r="C51" s="22" t="s">
        <v>180</v>
      </c>
      <c r="D51" s="55" t="s">
        <v>235</v>
      </c>
      <c r="E51" s="22"/>
      <c r="F51" s="24">
        <v>1</v>
      </c>
      <c r="G51" s="24" t="s">
        <v>221</v>
      </c>
      <c r="H51" s="24"/>
      <c r="I51" s="22"/>
      <c r="J51" s="22"/>
      <c r="K51" s="55"/>
      <c r="L51" s="55"/>
      <c r="M51" s="55"/>
      <c r="N51" s="29"/>
      <c r="O51" s="56" t="s">
        <v>340</v>
      </c>
      <c r="P51" s="56"/>
      <c r="Q51" s="25"/>
      <c r="R51" s="25"/>
      <c r="S51" s="55"/>
      <c r="T51" s="55"/>
      <c r="U51" s="25"/>
      <c r="V51" s="25"/>
      <c r="W51" s="25"/>
      <c r="X51" s="25"/>
      <c r="Y51" s="25"/>
      <c r="Z51" s="25"/>
      <c r="AA51" s="24"/>
      <c r="AB51" s="24"/>
      <c r="AC51" s="24"/>
      <c r="AD51" s="61" t="s">
        <v>342</v>
      </c>
      <c r="AE51" s="25"/>
      <c r="AF51" s="53">
        <v>267038008</v>
      </c>
      <c r="AG51" s="25"/>
      <c r="AH51" s="57" t="s">
        <v>115</v>
      </c>
      <c r="AI51" s="57" t="s">
        <v>343</v>
      </c>
      <c r="AJ51" s="57" t="s">
        <v>344</v>
      </c>
      <c r="AK51" s="24"/>
      <c r="AL51" s="24"/>
      <c r="AM51" s="22"/>
    </row>
    <row r="52" spans="1:39" ht="12.75" customHeight="1">
      <c r="A52" s="22">
        <v>50</v>
      </c>
      <c r="B52" s="56" t="s">
        <v>345</v>
      </c>
      <c r="C52" s="22" t="s">
        <v>180</v>
      </c>
      <c r="D52" s="55" t="s">
        <v>235</v>
      </c>
      <c r="E52" s="22"/>
      <c r="F52" s="24">
        <v>1</v>
      </c>
      <c r="G52" s="24" t="s">
        <v>221</v>
      </c>
      <c r="H52" s="24"/>
      <c r="I52" s="22"/>
      <c r="J52" s="22"/>
      <c r="K52" s="55"/>
      <c r="L52" s="55"/>
      <c r="M52" s="55"/>
      <c r="N52" s="29"/>
      <c r="O52" s="56" t="s">
        <v>345</v>
      </c>
      <c r="P52" s="56"/>
      <c r="Q52" s="25"/>
      <c r="R52" s="25"/>
      <c r="S52" s="55"/>
      <c r="T52" s="55"/>
      <c r="U52" s="25"/>
      <c r="V52" s="25"/>
      <c r="W52" s="25"/>
      <c r="X52" s="25"/>
      <c r="Y52" s="25"/>
      <c r="Z52" s="25"/>
      <c r="AA52" s="24"/>
      <c r="AB52" s="24"/>
      <c r="AC52" s="24"/>
      <c r="AD52" s="61" t="s">
        <v>346</v>
      </c>
      <c r="AE52" s="25"/>
      <c r="AF52" s="54">
        <v>131148009</v>
      </c>
      <c r="AG52" s="25"/>
      <c r="AH52" s="57" t="s">
        <v>115</v>
      </c>
      <c r="AI52" s="58" t="s">
        <v>348</v>
      </c>
      <c r="AJ52" s="58" t="s">
        <v>349</v>
      </c>
      <c r="AK52" s="24"/>
      <c r="AL52" s="24"/>
      <c r="AM52" s="22"/>
    </row>
    <row r="53" spans="1:39" ht="12.75" customHeight="1">
      <c r="A53" s="22">
        <v>51</v>
      </c>
      <c r="B53" s="56" t="s">
        <v>350</v>
      </c>
      <c r="C53" s="22" t="s">
        <v>180</v>
      </c>
      <c r="D53" s="55" t="s">
        <v>235</v>
      </c>
      <c r="E53" s="22"/>
      <c r="F53" s="24">
        <v>1</v>
      </c>
      <c r="G53" s="24" t="s">
        <v>221</v>
      </c>
      <c r="H53" s="24"/>
      <c r="I53" s="22"/>
      <c r="J53" s="22"/>
      <c r="K53" s="55"/>
      <c r="L53" s="55"/>
      <c r="M53" s="55"/>
      <c r="N53" s="29"/>
      <c r="O53" s="56" t="s">
        <v>350</v>
      </c>
      <c r="P53" s="56"/>
      <c r="Q53" s="25"/>
      <c r="R53" s="25"/>
      <c r="S53" s="55"/>
      <c r="T53" s="55"/>
      <c r="U53" s="25"/>
      <c r="V53" s="25"/>
      <c r="W53" s="25"/>
      <c r="X53" s="25"/>
      <c r="Y53" s="25"/>
      <c r="Z53" s="25"/>
      <c r="AA53" s="24"/>
      <c r="AB53" s="24"/>
      <c r="AC53" s="24"/>
      <c r="AD53" s="54" t="s">
        <v>351</v>
      </c>
      <c r="AE53" s="25"/>
      <c r="AF53" s="53">
        <v>22253000</v>
      </c>
      <c r="AG53" s="25"/>
      <c r="AH53" s="57" t="s">
        <v>115</v>
      </c>
      <c r="AI53" s="58" t="s">
        <v>352</v>
      </c>
      <c r="AJ53" s="58" t="s">
        <v>353</v>
      </c>
      <c r="AK53" s="24"/>
      <c r="AL53" s="24"/>
      <c r="AM53" s="22"/>
    </row>
    <row r="54" spans="1:39" ht="12.75" customHeight="1">
      <c r="A54" s="22">
        <v>52</v>
      </c>
      <c r="B54" s="56" t="s">
        <v>354</v>
      </c>
      <c r="C54" s="22" t="s">
        <v>180</v>
      </c>
      <c r="D54" s="55" t="s">
        <v>235</v>
      </c>
      <c r="E54" s="22"/>
      <c r="F54" s="24">
        <v>1</v>
      </c>
      <c r="G54" s="24" t="s">
        <v>221</v>
      </c>
      <c r="H54" s="24"/>
      <c r="I54" s="22"/>
      <c r="J54" s="22"/>
      <c r="K54" s="55"/>
      <c r="L54" s="55"/>
      <c r="M54" s="55"/>
      <c r="N54" s="29"/>
      <c r="O54" s="56" t="s">
        <v>354</v>
      </c>
      <c r="P54" s="56"/>
      <c r="Q54" s="25"/>
      <c r="R54" s="25"/>
      <c r="S54" s="55"/>
      <c r="T54" s="55"/>
      <c r="U54" s="25"/>
      <c r="V54" s="25"/>
      <c r="W54" s="25"/>
      <c r="X54" s="25"/>
      <c r="Y54" s="25"/>
      <c r="Z54" s="25"/>
      <c r="AA54" s="24"/>
      <c r="AB54" s="24"/>
      <c r="AC54" s="24"/>
      <c r="AD54" s="92" t="s">
        <v>355</v>
      </c>
      <c r="AE54" s="93"/>
      <c r="AF54" s="61">
        <v>74732009</v>
      </c>
      <c r="AG54" s="25"/>
      <c r="AH54" s="57" t="s">
        <v>115</v>
      </c>
      <c r="AI54" s="57" t="s">
        <v>357</v>
      </c>
      <c r="AJ54" s="57" t="s">
        <v>358</v>
      </c>
      <c r="AK54" s="24"/>
      <c r="AL54" s="24"/>
      <c r="AM54" s="22"/>
    </row>
    <row r="55" spans="1:39" ht="12.75" customHeight="1">
      <c r="A55" s="22">
        <v>53</v>
      </c>
      <c r="B55" s="56" t="s">
        <v>359</v>
      </c>
      <c r="C55" s="22" t="s">
        <v>180</v>
      </c>
      <c r="D55" s="55" t="s">
        <v>235</v>
      </c>
      <c r="E55" s="22"/>
      <c r="F55" s="24">
        <v>1</v>
      </c>
      <c r="G55" s="24" t="s">
        <v>221</v>
      </c>
      <c r="H55" s="24"/>
      <c r="I55" s="22"/>
      <c r="J55" s="22"/>
      <c r="K55" s="55"/>
      <c r="L55" s="55"/>
      <c r="M55" s="55"/>
      <c r="N55" s="29"/>
      <c r="O55" s="56" t="s">
        <v>359</v>
      </c>
      <c r="P55" s="56"/>
      <c r="Q55" s="25"/>
      <c r="R55" s="25"/>
      <c r="S55" s="55"/>
      <c r="T55" s="55"/>
      <c r="U55" s="25"/>
      <c r="V55" s="25"/>
      <c r="W55" s="25"/>
      <c r="X55" s="25"/>
      <c r="Y55" s="25"/>
      <c r="Z55" s="25"/>
      <c r="AA55" s="24"/>
      <c r="AB55" s="24"/>
      <c r="AC55" s="24"/>
      <c r="AD55" s="61" t="s">
        <v>361</v>
      </c>
      <c r="AE55" s="25"/>
      <c r="AF55" s="54">
        <v>95320005</v>
      </c>
      <c r="AG55" s="25"/>
      <c r="AH55" s="57" t="s">
        <v>115</v>
      </c>
      <c r="AI55" s="58" t="s">
        <v>362</v>
      </c>
      <c r="AJ55" s="58" t="s">
        <v>363</v>
      </c>
      <c r="AK55" s="24"/>
      <c r="AL55" s="24"/>
      <c r="AM55" s="22"/>
    </row>
    <row r="56" spans="1:39" ht="12.75" customHeight="1">
      <c r="A56" s="22">
        <v>54</v>
      </c>
      <c r="B56" s="56" t="s">
        <v>364</v>
      </c>
      <c r="C56" s="22" t="s">
        <v>180</v>
      </c>
      <c r="D56" s="55" t="s">
        <v>235</v>
      </c>
      <c r="E56" s="22"/>
      <c r="F56" s="24">
        <v>1</v>
      </c>
      <c r="G56" s="24" t="s">
        <v>221</v>
      </c>
      <c r="H56" s="24"/>
      <c r="I56" s="22"/>
      <c r="J56" s="22"/>
      <c r="K56" s="55"/>
      <c r="L56" s="55"/>
      <c r="M56" s="55"/>
      <c r="N56" s="29"/>
      <c r="O56" s="56" t="s">
        <v>364</v>
      </c>
      <c r="P56" s="56"/>
      <c r="Q56" s="25"/>
      <c r="R56" s="25"/>
      <c r="S56" s="55"/>
      <c r="T56" s="55"/>
      <c r="U56" s="25"/>
      <c r="V56" s="25"/>
      <c r="W56" s="25"/>
      <c r="X56" s="25"/>
      <c r="Y56" s="25"/>
      <c r="Z56" s="25"/>
      <c r="AA56" s="24"/>
      <c r="AB56" s="24"/>
      <c r="AC56" s="24"/>
      <c r="AD56" s="54" t="s">
        <v>365</v>
      </c>
      <c r="AE56" s="25"/>
      <c r="AF56" s="53">
        <v>248004009</v>
      </c>
      <c r="AG56" s="25"/>
      <c r="AH56" s="57" t="s">
        <v>115</v>
      </c>
      <c r="AI56" s="58" t="s">
        <v>366</v>
      </c>
      <c r="AJ56" s="58" t="s">
        <v>368</v>
      </c>
      <c r="AK56" s="24"/>
      <c r="AL56" s="24"/>
      <c r="AM56" s="22"/>
    </row>
    <row r="57" spans="1:39" ht="12.75" customHeight="1">
      <c r="A57" s="22">
        <v>55</v>
      </c>
      <c r="B57" s="27" t="s">
        <v>369</v>
      </c>
      <c r="C57" s="22" t="s">
        <v>180</v>
      </c>
      <c r="D57" s="55" t="s">
        <v>235</v>
      </c>
      <c r="E57" s="22"/>
      <c r="F57" s="24">
        <v>1</v>
      </c>
      <c r="G57" s="24" t="s">
        <v>221</v>
      </c>
      <c r="H57" s="24"/>
      <c r="I57" s="22"/>
      <c r="J57" s="22"/>
      <c r="K57" s="55"/>
      <c r="L57" s="55"/>
      <c r="M57" s="55"/>
      <c r="N57" s="29"/>
      <c r="O57" s="27" t="s">
        <v>369</v>
      </c>
      <c r="P57" s="27"/>
      <c r="Q57" s="25"/>
      <c r="R57" s="25"/>
      <c r="S57" s="55"/>
      <c r="T57" s="55"/>
      <c r="U57" s="25"/>
      <c r="V57" s="25"/>
      <c r="W57" s="25"/>
      <c r="X57" s="25"/>
      <c r="Y57" s="25"/>
      <c r="Z57" s="25"/>
      <c r="AA57" s="24"/>
      <c r="AB57" s="24"/>
      <c r="AC57" s="24"/>
      <c r="AD57" s="54" t="s">
        <v>370</v>
      </c>
      <c r="AE57" s="25"/>
      <c r="AF57" s="53">
        <v>49650001</v>
      </c>
      <c r="AG57" s="25"/>
      <c r="AH57" s="57" t="s">
        <v>115</v>
      </c>
      <c r="AI57" s="57" t="s">
        <v>371</v>
      </c>
      <c r="AJ57" s="57" t="s">
        <v>372</v>
      </c>
      <c r="AK57" s="24"/>
      <c r="AL57" s="24"/>
      <c r="AM57" s="22"/>
    </row>
    <row r="58" spans="1:39" ht="12.75" customHeight="1">
      <c r="A58" s="22">
        <v>56</v>
      </c>
      <c r="B58" s="56" t="s">
        <v>373</v>
      </c>
      <c r="C58" s="22" t="s">
        <v>180</v>
      </c>
      <c r="D58" s="55" t="s">
        <v>235</v>
      </c>
      <c r="E58" s="22"/>
      <c r="F58" s="24">
        <v>1</v>
      </c>
      <c r="G58" s="24" t="s">
        <v>221</v>
      </c>
      <c r="H58" s="24"/>
      <c r="I58" s="22"/>
      <c r="J58" s="22"/>
      <c r="K58" s="55"/>
      <c r="L58" s="55"/>
      <c r="M58" s="55"/>
      <c r="N58" s="29"/>
      <c r="O58" s="56" t="s">
        <v>373</v>
      </c>
      <c r="P58" s="56"/>
      <c r="Q58" s="25"/>
      <c r="R58" s="25"/>
      <c r="S58" s="55"/>
      <c r="T58" s="55"/>
      <c r="U58" s="25"/>
      <c r="V58" s="25"/>
      <c r="W58" s="25"/>
      <c r="X58" s="25"/>
      <c r="Y58" s="25"/>
      <c r="Z58" s="25"/>
      <c r="AA58" s="24"/>
      <c r="AB58" s="24"/>
      <c r="AC58" s="24"/>
      <c r="AD58" s="53" t="s">
        <v>374</v>
      </c>
      <c r="AE58" s="25"/>
      <c r="AF58" s="54">
        <v>279333002</v>
      </c>
      <c r="AG58" s="25"/>
      <c r="AH58" s="57" t="s">
        <v>115</v>
      </c>
      <c r="AI58" s="57" t="s">
        <v>376</v>
      </c>
      <c r="AJ58" s="57" t="s">
        <v>377</v>
      </c>
      <c r="AK58" s="24"/>
      <c r="AL58" s="24"/>
      <c r="AM58" s="22"/>
    </row>
    <row r="59" spans="1:39" ht="12.75" customHeight="1">
      <c r="A59" s="22">
        <v>57</v>
      </c>
      <c r="B59" s="56" t="s">
        <v>378</v>
      </c>
      <c r="C59" s="22" t="s">
        <v>180</v>
      </c>
      <c r="D59" s="55" t="s">
        <v>235</v>
      </c>
      <c r="E59" s="22"/>
      <c r="F59" s="24">
        <v>1</v>
      </c>
      <c r="G59" s="24" t="s">
        <v>221</v>
      </c>
      <c r="H59" s="24"/>
      <c r="I59" s="22"/>
      <c r="J59" s="22"/>
      <c r="K59" s="55"/>
      <c r="L59" s="55"/>
      <c r="M59" s="55"/>
      <c r="N59" s="29"/>
      <c r="O59" s="56" t="s">
        <v>378</v>
      </c>
      <c r="P59" s="56"/>
      <c r="Q59" s="25"/>
      <c r="R59" s="25"/>
      <c r="S59" s="55"/>
      <c r="T59" s="55"/>
      <c r="U59" s="25"/>
      <c r="V59" s="25"/>
      <c r="W59" s="25"/>
      <c r="X59" s="25"/>
      <c r="Y59" s="25"/>
      <c r="Z59" s="25"/>
      <c r="AA59" s="24"/>
      <c r="AB59" s="24"/>
      <c r="AC59" s="24"/>
      <c r="AD59" s="92" t="s">
        <v>336</v>
      </c>
      <c r="AE59" s="25"/>
      <c r="AF59" s="53">
        <v>276369006</v>
      </c>
      <c r="AG59" s="25"/>
      <c r="AH59" s="57" t="s">
        <v>115</v>
      </c>
      <c r="AI59" s="58" t="s">
        <v>379</v>
      </c>
      <c r="AJ59" s="57" t="s">
        <v>380</v>
      </c>
      <c r="AK59" s="24"/>
      <c r="AL59" s="24"/>
      <c r="AM59" s="22"/>
    </row>
    <row r="60" spans="1:39" ht="12.75" customHeight="1">
      <c r="A60" s="22">
        <v>58</v>
      </c>
      <c r="B60" s="56" t="s">
        <v>381</v>
      </c>
      <c r="C60" s="22" t="s">
        <v>180</v>
      </c>
      <c r="D60" s="55" t="s">
        <v>235</v>
      </c>
      <c r="E60" s="22"/>
      <c r="F60" s="24">
        <v>1</v>
      </c>
      <c r="G60" s="24" t="s">
        <v>221</v>
      </c>
      <c r="H60" s="24"/>
      <c r="I60" s="22"/>
      <c r="J60" s="22"/>
      <c r="K60" s="55"/>
      <c r="L60" s="55"/>
      <c r="M60" s="55"/>
      <c r="N60" s="29"/>
      <c r="O60" s="56" t="s">
        <v>381</v>
      </c>
      <c r="P60" s="56"/>
      <c r="Q60" s="25"/>
      <c r="R60" s="25"/>
      <c r="S60" s="55"/>
      <c r="T60" s="55"/>
      <c r="U60" s="25"/>
      <c r="V60" s="25"/>
      <c r="W60" s="25"/>
      <c r="X60" s="25"/>
      <c r="Y60" s="25"/>
      <c r="Z60" s="25"/>
      <c r="AA60" s="24"/>
      <c r="AB60" s="24"/>
      <c r="AC60" s="24"/>
      <c r="AD60" s="54" t="s">
        <v>383</v>
      </c>
      <c r="AE60" s="25"/>
      <c r="AF60" s="53">
        <v>267036007</v>
      </c>
      <c r="AG60" s="25"/>
      <c r="AH60" s="57" t="s">
        <v>115</v>
      </c>
      <c r="AI60" s="57" t="s">
        <v>384</v>
      </c>
      <c r="AJ60" s="58" t="s">
        <v>385</v>
      </c>
      <c r="AK60" s="24"/>
      <c r="AL60" s="24"/>
      <c r="AM60" s="22"/>
    </row>
    <row r="61" spans="1:39" ht="12.75" customHeight="1">
      <c r="A61" s="22">
        <v>59</v>
      </c>
      <c r="B61" s="56" t="s">
        <v>386</v>
      </c>
      <c r="C61" s="22" t="s">
        <v>180</v>
      </c>
      <c r="D61" s="55" t="s">
        <v>235</v>
      </c>
      <c r="E61" s="22"/>
      <c r="F61" s="24">
        <v>1</v>
      </c>
      <c r="G61" s="24" t="s">
        <v>221</v>
      </c>
      <c r="H61" s="24"/>
      <c r="I61" s="22"/>
      <c r="J61" s="22"/>
      <c r="K61" s="55"/>
      <c r="L61" s="55"/>
      <c r="M61" s="55"/>
      <c r="N61" s="29"/>
      <c r="O61" s="56" t="s">
        <v>386</v>
      </c>
      <c r="P61" s="56"/>
      <c r="Q61" s="25"/>
      <c r="R61" s="25"/>
      <c r="S61" s="55"/>
      <c r="T61" s="55"/>
      <c r="U61" s="25"/>
      <c r="V61" s="25"/>
      <c r="W61" s="25"/>
      <c r="X61" s="25"/>
      <c r="Y61" s="25"/>
      <c r="Z61" s="25"/>
      <c r="AA61" s="24"/>
      <c r="AB61" s="24"/>
      <c r="AC61" s="24"/>
      <c r="AD61" s="61" t="s">
        <v>387</v>
      </c>
      <c r="AE61" s="25"/>
      <c r="AF61" s="54">
        <v>224960004</v>
      </c>
      <c r="AG61" s="25"/>
      <c r="AH61" s="57" t="s">
        <v>115</v>
      </c>
      <c r="AI61" s="57" t="s">
        <v>389</v>
      </c>
      <c r="AJ61" s="57" t="s">
        <v>390</v>
      </c>
      <c r="AK61" s="24"/>
      <c r="AL61" s="24"/>
      <c r="AM61" s="22"/>
    </row>
    <row r="62" spans="1:39" ht="12.75" customHeight="1">
      <c r="A62" s="22">
        <v>60</v>
      </c>
      <c r="B62" s="56" t="s">
        <v>391</v>
      </c>
      <c r="C62" s="22" t="s">
        <v>180</v>
      </c>
      <c r="D62" s="55" t="s">
        <v>235</v>
      </c>
      <c r="E62" s="22"/>
      <c r="F62" s="24">
        <v>1</v>
      </c>
      <c r="G62" s="24" t="s">
        <v>221</v>
      </c>
      <c r="H62" s="24"/>
      <c r="I62" s="22"/>
      <c r="J62" s="22"/>
      <c r="K62" s="55"/>
      <c r="L62" s="55"/>
      <c r="M62" s="55"/>
      <c r="N62" s="29"/>
      <c r="O62" s="56" t="s">
        <v>391</v>
      </c>
      <c r="P62" s="56"/>
      <c r="Q62" s="25"/>
      <c r="R62" s="25"/>
      <c r="S62" s="55"/>
      <c r="T62" s="55"/>
      <c r="U62" s="25"/>
      <c r="V62" s="25"/>
      <c r="W62" s="25"/>
      <c r="X62" s="25"/>
      <c r="Y62" s="25"/>
      <c r="Z62" s="25"/>
      <c r="AA62" s="24"/>
      <c r="AB62" s="24"/>
      <c r="AC62" s="24"/>
      <c r="AD62" s="54" t="s">
        <v>392</v>
      </c>
      <c r="AE62" s="25"/>
      <c r="AF62" s="53">
        <v>417746004</v>
      </c>
      <c r="AG62" s="25"/>
      <c r="AH62" s="57" t="s">
        <v>115</v>
      </c>
      <c r="AI62" s="57" t="s">
        <v>394</v>
      </c>
      <c r="AJ62" s="57" t="s">
        <v>395</v>
      </c>
      <c r="AK62" s="24"/>
      <c r="AL62" s="24"/>
      <c r="AM62" s="22"/>
    </row>
    <row r="63" spans="1:39" ht="12.75" customHeight="1">
      <c r="A63" s="22">
        <v>61</v>
      </c>
      <c r="B63" s="56" t="s">
        <v>396</v>
      </c>
      <c r="C63" s="22" t="s">
        <v>180</v>
      </c>
      <c r="D63" s="55" t="s">
        <v>235</v>
      </c>
      <c r="E63" s="22"/>
      <c r="F63" s="24">
        <v>1</v>
      </c>
      <c r="G63" s="24" t="s">
        <v>221</v>
      </c>
      <c r="H63" s="24"/>
      <c r="I63" s="22"/>
      <c r="J63" s="22"/>
      <c r="K63" s="55"/>
      <c r="L63" s="55"/>
      <c r="M63" s="55"/>
      <c r="N63" s="29"/>
      <c r="O63" s="56" t="s">
        <v>396</v>
      </c>
      <c r="P63" s="56"/>
      <c r="Q63" s="25"/>
      <c r="R63" s="25"/>
      <c r="S63" s="55"/>
      <c r="T63" s="55"/>
      <c r="U63" s="25"/>
      <c r="V63" s="25"/>
      <c r="W63" s="25"/>
      <c r="X63" s="25"/>
      <c r="Y63" s="25"/>
      <c r="Z63" s="25"/>
      <c r="AA63" s="24"/>
      <c r="AB63" s="24"/>
      <c r="AC63" s="24"/>
      <c r="AD63" s="92" t="s">
        <v>397</v>
      </c>
      <c r="AE63" s="25"/>
      <c r="AF63" s="54">
        <v>289530006</v>
      </c>
      <c r="AG63" s="25"/>
      <c r="AH63" s="57" t="s">
        <v>115</v>
      </c>
      <c r="AI63" s="57" t="s">
        <v>398</v>
      </c>
      <c r="AJ63" s="57" t="s">
        <v>399</v>
      </c>
      <c r="AK63" s="24"/>
      <c r="AL63" s="24"/>
      <c r="AM63" s="22"/>
    </row>
    <row r="64" spans="1:39" ht="12.75" customHeight="1">
      <c r="A64" s="22">
        <v>62</v>
      </c>
      <c r="B64" s="56" t="s">
        <v>400</v>
      </c>
      <c r="C64" s="22" t="s">
        <v>180</v>
      </c>
      <c r="D64" s="55" t="s">
        <v>235</v>
      </c>
      <c r="E64" s="22"/>
      <c r="F64" s="24">
        <v>1</v>
      </c>
      <c r="G64" s="24" t="s">
        <v>221</v>
      </c>
      <c r="H64" s="24"/>
      <c r="I64" s="22"/>
      <c r="J64" s="22"/>
      <c r="K64" s="55"/>
      <c r="L64" s="55"/>
      <c r="M64" s="55"/>
      <c r="N64" s="29"/>
      <c r="O64" s="56" t="s">
        <v>400</v>
      </c>
      <c r="P64" s="56"/>
      <c r="Q64" s="25"/>
      <c r="R64" s="25"/>
      <c r="S64" s="55"/>
      <c r="T64" s="55"/>
      <c r="U64" s="25"/>
      <c r="V64" s="25"/>
      <c r="W64" s="25"/>
      <c r="X64" s="25"/>
      <c r="Y64" s="25"/>
      <c r="Z64" s="25"/>
      <c r="AA64" s="24"/>
      <c r="AB64" s="24"/>
      <c r="AC64" s="24"/>
      <c r="AD64" s="61" t="s">
        <v>402</v>
      </c>
      <c r="AE64" s="25"/>
      <c r="AF64" s="54">
        <v>63102001</v>
      </c>
      <c r="AG64" s="25"/>
      <c r="AH64" s="57" t="s">
        <v>115</v>
      </c>
      <c r="AI64" s="57" t="s">
        <v>403</v>
      </c>
      <c r="AJ64" s="57" t="s">
        <v>404</v>
      </c>
      <c r="AK64" s="24"/>
      <c r="AL64" s="24"/>
      <c r="AM64" s="22"/>
    </row>
    <row r="65" spans="1:39" ht="12.75" customHeight="1">
      <c r="A65" s="22">
        <v>63</v>
      </c>
      <c r="B65" s="56" t="s">
        <v>405</v>
      </c>
      <c r="C65" s="22" t="s">
        <v>180</v>
      </c>
      <c r="D65" s="55" t="s">
        <v>235</v>
      </c>
      <c r="E65" s="22"/>
      <c r="F65" s="24">
        <v>1</v>
      </c>
      <c r="G65" s="24" t="s">
        <v>221</v>
      </c>
      <c r="H65" s="24"/>
      <c r="I65" s="22"/>
      <c r="J65" s="22"/>
      <c r="K65" s="55"/>
      <c r="L65" s="55"/>
      <c r="M65" s="55"/>
      <c r="N65" s="29"/>
      <c r="O65" s="56" t="s">
        <v>405</v>
      </c>
      <c r="P65" s="56"/>
      <c r="Q65" s="25"/>
      <c r="R65" s="25"/>
      <c r="S65" s="55"/>
      <c r="T65" s="55"/>
      <c r="U65" s="25"/>
      <c r="V65" s="25"/>
      <c r="W65" s="25"/>
      <c r="X65" s="25"/>
      <c r="Y65" s="25"/>
      <c r="Z65" s="25"/>
      <c r="AA65" s="24"/>
      <c r="AB65" s="24"/>
      <c r="AC65" s="24"/>
      <c r="AD65" s="25"/>
      <c r="AE65" s="25"/>
      <c r="AF65" s="100"/>
      <c r="AG65" s="25"/>
      <c r="AH65" s="57" t="s">
        <v>115</v>
      </c>
      <c r="AI65" s="57" t="s">
        <v>406</v>
      </c>
      <c r="AJ65" s="57" t="s">
        <v>407</v>
      </c>
      <c r="AK65" s="24"/>
      <c r="AL65" s="24"/>
      <c r="AM65" s="22"/>
    </row>
    <row r="66" spans="1:39" ht="12.75" customHeight="1">
      <c r="A66" s="22">
        <v>64</v>
      </c>
      <c r="B66" s="55" t="s">
        <v>408</v>
      </c>
      <c r="C66" s="22" t="s">
        <v>96</v>
      </c>
      <c r="D66" s="55" t="s">
        <v>235</v>
      </c>
      <c r="E66" s="22"/>
      <c r="F66" s="24">
        <v>1</v>
      </c>
      <c r="G66" s="24" t="s">
        <v>221</v>
      </c>
      <c r="H66" s="24"/>
      <c r="I66" s="22"/>
      <c r="J66" s="22"/>
      <c r="K66" s="55" t="s">
        <v>409</v>
      </c>
      <c r="L66" s="55" t="s">
        <v>410</v>
      </c>
      <c r="M66" s="55" t="s">
        <v>412</v>
      </c>
      <c r="N66" s="55" t="s">
        <v>111</v>
      </c>
      <c r="O66" s="56"/>
      <c r="P66" s="56"/>
      <c r="Q66" s="25"/>
      <c r="R66" s="25"/>
      <c r="S66" s="55" t="s">
        <v>208</v>
      </c>
      <c r="T66" s="55" t="s">
        <v>208</v>
      </c>
      <c r="U66" s="25"/>
      <c r="V66" s="25"/>
      <c r="W66" s="25"/>
      <c r="X66" s="25"/>
      <c r="Y66" s="25"/>
      <c r="Z66" s="25"/>
      <c r="AA66" s="24"/>
      <c r="AB66" s="24"/>
      <c r="AC66" s="24"/>
      <c r="AD66" s="25"/>
      <c r="AE66" s="25"/>
      <c r="AF66" s="25"/>
      <c r="AG66" s="53" t="s">
        <v>413</v>
      </c>
      <c r="AH66" s="58" t="s">
        <v>414</v>
      </c>
      <c r="AI66" s="58" t="s">
        <v>415</v>
      </c>
      <c r="AJ66" s="58" t="s">
        <v>416</v>
      </c>
      <c r="AK66" s="24"/>
      <c r="AL66" s="24"/>
      <c r="AM66" s="22"/>
    </row>
    <row r="67" spans="1:39" ht="12.75" customHeight="1">
      <c r="A67" s="22">
        <v>65</v>
      </c>
      <c r="B67" s="27" t="s">
        <v>417</v>
      </c>
      <c r="C67" s="22" t="s">
        <v>96</v>
      </c>
      <c r="D67" s="22"/>
      <c r="E67" s="22"/>
      <c r="F67" s="24">
        <v>1</v>
      </c>
      <c r="G67" s="24" t="s">
        <v>221</v>
      </c>
      <c r="H67" s="24"/>
      <c r="I67" s="22"/>
      <c r="J67" s="22"/>
      <c r="K67" s="27" t="s">
        <v>417</v>
      </c>
      <c r="L67" s="27" t="s">
        <v>418</v>
      </c>
      <c r="M67" s="27" t="s">
        <v>419</v>
      </c>
      <c r="N67" s="27" t="s">
        <v>238</v>
      </c>
      <c r="O67" s="56"/>
      <c r="P67" s="56"/>
      <c r="Q67" s="25"/>
      <c r="R67" s="25"/>
      <c r="S67" s="27" t="s">
        <v>113</v>
      </c>
      <c r="T67" s="55" t="s">
        <v>208</v>
      </c>
      <c r="U67" s="25"/>
      <c r="V67" s="25"/>
      <c r="W67" s="25"/>
      <c r="X67" s="25"/>
      <c r="Y67" s="25"/>
      <c r="Z67" s="25"/>
      <c r="AA67" s="24"/>
      <c r="AB67" s="24"/>
      <c r="AC67" s="24"/>
      <c r="AD67" s="25"/>
      <c r="AE67" s="25"/>
      <c r="AF67" s="53">
        <v>406523004</v>
      </c>
      <c r="AG67" s="54"/>
      <c r="AH67" s="58" t="s">
        <v>115</v>
      </c>
      <c r="AI67" s="58" t="s">
        <v>421</v>
      </c>
      <c r="AJ67" s="58" t="s">
        <v>422</v>
      </c>
      <c r="AK67" s="24"/>
      <c r="AL67" s="24"/>
      <c r="AM67" s="22"/>
    </row>
    <row r="68" spans="1:39" ht="12.75" customHeight="1">
      <c r="A68" s="22">
        <v>66</v>
      </c>
      <c r="B68" s="56" t="s">
        <v>423</v>
      </c>
      <c r="C68" s="22" t="s">
        <v>180</v>
      </c>
      <c r="D68" s="27" t="s">
        <v>417</v>
      </c>
      <c r="E68" s="22"/>
      <c r="F68" s="24">
        <v>1</v>
      </c>
      <c r="G68" s="24" t="s">
        <v>221</v>
      </c>
      <c r="H68" s="24"/>
      <c r="I68" s="22"/>
      <c r="J68" s="22"/>
      <c r="K68" s="29"/>
      <c r="L68" s="29"/>
      <c r="M68" s="29"/>
      <c r="N68" s="29"/>
      <c r="O68" s="56" t="s">
        <v>423</v>
      </c>
      <c r="P68" s="56"/>
      <c r="Q68" s="25"/>
      <c r="R68" s="25"/>
      <c r="S68" s="29"/>
      <c r="T68" s="29"/>
      <c r="U68" s="25"/>
      <c r="V68" s="25"/>
      <c r="W68" s="25"/>
      <c r="X68" s="25"/>
      <c r="Y68" s="25"/>
      <c r="Z68" s="25"/>
      <c r="AA68" s="24"/>
      <c r="AB68" s="24"/>
      <c r="AC68" s="24"/>
      <c r="AD68" s="25"/>
      <c r="AE68" s="25"/>
      <c r="AF68" s="53">
        <v>260413007</v>
      </c>
      <c r="AG68" s="25"/>
      <c r="AH68" s="58" t="s">
        <v>115</v>
      </c>
      <c r="AI68" s="58" t="s">
        <v>424</v>
      </c>
      <c r="AJ68" s="58" t="s">
        <v>425</v>
      </c>
      <c r="AK68" s="24"/>
      <c r="AL68" s="24"/>
      <c r="AM68" s="22"/>
    </row>
    <row r="69" spans="1:39" ht="12.75" customHeight="1">
      <c r="A69" s="22">
        <v>67</v>
      </c>
      <c r="B69" s="27" t="s">
        <v>426</v>
      </c>
      <c r="C69" s="22" t="s">
        <v>180</v>
      </c>
      <c r="D69" s="27" t="s">
        <v>417</v>
      </c>
      <c r="E69" s="22"/>
      <c r="F69" s="24">
        <v>1</v>
      </c>
      <c r="G69" s="24" t="s">
        <v>221</v>
      </c>
      <c r="H69" s="24"/>
      <c r="I69" s="22"/>
      <c r="J69" s="22"/>
      <c r="K69" s="29"/>
      <c r="L69" s="29"/>
      <c r="M69" s="29"/>
      <c r="N69" s="29"/>
      <c r="O69" s="27" t="s">
        <v>426</v>
      </c>
      <c r="P69" s="27"/>
      <c r="Q69" s="25"/>
      <c r="R69" s="25"/>
      <c r="S69" s="29"/>
      <c r="T69" s="29"/>
      <c r="U69" s="25"/>
      <c r="V69" s="25"/>
      <c r="W69" s="25"/>
      <c r="X69" s="25"/>
      <c r="Y69" s="25"/>
      <c r="Z69" s="25"/>
      <c r="AA69" s="24"/>
      <c r="AB69" s="24"/>
      <c r="AC69" s="24"/>
      <c r="AD69" s="61" t="s">
        <v>428</v>
      </c>
      <c r="AE69" s="25"/>
      <c r="AF69" s="53">
        <v>301822002</v>
      </c>
      <c r="AG69" s="25"/>
      <c r="AH69" s="58" t="s">
        <v>115</v>
      </c>
      <c r="AI69" s="58" t="s">
        <v>429</v>
      </c>
      <c r="AJ69" s="58" t="s">
        <v>430</v>
      </c>
      <c r="AK69" s="24"/>
      <c r="AL69" s="24"/>
      <c r="AM69" s="22"/>
    </row>
    <row r="70" spans="1:39" ht="12.75" customHeight="1">
      <c r="A70" s="22">
        <v>68</v>
      </c>
      <c r="B70" s="27" t="s">
        <v>431</v>
      </c>
      <c r="C70" s="22" t="s">
        <v>180</v>
      </c>
      <c r="D70" s="27" t="s">
        <v>417</v>
      </c>
      <c r="E70" s="22"/>
      <c r="F70" s="24">
        <v>1</v>
      </c>
      <c r="G70" s="24" t="s">
        <v>221</v>
      </c>
      <c r="H70" s="24"/>
      <c r="I70" s="22"/>
      <c r="J70" s="22"/>
      <c r="K70" s="29"/>
      <c r="L70" s="29"/>
      <c r="M70" s="29"/>
      <c r="N70" s="29"/>
      <c r="O70" s="27" t="s">
        <v>431</v>
      </c>
      <c r="P70" s="27"/>
      <c r="Q70" s="25"/>
      <c r="R70" s="25"/>
      <c r="S70" s="29"/>
      <c r="T70" s="29"/>
      <c r="U70" s="25"/>
      <c r="V70" s="25"/>
      <c r="W70" s="25"/>
      <c r="X70" s="25"/>
      <c r="Y70" s="25"/>
      <c r="Z70" s="25"/>
      <c r="AA70" s="24"/>
      <c r="AB70" s="24"/>
      <c r="AC70" s="24"/>
      <c r="AD70" s="76"/>
      <c r="AE70" s="76"/>
      <c r="AF70" s="76"/>
      <c r="AG70" s="25"/>
      <c r="AH70" s="58" t="s">
        <v>115</v>
      </c>
      <c r="AI70" s="58" t="s">
        <v>432</v>
      </c>
      <c r="AJ70" s="103" t="s">
        <v>433</v>
      </c>
      <c r="AK70" s="24"/>
      <c r="AL70" s="24"/>
      <c r="AM70" s="22"/>
    </row>
    <row r="71" spans="1:39" ht="12.75" customHeight="1">
      <c r="A71" s="22">
        <v>69</v>
      </c>
      <c r="B71" s="27" t="s">
        <v>435</v>
      </c>
      <c r="C71" s="22" t="s">
        <v>180</v>
      </c>
      <c r="D71" s="27" t="s">
        <v>417</v>
      </c>
      <c r="E71" s="22"/>
      <c r="F71" s="24">
        <v>1</v>
      </c>
      <c r="G71" s="24" t="s">
        <v>221</v>
      </c>
      <c r="H71" s="24"/>
      <c r="I71" s="22"/>
      <c r="J71" s="22"/>
      <c r="K71" s="29"/>
      <c r="L71" s="29"/>
      <c r="M71" s="29"/>
      <c r="N71" s="29"/>
      <c r="O71" s="27" t="s">
        <v>435</v>
      </c>
      <c r="P71" s="27"/>
      <c r="Q71" s="25"/>
      <c r="R71" s="25"/>
      <c r="S71" s="29"/>
      <c r="T71" s="29"/>
      <c r="U71" s="25"/>
      <c r="V71" s="25"/>
      <c r="W71" s="25"/>
      <c r="X71" s="25"/>
      <c r="Y71" s="25"/>
      <c r="Z71" s="25"/>
      <c r="AA71" s="24"/>
      <c r="AB71" s="24"/>
      <c r="AC71" s="24"/>
      <c r="AD71" s="76"/>
      <c r="AE71" s="76"/>
      <c r="AF71" s="76"/>
      <c r="AG71" s="25"/>
      <c r="AH71" s="58" t="s">
        <v>115</v>
      </c>
      <c r="AI71" s="58" t="s">
        <v>436</v>
      </c>
      <c r="AJ71" s="103" t="s">
        <v>437</v>
      </c>
      <c r="AK71" s="24"/>
      <c r="AL71" s="24"/>
      <c r="AM71" s="22"/>
    </row>
    <row r="72" spans="1:39" ht="12.75" customHeight="1">
      <c r="A72" s="22">
        <v>70</v>
      </c>
      <c r="B72" s="27" t="s">
        <v>281</v>
      </c>
      <c r="C72" s="22" t="s">
        <v>180</v>
      </c>
      <c r="D72" s="27" t="s">
        <v>417</v>
      </c>
      <c r="E72" s="22"/>
      <c r="F72" s="24">
        <v>1</v>
      </c>
      <c r="G72" s="24" t="s">
        <v>221</v>
      </c>
      <c r="H72" s="24"/>
      <c r="I72" s="22"/>
      <c r="J72" s="22"/>
      <c r="K72" s="29"/>
      <c r="L72" s="29"/>
      <c r="M72" s="29"/>
      <c r="N72" s="29"/>
      <c r="O72" s="27" t="s">
        <v>281</v>
      </c>
      <c r="P72" s="27"/>
      <c r="Q72" s="25"/>
      <c r="R72" s="25"/>
      <c r="S72" s="29"/>
      <c r="T72" s="29"/>
      <c r="U72" s="25"/>
      <c r="V72" s="25"/>
      <c r="W72" s="25"/>
      <c r="X72" s="25"/>
      <c r="Y72" s="25"/>
      <c r="Z72" s="25"/>
      <c r="AA72" s="24"/>
      <c r="AB72" s="24"/>
      <c r="AC72" s="24"/>
      <c r="AD72" s="53" t="s">
        <v>283</v>
      </c>
      <c r="AE72" s="25"/>
      <c r="AF72" s="54">
        <v>386661006</v>
      </c>
      <c r="AG72" s="25"/>
      <c r="AH72" s="58" t="s">
        <v>115</v>
      </c>
      <c r="AI72" s="58" t="s">
        <v>284</v>
      </c>
      <c r="AJ72" s="57" t="s">
        <v>285</v>
      </c>
      <c r="AK72" s="24"/>
      <c r="AL72" s="24"/>
      <c r="AM72" s="22"/>
    </row>
    <row r="73" spans="1:39" ht="12.75" customHeight="1">
      <c r="A73" s="22">
        <v>71</v>
      </c>
      <c r="B73" s="27" t="s">
        <v>439</v>
      </c>
      <c r="C73" s="22" t="s">
        <v>180</v>
      </c>
      <c r="D73" s="27" t="s">
        <v>417</v>
      </c>
      <c r="E73" s="22"/>
      <c r="F73" s="24">
        <v>1</v>
      </c>
      <c r="G73" s="24" t="s">
        <v>221</v>
      </c>
      <c r="H73" s="24"/>
      <c r="I73" s="22"/>
      <c r="J73" s="22"/>
      <c r="K73" s="29"/>
      <c r="L73" s="29"/>
      <c r="M73" s="29"/>
      <c r="N73" s="29"/>
      <c r="O73" s="27" t="s">
        <v>439</v>
      </c>
      <c r="P73" s="27"/>
      <c r="Q73" s="25"/>
      <c r="R73" s="25"/>
      <c r="S73" s="29"/>
      <c r="T73" s="29"/>
      <c r="U73" s="25"/>
      <c r="V73" s="25"/>
      <c r="W73" s="25"/>
      <c r="X73" s="25"/>
      <c r="Y73" s="25"/>
      <c r="Z73" s="25"/>
      <c r="AA73" s="24"/>
      <c r="AB73" s="24"/>
      <c r="AC73" s="24"/>
      <c r="AD73" s="61" t="s">
        <v>299</v>
      </c>
      <c r="AE73" s="25"/>
      <c r="AF73" s="25"/>
      <c r="AG73" s="25"/>
      <c r="AH73" s="58" t="s">
        <v>115</v>
      </c>
      <c r="AI73" s="58" t="s">
        <v>441</v>
      </c>
      <c r="AJ73" s="58" t="s">
        <v>442</v>
      </c>
      <c r="AK73" s="24"/>
      <c r="AL73" s="24"/>
      <c r="AM73" s="22"/>
    </row>
    <row r="74" spans="1:39" ht="12.75" customHeight="1">
      <c r="A74" s="22">
        <v>72</v>
      </c>
      <c r="B74" s="27" t="s">
        <v>400</v>
      </c>
      <c r="C74" s="22" t="s">
        <v>180</v>
      </c>
      <c r="D74" s="27" t="s">
        <v>417</v>
      </c>
      <c r="E74" s="22"/>
      <c r="F74" s="24">
        <v>1</v>
      </c>
      <c r="G74" s="24" t="s">
        <v>221</v>
      </c>
      <c r="H74" s="24"/>
      <c r="I74" s="22"/>
      <c r="J74" s="22"/>
      <c r="K74" s="29"/>
      <c r="L74" s="29"/>
      <c r="M74" s="29"/>
      <c r="N74" s="29"/>
      <c r="O74" s="27" t="s">
        <v>400</v>
      </c>
      <c r="P74" s="27"/>
      <c r="Q74" s="25"/>
      <c r="R74" s="25"/>
      <c r="S74" s="29"/>
      <c r="T74" s="29"/>
      <c r="U74" s="25"/>
      <c r="V74" s="25"/>
      <c r="W74" s="25"/>
      <c r="X74" s="25"/>
      <c r="Y74" s="25"/>
      <c r="Z74" s="25"/>
      <c r="AA74" s="24"/>
      <c r="AB74" s="24"/>
      <c r="AC74" s="24"/>
      <c r="AD74" s="61" t="s">
        <v>402</v>
      </c>
      <c r="AE74" s="25"/>
      <c r="AF74" s="54">
        <v>63102001</v>
      </c>
      <c r="AG74" s="25"/>
      <c r="AH74" s="58" t="s">
        <v>115</v>
      </c>
      <c r="AI74" s="58" t="s">
        <v>403</v>
      </c>
      <c r="AJ74" s="58" t="s">
        <v>404</v>
      </c>
      <c r="AK74" s="24"/>
      <c r="AL74" s="24"/>
      <c r="AM74" s="22"/>
    </row>
    <row r="75" spans="1:39" ht="12.75" customHeight="1">
      <c r="A75" s="22">
        <v>73</v>
      </c>
      <c r="B75" s="27" t="s">
        <v>443</v>
      </c>
      <c r="C75" s="22" t="s">
        <v>180</v>
      </c>
      <c r="D75" s="27" t="s">
        <v>417</v>
      </c>
      <c r="E75" s="22"/>
      <c r="F75" s="24">
        <v>1</v>
      </c>
      <c r="G75" s="24" t="s">
        <v>221</v>
      </c>
      <c r="H75" s="24"/>
      <c r="I75" s="22"/>
      <c r="J75" s="22"/>
      <c r="K75" s="29"/>
      <c r="L75" s="29"/>
      <c r="M75" s="29"/>
      <c r="N75" s="29"/>
      <c r="O75" s="27" t="s">
        <v>443</v>
      </c>
      <c r="P75" s="27"/>
      <c r="Q75" s="25"/>
      <c r="R75" s="25"/>
      <c r="S75" s="29"/>
      <c r="T75" s="29"/>
      <c r="U75" s="25"/>
      <c r="V75" s="25"/>
      <c r="W75" s="25"/>
      <c r="X75" s="25"/>
      <c r="Y75" s="25"/>
      <c r="Z75" s="25"/>
      <c r="AA75" s="24"/>
      <c r="AB75" s="24"/>
      <c r="AC75" s="24"/>
      <c r="AD75" s="92" t="s">
        <v>445</v>
      </c>
      <c r="AE75" s="93"/>
      <c r="AF75" s="61">
        <v>118215003</v>
      </c>
      <c r="AG75" s="25"/>
      <c r="AH75" s="58" t="s">
        <v>115</v>
      </c>
      <c r="AI75" s="58" t="s">
        <v>446</v>
      </c>
      <c r="AJ75" s="57" t="s">
        <v>447</v>
      </c>
      <c r="AK75" s="24"/>
      <c r="AL75" s="24"/>
      <c r="AM75" s="22"/>
    </row>
    <row r="76" spans="1:39" ht="12.75" customHeight="1">
      <c r="A76" s="22">
        <v>74</v>
      </c>
      <c r="B76" s="27" t="s">
        <v>448</v>
      </c>
      <c r="C76" s="22" t="s">
        <v>180</v>
      </c>
      <c r="D76" s="27" t="s">
        <v>417</v>
      </c>
      <c r="E76" s="22"/>
      <c r="F76" s="24">
        <v>1</v>
      </c>
      <c r="G76" s="24" t="s">
        <v>221</v>
      </c>
      <c r="H76" s="24"/>
      <c r="I76" s="22"/>
      <c r="J76" s="22"/>
      <c r="K76" s="29"/>
      <c r="L76" s="29"/>
      <c r="M76" s="29"/>
      <c r="N76" s="29"/>
      <c r="O76" s="27" t="s">
        <v>448</v>
      </c>
      <c r="P76" s="27"/>
      <c r="Q76" s="25"/>
      <c r="R76" s="25"/>
      <c r="S76" s="29"/>
      <c r="T76" s="29"/>
      <c r="U76" s="25"/>
      <c r="V76" s="25"/>
      <c r="W76" s="25"/>
      <c r="X76" s="25"/>
      <c r="Y76" s="25"/>
      <c r="Z76" s="25"/>
      <c r="AA76" s="24"/>
      <c r="AB76" s="24"/>
      <c r="AC76" s="24"/>
      <c r="AD76" s="25"/>
      <c r="AE76" s="25"/>
      <c r="AF76" s="104">
        <v>247412007</v>
      </c>
      <c r="AG76" s="25"/>
      <c r="AH76" s="58" t="s">
        <v>115</v>
      </c>
      <c r="AI76" s="58" t="s">
        <v>450</v>
      </c>
      <c r="AJ76" s="58" t="s">
        <v>451</v>
      </c>
      <c r="AK76" s="24"/>
      <c r="AL76" s="24"/>
      <c r="AM76" s="22"/>
    </row>
    <row r="77" spans="1:39" ht="12.75" customHeight="1">
      <c r="A77" s="22">
        <v>75</v>
      </c>
      <c r="B77" s="27" t="s">
        <v>452</v>
      </c>
      <c r="C77" s="22" t="s">
        <v>180</v>
      </c>
      <c r="D77" s="27" t="s">
        <v>417</v>
      </c>
      <c r="E77" s="22"/>
      <c r="F77" s="24">
        <v>1</v>
      </c>
      <c r="G77" s="24" t="s">
        <v>221</v>
      </c>
      <c r="H77" s="24"/>
      <c r="I77" s="22"/>
      <c r="J77" s="22"/>
      <c r="K77" s="29"/>
      <c r="L77" s="29"/>
      <c r="M77" s="29"/>
      <c r="N77" s="29"/>
      <c r="O77" s="27" t="s">
        <v>452</v>
      </c>
      <c r="P77" s="27"/>
      <c r="Q77" s="25"/>
      <c r="R77" s="25"/>
      <c r="S77" s="29"/>
      <c r="T77" s="29"/>
      <c r="U77" s="25"/>
      <c r="V77" s="25"/>
      <c r="W77" s="25"/>
      <c r="X77" s="25"/>
      <c r="Y77" s="25"/>
      <c r="Z77" s="25"/>
      <c r="AA77" s="24"/>
      <c r="AB77" s="24"/>
      <c r="AC77" s="24"/>
      <c r="AD77" s="25"/>
      <c r="AE77" s="25"/>
      <c r="AF77" s="104">
        <v>302772006</v>
      </c>
      <c r="AG77" s="25"/>
      <c r="AH77" s="58" t="s">
        <v>115</v>
      </c>
      <c r="AI77" s="58" t="s">
        <v>453</v>
      </c>
      <c r="AJ77" s="58" t="s">
        <v>454</v>
      </c>
      <c r="AK77" s="24"/>
      <c r="AL77" s="24"/>
      <c r="AM77" s="22"/>
    </row>
    <row r="78" spans="1:39" ht="12.75" customHeight="1">
      <c r="A78" s="22">
        <v>76</v>
      </c>
      <c r="B78" s="27" t="s">
        <v>455</v>
      </c>
      <c r="C78" s="22" t="s">
        <v>180</v>
      </c>
      <c r="D78" s="27" t="s">
        <v>417</v>
      </c>
      <c r="E78" s="22"/>
      <c r="F78" s="24">
        <v>1</v>
      </c>
      <c r="G78" s="24" t="s">
        <v>221</v>
      </c>
      <c r="H78" s="24"/>
      <c r="I78" s="22"/>
      <c r="J78" s="22"/>
      <c r="K78" s="29"/>
      <c r="L78" s="29"/>
      <c r="M78" s="29"/>
      <c r="N78" s="29"/>
      <c r="O78" s="27" t="s">
        <v>455</v>
      </c>
      <c r="P78" s="27"/>
      <c r="Q78" s="25"/>
      <c r="R78" s="25"/>
      <c r="S78" s="29"/>
      <c r="T78" s="29"/>
      <c r="U78" s="25"/>
      <c r="V78" s="25"/>
      <c r="W78" s="25"/>
      <c r="X78" s="25"/>
      <c r="Y78" s="25"/>
      <c r="Z78" s="25"/>
      <c r="AA78" s="24"/>
      <c r="AB78" s="24"/>
      <c r="AC78" s="24"/>
      <c r="AD78" s="105" t="s">
        <v>457</v>
      </c>
      <c r="AE78" s="25"/>
      <c r="AF78" s="106">
        <v>14094001</v>
      </c>
      <c r="AG78" s="25"/>
      <c r="AH78" s="58" t="s">
        <v>115</v>
      </c>
      <c r="AI78" s="58" t="s">
        <v>458</v>
      </c>
      <c r="AJ78" s="58" t="s">
        <v>459</v>
      </c>
      <c r="AK78" s="24"/>
      <c r="AL78" s="24"/>
      <c r="AM78" s="22"/>
    </row>
    <row r="79" spans="1:39" ht="12.75" customHeight="1">
      <c r="A79" s="22">
        <v>77</v>
      </c>
      <c r="B79" s="27" t="s">
        <v>460</v>
      </c>
      <c r="C79" s="22" t="s">
        <v>180</v>
      </c>
      <c r="D79" s="27" t="s">
        <v>417</v>
      </c>
      <c r="E79" s="22"/>
      <c r="F79" s="24">
        <v>1</v>
      </c>
      <c r="G79" s="24" t="s">
        <v>221</v>
      </c>
      <c r="H79" s="24"/>
      <c r="I79" s="22"/>
      <c r="J79" s="22"/>
      <c r="K79" s="29"/>
      <c r="L79" s="29"/>
      <c r="M79" s="29"/>
      <c r="N79" s="29"/>
      <c r="O79" s="27" t="s">
        <v>460</v>
      </c>
      <c r="P79" s="27"/>
      <c r="Q79" s="25"/>
      <c r="R79" s="25"/>
      <c r="S79" s="29"/>
      <c r="T79" s="29"/>
      <c r="U79" s="25"/>
      <c r="V79" s="25"/>
      <c r="W79" s="25"/>
      <c r="X79" s="25"/>
      <c r="Y79" s="25"/>
      <c r="Z79" s="25"/>
      <c r="AA79" s="24"/>
      <c r="AB79" s="24"/>
      <c r="AC79" s="24"/>
      <c r="AD79" s="105" t="s">
        <v>351</v>
      </c>
      <c r="AE79" s="25"/>
      <c r="AF79" s="104">
        <v>76948002</v>
      </c>
      <c r="AG79" s="25"/>
      <c r="AH79" s="58" t="s">
        <v>115</v>
      </c>
      <c r="AI79" s="58" t="s">
        <v>462</v>
      </c>
      <c r="AJ79" s="58" t="s">
        <v>463</v>
      </c>
      <c r="AK79" s="24"/>
      <c r="AL79" s="24"/>
      <c r="AM79" s="22"/>
    </row>
    <row r="80" spans="1:39" ht="12.75" customHeight="1">
      <c r="A80" s="22">
        <v>78</v>
      </c>
      <c r="B80" s="27" t="s">
        <v>464</v>
      </c>
      <c r="C80" s="22" t="s">
        <v>180</v>
      </c>
      <c r="D80" s="27" t="s">
        <v>417</v>
      </c>
      <c r="E80" s="22"/>
      <c r="F80" s="24">
        <v>1</v>
      </c>
      <c r="G80" s="24" t="s">
        <v>221</v>
      </c>
      <c r="H80" s="24"/>
      <c r="I80" s="22"/>
      <c r="J80" s="22"/>
      <c r="K80" s="29"/>
      <c r="L80" s="29"/>
      <c r="M80" s="29"/>
      <c r="N80" s="29"/>
      <c r="O80" s="27" t="s">
        <v>464</v>
      </c>
      <c r="P80" s="27"/>
      <c r="Q80" s="25"/>
      <c r="R80" s="25"/>
      <c r="S80" s="29"/>
      <c r="T80" s="29"/>
      <c r="U80" s="25"/>
      <c r="V80" s="25"/>
      <c r="W80" s="25"/>
      <c r="X80" s="25"/>
      <c r="Y80" s="25"/>
      <c r="Z80" s="25"/>
      <c r="AA80" s="24"/>
      <c r="AB80" s="24"/>
      <c r="AC80" s="24"/>
      <c r="AD80" s="76"/>
      <c r="AE80" s="76"/>
      <c r="AF80" s="76"/>
      <c r="AG80" s="25"/>
      <c r="AH80" s="58" t="s">
        <v>115</v>
      </c>
      <c r="AI80" s="58" t="s">
        <v>465</v>
      </c>
      <c r="AJ80" s="78" t="s">
        <v>466</v>
      </c>
      <c r="AK80" s="24"/>
      <c r="AL80" s="24"/>
      <c r="AM80" s="22"/>
    </row>
    <row r="81" spans="1:39" ht="12.75" customHeight="1">
      <c r="A81" s="22">
        <v>79</v>
      </c>
      <c r="B81" s="27" t="s">
        <v>467</v>
      </c>
      <c r="C81" s="22" t="s">
        <v>180</v>
      </c>
      <c r="D81" s="27" t="s">
        <v>417</v>
      </c>
      <c r="E81" s="22"/>
      <c r="F81" s="24">
        <v>1</v>
      </c>
      <c r="G81" s="24" t="s">
        <v>221</v>
      </c>
      <c r="H81" s="24"/>
      <c r="I81" s="22"/>
      <c r="J81" s="22"/>
      <c r="K81" s="29"/>
      <c r="L81" s="29"/>
      <c r="M81" s="29"/>
      <c r="N81" s="29"/>
      <c r="O81" s="27" t="s">
        <v>467</v>
      </c>
      <c r="P81" s="27"/>
      <c r="Q81" s="25"/>
      <c r="R81" s="25"/>
      <c r="S81" s="29"/>
      <c r="T81" s="29"/>
      <c r="U81" s="25"/>
      <c r="V81" s="25"/>
      <c r="W81" s="25"/>
      <c r="X81" s="25"/>
      <c r="Y81" s="25"/>
      <c r="Z81" s="25"/>
      <c r="AA81" s="24"/>
      <c r="AB81" s="24"/>
      <c r="AC81" s="24"/>
      <c r="AD81" s="105" t="s">
        <v>469</v>
      </c>
      <c r="AE81" s="25"/>
      <c r="AF81" s="106">
        <v>418107008</v>
      </c>
      <c r="AG81" s="25"/>
      <c r="AH81" s="58" t="s">
        <v>115</v>
      </c>
      <c r="AI81" s="58" t="s">
        <v>470</v>
      </c>
      <c r="AJ81" s="58" t="s">
        <v>471</v>
      </c>
      <c r="AK81" s="24"/>
      <c r="AL81" s="24"/>
      <c r="AM81" s="22"/>
    </row>
    <row r="82" spans="1:39" ht="12.75" customHeight="1">
      <c r="A82" s="22">
        <v>80</v>
      </c>
      <c r="B82" s="27" t="s">
        <v>472</v>
      </c>
      <c r="C82" s="22" t="s">
        <v>96</v>
      </c>
      <c r="D82" s="22"/>
      <c r="E82" s="22"/>
      <c r="F82" s="24">
        <v>1</v>
      </c>
      <c r="G82" s="24" t="s">
        <v>221</v>
      </c>
      <c r="H82" s="24"/>
      <c r="I82" s="22"/>
      <c r="J82" s="22"/>
      <c r="K82" s="27" t="s">
        <v>472</v>
      </c>
      <c r="L82" s="27" t="s">
        <v>473</v>
      </c>
      <c r="M82" s="27" t="s">
        <v>474</v>
      </c>
      <c r="N82" s="27" t="s">
        <v>202</v>
      </c>
      <c r="O82" s="27"/>
      <c r="P82" s="27"/>
      <c r="Q82" s="25"/>
      <c r="R82" s="25"/>
      <c r="S82" s="27" t="s">
        <v>113</v>
      </c>
      <c r="T82" s="55" t="s">
        <v>208</v>
      </c>
      <c r="U82" s="25"/>
      <c r="V82" s="25"/>
      <c r="W82" s="25"/>
      <c r="X82" s="25"/>
      <c r="Y82" s="25"/>
      <c r="Z82" s="25"/>
      <c r="AA82" s="24"/>
      <c r="AB82" s="24"/>
      <c r="AC82" s="24"/>
      <c r="AD82" s="25"/>
      <c r="AE82" s="25"/>
      <c r="AF82" s="105">
        <v>260870009</v>
      </c>
      <c r="AG82" s="25"/>
      <c r="AH82" s="58" t="s">
        <v>475</v>
      </c>
      <c r="AI82" s="58" t="s">
        <v>476</v>
      </c>
      <c r="AJ82" s="58" t="s">
        <v>477</v>
      </c>
      <c r="AK82" s="24"/>
      <c r="AL82" s="24"/>
      <c r="AM82" s="22"/>
    </row>
    <row r="83" spans="1:39" ht="12.75" customHeight="1">
      <c r="A83" s="22">
        <v>81</v>
      </c>
      <c r="B83" s="27" t="s">
        <v>478</v>
      </c>
      <c r="C83" s="22" t="s">
        <v>180</v>
      </c>
      <c r="D83" s="27" t="s">
        <v>472</v>
      </c>
      <c r="E83" s="22"/>
      <c r="F83" s="24">
        <v>1</v>
      </c>
      <c r="G83" s="24" t="s">
        <v>221</v>
      </c>
      <c r="H83" s="24"/>
      <c r="I83" s="22"/>
      <c r="J83" s="22"/>
      <c r="K83" s="27"/>
      <c r="L83" s="27"/>
      <c r="M83" s="27"/>
      <c r="N83" s="29"/>
      <c r="O83" s="27" t="s">
        <v>478</v>
      </c>
      <c r="P83" s="27"/>
      <c r="Q83" s="25"/>
      <c r="R83" s="25"/>
      <c r="S83" s="27"/>
      <c r="T83" s="55"/>
      <c r="U83" s="25"/>
      <c r="V83" s="25"/>
      <c r="W83" s="25"/>
      <c r="X83" s="25"/>
      <c r="Y83" s="25"/>
      <c r="Z83" s="25"/>
      <c r="AA83" s="24"/>
      <c r="AB83" s="24"/>
      <c r="AC83" s="24"/>
      <c r="AD83" s="25"/>
      <c r="AE83" s="25"/>
      <c r="AF83" s="104">
        <v>103391001</v>
      </c>
      <c r="AG83" s="25"/>
      <c r="AH83" s="58" t="s">
        <v>115</v>
      </c>
      <c r="AI83" s="58" t="s">
        <v>480</v>
      </c>
      <c r="AJ83" s="58" t="s">
        <v>481</v>
      </c>
      <c r="AK83" s="24"/>
      <c r="AL83" s="24"/>
      <c r="AM83" s="22"/>
    </row>
    <row r="84" spans="1:39" ht="12.75" customHeight="1">
      <c r="A84" s="22">
        <v>82</v>
      </c>
      <c r="B84" s="27" t="s">
        <v>482</v>
      </c>
      <c r="C84" s="22" t="s">
        <v>180</v>
      </c>
      <c r="D84" s="27" t="s">
        <v>472</v>
      </c>
      <c r="E84" s="22"/>
      <c r="F84" s="24">
        <v>1</v>
      </c>
      <c r="G84" s="24" t="s">
        <v>221</v>
      </c>
      <c r="H84" s="24"/>
      <c r="I84" s="22"/>
      <c r="J84" s="22"/>
      <c r="K84" s="27"/>
      <c r="L84" s="27"/>
      <c r="M84" s="27"/>
      <c r="N84" s="29"/>
      <c r="O84" s="27" t="s">
        <v>482</v>
      </c>
      <c r="P84" s="27"/>
      <c r="Q84" s="25"/>
      <c r="R84" s="25"/>
      <c r="S84" s="27"/>
      <c r="T84" s="55"/>
      <c r="U84" s="25"/>
      <c r="V84" s="25"/>
      <c r="W84" s="25"/>
      <c r="X84" s="25"/>
      <c r="Y84" s="25"/>
      <c r="Z84" s="25"/>
      <c r="AA84" s="24"/>
      <c r="AB84" s="24"/>
      <c r="AC84" s="24"/>
      <c r="AD84" s="76"/>
      <c r="AE84" s="76"/>
      <c r="AF84" s="76"/>
      <c r="AG84" s="25"/>
      <c r="AH84" s="58" t="s">
        <v>115</v>
      </c>
      <c r="AI84" s="58" t="s">
        <v>483</v>
      </c>
      <c r="AJ84" s="103" t="s">
        <v>484</v>
      </c>
      <c r="AK84" s="24"/>
      <c r="AL84" s="24"/>
      <c r="AM84" s="22"/>
    </row>
    <row r="85" spans="1:39" ht="12.75" customHeight="1">
      <c r="A85" s="22">
        <v>83</v>
      </c>
      <c r="B85" s="27" t="s">
        <v>485</v>
      </c>
      <c r="C85" s="22" t="s">
        <v>96</v>
      </c>
      <c r="D85" s="22"/>
      <c r="E85" s="22"/>
      <c r="F85" s="24">
        <v>1</v>
      </c>
      <c r="G85" s="24" t="s">
        <v>221</v>
      </c>
      <c r="H85" s="24"/>
      <c r="I85" s="22"/>
      <c r="J85" s="22"/>
      <c r="K85" s="27" t="s">
        <v>485</v>
      </c>
      <c r="L85" s="27" t="s">
        <v>486</v>
      </c>
      <c r="M85" s="27" t="s">
        <v>487</v>
      </c>
      <c r="N85" s="27" t="s">
        <v>202</v>
      </c>
      <c r="O85" s="27"/>
      <c r="P85" s="27"/>
      <c r="Q85" s="25"/>
      <c r="R85" s="25"/>
      <c r="S85" s="27" t="s">
        <v>113</v>
      </c>
      <c r="T85" s="27" t="s">
        <v>208</v>
      </c>
      <c r="U85" s="25"/>
      <c r="V85" s="25"/>
      <c r="W85" s="25"/>
      <c r="X85" s="25"/>
      <c r="Y85" s="25"/>
      <c r="Z85" s="25"/>
      <c r="AA85" s="24"/>
      <c r="AB85" s="24"/>
      <c r="AC85" s="24"/>
      <c r="AD85" s="76"/>
      <c r="AE85" s="76"/>
      <c r="AF85" s="76"/>
      <c r="AG85" s="25"/>
      <c r="AH85" s="58" t="s">
        <v>115</v>
      </c>
      <c r="AI85" s="58" t="s">
        <v>489</v>
      </c>
      <c r="AJ85" s="103" t="s">
        <v>490</v>
      </c>
      <c r="AK85" s="24"/>
      <c r="AL85" s="24"/>
      <c r="AM85" s="22"/>
    </row>
    <row r="86" spans="1:39" ht="12.75" customHeight="1">
      <c r="A86" s="22">
        <v>84</v>
      </c>
      <c r="B86" s="27" t="s">
        <v>113</v>
      </c>
      <c r="C86" s="22" t="s">
        <v>180</v>
      </c>
      <c r="D86" s="27" t="s">
        <v>485</v>
      </c>
      <c r="E86" s="22"/>
      <c r="F86" s="24">
        <v>1</v>
      </c>
      <c r="G86" s="24" t="s">
        <v>221</v>
      </c>
      <c r="H86" s="24"/>
      <c r="I86" s="22"/>
      <c r="J86" s="22"/>
      <c r="K86" s="27"/>
      <c r="L86" s="27"/>
      <c r="M86" s="25"/>
      <c r="N86" s="29"/>
      <c r="O86" s="27" t="s">
        <v>113</v>
      </c>
      <c r="P86" s="27"/>
      <c r="Q86" s="25"/>
      <c r="R86" s="25"/>
      <c r="S86" s="27"/>
      <c r="T86" s="27"/>
      <c r="U86" s="25"/>
      <c r="V86" s="25"/>
      <c r="W86" s="25"/>
      <c r="X86" s="25"/>
      <c r="Y86" s="25"/>
      <c r="Z86" s="25"/>
      <c r="AA86" s="24"/>
      <c r="AB86" s="24"/>
      <c r="AC86" s="24"/>
      <c r="AD86" s="25"/>
      <c r="AE86" s="25"/>
      <c r="AF86" s="53">
        <v>373066001</v>
      </c>
      <c r="AG86" s="25"/>
      <c r="AH86" s="58" t="s">
        <v>115</v>
      </c>
      <c r="AI86" s="58" t="s">
        <v>206</v>
      </c>
      <c r="AJ86" s="58" t="s">
        <v>207</v>
      </c>
      <c r="AK86" s="24"/>
      <c r="AL86" s="24"/>
      <c r="AM86" s="22"/>
    </row>
    <row r="87" spans="1:39" ht="12.75" customHeight="1">
      <c r="A87" s="22">
        <v>85</v>
      </c>
      <c r="B87" s="27" t="s">
        <v>208</v>
      </c>
      <c r="C87" s="22" t="s">
        <v>180</v>
      </c>
      <c r="D87" s="27" t="s">
        <v>485</v>
      </c>
      <c r="E87" s="22"/>
      <c r="F87" s="24">
        <v>1</v>
      </c>
      <c r="G87" s="24" t="s">
        <v>221</v>
      </c>
      <c r="H87" s="24"/>
      <c r="I87" s="22"/>
      <c r="J87" s="22"/>
      <c r="K87" s="27"/>
      <c r="L87" s="27"/>
      <c r="M87" s="25"/>
      <c r="N87" s="29"/>
      <c r="O87" s="27" t="s">
        <v>208</v>
      </c>
      <c r="P87" s="27"/>
      <c r="Q87" s="25"/>
      <c r="R87" s="25"/>
      <c r="S87" s="27"/>
      <c r="T87" s="27"/>
      <c r="U87" s="25"/>
      <c r="V87" s="25"/>
      <c r="W87" s="25"/>
      <c r="X87" s="25"/>
      <c r="Y87" s="25"/>
      <c r="Z87" s="25"/>
      <c r="AA87" s="24"/>
      <c r="AB87" s="24"/>
      <c r="AC87" s="24"/>
      <c r="AD87" s="25"/>
      <c r="AE87" s="25"/>
      <c r="AF87" s="54">
        <v>373067005</v>
      </c>
      <c r="AG87" s="25"/>
      <c r="AH87" s="58" t="s">
        <v>115</v>
      </c>
      <c r="AI87" s="58" t="s">
        <v>209</v>
      </c>
      <c r="AJ87" s="58" t="s">
        <v>210</v>
      </c>
      <c r="AK87" s="24"/>
      <c r="AL87" s="24"/>
      <c r="AM87" s="22"/>
    </row>
    <row r="88" spans="1:39" ht="12.75" customHeight="1">
      <c r="A88" s="22">
        <v>86</v>
      </c>
      <c r="B88" s="22" t="s">
        <v>492</v>
      </c>
      <c r="C88" s="22" t="s">
        <v>96</v>
      </c>
      <c r="D88" s="22"/>
      <c r="E88" s="22" t="s">
        <v>493</v>
      </c>
      <c r="F88" s="24">
        <v>1</v>
      </c>
      <c r="G88" s="24" t="s">
        <v>494</v>
      </c>
      <c r="H88" s="24"/>
      <c r="I88" s="22"/>
      <c r="J88" s="22"/>
      <c r="K88" s="22" t="s">
        <v>492</v>
      </c>
      <c r="L88" s="22" t="s">
        <v>495</v>
      </c>
      <c r="M88" s="22" t="s">
        <v>496</v>
      </c>
      <c r="N88" s="22" t="s">
        <v>202</v>
      </c>
      <c r="O88" s="22"/>
      <c r="P88" s="22"/>
      <c r="Q88" s="22"/>
      <c r="R88" s="24"/>
      <c r="S88" s="24"/>
      <c r="T88" s="22" t="s">
        <v>113</v>
      </c>
      <c r="U88" s="24"/>
      <c r="V88" s="24"/>
      <c r="W88" s="24"/>
      <c r="X88" s="24"/>
      <c r="Y88" s="24"/>
      <c r="Z88" s="24"/>
      <c r="AA88" s="22"/>
      <c r="AB88" s="24"/>
      <c r="AC88" s="24"/>
      <c r="AD88" s="111"/>
      <c r="AE88" s="112"/>
      <c r="AF88" s="113">
        <v>105421008</v>
      </c>
      <c r="AG88" s="114"/>
      <c r="AH88" s="115" t="s">
        <v>115</v>
      </c>
      <c r="AI88" s="115" t="s">
        <v>497</v>
      </c>
      <c r="AJ88" s="115" t="s">
        <v>498</v>
      </c>
      <c r="AK88" s="22"/>
      <c r="AL88" s="22"/>
      <c r="AM88" s="22"/>
    </row>
    <row r="89" spans="1:39" ht="12.75" customHeight="1">
      <c r="A89" s="22">
        <v>87</v>
      </c>
      <c r="B89" s="22" t="s">
        <v>423</v>
      </c>
      <c r="C89" s="22" t="s">
        <v>180</v>
      </c>
      <c r="D89" s="22" t="s">
        <v>492</v>
      </c>
      <c r="E89" s="22" t="s">
        <v>493</v>
      </c>
      <c r="F89" s="24">
        <v>1</v>
      </c>
      <c r="G89" s="24" t="s">
        <v>494</v>
      </c>
      <c r="H89" s="24"/>
      <c r="I89" s="22"/>
      <c r="J89" s="22"/>
      <c r="K89" s="22"/>
      <c r="L89" s="22"/>
      <c r="M89" s="22"/>
      <c r="N89" s="22"/>
      <c r="O89" s="22" t="s">
        <v>423</v>
      </c>
      <c r="P89" s="22"/>
      <c r="Q89" s="22"/>
      <c r="R89" s="24"/>
      <c r="S89" s="24"/>
      <c r="T89" s="22"/>
      <c r="U89" s="24"/>
      <c r="V89" s="24"/>
      <c r="W89" s="24"/>
      <c r="X89" s="24"/>
      <c r="Y89" s="24"/>
      <c r="Z89" s="24"/>
      <c r="AA89" s="22"/>
      <c r="AB89" s="24"/>
      <c r="AC89" s="24"/>
      <c r="AD89" s="111"/>
      <c r="AE89" s="112"/>
      <c r="AF89" s="113">
        <v>260413007</v>
      </c>
      <c r="AG89" s="114"/>
      <c r="AH89" s="115" t="s">
        <v>115</v>
      </c>
      <c r="AI89" s="115" t="s">
        <v>424</v>
      </c>
      <c r="AJ89" s="115" t="s">
        <v>425</v>
      </c>
      <c r="AK89" s="22"/>
      <c r="AL89" s="22"/>
      <c r="AM89" s="22"/>
    </row>
    <row r="90" spans="1:39" ht="12.75" customHeight="1">
      <c r="A90" s="22">
        <v>88</v>
      </c>
      <c r="B90" s="22" t="s">
        <v>500</v>
      </c>
      <c r="C90" s="22" t="s">
        <v>180</v>
      </c>
      <c r="D90" s="22" t="s">
        <v>492</v>
      </c>
      <c r="E90" s="22" t="s">
        <v>493</v>
      </c>
      <c r="F90" s="24">
        <v>1</v>
      </c>
      <c r="G90" s="24" t="s">
        <v>494</v>
      </c>
      <c r="H90" s="24"/>
      <c r="I90" s="22"/>
      <c r="J90" s="22"/>
      <c r="K90" s="22"/>
      <c r="L90" s="22"/>
      <c r="M90" s="22"/>
      <c r="N90" s="22"/>
      <c r="O90" s="22" t="s">
        <v>500</v>
      </c>
      <c r="P90" s="22"/>
      <c r="Q90" s="22"/>
      <c r="R90" s="24"/>
      <c r="S90" s="24"/>
      <c r="T90" s="22"/>
      <c r="U90" s="24"/>
      <c r="V90" s="24"/>
      <c r="W90" s="24"/>
      <c r="X90" s="24"/>
      <c r="Y90" s="24"/>
      <c r="Z90" s="24"/>
      <c r="AA90" s="22"/>
      <c r="AB90" s="24"/>
      <c r="AC90" s="24"/>
      <c r="AD90" s="111"/>
      <c r="AE90" s="112"/>
      <c r="AF90" s="113">
        <v>261665006</v>
      </c>
      <c r="AG90" s="114"/>
      <c r="AH90" s="115" t="s">
        <v>115</v>
      </c>
      <c r="AI90" s="115" t="s">
        <v>501</v>
      </c>
      <c r="AJ90" s="115" t="s">
        <v>503</v>
      </c>
      <c r="AK90" s="22"/>
      <c r="AL90" s="22"/>
      <c r="AM90" s="22"/>
    </row>
    <row r="91" spans="1:39" ht="12.75" customHeight="1">
      <c r="A91" s="22">
        <v>89</v>
      </c>
      <c r="B91" s="22" t="s">
        <v>504</v>
      </c>
      <c r="C91" s="22" t="s">
        <v>180</v>
      </c>
      <c r="D91" s="22" t="s">
        <v>492</v>
      </c>
      <c r="E91" s="22" t="s">
        <v>493</v>
      </c>
      <c r="F91" s="24">
        <v>1</v>
      </c>
      <c r="G91" s="24" t="s">
        <v>494</v>
      </c>
      <c r="H91" s="24"/>
      <c r="I91" s="22"/>
      <c r="J91" s="22"/>
      <c r="K91" s="22"/>
      <c r="L91" s="22"/>
      <c r="M91" s="22"/>
      <c r="N91" s="22"/>
      <c r="O91" s="22" t="s">
        <v>504</v>
      </c>
      <c r="P91" s="22"/>
      <c r="Q91" s="22"/>
      <c r="R91" s="24"/>
      <c r="S91" s="24"/>
      <c r="T91" s="22"/>
      <c r="U91" s="24"/>
      <c r="V91" s="24"/>
      <c r="W91" s="24"/>
      <c r="X91" s="24"/>
      <c r="Y91" s="24"/>
      <c r="Z91" s="24"/>
      <c r="AA91" s="22"/>
      <c r="AB91" s="24"/>
      <c r="AC91" s="24"/>
      <c r="AD91" s="111"/>
      <c r="AE91" s="112"/>
      <c r="AF91" s="113">
        <v>224295006</v>
      </c>
      <c r="AG91" s="114"/>
      <c r="AH91" s="115" t="s">
        <v>115</v>
      </c>
      <c r="AI91" s="115" t="s">
        <v>505</v>
      </c>
      <c r="AJ91" s="115" t="s">
        <v>506</v>
      </c>
      <c r="AK91" s="22"/>
      <c r="AL91" s="22"/>
      <c r="AM91" s="22"/>
    </row>
    <row r="92" spans="1:39" ht="12.75" customHeight="1">
      <c r="A92" s="22">
        <v>90</v>
      </c>
      <c r="B92" s="22" t="s">
        <v>507</v>
      </c>
      <c r="C92" s="22" t="s">
        <v>180</v>
      </c>
      <c r="D92" s="22" t="s">
        <v>492</v>
      </c>
      <c r="E92" s="22" t="s">
        <v>493</v>
      </c>
      <c r="F92" s="24">
        <v>1</v>
      </c>
      <c r="G92" s="24" t="s">
        <v>494</v>
      </c>
      <c r="H92" s="24"/>
      <c r="I92" s="22"/>
      <c r="J92" s="22"/>
      <c r="K92" s="22"/>
      <c r="L92" s="22"/>
      <c r="M92" s="22"/>
      <c r="N92" s="22"/>
      <c r="O92" s="22" t="s">
        <v>507</v>
      </c>
      <c r="P92" s="22"/>
      <c r="Q92" s="22"/>
      <c r="R92" s="24"/>
      <c r="S92" s="24"/>
      <c r="T92" s="22"/>
      <c r="U92" s="24"/>
      <c r="V92" s="24"/>
      <c r="W92" s="24"/>
      <c r="X92" s="24"/>
      <c r="Y92" s="24"/>
      <c r="Z92" s="24"/>
      <c r="AA92" s="22"/>
      <c r="AB92" s="24"/>
      <c r="AC92" s="24"/>
      <c r="AD92" s="111"/>
      <c r="AE92" s="112"/>
      <c r="AF92" s="25">
        <v>224297003</v>
      </c>
      <c r="AG92" s="114"/>
      <c r="AH92" s="115" t="s">
        <v>115</v>
      </c>
      <c r="AI92" s="115" t="s">
        <v>509</v>
      </c>
      <c r="AJ92" s="115" t="s">
        <v>510</v>
      </c>
      <c r="AK92" s="22"/>
      <c r="AL92" s="22"/>
      <c r="AM92" s="22"/>
    </row>
    <row r="93" spans="1:39" ht="12.75" customHeight="1">
      <c r="A93" s="22">
        <v>91</v>
      </c>
      <c r="B93" s="22" t="s">
        <v>511</v>
      </c>
      <c r="C93" s="22" t="s">
        <v>180</v>
      </c>
      <c r="D93" s="22" t="s">
        <v>492</v>
      </c>
      <c r="E93" s="22" t="s">
        <v>493</v>
      </c>
      <c r="F93" s="24">
        <v>1</v>
      </c>
      <c r="G93" s="24" t="s">
        <v>494</v>
      </c>
      <c r="H93" s="24"/>
      <c r="I93" s="22"/>
      <c r="J93" s="22"/>
      <c r="K93" s="22"/>
      <c r="L93" s="22"/>
      <c r="M93" s="22"/>
      <c r="N93" s="22"/>
      <c r="O93" s="22" t="s">
        <v>511</v>
      </c>
      <c r="P93" s="22"/>
      <c r="Q93" s="22"/>
      <c r="R93" s="24"/>
      <c r="S93" s="24"/>
      <c r="T93" s="22"/>
      <c r="U93" s="24"/>
      <c r="V93" s="24"/>
      <c r="W93" s="24"/>
      <c r="X93" s="24"/>
      <c r="Y93" s="24"/>
      <c r="Z93" s="24"/>
      <c r="AA93" s="22"/>
      <c r="AB93" s="24"/>
      <c r="AC93" s="24"/>
      <c r="AD93" s="111"/>
      <c r="AE93" s="112"/>
      <c r="AF93" s="25" t="s">
        <v>513</v>
      </c>
      <c r="AG93" s="114"/>
      <c r="AH93" s="115" t="s">
        <v>115</v>
      </c>
      <c r="AI93" s="115" t="s">
        <v>514</v>
      </c>
      <c r="AJ93" s="115" t="s">
        <v>515</v>
      </c>
      <c r="AK93" s="22"/>
      <c r="AL93" s="22"/>
      <c r="AM93" s="22"/>
    </row>
    <row r="94" spans="1:39" ht="12.75" customHeight="1">
      <c r="A94" s="22">
        <v>92</v>
      </c>
      <c r="B94" s="22" t="s">
        <v>516</v>
      </c>
      <c r="C94" s="22" t="s">
        <v>96</v>
      </c>
      <c r="D94" s="22"/>
      <c r="E94" s="22" t="s">
        <v>493</v>
      </c>
      <c r="F94" s="24">
        <v>1</v>
      </c>
      <c r="G94" s="24" t="s">
        <v>494</v>
      </c>
      <c r="H94" s="24"/>
      <c r="I94" s="22"/>
      <c r="J94" s="22"/>
      <c r="K94" s="22" t="s">
        <v>516</v>
      </c>
      <c r="L94" s="22" t="s">
        <v>517</v>
      </c>
      <c r="M94" s="22" t="s">
        <v>518</v>
      </c>
      <c r="N94" s="22" t="s">
        <v>238</v>
      </c>
      <c r="O94" s="22"/>
      <c r="P94" s="22"/>
      <c r="Q94" s="22"/>
      <c r="R94" s="24"/>
      <c r="S94" s="24"/>
      <c r="T94" s="22" t="s">
        <v>113</v>
      </c>
      <c r="U94" s="24"/>
      <c r="V94" s="24"/>
      <c r="W94" s="24"/>
      <c r="X94" s="24"/>
      <c r="Y94" s="24"/>
      <c r="Z94" s="24"/>
      <c r="AA94" s="22"/>
      <c r="AB94" s="24"/>
      <c r="AC94" s="24"/>
      <c r="AD94" s="111"/>
      <c r="AE94" s="112"/>
      <c r="AF94" s="113">
        <v>14679004</v>
      </c>
      <c r="AG94" s="114"/>
      <c r="AH94" s="115" t="s">
        <v>115</v>
      </c>
      <c r="AI94" s="116" t="s">
        <v>519</v>
      </c>
      <c r="AJ94" s="115" t="s">
        <v>521</v>
      </c>
      <c r="AK94" s="22"/>
      <c r="AL94" s="22"/>
      <c r="AM94" s="22"/>
    </row>
    <row r="95" spans="1:39" ht="15" customHeight="1">
      <c r="A95" s="22">
        <v>93</v>
      </c>
      <c r="B95" s="22" t="s">
        <v>522</v>
      </c>
      <c r="C95" s="22" t="s">
        <v>180</v>
      </c>
      <c r="D95" s="22" t="s">
        <v>516</v>
      </c>
      <c r="E95" s="22" t="s">
        <v>493</v>
      </c>
      <c r="F95" s="24">
        <v>1</v>
      </c>
      <c r="G95" s="24" t="s">
        <v>494</v>
      </c>
      <c r="H95" s="24"/>
      <c r="I95" s="22"/>
      <c r="J95" s="22"/>
      <c r="K95" s="22"/>
      <c r="L95" s="22"/>
      <c r="M95" s="22"/>
      <c r="N95" s="22"/>
      <c r="O95" s="22" t="s">
        <v>522</v>
      </c>
      <c r="P95" s="22"/>
      <c r="Q95" s="22"/>
      <c r="R95" s="24"/>
      <c r="S95" s="24"/>
      <c r="T95" s="22"/>
      <c r="U95" s="24"/>
      <c r="V95" s="24"/>
      <c r="W95" s="24"/>
      <c r="X95" s="24"/>
      <c r="Y95" s="24"/>
      <c r="Z95" s="24"/>
      <c r="AA95" s="22"/>
      <c r="AB95" s="24"/>
      <c r="AC95" s="24"/>
      <c r="AD95" s="117"/>
      <c r="AE95" s="112"/>
      <c r="AF95" s="118">
        <v>65853000</v>
      </c>
      <c r="AG95" s="114"/>
      <c r="AH95" s="115" t="s">
        <v>115</v>
      </c>
      <c r="AI95" s="116" t="s">
        <v>524</v>
      </c>
      <c r="AJ95" s="115" t="s">
        <v>525</v>
      </c>
      <c r="AK95" s="22"/>
      <c r="AL95" s="22"/>
      <c r="AM95" s="22"/>
    </row>
    <row r="96" spans="1:39" ht="15" customHeight="1">
      <c r="A96" s="22">
        <v>94</v>
      </c>
      <c r="B96" s="22" t="s">
        <v>526</v>
      </c>
      <c r="C96" s="22" t="s">
        <v>180</v>
      </c>
      <c r="D96" s="22" t="s">
        <v>516</v>
      </c>
      <c r="E96" s="22" t="s">
        <v>493</v>
      </c>
      <c r="F96" s="24">
        <v>1</v>
      </c>
      <c r="G96" s="24" t="s">
        <v>494</v>
      </c>
      <c r="H96" s="24"/>
      <c r="I96" s="22"/>
      <c r="J96" s="22"/>
      <c r="K96" s="22"/>
      <c r="L96" s="22"/>
      <c r="M96" s="22"/>
      <c r="N96" s="22"/>
      <c r="O96" s="22" t="s">
        <v>526</v>
      </c>
      <c r="P96" s="22"/>
      <c r="Q96" s="22"/>
      <c r="R96" s="24"/>
      <c r="S96" s="24"/>
      <c r="T96" s="22"/>
      <c r="U96" s="24"/>
      <c r="V96" s="24"/>
      <c r="W96" s="24"/>
      <c r="X96" s="24"/>
      <c r="Y96" s="24"/>
      <c r="Z96" s="24"/>
      <c r="AA96" s="22"/>
      <c r="AB96" s="24"/>
      <c r="AC96" s="24"/>
      <c r="AD96" s="117" t="s">
        <v>527</v>
      </c>
      <c r="AE96" s="112"/>
      <c r="AF96" s="118">
        <v>73438004</v>
      </c>
      <c r="AG96" s="111"/>
      <c r="AH96" s="115" t="s">
        <v>115</v>
      </c>
      <c r="AI96" s="116" t="s">
        <v>528</v>
      </c>
      <c r="AJ96" s="115" t="s">
        <v>529</v>
      </c>
      <c r="AK96" s="22"/>
      <c r="AL96" s="22"/>
      <c r="AM96" s="22"/>
    </row>
    <row r="97" spans="1:39" ht="12.75" customHeight="1">
      <c r="A97" s="22">
        <v>95</v>
      </c>
      <c r="B97" s="22" t="s">
        <v>530</v>
      </c>
      <c r="C97" s="22" t="s">
        <v>180</v>
      </c>
      <c r="D97" s="22" t="s">
        <v>516</v>
      </c>
      <c r="E97" s="22" t="s">
        <v>493</v>
      </c>
      <c r="F97" s="24">
        <v>1</v>
      </c>
      <c r="G97" s="24" t="s">
        <v>494</v>
      </c>
      <c r="H97" s="24"/>
      <c r="I97" s="22"/>
      <c r="J97" s="22"/>
      <c r="K97" s="22"/>
      <c r="L97" s="22"/>
      <c r="M97" s="22"/>
      <c r="N97" s="22"/>
      <c r="O97" s="22" t="s">
        <v>530</v>
      </c>
      <c r="P97" s="22"/>
      <c r="Q97" s="22"/>
      <c r="R97" s="24"/>
      <c r="S97" s="24"/>
      <c r="T97" s="22"/>
      <c r="U97" s="24"/>
      <c r="V97" s="24"/>
      <c r="W97" s="24"/>
      <c r="X97" s="24"/>
      <c r="Y97" s="24"/>
      <c r="Z97" s="24"/>
      <c r="AA97" s="22"/>
      <c r="AB97" s="24"/>
      <c r="AC97" s="24"/>
      <c r="AD97" s="119"/>
      <c r="AE97" s="119"/>
      <c r="AF97" s="120"/>
      <c r="AG97" s="111"/>
      <c r="AH97" s="115" t="s">
        <v>115</v>
      </c>
      <c r="AI97" s="115" t="s">
        <v>532</v>
      </c>
      <c r="AJ97" s="115" t="s">
        <v>533</v>
      </c>
      <c r="AK97" s="22"/>
      <c r="AL97" s="22"/>
      <c r="AM97" s="22"/>
    </row>
    <row r="98" spans="1:39" ht="12.75" customHeight="1">
      <c r="A98" s="22">
        <v>96</v>
      </c>
      <c r="B98" s="22" t="s">
        <v>534</v>
      </c>
      <c r="C98" s="22" t="s">
        <v>180</v>
      </c>
      <c r="D98" s="22" t="s">
        <v>516</v>
      </c>
      <c r="E98" s="22" t="s">
        <v>493</v>
      </c>
      <c r="F98" s="24">
        <v>1</v>
      </c>
      <c r="G98" s="24" t="s">
        <v>494</v>
      </c>
      <c r="H98" s="24"/>
      <c r="I98" s="22"/>
      <c r="J98" s="22"/>
      <c r="K98" s="22"/>
      <c r="L98" s="22"/>
      <c r="M98" s="22"/>
      <c r="N98" s="22"/>
      <c r="O98" s="22" t="s">
        <v>534</v>
      </c>
      <c r="P98" s="22"/>
      <c r="Q98" s="22"/>
      <c r="R98" s="24"/>
      <c r="S98" s="24"/>
      <c r="T98" s="22"/>
      <c r="U98" s="24"/>
      <c r="V98" s="24"/>
      <c r="W98" s="24"/>
      <c r="X98" s="24"/>
      <c r="Y98" s="24"/>
      <c r="Z98" s="24"/>
      <c r="AA98" s="22"/>
      <c r="AB98" s="24"/>
      <c r="AC98" s="24"/>
      <c r="AD98" s="112"/>
      <c r="AE98" s="112"/>
      <c r="AF98" s="121">
        <v>53713009</v>
      </c>
      <c r="AG98" s="111"/>
      <c r="AH98" s="115" t="s">
        <v>115</v>
      </c>
      <c r="AI98" s="116" t="s">
        <v>536</v>
      </c>
      <c r="AJ98" s="115" t="s">
        <v>537</v>
      </c>
      <c r="AK98" s="22"/>
      <c r="AL98" s="22"/>
      <c r="AM98" s="22"/>
    </row>
    <row r="99" spans="1:39" ht="12.75" customHeight="1">
      <c r="A99" s="22">
        <v>97</v>
      </c>
      <c r="B99" s="22" t="s">
        <v>538</v>
      </c>
      <c r="C99" s="22" t="s">
        <v>180</v>
      </c>
      <c r="D99" s="22" t="s">
        <v>516</v>
      </c>
      <c r="E99" s="22" t="s">
        <v>493</v>
      </c>
      <c r="F99" s="24">
        <v>1</v>
      </c>
      <c r="G99" s="24" t="s">
        <v>494</v>
      </c>
      <c r="H99" s="24"/>
      <c r="I99" s="22"/>
      <c r="J99" s="22"/>
      <c r="K99" s="22"/>
      <c r="L99" s="22"/>
      <c r="M99" s="22"/>
      <c r="N99" s="22"/>
      <c r="O99" s="22" t="s">
        <v>538</v>
      </c>
      <c r="P99" s="22"/>
      <c r="Q99" s="22"/>
      <c r="R99" s="24"/>
      <c r="S99" s="24"/>
      <c r="T99" s="22"/>
      <c r="U99" s="24"/>
      <c r="V99" s="24"/>
      <c r="W99" s="24"/>
      <c r="X99" s="24"/>
      <c r="Y99" s="24"/>
      <c r="Z99" s="24"/>
      <c r="AA99" s="22"/>
      <c r="AB99" s="24"/>
      <c r="AC99" s="24"/>
      <c r="AD99" s="112"/>
      <c r="AE99" s="112"/>
      <c r="AF99" s="25">
        <v>106540006</v>
      </c>
      <c r="AG99" s="111"/>
      <c r="AH99" s="115" t="s">
        <v>115</v>
      </c>
      <c r="AI99" s="115" t="s">
        <v>539</v>
      </c>
      <c r="AJ99" s="115" t="s">
        <v>540</v>
      </c>
      <c r="AK99" s="22"/>
      <c r="AL99" s="22"/>
      <c r="AM99" s="22"/>
    </row>
    <row r="100" spans="1:39" ht="12.75" customHeight="1">
      <c r="A100" s="22">
        <v>98</v>
      </c>
      <c r="B100" s="22" t="s">
        <v>405</v>
      </c>
      <c r="C100" s="22" t="s">
        <v>180</v>
      </c>
      <c r="D100" s="22" t="s">
        <v>516</v>
      </c>
      <c r="E100" s="22" t="s">
        <v>493</v>
      </c>
      <c r="F100" s="24">
        <v>1</v>
      </c>
      <c r="G100" s="24" t="s">
        <v>494</v>
      </c>
      <c r="H100" s="24"/>
      <c r="I100" s="22"/>
      <c r="J100" s="22"/>
      <c r="K100" s="22"/>
      <c r="L100" s="22"/>
      <c r="M100" s="22"/>
      <c r="N100" s="22"/>
      <c r="O100" s="22" t="s">
        <v>405</v>
      </c>
      <c r="P100" s="22"/>
      <c r="Q100" s="22"/>
      <c r="R100" s="24"/>
      <c r="S100" s="24"/>
      <c r="T100" s="22"/>
      <c r="U100" s="24"/>
      <c r="V100" s="24"/>
      <c r="W100" s="24"/>
      <c r="X100" s="24"/>
      <c r="Y100" s="24"/>
      <c r="Z100" s="24"/>
      <c r="AA100" s="22"/>
      <c r="AB100" s="24"/>
      <c r="AC100" s="24"/>
      <c r="AD100" s="112"/>
      <c r="AE100" s="112"/>
      <c r="AF100" s="93" t="s">
        <v>541</v>
      </c>
      <c r="AG100" s="111"/>
      <c r="AH100" s="115" t="s">
        <v>115</v>
      </c>
      <c r="AI100" s="115" t="s">
        <v>406</v>
      </c>
      <c r="AJ100" s="115" t="s">
        <v>407</v>
      </c>
      <c r="AK100" s="22"/>
      <c r="AL100" s="22"/>
      <c r="AM100" s="22"/>
    </row>
    <row r="101" spans="1:39" ht="12.75" customHeight="1">
      <c r="A101" s="22">
        <v>99</v>
      </c>
      <c r="B101" s="22" t="s">
        <v>542</v>
      </c>
      <c r="C101" s="22" t="s">
        <v>96</v>
      </c>
      <c r="D101" s="22"/>
      <c r="E101" s="22" t="s">
        <v>493</v>
      </c>
      <c r="F101" s="24">
        <v>1</v>
      </c>
      <c r="G101" s="24" t="s">
        <v>494</v>
      </c>
      <c r="H101" s="24"/>
      <c r="I101" s="22"/>
      <c r="J101" s="22"/>
      <c r="K101" s="22" t="s">
        <v>409</v>
      </c>
      <c r="L101" s="22" t="s">
        <v>543</v>
      </c>
      <c r="M101" s="22" t="s">
        <v>544</v>
      </c>
      <c r="N101" s="22" t="s">
        <v>111</v>
      </c>
      <c r="O101" s="22"/>
      <c r="P101" s="22"/>
      <c r="Q101" s="22"/>
      <c r="R101" s="24"/>
      <c r="S101" s="24"/>
      <c r="T101" s="22" t="s">
        <v>208</v>
      </c>
      <c r="U101" s="24"/>
      <c r="V101" s="24"/>
      <c r="W101" s="24"/>
      <c r="X101" s="24"/>
      <c r="Y101" s="24"/>
      <c r="Z101" s="24"/>
      <c r="AA101" s="22"/>
      <c r="AB101" s="24"/>
      <c r="AC101" s="24"/>
      <c r="AD101" s="119"/>
      <c r="AE101" s="119"/>
      <c r="AF101" s="120"/>
      <c r="AG101" s="111"/>
      <c r="AH101" s="115" t="s">
        <v>545</v>
      </c>
      <c r="AI101" s="115" t="s">
        <v>415</v>
      </c>
      <c r="AJ101" s="115" t="s">
        <v>416</v>
      </c>
      <c r="AK101" s="22"/>
      <c r="AL101" s="22"/>
      <c r="AM101" s="22"/>
    </row>
    <row r="102" spans="1:39" ht="12.75" customHeight="1">
      <c r="A102" s="22">
        <v>100</v>
      </c>
      <c r="B102" s="22" t="s">
        <v>546</v>
      </c>
      <c r="C102" s="22" t="s">
        <v>96</v>
      </c>
      <c r="D102" s="22"/>
      <c r="E102" s="22" t="s">
        <v>547</v>
      </c>
      <c r="F102" s="24">
        <v>1</v>
      </c>
      <c r="G102" s="24" t="s">
        <v>494</v>
      </c>
      <c r="H102" s="24"/>
      <c r="I102" s="22"/>
      <c r="J102" s="22"/>
      <c r="K102" s="124" t="s">
        <v>548</v>
      </c>
      <c r="L102" s="124" t="s">
        <v>549</v>
      </c>
      <c r="M102" s="126" t="s">
        <v>550</v>
      </c>
      <c r="N102" s="124" t="s">
        <v>202</v>
      </c>
      <c r="O102" s="124"/>
      <c r="P102" s="126"/>
      <c r="Q102" s="22"/>
      <c r="R102" s="24"/>
      <c r="S102" s="22"/>
      <c r="T102" s="24" t="s">
        <v>113</v>
      </c>
      <c r="U102" s="24"/>
      <c r="V102" s="24"/>
      <c r="W102" s="24"/>
      <c r="X102" s="24"/>
      <c r="Y102" s="24"/>
      <c r="Z102" s="24"/>
      <c r="AA102" s="22"/>
      <c r="AB102" s="24"/>
      <c r="AC102" s="24"/>
      <c r="AD102" s="119"/>
      <c r="AE102" s="119"/>
      <c r="AF102" s="120"/>
      <c r="AG102" s="127"/>
      <c r="AH102" s="115" t="s">
        <v>115</v>
      </c>
      <c r="AI102" s="115" t="s">
        <v>551</v>
      </c>
      <c r="AJ102" s="115" t="s">
        <v>552</v>
      </c>
      <c r="AK102" s="22"/>
      <c r="AL102" s="22"/>
      <c r="AM102" s="22"/>
    </row>
    <row r="103" spans="1:39" ht="12.75" customHeight="1">
      <c r="A103" s="22">
        <v>101</v>
      </c>
      <c r="B103" s="22" t="s">
        <v>113</v>
      </c>
      <c r="C103" s="22" t="s">
        <v>180</v>
      </c>
      <c r="D103" s="22" t="s">
        <v>546</v>
      </c>
      <c r="E103" s="22" t="s">
        <v>547</v>
      </c>
      <c r="F103" s="24">
        <v>1</v>
      </c>
      <c r="G103" s="24" t="s">
        <v>494</v>
      </c>
      <c r="H103" s="24"/>
      <c r="I103" s="22"/>
      <c r="J103" s="22"/>
      <c r="K103" s="124"/>
      <c r="L103" s="126"/>
      <c r="M103" s="124"/>
      <c r="N103" s="124"/>
      <c r="O103" s="124" t="s">
        <v>113</v>
      </c>
      <c r="P103" s="126"/>
      <c r="Q103" s="22"/>
      <c r="R103" s="24"/>
      <c r="S103" s="22"/>
      <c r="T103" s="24"/>
      <c r="U103" s="24"/>
      <c r="V103" s="24"/>
      <c r="W103" s="24"/>
      <c r="X103" s="24"/>
      <c r="Y103" s="24"/>
      <c r="Z103" s="24"/>
      <c r="AA103" s="22"/>
      <c r="AB103" s="24"/>
      <c r="AC103" s="24"/>
      <c r="AD103" s="112"/>
      <c r="AE103" s="112"/>
      <c r="AF103" s="118">
        <v>373067005</v>
      </c>
      <c r="AG103" s="111"/>
      <c r="AH103" s="115" t="s">
        <v>115</v>
      </c>
      <c r="AI103" s="115" t="s">
        <v>209</v>
      </c>
      <c r="AJ103" s="115" t="s">
        <v>210</v>
      </c>
      <c r="AK103" s="22"/>
      <c r="AL103" s="22"/>
      <c r="AM103" s="22"/>
    </row>
    <row r="104" spans="1:39" ht="12.75" customHeight="1">
      <c r="A104" s="22">
        <v>102</v>
      </c>
      <c r="B104" s="22" t="s">
        <v>208</v>
      </c>
      <c r="C104" s="22" t="s">
        <v>180</v>
      </c>
      <c r="D104" s="22" t="s">
        <v>546</v>
      </c>
      <c r="E104" s="22" t="s">
        <v>547</v>
      </c>
      <c r="F104" s="24">
        <v>1</v>
      </c>
      <c r="G104" s="24" t="s">
        <v>494</v>
      </c>
      <c r="H104" s="24"/>
      <c r="I104" s="22"/>
      <c r="J104" s="22"/>
      <c r="K104" s="124"/>
      <c r="L104" s="126"/>
      <c r="M104" s="124"/>
      <c r="N104" s="124"/>
      <c r="O104" s="124" t="s">
        <v>208</v>
      </c>
      <c r="P104" s="126"/>
      <c r="Q104" s="22"/>
      <c r="R104" s="24"/>
      <c r="S104" s="22"/>
      <c r="T104" s="24"/>
      <c r="U104" s="24"/>
      <c r="V104" s="24"/>
      <c r="W104" s="24"/>
      <c r="X104" s="24"/>
      <c r="Y104" s="24"/>
      <c r="Z104" s="24"/>
      <c r="AA104" s="22"/>
      <c r="AB104" s="24"/>
      <c r="AC104" s="24"/>
      <c r="AD104" s="112"/>
      <c r="AE104" s="112"/>
      <c r="AF104" s="118">
        <v>373066001</v>
      </c>
      <c r="AG104" s="111"/>
      <c r="AH104" s="115" t="s">
        <v>115</v>
      </c>
      <c r="AI104" s="115" t="s">
        <v>206</v>
      </c>
      <c r="AJ104" s="115" t="s">
        <v>207</v>
      </c>
      <c r="AK104" s="22"/>
      <c r="AL104" s="22"/>
      <c r="AM104" s="22"/>
    </row>
    <row r="105" spans="1:39" ht="12.75" customHeight="1">
      <c r="A105" s="22">
        <v>103</v>
      </c>
      <c r="B105" s="124" t="s">
        <v>555</v>
      </c>
      <c r="C105" s="22" t="s">
        <v>96</v>
      </c>
      <c r="D105" s="22" t="s">
        <v>546</v>
      </c>
      <c r="E105" s="22" t="s">
        <v>547</v>
      </c>
      <c r="F105" s="24">
        <v>1</v>
      </c>
      <c r="G105" s="24" t="s">
        <v>494</v>
      </c>
      <c r="H105" s="24"/>
      <c r="I105" s="22"/>
      <c r="J105" s="22"/>
      <c r="K105" s="124" t="s">
        <v>555</v>
      </c>
      <c r="L105" s="126" t="s">
        <v>556</v>
      </c>
      <c r="M105" s="124" t="s">
        <v>557</v>
      </c>
      <c r="N105" s="124" t="s">
        <v>140</v>
      </c>
      <c r="O105" s="126"/>
      <c r="P105" s="126"/>
      <c r="Q105" s="22"/>
      <c r="R105" s="24" t="s">
        <v>558</v>
      </c>
      <c r="S105" s="22"/>
      <c r="T105" s="24" t="s">
        <v>113</v>
      </c>
      <c r="U105" s="24"/>
      <c r="V105" s="24"/>
      <c r="W105" s="24"/>
      <c r="X105" s="24"/>
      <c r="Y105" s="24"/>
      <c r="Z105" s="24"/>
      <c r="AA105" s="22"/>
      <c r="AB105" s="24"/>
      <c r="AC105" s="24"/>
      <c r="AD105" s="112"/>
      <c r="AE105" s="112"/>
      <c r="AF105" s="121">
        <v>21840007</v>
      </c>
      <c r="AG105" s="111"/>
      <c r="AH105" s="115" t="s">
        <v>115</v>
      </c>
      <c r="AI105" s="116" t="s">
        <v>559</v>
      </c>
      <c r="AJ105" s="115" t="s">
        <v>560</v>
      </c>
      <c r="AK105" s="22"/>
      <c r="AL105" s="22"/>
      <c r="AM105" s="22"/>
    </row>
    <row r="106" spans="1:39" ht="12.75" customHeight="1">
      <c r="A106" s="22">
        <v>104</v>
      </c>
      <c r="B106" s="22" t="s">
        <v>561</v>
      </c>
      <c r="C106" s="22" t="s">
        <v>65</v>
      </c>
      <c r="D106" s="22"/>
      <c r="E106" s="22" t="s">
        <v>547</v>
      </c>
      <c r="F106" s="24">
        <v>1</v>
      </c>
      <c r="G106" s="24" t="s">
        <v>494</v>
      </c>
      <c r="H106" s="24"/>
      <c r="I106" s="22"/>
      <c r="J106" s="22"/>
      <c r="K106" s="124" t="s">
        <v>115</v>
      </c>
      <c r="L106" s="124" t="s">
        <v>562</v>
      </c>
      <c r="M106" s="124" t="s">
        <v>563</v>
      </c>
      <c r="N106" s="124" t="s">
        <v>65</v>
      </c>
      <c r="O106" s="126"/>
      <c r="P106" s="124" t="s">
        <v>564</v>
      </c>
      <c r="Q106" s="22"/>
      <c r="R106" s="24"/>
      <c r="S106" s="22"/>
      <c r="T106" s="24" t="s">
        <v>115</v>
      </c>
      <c r="U106" s="24"/>
      <c r="V106" s="24"/>
      <c r="W106" s="24"/>
      <c r="X106" s="24"/>
      <c r="Y106" s="24"/>
      <c r="Z106" s="24"/>
      <c r="AA106" s="22"/>
      <c r="AB106" s="24"/>
      <c r="AC106" s="24"/>
      <c r="AD106" s="112"/>
      <c r="AE106" s="112"/>
      <c r="AF106" s="25"/>
      <c r="AG106" s="111"/>
      <c r="AH106" s="115" t="s">
        <v>115</v>
      </c>
      <c r="AI106" s="115" t="s">
        <v>115</v>
      </c>
      <c r="AJ106" s="115" t="s">
        <v>115</v>
      </c>
      <c r="AK106" s="22"/>
      <c r="AL106" s="22"/>
      <c r="AM106" s="22"/>
    </row>
    <row r="107" spans="1:39" ht="12.75" customHeight="1">
      <c r="A107" s="22">
        <v>105</v>
      </c>
      <c r="B107" s="22" t="s">
        <v>566</v>
      </c>
      <c r="C107" s="22" t="s">
        <v>65</v>
      </c>
      <c r="D107" s="22"/>
      <c r="E107" s="22" t="s">
        <v>547</v>
      </c>
      <c r="F107" s="24">
        <v>1</v>
      </c>
      <c r="G107" s="24" t="s">
        <v>494</v>
      </c>
      <c r="H107" s="24"/>
      <c r="I107" s="22"/>
      <c r="J107" s="22"/>
      <c r="K107" s="124" t="s">
        <v>115</v>
      </c>
      <c r="L107" s="124" t="s">
        <v>567</v>
      </c>
      <c r="M107" s="124" t="s">
        <v>568</v>
      </c>
      <c r="N107" s="124" t="s">
        <v>65</v>
      </c>
      <c r="O107" s="126"/>
      <c r="P107" s="124" t="s">
        <v>569</v>
      </c>
      <c r="Q107" s="22"/>
      <c r="R107" s="24"/>
      <c r="S107" s="22"/>
      <c r="T107" s="24" t="s">
        <v>115</v>
      </c>
      <c r="U107" s="24"/>
      <c r="V107" s="24"/>
      <c r="W107" s="24"/>
      <c r="X107" s="24"/>
      <c r="Y107" s="24"/>
      <c r="Z107" s="24"/>
      <c r="AA107" s="22"/>
      <c r="AB107" s="24"/>
      <c r="AC107" s="24"/>
      <c r="AD107" s="112"/>
      <c r="AE107" s="112"/>
      <c r="AF107" s="25"/>
      <c r="AG107" s="111"/>
      <c r="AH107" s="115" t="s">
        <v>115</v>
      </c>
      <c r="AI107" s="115" t="s">
        <v>115</v>
      </c>
      <c r="AJ107" s="115" t="s">
        <v>115</v>
      </c>
      <c r="AK107" s="22"/>
      <c r="AL107" s="22"/>
      <c r="AM107" s="22"/>
    </row>
    <row r="108" spans="1:39" ht="12.75" customHeight="1">
      <c r="A108" s="22">
        <v>106</v>
      </c>
      <c r="B108" s="124" t="s">
        <v>571</v>
      </c>
      <c r="C108" s="22" t="s">
        <v>96</v>
      </c>
      <c r="D108" s="22"/>
      <c r="E108" s="22" t="s">
        <v>547</v>
      </c>
      <c r="F108" s="24">
        <v>1</v>
      </c>
      <c r="G108" s="24" t="s">
        <v>494</v>
      </c>
      <c r="H108" s="24"/>
      <c r="I108" s="22"/>
      <c r="J108" s="22"/>
      <c r="K108" s="124" t="s">
        <v>571</v>
      </c>
      <c r="L108" s="124" t="s">
        <v>572</v>
      </c>
      <c r="M108" s="124" t="s">
        <v>573</v>
      </c>
      <c r="N108" s="124" t="s">
        <v>202</v>
      </c>
      <c r="O108" s="124"/>
      <c r="P108" s="126"/>
      <c r="Q108" s="22"/>
      <c r="R108" s="24"/>
      <c r="S108" s="22"/>
      <c r="T108" s="24" t="s">
        <v>113</v>
      </c>
      <c r="U108" s="24"/>
      <c r="V108" s="24"/>
      <c r="W108" s="24"/>
      <c r="X108" s="24"/>
      <c r="Y108" s="24"/>
      <c r="Z108" s="24"/>
      <c r="AA108" s="22"/>
      <c r="AB108" s="24"/>
      <c r="AC108" s="24"/>
      <c r="AD108" s="112"/>
      <c r="AE108" s="112"/>
      <c r="AF108" s="129">
        <v>268445003</v>
      </c>
      <c r="AG108" s="111"/>
      <c r="AH108" s="115" t="s">
        <v>115</v>
      </c>
      <c r="AI108" s="116" t="s">
        <v>574</v>
      </c>
      <c r="AJ108" s="116" t="s">
        <v>575</v>
      </c>
      <c r="AK108" s="22"/>
      <c r="AL108" s="22"/>
      <c r="AM108" s="22"/>
    </row>
    <row r="109" spans="1:39" ht="12.75" customHeight="1">
      <c r="A109" s="22">
        <v>107</v>
      </c>
      <c r="B109" s="126" t="s">
        <v>113</v>
      </c>
      <c r="C109" s="22" t="s">
        <v>180</v>
      </c>
      <c r="D109" s="124" t="s">
        <v>571</v>
      </c>
      <c r="E109" s="22" t="s">
        <v>547</v>
      </c>
      <c r="F109" s="24">
        <v>1</v>
      </c>
      <c r="G109" s="24" t="s">
        <v>494</v>
      </c>
      <c r="H109" s="24"/>
      <c r="I109" s="22"/>
      <c r="J109" s="22"/>
      <c r="K109" s="126"/>
      <c r="L109" s="126"/>
      <c r="M109" s="130"/>
      <c r="N109" s="130"/>
      <c r="O109" s="124" t="s">
        <v>113</v>
      </c>
      <c r="P109" s="126"/>
      <c r="Q109" s="22"/>
      <c r="R109" s="24"/>
      <c r="S109" s="22"/>
      <c r="T109" s="24"/>
      <c r="U109" s="24"/>
      <c r="V109" s="24"/>
      <c r="W109" s="24"/>
      <c r="X109" s="24"/>
      <c r="Y109" s="24"/>
      <c r="Z109" s="24"/>
      <c r="AA109" s="22"/>
      <c r="AB109" s="24"/>
      <c r="AC109" s="24"/>
      <c r="AD109" s="112"/>
      <c r="AE109" s="112"/>
      <c r="AF109" s="118">
        <v>373066001</v>
      </c>
      <c r="AG109" s="111"/>
      <c r="AH109" s="115" t="s">
        <v>115</v>
      </c>
      <c r="AI109" s="115" t="s">
        <v>206</v>
      </c>
      <c r="AJ109" s="115" t="s">
        <v>207</v>
      </c>
      <c r="AK109" s="22"/>
      <c r="AL109" s="22"/>
      <c r="AM109" s="22"/>
    </row>
    <row r="110" spans="1:39" ht="12.75" customHeight="1">
      <c r="A110" s="22">
        <v>108</v>
      </c>
      <c r="B110" s="126" t="s">
        <v>208</v>
      </c>
      <c r="C110" s="22" t="s">
        <v>180</v>
      </c>
      <c r="D110" s="124" t="s">
        <v>571</v>
      </c>
      <c r="E110" s="22" t="s">
        <v>547</v>
      </c>
      <c r="F110" s="24">
        <v>1</v>
      </c>
      <c r="G110" s="24" t="s">
        <v>494</v>
      </c>
      <c r="H110" s="24"/>
      <c r="I110" s="22"/>
      <c r="J110" s="22"/>
      <c r="K110" s="126"/>
      <c r="L110" s="126"/>
      <c r="M110" s="130"/>
      <c r="N110" s="130"/>
      <c r="O110" s="130" t="s">
        <v>208</v>
      </c>
      <c r="P110" s="126"/>
      <c r="Q110" s="22"/>
      <c r="R110" s="24"/>
      <c r="S110" s="22"/>
      <c r="T110" s="24"/>
      <c r="U110" s="24"/>
      <c r="V110" s="24"/>
      <c r="W110" s="24"/>
      <c r="X110" s="24"/>
      <c r="Y110" s="24"/>
      <c r="Z110" s="24"/>
      <c r="AA110" s="22"/>
      <c r="AB110" s="24"/>
      <c r="AC110" s="24"/>
      <c r="AD110" s="112"/>
      <c r="AE110" s="112"/>
      <c r="AF110" s="25"/>
      <c r="AG110" s="111"/>
      <c r="AH110" s="115" t="s">
        <v>115</v>
      </c>
      <c r="AI110" s="115" t="s">
        <v>115</v>
      </c>
      <c r="AJ110" s="115" t="s">
        <v>115</v>
      </c>
      <c r="AK110" s="24"/>
      <c r="AL110" s="24"/>
      <c r="AM110" s="24"/>
    </row>
    <row r="111" spans="1:39" ht="12.75" customHeight="1">
      <c r="A111" s="22">
        <v>109</v>
      </c>
      <c r="B111" s="124" t="s">
        <v>576</v>
      </c>
      <c r="C111" s="22" t="s">
        <v>96</v>
      </c>
      <c r="D111" s="24"/>
      <c r="E111" s="22" t="s">
        <v>547</v>
      </c>
      <c r="F111" s="24">
        <v>1</v>
      </c>
      <c r="G111" s="24" t="s">
        <v>494</v>
      </c>
      <c r="H111" s="24"/>
      <c r="I111" s="24"/>
      <c r="J111" s="24"/>
      <c r="K111" s="124" t="s">
        <v>576</v>
      </c>
      <c r="L111" s="124" t="s">
        <v>578</v>
      </c>
      <c r="M111" s="124" t="s">
        <v>579</v>
      </c>
      <c r="N111" s="124" t="s">
        <v>140</v>
      </c>
      <c r="O111" s="126"/>
      <c r="P111" s="126"/>
      <c r="Q111" s="24"/>
      <c r="R111" s="24" t="s">
        <v>580</v>
      </c>
      <c r="S111" s="24"/>
      <c r="T111" s="24" t="s">
        <v>113</v>
      </c>
      <c r="U111" s="24"/>
      <c r="V111" s="24"/>
      <c r="W111" s="24"/>
      <c r="X111" s="24"/>
      <c r="Y111" s="24"/>
      <c r="Z111" s="24"/>
      <c r="AA111" s="22"/>
      <c r="AB111" s="24"/>
      <c r="AC111" s="24"/>
      <c r="AD111" s="112"/>
      <c r="AE111" s="112"/>
      <c r="AF111" s="93" t="s">
        <v>581</v>
      </c>
      <c r="AG111" s="111"/>
      <c r="AH111" s="115" t="s">
        <v>115</v>
      </c>
      <c r="AI111" s="115" t="s">
        <v>582</v>
      </c>
      <c r="AJ111" s="115" t="s">
        <v>583</v>
      </c>
      <c r="AK111" s="24"/>
      <c r="AL111" s="24"/>
      <c r="AM111" s="24"/>
    </row>
    <row r="112" spans="1:39" ht="12.75" customHeight="1">
      <c r="A112" s="22">
        <v>110</v>
      </c>
      <c r="B112" s="124" t="s">
        <v>584</v>
      </c>
      <c r="C112" s="22" t="s">
        <v>96</v>
      </c>
      <c r="D112" s="24"/>
      <c r="E112" s="22" t="s">
        <v>547</v>
      </c>
      <c r="F112" s="24">
        <v>1</v>
      </c>
      <c r="G112" s="24" t="s">
        <v>494</v>
      </c>
      <c r="H112" s="24"/>
      <c r="I112" s="24"/>
      <c r="J112" s="24"/>
      <c r="K112" s="124" t="s">
        <v>584</v>
      </c>
      <c r="L112" s="124" t="s">
        <v>585</v>
      </c>
      <c r="M112" s="124" t="s">
        <v>586</v>
      </c>
      <c r="N112" s="124" t="s">
        <v>168</v>
      </c>
      <c r="O112" s="126"/>
      <c r="P112" s="126"/>
      <c r="Q112" s="24"/>
      <c r="R112" s="24" t="s">
        <v>587</v>
      </c>
      <c r="S112" s="24"/>
      <c r="T112" s="24" t="s">
        <v>113</v>
      </c>
      <c r="U112" s="24"/>
      <c r="V112" s="24"/>
      <c r="W112" s="24"/>
      <c r="X112" s="24"/>
      <c r="Y112" s="24"/>
      <c r="Z112" s="24"/>
      <c r="AA112" s="22"/>
      <c r="AB112" s="24"/>
      <c r="AC112" s="24"/>
      <c r="AD112" s="112"/>
      <c r="AE112" s="112"/>
      <c r="AF112" s="25"/>
      <c r="AG112" s="111"/>
      <c r="AH112" s="115" t="s">
        <v>115</v>
      </c>
      <c r="AI112" s="115" t="s">
        <v>115</v>
      </c>
      <c r="AJ112" s="115" t="s">
        <v>115</v>
      </c>
      <c r="AK112" s="24"/>
      <c r="AL112" s="24"/>
      <c r="AM112" s="24"/>
    </row>
    <row r="113" spans="1:39" ht="12.75" customHeight="1">
      <c r="A113" s="22">
        <v>111</v>
      </c>
      <c r="B113" s="124" t="s">
        <v>589</v>
      </c>
      <c r="C113" s="22" t="s">
        <v>96</v>
      </c>
      <c r="D113" s="24"/>
      <c r="E113" s="22" t="s">
        <v>547</v>
      </c>
      <c r="F113" s="24">
        <v>1</v>
      </c>
      <c r="G113" s="24" t="s">
        <v>494</v>
      </c>
      <c r="H113" s="24"/>
      <c r="I113" s="24"/>
      <c r="J113" s="24"/>
      <c r="K113" s="124" t="s">
        <v>588</v>
      </c>
      <c r="L113" s="124" t="s">
        <v>590</v>
      </c>
      <c r="M113" s="124" t="s">
        <v>591</v>
      </c>
      <c r="N113" s="124" t="s">
        <v>168</v>
      </c>
      <c r="O113" s="126"/>
      <c r="P113" s="126"/>
      <c r="Q113" s="24"/>
      <c r="R113" s="24" t="s">
        <v>592</v>
      </c>
      <c r="S113" s="24"/>
      <c r="T113" s="24" t="s">
        <v>208</v>
      </c>
      <c r="U113" s="24"/>
      <c r="V113" s="24"/>
      <c r="W113" s="24"/>
      <c r="X113" s="24"/>
      <c r="Y113" s="24"/>
      <c r="Z113" s="24"/>
      <c r="AA113" s="22"/>
      <c r="AB113" s="24"/>
      <c r="AC113" s="24"/>
      <c r="AD113" s="112"/>
      <c r="AE113" s="112"/>
      <c r="AF113" s="25"/>
      <c r="AG113" s="111"/>
      <c r="AH113" s="115" t="s">
        <v>115</v>
      </c>
      <c r="AI113" s="115" t="s">
        <v>115</v>
      </c>
      <c r="AJ113" s="115" t="s">
        <v>115</v>
      </c>
      <c r="AK113" s="24"/>
      <c r="AL113" s="24"/>
      <c r="AM113" s="24"/>
    </row>
    <row r="114" spans="1:39" ht="12.75" customHeight="1">
      <c r="A114" s="22">
        <v>112</v>
      </c>
      <c r="B114" s="22" t="s">
        <v>593</v>
      </c>
      <c r="C114" s="22" t="s">
        <v>65</v>
      </c>
      <c r="D114" s="24"/>
      <c r="E114" s="22" t="s">
        <v>547</v>
      </c>
      <c r="F114" s="24">
        <v>1</v>
      </c>
      <c r="G114" s="24" t="s">
        <v>494</v>
      </c>
      <c r="H114" s="24"/>
      <c r="I114" s="24"/>
      <c r="J114" s="24"/>
      <c r="K114" s="124" t="s">
        <v>115</v>
      </c>
      <c r="L114" s="124" t="s">
        <v>594</v>
      </c>
      <c r="M114" s="124" t="s">
        <v>595</v>
      </c>
      <c r="N114" s="124" t="s">
        <v>65</v>
      </c>
      <c r="O114" s="126"/>
      <c r="P114" s="124" t="s">
        <v>596</v>
      </c>
      <c r="Q114" s="24"/>
      <c r="R114" s="24"/>
      <c r="S114" s="24"/>
      <c r="T114" s="24" t="s">
        <v>115</v>
      </c>
      <c r="U114" s="24"/>
      <c r="V114" s="24"/>
      <c r="W114" s="24"/>
      <c r="X114" s="24"/>
      <c r="Y114" s="24"/>
      <c r="Z114" s="24"/>
      <c r="AA114" s="22"/>
      <c r="AB114" s="24"/>
      <c r="AC114" s="24"/>
      <c r="AD114" s="119"/>
      <c r="AE114" s="119"/>
      <c r="AF114" s="120"/>
      <c r="AG114" s="127"/>
      <c r="AH114" s="115" t="s">
        <v>115</v>
      </c>
      <c r="AI114" s="115" t="s">
        <v>598</v>
      </c>
      <c r="AJ114" s="115" t="s">
        <v>599</v>
      </c>
      <c r="AK114" s="24"/>
      <c r="AL114" s="24"/>
      <c r="AM114" s="24"/>
    </row>
    <row r="115" spans="1:39" ht="12.75" customHeight="1">
      <c r="A115" s="22">
        <v>113</v>
      </c>
      <c r="B115" s="124" t="s">
        <v>600</v>
      </c>
      <c r="C115" s="22" t="s">
        <v>65</v>
      </c>
      <c r="D115" s="24"/>
      <c r="E115" s="22" t="s">
        <v>547</v>
      </c>
      <c r="F115" s="24">
        <v>1</v>
      </c>
      <c r="G115" s="24" t="s">
        <v>494</v>
      </c>
      <c r="H115" s="24"/>
      <c r="I115" s="24"/>
      <c r="J115" s="24"/>
      <c r="K115" s="124" t="s">
        <v>115</v>
      </c>
      <c r="L115" s="124" t="s">
        <v>601</v>
      </c>
      <c r="M115" s="124" t="s">
        <v>602</v>
      </c>
      <c r="N115" s="124" t="s">
        <v>65</v>
      </c>
      <c r="O115" s="126"/>
      <c r="P115" s="124" t="s">
        <v>603</v>
      </c>
      <c r="Q115" s="24"/>
      <c r="R115" s="24"/>
      <c r="S115" s="24"/>
      <c r="T115" s="24" t="s">
        <v>115</v>
      </c>
      <c r="U115" s="24"/>
      <c r="V115" s="24"/>
      <c r="W115" s="24"/>
      <c r="X115" s="24"/>
      <c r="Y115" s="24"/>
      <c r="Z115" s="24"/>
      <c r="AA115" s="22"/>
      <c r="AB115" s="24"/>
      <c r="AC115" s="24"/>
      <c r="AD115" s="112"/>
      <c r="AE115" s="112"/>
      <c r="AF115" s="25"/>
      <c r="AG115" s="111"/>
      <c r="AH115" s="115" t="s">
        <v>115</v>
      </c>
      <c r="AI115" s="115" t="s">
        <v>115</v>
      </c>
      <c r="AJ115" s="115" t="s">
        <v>115</v>
      </c>
      <c r="AK115" s="24"/>
      <c r="AL115" s="24"/>
      <c r="AM115" s="24"/>
    </row>
    <row r="116" spans="1:39" ht="12.75" customHeight="1">
      <c r="A116" s="22">
        <v>114</v>
      </c>
      <c r="B116" s="22" t="s">
        <v>605</v>
      </c>
      <c r="C116" s="22" t="s">
        <v>65</v>
      </c>
      <c r="D116" s="24"/>
      <c r="E116" s="22" t="s">
        <v>547</v>
      </c>
      <c r="F116" s="24">
        <v>1</v>
      </c>
      <c r="G116" s="24" t="s">
        <v>494</v>
      </c>
      <c r="H116" s="24"/>
      <c r="I116" s="24"/>
      <c r="J116" s="24"/>
      <c r="K116" s="124" t="s">
        <v>115</v>
      </c>
      <c r="L116" s="124" t="s">
        <v>606</v>
      </c>
      <c r="M116" s="124" t="s">
        <v>607</v>
      </c>
      <c r="N116" s="124" t="s">
        <v>65</v>
      </c>
      <c r="O116" s="126"/>
      <c r="P116" s="124" t="s">
        <v>608</v>
      </c>
      <c r="Q116" s="24"/>
      <c r="R116" s="24"/>
      <c r="S116" s="24"/>
      <c r="T116" s="24" t="s">
        <v>115</v>
      </c>
      <c r="U116" s="24"/>
      <c r="V116" s="24"/>
      <c r="W116" s="24"/>
      <c r="X116" s="24"/>
      <c r="Y116" s="24"/>
      <c r="Z116" s="24"/>
      <c r="AA116" s="22"/>
      <c r="AB116" s="24"/>
      <c r="AC116" s="24"/>
      <c r="AD116" s="112"/>
      <c r="AE116" s="112"/>
      <c r="AF116" s="25"/>
      <c r="AG116" s="111"/>
      <c r="AH116" s="115" t="s">
        <v>115</v>
      </c>
      <c r="AI116" s="115" t="s">
        <v>115</v>
      </c>
      <c r="AJ116" s="115" t="s">
        <v>115</v>
      </c>
      <c r="AK116" s="24"/>
      <c r="AL116" s="24"/>
      <c r="AM116" s="24"/>
    </row>
    <row r="117" spans="1:39" ht="12.75" customHeight="1">
      <c r="A117" s="22">
        <v>115</v>
      </c>
      <c r="B117" s="124" t="s">
        <v>609</v>
      </c>
      <c r="C117" s="24" t="s">
        <v>96</v>
      </c>
      <c r="D117" s="24"/>
      <c r="E117" s="22" t="s">
        <v>547</v>
      </c>
      <c r="F117" s="24">
        <v>1</v>
      </c>
      <c r="G117" s="24" t="s">
        <v>494</v>
      </c>
      <c r="H117" s="24"/>
      <c r="I117" s="24"/>
      <c r="J117" s="24"/>
      <c r="K117" s="124" t="s">
        <v>609</v>
      </c>
      <c r="L117" s="124" t="s">
        <v>611</v>
      </c>
      <c r="M117" s="124" t="s">
        <v>612</v>
      </c>
      <c r="N117" s="124" t="s">
        <v>168</v>
      </c>
      <c r="O117" s="126"/>
      <c r="P117" s="126"/>
      <c r="Q117" s="24"/>
      <c r="R117" s="24" t="s">
        <v>587</v>
      </c>
      <c r="S117" s="24"/>
      <c r="T117" s="24" t="s">
        <v>113</v>
      </c>
      <c r="U117" s="24"/>
      <c r="V117" s="24"/>
      <c r="W117" s="24"/>
      <c r="X117" s="24"/>
      <c r="Y117" s="24"/>
      <c r="Z117" s="24"/>
      <c r="AA117" s="22"/>
      <c r="AB117" s="24"/>
      <c r="AC117" s="24"/>
      <c r="AD117" s="112"/>
      <c r="AE117" s="112"/>
      <c r="AF117" s="121">
        <v>249016007</v>
      </c>
      <c r="AG117" s="111"/>
      <c r="AH117" s="115" t="s">
        <v>115</v>
      </c>
      <c r="AI117" s="115" t="s">
        <v>613</v>
      </c>
      <c r="AJ117" s="115" t="s">
        <v>614</v>
      </c>
      <c r="AK117" s="24"/>
      <c r="AL117" s="24"/>
      <c r="AM117" s="24"/>
    </row>
    <row r="118" spans="1:39" ht="12.75" customHeight="1">
      <c r="A118" s="22">
        <v>116</v>
      </c>
      <c r="B118" s="124" t="s">
        <v>615</v>
      </c>
      <c r="C118" s="24" t="s">
        <v>65</v>
      </c>
      <c r="D118" s="24"/>
      <c r="E118" s="22" t="s">
        <v>547</v>
      </c>
      <c r="F118" s="24">
        <v>1</v>
      </c>
      <c r="G118" s="24" t="s">
        <v>494</v>
      </c>
      <c r="H118" s="24"/>
      <c r="I118" s="24"/>
      <c r="J118" s="24"/>
      <c r="K118" s="124" t="s">
        <v>115</v>
      </c>
      <c r="L118" s="124" t="s">
        <v>616</v>
      </c>
      <c r="M118" s="124" t="s">
        <v>617</v>
      </c>
      <c r="N118" s="124" t="s">
        <v>65</v>
      </c>
      <c r="O118" s="126"/>
      <c r="P118" s="124" t="s">
        <v>618</v>
      </c>
      <c r="Q118" s="24"/>
      <c r="R118" s="24"/>
      <c r="S118" s="24"/>
      <c r="T118" s="24" t="s">
        <v>115</v>
      </c>
      <c r="U118" s="24"/>
      <c r="V118" s="24"/>
      <c r="W118" s="24"/>
      <c r="X118" s="24"/>
      <c r="Y118" s="24"/>
      <c r="Z118" s="24"/>
      <c r="AA118" s="22"/>
      <c r="AB118" s="24"/>
      <c r="AC118" s="24"/>
      <c r="AD118" s="112"/>
      <c r="AE118" s="112"/>
      <c r="AF118" s="25"/>
      <c r="AG118" s="111"/>
      <c r="AH118" s="115" t="s">
        <v>115</v>
      </c>
      <c r="AI118" s="115" t="s">
        <v>115</v>
      </c>
      <c r="AJ118" s="115" t="s">
        <v>115</v>
      </c>
      <c r="AK118" s="24"/>
      <c r="AL118" s="24"/>
      <c r="AM118" s="24"/>
    </row>
    <row r="119" spans="1:39" ht="12.75" customHeight="1">
      <c r="A119" s="22">
        <v>117</v>
      </c>
      <c r="B119" s="124" t="s">
        <v>623</v>
      </c>
      <c r="C119" s="24" t="s">
        <v>96</v>
      </c>
      <c r="D119" s="24"/>
      <c r="E119" s="22" t="s">
        <v>547</v>
      </c>
      <c r="F119" s="24">
        <v>1</v>
      </c>
      <c r="G119" s="24" t="s">
        <v>494</v>
      </c>
      <c r="H119" s="24"/>
      <c r="I119" s="24"/>
      <c r="J119" s="24"/>
      <c r="K119" s="124" t="s">
        <v>620</v>
      </c>
      <c r="L119" s="124" t="s">
        <v>621</v>
      </c>
      <c r="M119" s="124" t="s">
        <v>622</v>
      </c>
      <c r="N119" s="124" t="s">
        <v>202</v>
      </c>
      <c r="O119" s="126"/>
      <c r="P119" s="126"/>
      <c r="Q119" s="24"/>
      <c r="R119" s="24"/>
      <c r="S119" s="24"/>
      <c r="T119" s="24" t="s">
        <v>113</v>
      </c>
      <c r="U119" s="24"/>
      <c r="V119" s="24"/>
      <c r="W119" s="24"/>
      <c r="X119" s="24"/>
      <c r="Y119" s="24"/>
      <c r="Z119" s="24"/>
      <c r="AA119" s="22"/>
      <c r="AB119" s="24"/>
      <c r="AC119" s="24"/>
      <c r="AD119" s="112"/>
      <c r="AE119" s="112"/>
      <c r="AF119" s="131" t="s">
        <v>624</v>
      </c>
      <c r="AG119" s="111"/>
      <c r="AH119" s="115" t="s">
        <v>115</v>
      </c>
      <c r="AI119" s="115" t="s">
        <v>625</v>
      </c>
      <c r="AJ119" s="115" t="s">
        <v>626</v>
      </c>
      <c r="AK119" s="24"/>
      <c r="AL119" s="24"/>
      <c r="AM119" s="24"/>
    </row>
    <row r="120" spans="1:39" ht="12.75" customHeight="1">
      <c r="A120" s="22">
        <v>118</v>
      </c>
      <c r="B120" s="124" t="s">
        <v>627</v>
      </c>
      <c r="C120" s="24" t="s">
        <v>180</v>
      </c>
      <c r="D120" s="124" t="s">
        <v>620</v>
      </c>
      <c r="E120" s="22" t="s">
        <v>547</v>
      </c>
      <c r="F120" s="24">
        <v>1</v>
      </c>
      <c r="G120" s="24" t="s">
        <v>494</v>
      </c>
      <c r="H120" s="24"/>
      <c r="I120" s="24"/>
      <c r="J120" s="24"/>
      <c r="K120" s="124"/>
      <c r="L120" s="124"/>
      <c r="M120" s="124"/>
      <c r="N120" s="124"/>
      <c r="O120" s="124" t="s">
        <v>627</v>
      </c>
      <c r="P120" s="124"/>
      <c r="Q120" s="24"/>
      <c r="R120" s="24"/>
      <c r="S120" s="24"/>
      <c r="T120" s="24"/>
      <c r="U120" s="24"/>
      <c r="V120" s="24"/>
      <c r="W120" s="24"/>
      <c r="X120" s="24"/>
      <c r="Y120" s="24"/>
      <c r="Z120" s="24"/>
      <c r="AA120" s="22"/>
      <c r="AB120" s="24"/>
      <c r="AC120" s="24"/>
      <c r="AD120" s="112"/>
      <c r="AE120" s="112"/>
      <c r="AF120" s="121">
        <v>21840007</v>
      </c>
      <c r="AG120" s="111"/>
      <c r="AH120" s="115" t="s">
        <v>115</v>
      </c>
      <c r="AI120" s="115" t="s">
        <v>559</v>
      </c>
      <c r="AJ120" s="115" t="s">
        <v>560</v>
      </c>
      <c r="AK120" s="24"/>
      <c r="AL120" s="24"/>
      <c r="AM120" s="24"/>
    </row>
    <row r="121" spans="1:39" ht="12.75" customHeight="1">
      <c r="A121" s="22">
        <v>119</v>
      </c>
      <c r="B121" s="124" t="s">
        <v>629</v>
      </c>
      <c r="C121" s="24" t="s">
        <v>180</v>
      </c>
      <c r="D121" s="124" t="s">
        <v>620</v>
      </c>
      <c r="E121" s="22" t="s">
        <v>547</v>
      </c>
      <c r="F121" s="24">
        <v>1</v>
      </c>
      <c r="G121" s="24" t="s">
        <v>494</v>
      </c>
      <c r="H121" s="24"/>
      <c r="I121" s="24"/>
      <c r="J121" s="24"/>
      <c r="K121" s="124"/>
      <c r="L121" s="124"/>
      <c r="M121" s="124"/>
      <c r="N121" s="124"/>
      <c r="O121" s="124" t="s">
        <v>629</v>
      </c>
      <c r="P121" s="124"/>
      <c r="Q121" s="24"/>
      <c r="R121" s="24"/>
      <c r="S121" s="24"/>
      <c r="T121" s="24"/>
      <c r="U121" s="24"/>
      <c r="V121" s="24"/>
      <c r="W121" s="24"/>
      <c r="X121" s="24"/>
      <c r="Y121" s="24"/>
      <c r="Z121" s="24"/>
      <c r="AA121" s="22"/>
      <c r="AB121" s="24"/>
      <c r="AC121" s="24"/>
      <c r="AD121" s="112"/>
      <c r="AE121" s="112"/>
      <c r="AF121" s="118">
        <v>268445003</v>
      </c>
      <c r="AG121" s="111"/>
      <c r="AH121" s="115" t="s">
        <v>115</v>
      </c>
      <c r="AI121" s="116" t="s">
        <v>630</v>
      </c>
      <c r="AJ121" s="115" t="s">
        <v>631</v>
      </c>
      <c r="AK121" s="24"/>
      <c r="AL121" s="24"/>
      <c r="AM121" s="24"/>
    </row>
    <row r="122" spans="1:39" ht="12.75" customHeight="1">
      <c r="A122" s="22">
        <v>120</v>
      </c>
      <c r="B122" s="124" t="s">
        <v>633</v>
      </c>
      <c r="C122" s="24" t="s">
        <v>180</v>
      </c>
      <c r="D122" s="124" t="s">
        <v>620</v>
      </c>
      <c r="E122" s="22" t="s">
        <v>547</v>
      </c>
      <c r="F122" s="24">
        <v>1</v>
      </c>
      <c r="G122" s="24" t="s">
        <v>494</v>
      </c>
      <c r="H122" s="24"/>
      <c r="I122" s="24"/>
      <c r="J122" s="24"/>
      <c r="K122" s="124"/>
      <c r="L122" s="124"/>
      <c r="M122" s="124"/>
      <c r="N122" s="124"/>
      <c r="O122" s="124" t="s">
        <v>633</v>
      </c>
      <c r="P122" s="124"/>
      <c r="Q122" s="24"/>
      <c r="R122" s="24"/>
      <c r="S122" s="24"/>
      <c r="T122" s="24"/>
      <c r="U122" s="24"/>
      <c r="V122" s="24"/>
      <c r="W122" s="24"/>
      <c r="X122" s="24"/>
      <c r="Y122" s="24"/>
      <c r="Z122" s="24"/>
      <c r="AA122" s="22"/>
      <c r="AB122" s="24"/>
      <c r="AC122" s="24"/>
      <c r="AD122" s="112"/>
      <c r="AE122" s="112"/>
      <c r="AF122" s="121">
        <v>249016007</v>
      </c>
      <c r="AG122" s="111"/>
      <c r="AH122" s="115" t="s">
        <v>115</v>
      </c>
      <c r="AI122" s="115" t="s">
        <v>613</v>
      </c>
      <c r="AJ122" s="115" t="s">
        <v>614</v>
      </c>
      <c r="AK122" s="24"/>
      <c r="AL122" s="24"/>
      <c r="AM122" s="24"/>
    </row>
    <row r="123" spans="1:39" ht="12.75" customHeight="1">
      <c r="A123" s="22">
        <v>121</v>
      </c>
      <c r="B123" s="124" t="s">
        <v>634</v>
      </c>
      <c r="C123" s="24" t="s">
        <v>65</v>
      </c>
      <c r="D123" s="24"/>
      <c r="E123" s="22" t="s">
        <v>547</v>
      </c>
      <c r="F123" s="24">
        <v>1</v>
      </c>
      <c r="G123" s="24" t="s">
        <v>494</v>
      </c>
      <c r="H123" s="24"/>
      <c r="I123" s="24"/>
      <c r="J123" s="24"/>
      <c r="K123" s="124" t="s">
        <v>115</v>
      </c>
      <c r="L123" s="124" t="s">
        <v>636</v>
      </c>
      <c r="M123" s="124" t="s">
        <v>637</v>
      </c>
      <c r="N123" s="124" t="s">
        <v>65</v>
      </c>
      <c r="O123" s="124"/>
      <c r="P123" s="124" t="s">
        <v>634</v>
      </c>
      <c r="Q123" s="24"/>
      <c r="R123" s="24"/>
      <c r="S123" s="24"/>
      <c r="T123" s="24" t="s">
        <v>115</v>
      </c>
      <c r="U123" s="24"/>
      <c r="V123" s="24"/>
      <c r="W123" s="24"/>
      <c r="X123" s="24"/>
      <c r="Y123" s="24"/>
      <c r="Z123" s="24"/>
      <c r="AA123" s="22"/>
      <c r="AB123" s="24"/>
      <c r="AC123" s="24"/>
      <c r="AD123" s="112"/>
      <c r="AE123" s="112"/>
      <c r="AF123" s="93" t="s">
        <v>638</v>
      </c>
      <c r="AG123" s="111"/>
      <c r="AH123" s="115" t="s">
        <v>115</v>
      </c>
      <c r="AI123" s="115" t="s">
        <v>639</v>
      </c>
      <c r="AJ123" s="115" t="s">
        <v>640</v>
      </c>
      <c r="AK123" s="24"/>
      <c r="AL123" s="24"/>
      <c r="AM123" s="24"/>
    </row>
    <row r="124" spans="1:39" ht="12.75" customHeight="1">
      <c r="A124" s="22">
        <v>122</v>
      </c>
      <c r="B124" s="124" t="s">
        <v>641</v>
      </c>
      <c r="C124" s="24" t="s">
        <v>65</v>
      </c>
      <c r="D124" s="24"/>
      <c r="E124" s="22" t="s">
        <v>547</v>
      </c>
      <c r="F124" s="24">
        <v>1</v>
      </c>
      <c r="G124" s="24" t="s">
        <v>494</v>
      </c>
      <c r="H124" s="24"/>
      <c r="I124" s="24"/>
      <c r="J124" s="24"/>
      <c r="K124" s="124" t="s">
        <v>115</v>
      </c>
      <c r="L124" s="124" t="s">
        <v>642</v>
      </c>
      <c r="M124" s="124" t="s">
        <v>643</v>
      </c>
      <c r="N124" s="124" t="s">
        <v>65</v>
      </c>
      <c r="O124" s="124"/>
      <c r="P124" s="124" t="s">
        <v>641</v>
      </c>
      <c r="Q124" s="24"/>
      <c r="R124" s="24"/>
      <c r="S124" s="24"/>
      <c r="T124" s="24" t="s">
        <v>115</v>
      </c>
      <c r="U124" s="24"/>
      <c r="V124" s="24"/>
      <c r="W124" s="24"/>
      <c r="X124" s="24"/>
      <c r="Y124" s="24"/>
      <c r="Z124" s="24"/>
      <c r="AA124" s="22"/>
      <c r="AB124" s="24"/>
      <c r="AC124" s="24"/>
      <c r="AD124" s="112"/>
      <c r="AE124" s="112"/>
      <c r="AF124" s="118">
        <v>366322004</v>
      </c>
      <c r="AG124" s="111"/>
      <c r="AH124" s="115" t="s">
        <v>115</v>
      </c>
      <c r="AI124" s="115" t="s">
        <v>644</v>
      </c>
      <c r="AJ124" s="115" t="s">
        <v>645</v>
      </c>
      <c r="AK124" s="24"/>
      <c r="AL124" s="24"/>
      <c r="AM124" s="24"/>
    </row>
    <row r="125" spans="1:39" ht="12.75" customHeight="1">
      <c r="A125" s="22">
        <v>123</v>
      </c>
      <c r="B125" s="130" t="s">
        <v>646</v>
      </c>
      <c r="C125" s="24" t="s">
        <v>96</v>
      </c>
      <c r="D125" s="24"/>
      <c r="E125" s="24" t="s">
        <v>647</v>
      </c>
      <c r="F125" s="24">
        <v>1</v>
      </c>
      <c r="G125" s="24" t="s">
        <v>494</v>
      </c>
      <c r="H125" s="24"/>
      <c r="I125" s="24"/>
      <c r="J125" s="111"/>
      <c r="K125" s="130" t="s">
        <v>646</v>
      </c>
      <c r="L125" s="124" t="s">
        <v>648</v>
      </c>
      <c r="M125" s="124" t="s">
        <v>649</v>
      </c>
      <c r="N125" s="124" t="s">
        <v>168</v>
      </c>
      <c r="O125" s="126"/>
      <c r="P125" s="126"/>
      <c r="Q125" s="124" t="s">
        <v>650</v>
      </c>
      <c r="R125" s="111"/>
      <c r="S125" s="24"/>
      <c r="T125" s="124" t="s">
        <v>113</v>
      </c>
      <c r="U125" s="111"/>
      <c r="V125" s="111"/>
      <c r="W125" s="111"/>
      <c r="X125" s="24"/>
      <c r="Y125" s="24"/>
      <c r="Z125" s="24"/>
      <c r="AA125" s="24"/>
      <c r="AB125" s="24"/>
      <c r="AC125" s="24"/>
      <c r="AD125" s="112"/>
      <c r="AE125" s="112"/>
      <c r="AF125" s="118">
        <v>161732006</v>
      </c>
      <c r="AG125" s="111"/>
      <c r="AH125" s="115" t="s">
        <v>115</v>
      </c>
      <c r="AI125" s="116" t="s">
        <v>651</v>
      </c>
      <c r="AJ125" s="115" t="s">
        <v>652</v>
      </c>
      <c r="AK125" s="24"/>
      <c r="AL125" s="24"/>
      <c r="AM125" s="24"/>
    </row>
    <row r="126" spans="1:39" ht="12.75" customHeight="1">
      <c r="A126" s="22">
        <v>124</v>
      </c>
      <c r="B126" s="130" t="s">
        <v>653</v>
      </c>
      <c r="C126" s="24" t="s">
        <v>65</v>
      </c>
      <c r="D126" s="24"/>
      <c r="E126" s="24" t="s">
        <v>647</v>
      </c>
      <c r="F126" s="24">
        <v>1</v>
      </c>
      <c r="G126" s="24" t="s">
        <v>494</v>
      </c>
      <c r="H126" s="24"/>
      <c r="I126" s="24"/>
      <c r="J126" s="111"/>
      <c r="K126" s="130" t="s">
        <v>115</v>
      </c>
      <c r="L126" s="124" t="s">
        <v>654</v>
      </c>
      <c r="M126" s="124" t="s">
        <v>655</v>
      </c>
      <c r="N126" s="124" t="s">
        <v>65</v>
      </c>
      <c r="O126" s="126"/>
      <c r="P126" s="124" t="s">
        <v>656</v>
      </c>
      <c r="Q126" s="126"/>
      <c r="R126" s="111"/>
      <c r="S126" s="24"/>
      <c r="T126" s="124" t="s">
        <v>115</v>
      </c>
      <c r="U126" s="111"/>
      <c r="V126" s="111"/>
      <c r="W126" s="111"/>
      <c r="X126" s="24"/>
      <c r="Y126" s="24"/>
      <c r="Z126" s="24"/>
      <c r="AA126" s="24"/>
      <c r="AB126" s="24"/>
      <c r="AC126" s="24"/>
      <c r="AD126" s="112"/>
      <c r="AE126" s="112"/>
      <c r="AF126" s="25"/>
      <c r="AG126" s="111"/>
      <c r="AH126" s="115" t="s">
        <v>115</v>
      </c>
      <c r="AI126" s="115" t="s">
        <v>115</v>
      </c>
      <c r="AJ126" s="115" t="s">
        <v>115</v>
      </c>
      <c r="AK126" s="24"/>
      <c r="AL126" s="24"/>
      <c r="AM126" s="24"/>
    </row>
    <row r="127" spans="1:39" ht="12.75" customHeight="1">
      <c r="A127" s="22">
        <v>125</v>
      </c>
      <c r="B127" s="130" t="s">
        <v>658</v>
      </c>
      <c r="C127" s="24" t="s">
        <v>96</v>
      </c>
      <c r="D127" s="24"/>
      <c r="E127" s="24" t="s">
        <v>647</v>
      </c>
      <c r="F127" s="24">
        <v>1</v>
      </c>
      <c r="G127" s="24" t="s">
        <v>494</v>
      </c>
      <c r="H127" s="24"/>
      <c r="I127" s="24"/>
      <c r="J127" s="111"/>
      <c r="K127" s="130" t="s">
        <v>658</v>
      </c>
      <c r="L127" s="124" t="s">
        <v>659</v>
      </c>
      <c r="M127" s="124" t="s">
        <v>660</v>
      </c>
      <c r="N127" s="124" t="s">
        <v>168</v>
      </c>
      <c r="O127" s="126"/>
      <c r="P127" s="126"/>
      <c r="Q127" s="124" t="s">
        <v>661</v>
      </c>
      <c r="R127" s="111"/>
      <c r="S127" s="24"/>
      <c r="T127" s="124" t="s">
        <v>113</v>
      </c>
      <c r="U127" s="111"/>
      <c r="V127" s="111"/>
      <c r="W127" s="111"/>
      <c r="X127" s="24"/>
      <c r="Y127" s="24"/>
      <c r="Z127" s="24"/>
      <c r="AA127" s="24"/>
      <c r="AB127" s="24"/>
      <c r="AC127" s="24"/>
      <c r="AD127" s="112"/>
      <c r="AE127" s="112"/>
      <c r="AF127" s="118">
        <v>252113007</v>
      </c>
      <c r="AG127" s="111"/>
      <c r="AH127" s="115" t="s">
        <v>115</v>
      </c>
      <c r="AI127" s="115" t="s">
        <v>662</v>
      </c>
      <c r="AJ127" s="115" t="s">
        <v>663</v>
      </c>
      <c r="AK127" s="24"/>
      <c r="AL127" s="24"/>
      <c r="AM127" s="24"/>
    </row>
    <row r="128" spans="1:39" ht="12.75" customHeight="1">
      <c r="A128" s="22">
        <v>126</v>
      </c>
      <c r="B128" s="130" t="s">
        <v>664</v>
      </c>
      <c r="C128" s="24" t="s">
        <v>96</v>
      </c>
      <c r="D128" s="24"/>
      <c r="E128" s="24" t="s">
        <v>647</v>
      </c>
      <c r="F128" s="24">
        <v>1</v>
      </c>
      <c r="G128" s="24" t="s">
        <v>494</v>
      </c>
      <c r="H128" s="24"/>
      <c r="I128" s="24"/>
      <c r="J128" s="111"/>
      <c r="K128" s="130" t="s">
        <v>664</v>
      </c>
      <c r="L128" s="124" t="s">
        <v>665</v>
      </c>
      <c r="M128" s="124" t="s">
        <v>666</v>
      </c>
      <c r="N128" s="124" t="s">
        <v>168</v>
      </c>
      <c r="O128" s="126"/>
      <c r="P128" s="126"/>
      <c r="Q128" s="124" t="s">
        <v>668</v>
      </c>
      <c r="R128" s="111"/>
      <c r="S128" s="24"/>
      <c r="T128" s="124" t="s">
        <v>113</v>
      </c>
      <c r="U128" s="111"/>
      <c r="V128" s="111"/>
      <c r="W128" s="111"/>
      <c r="X128" s="24"/>
      <c r="Y128" s="24"/>
      <c r="Z128" s="24"/>
      <c r="AA128" s="24"/>
      <c r="AB128" s="24"/>
      <c r="AC128" s="24"/>
      <c r="AD128" s="112"/>
      <c r="AE128" s="112"/>
      <c r="AF128" s="121">
        <v>248991006</v>
      </c>
      <c r="AG128" s="111"/>
      <c r="AH128" s="115" t="s">
        <v>115</v>
      </c>
      <c r="AI128" s="115" t="s">
        <v>669</v>
      </c>
      <c r="AJ128" s="115" t="s">
        <v>670</v>
      </c>
      <c r="AK128" s="24"/>
      <c r="AL128" s="24"/>
      <c r="AM128" s="24"/>
    </row>
    <row r="129" spans="1:39" ht="12.75" customHeight="1">
      <c r="A129" s="22">
        <v>127</v>
      </c>
      <c r="B129" s="130" t="s">
        <v>671</v>
      </c>
      <c r="C129" s="24" t="s">
        <v>96</v>
      </c>
      <c r="D129" s="24"/>
      <c r="E129" s="24" t="s">
        <v>647</v>
      </c>
      <c r="F129" s="24">
        <v>1</v>
      </c>
      <c r="G129" s="24" t="s">
        <v>494</v>
      </c>
      <c r="H129" s="24"/>
      <c r="I129" s="24"/>
      <c r="J129" s="111"/>
      <c r="K129" s="130" t="s">
        <v>671</v>
      </c>
      <c r="L129" s="124" t="s">
        <v>672</v>
      </c>
      <c r="M129" s="124" t="s">
        <v>673</v>
      </c>
      <c r="N129" s="124" t="s">
        <v>202</v>
      </c>
      <c r="O129" s="126"/>
      <c r="P129" s="126"/>
      <c r="Q129" s="124"/>
      <c r="R129" s="111"/>
      <c r="S129" s="24"/>
      <c r="T129" s="124" t="s">
        <v>208</v>
      </c>
      <c r="U129" s="111"/>
      <c r="V129" s="111"/>
      <c r="W129" s="111"/>
      <c r="X129" s="24"/>
      <c r="Y129" s="24"/>
      <c r="Z129" s="24"/>
      <c r="AA129" s="24"/>
      <c r="AB129" s="24"/>
      <c r="AC129" s="24"/>
      <c r="AD129" s="112"/>
      <c r="AE129" s="112"/>
      <c r="AF129" s="25"/>
      <c r="AG129" s="111"/>
      <c r="AH129" s="126"/>
      <c r="AI129" s="126"/>
      <c r="AJ129" s="132"/>
      <c r="AK129" s="24"/>
      <c r="AL129" s="24"/>
      <c r="AM129" s="24"/>
    </row>
    <row r="130" spans="1:39" ht="12.75" customHeight="1">
      <c r="A130" s="22">
        <v>128</v>
      </c>
      <c r="B130" s="130" t="s">
        <v>113</v>
      </c>
      <c r="C130" s="24" t="s">
        <v>180</v>
      </c>
      <c r="D130" s="130" t="s">
        <v>671</v>
      </c>
      <c r="E130" s="24" t="s">
        <v>647</v>
      </c>
      <c r="F130" s="24">
        <v>1</v>
      </c>
      <c r="G130" s="24" t="s">
        <v>494</v>
      </c>
      <c r="H130" s="24"/>
      <c r="I130" s="24"/>
      <c r="J130" s="111"/>
      <c r="K130" s="130"/>
      <c r="L130" s="124"/>
      <c r="M130" s="124"/>
      <c r="N130" s="124"/>
      <c r="O130" s="124" t="s">
        <v>113</v>
      </c>
      <c r="P130" s="126"/>
      <c r="Q130" s="124"/>
      <c r="R130" s="111"/>
      <c r="S130" s="24"/>
      <c r="T130" s="124"/>
      <c r="U130" s="111"/>
      <c r="V130" s="111"/>
      <c r="W130" s="111"/>
      <c r="X130" s="24"/>
      <c r="Y130" s="24"/>
      <c r="Z130" s="24"/>
      <c r="AA130" s="24"/>
      <c r="AB130" s="24"/>
      <c r="AC130" s="24"/>
      <c r="AD130" s="112"/>
      <c r="AE130" s="112"/>
      <c r="AF130" s="25"/>
      <c r="AG130" s="111"/>
      <c r="AH130" s="126"/>
      <c r="AI130" s="126"/>
      <c r="AJ130" s="132"/>
      <c r="AK130" s="24"/>
      <c r="AL130" s="24"/>
      <c r="AM130" s="24"/>
    </row>
    <row r="131" spans="1:39" ht="12.75" customHeight="1">
      <c r="A131" s="22">
        <v>129</v>
      </c>
      <c r="B131" s="130" t="s">
        <v>208</v>
      </c>
      <c r="C131" s="24" t="s">
        <v>180</v>
      </c>
      <c r="D131" s="130" t="s">
        <v>671</v>
      </c>
      <c r="E131" s="24" t="s">
        <v>647</v>
      </c>
      <c r="F131" s="24">
        <v>1</v>
      </c>
      <c r="G131" s="24" t="s">
        <v>494</v>
      </c>
      <c r="H131" s="24"/>
      <c r="I131" s="24"/>
      <c r="J131" s="111"/>
      <c r="K131" s="130"/>
      <c r="L131" s="124"/>
      <c r="M131" s="124"/>
      <c r="N131" s="124"/>
      <c r="O131" s="124" t="s">
        <v>208</v>
      </c>
      <c r="P131" s="126"/>
      <c r="Q131" s="124"/>
      <c r="R131" s="111"/>
      <c r="S131" s="24"/>
      <c r="T131" s="124"/>
      <c r="U131" s="111"/>
      <c r="V131" s="111"/>
      <c r="W131" s="111"/>
      <c r="X131" s="24"/>
      <c r="Y131" s="24"/>
      <c r="Z131" s="24"/>
      <c r="AA131" s="24"/>
      <c r="AB131" s="24"/>
      <c r="AC131" s="24"/>
      <c r="AD131" s="112"/>
      <c r="AE131" s="112"/>
      <c r="AF131" s="25"/>
      <c r="AG131" s="111"/>
      <c r="AH131" s="126"/>
      <c r="AI131" s="126"/>
      <c r="AJ131" s="132"/>
      <c r="AK131" s="24"/>
      <c r="AL131" s="24"/>
      <c r="AM131" s="24"/>
    </row>
    <row r="132" spans="1:39" ht="12.75" customHeight="1">
      <c r="A132" s="22">
        <v>130</v>
      </c>
      <c r="B132" s="130" t="s">
        <v>500</v>
      </c>
      <c r="C132" s="24" t="s">
        <v>180</v>
      </c>
      <c r="D132" s="130" t="s">
        <v>671</v>
      </c>
      <c r="E132" s="24" t="s">
        <v>647</v>
      </c>
      <c r="F132" s="24">
        <v>1</v>
      </c>
      <c r="G132" s="24" t="s">
        <v>494</v>
      </c>
      <c r="H132" s="24"/>
      <c r="I132" s="24"/>
      <c r="J132" s="111"/>
      <c r="K132" s="130"/>
      <c r="L132" s="124"/>
      <c r="M132" s="124"/>
      <c r="N132" s="124"/>
      <c r="O132" s="124" t="s">
        <v>500</v>
      </c>
      <c r="P132" s="126"/>
      <c r="Q132" s="124"/>
      <c r="R132" s="111"/>
      <c r="S132" s="24"/>
      <c r="T132" s="124"/>
      <c r="U132" s="111"/>
      <c r="V132" s="111"/>
      <c r="W132" s="111"/>
      <c r="X132" s="24"/>
      <c r="Y132" s="24"/>
      <c r="Z132" s="24"/>
      <c r="AA132" s="24"/>
      <c r="AB132" s="24"/>
      <c r="AC132" s="24"/>
      <c r="AD132" s="112"/>
      <c r="AE132" s="112"/>
      <c r="AF132" s="25"/>
      <c r="AG132" s="111"/>
      <c r="AH132" s="126"/>
      <c r="AI132" s="126"/>
      <c r="AJ132" s="132"/>
      <c r="AK132" s="24"/>
      <c r="AL132" s="24"/>
      <c r="AM132" s="24"/>
    </row>
    <row r="133" spans="1:39" ht="12.75" customHeight="1">
      <c r="A133" s="22">
        <v>131</v>
      </c>
      <c r="B133" s="130" t="s">
        <v>674</v>
      </c>
      <c r="C133" s="24" t="s">
        <v>96</v>
      </c>
      <c r="D133" s="24"/>
      <c r="E133" s="24" t="s">
        <v>647</v>
      </c>
      <c r="F133" s="24">
        <v>1</v>
      </c>
      <c r="G133" s="24" t="s">
        <v>494</v>
      </c>
      <c r="H133" s="24"/>
      <c r="I133" s="24"/>
      <c r="J133" s="111"/>
      <c r="K133" s="130" t="s">
        <v>674</v>
      </c>
      <c r="L133" s="124" t="s">
        <v>675</v>
      </c>
      <c r="M133" s="124" t="s">
        <v>676</v>
      </c>
      <c r="N133" s="124" t="s">
        <v>168</v>
      </c>
      <c r="O133" s="126"/>
      <c r="P133" s="126"/>
      <c r="Q133" s="124" t="s">
        <v>677</v>
      </c>
      <c r="R133" s="111"/>
      <c r="S133" s="24"/>
      <c r="T133" s="124" t="s">
        <v>113</v>
      </c>
      <c r="U133" s="111"/>
      <c r="V133" s="111"/>
      <c r="W133" s="111"/>
      <c r="X133" s="24"/>
      <c r="Y133" s="24"/>
      <c r="Z133" s="24"/>
      <c r="AA133" s="24"/>
      <c r="AB133" s="24"/>
      <c r="AC133" s="24"/>
      <c r="AD133" s="112"/>
      <c r="AE133" s="112"/>
      <c r="AF133" s="118">
        <v>252112002</v>
      </c>
      <c r="AG133" s="111"/>
      <c r="AH133" s="115" t="s">
        <v>115</v>
      </c>
      <c r="AI133" s="115" t="s">
        <v>678</v>
      </c>
      <c r="AJ133" s="115" t="s">
        <v>679</v>
      </c>
      <c r="AK133" s="24"/>
      <c r="AL133" s="24"/>
      <c r="AM133" s="24"/>
    </row>
    <row r="134" spans="1:39" ht="12.75" customHeight="1">
      <c r="A134" s="22">
        <v>132</v>
      </c>
      <c r="B134" s="130" t="s">
        <v>680</v>
      </c>
      <c r="C134" s="24" t="s">
        <v>65</v>
      </c>
      <c r="D134" s="24"/>
      <c r="E134" s="24" t="s">
        <v>647</v>
      </c>
      <c r="F134" s="24">
        <v>1</v>
      </c>
      <c r="G134" s="24" t="s">
        <v>494</v>
      </c>
      <c r="H134" s="24"/>
      <c r="I134" s="24"/>
      <c r="J134" s="111"/>
      <c r="K134" s="130" t="s">
        <v>115</v>
      </c>
      <c r="L134" s="124" t="s">
        <v>681</v>
      </c>
      <c r="M134" s="124" t="s">
        <v>682</v>
      </c>
      <c r="N134" s="124" t="s">
        <v>65</v>
      </c>
      <c r="O134" s="126"/>
      <c r="P134" s="124" t="s">
        <v>683</v>
      </c>
      <c r="Q134" s="126"/>
      <c r="R134" s="111"/>
      <c r="S134" s="24"/>
      <c r="T134" s="124" t="s">
        <v>115</v>
      </c>
      <c r="U134" s="111"/>
      <c r="V134" s="111"/>
      <c r="W134" s="111"/>
      <c r="X134" s="24"/>
      <c r="Y134" s="24"/>
      <c r="Z134" s="24"/>
      <c r="AA134" s="24"/>
      <c r="AB134" s="24"/>
      <c r="AC134" s="24"/>
      <c r="AD134" s="112"/>
      <c r="AE134" s="112"/>
      <c r="AF134" s="118">
        <v>364325004</v>
      </c>
      <c r="AG134" s="111"/>
      <c r="AH134" s="115" t="s">
        <v>115</v>
      </c>
      <c r="AI134" s="115" t="s">
        <v>684</v>
      </c>
      <c r="AJ134" s="115" t="s">
        <v>685</v>
      </c>
      <c r="AK134" s="24"/>
      <c r="AL134" s="24"/>
      <c r="AM134" s="24"/>
    </row>
    <row r="135" spans="1:39" ht="12.75" customHeight="1">
      <c r="A135" s="22">
        <v>133</v>
      </c>
      <c r="B135" s="124" t="s">
        <v>686</v>
      </c>
      <c r="C135" s="24" t="s">
        <v>96</v>
      </c>
      <c r="D135" s="24"/>
      <c r="E135" s="24" t="s">
        <v>647</v>
      </c>
      <c r="F135" s="24">
        <v>1</v>
      </c>
      <c r="G135" s="24" t="s">
        <v>494</v>
      </c>
      <c r="H135" s="24"/>
      <c r="I135" s="24"/>
      <c r="J135" s="111"/>
      <c r="K135" s="124" t="s">
        <v>686</v>
      </c>
      <c r="L135" s="124" t="s">
        <v>687</v>
      </c>
      <c r="M135" s="124" t="s">
        <v>688</v>
      </c>
      <c r="N135" s="124" t="s">
        <v>168</v>
      </c>
      <c r="O135" s="124"/>
      <c r="P135" s="124"/>
      <c r="Q135" s="124" t="s">
        <v>689</v>
      </c>
      <c r="R135" s="111"/>
      <c r="S135" s="24"/>
      <c r="T135" s="124" t="s">
        <v>113</v>
      </c>
      <c r="U135" s="111"/>
      <c r="V135" s="111"/>
      <c r="W135" s="111"/>
      <c r="X135" s="24"/>
      <c r="Y135" s="24"/>
      <c r="Z135" s="24"/>
      <c r="AA135" s="24"/>
      <c r="AB135" s="24"/>
      <c r="AC135" s="24"/>
      <c r="AD135" s="112"/>
      <c r="AE135" s="112"/>
      <c r="AF135" s="118">
        <v>252115000</v>
      </c>
      <c r="AG135" s="111"/>
      <c r="AH135" s="115" t="s">
        <v>115</v>
      </c>
      <c r="AI135" s="116" t="s">
        <v>690</v>
      </c>
      <c r="AJ135" s="115" t="s">
        <v>691</v>
      </c>
      <c r="AK135" s="24"/>
      <c r="AL135" s="24"/>
      <c r="AM135" s="24"/>
    </row>
    <row r="136" spans="1:39" ht="12.75" customHeight="1">
      <c r="A136" s="22">
        <v>134</v>
      </c>
      <c r="B136" s="124" t="s">
        <v>692</v>
      </c>
      <c r="C136" s="24" t="s">
        <v>96</v>
      </c>
      <c r="D136" s="24"/>
      <c r="E136" s="24" t="s">
        <v>647</v>
      </c>
      <c r="F136" s="24">
        <v>1</v>
      </c>
      <c r="G136" s="24" t="s">
        <v>494</v>
      </c>
      <c r="H136" s="24"/>
      <c r="I136" s="24"/>
      <c r="J136" s="111"/>
      <c r="K136" s="124" t="s">
        <v>692</v>
      </c>
      <c r="L136" s="124" t="s">
        <v>693</v>
      </c>
      <c r="M136" s="124" t="s">
        <v>694</v>
      </c>
      <c r="N136" s="124" t="s">
        <v>238</v>
      </c>
      <c r="O136" s="130"/>
      <c r="P136" s="124"/>
      <c r="Q136" s="124" t="s">
        <v>695</v>
      </c>
      <c r="R136" s="111"/>
      <c r="S136" s="24"/>
      <c r="T136" s="124" t="s">
        <v>113</v>
      </c>
      <c r="U136" s="111"/>
      <c r="V136" s="111"/>
      <c r="W136" s="111"/>
      <c r="X136" s="24"/>
      <c r="Y136" s="24"/>
      <c r="Z136" s="24"/>
      <c r="AA136" s="24"/>
      <c r="AB136" s="24"/>
      <c r="AC136" s="24"/>
      <c r="AD136" s="138" t="s">
        <v>696</v>
      </c>
      <c r="AE136" s="112"/>
      <c r="AF136" s="93" t="s">
        <v>697</v>
      </c>
      <c r="AG136" s="111"/>
      <c r="AH136" s="115" t="s">
        <v>115</v>
      </c>
      <c r="AI136" s="115" t="s">
        <v>698</v>
      </c>
      <c r="AJ136" s="115" t="s">
        <v>699</v>
      </c>
      <c r="AK136" s="24"/>
      <c r="AL136" s="24"/>
      <c r="AM136" s="24"/>
    </row>
    <row r="137" spans="1:39" ht="12.75" customHeight="1">
      <c r="A137" s="22">
        <v>135</v>
      </c>
      <c r="B137" s="130" t="s">
        <v>423</v>
      </c>
      <c r="C137" s="24" t="s">
        <v>180</v>
      </c>
      <c r="D137" s="124" t="s">
        <v>692</v>
      </c>
      <c r="E137" s="24" t="s">
        <v>647</v>
      </c>
      <c r="F137" s="24">
        <v>1</v>
      </c>
      <c r="G137" s="24" t="s">
        <v>494</v>
      </c>
      <c r="H137" s="24"/>
      <c r="I137" s="24"/>
      <c r="J137" s="111"/>
      <c r="K137" s="124"/>
      <c r="L137" s="124"/>
      <c r="M137" s="124"/>
      <c r="N137" s="124"/>
      <c r="O137" s="130" t="s">
        <v>423</v>
      </c>
      <c r="P137" s="124"/>
      <c r="Q137" s="126"/>
      <c r="R137" s="111"/>
      <c r="S137" s="24"/>
      <c r="T137" s="124"/>
      <c r="U137" s="111"/>
      <c r="V137" s="111"/>
      <c r="W137" s="111"/>
      <c r="X137" s="24"/>
      <c r="Y137" s="24"/>
      <c r="Z137" s="24"/>
      <c r="AA137" s="24"/>
      <c r="AB137" s="24"/>
      <c r="AC137" s="24"/>
      <c r="AD137" s="112"/>
      <c r="AE137" s="112"/>
      <c r="AF137" s="118">
        <v>260413007</v>
      </c>
      <c r="AG137" s="111"/>
      <c r="AH137" s="115" t="s">
        <v>115</v>
      </c>
      <c r="AI137" s="115" t="s">
        <v>424</v>
      </c>
      <c r="AJ137" s="115" t="s">
        <v>425</v>
      </c>
      <c r="AK137" s="24"/>
      <c r="AL137" s="24"/>
      <c r="AM137" s="24"/>
    </row>
    <row r="138" spans="1:39" ht="12.75" customHeight="1">
      <c r="A138" s="22">
        <v>136</v>
      </c>
      <c r="B138" s="124" t="s">
        <v>500</v>
      </c>
      <c r="C138" s="24" t="s">
        <v>180</v>
      </c>
      <c r="D138" s="124" t="s">
        <v>692</v>
      </c>
      <c r="E138" s="24" t="s">
        <v>647</v>
      </c>
      <c r="F138" s="24">
        <v>1</v>
      </c>
      <c r="G138" s="24" t="s">
        <v>494</v>
      </c>
      <c r="H138" s="24"/>
      <c r="I138" s="24"/>
      <c r="J138" s="111"/>
      <c r="K138" s="124"/>
      <c r="L138" s="124"/>
      <c r="M138" s="124"/>
      <c r="N138" s="124"/>
      <c r="O138" s="124" t="s">
        <v>500</v>
      </c>
      <c r="P138" s="124"/>
      <c r="Q138" s="126"/>
      <c r="R138" s="111"/>
      <c r="S138" s="24"/>
      <c r="T138" s="124"/>
      <c r="U138" s="111"/>
      <c r="V138" s="111"/>
      <c r="W138" s="111"/>
      <c r="X138" s="24"/>
      <c r="Y138" s="24"/>
      <c r="Z138" s="24"/>
      <c r="AA138" s="24"/>
      <c r="AB138" s="24"/>
      <c r="AC138" s="24"/>
      <c r="AD138" s="112"/>
      <c r="AE138" s="112"/>
      <c r="AF138" s="25">
        <v>261665006</v>
      </c>
      <c r="AG138" s="111"/>
      <c r="AH138" s="115" t="s">
        <v>115</v>
      </c>
      <c r="AI138" s="115" t="s">
        <v>501</v>
      </c>
      <c r="AJ138" s="115" t="s">
        <v>503</v>
      </c>
      <c r="AK138" s="24"/>
      <c r="AL138" s="24"/>
      <c r="AM138" s="24"/>
    </row>
    <row r="139" spans="1:39" ht="12.75" customHeight="1">
      <c r="A139" s="22">
        <v>137</v>
      </c>
      <c r="B139" s="124" t="s">
        <v>700</v>
      </c>
      <c r="C139" s="24" t="s">
        <v>180</v>
      </c>
      <c r="D139" s="124" t="s">
        <v>692</v>
      </c>
      <c r="E139" s="24" t="s">
        <v>647</v>
      </c>
      <c r="F139" s="24">
        <v>1</v>
      </c>
      <c r="G139" s="24" t="s">
        <v>494</v>
      </c>
      <c r="H139" s="24"/>
      <c r="I139" s="24"/>
      <c r="J139" s="111"/>
      <c r="K139" s="124"/>
      <c r="L139" s="124"/>
      <c r="M139" s="124"/>
      <c r="N139" s="124"/>
      <c r="O139" s="124" t="s">
        <v>700</v>
      </c>
      <c r="P139" s="124"/>
      <c r="Q139" s="126"/>
      <c r="R139" s="111"/>
      <c r="S139" s="24"/>
      <c r="T139" s="124"/>
      <c r="U139" s="111"/>
      <c r="V139" s="111"/>
      <c r="W139" s="111"/>
      <c r="X139" s="24"/>
      <c r="Y139" s="24"/>
      <c r="Z139" s="24"/>
      <c r="AA139" s="24"/>
      <c r="AB139" s="24"/>
      <c r="AC139" s="24"/>
      <c r="AD139" s="112"/>
      <c r="AE139" s="112"/>
      <c r="AF139" s="118">
        <v>398254007</v>
      </c>
      <c r="AG139" s="111"/>
      <c r="AH139" s="115" t="s">
        <v>115</v>
      </c>
      <c r="AI139" s="115" t="s">
        <v>702</v>
      </c>
      <c r="AJ139" s="115" t="s">
        <v>703</v>
      </c>
      <c r="AK139" s="24"/>
      <c r="AL139" s="24"/>
      <c r="AM139" s="24"/>
    </row>
    <row r="140" spans="1:39" ht="12.75" customHeight="1">
      <c r="A140" s="22">
        <v>138</v>
      </c>
      <c r="B140" s="124" t="s">
        <v>704</v>
      </c>
      <c r="C140" s="24" t="s">
        <v>180</v>
      </c>
      <c r="D140" s="124" t="s">
        <v>692</v>
      </c>
      <c r="E140" s="24" t="s">
        <v>647</v>
      </c>
      <c r="F140" s="24">
        <v>1</v>
      </c>
      <c r="G140" s="24" t="s">
        <v>494</v>
      </c>
      <c r="H140" s="24"/>
      <c r="I140" s="24"/>
      <c r="J140" s="111"/>
      <c r="K140" s="124"/>
      <c r="L140" s="124"/>
      <c r="M140" s="124"/>
      <c r="N140" s="124"/>
      <c r="O140" s="124" t="s">
        <v>704</v>
      </c>
      <c r="P140" s="124"/>
      <c r="Q140" s="126"/>
      <c r="R140" s="111"/>
      <c r="S140" s="24"/>
      <c r="T140" s="124"/>
      <c r="U140" s="111"/>
      <c r="V140" s="111"/>
      <c r="W140" s="111"/>
      <c r="X140" s="24"/>
      <c r="Y140" s="24"/>
      <c r="Z140" s="24"/>
      <c r="AA140" s="24"/>
      <c r="AB140" s="24"/>
      <c r="AC140" s="24"/>
      <c r="AD140" s="112"/>
      <c r="AE140" s="112"/>
      <c r="AF140" s="121">
        <v>15938005</v>
      </c>
      <c r="AG140" s="111"/>
      <c r="AH140" s="115" t="s">
        <v>115</v>
      </c>
      <c r="AI140" s="115" t="s">
        <v>706</v>
      </c>
      <c r="AJ140" s="115" t="s">
        <v>707</v>
      </c>
      <c r="AK140" s="24"/>
      <c r="AL140" s="24"/>
      <c r="AM140" s="24"/>
    </row>
    <row r="141" spans="1:39" ht="12.75" customHeight="1">
      <c r="A141" s="22">
        <v>139</v>
      </c>
      <c r="B141" s="124" t="s">
        <v>708</v>
      </c>
      <c r="C141" s="24" t="s">
        <v>180</v>
      </c>
      <c r="D141" s="124" t="s">
        <v>692</v>
      </c>
      <c r="E141" s="24" t="s">
        <v>647</v>
      </c>
      <c r="F141" s="24">
        <v>1</v>
      </c>
      <c r="G141" s="24" t="s">
        <v>494</v>
      </c>
      <c r="H141" s="24"/>
      <c r="I141" s="24"/>
      <c r="J141" s="111"/>
      <c r="K141" s="124"/>
      <c r="L141" s="124"/>
      <c r="M141" s="124"/>
      <c r="N141" s="124"/>
      <c r="O141" s="124" t="s">
        <v>708</v>
      </c>
      <c r="P141" s="124"/>
      <c r="Q141" s="126"/>
      <c r="R141" s="111"/>
      <c r="S141" s="24"/>
      <c r="T141" s="124"/>
      <c r="U141" s="111"/>
      <c r="V141" s="111"/>
      <c r="W141" s="111"/>
      <c r="X141" s="24"/>
      <c r="Y141" s="24"/>
      <c r="Z141" s="24"/>
      <c r="AA141" s="24"/>
      <c r="AB141" s="24"/>
      <c r="AC141" s="24"/>
      <c r="AD141" s="112"/>
      <c r="AE141" s="112"/>
      <c r="AF141" s="121">
        <v>91175000</v>
      </c>
      <c r="AG141" s="111"/>
      <c r="AH141" s="115" t="s">
        <v>115</v>
      </c>
      <c r="AI141" s="115" t="s">
        <v>709</v>
      </c>
      <c r="AJ141" s="115" t="s">
        <v>710</v>
      </c>
      <c r="AK141" s="24"/>
      <c r="AL141" s="24"/>
      <c r="AM141" s="24"/>
    </row>
    <row r="142" spans="1:39" ht="12.75" customHeight="1">
      <c r="A142" s="22">
        <v>140</v>
      </c>
      <c r="B142" s="124" t="s">
        <v>711</v>
      </c>
      <c r="C142" s="24" t="s">
        <v>180</v>
      </c>
      <c r="D142" s="124" t="s">
        <v>692</v>
      </c>
      <c r="E142" s="24" t="s">
        <v>647</v>
      </c>
      <c r="F142" s="24">
        <v>1</v>
      </c>
      <c r="G142" s="24" t="s">
        <v>494</v>
      </c>
      <c r="H142" s="24"/>
      <c r="I142" s="24"/>
      <c r="J142" s="111"/>
      <c r="K142" s="124"/>
      <c r="L142" s="124"/>
      <c r="M142" s="124"/>
      <c r="N142" s="124"/>
      <c r="O142" s="124" t="s">
        <v>711</v>
      </c>
      <c r="P142" s="124"/>
      <c r="Q142" s="126"/>
      <c r="R142" s="111"/>
      <c r="S142" s="24"/>
      <c r="T142" s="124"/>
      <c r="U142" s="111"/>
      <c r="V142" s="111"/>
      <c r="W142" s="111"/>
      <c r="X142" s="24"/>
      <c r="Y142" s="24"/>
      <c r="Z142" s="24"/>
      <c r="AA142" s="24"/>
      <c r="AB142" s="24"/>
      <c r="AC142" s="24"/>
      <c r="AD142" s="112"/>
      <c r="AE142" s="112"/>
      <c r="AF142" s="121">
        <v>110483000</v>
      </c>
      <c r="AG142" s="111"/>
      <c r="AH142" s="115" t="s">
        <v>115</v>
      </c>
      <c r="AI142" s="116" t="s">
        <v>713</v>
      </c>
      <c r="AJ142" s="115" t="s">
        <v>714</v>
      </c>
      <c r="AK142" s="24"/>
      <c r="AL142" s="24"/>
      <c r="AM142" s="24"/>
    </row>
    <row r="143" spans="1:39" ht="12.75" customHeight="1">
      <c r="A143" s="22">
        <v>141</v>
      </c>
      <c r="B143" s="124" t="s">
        <v>715</v>
      </c>
      <c r="C143" s="24" t="s">
        <v>180</v>
      </c>
      <c r="D143" s="124" t="s">
        <v>692</v>
      </c>
      <c r="E143" s="24" t="s">
        <v>647</v>
      </c>
      <c r="F143" s="24">
        <v>1</v>
      </c>
      <c r="G143" s="24" t="s">
        <v>494</v>
      </c>
      <c r="H143" s="24"/>
      <c r="I143" s="24"/>
      <c r="J143" s="111"/>
      <c r="K143" s="124"/>
      <c r="L143" s="124"/>
      <c r="M143" s="124"/>
      <c r="N143" s="124"/>
      <c r="O143" s="124" t="s">
        <v>715</v>
      </c>
      <c r="P143" s="124"/>
      <c r="Q143" s="126"/>
      <c r="R143" s="111"/>
      <c r="S143" s="24"/>
      <c r="T143" s="124"/>
      <c r="U143" s="111"/>
      <c r="V143" s="111"/>
      <c r="W143" s="111"/>
      <c r="X143" s="24"/>
      <c r="Y143" s="24"/>
      <c r="Z143" s="24"/>
      <c r="AA143" s="24"/>
      <c r="AB143" s="24"/>
      <c r="AC143" s="24"/>
      <c r="AD143" s="141" t="s">
        <v>717</v>
      </c>
      <c r="AE143" s="112"/>
      <c r="AF143" s="121">
        <v>110483000</v>
      </c>
      <c r="AG143" s="111"/>
      <c r="AH143" s="115" t="s">
        <v>115</v>
      </c>
      <c r="AI143" s="116" t="s">
        <v>718</v>
      </c>
      <c r="AJ143" s="116" t="s">
        <v>719</v>
      </c>
      <c r="AK143" s="24"/>
      <c r="AL143" s="24"/>
      <c r="AM143" s="24"/>
    </row>
    <row r="144" spans="1:39" ht="12.75" customHeight="1">
      <c r="A144" s="22">
        <v>142</v>
      </c>
      <c r="B144" s="124" t="s">
        <v>720</v>
      </c>
      <c r="C144" s="24" t="s">
        <v>180</v>
      </c>
      <c r="D144" s="124" t="s">
        <v>692</v>
      </c>
      <c r="E144" s="24" t="s">
        <v>647</v>
      </c>
      <c r="F144" s="24">
        <v>1</v>
      </c>
      <c r="G144" s="24" t="s">
        <v>494</v>
      </c>
      <c r="H144" s="24"/>
      <c r="I144" s="24"/>
      <c r="J144" s="111"/>
      <c r="K144" s="124"/>
      <c r="L144" s="124"/>
      <c r="M144" s="124"/>
      <c r="N144" s="124"/>
      <c r="O144" s="124" t="s">
        <v>720</v>
      </c>
      <c r="P144" s="124"/>
      <c r="Q144" s="126"/>
      <c r="R144" s="111"/>
      <c r="S144" s="24"/>
      <c r="T144" s="124"/>
      <c r="U144" s="111"/>
      <c r="V144" s="111"/>
      <c r="W144" s="111"/>
      <c r="X144" s="24"/>
      <c r="Y144" s="24"/>
      <c r="Z144" s="24"/>
      <c r="AA144" s="24"/>
      <c r="AB144" s="24"/>
      <c r="AC144" s="24"/>
      <c r="AD144" s="112"/>
      <c r="AE144" s="112"/>
      <c r="AF144" s="118">
        <v>219006</v>
      </c>
      <c r="AG144" s="111"/>
      <c r="AH144" s="115" t="s">
        <v>115</v>
      </c>
      <c r="AI144" s="115" t="s">
        <v>721</v>
      </c>
      <c r="AJ144" s="115" t="s">
        <v>722</v>
      </c>
      <c r="AK144" s="24"/>
      <c r="AL144" s="24"/>
      <c r="AM144" s="24"/>
    </row>
    <row r="145" spans="1:39" ht="12.75" customHeight="1">
      <c r="A145" s="22">
        <v>143</v>
      </c>
      <c r="B145" s="124" t="s">
        <v>723</v>
      </c>
      <c r="C145" s="24" t="s">
        <v>180</v>
      </c>
      <c r="D145" s="124" t="s">
        <v>692</v>
      </c>
      <c r="E145" s="24" t="s">
        <v>647</v>
      </c>
      <c r="F145" s="24">
        <v>1</v>
      </c>
      <c r="G145" s="24" t="s">
        <v>494</v>
      </c>
      <c r="H145" s="24"/>
      <c r="I145" s="24"/>
      <c r="J145" s="111"/>
      <c r="K145" s="124"/>
      <c r="L145" s="124"/>
      <c r="M145" s="124"/>
      <c r="N145" s="124"/>
      <c r="O145" s="124" t="s">
        <v>723</v>
      </c>
      <c r="P145" s="124"/>
      <c r="Q145" s="126"/>
      <c r="R145" s="111"/>
      <c r="S145" s="24"/>
      <c r="T145" s="124"/>
      <c r="U145" s="111"/>
      <c r="V145" s="111"/>
      <c r="W145" s="111"/>
      <c r="X145" s="24"/>
      <c r="Y145" s="24"/>
      <c r="Z145" s="24"/>
      <c r="AA145" s="24"/>
      <c r="AB145" s="24"/>
      <c r="AC145" s="24"/>
      <c r="AD145" s="112"/>
      <c r="AE145" s="112"/>
      <c r="AF145" s="118">
        <v>371422002</v>
      </c>
      <c r="AG145" s="111"/>
      <c r="AH145" s="115" t="s">
        <v>115</v>
      </c>
      <c r="AI145" s="116" t="s">
        <v>724</v>
      </c>
      <c r="AJ145" s="116" t="s">
        <v>725</v>
      </c>
      <c r="AK145" s="24"/>
      <c r="AL145" s="24"/>
      <c r="AM145" s="24"/>
    </row>
    <row r="146" spans="1:39" ht="12.75" customHeight="1">
      <c r="A146" s="22">
        <v>144</v>
      </c>
      <c r="B146" s="124" t="s">
        <v>726</v>
      </c>
      <c r="C146" s="24" t="s">
        <v>180</v>
      </c>
      <c r="D146" s="124" t="s">
        <v>692</v>
      </c>
      <c r="E146" s="24" t="s">
        <v>647</v>
      </c>
      <c r="F146" s="24">
        <v>1</v>
      </c>
      <c r="G146" s="24" t="s">
        <v>494</v>
      </c>
      <c r="H146" s="24"/>
      <c r="I146" s="24"/>
      <c r="J146" s="111"/>
      <c r="K146" s="124"/>
      <c r="L146" s="124"/>
      <c r="M146" s="124"/>
      <c r="N146" s="124"/>
      <c r="O146" s="124" t="s">
        <v>726</v>
      </c>
      <c r="P146" s="124"/>
      <c r="Q146" s="126"/>
      <c r="R146" s="111"/>
      <c r="S146" s="24"/>
      <c r="T146" s="124"/>
      <c r="U146" s="111"/>
      <c r="V146" s="111"/>
      <c r="W146" s="111"/>
      <c r="X146" s="24"/>
      <c r="Y146" s="24"/>
      <c r="Z146" s="24"/>
      <c r="AA146" s="24"/>
      <c r="AB146" s="24"/>
      <c r="AC146" s="24"/>
      <c r="AD146" s="141" t="s">
        <v>727</v>
      </c>
      <c r="AE146" s="112"/>
      <c r="AF146" s="118">
        <v>47821001</v>
      </c>
      <c r="AG146" s="111"/>
      <c r="AH146" s="115" t="s">
        <v>115</v>
      </c>
      <c r="AI146" s="115" t="s">
        <v>728</v>
      </c>
      <c r="AJ146" s="115" t="s">
        <v>729</v>
      </c>
      <c r="AK146" s="24"/>
      <c r="AL146" s="24"/>
      <c r="AM146" s="24"/>
    </row>
    <row r="147" spans="1:39" ht="12.75" customHeight="1">
      <c r="A147" s="22">
        <v>145</v>
      </c>
      <c r="B147" s="124" t="s">
        <v>731</v>
      </c>
      <c r="C147" s="24" t="s">
        <v>180</v>
      </c>
      <c r="D147" s="124" t="s">
        <v>692</v>
      </c>
      <c r="E147" s="24" t="s">
        <v>647</v>
      </c>
      <c r="F147" s="24">
        <v>1</v>
      </c>
      <c r="G147" s="24" t="s">
        <v>494</v>
      </c>
      <c r="H147" s="24"/>
      <c r="I147" s="24"/>
      <c r="J147" s="111"/>
      <c r="K147" s="124"/>
      <c r="L147" s="124"/>
      <c r="M147" s="124"/>
      <c r="N147" s="124"/>
      <c r="O147" s="124" t="s">
        <v>731</v>
      </c>
      <c r="P147" s="124"/>
      <c r="Q147" s="126"/>
      <c r="R147" s="111"/>
      <c r="S147" s="24"/>
      <c r="T147" s="124"/>
      <c r="U147" s="111"/>
      <c r="V147" s="111"/>
      <c r="W147" s="111"/>
      <c r="X147" s="24"/>
      <c r="Y147" s="24"/>
      <c r="Z147" s="24"/>
      <c r="AA147" s="24"/>
      <c r="AB147" s="24"/>
      <c r="AC147" s="24"/>
      <c r="AD147" s="119"/>
      <c r="AE147" s="119"/>
      <c r="AF147" s="120"/>
      <c r="AG147" s="127"/>
      <c r="AH147" s="115" t="s">
        <v>115</v>
      </c>
      <c r="AI147" s="115" t="s">
        <v>732</v>
      </c>
      <c r="AJ147" s="115" t="s">
        <v>733</v>
      </c>
      <c r="AK147" s="24"/>
      <c r="AL147" s="24"/>
      <c r="AM147" s="24"/>
    </row>
    <row r="148" spans="1:39" ht="12.75" customHeight="1">
      <c r="A148" s="22">
        <v>146</v>
      </c>
      <c r="B148" s="124" t="s">
        <v>734</v>
      </c>
      <c r="C148" s="24" t="s">
        <v>180</v>
      </c>
      <c r="D148" s="124" t="s">
        <v>692</v>
      </c>
      <c r="E148" s="24" t="s">
        <v>647</v>
      </c>
      <c r="F148" s="24">
        <v>1</v>
      </c>
      <c r="G148" s="24" t="s">
        <v>494</v>
      </c>
      <c r="H148" s="24"/>
      <c r="I148" s="24"/>
      <c r="J148" s="111"/>
      <c r="K148" s="124"/>
      <c r="L148" s="124"/>
      <c r="M148" s="124"/>
      <c r="N148" s="124"/>
      <c r="O148" s="124" t="s">
        <v>734</v>
      </c>
      <c r="P148" s="124"/>
      <c r="Q148" s="126"/>
      <c r="R148" s="111"/>
      <c r="S148" s="24"/>
      <c r="T148" s="124"/>
      <c r="U148" s="111"/>
      <c r="V148" s="111"/>
      <c r="W148" s="111"/>
      <c r="X148" s="24"/>
      <c r="Y148" s="24"/>
      <c r="Z148" s="24"/>
      <c r="AA148" s="24"/>
      <c r="AB148" s="24"/>
      <c r="AC148" s="24"/>
      <c r="AD148" s="112"/>
      <c r="AE148" s="112"/>
      <c r="AF148" s="118">
        <v>276613009</v>
      </c>
      <c r="AG148" s="111"/>
      <c r="AH148" s="115" t="s">
        <v>115</v>
      </c>
      <c r="AI148" s="116" t="s">
        <v>735</v>
      </c>
      <c r="AJ148" s="115" t="s">
        <v>736</v>
      </c>
      <c r="AK148" s="24"/>
      <c r="AL148" s="24"/>
      <c r="AM148" s="24"/>
    </row>
    <row r="149" spans="1:39" ht="12.75" customHeight="1">
      <c r="A149" s="22">
        <v>147</v>
      </c>
      <c r="B149" s="124" t="s">
        <v>737</v>
      </c>
      <c r="C149" s="24" t="s">
        <v>180</v>
      </c>
      <c r="D149" s="124" t="s">
        <v>692</v>
      </c>
      <c r="E149" s="24" t="s">
        <v>647</v>
      </c>
      <c r="F149" s="24">
        <v>1</v>
      </c>
      <c r="G149" s="24" t="s">
        <v>494</v>
      </c>
      <c r="H149" s="24"/>
      <c r="I149" s="24"/>
      <c r="J149" s="111"/>
      <c r="K149" s="124"/>
      <c r="L149" s="124"/>
      <c r="M149" s="124"/>
      <c r="N149" s="124"/>
      <c r="O149" s="124" t="s">
        <v>737</v>
      </c>
      <c r="P149" s="124"/>
      <c r="Q149" s="126"/>
      <c r="R149" s="111"/>
      <c r="S149" s="24"/>
      <c r="T149" s="124"/>
      <c r="U149" s="111"/>
      <c r="V149" s="111"/>
      <c r="W149" s="111"/>
      <c r="X149" s="24"/>
      <c r="Y149" s="24"/>
      <c r="Z149" s="24"/>
      <c r="AA149" s="24"/>
      <c r="AB149" s="24"/>
      <c r="AC149" s="24"/>
      <c r="AD149" s="112"/>
      <c r="AE149" s="112"/>
      <c r="AF149" s="118">
        <v>236974004</v>
      </c>
      <c r="AG149" s="111"/>
      <c r="AH149" s="115" t="s">
        <v>115</v>
      </c>
      <c r="AI149" s="115" t="s">
        <v>739</v>
      </c>
      <c r="AJ149" s="115" t="s">
        <v>740</v>
      </c>
      <c r="AK149" s="24"/>
      <c r="AL149" s="24"/>
      <c r="AM149" s="24"/>
    </row>
    <row r="150" spans="1:39" ht="12.75" customHeight="1">
      <c r="A150" s="22">
        <v>148</v>
      </c>
      <c r="B150" s="124" t="s">
        <v>741</v>
      </c>
      <c r="C150" s="24" t="s">
        <v>180</v>
      </c>
      <c r="D150" s="124" t="s">
        <v>692</v>
      </c>
      <c r="E150" s="24" t="s">
        <v>647</v>
      </c>
      <c r="F150" s="24">
        <v>1</v>
      </c>
      <c r="G150" s="24" t="s">
        <v>494</v>
      </c>
      <c r="H150" s="24"/>
      <c r="I150" s="24"/>
      <c r="J150" s="111"/>
      <c r="K150" s="124"/>
      <c r="L150" s="124"/>
      <c r="M150" s="124"/>
      <c r="N150" s="124"/>
      <c r="O150" s="124" t="s">
        <v>741</v>
      </c>
      <c r="P150" s="124"/>
      <c r="Q150" s="126"/>
      <c r="R150" s="111"/>
      <c r="S150" s="24"/>
      <c r="T150" s="124"/>
      <c r="U150" s="111"/>
      <c r="V150" s="111"/>
      <c r="W150" s="111"/>
      <c r="X150" s="24"/>
      <c r="Y150" s="24"/>
      <c r="Z150" s="24"/>
      <c r="AA150" s="24"/>
      <c r="AB150" s="24"/>
      <c r="AC150" s="24"/>
      <c r="AD150" s="112"/>
      <c r="AE150" s="112"/>
      <c r="AF150" s="121">
        <v>10217006</v>
      </c>
      <c r="AG150" s="111"/>
      <c r="AH150" s="115" t="s">
        <v>115</v>
      </c>
      <c r="AI150" s="116" t="s">
        <v>742</v>
      </c>
      <c r="AJ150" s="115" t="s">
        <v>743</v>
      </c>
      <c r="AK150" s="24"/>
      <c r="AL150" s="24"/>
      <c r="AM150" s="24"/>
    </row>
    <row r="151" spans="1:39" ht="25.5" customHeight="1">
      <c r="A151" s="22">
        <v>149</v>
      </c>
      <c r="B151" s="124" t="s">
        <v>405</v>
      </c>
      <c r="C151" s="24" t="s">
        <v>180</v>
      </c>
      <c r="D151" s="124" t="s">
        <v>692</v>
      </c>
      <c r="E151" s="24" t="s">
        <v>647</v>
      </c>
      <c r="F151" s="24">
        <v>1</v>
      </c>
      <c r="G151" s="24" t="s">
        <v>494</v>
      </c>
      <c r="H151" s="24"/>
      <c r="I151" s="24"/>
      <c r="J151" s="111"/>
      <c r="K151" s="124"/>
      <c r="L151" s="124"/>
      <c r="M151" s="124"/>
      <c r="N151" s="124"/>
      <c r="O151" s="124" t="s">
        <v>405</v>
      </c>
      <c r="P151" s="124"/>
      <c r="Q151" s="126"/>
      <c r="R151" s="111"/>
      <c r="S151" s="24"/>
      <c r="T151" s="124"/>
      <c r="U151" s="111"/>
      <c r="V151" s="111"/>
      <c r="W151" s="111"/>
      <c r="X151" s="24"/>
      <c r="Y151" s="24"/>
      <c r="Z151" s="24"/>
      <c r="AA151" s="24"/>
      <c r="AB151" s="24"/>
      <c r="AC151" s="24"/>
      <c r="AD151" s="112"/>
      <c r="AE151" s="112"/>
      <c r="AF151" s="25" t="s">
        <v>745</v>
      </c>
      <c r="AG151" s="111"/>
      <c r="AH151" s="115" t="s">
        <v>115</v>
      </c>
      <c r="AI151" s="115" t="s">
        <v>406</v>
      </c>
      <c r="AJ151" s="115" t="s">
        <v>407</v>
      </c>
      <c r="AK151" s="24"/>
      <c r="AL151" s="24"/>
      <c r="AM151" s="24"/>
    </row>
    <row r="152" spans="1:39" ht="51" customHeight="1">
      <c r="A152" s="22">
        <v>150</v>
      </c>
      <c r="B152" s="124" t="s">
        <v>746</v>
      </c>
      <c r="C152" s="24" t="s">
        <v>96</v>
      </c>
      <c r="D152" s="24"/>
      <c r="E152" s="24" t="s">
        <v>647</v>
      </c>
      <c r="F152" s="24">
        <v>1</v>
      </c>
      <c r="G152" s="24" t="s">
        <v>494</v>
      </c>
      <c r="H152" s="24"/>
      <c r="I152" s="24"/>
      <c r="J152" s="111"/>
      <c r="K152" s="124" t="s">
        <v>409</v>
      </c>
      <c r="L152" s="124" t="s">
        <v>747</v>
      </c>
      <c r="M152" s="124" t="s">
        <v>748</v>
      </c>
      <c r="N152" s="124" t="s">
        <v>111</v>
      </c>
      <c r="O152" s="130"/>
      <c r="P152" s="124"/>
      <c r="Q152" s="126"/>
      <c r="R152" s="111"/>
      <c r="S152" s="24"/>
      <c r="T152" s="124" t="s">
        <v>208</v>
      </c>
      <c r="U152" s="111"/>
      <c r="V152" s="111"/>
      <c r="W152" s="111"/>
      <c r="X152" s="24"/>
      <c r="Y152" s="24"/>
      <c r="Z152" s="24"/>
      <c r="AA152" s="24"/>
      <c r="AB152" s="24"/>
      <c r="AC152" s="24"/>
      <c r="AD152" s="112"/>
      <c r="AE152" s="112"/>
      <c r="AF152" s="25"/>
      <c r="AG152" s="141" t="s">
        <v>413</v>
      </c>
      <c r="AH152" s="115" t="s">
        <v>749</v>
      </c>
      <c r="AI152" s="115" t="s">
        <v>415</v>
      </c>
      <c r="AJ152" s="115" t="s">
        <v>416</v>
      </c>
      <c r="AK152" s="24"/>
      <c r="AL152" s="24"/>
      <c r="AM152" s="24"/>
    </row>
    <row r="153" spans="1:39" ht="38.25" customHeight="1">
      <c r="A153" s="22">
        <v>151</v>
      </c>
      <c r="B153" s="124" t="s">
        <v>750</v>
      </c>
      <c r="C153" s="24" t="s">
        <v>96</v>
      </c>
      <c r="D153" s="24"/>
      <c r="E153" s="24" t="s">
        <v>647</v>
      </c>
      <c r="F153" s="24">
        <v>1</v>
      </c>
      <c r="G153" s="24" t="s">
        <v>494</v>
      </c>
      <c r="H153" s="24"/>
      <c r="I153" s="24"/>
      <c r="J153" s="111"/>
      <c r="K153" s="124" t="s">
        <v>750</v>
      </c>
      <c r="L153" s="124" t="s">
        <v>751</v>
      </c>
      <c r="M153" s="124" t="s">
        <v>752</v>
      </c>
      <c r="N153" s="124" t="s">
        <v>238</v>
      </c>
      <c r="O153" s="124"/>
      <c r="P153" s="126"/>
      <c r="Q153" s="126"/>
      <c r="R153" s="111"/>
      <c r="S153" s="24"/>
      <c r="T153" s="124" t="s">
        <v>208</v>
      </c>
      <c r="U153" s="111"/>
      <c r="V153" s="111"/>
      <c r="W153" s="111"/>
      <c r="X153" s="24"/>
      <c r="Y153" s="24"/>
      <c r="Z153" s="24"/>
      <c r="AA153" s="24"/>
      <c r="AB153" s="24"/>
      <c r="AC153" s="24"/>
      <c r="AD153" s="119"/>
      <c r="AE153" s="119"/>
      <c r="AF153" s="120"/>
      <c r="AG153" s="127"/>
      <c r="AH153" s="115" t="s">
        <v>115</v>
      </c>
      <c r="AI153" s="115" t="s">
        <v>753</v>
      </c>
      <c r="AJ153" s="115" t="s">
        <v>754</v>
      </c>
      <c r="AK153" s="24"/>
      <c r="AL153" s="24"/>
      <c r="AM153" s="24"/>
    </row>
    <row r="154" spans="1:39" ht="25.5" customHeight="1">
      <c r="A154" s="22">
        <v>152</v>
      </c>
      <c r="B154" s="124" t="s">
        <v>755</v>
      </c>
      <c r="C154" s="24" t="s">
        <v>180</v>
      </c>
      <c r="D154" s="124" t="s">
        <v>750</v>
      </c>
      <c r="E154" s="24" t="s">
        <v>647</v>
      </c>
      <c r="F154" s="24">
        <v>1</v>
      </c>
      <c r="G154" s="24" t="s">
        <v>494</v>
      </c>
      <c r="H154" s="24"/>
      <c r="I154" s="24"/>
      <c r="J154" s="111"/>
      <c r="K154" s="124"/>
      <c r="L154" s="124"/>
      <c r="M154" s="124"/>
      <c r="N154" s="124"/>
      <c r="O154" s="124" t="s">
        <v>755</v>
      </c>
      <c r="P154" s="126"/>
      <c r="Q154" s="126"/>
      <c r="R154" s="111"/>
      <c r="S154" s="24"/>
      <c r="T154" s="124"/>
      <c r="U154" s="111"/>
      <c r="V154" s="111"/>
      <c r="W154" s="111"/>
      <c r="X154" s="24"/>
      <c r="Y154" s="24"/>
      <c r="Z154" s="24"/>
      <c r="AA154" s="24"/>
      <c r="AB154" s="24"/>
      <c r="AC154" s="24"/>
      <c r="AD154" s="112"/>
      <c r="AE154" s="112"/>
      <c r="AF154" s="25"/>
      <c r="AG154" s="111"/>
      <c r="AH154" s="115" t="s">
        <v>115</v>
      </c>
      <c r="AI154" s="115" t="s">
        <v>757</v>
      </c>
      <c r="AJ154" s="115" t="s">
        <v>758</v>
      </c>
      <c r="AK154" s="24"/>
      <c r="AL154" s="24"/>
      <c r="AM154" s="24"/>
    </row>
    <row r="155" spans="1:39" ht="12.75" customHeight="1">
      <c r="A155" s="22">
        <v>153</v>
      </c>
      <c r="B155" s="124" t="s">
        <v>759</v>
      </c>
      <c r="C155" s="24" t="s">
        <v>180</v>
      </c>
      <c r="D155" s="124" t="s">
        <v>750</v>
      </c>
      <c r="E155" s="24" t="s">
        <v>647</v>
      </c>
      <c r="F155" s="24">
        <v>1</v>
      </c>
      <c r="G155" s="24" t="s">
        <v>494</v>
      </c>
      <c r="H155" s="24"/>
      <c r="I155" s="24"/>
      <c r="J155" s="111"/>
      <c r="K155" s="124"/>
      <c r="L155" s="124"/>
      <c r="M155" s="124"/>
      <c r="N155" s="124"/>
      <c r="O155" s="124" t="s">
        <v>759</v>
      </c>
      <c r="P155" s="126"/>
      <c r="Q155" s="126"/>
      <c r="R155" s="111"/>
      <c r="S155" s="24"/>
      <c r="T155" s="124"/>
      <c r="U155" s="111"/>
      <c r="V155" s="111"/>
      <c r="W155" s="111"/>
      <c r="X155" s="24"/>
      <c r="Y155" s="24"/>
      <c r="Z155" s="24"/>
      <c r="AA155" s="24"/>
      <c r="AB155" s="24"/>
      <c r="AC155" s="24"/>
      <c r="AD155" s="155" t="s">
        <v>760</v>
      </c>
      <c r="AE155" s="112"/>
      <c r="AF155" s="121">
        <v>428493006</v>
      </c>
      <c r="AG155" s="111"/>
      <c r="AH155" s="115" t="s">
        <v>115</v>
      </c>
      <c r="AI155" s="116" t="s">
        <v>761</v>
      </c>
      <c r="AJ155" s="115" t="s">
        <v>762</v>
      </c>
      <c r="AK155" s="24"/>
      <c r="AL155" s="24"/>
      <c r="AM155" s="24"/>
    </row>
    <row r="156" spans="1:39" ht="12.75" customHeight="1">
      <c r="A156" s="22">
        <v>154</v>
      </c>
      <c r="B156" s="124" t="s">
        <v>763</v>
      </c>
      <c r="C156" s="24" t="s">
        <v>180</v>
      </c>
      <c r="D156" s="124" t="s">
        <v>750</v>
      </c>
      <c r="E156" s="24" t="s">
        <v>647</v>
      </c>
      <c r="F156" s="24">
        <v>1</v>
      </c>
      <c r="G156" s="24" t="s">
        <v>494</v>
      </c>
      <c r="H156" s="24"/>
      <c r="I156" s="24"/>
      <c r="J156" s="111"/>
      <c r="K156" s="124"/>
      <c r="L156" s="124"/>
      <c r="M156" s="124"/>
      <c r="N156" s="124"/>
      <c r="O156" s="124" t="s">
        <v>763</v>
      </c>
      <c r="P156" s="126"/>
      <c r="Q156" s="126"/>
      <c r="R156" s="111"/>
      <c r="S156" s="24"/>
      <c r="T156" s="124"/>
      <c r="U156" s="111"/>
      <c r="V156" s="111"/>
      <c r="W156" s="111"/>
      <c r="X156" s="24"/>
      <c r="Y156" s="24"/>
      <c r="Z156" s="24"/>
      <c r="AA156" s="24"/>
      <c r="AB156" s="24"/>
      <c r="AC156" s="24"/>
      <c r="AD156" s="158" t="s">
        <v>765</v>
      </c>
      <c r="AE156" s="112"/>
      <c r="AF156" s="121">
        <v>228388006</v>
      </c>
      <c r="AG156" s="111"/>
      <c r="AH156" s="115" t="s">
        <v>115</v>
      </c>
      <c r="AI156" s="116" t="s">
        <v>766</v>
      </c>
      <c r="AJ156" s="115" t="s">
        <v>767</v>
      </c>
      <c r="AK156" s="24"/>
      <c r="AL156" s="24"/>
      <c r="AM156" s="24"/>
    </row>
    <row r="157" spans="1:39" ht="25.5" customHeight="1">
      <c r="A157" s="22">
        <v>155</v>
      </c>
      <c r="B157" s="124" t="s">
        <v>405</v>
      </c>
      <c r="C157" s="24" t="s">
        <v>180</v>
      </c>
      <c r="D157" s="124" t="s">
        <v>750</v>
      </c>
      <c r="E157" s="24" t="s">
        <v>647</v>
      </c>
      <c r="F157" s="24">
        <v>1</v>
      </c>
      <c r="G157" s="24" t="s">
        <v>494</v>
      </c>
      <c r="H157" s="24"/>
      <c r="I157" s="24"/>
      <c r="J157" s="111"/>
      <c r="K157" s="124"/>
      <c r="L157" s="124"/>
      <c r="M157" s="124"/>
      <c r="N157" s="124"/>
      <c r="O157" s="124" t="s">
        <v>405</v>
      </c>
      <c r="P157" s="126"/>
      <c r="Q157" s="126"/>
      <c r="R157" s="111"/>
      <c r="S157" s="24"/>
      <c r="T157" s="124"/>
      <c r="U157" s="111"/>
      <c r="V157" s="111"/>
      <c r="W157" s="111"/>
      <c r="X157" s="24"/>
      <c r="Y157" s="24"/>
      <c r="Z157" s="24"/>
      <c r="AA157" s="24"/>
      <c r="AB157" s="24"/>
      <c r="AC157" s="24"/>
      <c r="AD157" s="112"/>
      <c r="AE157" s="112"/>
      <c r="AF157" s="131">
        <v>74964007</v>
      </c>
      <c r="AG157" s="111"/>
      <c r="AH157" s="115" t="s">
        <v>115</v>
      </c>
      <c r="AI157" s="115" t="s">
        <v>406</v>
      </c>
      <c r="AJ157" s="115" t="s">
        <v>407</v>
      </c>
      <c r="AK157" s="24"/>
      <c r="AL157" s="24"/>
      <c r="AM157" s="24"/>
    </row>
    <row r="158" spans="1:39" ht="25.5" customHeight="1">
      <c r="A158" s="22">
        <v>156</v>
      </c>
      <c r="B158" s="124" t="s">
        <v>768</v>
      </c>
      <c r="C158" s="24" t="s">
        <v>96</v>
      </c>
      <c r="D158" s="24"/>
      <c r="E158" s="24" t="s">
        <v>647</v>
      </c>
      <c r="F158" s="24">
        <v>1</v>
      </c>
      <c r="G158" s="24" t="s">
        <v>494</v>
      </c>
      <c r="H158" s="24"/>
      <c r="I158" s="24"/>
      <c r="J158" s="111"/>
      <c r="K158" s="124" t="s">
        <v>409</v>
      </c>
      <c r="L158" s="124" t="s">
        <v>769</v>
      </c>
      <c r="M158" s="124" t="s">
        <v>770</v>
      </c>
      <c r="N158" s="124" t="s">
        <v>111</v>
      </c>
      <c r="O158" s="124"/>
      <c r="P158" s="126"/>
      <c r="Q158" s="126"/>
      <c r="R158" s="111"/>
      <c r="S158" s="24"/>
      <c r="T158" s="124" t="s">
        <v>208</v>
      </c>
      <c r="U158" s="111"/>
      <c r="V158" s="111"/>
      <c r="W158" s="111"/>
      <c r="X158" s="24"/>
      <c r="Y158" s="24"/>
      <c r="Z158" s="24"/>
      <c r="AA158" s="24"/>
      <c r="AB158" s="24"/>
      <c r="AC158" s="24"/>
      <c r="AD158" s="112"/>
      <c r="AE158" s="112"/>
      <c r="AF158" s="25"/>
      <c r="AG158" s="111"/>
      <c r="AH158" s="115" t="s">
        <v>115</v>
      </c>
      <c r="AI158" s="115" t="s">
        <v>115</v>
      </c>
      <c r="AJ158" s="115" t="s">
        <v>115</v>
      </c>
      <c r="AK158" s="24"/>
      <c r="AL158" s="24"/>
      <c r="AM158" s="24"/>
    </row>
    <row r="159" spans="1:39" ht="89.25" customHeight="1">
      <c r="A159" s="22">
        <v>157</v>
      </c>
      <c r="B159" s="160" t="s">
        <v>771</v>
      </c>
      <c r="C159" s="24" t="s">
        <v>96</v>
      </c>
      <c r="D159" s="24"/>
      <c r="E159" s="24" t="s">
        <v>772</v>
      </c>
      <c r="F159" s="24">
        <v>1</v>
      </c>
      <c r="G159" s="24" t="s">
        <v>494</v>
      </c>
      <c r="H159" s="24"/>
      <c r="I159" s="24"/>
      <c r="J159" s="111"/>
      <c r="K159" s="160" t="s">
        <v>771</v>
      </c>
      <c r="L159" s="124" t="s">
        <v>773</v>
      </c>
      <c r="M159" s="124" t="s">
        <v>774</v>
      </c>
      <c r="N159" s="124" t="s">
        <v>238</v>
      </c>
      <c r="O159" s="161"/>
      <c r="P159" s="126"/>
      <c r="Q159" s="124" t="s">
        <v>695</v>
      </c>
      <c r="R159" s="111"/>
      <c r="S159" s="24"/>
      <c r="T159" s="124" t="s">
        <v>208</v>
      </c>
      <c r="U159" s="111"/>
      <c r="V159" s="111"/>
      <c r="W159" s="111"/>
      <c r="X159" s="24"/>
      <c r="Y159" s="24"/>
      <c r="Z159" s="24"/>
      <c r="AA159" s="24"/>
      <c r="AB159" s="24"/>
      <c r="AC159" s="24"/>
      <c r="AD159" s="112"/>
      <c r="AE159" s="112"/>
      <c r="AF159" s="118">
        <v>90260006</v>
      </c>
      <c r="AG159" s="111"/>
      <c r="AH159" s="115" t="s">
        <v>115</v>
      </c>
      <c r="AI159" s="115" t="s">
        <v>775</v>
      </c>
      <c r="AJ159" s="115" t="s">
        <v>776</v>
      </c>
      <c r="AK159" s="24"/>
      <c r="AL159" s="24"/>
      <c r="AM159" s="24"/>
    </row>
    <row r="160" spans="1:39" ht="12.75" customHeight="1">
      <c r="A160" s="22">
        <v>158</v>
      </c>
      <c r="B160" s="161" t="s">
        <v>423</v>
      </c>
      <c r="C160" s="24" t="s">
        <v>180</v>
      </c>
      <c r="D160" s="160" t="s">
        <v>771</v>
      </c>
      <c r="E160" s="24" t="s">
        <v>772</v>
      </c>
      <c r="F160" s="24">
        <v>1</v>
      </c>
      <c r="G160" s="24" t="s">
        <v>494</v>
      </c>
      <c r="H160" s="24"/>
      <c r="I160" s="24"/>
      <c r="J160" s="111"/>
      <c r="K160" s="160"/>
      <c r="L160" s="124"/>
      <c r="M160" s="124"/>
      <c r="N160" s="124"/>
      <c r="O160" s="161" t="s">
        <v>423</v>
      </c>
      <c r="P160" s="126"/>
      <c r="Q160" s="124"/>
      <c r="R160" s="111"/>
      <c r="S160" s="24"/>
      <c r="T160" s="124"/>
      <c r="U160" s="111"/>
      <c r="V160" s="111"/>
      <c r="W160" s="111"/>
      <c r="X160" s="24"/>
      <c r="Y160" s="24"/>
      <c r="Z160" s="24"/>
      <c r="AA160" s="24"/>
      <c r="AB160" s="24"/>
      <c r="AC160" s="24"/>
      <c r="AD160" s="112"/>
      <c r="AE160" s="112"/>
      <c r="AF160" s="118">
        <v>260413007</v>
      </c>
      <c r="AG160" s="111"/>
      <c r="AH160" s="115" t="s">
        <v>115</v>
      </c>
      <c r="AI160" s="115" t="s">
        <v>424</v>
      </c>
      <c r="AJ160" s="115" t="s">
        <v>425</v>
      </c>
      <c r="AK160" s="24"/>
      <c r="AL160" s="24"/>
      <c r="AM160" s="24"/>
    </row>
    <row r="161" spans="1:39" ht="12.75" customHeight="1">
      <c r="A161" s="22">
        <v>159</v>
      </c>
      <c r="B161" s="161" t="s">
        <v>500</v>
      </c>
      <c r="C161" s="24" t="s">
        <v>180</v>
      </c>
      <c r="D161" s="160" t="s">
        <v>771</v>
      </c>
      <c r="E161" s="24" t="s">
        <v>772</v>
      </c>
      <c r="F161" s="24">
        <v>1</v>
      </c>
      <c r="G161" s="24" t="s">
        <v>494</v>
      </c>
      <c r="H161" s="24"/>
      <c r="I161" s="24"/>
      <c r="J161" s="111"/>
      <c r="K161" s="160"/>
      <c r="L161" s="124"/>
      <c r="M161" s="124"/>
      <c r="N161" s="124"/>
      <c r="O161" s="161" t="s">
        <v>500</v>
      </c>
      <c r="P161" s="126"/>
      <c r="Q161" s="124"/>
      <c r="R161" s="111"/>
      <c r="S161" s="24"/>
      <c r="T161" s="124"/>
      <c r="U161" s="111"/>
      <c r="V161" s="111"/>
      <c r="W161" s="111"/>
      <c r="X161" s="24"/>
      <c r="Y161" s="24"/>
      <c r="Z161" s="24"/>
      <c r="AA161" s="24"/>
      <c r="AB161" s="24"/>
      <c r="AC161" s="24"/>
      <c r="AD161" s="112"/>
      <c r="AE161" s="112"/>
      <c r="AF161" s="25">
        <v>261665006</v>
      </c>
      <c r="AG161" s="111"/>
      <c r="AH161" s="115" t="s">
        <v>115</v>
      </c>
      <c r="AI161" s="115" t="s">
        <v>501</v>
      </c>
      <c r="AJ161" s="115" t="s">
        <v>503</v>
      </c>
      <c r="AK161" s="24"/>
      <c r="AL161" s="24"/>
      <c r="AM161" s="24"/>
    </row>
    <row r="162" spans="1:39" ht="12.75" customHeight="1">
      <c r="A162" s="22">
        <v>160</v>
      </c>
      <c r="B162" s="161" t="s">
        <v>777</v>
      </c>
      <c r="C162" s="24" t="s">
        <v>180</v>
      </c>
      <c r="D162" s="160" t="s">
        <v>771</v>
      </c>
      <c r="E162" s="24" t="s">
        <v>772</v>
      </c>
      <c r="F162" s="24">
        <v>1</v>
      </c>
      <c r="G162" s="24" t="s">
        <v>494</v>
      </c>
      <c r="H162" s="24"/>
      <c r="I162" s="24"/>
      <c r="J162" s="111"/>
      <c r="K162" s="160"/>
      <c r="L162" s="124"/>
      <c r="M162" s="124"/>
      <c r="N162" s="124"/>
      <c r="O162" s="161" t="s">
        <v>777</v>
      </c>
      <c r="P162" s="126"/>
      <c r="Q162" s="124"/>
      <c r="R162" s="111"/>
      <c r="S162" s="24"/>
      <c r="T162" s="124"/>
      <c r="U162" s="111"/>
      <c r="V162" s="111"/>
      <c r="W162" s="111"/>
      <c r="X162" s="24"/>
      <c r="Y162" s="24"/>
      <c r="Z162" s="24"/>
      <c r="AA162" s="24"/>
      <c r="AB162" s="24"/>
      <c r="AC162" s="24"/>
      <c r="AD162" s="112"/>
      <c r="AE162" s="112"/>
      <c r="AF162" s="118">
        <v>96119002</v>
      </c>
      <c r="AG162" s="111"/>
      <c r="AH162" s="115" t="s">
        <v>115</v>
      </c>
      <c r="AI162" s="116" t="s">
        <v>778</v>
      </c>
      <c r="AJ162" s="115" t="s">
        <v>779</v>
      </c>
      <c r="AK162" s="24"/>
      <c r="AL162" s="24"/>
      <c r="AM162" s="24"/>
    </row>
    <row r="163" spans="1:39" ht="12.75" customHeight="1">
      <c r="A163" s="22">
        <v>161</v>
      </c>
      <c r="B163" s="161" t="s">
        <v>780</v>
      </c>
      <c r="C163" s="24" t="s">
        <v>180</v>
      </c>
      <c r="D163" s="160" t="s">
        <v>771</v>
      </c>
      <c r="E163" s="24" t="s">
        <v>772</v>
      </c>
      <c r="F163" s="24">
        <v>1</v>
      </c>
      <c r="G163" s="24" t="s">
        <v>494</v>
      </c>
      <c r="H163" s="24"/>
      <c r="I163" s="24"/>
      <c r="J163" s="111"/>
      <c r="K163" s="160"/>
      <c r="L163" s="124"/>
      <c r="M163" s="124"/>
      <c r="N163" s="124"/>
      <c r="O163" s="161" t="s">
        <v>780</v>
      </c>
      <c r="P163" s="126"/>
      <c r="Q163" s="124"/>
      <c r="R163" s="111"/>
      <c r="S163" s="24"/>
      <c r="T163" s="124"/>
      <c r="U163" s="111"/>
      <c r="V163" s="111"/>
      <c r="W163" s="111"/>
      <c r="X163" s="24"/>
      <c r="Y163" s="24"/>
      <c r="Z163" s="24"/>
      <c r="AA163" s="24"/>
      <c r="AB163" s="24"/>
      <c r="AC163" s="24"/>
      <c r="AD163" s="112"/>
      <c r="AE163" s="112"/>
      <c r="AF163" s="121">
        <v>80399002</v>
      </c>
      <c r="AG163" s="111"/>
      <c r="AH163" s="115" t="s">
        <v>115</v>
      </c>
      <c r="AI163" s="115" t="s">
        <v>781</v>
      </c>
      <c r="AJ163" s="115" t="s">
        <v>782</v>
      </c>
      <c r="AK163" s="24"/>
      <c r="AL163" s="24"/>
      <c r="AM163" s="24"/>
    </row>
    <row r="164" spans="1:39" ht="12.75" customHeight="1">
      <c r="A164" s="22">
        <v>162</v>
      </c>
      <c r="B164" s="161" t="s">
        <v>783</v>
      </c>
      <c r="C164" s="24" t="s">
        <v>180</v>
      </c>
      <c r="D164" s="160" t="s">
        <v>771</v>
      </c>
      <c r="E164" s="24" t="s">
        <v>772</v>
      </c>
      <c r="F164" s="24">
        <v>1</v>
      </c>
      <c r="G164" s="24" t="s">
        <v>494</v>
      </c>
      <c r="H164" s="24"/>
      <c r="I164" s="24"/>
      <c r="J164" s="111"/>
      <c r="K164" s="160"/>
      <c r="L164" s="124"/>
      <c r="M164" s="124"/>
      <c r="N164" s="124"/>
      <c r="O164" s="161" t="s">
        <v>783</v>
      </c>
      <c r="P164" s="126"/>
      <c r="Q164" s="124"/>
      <c r="R164" s="111"/>
      <c r="S164" s="24"/>
      <c r="T164" s="124"/>
      <c r="U164" s="111"/>
      <c r="V164" s="111"/>
      <c r="W164" s="111"/>
      <c r="X164" s="24"/>
      <c r="Y164" s="24"/>
      <c r="Z164" s="24"/>
      <c r="AA164" s="24"/>
      <c r="AB164" s="24"/>
      <c r="AC164" s="24"/>
      <c r="AD164" s="112"/>
      <c r="AE164" s="112"/>
      <c r="AF164" s="121">
        <v>5540006</v>
      </c>
      <c r="AG164" s="111"/>
      <c r="AH164" s="115" t="s">
        <v>115</v>
      </c>
      <c r="AI164" s="116" t="s">
        <v>784</v>
      </c>
      <c r="AJ164" s="115" t="s">
        <v>785</v>
      </c>
      <c r="AK164" s="24"/>
      <c r="AL164" s="24"/>
      <c r="AM164" s="24"/>
    </row>
    <row r="165" spans="1:39" ht="12.75" customHeight="1">
      <c r="A165" s="22">
        <v>163</v>
      </c>
      <c r="B165" s="161" t="s">
        <v>786</v>
      </c>
      <c r="C165" s="24" t="s">
        <v>180</v>
      </c>
      <c r="D165" s="160" t="s">
        <v>771</v>
      </c>
      <c r="E165" s="24" t="s">
        <v>772</v>
      </c>
      <c r="F165" s="24">
        <v>1</v>
      </c>
      <c r="G165" s="24" t="s">
        <v>494</v>
      </c>
      <c r="H165" s="24"/>
      <c r="I165" s="24"/>
      <c r="J165" s="111"/>
      <c r="K165" s="160"/>
      <c r="L165" s="124"/>
      <c r="M165" s="124"/>
      <c r="N165" s="124"/>
      <c r="O165" s="161" t="s">
        <v>786</v>
      </c>
      <c r="P165" s="126"/>
      <c r="Q165" s="124"/>
      <c r="R165" s="111"/>
      <c r="S165" s="24"/>
      <c r="T165" s="124"/>
      <c r="U165" s="111"/>
      <c r="V165" s="111"/>
      <c r="W165" s="111"/>
      <c r="X165" s="24"/>
      <c r="Y165" s="24"/>
      <c r="Z165" s="24"/>
      <c r="AA165" s="24"/>
      <c r="AB165" s="24"/>
      <c r="AC165" s="24"/>
      <c r="AD165" s="112"/>
      <c r="AE165" s="112"/>
      <c r="AF165" s="121" t="s">
        <v>787</v>
      </c>
      <c r="AG165" s="111"/>
      <c r="AH165" s="115" t="s">
        <v>115</v>
      </c>
      <c r="AI165" s="115" t="s">
        <v>788</v>
      </c>
      <c r="AJ165" s="115" t="s">
        <v>789</v>
      </c>
      <c r="AK165" s="24"/>
      <c r="AL165" s="24"/>
      <c r="AM165" s="24"/>
    </row>
    <row r="166" spans="1:39" ht="12.75" customHeight="1">
      <c r="A166" s="22">
        <v>164</v>
      </c>
      <c r="B166" s="161" t="s">
        <v>790</v>
      </c>
      <c r="C166" s="24" t="s">
        <v>180</v>
      </c>
      <c r="D166" s="160" t="s">
        <v>771</v>
      </c>
      <c r="E166" s="24" t="s">
        <v>772</v>
      </c>
      <c r="F166" s="24">
        <v>1</v>
      </c>
      <c r="G166" s="24" t="s">
        <v>494</v>
      </c>
      <c r="H166" s="24"/>
      <c r="I166" s="24"/>
      <c r="J166" s="111"/>
      <c r="K166" s="160"/>
      <c r="L166" s="124"/>
      <c r="M166" s="124"/>
      <c r="N166" s="124"/>
      <c r="O166" s="161" t="s">
        <v>790</v>
      </c>
      <c r="P166" s="126"/>
      <c r="Q166" s="124"/>
      <c r="R166" s="111"/>
      <c r="S166" s="24"/>
      <c r="T166" s="124"/>
      <c r="U166" s="111"/>
      <c r="V166" s="111"/>
      <c r="W166" s="111"/>
      <c r="X166" s="24"/>
      <c r="Y166" s="24"/>
      <c r="Z166" s="24"/>
      <c r="AA166" s="24"/>
      <c r="AB166" s="24"/>
      <c r="AC166" s="24"/>
      <c r="AD166" s="112"/>
      <c r="AE166" s="112"/>
      <c r="AF166" s="118">
        <v>6247001</v>
      </c>
      <c r="AG166" s="111"/>
      <c r="AH166" s="115" t="s">
        <v>115</v>
      </c>
      <c r="AI166" s="116" t="s">
        <v>791</v>
      </c>
      <c r="AJ166" s="115" t="s">
        <v>792</v>
      </c>
      <c r="AK166" s="24"/>
      <c r="AL166" s="24"/>
      <c r="AM166" s="24"/>
    </row>
    <row r="167" spans="1:39" ht="12.75" customHeight="1">
      <c r="A167" s="22">
        <v>165</v>
      </c>
      <c r="B167" s="161" t="s">
        <v>793</v>
      </c>
      <c r="C167" s="24" t="s">
        <v>180</v>
      </c>
      <c r="D167" s="160" t="s">
        <v>771</v>
      </c>
      <c r="E167" s="24" t="s">
        <v>772</v>
      </c>
      <c r="F167" s="24">
        <v>1</v>
      </c>
      <c r="G167" s="24" t="s">
        <v>494</v>
      </c>
      <c r="H167" s="24"/>
      <c r="I167" s="24"/>
      <c r="J167" s="111"/>
      <c r="K167" s="160"/>
      <c r="L167" s="124"/>
      <c r="M167" s="124"/>
      <c r="N167" s="124"/>
      <c r="O167" s="161" t="s">
        <v>793</v>
      </c>
      <c r="P167" s="126"/>
      <c r="Q167" s="124"/>
      <c r="R167" s="111"/>
      <c r="S167" s="24"/>
      <c r="T167" s="124"/>
      <c r="U167" s="111"/>
      <c r="V167" s="111"/>
      <c r="W167" s="111"/>
      <c r="X167" s="24"/>
      <c r="Y167" s="24"/>
      <c r="Z167" s="24"/>
      <c r="AA167" s="24"/>
      <c r="AB167" s="24"/>
      <c r="AC167" s="24"/>
      <c r="AD167" s="112"/>
      <c r="AE167" s="112"/>
      <c r="AF167" s="93" t="s">
        <v>794</v>
      </c>
      <c r="AG167" s="111"/>
      <c r="AH167" s="115" t="s">
        <v>115</v>
      </c>
      <c r="AI167" s="115" t="s">
        <v>795</v>
      </c>
      <c r="AJ167" s="115" t="s">
        <v>796</v>
      </c>
      <c r="AK167" s="24"/>
      <c r="AL167" s="24"/>
      <c r="AM167" s="24"/>
    </row>
    <row r="168" spans="1:39" ht="12.75" customHeight="1">
      <c r="A168" s="22">
        <v>166</v>
      </c>
      <c r="B168" s="161" t="s">
        <v>797</v>
      </c>
      <c r="C168" s="24" t="s">
        <v>180</v>
      </c>
      <c r="D168" s="160" t="s">
        <v>771</v>
      </c>
      <c r="E168" s="24" t="s">
        <v>772</v>
      </c>
      <c r="F168" s="24">
        <v>1</v>
      </c>
      <c r="G168" s="24" t="s">
        <v>494</v>
      </c>
      <c r="H168" s="24"/>
      <c r="I168" s="24"/>
      <c r="J168" s="111"/>
      <c r="K168" s="160"/>
      <c r="L168" s="124"/>
      <c r="M168" s="124"/>
      <c r="N168" s="124"/>
      <c r="O168" s="161" t="s">
        <v>797</v>
      </c>
      <c r="P168" s="126"/>
      <c r="Q168" s="124"/>
      <c r="R168" s="111"/>
      <c r="S168" s="24"/>
      <c r="T168" s="124"/>
      <c r="U168" s="111"/>
      <c r="V168" s="111"/>
      <c r="W168" s="111"/>
      <c r="X168" s="24"/>
      <c r="Y168" s="24"/>
      <c r="Z168" s="24"/>
      <c r="AA168" s="24"/>
      <c r="AB168" s="24"/>
      <c r="AC168" s="24"/>
      <c r="AD168" s="112"/>
      <c r="AE168" s="112"/>
      <c r="AF168" s="118">
        <v>30729008</v>
      </c>
      <c r="AG168" s="111"/>
      <c r="AH168" s="115" t="s">
        <v>115</v>
      </c>
      <c r="AI168" s="116" t="s">
        <v>798</v>
      </c>
      <c r="AJ168" s="115" t="s">
        <v>799</v>
      </c>
      <c r="AK168" s="24"/>
      <c r="AL168" s="24"/>
      <c r="AM168" s="24"/>
    </row>
    <row r="169" spans="1:39" ht="12.75" customHeight="1">
      <c r="A169" s="22">
        <v>167</v>
      </c>
      <c r="B169" s="161" t="s">
        <v>800</v>
      </c>
      <c r="C169" s="24" t="s">
        <v>180</v>
      </c>
      <c r="D169" s="160" t="s">
        <v>771</v>
      </c>
      <c r="E169" s="24" t="s">
        <v>772</v>
      </c>
      <c r="F169" s="24">
        <v>1</v>
      </c>
      <c r="G169" s="24" t="s">
        <v>494</v>
      </c>
      <c r="H169" s="24"/>
      <c r="I169" s="24"/>
      <c r="J169" s="111"/>
      <c r="K169" s="160"/>
      <c r="L169" s="124"/>
      <c r="M169" s="124"/>
      <c r="N169" s="124"/>
      <c r="O169" s="161" t="s">
        <v>800</v>
      </c>
      <c r="P169" s="126"/>
      <c r="Q169" s="124"/>
      <c r="R169" s="111"/>
      <c r="S169" s="24"/>
      <c r="T169" s="124"/>
      <c r="U169" s="111"/>
      <c r="V169" s="111"/>
      <c r="W169" s="111"/>
      <c r="X169" s="24"/>
      <c r="Y169" s="24"/>
      <c r="Z169" s="24"/>
      <c r="AA169" s="24"/>
      <c r="AB169" s="24"/>
      <c r="AC169" s="24"/>
      <c r="AD169" s="112"/>
      <c r="AE169" s="112"/>
      <c r="AF169" s="121">
        <v>7168001</v>
      </c>
      <c r="AG169" s="111"/>
      <c r="AH169" s="115" t="s">
        <v>115</v>
      </c>
      <c r="AI169" s="115" t="s">
        <v>801</v>
      </c>
      <c r="AJ169" s="115" t="s">
        <v>802</v>
      </c>
      <c r="AK169" s="24"/>
      <c r="AL169" s="24"/>
      <c r="AM169" s="24"/>
    </row>
    <row r="170" spans="1:39" ht="12.75" customHeight="1">
      <c r="A170" s="22">
        <v>168</v>
      </c>
      <c r="B170" s="161" t="s">
        <v>803</v>
      </c>
      <c r="C170" s="24" t="s">
        <v>180</v>
      </c>
      <c r="D170" s="160" t="s">
        <v>771</v>
      </c>
      <c r="E170" s="24" t="s">
        <v>772</v>
      </c>
      <c r="F170" s="24">
        <v>1</v>
      </c>
      <c r="G170" s="24" t="s">
        <v>494</v>
      </c>
      <c r="H170" s="24"/>
      <c r="I170" s="24"/>
      <c r="J170" s="111"/>
      <c r="K170" s="160"/>
      <c r="L170" s="124"/>
      <c r="M170" s="124"/>
      <c r="N170" s="124"/>
      <c r="O170" s="161" t="s">
        <v>803</v>
      </c>
      <c r="P170" s="126"/>
      <c r="Q170" s="124"/>
      <c r="R170" s="111"/>
      <c r="S170" s="24"/>
      <c r="T170" s="124"/>
      <c r="U170" s="111"/>
      <c r="V170" s="111"/>
      <c r="W170" s="111"/>
      <c r="X170" s="24"/>
      <c r="Y170" s="24"/>
      <c r="Z170" s="24"/>
      <c r="AA170" s="24"/>
      <c r="AB170" s="24"/>
      <c r="AC170" s="24"/>
      <c r="AD170" s="112"/>
      <c r="AE170" s="112"/>
      <c r="AF170" s="121">
        <v>398770008</v>
      </c>
      <c r="AG170" s="111"/>
      <c r="AH170" s="115" t="s">
        <v>115</v>
      </c>
      <c r="AI170" s="116" t="s">
        <v>804</v>
      </c>
      <c r="AJ170" s="115" t="s">
        <v>805</v>
      </c>
      <c r="AK170" s="24"/>
      <c r="AL170" s="24"/>
      <c r="AM170" s="24"/>
    </row>
    <row r="171" spans="1:39" ht="12.75" customHeight="1">
      <c r="A171" s="22">
        <v>169</v>
      </c>
      <c r="B171" s="161" t="s">
        <v>806</v>
      </c>
      <c r="C171" s="24" t="s">
        <v>180</v>
      </c>
      <c r="D171" s="160" t="s">
        <v>771</v>
      </c>
      <c r="E171" s="24" t="s">
        <v>772</v>
      </c>
      <c r="F171" s="24">
        <v>1</v>
      </c>
      <c r="G171" s="24" t="s">
        <v>494</v>
      </c>
      <c r="H171" s="24"/>
      <c r="I171" s="24"/>
      <c r="J171" s="111"/>
      <c r="K171" s="160"/>
      <c r="L171" s="124"/>
      <c r="M171" s="124"/>
      <c r="N171" s="124"/>
      <c r="O171" s="161" t="s">
        <v>806</v>
      </c>
      <c r="P171" s="126"/>
      <c r="Q171" s="124"/>
      <c r="R171" s="111"/>
      <c r="S171" s="24"/>
      <c r="T171" s="124"/>
      <c r="U171" s="111"/>
      <c r="V171" s="112"/>
      <c r="W171" s="112"/>
      <c r="X171" s="24"/>
      <c r="Y171" s="24"/>
      <c r="Z171" s="24"/>
      <c r="AA171" s="24"/>
      <c r="AB171" s="24"/>
      <c r="AC171" s="24"/>
      <c r="AD171" s="112"/>
      <c r="AE171" s="112"/>
      <c r="AF171" s="121">
        <v>56059005</v>
      </c>
      <c r="AG171" s="111"/>
      <c r="AH171" s="115" t="s">
        <v>115</v>
      </c>
      <c r="AI171" s="116" t="s">
        <v>807</v>
      </c>
      <c r="AJ171" s="115" t="s">
        <v>808</v>
      </c>
      <c r="AK171" s="24"/>
      <c r="AL171" s="24"/>
      <c r="AM171" s="24"/>
    </row>
    <row r="172" spans="1:39" ht="12.75" customHeight="1">
      <c r="A172" s="22">
        <v>170</v>
      </c>
      <c r="B172" s="161" t="s">
        <v>809</v>
      </c>
      <c r="C172" s="24" t="s">
        <v>180</v>
      </c>
      <c r="D172" s="160" t="s">
        <v>771</v>
      </c>
      <c r="E172" s="24" t="s">
        <v>772</v>
      </c>
      <c r="F172" s="24">
        <v>1</v>
      </c>
      <c r="G172" s="24" t="s">
        <v>494</v>
      </c>
      <c r="H172" s="24"/>
      <c r="I172" s="24"/>
      <c r="J172" s="111"/>
      <c r="K172" s="160"/>
      <c r="L172" s="124"/>
      <c r="M172" s="124"/>
      <c r="N172" s="124"/>
      <c r="O172" s="161" t="s">
        <v>809</v>
      </c>
      <c r="P172" s="126"/>
      <c r="Q172" s="124"/>
      <c r="R172" s="111"/>
      <c r="S172" s="24"/>
      <c r="T172" s="124"/>
      <c r="U172" s="111"/>
      <c r="V172" s="112"/>
      <c r="W172" s="112"/>
      <c r="X172" s="24"/>
      <c r="Y172" s="24"/>
      <c r="Z172" s="24"/>
      <c r="AA172" s="24"/>
      <c r="AB172" s="24"/>
      <c r="AC172" s="24"/>
      <c r="AD172" s="112"/>
      <c r="AE172" s="112"/>
      <c r="AF172" s="118" t="s">
        <v>810</v>
      </c>
      <c r="AG172" s="111"/>
      <c r="AH172" s="115" t="s">
        <v>115</v>
      </c>
      <c r="AI172" s="116" t="s">
        <v>811</v>
      </c>
      <c r="AJ172" s="115" t="s">
        <v>812</v>
      </c>
      <c r="AK172" s="24"/>
      <c r="AL172" s="24"/>
      <c r="AM172" s="24"/>
    </row>
    <row r="173" spans="1:39" ht="12.75" customHeight="1">
      <c r="A173" s="22">
        <v>171</v>
      </c>
      <c r="B173" s="161" t="s">
        <v>813</v>
      </c>
      <c r="C173" s="24" t="s">
        <v>180</v>
      </c>
      <c r="D173" s="160" t="s">
        <v>771</v>
      </c>
      <c r="E173" s="24" t="s">
        <v>772</v>
      </c>
      <c r="F173" s="24">
        <v>1</v>
      </c>
      <c r="G173" s="24" t="s">
        <v>494</v>
      </c>
      <c r="H173" s="24"/>
      <c r="I173" s="24"/>
      <c r="J173" s="111"/>
      <c r="K173" s="160"/>
      <c r="L173" s="124"/>
      <c r="M173" s="124"/>
      <c r="N173" s="124"/>
      <c r="O173" s="161" t="s">
        <v>813</v>
      </c>
      <c r="P173" s="126"/>
      <c r="Q173" s="124"/>
      <c r="R173" s="111"/>
      <c r="S173" s="24"/>
      <c r="T173" s="124"/>
      <c r="U173" s="111"/>
      <c r="V173" s="112"/>
      <c r="W173" s="112"/>
      <c r="X173" s="24"/>
      <c r="Y173" s="24"/>
      <c r="Z173" s="24"/>
      <c r="AA173" s="24"/>
      <c r="AB173" s="24"/>
      <c r="AC173" s="24"/>
      <c r="AD173" s="112"/>
      <c r="AE173" s="112"/>
      <c r="AF173" s="25" t="s">
        <v>814</v>
      </c>
      <c r="AG173" s="111"/>
      <c r="AH173" s="115" t="s">
        <v>115</v>
      </c>
      <c r="AI173" s="116" t="s">
        <v>815</v>
      </c>
      <c r="AJ173" s="115" t="s">
        <v>816</v>
      </c>
      <c r="AK173" s="24"/>
      <c r="AL173" s="24"/>
      <c r="AM173" s="24"/>
    </row>
    <row r="174" spans="1:39" ht="12.75" customHeight="1">
      <c r="A174" s="22">
        <v>172</v>
      </c>
      <c r="B174" s="161" t="s">
        <v>405</v>
      </c>
      <c r="C174" s="24" t="s">
        <v>180</v>
      </c>
      <c r="D174" s="160" t="s">
        <v>771</v>
      </c>
      <c r="E174" s="24" t="s">
        <v>772</v>
      </c>
      <c r="F174" s="24">
        <v>1</v>
      </c>
      <c r="G174" s="24" t="s">
        <v>494</v>
      </c>
      <c r="H174" s="24"/>
      <c r="I174" s="24"/>
      <c r="J174" s="111"/>
      <c r="K174" s="160"/>
      <c r="L174" s="124"/>
      <c r="M174" s="124"/>
      <c r="N174" s="124"/>
      <c r="O174" s="161" t="s">
        <v>405</v>
      </c>
      <c r="P174" s="126"/>
      <c r="Q174" s="124"/>
      <c r="R174" s="111"/>
      <c r="S174" s="24"/>
      <c r="T174" s="124"/>
      <c r="U174" s="111"/>
      <c r="V174" s="112"/>
      <c r="W174" s="112"/>
      <c r="X174" s="24"/>
      <c r="Y174" s="24"/>
      <c r="Z174" s="24"/>
      <c r="AA174" s="24"/>
      <c r="AB174" s="24"/>
      <c r="AC174" s="24"/>
      <c r="AD174" s="112"/>
      <c r="AE174" s="112"/>
      <c r="AF174" s="25" t="s">
        <v>745</v>
      </c>
      <c r="AG174" s="111"/>
      <c r="AH174" s="115" t="s">
        <v>115</v>
      </c>
      <c r="AI174" s="115" t="s">
        <v>406</v>
      </c>
      <c r="AJ174" s="115" t="s">
        <v>407</v>
      </c>
      <c r="AK174" s="24"/>
      <c r="AL174" s="24"/>
      <c r="AM174" s="24"/>
    </row>
    <row r="175" spans="1:39" ht="38.25" customHeight="1">
      <c r="A175" s="22">
        <v>173</v>
      </c>
      <c r="B175" s="124" t="s">
        <v>817</v>
      </c>
      <c r="C175" s="24" t="s">
        <v>96</v>
      </c>
      <c r="D175" s="24"/>
      <c r="E175" s="24" t="s">
        <v>772</v>
      </c>
      <c r="F175" s="24">
        <v>1</v>
      </c>
      <c r="G175" s="24" t="s">
        <v>494</v>
      </c>
      <c r="H175" s="24"/>
      <c r="I175" s="24"/>
      <c r="J175" s="111"/>
      <c r="K175" s="124" t="s">
        <v>409</v>
      </c>
      <c r="L175" s="124" t="s">
        <v>818</v>
      </c>
      <c r="M175" s="124" t="s">
        <v>819</v>
      </c>
      <c r="N175" s="124" t="s">
        <v>111</v>
      </c>
      <c r="O175" s="161"/>
      <c r="P175" s="126"/>
      <c r="Q175" s="124"/>
      <c r="R175" s="111"/>
      <c r="S175" s="24"/>
      <c r="T175" s="124" t="s">
        <v>208</v>
      </c>
      <c r="U175" s="111"/>
      <c r="V175" s="112"/>
      <c r="W175" s="112"/>
      <c r="X175" s="24"/>
      <c r="Y175" s="24"/>
      <c r="Z175" s="24"/>
      <c r="AA175" s="24"/>
      <c r="AB175" s="24"/>
      <c r="AC175" s="24"/>
      <c r="AD175" s="119"/>
      <c r="AE175" s="119"/>
      <c r="AF175" s="120"/>
      <c r="AG175" s="127"/>
      <c r="AH175" s="115" t="s">
        <v>820</v>
      </c>
      <c r="AI175" s="115" t="s">
        <v>415</v>
      </c>
      <c r="AJ175" s="115" t="s">
        <v>416</v>
      </c>
      <c r="AK175" s="24"/>
      <c r="AL175" s="24"/>
      <c r="AM175" s="24"/>
    </row>
    <row r="176" spans="1:39" ht="89.25" customHeight="1">
      <c r="A176" s="22">
        <v>174</v>
      </c>
      <c r="B176" s="124" t="s">
        <v>821</v>
      </c>
      <c r="C176" s="24" t="s">
        <v>96</v>
      </c>
      <c r="D176" s="24"/>
      <c r="E176" s="24" t="s">
        <v>772</v>
      </c>
      <c r="F176" s="24">
        <v>1</v>
      </c>
      <c r="G176" s="24" t="s">
        <v>494</v>
      </c>
      <c r="H176" s="24"/>
      <c r="I176" s="24"/>
      <c r="J176" s="111"/>
      <c r="K176" s="124" t="s">
        <v>821</v>
      </c>
      <c r="L176" s="124" t="s">
        <v>822</v>
      </c>
      <c r="M176" s="124" t="s">
        <v>823</v>
      </c>
      <c r="N176" s="124" t="s">
        <v>238</v>
      </c>
      <c r="O176" s="161"/>
      <c r="P176" s="126"/>
      <c r="Q176" s="124" t="s">
        <v>695</v>
      </c>
      <c r="R176" s="111"/>
      <c r="S176" s="24"/>
      <c r="T176" s="124" t="s">
        <v>208</v>
      </c>
      <c r="U176" s="111"/>
      <c r="V176" s="112"/>
      <c r="W176" s="112"/>
      <c r="X176" s="24"/>
      <c r="Y176" s="24"/>
      <c r="Z176" s="24"/>
      <c r="AA176" s="24"/>
      <c r="AB176" s="24"/>
      <c r="AC176" s="24"/>
      <c r="AD176" s="112"/>
      <c r="AE176" s="112"/>
      <c r="AF176" s="93" t="s">
        <v>824</v>
      </c>
      <c r="AG176" s="111"/>
      <c r="AH176" s="115" t="s">
        <v>825</v>
      </c>
      <c r="AI176" s="115" t="s">
        <v>826</v>
      </c>
      <c r="AJ176" s="115" t="s">
        <v>827</v>
      </c>
      <c r="AK176" s="24"/>
      <c r="AL176" s="24"/>
      <c r="AM176" s="24"/>
    </row>
    <row r="177" spans="1:39" ht="12.75" customHeight="1">
      <c r="A177" s="22">
        <v>175</v>
      </c>
      <c r="B177" s="161" t="s">
        <v>423</v>
      </c>
      <c r="C177" s="24" t="s">
        <v>180</v>
      </c>
      <c r="D177" s="124" t="s">
        <v>821</v>
      </c>
      <c r="E177" s="24" t="s">
        <v>772</v>
      </c>
      <c r="F177" s="24">
        <v>1</v>
      </c>
      <c r="G177" s="24" t="s">
        <v>494</v>
      </c>
      <c r="H177" s="24"/>
      <c r="I177" s="24"/>
      <c r="J177" s="111"/>
      <c r="K177" s="160"/>
      <c r="L177" s="124"/>
      <c r="M177" s="124"/>
      <c r="N177" s="124"/>
      <c r="O177" s="161" t="s">
        <v>423</v>
      </c>
      <c r="P177" s="126"/>
      <c r="Q177" s="124"/>
      <c r="R177" s="111"/>
      <c r="S177" s="24"/>
      <c r="T177" s="124"/>
      <c r="U177" s="111"/>
      <c r="V177" s="112"/>
      <c r="W177" s="112"/>
      <c r="X177" s="24"/>
      <c r="Y177" s="24"/>
      <c r="Z177" s="24"/>
      <c r="AA177" s="24"/>
      <c r="AB177" s="24"/>
      <c r="AC177" s="24"/>
      <c r="AD177" s="112"/>
      <c r="AE177" s="112"/>
      <c r="AF177" s="118">
        <v>260413007</v>
      </c>
      <c r="AG177" s="111"/>
      <c r="AH177" s="115" t="s">
        <v>115</v>
      </c>
      <c r="AI177" s="115" t="s">
        <v>424</v>
      </c>
      <c r="AJ177" s="115" t="s">
        <v>425</v>
      </c>
      <c r="AK177" s="24"/>
      <c r="AL177" s="24"/>
      <c r="AM177" s="24"/>
    </row>
    <row r="178" spans="1:39" ht="12.75" customHeight="1">
      <c r="A178" s="22">
        <v>176</v>
      </c>
      <c r="B178" s="161" t="s">
        <v>500</v>
      </c>
      <c r="C178" s="24" t="s">
        <v>180</v>
      </c>
      <c r="D178" s="124" t="s">
        <v>821</v>
      </c>
      <c r="E178" s="24" t="s">
        <v>772</v>
      </c>
      <c r="F178" s="24">
        <v>1</v>
      </c>
      <c r="G178" s="24" t="s">
        <v>494</v>
      </c>
      <c r="H178" s="24"/>
      <c r="I178" s="24"/>
      <c r="J178" s="111"/>
      <c r="K178" s="160"/>
      <c r="L178" s="124"/>
      <c r="M178" s="124"/>
      <c r="N178" s="124"/>
      <c r="O178" s="161" t="s">
        <v>500</v>
      </c>
      <c r="P178" s="126"/>
      <c r="Q178" s="124"/>
      <c r="R178" s="111"/>
      <c r="S178" s="24"/>
      <c r="T178" s="124"/>
      <c r="U178" s="111"/>
      <c r="V178" s="112"/>
      <c r="W178" s="112"/>
      <c r="X178" s="24"/>
      <c r="Y178" s="24"/>
      <c r="Z178" s="24"/>
      <c r="AA178" s="24"/>
      <c r="AB178" s="24"/>
      <c r="AC178" s="24"/>
      <c r="AD178" s="112"/>
      <c r="AE178" s="112"/>
      <c r="AF178" s="118">
        <v>261665006</v>
      </c>
      <c r="AG178" s="111"/>
      <c r="AH178" s="115" t="s">
        <v>115</v>
      </c>
      <c r="AI178" s="115" t="s">
        <v>501</v>
      </c>
      <c r="AJ178" s="115" t="s">
        <v>503</v>
      </c>
      <c r="AK178" s="24"/>
      <c r="AL178" s="24"/>
      <c r="AM178" s="24"/>
    </row>
    <row r="179" spans="1:39" ht="12.75" customHeight="1">
      <c r="A179" s="22">
        <v>177</v>
      </c>
      <c r="B179" s="161" t="s">
        <v>828</v>
      </c>
      <c r="C179" s="24" t="s">
        <v>180</v>
      </c>
      <c r="D179" s="124" t="s">
        <v>821</v>
      </c>
      <c r="E179" s="24" t="s">
        <v>772</v>
      </c>
      <c r="F179" s="24">
        <v>1</v>
      </c>
      <c r="G179" s="24" t="s">
        <v>494</v>
      </c>
      <c r="H179" s="24"/>
      <c r="I179" s="24"/>
      <c r="J179" s="111"/>
      <c r="K179" s="160"/>
      <c r="L179" s="124"/>
      <c r="M179" s="124"/>
      <c r="N179" s="124"/>
      <c r="O179" s="161" t="s">
        <v>828</v>
      </c>
      <c r="P179" s="126"/>
      <c r="Q179" s="124"/>
      <c r="R179" s="111"/>
      <c r="S179" s="24"/>
      <c r="T179" s="124"/>
      <c r="U179" s="111"/>
      <c r="V179" s="112"/>
      <c r="W179" s="112"/>
      <c r="X179" s="24"/>
      <c r="Y179" s="24"/>
      <c r="Z179" s="24"/>
      <c r="AA179" s="24"/>
      <c r="AB179" s="24"/>
      <c r="AC179" s="24"/>
      <c r="AD179" s="112"/>
      <c r="AE179" s="112"/>
      <c r="AF179" s="118">
        <v>13091001</v>
      </c>
      <c r="AG179" s="111"/>
      <c r="AH179" s="115" t="s">
        <v>115</v>
      </c>
      <c r="AI179" s="116" t="s">
        <v>829</v>
      </c>
      <c r="AJ179" s="115" t="s">
        <v>830</v>
      </c>
      <c r="AK179" s="24"/>
      <c r="AL179" s="24"/>
      <c r="AM179" s="24"/>
    </row>
    <row r="180" spans="1:39" ht="12.75" customHeight="1">
      <c r="A180" s="22">
        <v>178</v>
      </c>
      <c r="B180" s="161" t="s">
        <v>831</v>
      </c>
      <c r="C180" s="24" t="s">
        <v>180</v>
      </c>
      <c r="D180" s="124" t="s">
        <v>821</v>
      </c>
      <c r="E180" s="24" t="s">
        <v>772</v>
      </c>
      <c r="F180" s="24">
        <v>1</v>
      </c>
      <c r="G180" s="24" t="s">
        <v>494</v>
      </c>
      <c r="H180" s="24"/>
      <c r="I180" s="24"/>
      <c r="J180" s="111"/>
      <c r="K180" s="160"/>
      <c r="L180" s="124"/>
      <c r="M180" s="124"/>
      <c r="N180" s="124"/>
      <c r="O180" s="161" t="s">
        <v>831</v>
      </c>
      <c r="P180" s="126"/>
      <c r="Q180" s="124"/>
      <c r="R180" s="111"/>
      <c r="S180" s="24"/>
      <c r="T180" s="124"/>
      <c r="U180" s="111"/>
      <c r="V180" s="112"/>
      <c r="W180" s="112"/>
      <c r="X180" s="24"/>
      <c r="Y180" s="24"/>
      <c r="Z180" s="24"/>
      <c r="AA180" s="24"/>
      <c r="AB180" s="24"/>
      <c r="AC180" s="24"/>
      <c r="AD180" s="112"/>
      <c r="AE180" s="112"/>
      <c r="AF180" s="118">
        <v>42010004</v>
      </c>
      <c r="AG180" s="111"/>
      <c r="AH180" s="115" t="s">
        <v>115</v>
      </c>
      <c r="AI180" s="116" t="s">
        <v>832</v>
      </c>
      <c r="AJ180" s="115" t="s">
        <v>833</v>
      </c>
      <c r="AK180" s="24"/>
      <c r="AL180" s="24"/>
      <c r="AM180" s="24"/>
    </row>
    <row r="181" spans="1:39" ht="12.75" customHeight="1">
      <c r="A181" s="22">
        <v>179</v>
      </c>
      <c r="B181" s="161" t="s">
        <v>834</v>
      </c>
      <c r="C181" s="24" t="s">
        <v>180</v>
      </c>
      <c r="D181" s="124" t="s">
        <v>821</v>
      </c>
      <c r="E181" s="24" t="s">
        <v>772</v>
      </c>
      <c r="F181" s="24">
        <v>1</v>
      </c>
      <c r="G181" s="24" t="s">
        <v>494</v>
      </c>
      <c r="H181" s="24"/>
      <c r="I181" s="24"/>
      <c r="J181" s="111"/>
      <c r="K181" s="160"/>
      <c r="L181" s="124"/>
      <c r="M181" s="124"/>
      <c r="N181" s="124"/>
      <c r="O181" s="161" t="s">
        <v>834</v>
      </c>
      <c r="P181" s="126"/>
      <c r="Q181" s="124"/>
      <c r="R181" s="111"/>
      <c r="S181" s="24"/>
      <c r="T181" s="124"/>
      <c r="U181" s="111"/>
      <c r="V181" s="112"/>
      <c r="W181" s="112"/>
      <c r="X181" s="24"/>
      <c r="Y181" s="24"/>
      <c r="Z181" s="24"/>
      <c r="AA181" s="24"/>
      <c r="AB181" s="24"/>
      <c r="AC181" s="24"/>
      <c r="AD181" s="119"/>
      <c r="AE181" s="119"/>
      <c r="AF181" s="120"/>
      <c r="AG181" s="127"/>
      <c r="AH181" s="115" t="s">
        <v>115</v>
      </c>
      <c r="AI181" s="115" t="s">
        <v>835</v>
      </c>
      <c r="AJ181" s="115" t="s">
        <v>836</v>
      </c>
      <c r="AK181" s="24"/>
      <c r="AL181" s="24"/>
      <c r="AM181" s="24"/>
    </row>
    <row r="182" spans="1:39" ht="12.75" customHeight="1">
      <c r="A182" s="22">
        <v>180</v>
      </c>
      <c r="B182" s="161" t="s">
        <v>837</v>
      </c>
      <c r="C182" s="24" t="s">
        <v>180</v>
      </c>
      <c r="D182" s="124" t="s">
        <v>821</v>
      </c>
      <c r="E182" s="24" t="s">
        <v>772</v>
      </c>
      <c r="F182" s="24">
        <v>1</v>
      </c>
      <c r="G182" s="24" t="s">
        <v>494</v>
      </c>
      <c r="H182" s="24"/>
      <c r="I182" s="24"/>
      <c r="J182" s="111"/>
      <c r="K182" s="160"/>
      <c r="L182" s="124"/>
      <c r="M182" s="124"/>
      <c r="N182" s="124"/>
      <c r="O182" s="161" t="s">
        <v>837</v>
      </c>
      <c r="P182" s="126"/>
      <c r="Q182" s="124"/>
      <c r="R182" s="111"/>
      <c r="S182" s="24"/>
      <c r="T182" s="124"/>
      <c r="U182" s="111"/>
      <c r="V182" s="112"/>
      <c r="W182" s="112"/>
      <c r="X182" s="24"/>
      <c r="Y182" s="24"/>
      <c r="Z182" s="24"/>
      <c r="AA182" s="24"/>
      <c r="AB182" s="24"/>
      <c r="AC182" s="24"/>
      <c r="AD182" s="112"/>
      <c r="AE182" s="112"/>
      <c r="AF182" s="118">
        <v>83152002</v>
      </c>
      <c r="AG182" s="111"/>
      <c r="AH182" s="115" t="s">
        <v>115</v>
      </c>
      <c r="AI182" s="115" t="s">
        <v>838</v>
      </c>
      <c r="AJ182" s="115" t="s">
        <v>839</v>
      </c>
      <c r="AK182" s="24"/>
      <c r="AL182" s="24"/>
      <c r="AM182" s="24"/>
    </row>
    <row r="183" spans="1:39" ht="12.75" customHeight="1">
      <c r="A183" s="22">
        <v>181</v>
      </c>
      <c r="B183" s="161" t="s">
        <v>840</v>
      </c>
      <c r="C183" s="24" t="s">
        <v>180</v>
      </c>
      <c r="D183" s="124" t="s">
        <v>821</v>
      </c>
      <c r="E183" s="24" t="s">
        <v>772</v>
      </c>
      <c r="F183" s="24">
        <v>1</v>
      </c>
      <c r="G183" s="24" t="s">
        <v>494</v>
      </c>
      <c r="H183" s="24"/>
      <c r="I183" s="24"/>
      <c r="J183" s="111"/>
      <c r="K183" s="160"/>
      <c r="L183" s="124"/>
      <c r="M183" s="124"/>
      <c r="N183" s="124"/>
      <c r="O183" s="161" t="s">
        <v>840</v>
      </c>
      <c r="P183" s="126"/>
      <c r="Q183" s="124"/>
      <c r="R183" s="111"/>
      <c r="S183" s="24"/>
      <c r="T183" s="124"/>
      <c r="U183" s="111"/>
      <c r="V183" s="112"/>
      <c r="W183" s="112"/>
      <c r="X183" s="24"/>
      <c r="Y183" s="24"/>
      <c r="Z183" s="24"/>
      <c r="AA183" s="24"/>
      <c r="AB183" s="24"/>
      <c r="AC183" s="24"/>
      <c r="AD183" s="112"/>
      <c r="AE183" s="112"/>
      <c r="AF183" s="118">
        <v>120053002</v>
      </c>
      <c r="AG183" s="111"/>
      <c r="AH183" s="115" t="s">
        <v>115</v>
      </c>
      <c r="AI183" s="116" t="s">
        <v>841</v>
      </c>
      <c r="AJ183" s="115" t="s">
        <v>842</v>
      </c>
      <c r="AK183" s="24"/>
      <c r="AL183" s="24"/>
      <c r="AM183" s="24"/>
    </row>
    <row r="184" spans="1:39" ht="12.75" customHeight="1">
      <c r="A184" s="22">
        <v>182</v>
      </c>
      <c r="B184" s="161" t="s">
        <v>843</v>
      </c>
      <c r="C184" s="24" t="s">
        <v>180</v>
      </c>
      <c r="D184" s="124" t="s">
        <v>821</v>
      </c>
      <c r="E184" s="24" t="s">
        <v>772</v>
      </c>
      <c r="F184" s="24">
        <v>1</v>
      </c>
      <c r="G184" s="24" t="s">
        <v>494</v>
      </c>
      <c r="H184" s="24"/>
      <c r="I184" s="24"/>
      <c r="J184" s="111"/>
      <c r="K184" s="160"/>
      <c r="L184" s="124"/>
      <c r="M184" s="124"/>
      <c r="N184" s="124"/>
      <c r="O184" s="161" t="s">
        <v>843</v>
      </c>
      <c r="P184" s="126"/>
      <c r="Q184" s="124"/>
      <c r="R184" s="111"/>
      <c r="S184" s="24"/>
      <c r="T184" s="124"/>
      <c r="U184" s="111"/>
      <c r="V184" s="112"/>
      <c r="W184" s="112"/>
      <c r="X184" s="24"/>
      <c r="Y184" s="24"/>
      <c r="Z184" s="24"/>
      <c r="AA184" s="24"/>
      <c r="AB184" s="24"/>
      <c r="AC184" s="24"/>
      <c r="AD184" s="112"/>
      <c r="AE184" s="112"/>
      <c r="AF184" s="118">
        <v>54535009</v>
      </c>
      <c r="AG184" s="111"/>
      <c r="AH184" s="115" t="s">
        <v>115</v>
      </c>
      <c r="AI184" s="115" t="s">
        <v>844</v>
      </c>
      <c r="AJ184" s="115" t="s">
        <v>845</v>
      </c>
      <c r="AK184" s="24"/>
      <c r="AL184" s="24"/>
      <c r="AM184" s="24"/>
    </row>
    <row r="185" spans="1:39" ht="12.75" customHeight="1">
      <c r="A185" s="22">
        <v>183</v>
      </c>
      <c r="B185" s="161" t="s">
        <v>846</v>
      </c>
      <c r="C185" s="24" t="s">
        <v>180</v>
      </c>
      <c r="D185" s="124" t="s">
        <v>821</v>
      </c>
      <c r="E185" s="24" t="s">
        <v>772</v>
      </c>
      <c r="F185" s="24">
        <v>1</v>
      </c>
      <c r="G185" s="24" t="s">
        <v>494</v>
      </c>
      <c r="H185" s="24"/>
      <c r="I185" s="24"/>
      <c r="J185" s="111"/>
      <c r="K185" s="160"/>
      <c r="L185" s="124"/>
      <c r="M185" s="124"/>
      <c r="N185" s="124"/>
      <c r="O185" s="161" t="s">
        <v>846</v>
      </c>
      <c r="P185" s="126"/>
      <c r="Q185" s="124"/>
      <c r="R185" s="111"/>
      <c r="S185" s="24"/>
      <c r="T185" s="124"/>
      <c r="U185" s="111"/>
      <c r="V185" s="112"/>
      <c r="W185" s="112"/>
      <c r="X185" s="24"/>
      <c r="Y185" s="24"/>
      <c r="Z185" s="24"/>
      <c r="AA185" s="24"/>
      <c r="AB185" s="24"/>
      <c r="AC185" s="24"/>
      <c r="AD185" s="119"/>
      <c r="AE185" s="119"/>
      <c r="AF185" s="120"/>
      <c r="AG185" s="127"/>
      <c r="AH185" s="115" t="s">
        <v>115</v>
      </c>
      <c r="AI185" s="115" t="s">
        <v>847</v>
      </c>
      <c r="AJ185" s="115" t="s">
        <v>848</v>
      </c>
      <c r="AK185" s="24"/>
      <c r="AL185" s="24"/>
      <c r="AM185" s="24"/>
    </row>
    <row r="186" spans="1:39" ht="12.75" customHeight="1">
      <c r="A186" s="22">
        <v>184</v>
      </c>
      <c r="B186" s="161" t="s">
        <v>849</v>
      </c>
      <c r="C186" s="24" t="s">
        <v>180</v>
      </c>
      <c r="D186" s="124" t="s">
        <v>821</v>
      </c>
      <c r="E186" s="24" t="s">
        <v>772</v>
      </c>
      <c r="F186" s="24">
        <v>1</v>
      </c>
      <c r="G186" s="24" t="s">
        <v>494</v>
      </c>
      <c r="H186" s="24"/>
      <c r="I186" s="24"/>
      <c r="J186" s="111"/>
      <c r="K186" s="160"/>
      <c r="L186" s="124"/>
      <c r="M186" s="124"/>
      <c r="N186" s="124"/>
      <c r="O186" s="161" t="s">
        <v>849</v>
      </c>
      <c r="P186" s="126"/>
      <c r="Q186" s="124"/>
      <c r="R186" s="111"/>
      <c r="S186" s="24"/>
      <c r="T186" s="124"/>
      <c r="U186" s="111"/>
      <c r="V186" s="112"/>
      <c r="W186" s="112"/>
      <c r="X186" s="24"/>
      <c r="Y186" s="24"/>
      <c r="Z186" s="24"/>
      <c r="AA186" s="24"/>
      <c r="AB186" s="24"/>
      <c r="AC186" s="24"/>
      <c r="AD186" s="112"/>
      <c r="AE186" s="112"/>
      <c r="AF186" s="93" t="s">
        <v>745</v>
      </c>
      <c r="AG186" s="111"/>
      <c r="AH186" s="115" t="s">
        <v>115</v>
      </c>
      <c r="AI186" s="115" t="s">
        <v>406</v>
      </c>
      <c r="AJ186" s="115" t="s">
        <v>407</v>
      </c>
      <c r="AK186" s="24"/>
      <c r="AL186" s="24"/>
      <c r="AM186" s="24"/>
    </row>
    <row r="187" spans="1:39" ht="38.25" customHeight="1">
      <c r="A187" s="22">
        <v>185</v>
      </c>
      <c r="B187" s="124" t="s">
        <v>850</v>
      </c>
      <c r="C187" s="24" t="s">
        <v>96</v>
      </c>
      <c r="D187" s="24"/>
      <c r="E187" s="24" t="s">
        <v>772</v>
      </c>
      <c r="F187" s="24">
        <v>1</v>
      </c>
      <c r="G187" s="24" t="s">
        <v>494</v>
      </c>
      <c r="H187" s="24"/>
      <c r="I187" s="24"/>
      <c r="J187" s="111"/>
      <c r="K187" s="124" t="s">
        <v>850</v>
      </c>
      <c r="L187" s="124" t="s">
        <v>852</v>
      </c>
      <c r="M187" s="124" t="s">
        <v>853</v>
      </c>
      <c r="N187" s="124" t="s">
        <v>111</v>
      </c>
      <c r="O187" s="161"/>
      <c r="P187" s="126"/>
      <c r="Q187" s="124"/>
      <c r="R187" s="111"/>
      <c r="S187" s="24"/>
      <c r="T187" s="124" t="s">
        <v>208</v>
      </c>
      <c r="U187" s="111"/>
      <c r="V187" s="112"/>
      <c r="W187" s="112"/>
      <c r="X187" s="24"/>
      <c r="Y187" s="24"/>
      <c r="Z187" s="24"/>
      <c r="AA187" s="24"/>
      <c r="AB187" s="24"/>
      <c r="AC187" s="24"/>
      <c r="AD187" s="119"/>
      <c r="AE187" s="119"/>
      <c r="AF187" s="120"/>
      <c r="AG187" s="127"/>
      <c r="AH187" s="115" t="s">
        <v>854</v>
      </c>
      <c r="AI187" s="115" t="s">
        <v>855</v>
      </c>
      <c r="AJ187" s="115" t="s">
        <v>856</v>
      </c>
      <c r="AK187" s="24"/>
      <c r="AL187" s="24"/>
      <c r="AM187" s="24"/>
    </row>
    <row r="188" spans="1:39" ht="38.25" customHeight="1">
      <c r="A188" s="22">
        <v>186</v>
      </c>
      <c r="B188" s="124" t="s">
        <v>857</v>
      </c>
      <c r="C188" s="24" t="s">
        <v>96</v>
      </c>
      <c r="D188" s="24"/>
      <c r="E188" s="24" t="s">
        <v>772</v>
      </c>
      <c r="F188" s="24">
        <v>1</v>
      </c>
      <c r="G188" s="24" t="s">
        <v>494</v>
      </c>
      <c r="H188" s="24"/>
      <c r="I188" s="24"/>
      <c r="J188" s="111"/>
      <c r="K188" s="124" t="s">
        <v>857</v>
      </c>
      <c r="L188" s="124" t="s">
        <v>858</v>
      </c>
      <c r="M188" s="124" t="s">
        <v>859</v>
      </c>
      <c r="N188" s="124" t="s">
        <v>111</v>
      </c>
      <c r="O188" s="161"/>
      <c r="P188" s="126"/>
      <c r="Q188" s="124"/>
      <c r="R188" s="111"/>
      <c r="S188" s="24"/>
      <c r="T188" s="124" t="s">
        <v>208</v>
      </c>
      <c r="U188" s="111"/>
      <c r="V188" s="112"/>
      <c r="W188" s="112"/>
      <c r="X188" s="24"/>
      <c r="Y188" s="24"/>
      <c r="Z188" s="24"/>
      <c r="AA188" s="24"/>
      <c r="AB188" s="24"/>
      <c r="AC188" s="24"/>
      <c r="AD188" s="112"/>
      <c r="AE188" s="112"/>
      <c r="AF188" s="25"/>
      <c r="AG188" s="174" t="s">
        <v>413</v>
      </c>
      <c r="AH188" s="115" t="s">
        <v>825</v>
      </c>
      <c r="AI188" s="115" t="s">
        <v>415</v>
      </c>
      <c r="AJ188" s="115" t="s">
        <v>416</v>
      </c>
      <c r="AK188" s="24"/>
      <c r="AL188" s="24"/>
      <c r="AM188" s="24"/>
    </row>
    <row r="189" spans="1:39" ht="89.25" customHeight="1">
      <c r="A189" s="22">
        <v>187</v>
      </c>
      <c r="B189" s="160" t="s">
        <v>861</v>
      </c>
      <c r="C189" s="24" t="s">
        <v>96</v>
      </c>
      <c r="D189" s="24"/>
      <c r="E189" s="24" t="s">
        <v>772</v>
      </c>
      <c r="F189" s="24">
        <v>1</v>
      </c>
      <c r="G189" s="24" t="s">
        <v>494</v>
      </c>
      <c r="H189" s="24"/>
      <c r="I189" s="24"/>
      <c r="J189" s="111"/>
      <c r="K189" s="160" t="s">
        <v>861</v>
      </c>
      <c r="L189" s="124" t="s">
        <v>862</v>
      </c>
      <c r="M189" s="124" t="s">
        <v>863</v>
      </c>
      <c r="N189" s="124" t="s">
        <v>238</v>
      </c>
      <c r="O189" s="124"/>
      <c r="P189" s="126"/>
      <c r="Q189" s="124" t="s">
        <v>695</v>
      </c>
      <c r="R189" s="111"/>
      <c r="S189" s="24"/>
      <c r="T189" s="124" t="s">
        <v>208</v>
      </c>
      <c r="U189" s="111"/>
      <c r="V189" s="112"/>
      <c r="W189" s="112"/>
      <c r="X189" s="24"/>
      <c r="Y189" s="24"/>
      <c r="Z189" s="24"/>
      <c r="AA189" s="24"/>
      <c r="AB189" s="24"/>
      <c r="AC189" s="24"/>
      <c r="AD189" s="112"/>
      <c r="AE189" s="112"/>
      <c r="AF189" s="175" t="s">
        <v>864</v>
      </c>
      <c r="AG189" s="176" t="s">
        <v>866</v>
      </c>
      <c r="AH189" s="115" t="s">
        <v>115</v>
      </c>
      <c r="AI189" s="116" t="s">
        <v>867</v>
      </c>
      <c r="AJ189" s="115" t="s">
        <v>868</v>
      </c>
      <c r="AK189" s="24"/>
      <c r="AL189" s="24"/>
      <c r="AM189" s="24"/>
    </row>
    <row r="190" spans="1:39" ht="12.75" customHeight="1">
      <c r="A190" s="22">
        <v>188</v>
      </c>
      <c r="B190" s="124" t="s">
        <v>423</v>
      </c>
      <c r="C190" s="24" t="s">
        <v>180</v>
      </c>
      <c r="D190" s="160" t="s">
        <v>861</v>
      </c>
      <c r="E190" s="24" t="s">
        <v>772</v>
      </c>
      <c r="F190" s="24">
        <v>1</v>
      </c>
      <c r="G190" s="24" t="s">
        <v>494</v>
      </c>
      <c r="H190" s="24"/>
      <c r="I190" s="24"/>
      <c r="J190" s="111"/>
      <c r="K190" s="160"/>
      <c r="L190" s="124"/>
      <c r="M190" s="124"/>
      <c r="N190" s="124"/>
      <c r="O190" s="124" t="s">
        <v>423</v>
      </c>
      <c r="P190" s="126"/>
      <c r="Q190" s="124"/>
      <c r="R190" s="111"/>
      <c r="S190" s="24"/>
      <c r="T190" s="124"/>
      <c r="U190" s="111"/>
      <c r="V190" s="112"/>
      <c r="W190" s="112"/>
      <c r="X190" s="24"/>
      <c r="Y190" s="24"/>
      <c r="Z190" s="24"/>
      <c r="AA190" s="24"/>
      <c r="AB190" s="24"/>
      <c r="AC190" s="24"/>
      <c r="AD190" s="112"/>
      <c r="AE190" s="112"/>
      <c r="AF190" s="113">
        <v>260413007</v>
      </c>
      <c r="AG190" s="177"/>
      <c r="AH190" s="115" t="s">
        <v>115</v>
      </c>
      <c r="AI190" s="115" t="s">
        <v>424</v>
      </c>
      <c r="AJ190" s="115" t="s">
        <v>425</v>
      </c>
      <c r="AK190" s="24"/>
      <c r="AL190" s="24"/>
      <c r="AM190" s="24"/>
    </row>
    <row r="191" spans="1:39" ht="25.5" customHeight="1">
      <c r="A191" s="22">
        <v>189</v>
      </c>
      <c r="B191" s="124" t="s">
        <v>500</v>
      </c>
      <c r="C191" s="24" t="s">
        <v>180</v>
      </c>
      <c r="D191" s="160" t="s">
        <v>861</v>
      </c>
      <c r="E191" s="24" t="s">
        <v>772</v>
      </c>
      <c r="F191" s="24">
        <v>1</v>
      </c>
      <c r="G191" s="24" t="s">
        <v>494</v>
      </c>
      <c r="H191" s="24"/>
      <c r="I191" s="24"/>
      <c r="J191" s="111"/>
      <c r="K191" s="160"/>
      <c r="L191" s="124"/>
      <c r="M191" s="124"/>
      <c r="N191" s="124"/>
      <c r="O191" s="124" t="s">
        <v>500</v>
      </c>
      <c r="P191" s="126"/>
      <c r="Q191" s="124"/>
      <c r="R191" s="111"/>
      <c r="S191" s="24"/>
      <c r="T191" s="124"/>
      <c r="U191" s="111"/>
      <c r="V191" s="112"/>
      <c r="W191" s="112"/>
      <c r="X191" s="24"/>
      <c r="Y191" s="24"/>
      <c r="Z191" s="24"/>
      <c r="AA191" s="24"/>
      <c r="AB191" s="24"/>
      <c r="AC191" s="24"/>
      <c r="AD191" s="112"/>
      <c r="AE191" s="112"/>
      <c r="AF191" s="113">
        <v>261665006</v>
      </c>
      <c r="AG191" s="111"/>
      <c r="AH191" s="115" t="s">
        <v>115</v>
      </c>
      <c r="AI191" s="115" t="s">
        <v>501</v>
      </c>
      <c r="AJ191" s="115" t="s">
        <v>503</v>
      </c>
      <c r="AK191" s="24"/>
      <c r="AL191" s="24"/>
      <c r="AM191" s="24"/>
    </row>
    <row r="192" spans="1:39" ht="25.5" customHeight="1">
      <c r="A192" s="22">
        <v>190</v>
      </c>
      <c r="B192" s="124" t="s">
        <v>869</v>
      </c>
      <c r="C192" s="24" t="s">
        <v>180</v>
      </c>
      <c r="D192" s="160" t="s">
        <v>861</v>
      </c>
      <c r="E192" s="24" t="s">
        <v>772</v>
      </c>
      <c r="F192" s="24">
        <v>1</v>
      </c>
      <c r="G192" s="24" t="s">
        <v>494</v>
      </c>
      <c r="H192" s="24"/>
      <c r="I192" s="24"/>
      <c r="J192" s="111"/>
      <c r="K192" s="160"/>
      <c r="L192" s="124"/>
      <c r="M192" s="124"/>
      <c r="N192" s="124"/>
      <c r="O192" s="124" t="s">
        <v>869</v>
      </c>
      <c r="P192" s="126"/>
      <c r="Q192" s="124"/>
      <c r="R192" s="111"/>
      <c r="S192" s="24"/>
      <c r="T192" s="124"/>
      <c r="U192" s="111"/>
      <c r="V192" s="112"/>
      <c r="W192" s="112"/>
      <c r="X192" s="24"/>
      <c r="Y192" s="24"/>
      <c r="Z192" s="24"/>
      <c r="AA192" s="24"/>
      <c r="AB192" s="24"/>
      <c r="AC192" s="24"/>
      <c r="AD192" s="112"/>
      <c r="AE192" s="112"/>
      <c r="AF192" s="121">
        <v>85828009</v>
      </c>
      <c r="AG192" s="111"/>
      <c r="AH192" s="115" t="s">
        <v>115</v>
      </c>
      <c r="AI192" s="115" t="s">
        <v>870</v>
      </c>
      <c r="AJ192" s="116" t="s">
        <v>871</v>
      </c>
      <c r="AK192" s="24"/>
      <c r="AL192" s="24"/>
      <c r="AM192" s="24"/>
    </row>
    <row r="193" spans="1:39" ht="12.75" customHeight="1">
      <c r="A193" s="22">
        <v>191</v>
      </c>
      <c r="B193" s="124" t="s">
        <v>872</v>
      </c>
      <c r="C193" s="24" t="s">
        <v>180</v>
      </c>
      <c r="D193" s="160" t="s">
        <v>861</v>
      </c>
      <c r="E193" s="24" t="s">
        <v>772</v>
      </c>
      <c r="F193" s="24">
        <v>1</v>
      </c>
      <c r="G193" s="24" t="s">
        <v>494</v>
      </c>
      <c r="H193" s="24"/>
      <c r="I193" s="24"/>
      <c r="J193" s="111"/>
      <c r="K193" s="160"/>
      <c r="L193" s="124"/>
      <c r="M193" s="124"/>
      <c r="N193" s="124"/>
      <c r="O193" s="124" t="s">
        <v>872</v>
      </c>
      <c r="P193" s="126"/>
      <c r="Q193" s="124"/>
      <c r="R193" s="111"/>
      <c r="S193" s="24"/>
      <c r="T193" s="124"/>
      <c r="U193" s="111"/>
      <c r="V193" s="112"/>
      <c r="W193" s="112"/>
      <c r="X193" s="24"/>
      <c r="Y193" s="24"/>
      <c r="Z193" s="24"/>
      <c r="AA193" s="24"/>
      <c r="AB193" s="24"/>
      <c r="AC193" s="24"/>
      <c r="AD193" s="119"/>
      <c r="AE193" s="119"/>
      <c r="AF193" s="120"/>
      <c r="AG193" s="127"/>
      <c r="AH193" s="115" t="s">
        <v>115</v>
      </c>
      <c r="AI193" s="115" t="s">
        <v>873</v>
      </c>
      <c r="AJ193" s="116" t="s">
        <v>874</v>
      </c>
      <c r="AK193" s="24"/>
      <c r="AL193" s="24"/>
      <c r="AM193" s="24"/>
    </row>
    <row r="194" spans="1:39" ht="25.5" customHeight="1">
      <c r="A194" s="22">
        <v>192</v>
      </c>
      <c r="B194" s="124" t="s">
        <v>875</v>
      </c>
      <c r="C194" s="24" t="s">
        <v>180</v>
      </c>
      <c r="D194" s="160" t="s">
        <v>861</v>
      </c>
      <c r="E194" s="24" t="s">
        <v>772</v>
      </c>
      <c r="F194" s="24">
        <v>1</v>
      </c>
      <c r="G194" s="24" t="s">
        <v>494</v>
      </c>
      <c r="H194" s="24"/>
      <c r="I194" s="24"/>
      <c r="J194" s="111"/>
      <c r="K194" s="160"/>
      <c r="L194" s="124"/>
      <c r="M194" s="124"/>
      <c r="N194" s="124"/>
      <c r="O194" s="124" t="s">
        <v>875</v>
      </c>
      <c r="P194" s="126"/>
      <c r="Q194" s="124"/>
      <c r="R194" s="111"/>
      <c r="S194" s="24"/>
      <c r="T194" s="124"/>
      <c r="U194" s="111"/>
      <c r="V194" s="112"/>
      <c r="W194" s="112"/>
      <c r="X194" s="24"/>
      <c r="Y194" s="24"/>
      <c r="Z194" s="24"/>
      <c r="AA194" s="24"/>
      <c r="AB194" s="24"/>
      <c r="AC194" s="24"/>
      <c r="AD194" s="180" t="s">
        <v>876</v>
      </c>
      <c r="AE194" s="112"/>
      <c r="AF194" s="121">
        <v>266987004</v>
      </c>
      <c r="AG194" s="111"/>
      <c r="AH194" s="115" t="s">
        <v>115</v>
      </c>
      <c r="AI194" s="115" t="s">
        <v>877</v>
      </c>
      <c r="AJ194" s="115" t="s">
        <v>878</v>
      </c>
      <c r="AK194" s="24"/>
      <c r="AL194" s="24"/>
      <c r="AM194" s="24"/>
    </row>
    <row r="195" spans="1:39" ht="25.5" customHeight="1">
      <c r="A195" s="22">
        <v>193</v>
      </c>
      <c r="B195" s="124" t="s">
        <v>879</v>
      </c>
      <c r="C195" s="24" t="s">
        <v>180</v>
      </c>
      <c r="D195" s="160" t="s">
        <v>861</v>
      </c>
      <c r="E195" s="24" t="s">
        <v>772</v>
      </c>
      <c r="F195" s="24">
        <v>1</v>
      </c>
      <c r="G195" s="24" t="s">
        <v>494</v>
      </c>
      <c r="H195" s="24"/>
      <c r="I195" s="24"/>
      <c r="J195" s="111"/>
      <c r="K195" s="160"/>
      <c r="L195" s="124"/>
      <c r="M195" s="124"/>
      <c r="N195" s="124"/>
      <c r="O195" s="124" t="s">
        <v>879</v>
      </c>
      <c r="P195" s="126"/>
      <c r="Q195" s="124"/>
      <c r="R195" s="111"/>
      <c r="S195" s="24"/>
      <c r="T195" s="124"/>
      <c r="U195" s="111"/>
      <c r="V195" s="112"/>
      <c r="W195" s="112"/>
      <c r="X195" s="24"/>
      <c r="Y195" s="24"/>
      <c r="Z195" s="24"/>
      <c r="AA195" s="24"/>
      <c r="AB195" s="24"/>
      <c r="AC195" s="24"/>
      <c r="AD195" s="181" t="s">
        <v>880</v>
      </c>
      <c r="AE195" s="112"/>
      <c r="AF195" s="113">
        <v>73211009</v>
      </c>
      <c r="AG195" s="111"/>
      <c r="AH195" s="115" t="s">
        <v>115</v>
      </c>
      <c r="AI195" s="115" t="s">
        <v>881</v>
      </c>
      <c r="AJ195" s="115" t="s">
        <v>882</v>
      </c>
      <c r="AK195" s="24"/>
      <c r="AL195" s="24"/>
      <c r="AM195" s="24"/>
    </row>
    <row r="196" spans="1:39" ht="12.75" customHeight="1">
      <c r="A196" s="22">
        <v>194</v>
      </c>
      <c r="B196" s="124" t="s">
        <v>883</v>
      </c>
      <c r="C196" s="24" t="s">
        <v>180</v>
      </c>
      <c r="D196" s="160" t="s">
        <v>861</v>
      </c>
      <c r="E196" s="24" t="s">
        <v>772</v>
      </c>
      <c r="F196" s="24">
        <v>1</v>
      </c>
      <c r="G196" s="24" t="s">
        <v>494</v>
      </c>
      <c r="H196" s="24"/>
      <c r="I196" s="24"/>
      <c r="J196" s="111"/>
      <c r="K196" s="160"/>
      <c r="L196" s="124"/>
      <c r="M196" s="124"/>
      <c r="N196" s="124"/>
      <c r="O196" s="124" t="s">
        <v>883</v>
      </c>
      <c r="P196" s="126"/>
      <c r="Q196" s="124"/>
      <c r="R196" s="111"/>
      <c r="S196" s="24"/>
      <c r="T196" s="124"/>
      <c r="U196" s="111"/>
      <c r="V196" s="112"/>
      <c r="W196" s="112"/>
      <c r="X196" s="24"/>
      <c r="Y196" s="24"/>
      <c r="Z196" s="24"/>
      <c r="AA196" s="24"/>
      <c r="AB196" s="24"/>
      <c r="AC196" s="24"/>
      <c r="AD196" s="177" t="s">
        <v>884</v>
      </c>
      <c r="AE196" s="112"/>
      <c r="AF196" s="113">
        <v>84757009</v>
      </c>
      <c r="AG196" s="111"/>
      <c r="AH196" s="115" t="s">
        <v>115</v>
      </c>
      <c r="AI196" s="115" t="s">
        <v>885</v>
      </c>
      <c r="AJ196" s="115" t="s">
        <v>886</v>
      </c>
      <c r="AK196" s="24"/>
      <c r="AL196" s="24"/>
      <c r="AM196" s="24"/>
    </row>
    <row r="197" spans="1:39" ht="25.5" customHeight="1">
      <c r="A197" s="22">
        <v>195</v>
      </c>
      <c r="B197" s="124" t="s">
        <v>887</v>
      </c>
      <c r="C197" s="24" t="s">
        <v>180</v>
      </c>
      <c r="D197" s="160" t="s">
        <v>861</v>
      </c>
      <c r="E197" s="24" t="s">
        <v>772</v>
      </c>
      <c r="F197" s="24">
        <v>1</v>
      </c>
      <c r="G197" s="24" t="s">
        <v>494</v>
      </c>
      <c r="H197" s="24"/>
      <c r="I197" s="24"/>
      <c r="J197" s="111"/>
      <c r="K197" s="160"/>
      <c r="L197" s="124"/>
      <c r="M197" s="124"/>
      <c r="N197" s="124"/>
      <c r="O197" s="124" t="s">
        <v>887</v>
      </c>
      <c r="P197" s="126"/>
      <c r="Q197" s="124"/>
      <c r="R197" s="111"/>
      <c r="S197" s="24"/>
      <c r="T197" s="124"/>
      <c r="U197" s="111"/>
      <c r="V197" s="112"/>
      <c r="W197" s="112"/>
      <c r="X197" s="24"/>
      <c r="Y197" s="24"/>
      <c r="Z197" s="24"/>
      <c r="AA197" s="24"/>
      <c r="AB197" s="24"/>
      <c r="AC197" s="24"/>
      <c r="AD197" s="112"/>
      <c r="AE197" s="112"/>
      <c r="AF197" s="113">
        <v>165816005</v>
      </c>
      <c r="AG197" s="111"/>
      <c r="AH197" s="115" t="s">
        <v>115</v>
      </c>
      <c r="AI197" s="115" t="s">
        <v>888</v>
      </c>
      <c r="AJ197" s="115" t="s">
        <v>889</v>
      </c>
      <c r="AK197" s="24"/>
      <c r="AL197" s="24"/>
      <c r="AM197" s="24"/>
    </row>
    <row r="198" spans="1:39" ht="25.5" customHeight="1">
      <c r="A198" s="22">
        <v>196</v>
      </c>
      <c r="B198" s="124" t="s">
        <v>890</v>
      </c>
      <c r="C198" s="24" t="s">
        <v>180</v>
      </c>
      <c r="D198" s="160" t="s">
        <v>861</v>
      </c>
      <c r="E198" s="24" t="s">
        <v>772</v>
      </c>
      <c r="F198" s="24">
        <v>1</v>
      </c>
      <c r="G198" s="24" t="s">
        <v>494</v>
      </c>
      <c r="H198" s="24"/>
      <c r="I198" s="24"/>
      <c r="J198" s="111"/>
      <c r="K198" s="160"/>
      <c r="L198" s="124"/>
      <c r="M198" s="124"/>
      <c r="N198" s="124"/>
      <c r="O198" s="124" t="s">
        <v>890</v>
      </c>
      <c r="P198" s="126"/>
      <c r="Q198" s="124"/>
      <c r="R198" s="111"/>
      <c r="S198" s="24"/>
      <c r="T198" s="124"/>
      <c r="U198" s="111"/>
      <c r="V198" s="112"/>
      <c r="W198" s="112"/>
      <c r="X198" s="24"/>
      <c r="Y198" s="24"/>
      <c r="Z198" s="24"/>
      <c r="AA198" s="24"/>
      <c r="AB198" s="24"/>
      <c r="AC198" s="24"/>
      <c r="AD198" s="138" t="s">
        <v>891</v>
      </c>
      <c r="AE198" s="112"/>
      <c r="AF198" s="113">
        <v>38341003</v>
      </c>
      <c r="AG198" s="111"/>
      <c r="AH198" s="115" t="s">
        <v>115</v>
      </c>
      <c r="AI198" s="116" t="s">
        <v>892</v>
      </c>
      <c r="AJ198" s="115" t="s">
        <v>893</v>
      </c>
      <c r="AK198" s="24"/>
      <c r="AL198" s="24"/>
      <c r="AM198" s="24"/>
    </row>
    <row r="199" spans="1:39" ht="25.5" customHeight="1">
      <c r="A199" s="22">
        <v>197</v>
      </c>
      <c r="B199" s="124" t="s">
        <v>894</v>
      </c>
      <c r="C199" s="24" t="s">
        <v>180</v>
      </c>
      <c r="D199" s="160" t="s">
        <v>861</v>
      </c>
      <c r="E199" s="24" t="s">
        <v>772</v>
      </c>
      <c r="F199" s="24">
        <v>1</v>
      </c>
      <c r="G199" s="24" t="s">
        <v>494</v>
      </c>
      <c r="H199" s="24"/>
      <c r="I199" s="24"/>
      <c r="J199" s="111"/>
      <c r="K199" s="160"/>
      <c r="L199" s="124"/>
      <c r="M199" s="124"/>
      <c r="N199" s="124"/>
      <c r="O199" s="124" t="s">
        <v>894</v>
      </c>
      <c r="P199" s="126"/>
      <c r="Q199" s="124"/>
      <c r="R199" s="111"/>
      <c r="S199" s="24"/>
      <c r="T199" s="124"/>
      <c r="U199" s="111"/>
      <c r="V199" s="112"/>
      <c r="W199" s="112"/>
      <c r="X199" s="24"/>
      <c r="Y199" s="24"/>
      <c r="Z199" s="24"/>
      <c r="AA199" s="24"/>
      <c r="AB199" s="24"/>
      <c r="AC199" s="24"/>
      <c r="AD199" s="180" t="s">
        <v>895</v>
      </c>
      <c r="AE199" s="112"/>
      <c r="AF199" s="113">
        <v>90708001</v>
      </c>
      <c r="AG199" s="111"/>
      <c r="AH199" s="115" t="s">
        <v>115</v>
      </c>
      <c r="AI199" s="115" t="s">
        <v>896</v>
      </c>
      <c r="AJ199" s="115" t="s">
        <v>897</v>
      </c>
      <c r="AK199" s="24"/>
      <c r="AL199" s="24"/>
      <c r="AM199" s="24"/>
    </row>
    <row r="200" spans="1:39" ht="25.5" customHeight="1">
      <c r="A200" s="22">
        <v>198</v>
      </c>
      <c r="B200" s="124" t="s">
        <v>405</v>
      </c>
      <c r="C200" s="24" t="s">
        <v>180</v>
      </c>
      <c r="D200" s="160" t="s">
        <v>861</v>
      </c>
      <c r="E200" s="24" t="s">
        <v>772</v>
      </c>
      <c r="F200" s="24">
        <v>1</v>
      </c>
      <c r="G200" s="24" t="s">
        <v>494</v>
      </c>
      <c r="H200" s="24"/>
      <c r="I200" s="24"/>
      <c r="J200" s="111"/>
      <c r="K200" s="160"/>
      <c r="L200" s="124"/>
      <c r="M200" s="124"/>
      <c r="N200" s="124"/>
      <c r="O200" s="124" t="s">
        <v>405</v>
      </c>
      <c r="P200" s="126"/>
      <c r="Q200" s="124"/>
      <c r="R200" s="111"/>
      <c r="S200" s="24"/>
      <c r="T200" s="124"/>
      <c r="U200" s="111"/>
      <c r="V200" s="112"/>
      <c r="W200" s="112"/>
      <c r="X200" s="24"/>
      <c r="Y200" s="24"/>
      <c r="Z200" s="24"/>
      <c r="AA200" s="24"/>
      <c r="AB200" s="24"/>
      <c r="AC200" s="24"/>
      <c r="AD200" s="112"/>
      <c r="AE200" s="112"/>
      <c r="AF200" s="93" t="s">
        <v>745</v>
      </c>
      <c r="AG200" s="111"/>
      <c r="AH200" s="115" t="s">
        <v>115</v>
      </c>
      <c r="AI200" s="115" t="s">
        <v>406</v>
      </c>
      <c r="AJ200" s="115" t="s">
        <v>407</v>
      </c>
      <c r="AK200" s="24"/>
      <c r="AL200" s="24"/>
      <c r="AM200" s="24"/>
    </row>
    <row r="201" spans="1:39" ht="38.25" customHeight="1">
      <c r="A201" s="22">
        <v>199</v>
      </c>
      <c r="B201" s="124" t="s">
        <v>898</v>
      </c>
      <c r="C201" s="24" t="s">
        <v>96</v>
      </c>
      <c r="D201" s="24"/>
      <c r="E201" s="24" t="s">
        <v>772</v>
      </c>
      <c r="F201" s="24">
        <v>1</v>
      </c>
      <c r="G201" s="24" t="s">
        <v>494</v>
      </c>
      <c r="H201" s="24"/>
      <c r="I201" s="24"/>
      <c r="J201" s="111"/>
      <c r="K201" s="124" t="s">
        <v>409</v>
      </c>
      <c r="L201" s="124" t="s">
        <v>899</v>
      </c>
      <c r="M201" s="124" t="s">
        <v>900</v>
      </c>
      <c r="N201" s="124" t="s">
        <v>111</v>
      </c>
      <c r="O201" s="124"/>
      <c r="P201" s="126"/>
      <c r="Q201" s="124"/>
      <c r="R201" s="111"/>
      <c r="S201" s="24"/>
      <c r="T201" s="124" t="s">
        <v>208</v>
      </c>
      <c r="U201" s="111"/>
      <c r="V201" s="112"/>
      <c r="W201" s="112"/>
      <c r="X201" s="24"/>
      <c r="Y201" s="24"/>
      <c r="Z201" s="24"/>
      <c r="AA201" s="24"/>
      <c r="AB201" s="24"/>
      <c r="AC201" s="24"/>
      <c r="AD201" s="112"/>
      <c r="AE201" s="112"/>
      <c r="AF201" s="182"/>
      <c r="AG201" s="111"/>
      <c r="AH201" s="115" t="s">
        <v>115</v>
      </c>
      <c r="AI201" s="115" t="s">
        <v>115</v>
      </c>
      <c r="AJ201" s="115" t="s">
        <v>115</v>
      </c>
      <c r="AK201" s="24"/>
      <c r="AL201" s="24"/>
      <c r="AM201" s="24"/>
    </row>
    <row r="202" spans="1:39" ht="38.25" customHeight="1">
      <c r="A202" s="22">
        <v>200</v>
      </c>
      <c r="B202" s="124" t="s">
        <v>901</v>
      </c>
      <c r="C202" s="24" t="s">
        <v>96</v>
      </c>
      <c r="D202" s="24"/>
      <c r="E202" s="24" t="s">
        <v>772</v>
      </c>
      <c r="F202" s="24">
        <v>1</v>
      </c>
      <c r="G202" s="24" t="s">
        <v>494</v>
      </c>
      <c r="H202" s="24"/>
      <c r="I202" s="24"/>
      <c r="J202" s="111"/>
      <c r="K202" s="124" t="s">
        <v>901</v>
      </c>
      <c r="L202" s="124" t="s">
        <v>902</v>
      </c>
      <c r="M202" s="124" t="s">
        <v>903</v>
      </c>
      <c r="N202" s="124" t="s">
        <v>140</v>
      </c>
      <c r="O202" s="161"/>
      <c r="P202" s="126"/>
      <c r="Q202" s="124" t="s">
        <v>904</v>
      </c>
      <c r="R202" s="111"/>
      <c r="S202" s="24"/>
      <c r="T202" s="124" t="s">
        <v>905</v>
      </c>
      <c r="U202" s="111"/>
      <c r="V202" s="112"/>
      <c r="W202" s="112"/>
      <c r="X202" s="24"/>
      <c r="Y202" s="24"/>
      <c r="Z202" s="24"/>
      <c r="AA202" s="24"/>
      <c r="AB202" s="24"/>
      <c r="AC202" s="24"/>
      <c r="AD202" s="112"/>
      <c r="AE202" s="112"/>
      <c r="AF202" s="93" t="s">
        <v>906</v>
      </c>
      <c r="AG202" s="111"/>
      <c r="AH202" s="115" t="s">
        <v>115</v>
      </c>
      <c r="AI202" s="115" t="s">
        <v>907</v>
      </c>
      <c r="AJ202" s="115" t="s">
        <v>908</v>
      </c>
      <c r="AK202" s="24"/>
      <c r="AL202" s="24"/>
      <c r="AM202" s="24"/>
    </row>
    <row r="203" spans="1:39" ht="51" customHeight="1">
      <c r="A203" s="22">
        <v>201</v>
      </c>
      <c r="B203" s="124" t="s">
        <v>909</v>
      </c>
      <c r="C203" s="24" t="s">
        <v>96</v>
      </c>
      <c r="D203" s="24"/>
      <c r="E203" s="24" t="s">
        <v>772</v>
      </c>
      <c r="F203" s="24">
        <v>1</v>
      </c>
      <c r="G203" s="24" t="s">
        <v>494</v>
      </c>
      <c r="H203" s="24"/>
      <c r="I203" s="24"/>
      <c r="J203" s="111"/>
      <c r="K203" s="124" t="s">
        <v>909</v>
      </c>
      <c r="L203" s="124" t="s">
        <v>910</v>
      </c>
      <c r="M203" s="124" t="s">
        <v>911</v>
      </c>
      <c r="N203" s="124" t="s">
        <v>153</v>
      </c>
      <c r="O203" s="126"/>
      <c r="P203" s="126"/>
      <c r="Q203" s="126"/>
      <c r="R203" s="111"/>
      <c r="S203" s="24"/>
      <c r="T203" s="124" t="s">
        <v>912</v>
      </c>
      <c r="U203" s="111"/>
      <c r="V203" s="112"/>
      <c r="W203" s="112"/>
      <c r="X203" s="24"/>
      <c r="Y203" s="24"/>
      <c r="Z203" s="24"/>
      <c r="AA203" s="24"/>
      <c r="AB203" s="24"/>
      <c r="AC203" s="24"/>
      <c r="AD203" s="119"/>
      <c r="AE203" s="119"/>
      <c r="AF203" s="120"/>
      <c r="AG203" s="127"/>
      <c r="AH203" s="115" t="s">
        <v>115</v>
      </c>
      <c r="AI203" s="115" t="s">
        <v>913</v>
      </c>
      <c r="AJ203" s="115" t="s">
        <v>914</v>
      </c>
      <c r="AK203" s="24"/>
      <c r="AL203" s="24"/>
      <c r="AM203" s="24"/>
    </row>
    <row r="204" spans="1:39" ht="63.75" customHeight="1">
      <c r="A204" s="22">
        <v>202</v>
      </c>
      <c r="B204" s="184" t="s">
        <v>915</v>
      </c>
      <c r="C204" s="24" t="s">
        <v>65</v>
      </c>
      <c r="D204" s="24"/>
      <c r="E204" s="24" t="s">
        <v>772</v>
      </c>
      <c r="F204" s="24">
        <v>1</v>
      </c>
      <c r="G204" s="24" t="s">
        <v>494</v>
      </c>
      <c r="H204" s="24"/>
      <c r="I204" s="24"/>
      <c r="J204" s="111"/>
      <c r="K204" s="184" t="s">
        <v>115</v>
      </c>
      <c r="L204" s="184" t="s">
        <v>916</v>
      </c>
      <c r="M204" s="184" t="s">
        <v>917</v>
      </c>
      <c r="N204" s="184" t="s">
        <v>65</v>
      </c>
      <c r="O204" s="184"/>
      <c r="P204" s="184" t="s">
        <v>918</v>
      </c>
      <c r="Q204" s="126"/>
      <c r="R204" s="111"/>
      <c r="S204" s="24"/>
      <c r="T204" s="184" t="s">
        <v>115</v>
      </c>
      <c r="U204" s="111"/>
      <c r="V204" s="112"/>
      <c r="W204" s="112"/>
      <c r="X204" s="24"/>
      <c r="Y204" s="24"/>
      <c r="Z204" s="24"/>
      <c r="AA204" s="24"/>
      <c r="AB204" s="24"/>
      <c r="AC204" s="24"/>
      <c r="AD204" s="180" t="s">
        <v>919</v>
      </c>
      <c r="AE204" s="112"/>
      <c r="AF204" s="121">
        <v>165816005</v>
      </c>
      <c r="AG204" s="111"/>
      <c r="AH204" s="115" t="s">
        <v>115</v>
      </c>
      <c r="AI204" s="115" t="s">
        <v>888</v>
      </c>
      <c r="AJ204" s="115" t="s">
        <v>889</v>
      </c>
      <c r="AK204" s="24"/>
      <c r="AL204" s="24"/>
      <c r="AM204" s="24"/>
    </row>
    <row r="205" spans="1:39" ht="25.5" customHeight="1">
      <c r="A205" s="22">
        <v>203</v>
      </c>
      <c r="B205" s="124" t="s">
        <v>920</v>
      </c>
      <c r="C205" s="24" t="s">
        <v>96</v>
      </c>
      <c r="D205" s="24"/>
      <c r="E205" s="24" t="s">
        <v>921</v>
      </c>
      <c r="F205" s="24">
        <v>1</v>
      </c>
      <c r="G205" s="24" t="s">
        <v>494</v>
      </c>
      <c r="H205" s="24"/>
      <c r="I205" s="24"/>
      <c r="J205" s="111"/>
      <c r="K205" s="124" t="s">
        <v>920</v>
      </c>
      <c r="L205" s="124" t="s">
        <v>922</v>
      </c>
      <c r="M205" s="124" t="s">
        <v>923</v>
      </c>
      <c r="N205" s="124" t="s">
        <v>202</v>
      </c>
      <c r="O205" s="124"/>
      <c r="P205" s="126"/>
      <c r="Q205" s="126"/>
      <c r="R205" s="111"/>
      <c r="S205" s="24"/>
      <c r="T205" s="124" t="s">
        <v>113</v>
      </c>
      <c r="U205" s="111"/>
      <c r="V205" s="112"/>
      <c r="W205" s="112"/>
      <c r="X205" s="24"/>
      <c r="Y205" s="24"/>
      <c r="Z205" s="24"/>
      <c r="AA205" s="24"/>
      <c r="AB205" s="24"/>
      <c r="AC205" s="24"/>
      <c r="AD205" s="119"/>
      <c r="AE205" s="119"/>
      <c r="AF205" s="120"/>
      <c r="AG205" s="127"/>
      <c r="AH205" s="115" t="s">
        <v>115</v>
      </c>
      <c r="AI205" s="115" t="s">
        <v>924</v>
      </c>
      <c r="AJ205" s="115" t="s">
        <v>925</v>
      </c>
      <c r="AK205" s="24"/>
      <c r="AL205" s="24"/>
      <c r="AM205" s="24"/>
    </row>
    <row r="206" spans="1:39" ht="25.5" customHeight="1">
      <c r="A206" s="22">
        <v>204</v>
      </c>
      <c r="B206" s="124" t="s">
        <v>926</v>
      </c>
      <c r="C206" s="24" t="s">
        <v>180</v>
      </c>
      <c r="D206" s="124" t="s">
        <v>920</v>
      </c>
      <c r="E206" s="24" t="s">
        <v>921</v>
      </c>
      <c r="F206" s="24">
        <v>1</v>
      </c>
      <c r="G206" s="24" t="s">
        <v>494</v>
      </c>
      <c r="H206" s="24"/>
      <c r="I206" s="24"/>
      <c r="J206" s="111"/>
      <c r="K206" s="124"/>
      <c r="L206" s="124"/>
      <c r="M206" s="124"/>
      <c r="N206" s="124"/>
      <c r="O206" s="124" t="s">
        <v>926</v>
      </c>
      <c r="P206" s="126"/>
      <c r="Q206" s="126"/>
      <c r="R206" s="111"/>
      <c r="S206" s="24"/>
      <c r="T206" s="124"/>
      <c r="U206" s="111"/>
      <c r="V206" s="112"/>
      <c r="W206" s="112"/>
      <c r="X206" s="24"/>
      <c r="Y206" s="24"/>
      <c r="Z206" s="24"/>
      <c r="AA206" s="24"/>
      <c r="AB206" s="24"/>
      <c r="AC206" s="24"/>
      <c r="AD206" s="112"/>
      <c r="AE206" s="112"/>
      <c r="AF206" s="93" t="s">
        <v>927</v>
      </c>
      <c r="AG206" s="111"/>
      <c r="AH206" s="115" t="s">
        <v>115</v>
      </c>
      <c r="AI206" s="115" t="s">
        <v>928</v>
      </c>
      <c r="AJ206" s="115" t="s">
        <v>929</v>
      </c>
      <c r="AK206" s="24"/>
      <c r="AL206" s="24"/>
      <c r="AM206" s="24"/>
    </row>
    <row r="207" spans="1:39" ht="25.5" customHeight="1">
      <c r="A207" s="22">
        <v>205</v>
      </c>
      <c r="B207" s="124" t="s">
        <v>930</v>
      </c>
      <c r="C207" s="24" t="s">
        <v>180</v>
      </c>
      <c r="D207" s="124" t="s">
        <v>920</v>
      </c>
      <c r="E207" s="24" t="s">
        <v>921</v>
      </c>
      <c r="F207" s="24">
        <v>1</v>
      </c>
      <c r="G207" s="24" t="s">
        <v>494</v>
      </c>
      <c r="H207" s="24"/>
      <c r="I207" s="24"/>
      <c r="J207" s="111"/>
      <c r="K207" s="124"/>
      <c r="L207" s="124"/>
      <c r="M207" s="124"/>
      <c r="N207" s="124"/>
      <c r="O207" s="124" t="s">
        <v>930</v>
      </c>
      <c r="P207" s="126"/>
      <c r="Q207" s="126"/>
      <c r="R207" s="111"/>
      <c r="S207" s="24"/>
      <c r="T207" s="124"/>
      <c r="U207" s="111"/>
      <c r="V207" s="112"/>
      <c r="W207" s="112"/>
      <c r="X207" s="24"/>
      <c r="Y207" s="24"/>
      <c r="Z207" s="24"/>
      <c r="AA207" s="24"/>
      <c r="AB207" s="24"/>
      <c r="AC207" s="24"/>
      <c r="AD207" s="119"/>
      <c r="AE207" s="119"/>
      <c r="AF207" s="120"/>
      <c r="AG207" s="127"/>
      <c r="AH207" s="115" t="s">
        <v>115</v>
      </c>
      <c r="AI207" s="115" t="s">
        <v>931</v>
      </c>
      <c r="AJ207" s="115" t="s">
        <v>932</v>
      </c>
      <c r="AK207" s="24"/>
      <c r="AL207" s="24"/>
      <c r="AM207" s="24"/>
    </row>
    <row r="208" spans="1:39" ht="12.75" customHeight="1">
      <c r="A208" s="22">
        <v>206</v>
      </c>
      <c r="B208" s="124" t="s">
        <v>933</v>
      </c>
      <c r="C208" s="24" t="s">
        <v>180</v>
      </c>
      <c r="D208" s="124" t="s">
        <v>920</v>
      </c>
      <c r="E208" s="24" t="s">
        <v>921</v>
      </c>
      <c r="F208" s="24">
        <v>1</v>
      </c>
      <c r="G208" s="24" t="s">
        <v>494</v>
      </c>
      <c r="H208" s="24"/>
      <c r="I208" s="24"/>
      <c r="J208" s="111"/>
      <c r="K208" s="124"/>
      <c r="L208" s="124"/>
      <c r="M208" s="124"/>
      <c r="N208" s="124"/>
      <c r="O208" s="124" t="s">
        <v>933</v>
      </c>
      <c r="P208" s="126"/>
      <c r="Q208" s="126"/>
      <c r="R208" s="111"/>
      <c r="S208" s="24"/>
      <c r="T208" s="124"/>
      <c r="U208" s="111"/>
      <c r="V208" s="112"/>
      <c r="W208" s="112"/>
      <c r="X208" s="24"/>
      <c r="Y208" s="24"/>
      <c r="Z208" s="24"/>
      <c r="AA208" s="24"/>
      <c r="AB208" s="24"/>
      <c r="AC208" s="24"/>
      <c r="AD208" s="119"/>
      <c r="AE208" s="119"/>
      <c r="AF208" s="120"/>
      <c r="AG208" s="127"/>
      <c r="AH208" s="115" t="s">
        <v>115</v>
      </c>
      <c r="AI208" s="115" t="s">
        <v>934</v>
      </c>
      <c r="AJ208" s="115" t="s">
        <v>935</v>
      </c>
      <c r="AK208" s="24"/>
      <c r="AL208" s="24"/>
      <c r="AM208" s="24"/>
    </row>
    <row r="209" spans="1:39" ht="25.5" customHeight="1">
      <c r="A209" s="22">
        <v>207</v>
      </c>
      <c r="B209" s="124" t="s">
        <v>936</v>
      </c>
      <c r="C209" s="24" t="s">
        <v>180</v>
      </c>
      <c r="D209" s="124" t="s">
        <v>920</v>
      </c>
      <c r="E209" s="24" t="s">
        <v>921</v>
      </c>
      <c r="F209" s="24">
        <v>1</v>
      </c>
      <c r="G209" s="24" t="s">
        <v>494</v>
      </c>
      <c r="H209" s="24"/>
      <c r="I209" s="24"/>
      <c r="J209" s="111"/>
      <c r="K209" s="124"/>
      <c r="L209" s="124"/>
      <c r="M209" s="124"/>
      <c r="N209" s="124"/>
      <c r="O209" s="124" t="s">
        <v>936</v>
      </c>
      <c r="P209" s="126"/>
      <c r="Q209" s="126"/>
      <c r="R209" s="111"/>
      <c r="S209" s="24"/>
      <c r="T209" s="124"/>
      <c r="U209" s="111"/>
      <c r="V209" s="112"/>
      <c r="W209" s="112"/>
      <c r="X209" s="24"/>
      <c r="Y209" s="24"/>
      <c r="Z209" s="24"/>
      <c r="AA209" s="24"/>
      <c r="AB209" s="24"/>
      <c r="AC209" s="24"/>
      <c r="AD209" s="119"/>
      <c r="AE209" s="119"/>
      <c r="AF209" s="120"/>
      <c r="AG209" s="127"/>
      <c r="AH209" s="115" t="s">
        <v>115</v>
      </c>
      <c r="AI209" s="115" t="s">
        <v>115</v>
      </c>
      <c r="AJ209" s="115" t="s">
        <v>115</v>
      </c>
      <c r="AK209" s="24"/>
      <c r="AL209" s="24"/>
      <c r="AM209" s="24"/>
    </row>
    <row r="210" spans="1:39" ht="140.25" customHeight="1">
      <c r="A210" s="22">
        <v>208</v>
      </c>
      <c r="B210" s="124" t="s">
        <v>937</v>
      </c>
      <c r="C210" s="24" t="s">
        <v>96</v>
      </c>
      <c r="D210" s="24"/>
      <c r="E210" s="24" t="s">
        <v>921</v>
      </c>
      <c r="F210" s="24">
        <v>1</v>
      </c>
      <c r="G210" s="24" t="s">
        <v>494</v>
      </c>
      <c r="H210" s="24"/>
      <c r="I210" s="24"/>
      <c r="J210" s="111"/>
      <c r="K210" s="124" t="s">
        <v>937</v>
      </c>
      <c r="L210" s="124" t="s">
        <v>938</v>
      </c>
      <c r="M210" s="124" t="s">
        <v>939</v>
      </c>
      <c r="N210" s="124" t="s">
        <v>202</v>
      </c>
      <c r="O210" s="124"/>
      <c r="P210" s="126"/>
      <c r="Q210" s="126"/>
      <c r="R210" s="111"/>
      <c r="S210" s="24"/>
      <c r="T210" s="124" t="s">
        <v>113</v>
      </c>
      <c r="U210" s="111"/>
      <c r="V210" s="112"/>
      <c r="W210" s="112"/>
      <c r="X210" s="24"/>
      <c r="Y210" s="24"/>
      <c r="Z210" s="24"/>
      <c r="AA210" s="24"/>
      <c r="AB210" s="24"/>
      <c r="AC210" s="24"/>
      <c r="AD210" s="119"/>
      <c r="AE210" s="119"/>
      <c r="AF210" s="120"/>
      <c r="AG210" s="127"/>
      <c r="AH210" s="115" t="s">
        <v>115</v>
      </c>
      <c r="AI210" s="115" t="s">
        <v>940</v>
      </c>
      <c r="AJ210" s="115" t="s">
        <v>932</v>
      </c>
      <c r="AK210" s="24"/>
      <c r="AL210" s="24"/>
      <c r="AM210" s="24"/>
    </row>
    <row r="211" spans="1:39" ht="12.75" customHeight="1">
      <c r="A211" s="22">
        <v>209</v>
      </c>
      <c r="B211" s="124" t="s">
        <v>941</v>
      </c>
      <c r="C211" s="24" t="s">
        <v>180</v>
      </c>
      <c r="D211" s="124" t="s">
        <v>937</v>
      </c>
      <c r="E211" s="24" t="s">
        <v>921</v>
      </c>
      <c r="F211" s="24">
        <v>1</v>
      </c>
      <c r="G211" s="24" t="s">
        <v>494</v>
      </c>
      <c r="H211" s="24"/>
      <c r="I211" s="24"/>
      <c r="J211" s="111"/>
      <c r="K211" s="126"/>
      <c r="L211" s="126"/>
      <c r="M211" s="130"/>
      <c r="N211" s="130"/>
      <c r="O211" s="124" t="s">
        <v>941</v>
      </c>
      <c r="P211" s="126"/>
      <c r="Q211" s="126"/>
      <c r="R211" s="111"/>
      <c r="S211" s="24"/>
      <c r="T211" s="126"/>
      <c r="U211" s="111"/>
      <c r="V211" s="112"/>
      <c r="W211" s="112"/>
      <c r="X211" s="24"/>
      <c r="Y211" s="24"/>
      <c r="Z211" s="24"/>
      <c r="AA211" s="24"/>
      <c r="AB211" s="24"/>
      <c r="AC211" s="24"/>
      <c r="AD211" s="112"/>
      <c r="AE211" s="112"/>
      <c r="AF211" s="113">
        <v>255594003</v>
      </c>
      <c r="AG211" s="111"/>
      <c r="AH211" s="115" t="s">
        <v>115</v>
      </c>
      <c r="AI211" s="115" t="s">
        <v>942</v>
      </c>
      <c r="AJ211" s="115" t="s">
        <v>943</v>
      </c>
      <c r="AK211" s="24"/>
      <c r="AL211" s="24"/>
      <c r="AM211" s="24"/>
    </row>
    <row r="212" spans="1:39" ht="12.75" customHeight="1">
      <c r="A212" s="22">
        <v>210</v>
      </c>
      <c r="B212" s="130" t="s">
        <v>944</v>
      </c>
      <c r="C212" s="24" t="s">
        <v>180</v>
      </c>
      <c r="D212" s="124" t="s">
        <v>937</v>
      </c>
      <c r="E212" s="24" t="s">
        <v>921</v>
      </c>
      <c r="F212" s="24">
        <v>1</v>
      </c>
      <c r="G212" s="24" t="s">
        <v>494</v>
      </c>
      <c r="H212" s="24"/>
      <c r="I212" s="24"/>
      <c r="J212" s="111"/>
      <c r="K212" s="126"/>
      <c r="L212" s="126"/>
      <c r="M212" s="130"/>
      <c r="N212" s="130"/>
      <c r="O212" s="130" t="s">
        <v>944</v>
      </c>
      <c r="P212" s="126"/>
      <c r="Q212" s="126"/>
      <c r="R212" s="111"/>
      <c r="S212" s="24"/>
      <c r="T212" s="126"/>
      <c r="U212" s="111"/>
      <c r="V212" s="112"/>
      <c r="W212" s="112"/>
      <c r="X212" s="24"/>
      <c r="Y212" s="24"/>
      <c r="Z212" s="24"/>
      <c r="AA212" s="24"/>
      <c r="AB212" s="24"/>
      <c r="AC212" s="24"/>
      <c r="AD212" s="112"/>
      <c r="AE212" s="112"/>
      <c r="AF212" s="113">
        <v>255599008</v>
      </c>
      <c r="AG212" s="111"/>
      <c r="AH212" s="115" t="s">
        <v>115</v>
      </c>
      <c r="AI212" s="115" t="s">
        <v>945</v>
      </c>
      <c r="AJ212" s="115" t="s">
        <v>946</v>
      </c>
      <c r="AK212" s="24"/>
      <c r="AL212" s="24"/>
      <c r="AM212" s="24"/>
    </row>
    <row r="213" spans="1:39" ht="12.75" customHeight="1">
      <c r="A213" s="22">
        <v>211</v>
      </c>
      <c r="B213" s="130" t="s">
        <v>947</v>
      </c>
      <c r="C213" s="24" t="s">
        <v>180</v>
      </c>
      <c r="D213" s="124" t="s">
        <v>937</v>
      </c>
      <c r="E213" s="24" t="s">
        <v>921</v>
      </c>
      <c r="F213" s="24">
        <v>1</v>
      </c>
      <c r="G213" s="24" t="s">
        <v>494</v>
      </c>
      <c r="H213" s="24"/>
      <c r="I213" s="24"/>
      <c r="J213" s="111"/>
      <c r="K213" s="126"/>
      <c r="L213" s="126"/>
      <c r="M213" s="130"/>
      <c r="N213" s="130"/>
      <c r="O213" s="130" t="s">
        <v>947</v>
      </c>
      <c r="P213" s="126"/>
      <c r="Q213" s="126"/>
      <c r="R213" s="111"/>
      <c r="S213" s="24"/>
      <c r="T213" s="126"/>
      <c r="U213" s="111"/>
      <c r="V213" s="112"/>
      <c r="W213" s="112"/>
      <c r="X213" s="24"/>
      <c r="Y213" s="24"/>
      <c r="Z213" s="24"/>
      <c r="AA213" s="24"/>
      <c r="AB213" s="24"/>
      <c r="AC213" s="24"/>
      <c r="AD213" s="112"/>
      <c r="AE213" s="112"/>
      <c r="AF213" s="113">
        <v>260413007</v>
      </c>
      <c r="AG213" s="111"/>
      <c r="AH213" s="115" t="s">
        <v>115</v>
      </c>
      <c r="AI213" s="115" t="s">
        <v>424</v>
      </c>
      <c r="AJ213" s="115" t="s">
        <v>425</v>
      </c>
      <c r="AK213" s="24"/>
      <c r="AL213" s="24"/>
      <c r="AM213" s="24"/>
    </row>
    <row r="214" spans="1:39" ht="12.75" customHeight="1">
      <c r="A214" s="22">
        <v>212</v>
      </c>
      <c r="B214" s="130" t="s">
        <v>936</v>
      </c>
      <c r="C214" s="24" t="s">
        <v>180</v>
      </c>
      <c r="D214" s="124" t="s">
        <v>937</v>
      </c>
      <c r="E214" s="24" t="s">
        <v>921</v>
      </c>
      <c r="F214" s="24">
        <v>1</v>
      </c>
      <c r="G214" s="24" t="s">
        <v>494</v>
      </c>
      <c r="H214" s="24"/>
      <c r="I214" s="24"/>
      <c r="J214" s="111"/>
      <c r="K214" s="126"/>
      <c r="L214" s="126"/>
      <c r="M214" s="130"/>
      <c r="N214" s="130"/>
      <c r="O214" s="130" t="s">
        <v>936</v>
      </c>
      <c r="P214" s="126"/>
      <c r="Q214" s="126"/>
      <c r="R214" s="111"/>
      <c r="S214" s="24"/>
      <c r="T214" s="126"/>
      <c r="U214" s="111"/>
      <c r="V214" s="112"/>
      <c r="W214" s="112"/>
      <c r="X214" s="24"/>
      <c r="Y214" s="24"/>
      <c r="Z214" s="24"/>
      <c r="AA214" s="24"/>
      <c r="AB214" s="24"/>
      <c r="AC214" s="24"/>
      <c r="AD214" s="112"/>
      <c r="AE214" s="112"/>
      <c r="AF214" s="25"/>
      <c r="AG214" s="111"/>
      <c r="AH214" s="115" t="s">
        <v>115</v>
      </c>
      <c r="AI214" s="115" t="s">
        <v>115</v>
      </c>
      <c r="AJ214" s="115" t="s">
        <v>115</v>
      </c>
      <c r="AK214" s="24"/>
      <c r="AL214" s="24"/>
      <c r="AM214" s="24"/>
    </row>
    <row r="215" spans="1:39" ht="12.75" customHeight="1">
      <c r="A215" s="22">
        <v>213</v>
      </c>
      <c r="B215" s="124" t="s">
        <v>948</v>
      </c>
      <c r="C215" s="24" t="s">
        <v>96</v>
      </c>
      <c r="D215" s="24"/>
      <c r="E215" s="24" t="s">
        <v>921</v>
      </c>
      <c r="F215" s="24">
        <v>1</v>
      </c>
      <c r="G215" s="24" t="s">
        <v>494</v>
      </c>
      <c r="H215" s="24"/>
      <c r="I215" s="24"/>
      <c r="J215" s="111"/>
      <c r="K215" s="124" t="s">
        <v>948</v>
      </c>
      <c r="L215" s="124" t="s">
        <v>949</v>
      </c>
      <c r="M215" s="124" t="s">
        <v>950</v>
      </c>
      <c r="N215" s="124" t="s">
        <v>202</v>
      </c>
      <c r="O215" s="124"/>
      <c r="P215" s="126"/>
      <c r="Q215" s="126"/>
      <c r="R215" s="111"/>
      <c r="S215" s="24"/>
      <c r="T215" s="124" t="s">
        <v>113</v>
      </c>
      <c r="U215" s="111"/>
      <c r="V215" s="112"/>
      <c r="W215" s="112"/>
      <c r="X215" s="24"/>
      <c r="Y215" s="24"/>
      <c r="Z215" s="24"/>
      <c r="AA215" s="24"/>
      <c r="AB215" s="24"/>
      <c r="AC215" s="24"/>
      <c r="AD215" s="119"/>
      <c r="AE215" s="119"/>
      <c r="AF215" s="120"/>
      <c r="AG215" s="127"/>
      <c r="AH215" s="115" t="s">
        <v>115</v>
      </c>
      <c r="AI215" s="115" t="s">
        <v>951</v>
      </c>
      <c r="AJ215" s="115" t="s">
        <v>935</v>
      </c>
      <c r="AK215" s="24"/>
      <c r="AL215" s="24"/>
      <c r="AM215" s="24"/>
    </row>
    <row r="216" spans="1:39" ht="12.75" customHeight="1">
      <c r="A216" s="22">
        <v>214</v>
      </c>
      <c r="B216" s="124" t="s">
        <v>952</v>
      </c>
      <c r="C216" s="24" t="s">
        <v>180</v>
      </c>
      <c r="D216" s="124" t="s">
        <v>948</v>
      </c>
      <c r="E216" s="24" t="s">
        <v>921</v>
      </c>
      <c r="F216" s="24">
        <v>1</v>
      </c>
      <c r="G216" s="24" t="s">
        <v>494</v>
      </c>
      <c r="H216" s="24"/>
      <c r="I216" s="24"/>
      <c r="J216" s="111"/>
      <c r="K216" s="126"/>
      <c r="L216" s="126"/>
      <c r="M216" s="130"/>
      <c r="N216" s="130"/>
      <c r="O216" s="124" t="s">
        <v>952</v>
      </c>
      <c r="P216" s="126"/>
      <c r="Q216" s="126"/>
      <c r="R216" s="111"/>
      <c r="S216" s="24"/>
      <c r="T216" s="126"/>
      <c r="U216" s="111"/>
      <c r="V216" s="112"/>
      <c r="W216" s="112"/>
      <c r="X216" s="24"/>
      <c r="Y216" s="24"/>
      <c r="Z216" s="24"/>
      <c r="AA216" s="24"/>
      <c r="AB216" s="24"/>
      <c r="AC216" s="24"/>
      <c r="AD216" s="119"/>
      <c r="AE216" s="119"/>
      <c r="AF216" s="120"/>
      <c r="AG216" s="127"/>
      <c r="AH216" s="115" t="s">
        <v>115</v>
      </c>
      <c r="AI216" s="115" t="s">
        <v>953</v>
      </c>
      <c r="AJ216" s="115" t="s">
        <v>954</v>
      </c>
      <c r="AK216" s="24"/>
      <c r="AL216" s="24"/>
      <c r="AM216" s="24"/>
    </row>
    <row r="217" spans="1:39" ht="12.75" customHeight="1">
      <c r="A217" s="22">
        <v>215</v>
      </c>
      <c r="B217" s="130" t="s">
        <v>955</v>
      </c>
      <c r="C217" s="24" t="s">
        <v>180</v>
      </c>
      <c r="D217" s="124" t="s">
        <v>948</v>
      </c>
      <c r="E217" s="24" t="s">
        <v>921</v>
      </c>
      <c r="F217" s="24">
        <v>1</v>
      </c>
      <c r="G217" s="24" t="s">
        <v>494</v>
      </c>
      <c r="H217" s="24"/>
      <c r="I217" s="24"/>
      <c r="J217" s="111"/>
      <c r="K217" s="126"/>
      <c r="L217" s="126"/>
      <c r="M217" s="130"/>
      <c r="N217" s="130"/>
      <c r="O217" s="130" t="s">
        <v>955</v>
      </c>
      <c r="P217" s="126"/>
      <c r="Q217" s="126"/>
      <c r="R217" s="111"/>
      <c r="S217" s="24"/>
      <c r="T217" s="126"/>
      <c r="U217" s="111"/>
      <c r="V217" s="112"/>
      <c r="W217" s="112"/>
      <c r="X217" s="24"/>
      <c r="Y217" s="24"/>
      <c r="Z217" s="24"/>
      <c r="AA217" s="24"/>
      <c r="AB217" s="24"/>
      <c r="AC217" s="24"/>
      <c r="AD217" s="119"/>
      <c r="AE217" s="119"/>
      <c r="AF217" s="120"/>
      <c r="AG217" s="127"/>
      <c r="AH217" s="115" t="s">
        <v>115</v>
      </c>
      <c r="AI217" s="115" t="s">
        <v>957</v>
      </c>
      <c r="AJ217" s="115" t="s">
        <v>958</v>
      </c>
      <c r="AK217" s="24"/>
      <c r="AL217" s="24"/>
      <c r="AM217" s="24"/>
    </row>
    <row r="218" spans="1:39" ht="12.75" customHeight="1">
      <c r="A218" s="22">
        <v>216</v>
      </c>
      <c r="B218" s="130" t="s">
        <v>936</v>
      </c>
      <c r="C218" s="24" t="s">
        <v>180</v>
      </c>
      <c r="D218" s="124" t="s">
        <v>948</v>
      </c>
      <c r="E218" s="24" t="s">
        <v>921</v>
      </c>
      <c r="F218" s="24">
        <v>1</v>
      </c>
      <c r="G218" s="24" t="s">
        <v>494</v>
      </c>
      <c r="H218" s="24"/>
      <c r="I218" s="24"/>
      <c r="J218" s="111"/>
      <c r="K218" s="126"/>
      <c r="L218" s="126"/>
      <c r="M218" s="130"/>
      <c r="N218" s="130"/>
      <c r="O218" s="130" t="s">
        <v>936</v>
      </c>
      <c r="P218" s="126"/>
      <c r="Q218" s="126"/>
      <c r="R218" s="111"/>
      <c r="S218" s="24"/>
      <c r="T218" s="126"/>
      <c r="U218" s="111"/>
      <c r="V218" s="112"/>
      <c r="W218" s="112"/>
      <c r="X218" s="24"/>
      <c r="Y218" s="24"/>
      <c r="Z218" s="24"/>
      <c r="AA218" s="24"/>
      <c r="AB218" s="24"/>
      <c r="AC218" s="24"/>
      <c r="AD218" s="112"/>
      <c r="AE218" s="112"/>
      <c r="AF218" s="25"/>
      <c r="AG218" s="111"/>
      <c r="AH218" s="115" t="s">
        <v>115</v>
      </c>
      <c r="AI218" s="115" t="s">
        <v>115</v>
      </c>
      <c r="AJ218" s="115" t="s">
        <v>115</v>
      </c>
      <c r="AK218" s="24"/>
      <c r="AL218" s="24"/>
      <c r="AM218" s="24"/>
    </row>
    <row r="219" spans="1:39" ht="12.75" customHeight="1">
      <c r="A219" s="22">
        <v>217</v>
      </c>
      <c r="B219" s="160" t="s">
        <v>960</v>
      </c>
      <c r="C219" s="24" t="s">
        <v>96</v>
      </c>
      <c r="D219" s="124"/>
      <c r="E219" s="24" t="s">
        <v>961</v>
      </c>
      <c r="F219" s="24">
        <v>1</v>
      </c>
      <c r="G219" s="24" t="s">
        <v>494</v>
      </c>
      <c r="H219" s="24"/>
      <c r="I219" s="24"/>
      <c r="J219" s="111"/>
      <c r="K219" s="160" t="s">
        <v>960</v>
      </c>
      <c r="L219" s="160" t="s">
        <v>962</v>
      </c>
      <c r="M219" s="161" t="s">
        <v>963</v>
      </c>
      <c r="N219" s="161" t="s">
        <v>238</v>
      </c>
      <c r="O219" s="161"/>
      <c r="P219" s="161"/>
      <c r="Q219" s="161" t="s">
        <v>964</v>
      </c>
      <c r="R219" s="111"/>
      <c r="S219" s="24"/>
      <c r="T219" s="124" t="s">
        <v>113</v>
      </c>
      <c r="U219" s="111"/>
      <c r="V219" s="112"/>
      <c r="W219" s="112"/>
      <c r="X219" s="24"/>
      <c r="Y219" s="24"/>
      <c r="Z219" s="24"/>
      <c r="AA219" s="24"/>
      <c r="AB219" s="24"/>
      <c r="AC219" s="24"/>
      <c r="AD219" s="112"/>
      <c r="AE219" s="112"/>
      <c r="AF219" s="113">
        <v>129019007</v>
      </c>
      <c r="AG219" s="111"/>
      <c r="AH219" s="116" t="s">
        <v>965</v>
      </c>
      <c r="AI219" s="116" t="s">
        <v>966</v>
      </c>
      <c r="AJ219" s="116" t="s">
        <v>967</v>
      </c>
      <c r="AK219" s="24"/>
      <c r="AL219" s="24"/>
      <c r="AM219" s="24"/>
    </row>
    <row r="220" spans="1:39" ht="12.75" customHeight="1">
      <c r="A220" s="22">
        <v>218</v>
      </c>
      <c r="B220" s="161" t="s">
        <v>423</v>
      </c>
      <c r="C220" s="24" t="s">
        <v>180</v>
      </c>
      <c r="D220" s="160" t="s">
        <v>960</v>
      </c>
      <c r="E220" s="24" t="s">
        <v>961</v>
      </c>
      <c r="F220" s="24">
        <v>1</v>
      </c>
      <c r="G220" s="24" t="s">
        <v>494</v>
      </c>
      <c r="H220" s="24"/>
      <c r="I220" s="24"/>
      <c r="J220" s="111"/>
      <c r="K220" s="160"/>
      <c r="L220" s="111"/>
      <c r="M220" s="124"/>
      <c r="N220" s="161"/>
      <c r="O220" s="161" t="s">
        <v>423</v>
      </c>
      <c r="P220" s="161"/>
      <c r="Q220" s="161"/>
      <c r="R220" s="111"/>
      <c r="S220" s="24"/>
      <c r="T220" s="161"/>
      <c r="U220" s="111"/>
      <c r="V220" s="112"/>
      <c r="W220" s="112"/>
      <c r="X220" s="24"/>
      <c r="Y220" s="24"/>
      <c r="Z220" s="24"/>
      <c r="AA220" s="24"/>
      <c r="AB220" s="24"/>
      <c r="AC220" s="24"/>
      <c r="AD220" s="112"/>
      <c r="AE220" s="112"/>
      <c r="AF220" s="113">
        <v>260413007</v>
      </c>
      <c r="AG220" s="111"/>
      <c r="AH220" s="115" t="s">
        <v>115</v>
      </c>
      <c r="AI220" s="115" t="s">
        <v>424</v>
      </c>
      <c r="AJ220" s="115" t="s">
        <v>425</v>
      </c>
      <c r="AK220" s="24"/>
      <c r="AL220" s="24"/>
      <c r="AM220" s="24"/>
    </row>
    <row r="221" spans="1:39" ht="12.75" customHeight="1">
      <c r="A221" s="22">
        <v>219</v>
      </c>
      <c r="B221" s="161" t="s">
        <v>500</v>
      </c>
      <c r="C221" s="24" t="s">
        <v>180</v>
      </c>
      <c r="D221" s="160" t="s">
        <v>960</v>
      </c>
      <c r="E221" s="24" t="s">
        <v>961</v>
      </c>
      <c r="F221" s="24">
        <v>1</v>
      </c>
      <c r="G221" s="24" t="s">
        <v>494</v>
      </c>
      <c r="H221" s="24"/>
      <c r="I221" s="24"/>
      <c r="J221" s="111"/>
      <c r="K221" s="160"/>
      <c r="L221" s="111"/>
      <c r="M221" s="124"/>
      <c r="N221" s="161"/>
      <c r="O221" s="161" t="s">
        <v>500</v>
      </c>
      <c r="P221" s="161"/>
      <c r="Q221" s="161"/>
      <c r="R221" s="111"/>
      <c r="S221" s="24"/>
      <c r="T221" s="161"/>
      <c r="U221" s="111"/>
      <c r="V221" s="112"/>
      <c r="W221" s="112"/>
      <c r="X221" s="24"/>
      <c r="Y221" s="24"/>
      <c r="Z221" s="24"/>
      <c r="AA221" s="24"/>
      <c r="AB221" s="24"/>
      <c r="AC221" s="24"/>
      <c r="AD221" s="112"/>
      <c r="AE221" s="112"/>
      <c r="AF221" s="113">
        <v>261665006</v>
      </c>
      <c r="AG221" s="111"/>
      <c r="AH221" s="115" t="s">
        <v>115</v>
      </c>
      <c r="AI221" s="115" t="s">
        <v>501</v>
      </c>
      <c r="AJ221" s="115" t="s">
        <v>503</v>
      </c>
      <c r="AK221" s="24"/>
      <c r="AL221" s="24"/>
      <c r="AM221" s="24"/>
    </row>
    <row r="222" spans="1:39" ht="12.75" customHeight="1">
      <c r="A222" s="22">
        <v>220</v>
      </c>
      <c r="B222" s="161" t="s">
        <v>970</v>
      </c>
      <c r="C222" s="24" t="s">
        <v>180</v>
      </c>
      <c r="D222" s="160" t="s">
        <v>960</v>
      </c>
      <c r="E222" s="24" t="s">
        <v>961</v>
      </c>
      <c r="F222" s="24">
        <v>1</v>
      </c>
      <c r="G222" s="24" t="s">
        <v>494</v>
      </c>
      <c r="H222" s="24"/>
      <c r="I222" s="24"/>
      <c r="J222" s="111"/>
      <c r="K222" s="160"/>
      <c r="L222" s="111"/>
      <c r="M222" s="124"/>
      <c r="N222" s="161"/>
      <c r="O222" s="161" t="s">
        <v>970</v>
      </c>
      <c r="P222" s="161"/>
      <c r="Q222" s="161"/>
      <c r="R222" s="111"/>
      <c r="S222" s="24"/>
      <c r="T222" s="161"/>
      <c r="U222" s="111"/>
      <c r="V222" s="112"/>
      <c r="W222" s="112"/>
      <c r="X222" s="24"/>
      <c r="Y222" s="24"/>
      <c r="Z222" s="24"/>
      <c r="AA222" s="24"/>
      <c r="AB222" s="24"/>
      <c r="AC222" s="24"/>
      <c r="AD222" s="112"/>
      <c r="AE222" s="112"/>
      <c r="AF222" s="113">
        <v>372794006</v>
      </c>
      <c r="AG222" s="111"/>
      <c r="AH222" s="115" t="s">
        <v>115</v>
      </c>
      <c r="AI222" s="116" t="s">
        <v>971</v>
      </c>
      <c r="AJ222" s="116" t="s">
        <v>972</v>
      </c>
      <c r="AK222" s="24"/>
      <c r="AL222" s="24"/>
      <c r="AM222" s="24"/>
    </row>
    <row r="223" spans="1:39" ht="12.75" customHeight="1">
      <c r="A223" s="22">
        <v>221</v>
      </c>
      <c r="B223" s="161" t="s">
        <v>973</v>
      </c>
      <c r="C223" s="24" t="s">
        <v>180</v>
      </c>
      <c r="D223" s="160" t="s">
        <v>960</v>
      </c>
      <c r="E223" s="24" t="s">
        <v>961</v>
      </c>
      <c r="F223" s="24">
        <v>1</v>
      </c>
      <c r="G223" s="24" t="s">
        <v>494</v>
      </c>
      <c r="H223" s="24"/>
      <c r="I223" s="24"/>
      <c r="J223" s="111"/>
      <c r="K223" s="160"/>
      <c r="L223" s="111"/>
      <c r="M223" s="124"/>
      <c r="N223" s="161"/>
      <c r="O223" s="161" t="s">
        <v>973</v>
      </c>
      <c r="P223" s="161"/>
      <c r="Q223" s="161"/>
      <c r="R223" s="111"/>
      <c r="S223" s="24"/>
      <c r="T223" s="161"/>
      <c r="U223" s="111"/>
      <c r="V223" s="112"/>
      <c r="W223" s="112"/>
      <c r="X223" s="24"/>
      <c r="Y223" s="24"/>
      <c r="Z223" s="24"/>
      <c r="AA223" s="24"/>
      <c r="AB223" s="24"/>
      <c r="AC223" s="24"/>
      <c r="AD223" s="112"/>
      <c r="AE223" s="112"/>
      <c r="AF223" s="113">
        <v>7947003</v>
      </c>
      <c r="AG223" s="111"/>
      <c r="AH223" s="115" t="s">
        <v>115</v>
      </c>
      <c r="AI223" s="116" t="s">
        <v>975</v>
      </c>
      <c r="AJ223" s="116" t="s">
        <v>976</v>
      </c>
      <c r="AK223" s="24"/>
      <c r="AL223" s="24"/>
      <c r="AM223" s="24"/>
    </row>
    <row r="224" spans="1:39" ht="12.75" customHeight="1">
      <c r="A224" s="22">
        <v>222</v>
      </c>
      <c r="B224" s="161" t="s">
        <v>783</v>
      </c>
      <c r="C224" s="24" t="s">
        <v>180</v>
      </c>
      <c r="D224" s="160" t="s">
        <v>960</v>
      </c>
      <c r="E224" s="24" t="s">
        <v>961</v>
      </c>
      <c r="F224" s="24">
        <v>1</v>
      </c>
      <c r="G224" s="24" t="s">
        <v>494</v>
      </c>
      <c r="H224" s="24"/>
      <c r="I224" s="24"/>
      <c r="J224" s="111"/>
      <c r="K224" s="160"/>
      <c r="L224" s="111"/>
      <c r="M224" s="124"/>
      <c r="N224" s="161"/>
      <c r="O224" s="161" t="s">
        <v>783</v>
      </c>
      <c r="P224" s="161"/>
      <c r="Q224" s="161"/>
      <c r="R224" s="111"/>
      <c r="S224" s="24"/>
      <c r="T224" s="161"/>
      <c r="U224" s="111"/>
      <c r="V224" s="112"/>
      <c r="W224" s="112"/>
      <c r="X224" s="24"/>
      <c r="Y224" s="24"/>
      <c r="Z224" s="24"/>
      <c r="AA224" s="24"/>
      <c r="AB224" s="24"/>
      <c r="AC224" s="24"/>
      <c r="AD224" s="112"/>
      <c r="AE224" s="112"/>
      <c r="AF224" s="113">
        <v>5540006</v>
      </c>
      <c r="AG224" s="111"/>
      <c r="AH224" s="115" t="s">
        <v>115</v>
      </c>
      <c r="AI224" s="116" t="s">
        <v>784</v>
      </c>
      <c r="AJ224" s="116" t="s">
        <v>785</v>
      </c>
      <c r="AK224" s="24"/>
      <c r="AL224" s="24"/>
      <c r="AM224" s="24"/>
    </row>
    <row r="225" spans="1:39" ht="12.75" customHeight="1">
      <c r="A225" s="22">
        <v>223</v>
      </c>
      <c r="B225" s="124" t="s">
        <v>978</v>
      </c>
      <c r="C225" s="24" t="s">
        <v>180</v>
      </c>
      <c r="D225" s="160" t="s">
        <v>960</v>
      </c>
      <c r="E225" s="24" t="s">
        <v>961</v>
      </c>
      <c r="F225" s="24">
        <v>1</v>
      </c>
      <c r="G225" s="24" t="s">
        <v>494</v>
      </c>
      <c r="H225" s="24"/>
      <c r="I225" s="24"/>
      <c r="J225" s="111"/>
      <c r="K225" s="160"/>
      <c r="L225" s="111"/>
      <c r="M225" s="124"/>
      <c r="N225" s="161"/>
      <c r="O225" s="124" t="s">
        <v>978</v>
      </c>
      <c r="P225" s="161"/>
      <c r="Q225" s="161"/>
      <c r="R225" s="111"/>
      <c r="S225" s="24"/>
      <c r="T225" s="161"/>
      <c r="U225" s="111"/>
      <c r="V225" s="112"/>
      <c r="W225" s="112"/>
      <c r="X225" s="24"/>
      <c r="Y225" s="24"/>
      <c r="Z225" s="24"/>
      <c r="AA225" s="24"/>
      <c r="AB225" s="24"/>
      <c r="AC225" s="24"/>
      <c r="AD225" s="112"/>
      <c r="AE225" s="112"/>
      <c r="AF225" s="113">
        <v>412380009</v>
      </c>
      <c r="AG225" s="111"/>
      <c r="AH225" s="115" t="s">
        <v>115</v>
      </c>
      <c r="AI225" s="116" t="s">
        <v>979</v>
      </c>
      <c r="AJ225" s="116" t="s">
        <v>980</v>
      </c>
      <c r="AK225" s="24"/>
      <c r="AL225" s="24"/>
      <c r="AM225" s="24"/>
    </row>
    <row r="226" spans="1:39" ht="12.75" customHeight="1">
      <c r="A226" s="22">
        <v>224</v>
      </c>
      <c r="B226" s="124" t="s">
        <v>790</v>
      </c>
      <c r="C226" s="24" t="s">
        <v>180</v>
      </c>
      <c r="D226" s="160" t="s">
        <v>960</v>
      </c>
      <c r="E226" s="24" t="s">
        <v>961</v>
      </c>
      <c r="F226" s="24">
        <v>1</v>
      </c>
      <c r="G226" s="24" t="s">
        <v>494</v>
      </c>
      <c r="H226" s="24"/>
      <c r="I226" s="24"/>
      <c r="J226" s="111"/>
      <c r="K226" s="160"/>
      <c r="L226" s="111"/>
      <c r="M226" s="124"/>
      <c r="N226" s="161"/>
      <c r="O226" s="124" t="s">
        <v>790</v>
      </c>
      <c r="P226" s="161"/>
      <c r="Q226" s="161"/>
      <c r="R226" s="111"/>
      <c r="S226" s="24"/>
      <c r="T226" s="161"/>
      <c r="U226" s="111"/>
      <c r="V226" s="112"/>
      <c r="W226" s="112"/>
      <c r="X226" s="24"/>
      <c r="Y226" s="24"/>
      <c r="Z226" s="24"/>
      <c r="AA226" s="24"/>
      <c r="AB226" s="24"/>
      <c r="AC226" s="24"/>
      <c r="AD226" s="112"/>
      <c r="AE226" s="112"/>
      <c r="AF226" s="113">
        <v>6247001</v>
      </c>
      <c r="AG226" s="111"/>
      <c r="AH226" s="115" t="s">
        <v>115</v>
      </c>
      <c r="AI226" s="116" t="s">
        <v>791</v>
      </c>
      <c r="AJ226" s="116" t="s">
        <v>792</v>
      </c>
      <c r="AK226" s="24"/>
      <c r="AL226" s="24"/>
      <c r="AM226" s="24"/>
    </row>
    <row r="227" spans="1:39" ht="12.75" customHeight="1">
      <c r="A227" s="22">
        <v>225</v>
      </c>
      <c r="B227" s="161" t="s">
        <v>797</v>
      </c>
      <c r="C227" s="24" t="s">
        <v>180</v>
      </c>
      <c r="D227" s="160" t="s">
        <v>960</v>
      </c>
      <c r="E227" s="24" t="s">
        <v>961</v>
      </c>
      <c r="F227" s="24">
        <v>1</v>
      </c>
      <c r="G227" s="24" t="s">
        <v>494</v>
      </c>
      <c r="H227" s="24"/>
      <c r="I227" s="24"/>
      <c r="J227" s="111"/>
      <c r="K227" s="160"/>
      <c r="L227" s="111"/>
      <c r="M227" s="124"/>
      <c r="N227" s="161"/>
      <c r="O227" s="161" t="s">
        <v>797</v>
      </c>
      <c r="P227" s="161"/>
      <c r="Q227" s="161"/>
      <c r="R227" s="111"/>
      <c r="S227" s="24"/>
      <c r="T227" s="161"/>
      <c r="U227" s="111"/>
      <c r="V227" s="112"/>
      <c r="W227" s="112"/>
      <c r="X227" s="24"/>
      <c r="Y227" s="24"/>
      <c r="Z227" s="24"/>
      <c r="AA227" s="24"/>
      <c r="AB227" s="24"/>
      <c r="AC227" s="24"/>
      <c r="AD227" s="112"/>
      <c r="AE227" s="112"/>
      <c r="AF227" s="113">
        <v>30729008</v>
      </c>
      <c r="AG227" s="111"/>
      <c r="AH227" s="115" t="s">
        <v>115</v>
      </c>
      <c r="AI227" s="116" t="s">
        <v>798</v>
      </c>
      <c r="AJ227" s="116" t="s">
        <v>799</v>
      </c>
      <c r="AK227" s="24"/>
      <c r="AL227" s="24"/>
      <c r="AM227" s="24"/>
    </row>
    <row r="228" spans="1:39" ht="12.75" customHeight="1">
      <c r="A228" s="22">
        <v>226</v>
      </c>
      <c r="B228" s="161" t="s">
        <v>983</v>
      </c>
      <c r="C228" s="24" t="s">
        <v>180</v>
      </c>
      <c r="D228" s="160" t="s">
        <v>960</v>
      </c>
      <c r="E228" s="24" t="s">
        <v>961</v>
      </c>
      <c r="F228" s="24">
        <v>1</v>
      </c>
      <c r="G228" s="24" t="s">
        <v>494</v>
      </c>
      <c r="H228" s="24"/>
      <c r="I228" s="24"/>
      <c r="J228" s="111"/>
      <c r="K228" s="160"/>
      <c r="L228" s="111"/>
      <c r="M228" s="124"/>
      <c r="N228" s="161"/>
      <c r="O228" s="161" t="s">
        <v>983</v>
      </c>
      <c r="P228" s="161"/>
      <c r="Q228" s="161"/>
      <c r="R228" s="111"/>
      <c r="S228" s="24"/>
      <c r="T228" s="161"/>
      <c r="U228" s="111"/>
      <c r="V228" s="112"/>
      <c r="W228" s="112"/>
      <c r="X228" s="24"/>
      <c r="Y228" s="24"/>
      <c r="Z228" s="24"/>
      <c r="AA228" s="24"/>
      <c r="AB228" s="24"/>
      <c r="AC228" s="24"/>
      <c r="AD228" s="112"/>
      <c r="AE228" s="112"/>
      <c r="AF228" s="113">
        <v>72717003</v>
      </c>
      <c r="AG228" s="111"/>
      <c r="AH228" s="115" t="s">
        <v>115</v>
      </c>
      <c r="AI228" s="116" t="s">
        <v>984</v>
      </c>
      <c r="AJ228" s="116" t="s">
        <v>985</v>
      </c>
      <c r="AK228" s="24"/>
      <c r="AL228" s="24"/>
      <c r="AM228" s="24"/>
    </row>
    <row r="229" spans="1:39" ht="12.75" customHeight="1">
      <c r="A229" s="22">
        <v>227</v>
      </c>
      <c r="B229" s="161" t="s">
        <v>986</v>
      </c>
      <c r="C229" s="24" t="s">
        <v>180</v>
      </c>
      <c r="D229" s="160" t="s">
        <v>960</v>
      </c>
      <c r="E229" s="24" t="s">
        <v>961</v>
      </c>
      <c r="F229" s="24">
        <v>1</v>
      </c>
      <c r="G229" s="24" t="s">
        <v>494</v>
      </c>
      <c r="H229" s="24"/>
      <c r="I229" s="24"/>
      <c r="J229" s="111"/>
      <c r="K229" s="160"/>
      <c r="L229" s="111"/>
      <c r="M229" s="124"/>
      <c r="N229" s="161"/>
      <c r="O229" s="161" t="s">
        <v>986</v>
      </c>
      <c r="P229" s="161"/>
      <c r="Q229" s="161"/>
      <c r="R229" s="111"/>
      <c r="S229" s="24"/>
      <c r="T229" s="161"/>
      <c r="U229" s="111"/>
      <c r="V229" s="112"/>
      <c r="W229" s="112"/>
      <c r="X229" s="24"/>
      <c r="Y229" s="24"/>
      <c r="Z229" s="24"/>
      <c r="AA229" s="24"/>
      <c r="AB229" s="24"/>
      <c r="AC229" s="24"/>
      <c r="AD229" s="112"/>
      <c r="AE229" s="112"/>
      <c r="AF229" s="113">
        <v>56549003</v>
      </c>
      <c r="AG229" s="111"/>
      <c r="AH229" s="115" t="s">
        <v>115</v>
      </c>
      <c r="AI229" s="116" t="s">
        <v>988</v>
      </c>
      <c r="AJ229" s="116" t="s">
        <v>989</v>
      </c>
      <c r="AK229" s="24"/>
      <c r="AL229" s="24"/>
      <c r="AM229" s="24"/>
    </row>
    <row r="230" spans="1:39" ht="12.75" customHeight="1">
      <c r="A230" s="22">
        <v>228</v>
      </c>
      <c r="B230" s="161" t="s">
        <v>990</v>
      </c>
      <c r="C230" s="24" t="s">
        <v>180</v>
      </c>
      <c r="D230" s="160" t="s">
        <v>960</v>
      </c>
      <c r="E230" s="24" t="s">
        <v>961</v>
      </c>
      <c r="F230" s="24">
        <v>1</v>
      </c>
      <c r="G230" s="24" t="s">
        <v>494</v>
      </c>
      <c r="H230" s="24"/>
      <c r="I230" s="24"/>
      <c r="J230" s="111"/>
      <c r="K230" s="160"/>
      <c r="L230" s="111"/>
      <c r="M230" s="124"/>
      <c r="N230" s="161"/>
      <c r="O230" s="161" t="s">
        <v>990</v>
      </c>
      <c r="P230" s="161"/>
      <c r="Q230" s="161"/>
      <c r="R230" s="111"/>
      <c r="S230" s="24"/>
      <c r="T230" s="161"/>
      <c r="U230" s="111"/>
      <c r="V230" s="112"/>
      <c r="W230" s="112"/>
      <c r="X230" s="24"/>
      <c r="Y230" s="24"/>
      <c r="Z230" s="24"/>
      <c r="AA230" s="24"/>
      <c r="AB230" s="24"/>
      <c r="AC230" s="24"/>
      <c r="AD230" s="112"/>
      <c r="AE230" s="112"/>
      <c r="AF230" s="113">
        <v>82156005</v>
      </c>
      <c r="AG230" s="111"/>
      <c r="AH230" s="115" t="s">
        <v>115</v>
      </c>
      <c r="AI230" s="116" t="s">
        <v>992</v>
      </c>
      <c r="AJ230" s="116" t="s">
        <v>993</v>
      </c>
      <c r="AK230" s="24"/>
      <c r="AL230" s="24"/>
      <c r="AM230" s="24"/>
    </row>
    <row r="231" spans="1:39" ht="12.75" customHeight="1">
      <c r="A231" s="22">
        <v>229</v>
      </c>
      <c r="B231" s="161" t="s">
        <v>994</v>
      </c>
      <c r="C231" s="24" t="s">
        <v>180</v>
      </c>
      <c r="D231" s="160" t="s">
        <v>960</v>
      </c>
      <c r="E231" s="24" t="s">
        <v>961</v>
      </c>
      <c r="F231" s="24">
        <v>1</v>
      </c>
      <c r="G231" s="24" t="s">
        <v>494</v>
      </c>
      <c r="H231" s="24"/>
      <c r="I231" s="24"/>
      <c r="J231" s="111"/>
      <c r="K231" s="160"/>
      <c r="L231" s="111"/>
      <c r="M231" s="124"/>
      <c r="N231" s="161"/>
      <c r="O231" s="161" t="s">
        <v>994</v>
      </c>
      <c r="P231" s="161"/>
      <c r="Q231" s="161"/>
      <c r="R231" s="111"/>
      <c r="S231" s="24"/>
      <c r="T231" s="161"/>
      <c r="U231" s="111"/>
      <c r="V231" s="112"/>
      <c r="W231" s="112"/>
      <c r="X231" s="24"/>
      <c r="Y231" s="24"/>
      <c r="Z231" s="24"/>
      <c r="AA231" s="24"/>
      <c r="AB231" s="24"/>
      <c r="AC231" s="24"/>
      <c r="AD231" s="119"/>
      <c r="AE231" s="119"/>
      <c r="AF231" s="120"/>
      <c r="AG231" s="127"/>
      <c r="AH231" s="115" t="s">
        <v>115</v>
      </c>
      <c r="AI231" s="116" t="s">
        <v>996</v>
      </c>
      <c r="AJ231" s="116" t="s">
        <v>997</v>
      </c>
      <c r="AK231" s="24"/>
      <c r="AL231" s="24"/>
      <c r="AM231" s="24"/>
    </row>
    <row r="232" spans="1:39" ht="12.75" customHeight="1">
      <c r="A232" s="22">
        <v>230</v>
      </c>
      <c r="B232" s="161" t="s">
        <v>998</v>
      </c>
      <c r="C232" s="24" t="s">
        <v>180</v>
      </c>
      <c r="D232" s="160" t="s">
        <v>960</v>
      </c>
      <c r="E232" s="24" t="s">
        <v>961</v>
      </c>
      <c r="F232" s="24">
        <v>1</v>
      </c>
      <c r="G232" s="24" t="s">
        <v>494</v>
      </c>
      <c r="H232" s="24"/>
      <c r="I232" s="24"/>
      <c r="J232" s="111"/>
      <c r="K232" s="160"/>
      <c r="L232" s="111"/>
      <c r="M232" s="124"/>
      <c r="N232" s="161"/>
      <c r="O232" s="161" t="s">
        <v>998</v>
      </c>
      <c r="P232" s="161"/>
      <c r="Q232" s="161"/>
      <c r="R232" s="111"/>
      <c r="S232" s="24"/>
      <c r="T232" s="161"/>
      <c r="U232" s="111"/>
      <c r="V232" s="112"/>
      <c r="W232" s="112"/>
      <c r="X232" s="24"/>
      <c r="Y232" s="24"/>
      <c r="Z232" s="24"/>
      <c r="AA232" s="24"/>
      <c r="AB232" s="24"/>
      <c r="AC232" s="24"/>
      <c r="AD232" s="119"/>
      <c r="AE232" s="119"/>
      <c r="AF232" s="120"/>
      <c r="AG232" s="127"/>
      <c r="AH232" s="115" t="s">
        <v>115</v>
      </c>
      <c r="AI232" s="116" t="s">
        <v>1000</v>
      </c>
      <c r="AJ232" s="116" t="s">
        <v>1001</v>
      </c>
      <c r="AK232" s="24"/>
      <c r="AL232" s="24"/>
      <c r="AM232" s="24"/>
    </row>
    <row r="233" spans="1:39" ht="12.75" customHeight="1">
      <c r="A233" s="22">
        <v>231</v>
      </c>
      <c r="B233" s="161" t="s">
        <v>1002</v>
      </c>
      <c r="C233" s="24" t="s">
        <v>180</v>
      </c>
      <c r="D233" s="160" t="s">
        <v>960</v>
      </c>
      <c r="E233" s="24" t="s">
        <v>961</v>
      </c>
      <c r="F233" s="24">
        <v>1</v>
      </c>
      <c r="G233" s="24" t="s">
        <v>494</v>
      </c>
      <c r="H233" s="24"/>
      <c r="I233" s="24"/>
      <c r="J233" s="111"/>
      <c r="K233" s="160"/>
      <c r="L233" s="111"/>
      <c r="M233" s="124"/>
      <c r="N233" s="161"/>
      <c r="O233" s="161" t="s">
        <v>1002</v>
      </c>
      <c r="P233" s="161"/>
      <c r="Q233" s="161"/>
      <c r="R233" s="111"/>
      <c r="S233" s="24"/>
      <c r="T233" s="161"/>
      <c r="U233" s="111"/>
      <c r="V233" s="112"/>
      <c r="W233" s="112"/>
      <c r="X233" s="24"/>
      <c r="Y233" s="24"/>
      <c r="Z233" s="24"/>
      <c r="AA233" s="24"/>
      <c r="AB233" s="24"/>
      <c r="AC233" s="24"/>
      <c r="AD233" s="112"/>
      <c r="AE233" s="112"/>
      <c r="AF233" s="93" t="s">
        <v>1003</v>
      </c>
      <c r="AG233" s="111"/>
      <c r="AH233" s="116" t="s">
        <v>115</v>
      </c>
      <c r="AI233" s="116" t="s">
        <v>1004</v>
      </c>
      <c r="AJ233" s="116" t="s">
        <v>1005</v>
      </c>
      <c r="AK233" s="24"/>
      <c r="AL233" s="24"/>
      <c r="AM233" s="24"/>
    </row>
    <row r="234" spans="1:39" ht="12.75" customHeight="1">
      <c r="A234" s="22">
        <v>232</v>
      </c>
      <c r="B234" s="161" t="s">
        <v>1006</v>
      </c>
      <c r="C234" s="24" t="s">
        <v>180</v>
      </c>
      <c r="D234" s="160" t="s">
        <v>960</v>
      </c>
      <c r="E234" s="24" t="s">
        <v>961</v>
      </c>
      <c r="F234" s="24">
        <v>1</v>
      </c>
      <c r="G234" s="24" t="s">
        <v>494</v>
      </c>
      <c r="H234" s="24"/>
      <c r="I234" s="24"/>
      <c r="J234" s="111"/>
      <c r="K234" s="160"/>
      <c r="L234" s="111"/>
      <c r="M234" s="124"/>
      <c r="N234" s="161"/>
      <c r="O234" s="161" t="s">
        <v>1006</v>
      </c>
      <c r="P234" s="161"/>
      <c r="Q234" s="161"/>
      <c r="R234" s="111"/>
      <c r="S234" s="24"/>
      <c r="T234" s="161"/>
      <c r="U234" s="111"/>
      <c r="V234" s="112"/>
      <c r="W234" s="112"/>
      <c r="X234" s="24"/>
      <c r="Y234" s="24"/>
      <c r="Z234" s="24"/>
      <c r="AA234" s="24"/>
      <c r="AB234" s="24"/>
      <c r="AC234" s="24"/>
      <c r="AD234" s="119"/>
      <c r="AE234" s="119"/>
      <c r="AF234" s="189"/>
      <c r="AG234" s="127"/>
      <c r="AH234" s="116" t="s">
        <v>115</v>
      </c>
      <c r="AI234" s="115" t="s">
        <v>1007</v>
      </c>
      <c r="AJ234" s="116" t="s">
        <v>1008</v>
      </c>
      <c r="AK234" s="24"/>
      <c r="AL234" s="24"/>
      <c r="AM234" s="24"/>
    </row>
    <row r="235" spans="1:39" ht="12.75" customHeight="1">
      <c r="A235" s="22">
        <v>233</v>
      </c>
      <c r="B235" s="161" t="s">
        <v>1009</v>
      </c>
      <c r="C235" s="24" t="s">
        <v>180</v>
      </c>
      <c r="D235" s="160" t="s">
        <v>960</v>
      </c>
      <c r="E235" s="24" t="s">
        <v>961</v>
      </c>
      <c r="F235" s="24">
        <v>1</v>
      </c>
      <c r="G235" s="24" t="s">
        <v>494</v>
      </c>
      <c r="H235" s="24"/>
      <c r="I235" s="24"/>
      <c r="J235" s="111"/>
      <c r="K235" s="160"/>
      <c r="L235" s="111"/>
      <c r="M235" s="124"/>
      <c r="N235" s="161"/>
      <c r="O235" s="161" t="s">
        <v>1009</v>
      </c>
      <c r="P235" s="161"/>
      <c r="Q235" s="161"/>
      <c r="R235" s="111"/>
      <c r="S235" s="24"/>
      <c r="T235" s="161"/>
      <c r="U235" s="111"/>
      <c r="V235" s="112"/>
      <c r="W235" s="112"/>
      <c r="X235" s="24"/>
      <c r="Y235" s="24"/>
      <c r="Z235" s="24"/>
      <c r="AA235" s="24"/>
      <c r="AB235" s="24"/>
      <c r="AC235" s="24"/>
      <c r="AD235" s="119"/>
      <c r="AE235" s="119"/>
      <c r="AF235" s="120"/>
      <c r="AG235" s="127"/>
      <c r="AH235" s="116" t="s">
        <v>115</v>
      </c>
      <c r="AI235" s="115" t="s">
        <v>1010</v>
      </c>
      <c r="AJ235" s="116" t="s">
        <v>1011</v>
      </c>
      <c r="AK235" s="24"/>
      <c r="AL235" s="24"/>
      <c r="AM235" s="24"/>
    </row>
    <row r="236" spans="1:39" ht="12.75" customHeight="1">
      <c r="A236" s="22">
        <v>234</v>
      </c>
      <c r="B236" s="161" t="s">
        <v>1012</v>
      </c>
      <c r="C236" s="24" t="s">
        <v>180</v>
      </c>
      <c r="D236" s="160" t="s">
        <v>960</v>
      </c>
      <c r="E236" s="24" t="s">
        <v>961</v>
      </c>
      <c r="F236" s="24">
        <v>1</v>
      </c>
      <c r="G236" s="24" t="s">
        <v>494</v>
      </c>
      <c r="H236" s="24"/>
      <c r="I236" s="24"/>
      <c r="J236" s="111"/>
      <c r="K236" s="160"/>
      <c r="L236" s="111"/>
      <c r="M236" s="124"/>
      <c r="N236" s="161"/>
      <c r="O236" s="161" t="s">
        <v>1012</v>
      </c>
      <c r="P236" s="161"/>
      <c r="Q236" s="161"/>
      <c r="R236" s="111"/>
      <c r="S236" s="24"/>
      <c r="T236" s="161"/>
      <c r="U236" s="111"/>
      <c r="V236" s="112"/>
      <c r="W236" s="112"/>
      <c r="X236" s="24"/>
      <c r="Y236" s="24"/>
      <c r="Z236" s="24"/>
      <c r="AA236" s="24"/>
      <c r="AB236" s="24"/>
      <c r="AC236" s="24"/>
      <c r="AD236" s="112"/>
      <c r="AE236" s="112"/>
      <c r="AF236" s="25" t="s">
        <v>1013</v>
      </c>
      <c r="AG236" s="111"/>
      <c r="AH236" s="116" t="s">
        <v>115</v>
      </c>
      <c r="AI236" s="116" t="s">
        <v>1014</v>
      </c>
      <c r="AJ236" s="116" t="s">
        <v>1015</v>
      </c>
      <c r="AK236" s="24"/>
      <c r="AL236" s="24"/>
      <c r="AM236" s="24"/>
    </row>
    <row r="237" spans="1:39" ht="12.75" customHeight="1">
      <c r="A237" s="22">
        <v>235</v>
      </c>
      <c r="B237" s="161" t="s">
        <v>1016</v>
      </c>
      <c r="C237" s="24" t="s">
        <v>180</v>
      </c>
      <c r="D237" s="160" t="s">
        <v>960</v>
      </c>
      <c r="E237" s="24" t="s">
        <v>961</v>
      </c>
      <c r="F237" s="24">
        <v>1</v>
      </c>
      <c r="G237" s="24" t="s">
        <v>494</v>
      </c>
      <c r="H237" s="24"/>
      <c r="I237" s="24"/>
      <c r="J237" s="111"/>
      <c r="K237" s="160"/>
      <c r="L237" s="111"/>
      <c r="M237" s="124"/>
      <c r="N237" s="161"/>
      <c r="O237" s="161" t="s">
        <v>1016</v>
      </c>
      <c r="P237" s="161"/>
      <c r="Q237" s="161"/>
      <c r="R237" s="111"/>
      <c r="S237" s="24"/>
      <c r="T237" s="161"/>
      <c r="U237" s="111"/>
      <c r="V237" s="112"/>
      <c r="W237" s="112"/>
      <c r="X237" s="24"/>
      <c r="Y237" s="24"/>
      <c r="Z237" s="24"/>
      <c r="AA237" s="24"/>
      <c r="AB237" s="24"/>
      <c r="AC237" s="24"/>
      <c r="AD237" s="119"/>
      <c r="AE237" s="119"/>
      <c r="AF237" s="120"/>
      <c r="AG237" s="127"/>
      <c r="AH237" s="116" t="s">
        <v>115</v>
      </c>
      <c r="AI237" s="115" t="s">
        <v>1018</v>
      </c>
      <c r="AJ237" s="116" t="s">
        <v>1019</v>
      </c>
      <c r="AK237" s="24"/>
      <c r="AL237" s="24"/>
      <c r="AM237" s="24"/>
    </row>
    <row r="238" spans="1:39" ht="12.75" customHeight="1">
      <c r="A238" s="22">
        <v>236</v>
      </c>
      <c r="B238" s="161" t="s">
        <v>1020</v>
      </c>
      <c r="C238" s="24" t="s">
        <v>180</v>
      </c>
      <c r="D238" s="160" t="s">
        <v>960</v>
      </c>
      <c r="E238" s="24" t="s">
        <v>961</v>
      </c>
      <c r="F238" s="24">
        <v>1</v>
      </c>
      <c r="G238" s="24" t="s">
        <v>494</v>
      </c>
      <c r="H238" s="24"/>
      <c r="I238" s="24"/>
      <c r="J238" s="111"/>
      <c r="K238" s="160"/>
      <c r="L238" s="111"/>
      <c r="M238" s="124"/>
      <c r="N238" s="161"/>
      <c r="O238" s="161" t="s">
        <v>1020</v>
      </c>
      <c r="P238" s="161"/>
      <c r="Q238" s="161"/>
      <c r="R238" s="111"/>
      <c r="S238" s="24"/>
      <c r="T238" s="161"/>
      <c r="U238" s="111"/>
      <c r="V238" s="112"/>
      <c r="W238" s="112"/>
      <c r="X238" s="24"/>
      <c r="Y238" s="24"/>
      <c r="Z238" s="24"/>
      <c r="AA238" s="24"/>
      <c r="AB238" s="24"/>
      <c r="AC238" s="24"/>
      <c r="AD238" s="112"/>
      <c r="AE238" s="112"/>
      <c r="AF238" s="129">
        <v>416234007</v>
      </c>
      <c r="AG238" s="111"/>
      <c r="AH238" s="116" t="s">
        <v>115</v>
      </c>
      <c r="AI238" s="116" t="s">
        <v>1022</v>
      </c>
      <c r="AJ238" s="116" t="s">
        <v>1023</v>
      </c>
      <c r="AK238" s="24"/>
      <c r="AL238" s="24"/>
      <c r="AM238" s="24"/>
    </row>
    <row r="239" spans="1:39" ht="12.75" customHeight="1">
      <c r="A239" s="22">
        <v>237</v>
      </c>
      <c r="B239" s="161" t="s">
        <v>1024</v>
      </c>
      <c r="C239" s="24" t="s">
        <v>180</v>
      </c>
      <c r="D239" s="160" t="s">
        <v>960</v>
      </c>
      <c r="E239" s="24" t="s">
        <v>961</v>
      </c>
      <c r="F239" s="24">
        <v>1</v>
      </c>
      <c r="G239" s="24" t="s">
        <v>494</v>
      </c>
      <c r="H239" s="24"/>
      <c r="I239" s="24"/>
      <c r="J239" s="111"/>
      <c r="K239" s="160"/>
      <c r="L239" s="111"/>
      <c r="M239" s="124"/>
      <c r="N239" s="161"/>
      <c r="O239" s="161" t="s">
        <v>1024</v>
      </c>
      <c r="P239" s="161"/>
      <c r="Q239" s="161"/>
      <c r="R239" s="111"/>
      <c r="S239" s="24"/>
      <c r="T239" s="161"/>
      <c r="U239" s="111"/>
      <c r="V239" s="112"/>
      <c r="W239" s="112"/>
      <c r="X239" s="24"/>
      <c r="Y239" s="24"/>
      <c r="Z239" s="24"/>
      <c r="AA239" s="24"/>
      <c r="AB239" s="24"/>
      <c r="AC239" s="24"/>
      <c r="AD239" s="119"/>
      <c r="AE239" s="119"/>
      <c r="AF239" s="120"/>
      <c r="AG239" s="127"/>
      <c r="AH239" s="116" t="s">
        <v>115</v>
      </c>
      <c r="AI239" s="115" t="s">
        <v>1025</v>
      </c>
      <c r="AJ239" s="116" t="s">
        <v>1026</v>
      </c>
      <c r="AK239" s="24"/>
      <c r="AL239" s="24"/>
      <c r="AM239" s="24"/>
    </row>
    <row r="240" spans="1:39" ht="12.75" customHeight="1">
      <c r="A240" s="22">
        <v>238</v>
      </c>
      <c r="B240" s="161" t="s">
        <v>1028</v>
      </c>
      <c r="C240" s="24" t="s">
        <v>180</v>
      </c>
      <c r="D240" s="160" t="s">
        <v>960</v>
      </c>
      <c r="E240" s="24" t="s">
        <v>961</v>
      </c>
      <c r="F240" s="24">
        <v>1</v>
      </c>
      <c r="G240" s="24" t="s">
        <v>494</v>
      </c>
      <c r="H240" s="24"/>
      <c r="I240" s="24"/>
      <c r="J240" s="111"/>
      <c r="K240" s="160"/>
      <c r="L240" s="111"/>
      <c r="M240" s="124"/>
      <c r="N240" s="161"/>
      <c r="O240" s="161" t="s">
        <v>1028</v>
      </c>
      <c r="P240" s="161"/>
      <c r="Q240" s="161"/>
      <c r="R240" s="111"/>
      <c r="S240" s="24"/>
      <c r="T240" s="161"/>
      <c r="U240" s="111"/>
      <c r="V240" s="112"/>
      <c r="W240" s="112"/>
      <c r="X240" s="24"/>
      <c r="Y240" s="24"/>
      <c r="Z240" s="24"/>
      <c r="AA240" s="24"/>
      <c r="AB240" s="24"/>
      <c r="AC240" s="24"/>
      <c r="AD240" s="119"/>
      <c r="AE240" s="119"/>
      <c r="AF240" s="120"/>
      <c r="AG240" s="127"/>
      <c r="AH240" s="116" t="s">
        <v>115</v>
      </c>
      <c r="AI240" s="115" t="s">
        <v>1029</v>
      </c>
      <c r="AJ240" s="116" t="s">
        <v>1030</v>
      </c>
      <c r="AK240" s="24"/>
      <c r="AL240" s="24"/>
      <c r="AM240" s="24"/>
    </row>
    <row r="241" spans="1:39" ht="12.75" customHeight="1">
      <c r="A241" s="22">
        <v>239</v>
      </c>
      <c r="B241" s="161" t="s">
        <v>1031</v>
      </c>
      <c r="C241" s="24" t="s">
        <v>180</v>
      </c>
      <c r="D241" s="160" t="s">
        <v>960</v>
      </c>
      <c r="E241" s="24" t="s">
        <v>961</v>
      </c>
      <c r="F241" s="24">
        <v>1</v>
      </c>
      <c r="G241" s="24" t="s">
        <v>494</v>
      </c>
      <c r="H241" s="24"/>
      <c r="I241" s="24"/>
      <c r="J241" s="111"/>
      <c r="K241" s="160"/>
      <c r="L241" s="111"/>
      <c r="M241" s="124"/>
      <c r="N241" s="161"/>
      <c r="O241" s="161" t="s">
        <v>1031</v>
      </c>
      <c r="P241" s="161"/>
      <c r="Q241" s="161"/>
      <c r="R241" s="111"/>
      <c r="S241" s="24"/>
      <c r="T241" s="161"/>
      <c r="U241" s="111"/>
      <c r="V241" s="112"/>
      <c r="W241" s="112"/>
      <c r="X241" s="24"/>
      <c r="Y241" s="24"/>
      <c r="Z241" s="24"/>
      <c r="AA241" s="24"/>
      <c r="AB241" s="24"/>
      <c r="AC241" s="24"/>
      <c r="AD241" s="112"/>
      <c r="AE241" s="112"/>
      <c r="AF241" s="118">
        <v>398731002</v>
      </c>
      <c r="AG241" s="111"/>
      <c r="AH241" s="116" t="s">
        <v>115</v>
      </c>
      <c r="AI241" s="115" t="s">
        <v>1032</v>
      </c>
      <c r="AJ241" s="115" t="s">
        <v>1033</v>
      </c>
      <c r="AK241" s="24"/>
      <c r="AL241" s="24"/>
      <c r="AM241" s="24"/>
    </row>
    <row r="242" spans="1:39" ht="12.75" customHeight="1">
      <c r="A242" s="22">
        <v>240</v>
      </c>
      <c r="B242" s="161" t="s">
        <v>1034</v>
      </c>
      <c r="C242" s="24" t="s">
        <v>180</v>
      </c>
      <c r="D242" s="160" t="s">
        <v>960</v>
      </c>
      <c r="E242" s="24" t="s">
        <v>961</v>
      </c>
      <c r="F242" s="24">
        <v>1</v>
      </c>
      <c r="G242" s="24" t="s">
        <v>494</v>
      </c>
      <c r="H242" s="24"/>
      <c r="I242" s="24"/>
      <c r="J242" s="111"/>
      <c r="K242" s="160"/>
      <c r="L242" s="111"/>
      <c r="M242" s="124"/>
      <c r="N242" s="161"/>
      <c r="O242" s="161" t="s">
        <v>1034</v>
      </c>
      <c r="P242" s="161"/>
      <c r="Q242" s="161"/>
      <c r="R242" s="111"/>
      <c r="S242" s="24"/>
      <c r="T242" s="161"/>
      <c r="U242" s="111"/>
      <c r="V242" s="112"/>
      <c r="W242" s="112"/>
      <c r="X242" s="24"/>
      <c r="Y242" s="24"/>
      <c r="Z242" s="24"/>
      <c r="AA242" s="24"/>
      <c r="AB242" s="24"/>
      <c r="AC242" s="24"/>
      <c r="AD242" s="112"/>
      <c r="AE242" s="112"/>
      <c r="AF242" s="118">
        <v>255631004</v>
      </c>
      <c r="AG242" s="111"/>
      <c r="AH242" s="116" t="s">
        <v>115</v>
      </c>
      <c r="AI242" s="116" t="s">
        <v>1035</v>
      </c>
      <c r="AJ242" s="116" t="s">
        <v>1036</v>
      </c>
      <c r="AK242" s="24"/>
      <c r="AL242" s="24"/>
      <c r="AM242" s="24"/>
    </row>
    <row r="243" spans="1:39" ht="12.75" customHeight="1">
      <c r="A243" s="22">
        <v>241</v>
      </c>
      <c r="B243" s="161" t="s">
        <v>1037</v>
      </c>
      <c r="C243" s="24" t="s">
        <v>180</v>
      </c>
      <c r="D243" s="160" t="s">
        <v>960</v>
      </c>
      <c r="E243" s="24" t="s">
        <v>961</v>
      </c>
      <c r="F243" s="24">
        <v>1</v>
      </c>
      <c r="G243" s="24" t="s">
        <v>494</v>
      </c>
      <c r="H243" s="24"/>
      <c r="I243" s="24"/>
      <c r="J243" s="111"/>
      <c r="K243" s="160"/>
      <c r="L243" s="111"/>
      <c r="M243" s="124"/>
      <c r="N243" s="161"/>
      <c r="O243" s="161" t="s">
        <v>1037</v>
      </c>
      <c r="P243" s="161"/>
      <c r="Q243" s="161"/>
      <c r="R243" s="111"/>
      <c r="S243" s="24"/>
      <c r="T243" s="161"/>
      <c r="U243" s="111"/>
      <c r="V243" s="112"/>
      <c r="W243" s="112"/>
      <c r="X243" s="24"/>
      <c r="Y243" s="24"/>
      <c r="Z243" s="24"/>
      <c r="AA243" s="24"/>
      <c r="AB243" s="24"/>
      <c r="AC243" s="24"/>
      <c r="AD243" s="119"/>
      <c r="AE243" s="119"/>
      <c r="AF243" s="120"/>
      <c r="AG243" s="127"/>
      <c r="AH243" s="115" t="s">
        <v>115</v>
      </c>
      <c r="AI243" s="115" t="s">
        <v>1038</v>
      </c>
      <c r="AJ243" s="116" t="s">
        <v>1039</v>
      </c>
      <c r="AK243" s="24"/>
      <c r="AL243" s="24"/>
      <c r="AM243" s="24"/>
    </row>
    <row r="244" spans="1:39" ht="12.75" customHeight="1">
      <c r="A244" s="22">
        <v>242</v>
      </c>
      <c r="B244" s="161" t="s">
        <v>1040</v>
      </c>
      <c r="C244" s="24" t="s">
        <v>180</v>
      </c>
      <c r="D244" s="160" t="s">
        <v>960</v>
      </c>
      <c r="E244" s="24" t="s">
        <v>961</v>
      </c>
      <c r="F244" s="24">
        <v>1</v>
      </c>
      <c r="G244" s="24" t="s">
        <v>494</v>
      </c>
      <c r="H244" s="24"/>
      <c r="I244" s="24"/>
      <c r="J244" s="112"/>
      <c r="K244" s="160"/>
      <c r="L244" s="112"/>
      <c r="M244" s="124"/>
      <c r="N244" s="161"/>
      <c r="O244" s="161" t="s">
        <v>1040</v>
      </c>
      <c r="P244" s="161"/>
      <c r="Q244" s="161"/>
      <c r="R244" s="112"/>
      <c r="S244" s="24"/>
      <c r="T244" s="161"/>
      <c r="U244" s="112"/>
      <c r="V244" s="112"/>
      <c r="W244" s="112"/>
      <c r="X244" s="24"/>
      <c r="Y244" s="24"/>
      <c r="Z244" s="24"/>
      <c r="AA244" s="24"/>
      <c r="AB244" s="24"/>
      <c r="AC244" s="24"/>
      <c r="AD244" s="119"/>
      <c r="AE244" s="119"/>
      <c r="AF244" s="120"/>
      <c r="AG244" s="119"/>
      <c r="AH244" s="115" t="s">
        <v>115</v>
      </c>
      <c r="AI244" s="115" t="s">
        <v>1041</v>
      </c>
      <c r="AJ244" s="116" t="s">
        <v>1042</v>
      </c>
      <c r="AK244" s="24"/>
      <c r="AL244" s="24"/>
      <c r="AM244" s="24"/>
    </row>
    <row r="245" spans="1:39" ht="12.75" customHeight="1">
      <c r="A245" s="22">
        <v>243</v>
      </c>
      <c r="B245" s="161" t="s">
        <v>1043</v>
      </c>
      <c r="C245" s="24" t="s">
        <v>180</v>
      </c>
      <c r="D245" s="160" t="s">
        <v>960</v>
      </c>
      <c r="E245" s="24" t="s">
        <v>961</v>
      </c>
      <c r="F245" s="24">
        <v>1</v>
      </c>
      <c r="G245" s="24" t="s">
        <v>494</v>
      </c>
      <c r="H245" s="24"/>
      <c r="I245" s="24"/>
      <c r="J245" s="112"/>
      <c r="K245" s="160"/>
      <c r="L245" s="112"/>
      <c r="M245" s="124"/>
      <c r="N245" s="161"/>
      <c r="O245" s="161" t="s">
        <v>1043</v>
      </c>
      <c r="P245" s="161"/>
      <c r="Q245" s="161"/>
      <c r="R245" s="112"/>
      <c r="S245" s="24"/>
      <c r="T245" s="161"/>
      <c r="U245" s="112"/>
      <c r="V245" s="112"/>
      <c r="W245" s="112"/>
      <c r="X245" s="24"/>
      <c r="Y245" s="24"/>
      <c r="Z245" s="24"/>
      <c r="AA245" s="24"/>
      <c r="AB245" s="24"/>
      <c r="AC245" s="24"/>
      <c r="AD245" s="112"/>
      <c r="AE245" s="112"/>
      <c r="AF245" s="118">
        <v>10632007</v>
      </c>
      <c r="AG245" s="112"/>
      <c r="AH245" s="116" t="s">
        <v>115</v>
      </c>
      <c r="AI245" s="116" t="s">
        <v>1044</v>
      </c>
      <c r="AJ245" s="116" t="s">
        <v>1045</v>
      </c>
      <c r="AK245" s="24"/>
      <c r="AL245" s="24"/>
      <c r="AM245" s="24"/>
    </row>
    <row r="246" spans="1:39" ht="12.75" customHeight="1">
      <c r="A246" s="22">
        <v>244</v>
      </c>
      <c r="B246" s="161" t="s">
        <v>1046</v>
      </c>
      <c r="C246" s="24" t="s">
        <v>180</v>
      </c>
      <c r="D246" s="160" t="s">
        <v>960</v>
      </c>
      <c r="E246" s="24" t="s">
        <v>961</v>
      </c>
      <c r="F246" s="24">
        <v>1</v>
      </c>
      <c r="G246" s="24" t="s">
        <v>494</v>
      </c>
      <c r="H246" s="24"/>
      <c r="I246" s="24"/>
      <c r="J246" s="112"/>
      <c r="K246" s="160"/>
      <c r="L246" s="112"/>
      <c r="M246" s="124"/>
      <c r="N246" s="161"/>
      <c r="O246" s="161" t="s">
        <v>1046</v>
      </c>
      <c r="P246" s="161"/>
      <c r="Q246" s="161"/>
      <c r="R246" s="112"/>
      <c r="S246" s="24"/>
      <c r="T246" s="161"/>
      <c r="U246" s="112"/>
      <c r="V246" s="112"/>
      <c r="W246" s="112"/>
      <c r="X246" s="24"/>
      <c r="Y246" s="24"/>
      <c r="Z246" s="24"/>
      <c r="AA246" s="24"/>
      <c r="AB246" s="24"/>
      <c r="AC246" s="24"/>
      <c r="AD246" s="119"/>
      <c r="AE246" s="119"/>
      <c r="AF246" s="120"/>
      <c r="AG246" s="119"/>
      <c r="AH246" s="116" t="s">
        <v>115</v>
      </c>
      <c r="AI246" s="115" t="s">
        <v>1047</v>
      </c>
      <c r="AJ246" s="116" t="s">
        <v>1048</v>
      </c>
      <c r="AK246" s="24"/>
      <c r="AL246" s="24"/>
      <c r="AM246" s="24"/>
    </row>
    <row r="247" spans="1:39" ht="12.75" customHeight="1">
      <c r="A247" s="22">
        <v>245</v>
      </c>
      <c r="B247" s="161" t="s">
        <v>405</v>
      </c>
      <c r="C247" s="24" t="s">
        <v>180</v>
      </c>
      <c r="D247" s="160" t="s">
        <v>960</v>
      </c>
      <c r="E247" s="24" t="s">
        <v>961</v>
      </c>
      <c r="F247" s="24">
        <v>1</v>
      </c>
      <c r="G247" s="24" t="s">
        <v>494</v>
      </c>
      <c r="H247" s="24"/>
      <c r="I247" s="24"/>
      <c r="J247" s="112"/>
      <c r="K247" s="160"/>
      <c r="L247" s="112"/>
      <c r="M247" s="124"/>
      <c r="N247" s="161"/>
      <c r="O247" s="161" t="s">
        <v>405</v>
      </c>
      <c r="P247" s="161"/>
      <c r="Q247" s="161"/>
      <c r="R247" s="112"/>
      <c r="S247" s="24"/>
      <c r="T247" s="161"/>
      <c r="U247" s="112"/>
      <c r="V247" s="112"/>
      <c r="W247" s="112"/>
      <c r="X247" s="24"/>
      <c r="Y247" s="24"/>
      <c r="Z247" s="24"/>
      <c r="AA247" s="24"/>
      <c r="AB247" s="24"/>
      <c r="AC247" s="24"/>
      <c r="AD247" s="112"/>
      <c r="AE247" s="112"/>
      <c r="AF247" s="93" t="s">
        <v>745</v>
      </c>
      <c r="AG247" s="112"/>
      <c r="AH247" s="116" t="s">
        <v>115</v>
      </c>
      <c r="AI247" s="115" t="s">
        <v>406</v>
      </c>
      <c r="AJ247" s="115" t="s">
        <v>407</v>
      </c>
      <c r="AK247" s="24"/>
      <c r="AL247" s="24"/>
      <c r="AM247" s="24"/>
    </row>
    <row r="248" spans="1:39" ht="12.75" customHeight="1">
      <c r="A248" s="22">
        <v>246</v>
      </c>
      <c r="B248" s="124" t="s">
        <v>1049</v>
      </c>
      <c r="C248" s="24" t="s">
        <v>96</v>
      </c>
      <c r="D248" s="24"/>
      <c r="E248" s="24" t="s">
        <v>961</v>
      </c>
      <c r="F248" s="24">
        <v>1</v>
      </c>
      <c r="G248" s="24" t="s">
        <v>494</v>
      </c>
      <c r="H248" s="24"/>
      <c r="I248" s="24"/>
      <c r="J248" s="112"/>
      <c r="K248" s="124" t="s">
        <v>409</v>
      </c>
      <c r="L248" s="112"/>
      <c r="M248" s="124" t="s">
        <v>1050</v>
      </c>
      <c r="N248" s="161" t="s">
        <v>111</v>
      </c>
      <c r="O248" s="161"/>
      <c r="P248" s="161"/>
      <c r="Q248" s="161"/>
      <c r="R248" s="112"/>
      <c r="S248" s="24"/>
      <c r="T248" s="124" t="s">
        <v>208</v>
      </c>
      <c r="U248" s="112"/>
      <c r="V248" s="112"/>
      <c r="W248" s="112"/>
      <c r="X248" s="24"/>
      <c r="Y248" s="24"/>
      <c r="Z248" s="24"/>
      <c r="AA248" s="24"/>
      <c r="AB248" s="24"/>
      <c r="AC248" s="24"/>
      <c r="AD248" s="112"/>
      <c r="AE248" s="112"/>
      <c r="AF248" s="25"/>
      <c r="AG248" s="174" t="s">
        <v>1051</v>
      </c>
      <c r="AH248" s="115" t="s">
        <v>1052</v>
      </c>
      <c r="AI248" s="115" t="s">
        <v>415</v>
      </c>
      <c r="AJ248" s="115" t="s">
        <v>416</v>
      </c>
      <c r="AK248" s="24"/>
      <c r="AL248" s="24"/>
      <c r="AM248" s="24"/>
    </row>
    <row r="249" spans="1:39" ht="12.75" customHeight="1">
      <c r="A249" s="22">
        <v>247</v>
      </c>
      <c r="B249" s="160" t="s">
        <v>1053</v>
      </c>
      <c r="C249" s="24" t="s">
        <v>96</v>
      </c>
      <c r="D249" s="24"/>
      <c r="E249" s="24" t="s">
        <v>1054</v>
      </c>
      <c r="F249" s="24">
        <v>1</v>
      </c>
      <c r="G249" s="24" t="s">
        <v>494</v>
      </c>
      <c r="H249" s="24"/>
      <c r="I249" s="24"/>
      <c r="J249" s="112"/>
      <c r="K249" s="160" t="s">
        <v>1053</v>
      </c>
      <c r="L249" s="112"/>
      <c r="M249" s="197" t="s">
        <v>1055</v>
      </c>
      <c r="N249" s="161" t="s">
        <v>238</v>
      </c>
      <c r="O249" s="124"/>
      <c r="P249" s="161"/>
      <c r="Q249" s="161" t="s">
        <v>1056</v>
      </c>
      <c r="R249" s="112"/>
      <c r="S249" s="24"/>
      <c r="T249" s="126" t="s">
        <v>113</v>
      </c>
      <c r="U249" s="112"/>
      <c r="V249" s="112"/>
      <c r="W249" s="112"/>
      <c r="X249" s="24"/>
      <c r="Y249" s="24"/>
      <c r="Z249" s="24"/>
      <c r="AA249" s="24"/>
      <c r="AB249" s="24"/>
      <c r="AC249" s="24"/>
      <c r="AD249" s="119"/>
      <c r="AE249" s="119"/>
      <c r="AF249" s="120"/>
      <c r="AG249" s="119"/>
      <c r="AH249" s="115" t="s">
        <v>115</v>
      </c>
      <c r="AI249" s="115" t="s">
        <v>1058</v>
      </c>
      <c r="AJ249" s="115" t="s">
        <v>1059</v>
      </c>
      <c r="AK249" s="24"/>
      <c r="AL249" s="24"/>
      <c r="AM249" s="24"/>
    </row>
    <row r="250" spans="1:39" ht="12.75" customHeight="1">
      <c r="A250" s="22">
        <v>248</v>
      </c>
      <c r="B250" s="124" t="s">
        <v>1060</v>
      </c>
      <c r="C250" s="24" t="s">
        <v>180</v>
      </c>
      <c r="D250" s="24" t="s">
        <v>1053</v>
      </c>
      <c r="E250" s="24" t="s">
        <v>1054</v>
      </c>
      <c r="F250" s="24">
        <v>1</v>
      </c>
      <c r="G250" s="24" t="s">
        <v>494</v>
      </c>
      <c r="H250" s="24"/>
      <c r="I250" s="24"/>
      <c r="J250" s="112"/>
      <c r="K250" s="126"/>
      <c r="L250" s="112"/>
      <c r="M250" s="126"/>
      <c r="N250" s="126"/>
      <c r="O250" s="124" t="s">
        <v>1060</v>
      </c>
      <c r="P250" s="126"/>
      <c r="Q250" s="126"/>
      <c r="R250" s="112"/>
      <c r="S250" s="24"/>
      <c r="T250" s="126"/>
      <c r="U250" s="112"/>
      <c r="V250" s="112"/>
      <c r="W250" s="112"/>
      <c r="X250" s="24"/>
      <c r="Y250" s="24"/>
      <c r="Z250" s="24"/>
      <c r="AA250" s="24"/>
      <c r="AB250" s="24"/>
      <c r="AC250" s="24"/>
      <c r="AD250" s="119"/>
      <c r="AE250" s="119"/>
      <c r="AF250" s="120"/>
      <c r="AG250" s="119"/>
      <c r="AH250" s="115" t="s">
        <v>115</v>
      </c>
      <c r="AI250" s="115" t="s">
        <v>1061</v>
      </c>
      <c r="AJ250" s="115" t="s">
        <v>1062</v>
      </c>
      <c r="AK250" s="24"/>
      <c r="AL250" s="24"/>
      <c r="AM250" s="24"/>
    </row>
    <row r="251" spans="1:39" ht="12.75" customHeight="1">
      <c r="A251" s="22">
        <v>249</v>
      </c>
      <c r="B251" s="124" t="s">
        <v>1063</v>
      </c>
      <c r="C251" s="24" t="s">
        <v>180</v>
      </c>
      <c r="D251" s="24" t="s">
        <v>1053</v>
      </c>
      <c r="E251" s="24" t="s">
        <v>1054</v>
      </c>
      <c r="F251" s="24">
        <v>1</v>
      </c>
      <c r="G251" s="24" t="s">
        <v>494</v>
      </c>
      <c r="H251" s="24"/>
      <c r="I251" s="24"/>
      <c r="J251" s="112"/>
      <c r="K251" s="126"/>
      <c r="L251" s="112"/>
      <c r="M251" s="126"/>
      <c r="N251" s="126"/>
      <c r="O251" s="124" t="s">
        <v>1063</v>
      </c>
      <c r="P251" s="126"/>
      <c r="Q251" s="126"/>
      <c r="R251" s="112"/>
      <c r="S251" s="24"/>
      <c r="T251" s="126"/>
      <c r="U251" s="112"/>
      <c r="V251" s="112"/>
      <c r="W251" s="112"/>
      <c r="X251" s="24"/>
      <c r="Y251" s="24"/>
      <c r="Z251" s="24"/>
      <c r="AA251" s="24"/>
      <c r="AB251" s="24"/>
      <c r="AC251" s="24"/>
      <c r="AD251" s="119"/>
      <c r="AE251" s="119"/>
      <c r="AF251" s="120"/>
      <c r="AG251" s="119"/>
      <c r="AH251" s="115" t="s">
        <v>115</v>
      </c>
      <c r="AI251" s="115" t="s">
        <v>1065</v>
      </c>
      <c r="AJ251" s="115" t="s">
        <v>1066</v>
      </c>
      <c r="AK251" s="24"/>
      <c r="AL251" s="24"/>
      <c r="AM251" s="24"/>
    </row>
    <row r="252" spans="1:39" ht="12.75" customHeight="1">
      <c r="A252" s="22">
        <v>250</v>
      </c>
      <c r="B252" s="124" t="s">
        <v>1067</v>
      </c>
      <c r="C252" s="24" t="s">
        <v>180</v>
      </c>
      <c r="D252" s="24" t="s">
        <v>1053</v>
      </c>
      <c r="E252" s="24" t="s">
        <v>1054</v>
      </c>
      <c r="F252" s="24">
        <v>1</v>
      </c>
      <c r="G252" s="24" t="s">
        <v>494</v>
      </c>
      <c r="H252" s="24"/>
      <c r="I252" s="24"/>
      <c r="J252" s="112"/>
      <c r="K252" s="126"/>
      <c r="L252" s="112"/>
      <c r="M252" s="126"/>
      <c r="N252" s="126"/>
      <c r="O252" s="124" t="s">
        <v>1067</v>
      </c>
      <c r="P252" s="126"/>
      <c r="Q252" s="126"/>
      <c r="R252" s="112"/>
      <c r="S252" s="24"/>
      <c r="T252" s="126"/>
      <c r="U252" s="112"/>
      <c r="V252" s="112"/>
      <c r="W252" s="112"/>
      <c r="X252" s="24"/>
      <c r="Y252" s="24"/>
      <c r="Z252" s="24"/>
      <c r="AA252" s="24"/>
      <c r="AB252" s="24"/>
      <c r="AC252" s="24"/>
      <c r="AD252" s="119"/>
      <c r="AE252" s="119"/>
      <c r="AF252" s="120"/>
      <c r="AG252" s="119"/>
      <c r="AH252" s="115" t="s">
        <v>115</v>
      </c>
      <c r="AI252" s="115" t="s">
        <v>1068</v>
      </c>
      <c r="AJ252" s="115" t="s">
        <v>1069</v>
      </c>
      <c r="AK252" s="24"/>
      <c r="AL252" s="24"/>
      <c r="AM252" s="24"/>
    </row>
    <row r="253" spans="1:39" ht="12.75" customHeight="1">
      <c r="A253" s="22">
        <v>251</v>
      </c>
      <c r="B253" s="124" t="s">
        <v>1070</v>
      </c>
      <c r="C253" s="24" t="s">
        <v>180</v>
      </c>
      <c r="D253" s="24" t="s">
        <v>1053</v>
      </c>
      <c r="E253" s="24" t="s">
        <v>1054</v>
      </c>
      <c r="F253" s="24">
        <v>1</v>
      </c>
      <c r="G253" s="24" t="s">
        <v>494</v>
      </c>
      <c r="H253" s="24"/>
      <c r="I253" s="24"/>
      <c r="J253" s="112"/>
      <c r="K253" s="126"/>
      <c r="L253" s="112"/>
      <c r="M253" s="126"/>
      <c r="N253" s="126"/>
      <c r="O253" s="124" t="s">
        <v>1070</v>
      </c>
      <c r="P253" s="126"/>
      <c r="Q253" s="126"/>
      <c r="R253" s="112"/>
      <c r="S253" s="24"/>
      <c r="T253" s="126"/>
      <c r="U253" s="112"/>
      <c r="V253" s="112"/>
      <c r="W253" s="112"/>
      <c r="X253" s="24"/>
      <c r="Y253" s="24"/>
      <c r="Z253" s="24"/>
      <c r="AA253" s="24"/>
      <c r="AB253" s="24"/>
      <c r="AC253" s="24"/>
      <c r="AD253" s="119"/>
      <c r="AE253" s="119"/>
      <c r="AF253" s="120"/>
      <c r="AG253" s="119"/>
      <c r="AH253" s="115" t="s">
        <v>115</v>
      </c>
      <c r="AI253" s="115" t="s">
        <v>1072</v>
      </c>
      <c r="AJ253" s="115" t="s">
        <v>1073</v>
      </c>
      <c r="AK253" s="24"/>
      <c r="AL253" s="24"/>
      <c r="AM253" s="24"/>
    </row>
    <row r="254" spans="1:39" ht="12.75" customHeight="1">
      <c r="A254" s="22">
        <v>252</v>
      </c>
      <c r="B254" s="124" t="s">
        <v>1074</v>
      </c>
      <c r="C254" s="24" t="s">
        <v>180</v>
      </c>
      <c r="D254" s="24" t="s">
        <v>1053</v>
      </c>
      <c r="E254" s="24" t="s">
        <v>1054</v>
      </c>
      <c r="F254" s="24">
        <v>1</v>
      </c>
      <c r="G254" s="24" t="s">
        <v>494</v>
      </c>
      <c r="H254" s="24"/>
      <c r="I254" s="24"/>
      <c r="J254" s="112"/>
      <c r="K254" s="126"/>
      <c r="L254" s="112"/>
      <c r="M254" s="126"/>
      <c r="N254" s="126"/>
      <c r="O254" s="124" t="s">
        <v>1074</v>
      </c>
      <c r="P254" s="126"/>
      <c r="Q254" s="126"/>
      <c r="R254" s="112"/>
      <c r="S254" s="24"/>
      <c r="T254" s="126"/>
      <c r="U254" s="112"/>
      <c r="V254" s="112"/>
      <c r="W254" s="112"/>
      <c r="X254" s="24"/>
      <c r="Y254" s="24"/>
      <c r="Z254" s="24"/>
      <c r="AA254" s="24"/>
      <c r="AB254" s="24"/>
      <c r="AC254" s="24"/>
      <c r="AD254" s="119"/>
      <c r="AE254" s="119"/>
      <c r="AF254" s="120"/>
      <c r="AG254" s="119"/>
      <c r="AH254" s="115" t="s">
        <v>115</v>
      </c>
      <c r="AI254" s="115" t="s">
        <v>115</v>
      </c>
      <c r="AJ254" s="115" t="s">
        <v>115</v>
      </c>
      <c r="AK254" s="24"/>
      <c r="AL254" s="24"/>
      <c r="AM254" s="24"/>
    </row>
    <row r="255" spans="1:39" ht="12.75" customHeight="1">
      <c r="A255" s="22">
        <v>253</v>
      </c>
      <c r="B255" s="160" t="s">
        <v>1076</v>
      </c>
      <c r="C255" s="24" t="s">
        <v>96</v>
      </c>
      <c r="D255" s="24"/>
      <c r="E255" s="24" t="s">
        <v>1054</v>
      </c>
      <c r="F255" s="24">
        <v>1</v>
      </c>
      <c r="G255" s="24" t="s">
        <v>494</v>
      </c>
      <c r="H255" s="24"/>
      <c r="I255" s="24"/>
      <c r="J255" s="112"/>
      <c r="K255" s="160" t="s">
        <v>1076</v>
      </c>
      <c r="L255" s="112"/>
      <c r="M255" s="161" t="s">
        <v>1077</v>
      </c>
      <c r="N255" s="161" t="s">
        <v>202</v>
      </c>
      <c r="O255" s="161"/>
      <c r="P255" s="161"/>
      <c r="Q255" s="161"/>
      <c r="R255" s="112"/>
      <c r="S255" s="24"/>
      <c r="T255" s="197" t="s">
        <v>113</v>
      </c>
      <c r="U255" s="112"/>
      <c r="V255" s="112"/>
      <c r="W255" s="112"/>
      <c r="X255" s="24"/>
      <c r="Y255" s="24"/>
      <c r="Z255" s="24"/>
      <c r="AA255" s="24"/>
      <c r="AB255" s="24"/>
      <c r="AC255" s="24"/>
      <c r="AD255" s="112"/>
      <c r="AE255" s="112"/>
      <c r="AF255" s="131" t="s">
        <v>1078</v>
      </c>
      <c r="AG255" s="112"/>
      <c r="AH255" s="115" t="s">
        <v>115</v>
      </c>
      <c r="AI255" s="115" t="s">
        <v>1079</v>
      </c>
      <c r="AJ255" s="115" t="s">
        <v>1080</v>
      </c>
      <c r="AK255" s="24"/>
      <c r="AL255" s="24"/>
      <c r="AM255" s="24"/>
    </row>
    <row r="256" spans="1:39" ht="12.75" customHeight="1">
      <c r="A256" s="22">
        <v>254</v>
      </c>
      <c r="B256" s="161" t="s">
        <v>113</v>
      </c>
      <c r="C256" s="24" t="s">
        <v>180</v>
      </c>
      <c r="D256" s="160" t="s">
        <v>1076</v>
      </c>
      <c r="E256" s="24" t="s">
        <v>1054</v>
      </c>
      <c r="F256" s="24">
        <v>1</v>
      </c>
      <c r="G256" s="24" t="s">
        <v>494</v>
      </c>
      <c r="H256" s="24"/>
      <c r="I256" s="24"/>
      <c r="J256" s="112"/>
      <c r="K256" s="160"/>
      <c r="L256" s="112"/>
      <c r="M256" s="161"/>
      <c r="N256" s="161"/>
      <c r="O256" s="161" t="s">
        <v>113</v>
      </c>
      <c r="P256" s="161"/>
      <c r="Q256" s="161"/>
      <c r="R256" s="112"/>
      <c r="S256" s="24"/>
      <c r="T256" s="197"/>
      <c r="U256" s="112"/>
      <c r="V256" s="112"/>
      <c r="W256" s="112"/>
      <c r="X256" s="24"/>
      <c r="Y256" s="24"/>
      <c r="Z256" s="24"/>
      <c r="AA256" s="24"/>
      <c r="AB256" s="24"/>
      <c r="AC256" s="24"/>
      <c r="AD256" s="112"/>
      <c r="AE256" s="112"/>
      <c r="AF256" s="121">
        <v>15240007</v>
      </c>
      <c r="AG256" s="112"/>
      <c r="AH256" s="115" t="s">
        <v>115</v>
      </c>
      <c r="AI256" s="115" t="s">
        <v>1082</v>
      </c>
      <c r="AJ256" s="115" t="s">
        <v>1083</v>
      </c>
      <c r="AK256" s="24"/>
      <c r="AL256" s="24"/>
      <c r="AM256" s="24"/>
    </row>
    <row r="257" spans="1:39" ht="12.75" customHeight="1">
      <c r="A257" s="22">
        <v>255</v>
      </c>
      <c r="B257" s="161" t="s">
        <v>208</v>
      </c>
      <c r="C257" s="24" t="s">
        <v>180</v>
      </c>
      <c r="D257" s="160" t="s">
        <v>1076</v>
      </c>
      <c r="E257" s="24" t="s">
        <v>1054</v>
      </c>
      <c r="F257" s="24">
        <v>1</v>
      </c>
      <c r="G257" s="24" t="s">
        <v>494</v>
      </c>
      <c r="H257" s="24"/>
      <c r="I257" s="24"/>
      <c r="J257" s="112"/>
      <c r="K257" s="160"/>
      <c r="L257" s="112"/>
      <c r="M257" s="161"/>
      <c r="N257" s="161"/>
      <c r="O257" s="161" t="s">
        <v>208</v>
      </c>
      <c r="P257" s="161"/>
      <c r="Q257" s="161"/>
      <c r="R257" s="112"/>
      <c r="S257" s="24"/>
      <c r="T257" s="197"/>
      <c r="U257" s="112"/>
      <c r="V257" s="112"/>
      <c r="W257" s="112"/>
      <c r="X257" s="24"/>
      <c r="Y257" s="24"/>
      <c r="Z257" s="24"/>
      <c r="AA257" s="24"/>
      <c r="AB257" s="24"/>
      <c r="AC257" s="24"/>
      <c r="AD257" s="119"/>
      <c r="AE257" s="119"/>
      <c r="AF257" s="120"/>
      <c r="AG257" s="119"/>
      <c r="AH257" s="115" t="s">
        <v>115</v>
      </c>
      <c r="AI257" s="115" t="s">
        <v>1084</v>
      </c>
      <c r="AJ257" s="115" t="s">
        <v>1085</v>
      </c>
      <c r="AK257" s="24"/>
      <c r="AL257" s="24"/>
      <c r="AM257" s="24"/>
    </row>
    <row r="258" spans="1:39" ht="12.75" customHeight="1">
      <c r="A258" s="22">
        <v>256</v>
      </c>
      <c r="B258" s="161" t="s">
        <v>1086</v>
      </c>
      <c r="C258" s="24" t="s">
        <v>180</v>
      </c>
      <c r="D258" s="160" t="s">
        <v>1076</v>
      </c>
      <c r="E258" s="24" t="s">
        <v>1054</v>
      </c>
      <c r="F258" s="24">
        <v>1</v>
      </c>
      <c r="G258" s="24" t="s">
        <v>494</v>
      </c>
      <c r="H258" s="24"/>
      <c r="I258" s="24"/>
      <c r="J258" s="112"/>
      <c r="K258" s="160"/>
      <c r="L258" s="112"/>
      <c r="M258" s="161"/>
      <c r="N258" s="161"/>
      <c r="O258" s="161" t="s">
        <v>1086</v>
      </c>
      <c r="P258" s="161"/>
      <c r="Q258" s="161"/>
      <c r="R258" s="112"/>
      <c r="S258" s="24"/>
      <c r="T258" s="197"/>
      <c r="U258" s="112"/>
      <c r="V258" s="112"/>
      <c r="W258" s="112"/>
      <c r="X258" s="24"/>
      <c r="Y258" s="24"/>
      <c r="Z258" s="24"/>
      <c r="AA258" s="24"/>
      <c r="AB258" s="24"/>
      <c r="AC258" s="24"/>
      <c r="AD258" s="119"/>
      <c r="AE258" s="119"/>
      <c r="AF258" s="120"/>
      <c r="AG258" s="119"/>
      <c r="AH258" s="115" t="s">
        <v>115</v>
      </c>
      <c r="AI258" s="115" t="s">
        <v>115</v>
      </c>
      <c r="AJ258" s="115" t="s">
        <v>115</v>
      </c>
      <c r="AK258" s="24"/>
      <c r="AL258" s="24"/>
      <c r="AM258" s="24"/>
    </row>
    <row r="259" spans="1:39" ht="12.75" customHeight="1">
      <c r="A259" s="22">
        <v>257</v>
      </c>
      <c r="B259" s="160" t="s">
        <v>1088</v>
      </c>
      <c r="C259" s="24" t="s">
        <v>96</v>
      </c>
      <c r="D259" s="24"/>
      <c r="E259" s="24" t="s">
        <v>1054</v>
      </c>
      <c r="F259" s="24">
        <v>1</v>
      </c>
      <c r="G259" s="24" t="s">
        <v>494</v>
      </c>
      <c r="H259" s="24"/>
      <c r="I259" s="24"/>
      <c r="J259" s="112"/>
      <c r="K259" s="160" t="s">
        <v>1088</v>
      </c>
      <c r="L259" s="112"/>
      <c r="M259" s="161" t="s">
        <v>1089</v>
      </c>
      <c r="N259" s="161" t="s">
        <v>202</v>
      </c>
      <c r="O259" s="161"/>
      <c r="P259" s="161"/>
      <c r="Q259" s="161"/>
      <c r="R259" s="112"/>
      <c r="S259" s="24"/>
      <c r="T259" s="161" t="s">
        <v>208</v>
      </c>
      <c r="U259" s="112"/>
      <c r="V259" s="112"/>
      <c r="W259" s="112"/>
      <c r="X259" s="24"/>
      <c r="Y259" s="24"/>
      <c r="Z259" s="24"/>
      <c r="AA259" s="24"/>
      <c r="AB259" s="24"/>
      <c r="AC259" s="24"/>
      <c r="AD259" s="112"/>
      <c r="AE259" s="112"/>
      <c r="AF259" s="113">
        <v>43381005</v>
      </c>
      <c r="AG259" s="112"/>
      <c r="AH259" s="116" t="s">
        <v>115</v>
      </c>
      <c r="AI259" s="116" t="s">
        <v>1091</v>
      </c>
      <c r="AJ259" s="116" t="s">
        <v>1092</v>
      </c>
      <c r="AK259" s="24"/>
      <c r="AL259" s="24"/>
      <c r="AM259" s="24"/>
    </row>
    <row r="260" spans="1:39" ht="12.75" customHeight="1">
      <c r="A260" s="22">
        <v>258</v>
      </c>
      <c r="B260" s="161" t="s">
        <v>113</v>
      </c>
      <c r="C260" s="24" t="s">
        <v>180</v>
      </c>
      <c r="D260" s="160" t="s">
        <v>1088</v>
      </c>
      <c r="E260" s="24" t="s">
        <v>1054</v>
      </c>
      <c r="F260" s="24">
        <v>1</v>
      </c>
      <c r="G260" s="24" t="s">
        <v>494</v>
      </c>
      <c r="H260" s="24"/>
      <c r="I260" s="24"/>
      <c r="J260" s="112"/>
      <c r="K260" s="160"/>
      <c r="L260" s="112"/>
      <c r="M260" s="161"/>
      <c r="N260" s="161"/>
      <c r="O260" s="161" t="s">
        <v>113</v>
      </c>
      <c r="P260" s="161"/>
      <c r="Q260" s="161"/>
      <c r="R260" s="112"/>
      <c r="S260" s="24"/>
      <c r="T260" s="161"/>
      <c r="U260" s="112"/>
      <c r="V260" s="112"/>
      <c r="W260" s="112"/>
      <c r="X260" s="24"/>
      <c r="Y260" s="24"/>
      <c r="Z260" s="24"/>
      <c r="AA260" s="24"/>
      <c r="AB260" s="24"/>
      <c r="AC260" s="24"/>
      <c r="AD260" s="112"/>
      <c r="AE260" s="112"/>
      <c r="AF260" s="113">
        <v>373066001</v>
      </c>
      <c r="AG260" s="112"/>
      <c r="AH260" s="116" t="s">
        <v>115</v>
      </c>
      <c r="AI260" s="116" t="s">
        <v>206</v>
      </c>
      <c r="AJ260" s="116" t="s">
        <v>207</v>
      </c>
      <c r="AK260" s="24"/>
      <c r="AL260" s="24"/>
      <c r="AM260" s="24"/>
    </row>
    <row r="261" spans="1:39" ht="12.75" customHeight="1">
      <c r="A261" s="22">
        <v>259</v>
      </c>
      <c r="B261" s="161" t="s">
        <v>208</v>
      </c>
      <c r="C261" s="24" t="s">
        <v>180</v>
      </c>
      <c r="D261" s="160" t="s">
        <v>1088</v>
      </c>
      <c r="E261" s="24" t="s">
        <v>1054</v>
      </c>
      <c r="F261" s="24">
        <v>1</v>
      </c>
      <c r="G261" s="24" t="s">
        <v>494</v>
      </c>
      <c r="H261" s="24"/>
      <c r="I261" s="24"/>
      <c r="J261" s="112"/>
      <c r="K261" s="160"/>
      <c r="L261" s="112"/>
      <c r="M261" s="161"/>
      <c r="N261" s="161"/>
      <c r="O261" s="161" t="s">
        <v>208</v>
      </c>
      <c r="P261" s="161"/>
      <c r="Q261" s="161"/>
      <c r="R261" s="112"/>
      <c r="S261" s="24"/>
      <c r="T261" s="161"/>
      <c r="U261" s="112"/>
      <c r="V261" s="112"/>
      <c r="W261" s="112"/>
      <c r="X261" s="24"/>
      <c r="Y261" s="24"/>
      <c r="Z261" s="24"/>
      <c r="AA261" s="24"/>
      <c r="AB261" s="24"/>
      <c r="AC261" s="24"/>
      <c r="AD261" s="119"/>
      <c r="AE261" s="119"/>
      <c r="AF261" s="120"/>
      <c r="AG261" s="119"/>
      <c r="AH261" s="115" t="s">
        <v>115</v>
      </c>
      <c r="AI261" s="115" t="s">
        <v>115</v>
      </c>
      <c r="AJ261" s="115" t="s">
        <v>115</v>
      </c>
      <c r="AK261" s="24"/>
      <c r="AL261" s="24"/>
      <c r="AM261" s="24"/>
    </row>
    <row r="262" spans="1:39" ht="12.75" customHeight="1">
      <c r="A262" s="22">
        <v>260</v>
      </c>
      <c r="B262" s="160" t="s">
        <v>1094</v>
      </c>
      <c r="C262" s="24" t="s">
        <v>96</v>
      </c>
      <c r="D262" s="24"/>
      <c r="E262" s="24" t="s">
        <v>1054</v>
      </c>
      <c r="F262" s="24">
        <v>1</v>
      </c>
      <c r="G262" s="24" t="s">
        <v>494</v>
      </c>
      <c r="H262" s="24"/>
      <c r="I262" s="24"/>
      <c r="J262" s="112"/>
      <c r="K262" s="160" t="s">
        <v>1094</v>
      </c>
      <c r="L262" s="112"/>
      <c r="M262" s="161" t="s">
        <v>1096</v>
      </c>
      <c r="N262" s="161" t="s">
        <v>202</v>
      </c>
      <c r="O262" s="161"/>
      <c r="P262" s="161"/>
      <c r="Q262" s="161"/>
      <c r="R262" s="112"/>
      <c r="S262" s="24"/>
      <c r="T262" s="161" t="s">
        <v>208</v>
      </c>
      <c r="U262" s="112"/>
      <c r="V262" s="112"/>
      <c r="W262" s="112"/>
      <c r="X262" s="24"/>
      <c r="Y262" s="24"/>
      <c r="Z262" s="24"/>
      <c r="AA262" s="24"/>
      <c r="AB262" s="24"/>
      <c r="AC262" s="24"/>
      <c r="AD262" s="112"/>
      <c r="AE262" s="112"/>
      <c r="AF262" s="93" t="s">
        <v>1097</v>
      </c>
      <c r="AG262" s="112"/>
      <c r="AH262" s="115" t="s">
        <v>115</v>
      </c>
      <c r="AI262" s="116" t="s">
        <v>1098</v>
      </c>
      <c r="AJ262" s="116" t="s">
        <v>1099</v>
      </c>
      <c r="AK262" s="24"/>
      <c r="AL262" s="24"/>
      <c r="AM262" s="24"/>
    </row>
    <row r="263" spans="1:39" ht="12.75" customHeight="1">
      <c r="A263" s="22">
        <v>261</v>
      </c>
      <c r="B263" s="161" t="s">
        <v>113</v>
      </c>
      <c r="C263" s="24" t="s">
        <v>180</v>
      </c>
      <c r="D263" s="160" t="s">
        <v>1094</v>
      </c>
      <c r="E263" s="24" t="s">
        <v>1054</v>
      </c>
      <c r="F263" s="24">
        <v>1</v>
      </c>
      <c r="G263" s="24" t="s">
        <v>494</v>
      </c>
      <c r="H263" s="24"/>
      <c r="I263" s="24"/>
      <c r="J263" s="112"/>
      <c r="K263" s="160"/>
      <c r="L263" s="112"/>
      <c r="M263" s="161"/>
      <c r="N263" s="161"/>
      <c r="O263" s="161" t="s">
        <v>113</v>
      </c>
      <c r="P263" s="161"/>
      <c r="Q263" s="161"/>
      <c r="R263" s="112"/>
      <c r="S263" s="24"/>
      <c r="T263" s="161"/>
      <c r="U263" s="112"/>
      <c r="V263" s="112"/>
      <c r="W263" s="112"/>
      <c r="X263" s="24"/>
      <c r="Y263" s="24"/>
      <c r="Z263" s="24"/>
      <c r="AA263" s="24"/>
      <c r="AB263" s="24"/>
      <c r="AC263" s="24"/>
      <c r="AD263" s="112"/>
      <c r="AE263" s="112"/>
      <c r="AF263" s="113">
        <v>373066001</v>
      </c>
      <c r="AG263" s="112"/>
      <c r="AH263" s="116" t="s">
        <v>115</v>
      </c>
      <c r="AI263" s="116" t="s">
        <v>206</v>
      </c>
      <c r="AJ263" s="116" t="s">
        <v>207</v>
      </c>
      <c r="AK263" s="24"/>
      <c r="AL263" s="24"/>
      <c r="AM263" s="24"/>
    </row>
    <row r="264" spans="1:39" ht="12.75" customHeight="1">
      <c r="A264" s="22">
        <v>262</v>
      </c>
      <c r="B264" s="161" t="s">
        <v>208</v>
      </c>
      <c r="C264" s="24" t="s">
        <v>180</v>
      </c>
      <c r="D264" s="160" t="s">
        <v>1094</v>
      </c>
      <c r="E264" s="24" t="s">
        <v>1054</v>
      </c>
      <c r="F264" s="24">
        <v>1</v>
      </c>
      <c r="G264" s="24" t="s">
        <v>494</v>
      </c>
      <c r="H264" s="24"/>
      <c r="I264" s="24"/>
      <c r="J264" s="112"/>
      <c r="K264" s="160"/>
      <c r="L264" s="112"/>
      <c r="M264" s="161"/>
      <c r="N264" s="161"/>
      <c r="O264" s="161" t="s">
        <v>208</v>
      </c>
      <c r="P264" s="161"/>
      <c r="Q264" s="161"/>
      <c r="R264" s="112"/>
      <c r="S264" s="24"/>
      <c r="T264" s="161"/>
      <c r="U264" s="112"/>
      <c r="V264" s="112"/>
      <c r="W264" s="112"/>
      <c r="X264" s="24"/>
      <c r="Y264" s="24"/>
      <c r="Z264" s="24"/>
      <c r="AA264" s="24"/>
      <c r="AB264" s="24"/>
      <c r="AC264" s="24"/>
      <c r="AD264" s="119"/>
      <c r="AE264" s="119"/>
      <c r="AF264" s="120"/>
      <c r="AG264" s="119"/>
      <c r="AH264" s="115" t="s">
        <v>115</v>
      </c>
      <c r="AI264" s="115" t="s">
        <v>115</v>
      </c>
      <c r="AJ264" s="115" t="s">
        <v>115</v>
      </c>
      <c r="AK264" s="24"/>
      <c r="AL264" s="24"/>
      <c r="AM264" s="24"/>
    </row>
    <row r="265" spans="1:39" ht="12.75" customHeight="1">
      <c r="A265" s="22">
        <v>263</v>
      </c>
      <c r="B265" s="160" t="s">
        <v>1102</v>
      </c>
      <c r="C265" s="24" t="s">
        <v>96</v>
      </c>
      <c r="D265" s="24"/>
      <c r="E265" s="24" t="s">
        <v>1054</v>
      </c>
      <c r="F265" s="24">
        <v>1</v>
      </c>
      <c r="G265" s="24" t="s">
        <v>494</v>
      </c>
      <c r="H265" s="24"/>
      <c r="I265" s="24"/>
      <c r="J265" s="112"/>
      <c r="K265" s="160" t="s">
        <v>1102</v>
      </c>
      <c r="L265" s="112"/>
      <c r="M265" s="161" t="s">
        <v>1103</v>
      </c>
      <c r="N265" s="161" t="s">
        <v>202</v>
      </c>
      <c r="O265" s="161"/>
      <c r="P265" s="161"/>
      <c r="Q265" s="161"/>
      <c r="R265" s="112"/>
      <c r="S265" s="24"/>
      <c r="T265" s="161" t="s">
        <v>113</v>
      </c>
      <c r="U265" s="112"/>
      <c r="V265" s="112"/>
      <c r="W265" s="112"/>
      <c r="X265" s="24"/>
      <c r="Y265" s="24"/>
      <c r="Z265" s="24"/>
      <c r="AA265" s="24"/>
      <c r="AB265" s="24"/>
      <c r="AC265" s="24"/>
      <c r="AD265" s="112"/>
      <c r="AE265" s="112"/>
      <c r="AF265" s="25"/>
      <c r="AG265" s="112"/>
      <c r="AH265" s="115" t="s">
        <v>115</v>
      </c>
      <c r="AI265" s="115" t="s">
        <v>1104</v>
      </c>
      <c r="AJ265" s="116" t="s">
        <v>1105</v>
      </c>
      <c r="AK265" s="24"/>
      <c r="AL265" s="24"/>
      <c r="AM265" s="24"/>
    </row>
    <row r="266" spans="1:39" ht="12.75" customHeight="1">
      <c r="A266" s="22">
        <v>264</v>
      </c>
      <c r="B266" s="161" t="s">
        <v>113</v>
      </c>
      <c r="C266" s="24" t="s">
        <v>180</v>
      </c>
      <c r="D266" s="160" t="s">
        <v>1102</v>
      </c>
      <c r="E266" s="24" t="s">
        <v>1054</v>
      </c>
      <c r="F266" s="24">
        <v>1</v>
      </c>
      <c r="G266" s="24" t="s">
        <v>494</v>
      </c>
      <c r="H266" s="24"/>
      <c r="I266" s="24"/>
      <c r="J266" s="112"/>
      <c r="K266" s="160"/>
      <c r="L266" s="112"/>
      <c r="M266" s="161"/>
      <c r="N266" s="161"/>
      <c r="O266" s="161" t="s">
        <v>113</v>
      </c>
      <c r="P266" s="161"/>
      <c r="Q266" s="161"/>
      <c r="R266" s="112"/>
      <c r="S266" s="24"/>
      <c r="T266" s="161"/>
      <c r="U266" s="112"/>
      <c r="V266" s="112"/>
      <c r="W266" s="112"/>
      <c r="X266" s="24"/>
      <c r="Y266" s="24"/>
      <c r="Z266" s="24"/>
      <c r="AA266" s="24"/>
      <c r="AB266" s="24"/>
      <c r="AC266" s="24"/>
      <c r="AD266" s="112"/>
      <c r="AE266" s="112"/>
      <c r="AF266" s="113">
        <v>373066001</v>
      </c>
      <c r="AG266" s="112"/>
      <c r="AH266" s="116" t="s">
        <v>115</v>
      </c>
      <c r="AI266" s="116" t="s">
        <v>206</v>
      </c>
      <c r="AJ266" s="116" t="s">
        <v>207</v>
      </c>
      <c r="AK266" s="24"/>
      <c r="AL266" s="24"/>
      <c r="AM266" s="24"/>
    </row>
    <row r="267" spans="1:39" ht="12.75" customHeight="1">
      <c r="A267" s="22">
        <v>265</v>
      </c>
      <c r="B267" s="161" t="s">
        <v>208</v>
      </c>
      <c r="C267" s="24" t="s">
        <v>180</v>
      </c>
      <c r="D267" s="160" t="s">
        <v>1102</v>
      </c>
      <c r="E267" s="24" t="s">
        <v>1054</v>
      </c>
      <c r="F267" s="24">
        <v>1</v>
      </c>
      <c r="G267" s="24" t="s">
        <v>494</v>
      </c>
      <c r="H267" s="24"/>
      <c r="I267" s="24"/>
      <c r="J267" s="112"/>
      <c r="K267" s="160"/>
      <c r="L267" s="112"/>
      <c r="M267" s="161"/>
      <c r="N267" s="161"/>
      <c r="O267" s="161" t="s">
        <v>208</v>
      </c>
      <c r="P267" s="161"/>
      <c r="Q267" s="161"/>
      <c r="R267" s="112"/>
      <c r="S267" s="24"/>
      <c r="T267" s="161"/>
      <c r="U267" s="112"/>
      <c r="V267" s="112"/>
      <c r="W267" s="112"/>
      <c r="X267" s="24"/>
      <c r="Y267" s="24"/>
      <c r="Z267" s="24"/>
      <c r="AA267" s="24"/>
      <c r="AB267" s="24"/>
      <c r="AC267" s="24"/>
      <c r="AD267" s="112"/>
      <c r="AE267" s="112"/>
      <c r="AF267" s="118">
        <v>373067005</v>
      </c>
      <c r="AG267" s="112"/>
      <c r="AH267" s="116" t="s">
        <v>115</v>
      </c>
      <c r="AI267" s="116" t="s">
        <v>209</v>
      </c>
      <c r="AJ267" s="116" t="s">
        <v>210</v>
      </c>
      <c r="AK267" s="24"/>
      <c r="AL267" s="24"/>
      <c r="AM267" s="24"/>
    </row>
    <row r="268" spans="1:39" ht="12.75" customHeight="1">
      <c r="A268" s="22">
        <v>266</v>
      </c>
      <c r="B268" s="160" t="s">
        <v>1107</v>
      </c>
      <c r="C268" s="24" t="s">
        <v>96</v>
      </c>
      <c r="D268" s="24"/>
      <c r="E268" s="24" t="s">
        <v>1054</v>
      </c>
      <c r="F268" s="24">
        <v>1</v>
      </c>
      <c r="G268" s="24" t="s">
        <v>494</v>
      </c>
      <c r="H268" s="24"/>
      <c r="I268" s="24"/>
      <c r="J268" s="112"/>
      <c r="K268" s="160" t="s">
        <v>1107</v>
      </c>
      <c r="L268" s="112"/>
      <c r="M268" s="161" t="s">
        <v>1108</v>
      </c>
      <c r="N268" s="161" t="s">
        <v>238</v>
      </c>
      <c r="O268" s="161"/>
      <c r="P268" s="161"/>
      <c r="Q268" s="161" t="s">
        <v>1109</v>
      </c>
      <c r="R268" s="112"/>
      <c r="S268" s="24"/>
      <c r="T268" s="161" t="s">
        <v>113</v>
      </c>
      <c r="U268" s="112"/>
      <c r="V268" s="112"/>
      <c r="W268" s="112"/>
      <c r="X268" s="24"/>
      <c r="Y268" s="24"/>
      <c r="Z268" s="24"/>
      <c r="AA268" s="24"/>
      <c r="AB268" s="24"/>
      <c r="AC268" s="24"/>
      <c r="AD268" s="112"/>
      <c r="AE268" s="112"/>
      <c r="AF268" s="25"/>
      <c r="AG268" s="112"/>
      <c r="AH268" s="115" t="s">
        <v>115</v>
      </c>
      <c r="AI268" s="115" t="s">
        <v>753</v>
      </c>
      <c r="AJ268" s="116" t="s">
        <v>754</v>
      </c>
      <c r="AK268" s="24"/>
      <c r="AL268" s="24"/>
      <c r="AM268" s="24"/>
    </row>
    <row r="269" spans="1:39" ht="12.75" customHeight="1">
      <c r="A269" s="22">
        <v>267</v>
      </c>
      <c r="B269" s="161" t="s">
        <v>423</v>
      </c>
      <c r="C269" s="24" t="s">
        <v>180</v>
      </c>
      <c r="D269" s="160" t="s">
        <v>1107</v>
      </c>
      <c r="E269" s="24" t="s">
        <v>1054</v>
      </c>
      <c r="F269" s="24">
        <v>1</v>
      </c>
      <c r="G269" s="24" t="s">
        <v>494</v>
      </c>
      <c r="H269" s="24"/>
      <c r="I269" s="24"/>
      <c r="J269" s="112"/>
      <c r="K269" s="160"/>
      <c r="L269" s="112"/>
      <c r="M269" s="161"/>
      <c r="N269" s="161"/>
      <c r="O269" s="161" t="s">
        <v>423</v>
      </c>
      <c r="P269" s="161"/>
      <c r="Q269" s="161"/>
      <c r="R269" s="112"/>
      <c r="S269" s="24"/>
      <c r="T269" s="161"/>
      <c r="U269" s="112"/>
      <c r="V269" s="112"/>
      <c r="W269" s="112"/>
      <c r="X269" s="24"/>
      <c r="Y269" s="24"/>
      <c r="Z269" s="24"/>
      <c r="AA269" s="24"/>
      <c r="AB269" s="24"/>
      <c r="AC269" s="24"/>
      <c r="AD269" s="112"/>
      <c r="AE269" s="112"/>
      <c r="AF269" s="118">
        <v>260413007</v>
      </c>
      <c r="AG269" s="112"/>
      <c r="AH269" s="115" t="s">
        <v>115</v>
      </c>
      <c r="AI269" s="115" t="s">
        <v>424</v>
      </c>
      <c r="AJ269" s="115" t="s">
        <v>425</v>
      </c>
      <c r="AK269" s="24"/>
      <c r="AL269" s="24"/>
      <c r="AM269" s="24"/>
    </row>
    <row r="270" spans="1:39" ht="12.75" customHeight="1">
      <c r="A270" s="22">
        <v>268</v>
      </c>
      <c r="B270" s="161" t="s">
        <v>1110</v>
      </c>
      <c r="C270" s="24" t="s">
        <v>180</v>
      </c>
      <c r="D270" s="160" t="s">
        <v>1107</v>
      </c>
      <c r="E270" s="24" t="s">
        <v>1054</v>
      </c>
      <c r="F270" s="24">
        <v>1</v>
      </c>
      <c r="G270" s="24" t="s">
        <v>494</v>
      </c>
      <c r="H270" s="24"/>
      <c r="I270" s="24"/>
      <c r="J270" s="112"/>
      <c r="K270" s="160"/>
      <c r="L270" s="112"/>
      <c r="M270" s="161"/>
      <c r="N270" s="161"/>
      <c r="O270" s="161" t="s">
        <v>1110</v>
      </c>
      <c r="P270" s="161"/>
      <c r="Q270" s="161"/>
      <c r="R270" s="112"/>
      <c r="S270" s="24"/>
      <c r="T270" s="161"/>
      <c r="U270" s="112"/>
      <c r="V270" s="112"/>
      <c r="W270" s="112"/>
      <c r="X270" s="24"/>
      <c r="Y270" s="24"/>
      <c r="Z270" s="24"/>
      <c r="AA270" s="24"/>
      <c r="AB270" s="24"/>
      <c r="AC270" s="24"/>
      <c r="AD270" s="112"/>
      <c r="AE270" s="112"/>
      <c r="AF270" s="118">
        <v>219006</v>
      </c>
      <c r="AG270" s="112"/>
      <c r="AH270" s="115" t="s">
        <v>115</v>
      </c>
      <c r="AI270" s="116" t="s">
        <v>721</v>
      </c>
      <c r="AJ270" s="116" t="s">
        <v>722</v>
      </c>
      <c r="AK270" s="24"/>
      <c r="AL270" s="24"/>
      <c r="AM270" s="24"/>
    </row>
    <row r="271" spans="1:39" ht="12.75" customHeight="1">
      <c r="A271" s="22">
        <v>269</v>
      </c>
      <c r="B271" s="161" t="s">
        <v>755</v>
      </c>
      <c r="C271" s="24" t="s">
        <v>180</v>
      </c>
      <c r="D271" s="160" t="s">
        <v>1107</v>
      </c>
      <c r="E271" s="24" t="s">
        <v>1054</v>
      </c>
      <c r="F271" s="24">
        <v>1</v>
      </c>
      <c r="G271" s="24" t="s">
        <v>494</v>
      </c>
      <c r="H271" s="24"/>
      <c r="I271" s="24"/>
      <c r="J271" s="112"/>
      <c r="K271" s="160"/>
      <c r="L271" s="112"/>
      <c r="M271" s="161"/>
      <c r="N271" s="161"/>
      <c r="O271" s="161" t="s">
        <v>755</v>
      </c>
      <c r="P271" s="161"/>
      <c r="Q271" s="161"/>
      <c r="R271" s="112"/>
      <c r="S271" s="24"/>
      <c r="T271" s="161"/>
      <c r="U271" s="112"/>
      <c r="V271" s="112"/>
      <c r="W271" s="112"/>
      <c r="X271" s="24"/>
      <c r="Y271" s="24"/>
      <c r="Z271" s="24"/>
      <c r="AA271" s="24"/>
      <c r="AB271" s="24"/>
      <c r="AC271" s="24"/>
      <c r="AD271" s="119"/>
      <c r="AE271" s="119"/>
      <c r="AF271" s="120"/>
      <c r="AG271" s="119"/>
      <c r="AH271" s="115" t="s">
        <v>115</v>
      </c>
      <c r="AI271" s="115" t="s">
        <v>757</v>
      </c>
      <c r="AJ271" s="116" t="s">
        <v>758</v>
      </c>
      <c r="AK271" s="24"/>
      <c r="AL271" s="24"/>
      <c r="AM271" s="24"/>
    </row>
    <row r="272" spans="1:39" ht="12.75" customHeight="1">
      <c r="A272" s="22">
        <v>270</v>
      </c>
      <c r="B272" s="124" t="s">
        <v>759</v>
      </c>
      <c r="C272" s="24" t="s">
        <v>180</v>
      </c>
      <c r="D272" s="160" t="s">
        <v>1107</v>
      </c>
      <c r="E272" s="24" t="s">
        <v>1054</v>
      </c>
      <c r="F272" s="24">
        <v>1</v>
      </c>
      <c r="G272" s="24" t="s">
        <v>494</v>
      </c>
      <c r="H272" s="24"/>
      <c r="I272" s="24"/>
      <c r="J272" s="112"/>
      <c r="K272" s="160"/>
      <c r="L272" s="112"/>
      <c r="M272" s="161"/>
      <c r="N272" s="161"/>
      <c r="O272" s="124" t="s">
        <v>759</v>
      </c>
      <c r="P272" s="161"/>
      <c r="Q272" s="161"/>
      <c r="R272" s="112"/>
      <c r="S272" s="24"/>
      <c r="T272" s="161"/>
      <c r="U272" s="112"/>
      <c r="V272" s="112"/>
      <c r="W272" s="112"/>
      <c r="X272" s="24"/>
      <c r="Y272" s="24"/>
      <c r="Z272" s="24"/>
      <c r="AA272" s="24"/>
      <c r="AB272" s="24"/>
      <c r="AC272" s="24"/>
      <c r="AD272" s="202" t="s">
        <v>760</v>
      </c>
      <c r="AE272" s="112"/>
      <c r="AF272" s="121">
        <v>428493006</v>
      </c>
      <c r="AG272" s="112"/>
      <c r="AH272" s="116" t="s">
        <v>115</v>
      </c>
      <c r="AI272" s="116" t="s">
        <v>761</v>
      </c>
      <c r="AJ272" s="116" t="s">
        <v>762</v>
      </c>
      <c r="AK272" s="24"/>
      <c r="AL272" s="24"/>
      <c r="AM272" s="24"/>
    </row>
    <row r="273" spans="1:41" ht="12.75" customHeight="1">
      <c r="A273" s="22">
        <v>271</v>
      </c>
      <c r="B273" s="161" t="s">
        <v>763</v>
      </c>
      <c r="C273" s="24" t="s">
        <v>180</v>
      </c>
      <c r="D273" s="160" t="s">
        <v>1107</v>
      </c>
      <c r="E273" s="24" t="s">
        <v>1054</v>
      </c>
      <c r="F273" s="24">
        <v>1</v>
      </c>
      <c r="G273" s="24" t="s">
        <v>494</v>
      </c>
      <c r="H273" s="24"/>
      <c r="I273" s="24"/>
      <c r="J273" s="112"/>
      <c r="K273" s="160"/>
      <c r="L273" s="112"/>
      <c r="M273" s="161"/>
      <c r="N273" s="161"/>
      <c r="O273" s="161" t="s">
        <v>763</v>
      </c>
      <c r="P273" s="161"/>
      <c r="Q273" s="161"/>
      <c r="R273" s="112"/>
      <c r="S273" s="24"/>
      <c r="T273" s="161"/>
      <c r="U273" s="112"/>
      <c r="V273" s="112"/>
      <c r="W273" s="112"/>
      <c r="X273" s="24"/>
      <c r="Y273" s="24"/>
      <c r="Z273" s="24"/>
      <c r="AA273" s="24"/>
      <c r="AB273" s="24"/>
      <c r="AC273" s="24"/>
      <c r="AD273" s="202" t="s">
        <v>765</v>
      </c>
      <c r="AE273" s="112"/>
      <c r="AF273" s="121">
        <v>228388006</v>
      </c>
      <c r="AG273" s="112"/>
      <c r="AH273" s="116" t="s">
        <v>115</v>
      </c>
      <c r="AI273" s="116" t="s">
        <v>766</v>
      </c>
      <c r="AJ273" s="116" t="s">
        <v>767</v>
      </c>
      <c r="AK273" s="24"/>
      <c r="AL273" s="24"/>
      <c r="AM273" s="24"/>
    </row>
    <row r="274" spans="1:41" ht="12.75" customHeight="1">
      <c r="A274" s="22">
        <v>272</v>
      </c>
      <c r="B274" s="161" t="s">
        <v>405</v>
      </c>
      <c r="C274" s="24" t="s">
        <v>180</v>
      </c>
      <c r="D274" s="160" t="s">
        <v>1107</v>
      </c>
      <c r="E274" s="24" t="s">
        <v>1054</v>
      </c>
      <c r="F274" s="24">
        <v>1</v>
      </c>
      <c r="G274" s="24" t="s">
        <v>494</v>
      </c>
      <c r="H274" s="24"/>
      <c r="I274" s="24"/>
      <c r="J274" s="112"/>
      <c r="K274" s="160"/>
      <c r="L274" s="112"/>
      <c r="M274" s="161"/>
      <c r="N274" s="161"/>
      <c r="O274" s="161" t="s">
        <v>405</v>
      </c>
      <c r="P274" s="161"/>
      <c r="Q274" s="161"/>
      <c r="R274" s="112"/>
      <c r="S274" s="24"/>
      <c r="T274" s="161"/>
      <c r="U274" s="112"/>
      <c r="V274" s="112"/>
      <c r="W274" s="112"/>
      <c r="X274" s="24"/>
      <c r="Y274" s="24"/>
      <c r="Z274" s="24"/>
      <c r="AA274" s="24"/>
      <c r="AB274" s="24"/>
      <c r="AC274" s="24"/>
      <c r="AD274" s="112"/>
      <c r="AE274" s="112"/>
      <c r="AF274" s="93" t="s">
        <v>745</v>
      </c>
      <c r="AG274" s="112"/>
      <c r="AH274" s="116" t="s">
        <v>115</v>
      </c>
      <c r="AI274" s="115" t="s">
        <v>406</v>
      </c>
      <c r="AJ274" s="115" t="s">
        <v>407</v>
      </c>
      <c r="AK274" s="24"/>
      <c r="AL274" s="24"/>
      <c r="AM274" s="24"/>
    </row>
    <row r="275" spans="1:41" ht="12.75" customHeight="1">
      <c r="A275" s="22">
        <v>273</v>
      </c>
      <c r="B275" s="124" t="s">
        <v>1112</v>
      </c>
      <c r="C275" s="24" t="s">
        <v>96</v>
      </c>
      <c r="D275" s="24"/>
      <c r="E275" s="24" t="s">
        <v>1054</v>
      </c>
      <c r="F275" s="24">
        <v>1</v>
      </c>
      <c r="G275" s="24" t="s">
        <v>494</v>
      </c>
      <c r="H275" s="24"/>
      <c r="I275" s="24"/>
      <c r="J275" s="112"/>
      <c r="K275" s="124" t="s">
        <v>409</v>
      </c>
      <c r="L275" s="112"/>
      <c r="M275" s="161" t="s">
        <v>1113</v>
      </c>
      <c r="N275" s="161" t="s">
        <v>111</v>
      </c>
      <c r="O275" s="161"/>
      <c r="P275" s="161"/>
      <c r="Q275" s="161"/>
      <c r="R275" s="112"/>
      <c r="S275" s="24"/>
      <c r="T275" s="124" t="s">
        <v>208</v>
      </c>
      <c r="U275" s="112"/>
      <c r="V275" s="112"/>
      <c r="W275" s="112"/>
      <c r="X275" s="24"/>
      <c r="Y275" s="24"/>
      <c r="Z275" s="24"/>
      <c r="AA275" s="24"/>
      <c r="AB275" s="24"/>
      <c r="AC275" s="24"/>
      <c r="AD275" s="112"/>
      <c r="AE275" s="112"/>
      <c r="AF275" s="25"/>
      <c r="AG275" s="112"/>
      <c r="AH275" s="115" t="s">
        <v>115</v>
      </c>
      <c r="AI275" s="115" t="s">
        <v>115</v>
      </c>
      <c r="AJ275" s="115" t="s">
        <v>115</v>
      </c>
      <c r="AK275" s="24"/>
      <c r="AL275" s="24"/>
      <c r="AM275" s="24"/>
    </row>
    <row r="276" spans="1:41" ht="12.75" customHeight="1">
      <c r="A276" s="22">
        <v>274</v>
      </c>
      <c r="B276" s="160" t="s">
        <v>1115</v>
      </c>
      <c r="C276" s="24" t="s">
        <v>96</v>
      </c>
      <c r="D276" s="24"/>
      <c r="E276" s="24" t="s">
        <v>1116</v>
      </c>
      <c r="F276" s="24">
        <v>1</v>
      </c>
      <c r="G276" s="24" t="s">
        <v>494</v>
      </c>
      <c r="H276" s="24"/>
      <c r="I276" s="24"/>
      <c r="J276" s="112"/>
      <c r="K276" s="160" t="s">
        <v>1115</v>
      </c>
      <c r="L276" s="112"/>
      <c r="M276" s="161" t="s">
        <v>1117</v>
      </c>
      <c r="N276" s="161" t="s">
        <v>202</v>
      </c>
      <c r="O276" s="124"/>
      <c r="P276" s="161"/>
      <c r="Q276" s="161"/>
      <c r="R276" s="112"/>
      <c r="S276" s="24"/>
      <c r="T276" s="161" t="s">
        <v>208</v>
      </c>
      <c r="U276" s="112"/>
      <c r="V276" s="112"/>
      <c r="W276" s="112"/>
      <c r="X276" s="24"/>
      <c r="Y276" s="24"/>
      <c r="Z276" s="24"/>
      <c r="AA276" s="24"/>
      <c r="AB276" s="24"/>
      <c r="AC276" s="24"/>
      <c r="AD276" s="112"/>
      <c r="AE276" s="112"/>
      <c r="AF276" s="93" t="s">
        <v>1118</v>
      </c>
      <c r="AG276" s="112"/>
      <c r="AH276" s="116" t="s">
        <v>115</v>
      </c>
      <c r="AI276" s="116" t="s">
        <v>1119</v>
      </c>
      <c r="AJ276" s="116" t="s">
        <v>1120</v>
      </c>
      <c r="AK276" s="24"/>
      <c r="AL276" s="24"/>
      <c r="AM276" s="24"/>
    </row>
    <row r="277" spans="1:41" ht="12.75" customHeight="1">
      <c r="A277" s="22">
        <v>275</v>
      </c>
      <c r="B277" s="124" t="s">
        <v>500</v>
      </c>
      <c r="C277" s="24" t="s">
        <v>180</v>
      </c>
      <c r="D277" s="160" t="s">
        <v>1115</v>
      </c>
      <c r="E277" s="24" t="s">
        <v>1116</v>
      </c>
      <c r="F277" s="24">
        <v>1</v>
      </c>
      <c r="G277" s="24" t="s">
        <v>494</v>
      </c>
      <c r="H277" s="24"/>
      <c r="I277" s="24"/>
      <c r="J277" s="112"/>
      <c r="K277" s="161"/>
      <c r="L277" s="112"/>
      <c r="M277" s="161"/>
      <c r="N277" s="161"/>
      <c r="O277" s="124" t="s">
        <v>500</v>
      </c>
      <c r="P277" s="161"/>
      <c r="Q277" s="161"/>
      <c r="R277" s="112"/>
      <c r="S277" s="24"/>
      <c r="T277" s="161"/>
      <c r="U277" s="112"/>
      <c r="V277" s="112"/>
      <c r="W277" s="112"/>
      <c r="X277" s="24"/>
      <c r="Y277" s="24"/>
      <c r="Z277" s="24"/>
      <c r="AA277" s="24"/>
      <c r="AB277" s="24"/>
      <c r="AC277" s="24"/>
      <c r="AD277" s="112"/>
      <c r="AE277" s="112"/>
      <c r="AF277" s="113">
        <v>261665006</v>
      </c>
      <c r="AG277" s="112"/>
      <c r="AH277" s="116" t="s">
        <v>115</v>
      </c>
      <c r="AI277" s="116" t="s">
        <v>501</v>
      </c>
      <c r="AJ277" s="116" t="s">
        <v>503</v>
      </c>
      <c r="AK277" s="24"/>
      <c r="AL277" s="24"/>
      <c r="AM277" s="24"/>
    </row>
    <row r="278" spans="1:41" ht="12.75" customHeight="1">
      <c r="A278" s="22">
        <v>276</v>
      </c>
      <c r="B278" s="203" t="s">
        <v>1122</v>
      </c>
      <c r="C278" s="24" t="s">
        <v>180</v>
      </c>
      <c r="D278" s="160" t="s">
        <v>1115</v>
      </c>
      <c r="E278" s="24" t="s">
        <v>1116</v>
      </c>
      <c r="F278" s="24">
        <v>1</v>
      </c>
      <c r="G278" s="24" t="s">
        <v>494</v>
      </c>
      <c r="H278" s="24"/>
      <c r="I278" s="24"/>
      <c r="J278" s="112"/>
      <c r="K278" s="161"/>
      <c r="L278" s="112"/>
      <c r="M278" s="161"/>
      <c r="N278" s="161"/>
      <c r="O278" s="203" t="s">
        <v>1122</v>
      </c>
      <c r="P278" s="161"/>
      <c r="Q278" s="161"/>
      <c r="R278" s="112"/>
      <c r="S278" s="24"/>
      <c r="T278" s="161"/>
      <c r="U278" s="112"/>
      <c r="V278" s="112"/>
      <c r="W278" s="112"/>
      <c r="X278" s="24"/>
      <c r="Y278" s="24"/>
      <c r="Z278" s="24"/>
      <c r="AA278" s="24"/>
      <c r="AB278" s="24"/>
      <c r="AC278" s="24"/>
      <c r="AD278" s="112"/>
      <c r="AE278" s="112"/>
      <c r="AF278" s="121">
        <v>10828004</v>
      </c>
      <c r="AG278" s="112"/>
      <c r="AH278" s="116" t="s">
        <v>115</v>
      </c>
      <c r="AI278" s="116" t="s">
        <v>1124</v>
      </c>
      <c r="AJ278" s="116" t="s">
        <v>1125</v>
      </c>
      <c r="AK278" s="24"/>
      <c r="AL278" s="24"/>
      <c r="AM278" s="24"/>
    </row>
    <row r="279" spans="1:41" ht="12.75" customHeight="1">
      <c r="A279" s="22">
        <v>277</v>
      </c>
      <c r="B279" s="161" t="s">
        <v>1126</v>
      </c>
      <c r="C279" s="24" t="s">
        <v>180</v>
      </c>
      <c r="D279" s="160" t="s">
        <v>1115</v>
      </c>
      <c r="E279" s="24" t="s">
        <v>1116</v>
      </c>
      <c r="F279" s="24">
        <v>1</v>
      </c>
      <c r="G279" s="24" t="s">
        <v>494</v>
      </c>
      <c r="H279" s="24"/>
      <c r="I279" s="24"/>
      <c r="J279" s="112"/>
      <c r="K279" s="161"/>
      <c r="L279" s="112"/>
      <c r="M279" s="161"/>
      <c r="N279" s="161"/>
      <c r="O279" s="161" t="s">
        <v>1126</v>
      </c>
      <c r="P279" s="161"/>
      <c r="Q279" s="161"/>
      <c r="R279" s="112"/>
      <c r="S279" s="24"/>
      <c r="T279" s="161"/>
      <c r="U279" s="112"/>
      <c r="V279" s="112"/>
      <c r="W279" s="112"/>
      <c r="X279" s="24"/>
      <c r="Y279" s="24"/>
      <c r="Z279" s="24"/>
      <c r="AA279" s="24"/>
      <c r="AB279" s="24"/>
      <c r="AC279" s="24"/>
      <c r="AD279" s="112"/>
      <c r="AE279" s="112"/>
      <c r="AF279" s="113">
        <v>260385009</v>
      </c>
      <c r="AG279" s="112"/>
      <c r="AH279" s="116" t="s">
        <v>115</v>
      </c>
      <c r="AI279" s="116" t="s">
        <v>1128</v>
      </c>
      <c r="AJ279" s="116" t="s">
        <v>1129</v>
      </c>
      <c r="AK279" s="24"/>
      <c r="AL279" s="24"/>
      <c r="AM279" s="24"/>
    </row>
    <row r="280" spans="1:41" ht="12.75" customHeight="1">
      <c r="A280" s="22">
        <v>278</v>
      </c>
      <c r="B280" s="160" t="s">
        <v>1130</v>
      </c>
      <c r="C280" s="24" t="s">
        <v>65</v>
      </c>
      <c r="D280" s="24"/>
      <c r="E280" s="24" t="s">
        <v>1116</v>
      </c>
      <c r="F280" s="24">
        <v>1</v>
      </c>
      <c r="G280" s="24" t="s">
        <v>494</v>
      </c>
      <c r="H280" s="24"/>
      <c r="I280" s="24"/>
      <c r="J280" s="112"/>
      <c r="K280" s="160" t="s">
        <v>1130</v>
      </c>
      <c r="L280" s="112"/>
      <c r="M280" s="161" t="s">
        <v>1131</v>
      </c>
      <c r="N280" s="161"/>
      <c r="O280" s="161"/>
      <c r="P280" s="161" t="s">
        <v>1132</v>
      </c>
      <c r="Q280" s="161"/>
      <c r="R280" s="112"/>
      <c r="S280" s="24"/>
      <c r="T280" s="161" t="s">
        <v>115</v>
      </c>
      <c r="U280" s="112"/>
      <c r="V280" s="112"/>
      <c r="W280" s="112"/>
      <c r="X280" s="24"/>
      <c r="Y280" s="24"/>
      <c r="Z280" s="24"/>
      <c r="AA280" s="24"/>
      <c r="AB280" s="24"/>
      <c r="AC280" s="24"/>
      <c r="AD280" s="119"/>
      <c r="AE280" s="119"/>
      <c r="AF280" s="120"/>
      <c r="AG280" s="119"/>
      <c r="AH280" s="115" t="s">
        <v>115</v>
      </c>
      <c r="AI280" s="115" t="s">
        <v>115</v>
      </c>
      <c r="AJ280" s="115" t="s">
        <v>115</v>
      </c>
      <c r="AK280" s="24"/>
      <c r="AL280" s="24"/>
      <c r="AM280" s="24"/>
    </row>
    <row r="281" spans="1:41" ht="12.75" customHeight="1">
      <c r="A281" s="22">
        <v>279</v>
      </c>
      <c r="B281" s="24" t="s">
        <v>1134</v>
      </c>
      <c r="C281" s="24" t="s">
        <v>96</v>
      </c>
      <c r="D281" s="24"/>
      <c r="E281" s="24"/>
      <c r="F281" s="24">
        <v>1</v>
      </c>
      <c r="G281" s="24" t="s">
        <v>1135</v>
      </c>
      <c r="H281" s="24"/>
      <c r="I281" s="24"/>
      <c r="J281" s="170"/>
      <c r="K281" s="204" t="s">
        <v>1134</v>
      </c>
      <c r="L281" s="204" t="s">
        <v>962</v>
      </c>
      <c r="M281" s="204" t="s">
        <v>1136</v>
      </c>
      <c r="N281" s="204" t="s">
        <v>238</v>
      </c>
      <c r="O281" s="196"/>
      <c r="P281" s="196"/>
      <c r="Q281" s="24"/>
      <c r="R281" s="204" t="s">
        <v>964</v>
      </c>
      <c r="S281" s="133"/>
      <c r="T281" s="204" t="s">
        <v>113</v>
      </c>
      <c r="U281" s="170"/>
      <c r="V281" s="163"/>
      <c r="W281" s="204" t="s">
        <v>1137</v>
      </c>
      <c r="X281" s="24"/>
      <c r="Y281" s="24"/>
      <c r="Z281" s="24"/>
      <c r="AA281" s="22"/>
      <c r="AB281" s="24"/>
      <c r="AC281" s="24"/>
      <c r="AD281" s="28"/>
      <c r="AE281" s="28"/>
      <c r="AF281" s="113">
        <v>129019007</v>
      </c>
      <c r="AG281" s="28"/>
      <c r="AH281" s="205" t="s">
        <v>965</v>
      </c>
      <c r="AI281" s="205" t="s">
        <v>966</v>
      </c>
      <c r="AJ281" s="205" t="s">
        <v>967</v>
      </c>
      <c r="AK281" s="24"/>
      <c r="AL281" s="24"/>
      <c r="AM281" s="24"/>
      <c r="AN281" s="24"/>
      <c r="AO281" s="24"/>
    </row>
    <row r="282" spans="1:41" ht="12.75" customHeight="1">
      <c r="A282" s="22">
        <v>280</v>
      </c>
      <c r="B282" s="24" t="s">
        <v>423</v>
      </c>
      <c r="C282" s="24" t="s">
        <v>180</v>
      </c>
      <c r="D282" s="24" t="s">
        <v>1134</v>
      </c>
      <c r="E282" s="24"/>
      <c r="F282" s="24">
        <v>1</v>
      </c>
      <c r="G282" s="24" t="s">
        <v>1135</v>
      </c>
      <c r="H282" s="24"/>
      <c r="I282" s="24"/>
      <c r="J282" s="170"/>
      <c r="K282" s="196"/>
      <c r="L282" s="204"/>
      <c r="M282" s="204"/>
      <c r="N282" s="204"/>
      <c r="O282" s="204" t="s">
        <v>423</v>
      </c>
      <c r="P282" s="196"/>
      <c r="Q282" s="24"/>
      <c r="R282" s="204"/>
      <c r="S282" s="133"/>
      <c r="T282" s="204"/>
      <c r="U282" s="170"/>
      <c r="V282" s="170"/>
      <c r="W282" s="196"/>
      <c r="X282" s="24"/>
      <c r="Y282" s="24"/>
      <c r="Z282" s="24"/>
      <c r="AA282" s="22"/>
      <c r="AB282" s="24"/>
      <c r="AC282" s="24"/>
      <c r="AD282" s="28"/>
      <c r="AE282" s="28"/>
      <c r="AF282" s="113">
        <v>260413007</v>
      </c>
      <c r="AG282" s="28"/>
      <c r="AH282" s="205" t="s">
        <v>115</v>
      </c>
      <c r="AI282" s="205" t="s">
        <v>424</v>
      </c>
      <c r="AJ282" s="205" t="s">
        <v>425</v>
      </c>
      <c r="AK282" s="24"/>
      <c r="AL282" s="24"/>
      <c r="AM282" s="24"/>
    </row>
    <row r="283" spans="1:41" ht="12.75" customHeight="1">
      <c r="A283" s="22">
        <v>281</v>
      </c>
      <c r="B283" s="206" t="s">
        <v>500</v>
      </c>
      <c r="C283" s="24" t="s">
        <v>180</v>
      </c>
      <c r="D283" s="24" t="s">
        <v>1134</v>
      </c>
      <c r="E283" s="24"/>
      <c r="F283" s="24">
        <v>1</v>
      </c>
      <c r="G283" s="24" t="s">
        <v>1135</v>
      </c>
      <c r="H283" s="24"/>
      <c r="I283" s="24"/>
      <c r="J283" s="170"/>
      <c r="K283" s="196"/>
      <c r="L283" s="204"/>
      <c r="M283" s="204"/>
      <c r="N283" s="204"/>
      <c r="O283" s="204" t="s">
        <v>500</v>
      </c>
      <c r="P283" s="196"/>
      <c r="Q283" s="24"/>
      <c r="R283" s="204"/>
      <c r="S283" s="134"/>
      <c r="T283" s="204"/>
      <c r="U283" s="170"/>
      <c r="V283" s="170"/>
      <c r="W283" s="196"/>
      <c r="X283" s="24"/>
      <c r="Y283" s="24"/>
      <c r="Z283" s="24"/>
      <c r="AA283" s="22"/>
      <c r="AB283" s="24"/>
      <c r="AC283" s="24"/>
      <c r="AD283" s="28"/>
      <c r="AE283" s="25"/>
      <c r="AF283" s="113">
        <v>261665006</v>
      </c>
      <c r="AG283" s="28"/>
      <c r="AH283" s="205" t="s">
        <v>115</v>
      </c>
      <c r="AI283" s="205" t="s">
        <v>501</v>
      </c>
      <c r="AJ283" s="205" t="s">
        <v>503</v>
      </c>
      <c r="AK283" s="24"/>
      <c r="AL283" s="24"/>
      <c r="AM283" s="24"/>
    </row>
    <row r="284" spans="1:41" ht="12.75" customHeight="1">
      <c r="A284" s="22">
        <v>282</v>
      </c>
      <c r="B284" s="206" t="s">
        <v>970</v>
      </c>
      <c r="C284" s="24" t="s">
        <v>180</v>
      </c>
      <c r="D284" s="24" t="s">
        <v>1134</v>
      </c>
      <c r="E284" s="24"/>
      <c r="F284" s="24">
        <v>1</v>
      </c>
      <c r="G284" s="24" t="s">
        <v>1135</v>
      </c>
      <c r="H284" s="24"/>
      <c r="I284" s="24"/>
      <c r="J284" s="170"/>
      <c r="K284" s="196"/>
      <c r="L284" s="204"/>
      <c r="M284" s="204"/>
      <c r="N284" s="204"/>
      <c r="O284" s="204" t="s">
        <v>970</v>
      </c>
      <c r="P284" s="196"/>
      <c r="Q284" s="24"/>
      <c r="R284" s="204"/>
      <c r="S284" s="134"/>
      <c r="T284" s="196"/>
      <c r="U284" s="170"/>
      <c r="V284" s="170"/>
      <c r="W284" s="196"/>
      <c r="X284" s="24"/>
      <c r="Y284" s="24"/>
      <c r="Z284" s="24"/>
      <c r="AA284" s="22"/>
      <c r="AB284" s="24"/>
      <c r="AC284" s="24"/>
      <c r="AD284" s="28"/>
      <c r="AE284" s="25"/>
      <c r="AF284" s="113">
        <v>372794006</v>
      </c>
      <c r="AG284" s="28"/>
      <c r="AH284" s="205" t="s">
        <v>115</v>
      </c>
      <c r="AI284" s="205" t="s">
        <v>971</v>
      </c>
      <c r="AJ284" s="205" t="s">
        <v>972</v>
      </c>
      <c r="AK284" s="24"/>
      <c r="AL284" s="24"/>
      <c r="AM284" s="24"/>
    </row>
    <row r="285" spans="1:41" ht="12.75" customHeight="1">
      <c r="A285" s="22">
        <v>283</v>
      </c>
      <c r="B285" s="206" t="s">
        <v>973</v>
      </c>
      <c r="C285" s="24" t="s">
        <v>180</v>
      </c>
      <c r="D285" s="24" t="s">
        <v>1134</v>
      </c>
      <c r="E285" s="24"/>
      <c r="F285" s="24">
        <v>1</v>
      </c>
      <c r="G285" s="24" t="s">
        <v>1135</v>
      </c>
      <c r="H285" s="24"/>
      <c r="I285" s="24"/>
      <c r="J285" s="170"/>
      <c r="K285" s="196"/>
      <c r="L285" s="204"/>
      <c r="M285" s="204"/>
      <c r="N285" s="204"/>
      <c r="O285" s="204" t="s">
        <v>973</v>
      </c>
      <c r="P285" s="196"/>
      <c r="Q285" s="24"/>
      <c r="R285" s="204"/>
      <c r="S285" s="134"/>
      <c r="T285" s="196"/>
      <c r="U285" s="170"/>
      <c r="V285" s="170"/>
      <c r="W285" s="196"/>
      <c r="X285" s="24"/>
      <c r="Y285" s="24"/>
      <c r="Z285" s="24"/>
      <c r="AA285" s="22"/>
      <c r="AB285" s="24"/>
      <c r="AC285" s="24"/>
      <c r="AD285" s="28"/>
      <c r="AE285" s="25"/>
      <c r="AF285" s="113">
        <v>7947003</v>
      </c>
      <c r="AG285" s="28"/>
      <c r="AH285" s="205" t="s">
        <v>115</v>
      </c>
      <c r="AI285" s="205" t="s">
        <v>1140</v>
      </c>
      <c r="AJ285" s="207" t="s">
        <v>976</v>
      </c>
      <c r="AK285" s="24"/>
      <c r="AL285" s="24"/>
      <c r="AM285" s="24"/>
    </row>
    <row r="286" spans="1:41" ht="12.75" customHeight="1">
      <c r="A286" s="22">
        <v>284</v>
      </c>
      <c r="B286" s="206" t="s">
        <v>783</v>
      </c>
      <c r="C286" s="24" t="s">
        <v>180</v>
      </c>
      <c r="D286" s="24" t="s">
        <v>1134</v>
      </c>
      <c r="E286" s="24"/>
      <c r="F286" s="24">
        <v>1</v>
      </c>
      <c r="G286" s="24" t="s">
        <v>1135</v>
      </c>
      <c r="H286" s="24"/>
      <c r="I286" s="24"/>
      <c r="J286" s="170"/>
      <c r="K286" s="196"/>
      <c r="L286" s="204"/>
      <c r="M286" s="204"/>
      <c r="N286" s="204"/>
      <c r="O286" s="204" t="s">
        <v>783</v>
      </c>
      <c r="P286" s="196"/>
      <c r="Q286" s="24"/>
      <c r="R286" s="204"/>
      <c r="S286" s="134"/>
      <c r="T286" s="196"/>
      <c r="U286" s="170"/>
      <c r="V286" s="170"/>
      <c r="W286" s="196"/>
      <c r="X286" s="24"/>
      <c r="Y286" s="24"/>
      <c r="Z286" s="24"/>
      <c r="AA286" s="22"/>
      <c r="AB286" s="24"/>
      <c r="AC286" s="24"/>
      <c r="AD286" s="28"/>
      <c r="AE286" s="25"/>
      <c r="AF286" s="113">
        <v>5540006</v>
      </c>
      <c r="AG286" s="28"/>
      <c r="AH286" s="205" t="s">
        <v>115</v>
      </c>
      <c r="AI286" s="205" t="s">
        <v>784</v>
      </c>
      <c r="AJ286" s="205" t="s">
        <v>785</v>
      </c>
      <c r="AK286" s="24"/>
      <c r="AL286" s="24"/>
      <c r="AM286" s="24"/>
    </row>
    <row r="287" spans="1:41" ht="12.75" customHeight="1">
      <c r="A287" s="22">
        <v>285</v>
      </c>
      <c r="B287" s="206" t="s">
        <v>978</v>
      </c>
      <c r="C287" s="24" t="s">
        <v>180</v>
      </c>
      <c r="D287" s="24" t="s">
        <v>1134</v>
      </c>
      <c r="E287" s="24"/>
      <c r="F287" s="24">
        <v>1</v>
      </c>
      <c r="G287" s="24" t="s">
        <v>1135</v>
      </c>
      <c r="H287" s="24"/>
      <c r="I287" s="24"/>
      <c r="J287" s="170"/>
      <c r="K287" s="196"/>
      <c r="L287" s="204"/>
      <c r="M287" s="204"/>
      <c r="N287" s="204"/>
      <c r="O287" s="204" t="s">
        <v>978</v>
      </c>
      <c r="P287" s="196"/>
      <c r="Q287" s="24"/>
      <c r="R287" s="204"/>
      <c r="S287" s="134"/>
      <c r="T287" s="196"/>
      <c r="U287" s="170"/>
      <c r="V287" s="163"/>
      <c r="W287" s="196"/>
      <c r="X287" s="24"/>
      <c r="Y287" s="24"/>
      <c r="Z287" s="24"/>
      <c r="AA287" s="22"/>
      <c r="AB287" s="24"/>
      <c r="AC287" s="24"/>
      <c r="AD287" s="28"/>
      <c r="AE287" s="25"/>
      <c r="AF287" s="113">
        <v>412380009</v>
      </c>
      <c r="AG287" s="28"/>
      <c r="AH287" s="205" t="s">
        <v>115</v>
      </c>
      <c r="AI287" s="205" t="s">
        <v>979</v>
      </c>
      <c r="AJ287" s="205" t="s">
        <v>980</v>
      </c>
      <c r="AK287" s="24"/>
      <c r="AL287" s="24"/>
      <c r="AM287" s="24"/>
    </row>
    <row r="288" spans="1:41" ht="12.75" customHeight="1">
      <c r="A288" s="22">
        <v>286</v>
      </c>
      <c r="B288" s="206" t="s">
        <v>790</v>
      </c>
      <c r="C288" s="24" t="s">
        <v>180</v>
      </c>
      <c r="D288" s="24" t="s">
        <v>1134</v>
      </c>
      <c r="E288" s="24"/>
      <c r="F288" s="24">
        <v>1</v>
      </c>
      <c r="G288" s="24" t="s">
        <v>1135</v>
      </c>
      <c r="H288" s="24"/>
      <c r="I288" s="24"/>
      <c r="J288" s="170"/>
      <c r="K288" s="196"/>
      <c r="L288" s="204"/>
      <c r="M288" s="204"/>
      <c r="N288" s="204"/>
      <c r="O288" s="204" t="s">
        <v>790</v>
      </c>
      <c r="P288" s="196"/>
      <c r="Q288" s="24"/>
      <c r="R288" s="204"/>
      <c r="S288" s="134"/>
      <c r="T288" s="196"/>
      <c r="U288" s="170"/>
      <c r="V288" s="170"/>
      <c r="W288" s="196"/>
      <c r="X288" s="24"/>
      <c r="Y288" s="24"/>
      <c r="Z288" s="24"/>
      <c r="AA288" s="22"/>
      <c r="AB288" s="24"/>
      <c r="AC288" s="24"/>
      <c r="AD288" s="28"/>
      <c r="AE288" s="25"/>
      <c r="AF288" s="113">
        <v>6247001</v>
      </c>
      <c r="AG288" s="28"/>
      <c r="AH288" s="205" t="s">
        <v>115</v>
      </c>
      <c r="AI288" s="205" t="s">
        <v>791</v>
      </c>
      <c r="AJ288" s="205" t="s">
        <v>792</v>
      </c>
      <c r="AK288" s="24"/>
      <c r="AL288" s="24"/>
      <c r="AM288" s="24"/>
    </row>
    <row r="289" spans="1:39" ht="12.75" customHeight="1">
      <c r="A289" s="22">
        <v>287</v>
      </c>
      <c r="B289" s="206" t="s">
        <v>797</v>
      </c>
      <c r="C289" s="24" t="s">
        <v>180</v>
      </c>
      <c r="D289" s="24" t="s">
        <v>1134</v>
      </c>
      <c r="E289" s="24"/>
      <c r="F289" s="24">
        <v>1</v>
      </c>
      <c r="G289" s="24" t="s">
        <v>1135</v>
      </c>
      <c r="H289" s="24"/>
      <c r="I289" s="24"/>
      <c r="J289" s="170"/>
      <c r="K289" s="196"/>
      <c r="L289" s="204"/>
      <c r="M289" s="204"/>
      <c r="N289" s="204"/>
      <c r="O289" s="204" t="s">
        <v>797</v>
      </c>
      <c r="P289" s="196"/>
      <c r="Q289" s="24"/>
      <c r="R289" s="204"/>
      <c r="S289" s="134"/>
      <c r="T289" s="196"/>
      <c r="U289" s="170"/>
      <c r="V289" s="170"/>
      <c r="W289" s="196"/>
      <c r="X289" s="24"/>
      <c r="Y289" s="24"/>
      <c r="Z289" s="24"/>
      <c r="AA289" s="22"/>
      <c r="AB289" s="24"/>
      <c r="AC289" s="24"/>
      <c r="AD289" s="28"/>
      <c r="AE289" s="25"/>
      <c r="AF289" s="113">
        <v>30729008</v>
      </c>
      <c r="AG289" s="28"/>
      <c r="AH289" s="205" t="s">
        <v>115</v>
      </c>
      <c r="AI289" s="205" t="s">
        <v>798</v>
      </c>
      <c r="AJ289" s="205" t="s">
        <v>799</v>
      </c>
      <c r="AK289" s="24"/>
      <c r="AL289" s="24"/>
      <c r="AM289" s="24"/>
    </row>
    <row r="290" spans="1:39" ht="12.75" customHeight="1">
      <c r="A290" s="22">
        <v>288</v>
      </c>
      <c r="B290" s="206" t="s">
        <v>983</v>
      </c>
      <c r="C290" s="24" t="s">
        <v>180</v>
      </c>
      <c r="D290" s="24" t="s">
        <v>1134</v>
      </c>
      <c r="E290" s="24"/>
      <c r="F290" s="24">
        <v>1</v>
      </c>
      <c r="G290" s="24" t="s">
        <v>1135</v>
      </c>
      <c r="H290" s="24"/>
      <c r="I290" s="24"/>
      <c r="J290" s="215"/>
      <c r="K290" s="196"/>
      <c r="L290" s="204"/>
      <c r="M290" s="204"/>
      <c r="N290" s="204"/>
      <c r="O290" s="204" t="s">
        <v>983</v>
      </c>
      <c r="P290" s="196"/>
      <c r="Q290" s="24"/>
      <c r="R290" s="204"/>
      <c r="S290" s="134"/>
      <c r="T290" s="196"/>
      <c r="U290" s="170"/>
      <c r="V290" s="163"/>
      <c r="W290" s="196"/>
      <c r="X290" s="24"/>
      <c r="Y290" s="24"/>
      <c r="Z290" s="24"/>
      <c r="AA290" s="22"/>
      <c r="AB290" s="24"/>
      <c r="AC290" s="24"/>
      <c r="AD290" s="28"/>
      <c r="AE290" s="25"/>
      <c r="AF290" s="113">
        <v>72717003</v>
      </c>
      <c r="AG290" s="28"/>
      <c r="AH290" s="205" t="s">
        <v>115</v>
      </c>
      <c r="AI290" s="205" t="s">
        <v>984</v>
      </c>
      <c r="AJ290" s="205" t="s">
        <v>985</v>
      </c>
      <c r="AK290" s="24"/>
      <c r="AL290" s="24"/>
      <c r="AM290" s="24"/>
    </row>
    <row r="291" spans="1:39" ht="12.75" customHeight="1">
      <c r="A291" s="22">
        <v>289</v>
      </c>
      <c r="B291" s="206" t="s">
        <v>986</v>
      </c>
      <c r="C291" s="24" t="s">
        <v>180</v>
      </c>
      <c r="D291" s="24" t="s">
        <v>1134</v>
      </c>
      <c r="E291" s="24"/>
      <c r="F291" s="24">
        <v>1</v>
      </c>
      <c r="G291" s="24" t="s">
        <v>1135</v>
      </c>
      <c r="H291" s="24"/>
      <c r="I291" s="24"/>
      <c r="J291" s="133"/>
      <c r="K291" s="196"/>
      <c r="L291" s="204"/>
      <c r="M291" s="204"/>
      <c r="N291" s="204"/>
      <c r="O291" s="204" t="s">
        <v>986</v>
      </c>
      <c r="P291" s="196"/>
      <c r="Q291" s="24"/>
      <c r="R291" s="204"/>
      <c r="S291" s="133"/>
      <c r="T291" s="196"/>
      <c r="U291" s="133"/>
      <c r="V291" s="133"/>
      <c r="W291" s="196"/>
      <c r="X291" s="24"/>
      <c r="Y291" s="24"/>
      <c r="Z291" s="24"/>
      <c r="AA291" s="22"/>
      <c r="AB291" s="24"/>
      <c r="AC291" s="24"/>
      <c r="AD291" s="28"/>
      <c r="AE291" s="25"/>
      <c r="AF291" s="113">
        <v>56549003</v>
      </c>
      <c r="AG291" s="28"/>
      <c r="AH291" s="205" t="s">
        <v>115</v>
      </c>
      <c r="AI291" s="205" t="s">
        <v>988</v>
      </c>
      <c r="AJ291" s="205" t="s">
        <v>989</v>
      </c>
      <c r="AK291" s="24"/>
      <c r="AL291" s="24"/>
      <c r="AM291" s="24"/>
    </row>
    <row r="292" spans="1:39" ht="12.75" customHeight="1">
      <c r="A292" s="22">
        <v>290</v>
      </c>
      <c r="B292" s="206" t="s">
        <v>990</v>
      </c>
      <c r="C292" s="24" t="s">
        <v>180</v>
      </c>
      <c r="D292" s="24" t="s">
        <v>1134</v>
      </c>
      <c r="E292" s="24"/>
      <c r="F292" s="24">
        <v>1</v>
      </c>
      <c r="G292" s="24" t="s">
        <v>1135</v>
      </c>
      <c r="H292" s="24"/>
      <c r="I292" s="24"/>
      <c r="J292" s="133"/>
      <c r="K292" s="196"/>
      <c r="L292" s="204"/>
      <c r="M292" s="204"/>
      <c r="N292" s="204"/>
      <c r="O292" s="204" t="s">
        <v>990</v>
      </c>
      <c r="P292" s="196"/>
      <c r="Q292" s="24"/>
      <c r="R292" s="204"/>
      <c r="S292" s="133"/>
      <c r="T292" s="196"/>
      <c r="U292" s="133"/>
      <c r="V292" s="133"/>
      <c r="W292" s="196"/>
      <c r="X292" s="24"/>
      <c r="Y292" s="24"/>
      <c r="Z292" s="24"/>
      <c r="AA292" s="22"/>
      <c r="AB292" s="24"/>
      <c r="AC292" s="24"/>
      <c r="AD292" s="28"/>
      <c r="AE292" s="25"/>
      <c r="AF292" s="113">
        <v>82156005</v>
      </c>
      <c r="AG292" s="28"/>
      <c r="AH292" s="205" t="s">
        <v>115</v>
      </c>
      <c r="AI292" s="205" t="s">
        <v>992</v>
      </c>
      <c r="AJ292" s="205" t="s">
        <v>993</v>
      </c>
      <c r="AK292" s="24"/>
      <c r="AL292" s="24"/>
      <c r="AM292" s="24"/>
    </row>
    <row r="293" spans="1:39" ht="12.75" customHeight="1">
      <c r="A293" s="22">
        <v>291</v>
      </c>
      <c r="B293" s="206" t="s">
        <v>994</v>
      </c>
      <c r="C293" s="24" t="s">
        <v>180</v>
      </c>
      <c r="D293" s="24" t="s">
        <v>1134</v>
      </c>
      <c r="E293" s="24"/>
      <c r="F293" s="24">
        <v>1</v>
      </c>
      <c r="G293" s="24" t="s">
        <v>1135</v>
      </c>
      <c r="H293" s="24"/>
      <c r="I293" s="24"/>
      <c r="J293" s="215"/>
      <c r="K293" s="196"/>
      <c r="L293" s="204"/>
      <c r="M293" s="204"/>
      <c r="N293" s="204"/>
      <c r="O293" s="204" t="s">
        <v>994</v>
      </c>
      <c r="P293" s="196"/>
      <c r="Q293" s="24"/>
      <c r="R293" s="204"/>
      <c r="S293" s="134"/>
      <c r="T293" s="196"/>
      <c r="U293" s="170"/>
      <c r="V293" s="163"/>
      <c r="W293" s="196"/>
      <c r="X293" s="24"/>
      <c r="Y293" s="24"/>
      <c r="Z293" s="24"/>
      <c r="AA293" s="22"/>
      <c r="AB293" s="24"/>
      <c r="AC293" s="24"/>
      <c r="AD293" s="217"/>
      <c r="AE293" s="217"/>
      <c r="AF293" s="217"/>
      <c r="AG293" s="217"/>
      <c r="AH293" s="205" t="s">
        <v>115</v>
      </c>
      <c r="AI293" s="205" t="s">
        <v>996</v>
      </c>
      <c r="AJ293" s="205" t="s">
        <v>997</v>
      </c>
      <c r="AK293" s="24"/>
      <c r="AL293" s="24"/>
      <c r="AM293" s="24"/>
    </row>
    <row r="294" spans="1:39" ht="12.75" customHeight="1">
      <c r="A294" s="22">
        <v>292</v>
      </c>
      <c r="B294" s="206" t="s">
        <v>998</v>
      </c>
      <c r="C294" s="24" t="s">
        <v>180</v>
      </c>
      <c r="D294" s="24" t="s">
        <v>1134</v>
      </c>
      <c r="E294" s="24"/>
      <c r="F294" s="24">
        <v>1</v>
      </c>
      <c r="G294" s="24" t="s">
        <v>1135</v>
      </c>
      <c r="H294" s="24"/>
      <c r="I294" s="24"/>
      <c r="J294" s="170"/>
      <c r="K294" s="196"/>
      <c r="L294" s="204"/>
      <c r="M294" s="204"/>
      <c r="N294" s="204"/>
      <c r="O294" s="204" t="s">
        <v>998</v>
      </c>
      <c r="P294" s="196"/>
      <c r="Q294" s="24"/>
      <c r="R294" s="204"/>
      <c r="S294" s="134"/>
      <c r="T294" s="196"/>
      <c r="U294" s="170"/>
      <c r="V294" s="163"/>
      <c r="W294" s="196"/>
      <c r="X294" s="24"/>
      <c r="Y294" s="24"/>
      <c r="Z294" s="24"/>
      <c r="AA294" s="22"/>
      <c r="AB294" s="24"/>
      <c r="AC294" s="24"/>
      <c r="AD294" s="217"/>
      <c r="AE294" s="217"/>
      <c r="AF294" s="217"/>
      <c r="AG294" s="217"/>
      <c r="AH294" s="205" t="s">
        <v>115</v>
      </c>
      <c r="AI294" s="205" t="s">
        <v>1000</v>
      </c>
      <c r="AJ294" s="205" t="s">
        <v>1001</v>
      </c>
      <c r="AK294" s="24"/>
      <c r="AL294" s="24"/>
      <c r="AM294" s="24"/>
    </row>
    <row r="295" spans="1:39" ht="12.75" customHeight="1">
      <c r="A295" s="22">
        <v>293</v>
      </c>
      <c r="B295" s="206" t="s">
        <v>1002</v>
      </c>
      <c r="C295" s="24" t="s">
        <v>180</v>
      </c>
      <c r="D295" s="24" t="s">
        <v>1134</v>
      </c>
      <c r="E295" s="24"/>
      <c r="F295" s="24">
        <v>1</v>
      </c>
      <c r="G295" s="24" t="s">
        <v>1135</v>
      </c>
      <c r="H295" s="24"/>
      <c r="I295" s="24"/>
      <c r="J295" s="170"/>
      <c r="K295" s="196"/>
      <c r="L295" s="204"/>
      <c r="M295" s="204"/>
      <c r="N295" s="204"/>
      <c r="O295" s="204" t="s">
        <v>1002</v>
      </c>
      <c r="P295" s="196"/>
      <c r="Q295" s="24"/>
      <c r="R295" s="204"/>
      <c r="S295" s="134"/>
      <c r="T295" s="196"/>
      <c r="U295" s="170"/>
      <c r="V295" s="163"/>
      <c r="W295" s="196"/>
      <c r="X295" s="24"/>
      <c r="Y295" s="24"/>
      <c r="Z295" s="24"/>
      <c r="AA295" s="22"/>
      <c r="AB295" s="24"/>
      <c r="AC295" s="24"/>
      <c r="AD295" s="28"/>
      <c r="AE295" s="25"/>
      <c r="AF295" s="93" t="s">
        <v>1003</v>
      </c>
      <c r="AG295" s="28"/>
      <c r="AH295" s="205" t="s">
        <v>115</v>
      </c>
      <c r="AI295" s="205" t="s">
        <v>1004</v>
      </c>
      <c r="AJ295" s="205" t="s">
        <v>1005</v>
      </c>
      <c r="AK295" s="24"/>
      <c r="AL295" s="24"/>
      <c r="AM295" s="24"/>
    </row>
    <row r="296" spans="1:39" ht="12.75" customHeight="1">
      <c r="A296" s="22">
        <v>294</v>
      </c>
      <c r="B296" s="206" t="s">
        <v>1006</v>
      </c>
      <c r="C296" s="24" t="s">
        <v>180</v>
      </c>
      <c r="D296" s="24" t="s">
        <v>1134</v>
      </c>
      <c r="E296" s="24"/>
      <c r="F296" s="24">
        <v>1</v>
      </c>
      <c r="G296" s="24" t="s">
        <v>1135</v>
      </c>
      <c r="H296" s="24"/>
      <c r="I296" s="24"/>
      <c r="J296" s="170"/>
      <c r="K296" s="196"/>
      <c r="L296" s="204"/>
      <c r="M296" s="204"/>
      <c r="N296" s="204"/>
      <c r="O296" s="204" t="s">
        <v>1006</v>
      </c>
      <c r="P296" s="196"/>
      <c r="Q296" s="24"/>
      <c r="R296" s="204"/>
      <c r="S296" s="134"/>
      <c r="T296" s="204"/>
      <c r="U296" s="170"/>
      <c r="V296" s="163"/>
      <c r="W296" s="196"/>
      <c r="X296" s="24"/>
      <c r="Y296" s="24"/>
      <c r="Z296" s="24"/>
      <c r="AA296" s="22"/>
      <c r="AB296" s="24"/>
      <c r="AC296" s="24"/>
      <c r="AD296" s="217"/>
      <c r="AE296" s="217"/>
      <c r="AF296" s="217"/>
      <c r="AG296" s="217"/>
      <c r="AH296" s="205" t="s">
        <v>115</v>
      </c>
      <c r="AI296" s="205" t="s">
        <v>1007</v>
      </c>
      <c r="AJ296" s="205" t="s">
        <v>1008</v>
      </c>
      <c r="AK296" s="24"/>
      <c r="AL296" s="24"/>
      <c r="AM296" s="24"/>
    </row>
    <row r="297" spans="1:39" ht="12.75" customHeight="1">
      <c r="A297" s="22">
        <v>295</v>
      </c>
      <c r="B297" s="206" t="s">
        <v>1009</v>
      </c>
      <c r="C297" s="24" t="s">
        <v>180</v>
      </c>
      <c r="D297" s="24" t="s">
        <v>1134</v>
      </c>
      <c r="E297" s="24"/>
      <c r="F297" s="24">
        <v>1</v>
      </c>
      <c r="G297" s="24" t="s">
        <v>1135</v>
      </c>
      <c r="H297" s="24"/>
      <c r="I297" s="24"/>
      <c r="J297" s="170"/>
      <c r="K297" s="196"/>
      <c r="L297" s="204"/>
      <c r="M297" s="204"/>
      <c r="N297" s="204"/>
      <c r="O297" s="204" t="s">
        <v>1009</v>
      </c>
      <c r="P297" s="196"/>
      <c r="Q297" s="24"/>
      <c r="R297" s="204"/>
      <c r="S297" s="134"/>
      <c r="T297" s="204"/>
      <c r="U297" s="170"/>
      <c r="V297" s="163"/>
      <c r="W297" s="196"/>
      <c r="X297" s="24"/>
      <c r="Y297" s="24"/>
      <c r="Z297" s="24"/>
      <c r="AA297" s="22"/>
      <c r="AB297" s="24"/>
      <c r="AC297" s="24"/>
      <c r="AD297" s="217"/>
      <c r="AE297" s="217"/>
      <c r="AF297" s="217"/>
      <c r="AG297" s="217"/>
      <c r="AH297" s="205" t="s">
        <v>115</v>
      </c>
      <c r="AI297" s="205" t="s">
        <v>1010</v>
      </c>
      <c r="AJ297" s="205" t="s">
        <v>1011</v>
      </c>
      <c r="AK297" s="24"/>
      <c r="AL297" s="24"/>
      <c r="AM297" s="24"/>
    </row>
    <row r="298" spans="1:39" ht="12.75" customHeight="1">
      <c r="A298" s="22">
        <v>296</v>
      </c>
      <c r="B298" s="206" t="s">
        <v>1012</v>
      </c>
      <c r="C298" s="24" t="s">
        <v>180</v>
      </c>
      <c r="D298" s="24" t="s">
        <v>1134</v>
      </c>
      <c r="E298" s="24"/>
      <c r="F298" s="24">
        <v>1</v>
      </c>
      <c r="G298" s="24" t="s">
        <v>1135</v>
      </c>
      <c r="H298" s="24"/>
      <c r="I298" s="24"/>
      <c r="J298" s="170"/>
      <c r="K298" s="196"/>
      <c r="L298" s="204"/>
      <c r="M298" s="204"/>
      <c r="N298" s="204"/>
      <c r="O298" s="196" t="s">
        <v>1012</v>
      </c>
      <c r="P298" s="196"/>
      <c r="Q298" s="24"/>
      <c r="R298" s="204"/>
      <c r="S298" s="134"/>
      <c r="T298" s="204"/>
      <c r="U298" s="170"/>
      <c r="V298" s="163"/>
      <c r="W298" s="196"/>
      <c r="X298" s="24"/>
      <c r="Y298" s="24"/>
      <c r="Z298" s="24"/>
      <c r="AA298" s="22"/>
      <c r="AB298" s="24"/>
      <c r="AC298" s="24"/>
      <c r="AD298" s="28"/>
      <c r="AE298" s="25"/>
      <c r="AF298" s="25" t="s">
        <v>1013</v>
      </c>
      <c r="AG298" s="28"/>
      <c r="AH298" s="205" t="s">
        <v>115</v>
      </c>
      <c r="AI298" s="205" t="s">
        <v>1014</v>
      </c>
      <c r="AJ298" s="205" t="s">
        <v>1015</v>
      </c>
      <c r="AK298" s="24"/>
      <c r="AL298" s="24"/>
      <c r="AM298" s="24"/>
    </row>
    <row r="299" spans="1:39" ht="12.75" customHeight="1">
      <c r="A299" s="22">
        <v>297</v>
      </c>
      <c r="B299" s="206" t="s">
        <v>1016</v>
      </c>
      <c r="C299" s="24" t="s">
        <v>180</v>
      </c>
      <c r="D299" s="24" t="s">
        <v>1134</v>
      </c>
      <c r="E299" s="24"/>
      <c r="F299" s="24">
        <v>1</v>
      </c>
      <c r="G299" s="24" t="s">
        <v>1135</v>
      </c>
      <c r="H299" s="24"/>
      <c r="I299" s="24"/>
      <c r="J299" s="170"/>
      <c r="K299" s="196"/>
      <c r="L299" s="204"/>
      <c r="M299" s="204"/>
      <c r="N299" s="204"/>
      <c r="O299" s="204" t="s">
        <v>1016</v>
      </c>
      <c r="P299" s="196"/>
      <c r="Q299" s="24"/>
      <c r="R299" s="204"/>
      <c r="S299" s="134"/>
      <c r="T299" s="204"/>
      <c r="U299" s="170"/>
      <c r="V299" s="163"/>
      <c r="W299" s="196"/>
      <c r="X299" s="24"/>
      <c r="Y299" s="24"/>
      <c r="Z299" s="24"/>
      <c r="AA299" s="22"/>
      <c r="AB299" s="24"/>
      <c r="AC299" s="24"/>
      <c r="AD299" s="217"/>
      <c r="AE299" s="217"/>
      <c r="AF299" s="217"/>
      <c r="AG299" s="217"/>
      <c r="AH299" s="205" t="s">
        <v>115</v>
      </c>
      <c r="AI299" s="205" t="s">
        <v>1018</v>
      </c>
      <c r="AJ299" s="205" t="s">
        <v>1019</v>
      </c>
      <c r="AK299" s="24"/>
      <c r="AL299" s="24"/>
      <c r="AM299" s="24"/>
    </row>
    <row r="300" spans="1:39" ht="12.75" customHeight="1">
      <c r="A300" s="22">
        <v>298</v>
      </c>
      <c r="B300" s="206" t="s">
        <v>1020</v>
      </c>
      <c r="C300" s="24" t="s">
        <v>180</v>
      </c>
      <c r="D300" s="24" t="s">
        <v>1134</v>
      </c>
      <c r="E300" s="24"/>
      <c r="F300" s="24">
        <v>1</v>
      </c>
      <c r="G300" s="24" t="s">
        <v>1135</v>
      </c>
      <c r="H300" s="24"/>
      <c r="I300" s="24"/>
      <c r="J300" s="170"/>
      <c r="K300" s="196"/>
      <c r="L300" s="204"/>
      <c r="M300" s="204"/>
      <c r="N300" s="204"/>
      <c r="O300" s="204" t="s">
        <v>1020</v>
      </c>
      <c r="P300" s="196"/>
      <c r="Q300" s="24"/>
      <c r="R300" s="204"/>
      <c r="S300" s="134"/>
      <c r="T300" s="204"/>
      <c r="U300" s="170"/>
      <c r="V300" s="163"/>
      <c r="W300" s="196"/>
      <c r="X300" s="24"/>
      <c r="Y300" s="24"/>
      <c r="Z300" s="24"/>
      <c r="AA300" s="22"/>
      <c r="AB300" s="24"/>
      <c r="AC300" s="24"/>
      <c r="AD300" s="27"/>
      <c r="AE300" s="25"/>
      <c r="AF300" s="129">
        <v>416234007</v>
      </c>
      <c r="AG300" s="27"/>
      <c r="AH300" s="205" t="s">
        <v>115</v>
      </c>
      <c r="AI300" s="205" t="s">
        <v>1022</v>
      </c>
      <c r="AJ300" s="205" t="s">
        <v>1023</v>
      </c>
      <c r="AK300" s="24"/>
      <c r="AL300" s="24"/>
      <c r="AM300" s="24"/>
    </row>
    <row r="301" spans="1:39" ht="12.75" customHeight="1">
      <c r="A301" s="22">
        <v>299</v>
      </c>
      <c r="B301" s="206" t="s">
        <v>1024</v>
      </c>
      <c r="C301" s="24" t="s">
        <v>180</v>
      </c>
      <c r="D301" s="24" t="s">
        <v>1134</v>
      </c>
      <c r="E301" s="24"/>
      <c r="F301" s="24">
        <v>1</v>
      </c>
      <c r="G301" s="24" t="s">
        <v>1135</v>
      </c>
      <c r="H301" s="24"/>
      <c r="I301" s="24"/>
      <c r="J301" s="170"/>
      <c r="K301" s="196"/>
      <c r="L301" s="204"/>
      <c r="M301" s="204"/>
      <c r="N301" s="204"/>
      <c r="O301" s="204" t="s">
        <v>1024</v>
      </c>
      <c r="P301" s="196"/>
      <c r="Q301" s="24"/>
      <c r="R301" s="204"/>
      <c r="S301" s="134"/>
      <c r="T301" s="204"/>
      <c r="U301" s="170"/>
      <c r="V301" s="163"/>
      <c r="W301" s="196"/>
      <c r="X301" s="24"/>
      <c r="Y301" s="24"/>
      <c r="Z301" s="24"/>
      <c r="AA301" s="22"/>
      <c r="AB301" s="24"/>
      <c r="AC301" s="24"/>
      <c r="AD301" s="217"/>
      <c r="AE301" s="217"/>
      <c r="AF301" s="217"/>
      <c r="AG301" s="217"/>
      <c r="AH301" s="205" t="s">
        <v>115</v>
      </c>
      <c r="AI301" s="205" t="s">
        <v>1025</v>
      </c>
      <c r="AJ301" s="205" t="s">
        <v>1026</v>
      </c>
      <c r="AK301" s="24"/>
      <c r="AL301" s="24"/>
      <c r="AM301" s="24"/>
    </row>
    <row r="302" spans="1:39" ht="12.75" customHeight="1">
      <c r="A302" s="22">
        <v>300</v>
      </c>
      <c r="B302" s="206" t="s">
        <v>1028</v>
      </c>
      <c r="C302" s="24" t="s">
        <v>180</v>
      </c>
      <c r="D302" s="24" t="s">
        <v>1134</v>
      </c>
      <c r="E302" s="24"/>
      <c r="F302" s="24">
        <v>1</v>
      </c>
      <c r="G302" s="24" t="s">
        <v>1135</v>
      </c>
      <c r="H302" s="24"/>
      <c r="I302" s="24"/>
      <c r="J302" s="170"/>
      <c r="K302" s="196"/>
      <c r="L302" s="204"/>
      <c r="M302" s="204"/>
      <c r="N302" s="204"/>
      <c r="O302" s="204" t="s">
        <v>1028</v>
      </c>
      <c r="P302" s="196"/>
      <c r="Q302" s="24"/>
      <c r="R302" s="204"/>
      <c r="S302" s="134"/>
      <c r="T302" s="204"/>
      <c r="U302" s="170"/>
      <c r="V302" s="163"/>
      <c r="W302" s="196"/>
      <c r="X302" s="24"/>
      <c r="Y302" s="24"/>
      <c r="Z302" s="24"/>
      <c r="AA302" s="22"/>
      <c r="AB302" s="24"/>
      <c r="AC302" s="24"/>
      <c r="AD302" s="217"/>
      <c r="AE302" s="217"/>
      <c r="AF302" s="217"/>
      <c r="AG302" s="217"/>
      <c r="AH302" s="205" t="s">
        <v>115</v>
      </c>
      <c r="AI302" s="205" t="s">
        <v>1029</v>
      </c>
      <c r="AJ302" s="205" t="s">
        <v>1030</v>
      </c>
      <c r="AK302" s="24"/>
      <c r="AL302" s="24"/>
      <c r="AM302" s="24"/>
    </row>
    <row r="303" spans="1:39" ht="12.75" customHeight="1">
      <c r="A303" s="22">
        <v>301</v>
      </c>
      <c r="B303" s="206" t="s">
        <v>1031</v>
      </c>
      <c r="C303" s="24" t="s">
        <v>180</v>
      </c>
      <c r="D303" s="24" t="s">
        <v>1134</v>
      </c>
      <c r="E303" s="24"/>
      <c r="F303" s="24">
        <v>1</v>
      </c>
      <c r="G303" s="24" t="s">
        <v>1135</v>
      </c>
      <c r="H303" s="24"/>
      <c r="I303" s="24"/>
      <c r="J303" s="170"/>
      <c r="K303" s="196"/>
      <c r="L303" s="204"/>
      <c r="M303" s="204"/>
      <c r="N303" s="204"/>
      <c r="O303" s="204" t="s">
        <v>1031</v>
      </c>
      <c r="P303" s="196"/>
      <c r="Q303" s="24"/>
      <c r="R303" s="204"/>
      <c r="S303" s="134"/>
      <c r="T303" s="204"/>
      <c r="U303" s="170"/>
      <c r="V303" s="163"/>
      <c r="W303" s="196"/>
      <c r="X303" s="24"/>
      <c r="Y303" s="24"/>
      <c r="Z303" s="24"/>
      <c r="AA303" s="22"/>
      <c r="AB303" s="24"/>
      <c r="AC303" s="24"/>
      <c r="AD303" s="28"/>
      <c r="AE303" s="25"/>
      <c r="AF303" s="118">
        <v>398731002</v>
      </c>
      <c r="AG303" s="28"/>
      <c r="AH303" s="205" t="s">
        <v>115</v>
      </c>
      <c r="AI303" s="205" t="s">
        <v>1032</v>
      </c>
      <c r="AJ303" s="205" t="s">
        <v>1033</v>
      </c>
      <c r="AK303" s="24"/>
      <c r="AL303" s="24"/>
      <c r="AM303" s="24"/>
    </row>
    <row r="304" spans="1:39" ht="12.75" customHeight="1">
      <c r="A304" s="22">
        <v>302</v>
      </c>
      <c r="B304" s="206" t="s">
        <v>1034</v>
      </c>
      <c r="C304" s="24" t="s">
        <v>180</v>
      </c>
      <c r="D304" s="24" t="s">
        <v>1134</v>
      </c>
      <c r="E304" s="24"/>
      <c r="F304" s="24">
        <v>1</v>
      </c>
      <c r="G304" s="24" t="s">
        <v>1135</v>
      </c>
      <c r="H304" s="24"/>
      <c r="I304" s="24"/>
      <c r="J304" s="170"/>
      <c r="K304" s="196"/>
      <c r="L304" s="204"/>
      <c r="M304" s="204"/>
      <c r="N304" s="204"/>
      <c r="O304" s="204" t="s">
        <v>1034</v>
      </c>
      <c r="P304" s="196"/>
      <c r="Q304" s="24"/>
      <c r="R304" s="204"/>
      <c r="S304" s="134"/>
      <c r="T304" s="204"/>
      <c r="U304" s="170"/>
      <c r="V304" s="163"/>
      <c r="W304" s="196"/>
      <c r="X304" s="24"/>
      <c r="Y304" s="24"/>
      <c r="Z304" s="24"/>
      <c r="AA304" s="22"/>
      <c r="AB304" s="24"/>
      <c r="AC304" s="24"/>
      <c r="AD304" s="28"/>
      <c r="AE304" s="25"/>
      <c r="AF304" s="118">
        <v>255631004</v>
      </c>
      <c r="AG304" s="28"/>
      <c r="AH304" s="205" t="s">
        <v>115</v>
      </c>
      <c r="AI304" s="205" t="s">
        <v>1035</v>
      </c>
      <c r="AJ304" s="205" t="s">
        <v>1036</v>
      </c>
      <c r="AK304" s="24"/>
      <c r="AL304" s="24"/>
      <c r="AM304" s="24"/>
    </row>
    <row r="305" spans="1:39" ht="12.75" customHeight="1">
      <c r="A305" s="22">
        <v>303</v>
      </c>
      <c r="B305" s="206" t="s">
        <v>1037</v>
      </c>
      <c r="C305" s="24" t="s">
        <v>180</v>
      </c>
      <c r="D305" s="24" t="s">
        <v>1134</v>
      </c>
      <c r="E305" s="24"/>
      <c r="F305" s="24">
        <v>1</v>
      </c>
      <c r="G305" s="24" t="s">
        <v>1135</v>
      </c>
      <c r="H305" s="24"/>
      <c r="I305" s="24"/>
      <c r="J305" s="170"/>
      <c r="K305" s="196"/>
      <c r="L305" s="204"/>
      <c r="M305" s="204"/>
      <c r="N305" s="204"/>
      <c r="O305" s="204" t="s">
        <v>1037</v>
      </c>
      <c r="P305" s="196"/>
      <c r="Q305" s="24"/>
      <c r="R305" s="204"/>
      <c r="S305" s="134"/>
      <c r="T305" s="204"/>
      <c r="U305" s="170"/>
      <c r="V305" s="163"/>
      <c r="W305" s="196"/>
      <c r="X305" s="24"/>
      <c r="Y305" s="24"/>
      <c r="Z305" s="24"/>
      <c r="AA305" s="22"/>
      <c r="AB305" s="24"/>
      <c r="AC305" s="24"/>
      <c r="AD305" s="217"/>
      <c r="AE305" s="217"/>
      <c r="AF305" s="217"/>
      <c r="AG305" s="217"/>
      <c r="AH305" s="205" t="s">
        <v>115</v>
      </c>
      <c r="AI305" s="205" t="s">
        <v>1038</v>
      </c>
      <c r="AJ305" s="205" t="s">
        <v>1039</v>
      </c>
      <c r="AK305" s="24"/>
      <c r="AL305" s="24"/>
      <c r="AM305" s="24"/>
    </row>
    <row r="306" spans="1:39" ht="12.75" customHeight="1">
      <c r="A306" s="22">
        <v>304</v>
      </c>
      <c r="B306" s="206" t="s">
        <v>1040</v>
      </c>
      <c r="C306" s="24" t="s">
        <v>180</v>
      </c>
      <c r="D306" s="24" t="s">
        <v>1134</v>
      </c>
      <c r="E306" s="24"/>
      <c r="F306" s="24">
        <v>1</v>
      </c>
      <c r="G306" s="24" t="s">
        <v>1135</v>
      </c>
      <c r="H306" s="24"/>
      <c r="I306" s="24"/>
      <c r="J306" s="170"/>
      <c r="K306" s="196"/>
      <c r="L306" s="204"/>
      <c r="M306" s="204"/>
      <c r="N306" s="204"/>
      <c r="O306" s="204" t="s">
        <v>1040</v>
      </c>
      <c r="P306" s="196"/>
      <c r="Q306" s="24"/>
      <c r="R306" s="204"/>
      <c r="S306" s="133"/>
      <c r="T306" s="204"/>
      <c r="U306" s="170"/>
      <c r="V306" s="163"/>
      <c r="W306" s="196"/>
      <c r="X306" s="24"/>
      <c r="Y306" s="24"/>
      <c r="Z306" s="24"/>
      <c r="AA306" s="22"/>
      <c r="AB306" s="24"/>
      <c r="AC306" s="24"/>
      <c r="AD306" s="217"/>
      <c r="AE306" s="217"/>
      <c r="AF306" s="217"/>
      <c r="AG306" s="217"/>
      <c r="AH306" s="205" t="s">
        <v>115</v>
      </c>
      <c r="AI306" s="205" t="s">
        <v>1041</v>
      </c>
      <c r="AJ306" s="205" t="s">
        <v>1042</v>
      </c>
      <c r="AK306" s="24"/>
      <c r="AL306" s="24"/>
      <c r="AM306" s="24"/>
    </row>
    <row r="307" spans="1:39" ht="12.75" customHeight="1">
      <c r="A307" s="22">
        <v>305</v>
      </c>
      <c r="B307" s="206" t="s">
        <v>1043</v>
      </c>
      <c r="C307" s="24" t="s">
        <v>180</v>
      </c>
      <c r="D307" s="24" t="s">
        <v>1134</v>
      </c>
      <c r="E307" s="24"/>
      <c r="F307" s="24">
        <v>1</v>
      </c>
      <c r="G307" s="24" t="s">
        <v>1135</v>
      </c>
      <c r="H307" s="24"/>
      <c r="I307" s="24"/>
      <c r="J307" s="136"/>
      <c r="K307" s="196"/>
      <c r="L307" s="204"/>
      <c r="M307" s="204"/>
      <c r="N307" s="204"/>
      <c r="O307" s="204" t="s">
        <v>1043</v>
      </c>
      <c r="P307" s="196"/>
      <c r="Q307" s="24"/>
      <c r="R307" s="204"/>
      <c r="S307" s="133"/>
      <c r="T307" s="204"/>
      <c r="U307" s="133"/>
      <c r="V307" s="136"/>
      <c r="W307" s="196"/>
      <c r="X307" s="24"/>
      <c r="Y307" s="24"/>
      <c r="Z307" s="24"/>
      <c r="AA307" s="22"/>
      <c r="AB307" s="24"/>
      <c r="AC307" s="24"/>
      <c r="AD307" s="28"/>
      <c r="AE307" s="28"/>
      <c r="AF307" s="118">
        <v>10632007</v>
      </c>
      <c r="AG307" s="28"/>
      <c r="AH307" s="205" t="s">
        <v>115</v>
      </c>
      <c r="AI307" s="205" t="s">
        <v>1044</v>
      </c>
      <c r="AJ307" s="205" t="s">
        <v>1045</v>
      </c>
      <c r="AK307" s="24"/>
      <c r="AL307" s="24"/>
      <c r="AM307" s="24"/>
    </row>
    <row r="308" spans="1:39" ht="12.75" customHeight="1">
      <c r="A308" s="22">
        <v>306</v>
      </c>
      <c r="B308" s="206" t="s">
        <v>1046</v>
      </c>
      <c r="C308" s="24" t="s">
        <v>180</v>
      </c>
      <c r="D308" s="24" t="s">
        <v>1134</v>
      </c>
      <c r="E308" s="24"/>
      <c r="F308" s="24">
        <v>1</v>
      </c>
      <c r="G308" s="24" t="s">
        <v>1135</v>
      </c>
      <c r="H308" s="24"/>
      <c r="I308" s="24"/>
      <c r="J308" s="136"/>
      <c r="K308" s="196"/>
      <c r="L308" s="204"/>
      <c r="M308" s="204"/>
      <c r="N308" s="204"/>
      <c r="O308" s="204" t="s">
        <v>1046</v>
      </c>
      <c r="P308" s="196"/>
      <c r="Q308" s="24"/>
      <c r="R308" s="204"/>
      <c r="S308" s="133"/>
      <c r="T308" s="204"/>
      <c r="U308" s="133"/>
      <c r="V308" s="136"/>
      <c r="W308" s="196"/>
      <c r="X308" s="24"/>
      <c r="Y308" s="24"/>
      <c r="Z308" s="24"/>
      <c r="AA308" s="22"/>
      <c r="AB308" s="24"/>
      <c r="AC308" s="24"/>
      <c r="AD308" s="217"/>
      <c r="AE308" s="217"/>
      <c r="AF308" s="217"/>
      <c r="AG308" s="217"/>
      <c r="AH308" s="205" t="s">
        <v>115</v>
      </c>
      <c r="AI308" s="205" t="s">
        <v>1047</v>
      </c>
      <c r="AJ308" s="205" t="s">
        <v>1048</v>
      </c>
      <c r="AK308" s="24"/>
      <c r="AL308" s="24"/>
      <c r="AM308" s="24"/>
    </row>
    <row r="309" spans="1:39" ht="12.75" customHeight="1">
      <c r="A309" s="22">
        <v>307</v>
      </c>
      <c r="B309" s="206" t="s">
        <v>405</v>
      </c>
      <c r="C309" s="24" t="s">
        <v>180</v>
      </c>
      <c r="D309" s="24" t="s">
        <v>1134</v>
      </c>
      <c r="E309" s="24"/>
      <c r="F309" s="24">
        <v>1</v>
      </c>
      <c r="G309" s="24" t="s">
        <v>1135</v>
      </c>
      <c r="H309" s="24"/>
      <c r="I309" s="24"/>
      <c r="J309" s="136"/>
      <c r="K309" s="196"/>
      <c r="L309" s="204"/>
      <c r="M309" s="204"/>
      <c r="N309" s="204"/>
      <c r="O309" s="204" t="s">
        <v>405</v>
      </c>
      <c r="P309" s="196"/>
      <c r="Q309" s="24"/>
      <c r="R309" s="204"/>
      <c r="S309" s="133"/>
      <c r="T309" s="204"/>
      <c r="U309" s="133"/>
      <c r="V309" s="136"/>
      <c r="W309" s="196"/>
      <c r="X309" s="24"/>
      <c r="Y309" s="24"/>
      <c r="Z309" s="24"/>
      <c r="AA309" s="22"/>
      <c r="AB309" s="24"/>
      <c r="AC309" s="24"/>
      <c r="AD309" s="28"/>
      <c r="AE309" s="28"/>
      <c r="AF309" s="93" t="s">
        <v>745</v>
      </c>
      <c r="AG309" s="28"/>
      <c r="AH309" s="205" t="s">
        <v>115</v>
      </c>
      <c r="AI309" s="205" t="s">
        <v>406</v>
      </c>
      <c r="AJ309" s="205" t="s">
        <v>407</v>
      </c>
      <c r="AK309" s="24"/>
      <c r="AL309" s="24"/>
      <c r="AM309" s="24"/>
    </row>
    <row r="310" spans="1:39" ht="12.75" customHeight="1">
      <c r="A310" s="22">
        <v>308</v>
      </c>
      <c r="B310" s="206" t="s">
        <v>1158</v>
      </c>
      <c r="C310" s="24" t="s">
        <v>96</v>
      </c>
      <c r="D310" s="24"/>
      <c r="E310" s="24"/>
      <c r="F310" s="24">
        <v>1</v>
      </c>
      <c r="G310" s="24" t="s">
        <v>1135</v>
      </c>
      <c r="H310" s="24"/>
      <c r="I310" s="24"/>
      <c r="J310" s="136"/>
      <c r="K310" s="196" t="s">
        <v>409</v>
      </c>
      <c r="L310" s="204" t="s">
        <v>1149</v>
      </c>
      <c r="M310" s="204" t="s">
        <v>1050</v>
      </c>
      <c r="N310" s="204" t="s">
        <v>111</v>
      </c>
      <c r="O310" s="204"/>
      <c r="P310" s="196"/>
      <c r="Q310" s="24"/>
      <c r="R310" s="204"/>
      <c r="S310" s="133"/>
      <c r="T310" s="204" t="s">
        <v>208</v>
      </c>
      <c r="U310" s="204" t="s">
        <v>1151</v>
      </c>
      <c r="V310" s="136"/>
      <c r="W310" s="196" t="s">
        <v>115</v>
      </c>
      <c r="X310" s="24"/>
      <c r="Y310" s="24"/>
      <c r="Z310" s="24"/>
      <c r="AA310" s="22"/>
      <c r="AB310" s="24"/>
      <c r="AC310" s="24"/>
      <c r="AD310" s="28"/>
      <c r="AE310" s="28"/>
      <c r="AF310" s="25"/>
      <c r="AG310" s="93" t="s">
        <v>1051</v>
      </c>
      <c r="AH310" s="205" t="s">
        <v>1052</v>
      </c>
      <c r="AI310" s="223" t="s">
        <v>415</v>
      </c>
      <c r="AJ310" s="205" t="s">
        <v>416</v>
      </c>
      <c r="AK310" s="24"/>
      <c r="AL310" s="24"/>
      <c r="AM310" s="24"/>
    </row>
    <row r="311" spans="1:39" ht="12.75" customHeight="1">
      <c r="A311" s="22">
        <v>309</v>
      </c>
      <c r="B311" s="206" t="s">
        <v>1153</v>
      </c>
      <c r="C311" s="24" t="s">
        <v>96</v>
      </c>
      <c r="D311" s="24"/>
      <c r="E311" s="24"/>
      <c r="F311" s="24">
        <v>1</v>
      </c>
      <c r="G311" s="24" t="s">
        <v>1135</v>
      </c>
      <c r="H311" s="24"/>
      <c r="I311" s="24"/>
      <c r="J311" s="136"/>
      <c r="K311" s="196" t="s">
        <v>1153</v>
      </c>
      <c r="L311" s="204" t="s">
        <v>1154</v>
      </c>
      <c r="M311" s="204" t="s">
        <v>1155</v>
      </c>
      <c r="N311" s="204" t="s">
        <v>202</v>
      </c>
      <c r="O311" s="204"/>
      <c r="P311" s="196"/>
      <c r="Q311" s="24"/>
      <c r="R311" s="204"/>
      <c r="S311" s="133"/>
      <c r="T311" s="204" t="s">
        <v>208</v>
      </c>
      <c r="U311" s="224" t="s">
        <v>1156</v>
      </c>
      <c r="V311" s="136"/>
      <c r="W311" s="196" t="s">
        <v>115</v>
      </c>
      <c r="X311" s="24"/>
      <c r="Y311" s="24"/>
      <c r="Z311" s="24"/>
      <c r="AA311" s="22"/>
      <c r="AB311" s="24"/>
      <c r="AC311" s="24"/>
      <c r="AD311" s="217"/>
      <c r="AE311" s="217"/>
      <c r="AF311" s="217"/>
      <c r="AG311" s="217"/>
      <c r="AH311" s="205" t="s">
        <v>1157</v>
      </c>
      <c r="AI311" s="223" t="s">
        <v>1159</v>
      </c>
      <c r="AJ311" s="205" t="s">
        <v>1160</v>
      </c>
      <c r="AK311" s="24"/>
      <c r="AL311" s="24"/>
      <c r="AM311" s="24"/>
    </row>
    <row r="312" spans="1:39" ht="12.75" customHeight="1">
      <c r="A312" s="22">
        <v>310</v>
      </c>
      <c r="B312" s="206" t="s">
        <v>113</v>
      </c>
      <c r="C312" s="24" t="s">
        <v>180</v>
      </c>
      <c r="D312" s="24" t="s">
        <v>1153</v>
      </c>
      <c r="E312" s="24"/>
      <c r="F312" s="24">
        <v>1</v>
      </c>
      <c r="G312" s="24" t="s">
        <v>1135</v>
      </c>
      <c r="H312" s="24"/>
      <c r="I312" s="24"/>
      <c r="J312" s="136"/>
      <c r="K312" s="196"/>
      <c r="L312" s="204"/>
      <c r="M312" s="204"/>
      <c r="N312" s="204"/>
      <c r="O312" s="204" t="s">
        <v>113</v>
      </c>
      <c r="P312" s="196"/>
      <c r="Q312" s="24"/>
      <c r="R312" s="204"/>
      <c r="S312" s="133"/>
      <c r="T312" s="204"/>
      <c r="U312" s="225"/>
      <c r="V312" s="133"/>
      <c r="W312" s="196"/>
      <c r="X312" s="24"/>
      <c r="Y312" s="24"/>
      <c r="Z312" s="24"/>
      <c r="AA312" s="22"/>
      <c r="AB312" s="24"/>
      <c r="AC312" s="24"/>
      <c r="AD312" s="28"/>
      <c r="AE312" s="28"/>
      <c r="AF312" s="113">
        <v>373066001</v>
      </c>
      <c r="AG312" s="28"/>
      <c r="AH312" s="205" t="s">
        <v>115</v>
      </c>
      <c r="AI312" s="223" t="s">
        <v>206</v>
      </c>
      <c r="AJ312" s="205" t="s">
        <v>207</v>
      </c>
      <c r="AK312" s="24"/>
      <c r="AL312" s="24"/>
      <c r="AM312" s="24"/>
    </row>
    <row r="313" spans="1:39" ht="12.75" customHeight="1">
      <c r="A313" s="22">
        <v>311</v>
      </c>
      <c r="B313" s="206" t="s">
        <v>208</v>
      </c>
      <c r="C313" s="24" t="s">
        <v>180</v>
      </c>
      <c r="D313" s="24" t="s">
        <v>1153</v>
      </c>
      <c r="E313" s="24"/>
      <c r="F313" s="24">
        <v>1</v>
      </c>
      <c r="G313" s="24" t="s">
        <v>1135</v>
      </c>
      <c r="H313" s="24"/>
      <c r="I313" s="24"/>
      <c r="J313" s="136"/>
      <c r="K313" s="196"/>
      <c r="L313" s="204"/>
      <c r="M313" s="204"/>
      <c r="N313" s="204"/>
      <c r="O313" s="204" t="s">
        <v>208</v>
      </c>
      <c r="P313" s="196"/>
      <c r="Q313" s="24"/>
      <c r="R313" s="204"/>
      <c r="S313" s="133"/>
      <c r="T313" s="204"/>
      <c r="U313" s="133"/>
      <c r="V313" s="136"/>
      <c r="W313" s="196"/>
      <c r="X313" s="24"/>
      <c r="Y313" s="24"/>
      <c r="Z313" s="24"/>
      <c r="AA313" s="22"/>
      <c r="AB313" s="24"/>
      <c r="AC313" s="24"/>
      <c r="AD313" s="28"/>
      <c r="AE313" s="28"/>
      <c r="AF313" s="113">
        <v>373067005</v>
      </c>
      <c r="AG313" s="28"/>
      <c r="AH313" s="205" t="s">
        <v>115</v>
      </c>
      <c r="AI313" s="223" t="s">
        <v>209</v>
      </c>
      <c r="AJ313" s="205" t="s">
        <v>210</v>
      </c>
      <c r="AK313" s="24"/>
      <c r="AL313" s="24"/>
      <c r="AM313" s="24"/>
    </row>
    <row r="314" spans="1:39" ht="12.75" customHeight="1">
      <c r="A314" s="22">
        <v>312</v>
      </c>
      <c r="B314" s="206" t="s">
        <v>1163</v>
      </c>
      <c r="C314" s="24" t="s">
        <v>96</v>
      </c>
      <c r="D314" s="24"/>
      <c r="E314" s="24"/>
      <c r="F314" s="24">
        <v>1</v>
      </c>
      <c r="G314" s="24" t="s">
        <v>1135</v>
      </c>
      <c r="H314" s="24"/>
      <c r="I314" s="24"/>
      <c r="J314" s="136"/>
      <c r="K314" s="196" t="s">
        <v>1163</v>
      </c>
      <c r="L314" s="204" t="s">
        <v>1164</v>
      </c>
      <c r="M314" s="204" t="s">
        <v>1165</v>
      </c>
      <c r="N314" s="204" t="s">
        <v>202</v>
      </c>
      <c r="O314" s="204"/>
      <c r="P314" s="196"/>
      <c r="Q314" s="24"/>
      <c r="R314" s="204"/>
      <c r="S314" s="133"/>
      <c r="T314" s="204" t="s">
        <v>208</v>
      </c>
      <c r="U314" s="224" t="s">
        <v>1156</v>
      </c>
      <c r="V314" s="133"/>
      <c r="W314" s="196" t="s">
        <v>115</v>
      </c>
      <c r="X314" s="24"/>
      <c r="Y314" s="24"/>
      <c r="Z314" s="24"/>
      <c r="AA314" s="22"/>
      <c r="AB314" s="24"/>
      <c r="AC314" s="24"/>
      <c r="AD314" s="217"/>
      <c r="AE314" s="217"/>
      <c r="AF314" s="217"/>
      <c r="AG314" s="217"/>
      <c r="AH314" s="205" t="s">
        <v>1157</v>
      </c>
      <c r="AI314" s="223" t="s">
        <v>1166</v>
      </c>
      <c r="AJ314" s="205" t="s">
        <v>1167</v>
      </c>
      <c r="AK314" s="24"/>
      <c r="AL314" s="24"/>
      <c r="AM314" s="24"/>
    </row>
    <row r="315" spans="1:39" ht="12.75" customHeight="1">
      <c r="A315" s="22">
        <v>313</v>
      </c>
      <c r="B315" s="206" t="s">
        <v>113</v>
      </c>
      <c r="C315" s="24" t="s">
        <v>180</v>
      </c>
      <c r="D315" s="24" t="s">
        <v>1163</v>
      </c>
      <c r="E315" s="24"/>
      <c r="F315" s="24">
        <v>1</v>
      </c>
      <c r="G315" s="24" t="s">
        <v>1135</v>
      </c>
      <c r="H315" s="24"/>
      <c r="I315" s="24"/>
      <c r="J315" s="133"/>
      <c r="K315" s="196"/>
      <c r="L315" s="204"/>
      <c r="M315" s="204"/>
      <c r="N315" s="204"/>
      <c r="O315" s="204" t="s">
        <v>113</v>
      </c>
      <c r="P315" s="196"/>
      <c r="Q315" s="24"/>
      <c r="R315" s="204"/>
      <c r="S315" s="133"/>
      <c r="T315" s="204"/>
      <c r="U315" s="133"/>
      <c r="V315" s="133"/>
      <c r="W315" s="196"/>
      <c r="X315" s="24"/>
      <c r="Y315" s="24"/>
      <c r="Z315" s="24"/>
      <c r="AA315" s="22"/>
      <c r="AB315" s="24"/>
      <c r="AC315" s="24"/>
      <c r="AD315" s="27"/>
      <c r="AE315" s="28"/>
      <c r="AF315" s="113">
        <v>373066001</v>
      </c>
      <c r="AG315" s="28"/>
      <c r="AH315" s="205" t="s">
        <v>115</v>
      </c>
      <c r="AI315" s="223" t="s">
        <v>206</v>
      </c>
      <c r="AJ315" s="205" t="s">
        <v>207</v>
      </c>
      <c r="AK315" s="24"/>
      <c r="AL315" s="24"/>
      <c r="AM315" s="24"/>
    </row>
    <row r="316" spans="1:39" ht="12.75" customHeight="1">
      <c r="A316" s="22">
        <v>314</v>
      </c>
      <c r="B316" s="206" t="s">
        <v>208</v>
      </c>
      <c r="C316" s="24" t="s">
        <v>180</v>
      </c>
      <c r="D316" s="24" t="s">
        <v>1163</v>
      </c>
      <c r="E316" s="24"/>
      <c r="F316" s="24">
        <v>1</v>
      </c>
      <c r="G316" s="24" t="s">
        <v>1135</v>
      </c>
      <c r="H316" s="24"/>
      <c r="I316" s="24"/>
      <c r="J316" s="226"/>
      <c r="K316" s="196"/>
      <c r="L316" s="196"/>
      <c r="M316" s="196"/>
      <c r="N316" s="196"/>
      <c r="O316" s="196" t="s">
        <v>208</v>
      </c>
      <c r="P316" s="196"/>
      <c r="Q316" s="24"/>
      <c r="R316" s="196"/>
      <c r="S316" s="133"/>
      <c r="T316" s="196"/>
      <c r="U316" s="133"/>
      <c r="V316" s="133"/>
      <c r="W316" s="196"/>
      <c r="X316" s="24"/>
      <c r="Y316" s="24"/>
      <c r="Z316" s="24"/>
      <c r="AA316" s="22"/>
      <c r="AB316" s="24"/>
      <c r="AC316" s="24"/>
      <c r="AD316" s="227"/>
      <c r="AE316" s="28"/>
      <c r="AF316" s="113">
        <v>373067005</v>
      </c>
      <c r="AG316" s="28"/>
      <c r="AH316" s="205" t="s">
        <v>115</v>
      </c>
      <c r="AI316" s="223" t="s">
        <v>209</v>
      </c>
      <c r="AJ316" s="205" t="s">
        <v>210</v>
      </c>
      <c r="AK316" s="24"/>
      <c r="AL316" s="24"/>
      <c r="AM316" s="24"/>
    </row>
    <row r="317" spans="1:39" ht="12.75" customHeight="1">
      <c r="A317" s="22">
        <v>315</v>
      </c>
      <c r="B317" s="206" t="s">
        <v>1169</v>
      </c>
      <c r="C317" s="24" t="s">
        <v>96</v>
      </c>
      <c r="D317" s="24"/>
      <c r="E317" s="24"/>
      <c r="F317" s="24">
        <v>1</v>
      </c>
      <c r="G317" s="24" t="s">
        <v>1135</v>
      </c>
      <c r="H317" s="24"/>
      <c r="I317" s="24"/>
      <c r="J317" s="226"/>
      <c r="K317" s="204" t="s">
        <v>1169</v>
      </c>
      <c r="L317" s="204" t="s">
        <v>1170</v>
      </c>
      <c r="M317" s="204" t="s">
        <v>1171</v>
      </c>
      <c r="N317" s="204" t="s">
        <v>202</v>
      </c>
      <c r="O317" s="204"/>
      <c r="P317" s="196"/>
      <c r="Q317" s="24"/>
      <c r="R317" s="196"/>
      <c r="S317" s="133"/>
      <c r="T317" s="204" t="s">
        <v>208</v>
      </c>
      <c r="U317" s="133"/>
      <c r="V317" s="133"/>
      <c r="W317" s="196" t="s">
        <v>115</v>
      </c>
      <c r="X317" s="24"/>
      <c r="Y317" s="24"/>
      <c r="Z317" s="24"/>
      <c r="AA317" s="22"/>
      <c r="AB317" s="24"/>
      <c r="AC317" s="24"/>
      <c r="AD317" s="227"/>
      <c r="AE317" s="25"/>
      <c r="AF317" s="27"/>
      <c r="AG317" s="27"/>
      <c r="AH317" s="205" t="s">
        <v>1173</v>
      </c>
      <c r="AI317" s="223" t="s">
        <v>1159</v>
      </c>
      <c r="AJ317" s="205" t="s">
        <v>1160</v>
      </c>
      <c r="AK317" s="24"/>
      <c r="AL317" s="24"/>
      <c r="AM317" s="24"/>
    </row>
    <row r="318" spans="1:39" ht="12.75" customHeight="1">
      <c r="A318" s="22">
        <v>316</v>
      </c>
      <c r="B318" s="206" t="s">
        <v>113</v>
      </c>
      <c r="C318" s="24" t="s">
        <v>180</v>
      </c>
      <c r="D318" s="24" t="s">
        <v>1169</v>
      </c>
      <c r="E318" s="24"/>
      <c r="F318" s="24">
        <v>1</v>
      </c>
      <c r="G318" s="24" t="s">
        <v>1135</v>
      </c>
      <c r="H318" s="24"/>
      <c r="I318" s="24"/>
      <c r="J318" s="226"/>
      <c r="K318" s="204"/>
      <c r="L318" s="204"/>
      <c r="M318" s="204"/>
      <c r="N318" s="204"/>
      <c r="O318" s="204" t="s">
        <v>113</v>
      </c>
      <c r="P318" s="196"/>
      <c r="Q318" s="24"/>
      <c r="R318" s="196"/>
      <c r="S318" s="133"/>
      <c r="T318" s="204"/>
      <c r="U318" s="133"/>
      <c r="V318" s="133"/>
      <c r="W318" s="196"/>
      <c r="X318" s="24"/>
      <c r="Y318" s="24"/>
      <c r="Z318" s="24"/>
      <c r="AA318" s="22"/>
      <c r="AB318" s="24"/>
      <c r="AC318" s="24"/>
      <c r="AD318" s="227"/>
      <c r="AE318" s="25"/>
      <c r="AF318" s="113">
        <v>373066001</v>
      </c>
      <c r="AG318" s="28"/>
      <c r="AH318" s="205" t="s">
        <v>115</v>
      </c>
      <c r="AI318" s="223" t="s">
        <v>206</v>
      </c>
      <c r="AJ318" s="205" t="s">
        <v>207</v>
      </c>
      <c r="AK318" s="24"/>
      <c r="AL318" s="24"/>
      <c r="AM318" s="24"/>
    </row>
    <row r="319" spans="1:39" ht="12.75" customHeight="1">
      <c r="A319" s="22">
        <v>317</v>
      </c>
      <c r="B319" s="206" t="s">
        <v>208</v>
      </c>
      <c r="C319" s="24" t="s">
        <v>180</v>
      </c>
      <c r="D319" s="24" t="s">
        <v>1169</v>
      </c>
      <c r="E319" s="24"/>
      <c r="F319" s="24">
        <v>1</v>
      </c>
      <c r="G319" s="24" t="s">
        <v>1135</v>
      </c>
      <c r="H319" s="24"/>
      <c r="I319" s="24"/>
      <c r="J319" s="226"/>
      <c r="K319" s="196"/>
      <c r="L319" s="196"/>
      <c r="M319" s="196"/>
      <c r="N319" s="196"/>
      <c r="O319" s="196" t="s">
        <v>208</v>
      </c>
      <c r="P319" s="196"/>
      <c r="Q319" s="24"/>
      <c r="R319" s="196"/>
      <c r="S319" s="133"/>
      <c r="T319" s="196"/>
      <c r="U319" s="133"/>
      <c r="V319" s="133"/>
      <c r="W319" s="196"/>
      <c r="X319" s="24"/>
      <c r="Y319" s="24"/>
      <c r="Z319" s="24"/>
      <c r="AA319" s="22"/>
      <c r="AB319" s="24"/>
      <c r="AC319" s="24"/>
      <c r="AD319" s="227"/>
      <c r="AE319" s="25"/>
      <c r="AF319" s="113">
        <v>373067005</v>
      </c>
      <c r="AG319" s="28"/>
      <c r="AH319" s="205" t="s">
        <v>115</v>
      </c>
      <c r="AI319" s="223" t="s">
        <v>209</v>
      </c>
      <c r="AJ319" s="205" t="s">
        <v>210</v>
      </c>
      <c r="AK319" s="24"/>
      <c r="AL319" s="24"/>
      <c r="AM319" s="24"/>
    </row>
    <row r="320" spans="1:39" ht="12.75" customHeight="1">
      <c r="A320" s="22">
        <v>318</v>
      </c>
      <c r="B320" s="206" t="s">
        <v>1175</v>
      </c>
      <c r="C320" s="24" t="s">
        <v>96</v>
      </c>
      <c r="D320" s="24"/>
      <c r="E320" s="24"/>
      <c r="F320" s="24">
        <v>1</v>
      </c>
      <c r="G320" s="24" t="s">
        <v>1135</v>
      </c>
      <c r="H320" s="24"/>
      <c r="I320" s="24"/>
      <c r="J320" s="226"/>
      <c r="K320" s="196" t="s">
        <v>1175</v>
      </c>
      <c r="L320" s="204" t="s">
        <v>1176</v>
      </c>
      <c r="M320" s="204" t="s">
        <v>1177</v>
      </c>
      <c r="N320" s="204" t="s">
        <v>202</v>
      </c>
      <c r="O320" s="204"/>
      <c r="P320" s="196"/>
      <c r="Q320" s="24"/>
      <c r="R320" s="204"/>
      <c r="S320" s="133"/>
      <c r="T320" s="204" t="s">
        <v>208</v>
      </c>
      <c r="U320" s="133"/>
      <c r="V320" s="133"/>
      <c r="W320" s="196" t="s">
        <v>115</v>
      </c>
      <c r="X320" s="24"/>
      <c r="Y320" s="24"/>
      <c r="Z320" s="24"/>
      <c r="AA320" s="22"/>
      <c r="AB320" s="24"/>
      <c r="AC320" s="24"/>
      <c r="AD320" s="228"/>
      <c r="AE320" s="120"/>
      <c r="AF320" s="217"/>
      <c r="AG320" s="217"/>
      <c r="AH320" s="205" t="s">
        <v>1173</v>
      </c>
      <c r="AI320" s="223" t="s">
        <v>1166</v>
      </c>
      <c r="AJ320" s="205" t="s">
        <v>1167</v>
      </c>
      <c r="AK320" s="24"/>
      <c r="AL320" s="24"/>
      <c r="AM320" s="24"/>
    </row>
    <row r="321" spans="1:39" ht="12.75" customHeight="1">
      <c r="A321" s="22">
        <v>319</v>
      </c>
      <c r="B321" s="206" t="s">
        <v>113</v>
      </c>
      <c r="C321" s="24" t="s">
        <v>180</v>
      </c>
      <c r="D321" s="24" t="s">
        <v>1175</v>
      </c>
      <c r="E321" s="24"/>
      <c r="F321" s="24">
        <v>1</v>
      </c>
      <c r="G321" s="24" t="s">
        <v>1135</v>
      </c>
      <c r="H321" s="24"/>
      <c r="I321" s="24"/>
      <c r="J321" s="226"/>
      <c r="K321" s="196"/>
      <c r="L321" s="204"/>
      <c r="M321" s="204"/>
      <c r="N321" s="204"/>
      <c r="O321" s="204" t="s">
        <v>113</v>
      </c>
      <c r="P321" s="196"/>
      <c r="Q321" s="24"/>
      <c r="R321" s="204"/>
      <c r="S321" s="133"/>
      <c r="T321" s="204"/>
      <c r="U321" s="133"/>
      <c r="V321" s="133"/>
      <c r="W321" s="196"/>
      <c r="X321" s="24"/>
      <c r="Y321" s="24"/>
      <c r="Z321" s="24"/>
      <c r="AA321" s="22"/>
      <c r="AB321" s="24"/>
      <c r="AC321" s="24"/>
      <c r="AD321" s="227"/>
      <c r="AE321" s="25"/>
      <c r="AF321" s="113">
        <v>373066001</v>
      </c>
      <c r="AG321" s="28"/>
      <c r="AH321" s="205" t="s">
        <v>115</v>
      </c>
      <c r="AI321" s="223" t="s">
        <v>206</v>
      </c>
      <c r="AJ321" s="205" t="s">
        <v>207</v>
      </c>
      <c r="AK321" s="24"/>
      <c r="AL321" s="24"/>
      <c r="AM321" s="24"/>
    </row>
    <row r="322" spans="1:39" ht="12.75" customHeight="1">
      <c r="A322" s="22">
        <v>320</v>
      </c>
      <c r="B322" s="206" t="s">
        <v>208</v>
      </c>
      <c r="C322" s="24" t="s">
        <v>180</v>
      </c>
      <c r="D322" s="24" t="s">
        <v>1175</v>
      </c>
      <c r="E322" s="24"/>
      <c r="F322" s="24">
        <v>1</v>
      </c>
      <c r="G322" s="24" t="s">
        <v>1135</v>
      </c>
      <c r="H322" s="24"/>
      <c r="I322" s="24"/>
      <c r="J322" s="226"/>
      <c r="K322" s="196"/>
      <c r="L322" s="196"/>
      <c r="M322" s="196"/>
      <c r="N322" s="196"/>
      <c r="O322" s="196" t="s">
        <v>208</v>
      </c>
      <c r="P322" s="196"/>
      <c r="Q322" s="24"/>
      <c r="R322" s="196"/>
      <c r="S322" s="133"/>
      <c r="T322" s="196"/>
      <c r="U322" s="133"/>
      <c r="V322" s="133"/>
      <c r="W322" s="196"/>
      <c r="X322" s="24"/>
      <c r="Y322" s="24"/>
      <c r="Z322" s="24"/>
      <c r="AA322" s="22"/>
      <c r="AB322" s="24"/>
      <c r="AC322" s="24"/>
      <c r="AD322" s="227"/>
      <c r="AE322" s="25"/>
      <c r="AF322" s="113">
        <v>373067005</v>
      </c>
      <c r="AG322" s="28"/>
      <c r="AH322" s="205" t="s">
        <v>115</v>
      </c>
      <c r="AI322" s="223" t="s">
        <v>209</v>
      </c>
      <c r="AJ322" s="205" t="s">
        <v>210</v>
      </c>
      <c r="AK322" s="24"/>
      <c r="AL322" s="24"/>
      <c r="AM322" s="24"/>
    </row>
    <row r="323" spans="1:39" ht="12.75" customHeight="1">
      <c r="A323" s="22">
        <v>321</v>
      </c>
      <c r="B323" s="206" t="s">
        <v>1179</v>
      </c>
      <c r="C323" s="24" t="s">
        <v>96</v>
      </c>
      <c r="D323" s="24"/>
      <c r="E323" s="24"/>
      <c r="F323" s="24">
        <v>1</v>
      </c>
      <c r="G323" s="24" t="s">
        <v>1135</v>
      </c>
      <c r="H323" s="24"/>
      <c r="I323" s="24"/>
      <c r="J323" s="226"/>
      <c r="K323" s="196" t="s">
        <v>1179</v>
      </c>
      <c r="L323" s="204" t="s">
        <v>1180</v>
      </c>
      <c r="M323" s="204" t="s">
        <v>1181</v>
      </c>
      <c r="N323" s="204" t="s">
        <v>202</v>
      </c>
      <c r="O323" s="204"/>
      <c r="P323" s="196"/>
      <c r="Q323" s="24"/>
      <c r="R323" s="204"/>
      <c r="S323" s="226"/>
      <c r="T323" s="204" t="s">
        <v>208</v>
      </c>
      <c r="U323" s="229"/>
      <c r="V323" s="229"/>
      <c r="W323" s="196" t="s">
        <v>115</v>
      </c>
      <c r="X323" s="24"/>
      <c r="Y323" s="24"/>
      <c r="Z323" s="24"/>
      <c r="AA323" s="22"/>
      <c r="AB323" s="24"/>
      <c r="AC323" s="24"/>
      <c r="AD323" s="228"/>
      <c r="AE323" s="120"/>
      <c r="AF323" s="217"/>
      <c r="AG323" s="217"/>
      <c r="AH323" s="205" t="s">
        <v>1183</v>
      </c>
      <c r="AI323" s="223" t="s">
        <v>1159</v>
      </c>
      <c r="AJ323" s="205" t="s">
        <v>1160</v>
      </c>
      <c r="AK323" s="24"/>
      <c r="AL323" s="24"/>
      <c r="AM323" s="24"/>
    </row>
    <row r="324" spans="1:39" ht="12.75" customHeight="1">
      <c r="A324" s="22">
        <v>322</v>
      </c>
      <c r="B324" s="206" t="s">
        <v>113</v>
      </c>
      <c r="C324" s="24" t="s">
        <v>180</v>
      </c>
      <c r="D324" s="24" t="s">
        <v>1179</v>
      </c>
      <c r="E324" s="24"/>
      <c r="F324" s="24">
        <v>1</v>
      </c>
      <c r="G324" s="24" t="s">
        <v>1135</v>
      </c>
      <c r="H324" s="24"/>
      <c r="I324" s="24"/>
      <c r="J324" s="226"/>
      <c r="K324" s="196"/>
      <c r="L324" s="196"/>
      <c r="M324" s="196"/>
      <c r="N324" s="196"/>
      <c r="O324" s="204" t="s">
        <v>113</v>
      </c>
      <c r="P324" s="196"/>
      <c r="Q324" s="24"/>
      <c r="R324" s="196"/>
      <c r="S324" s="230"/>
      <c r="T324" s="196"/>
      <c r="U324" s="229"/>
      <c r="V324" s="229"/>
      <c r="W324" s="196"/>
      <c r="X324" s="24"/>
      <c r="Y324" s="24"/>
      <c r="Z324" s="24"/>
      <c r="AA324" s="22"/>
      <c r="AB324" s="24"/>
      <c r="AC324" s="24"/>
      <c r="AD324" s="227"/>
      <c r="AE324" s="25"/>
      <c r="AF324" s="113">
        <v>373066001</v>
      </c>
      <c r="AG324" s="28"/>
      <c r="AH324" s="205" t="s">
        <v>115</v>
      </c>
      <c r="AI324" s="223" t="s">
        <v>206</v>
      </c>
      <c r="AJ324" s="205" t="s">
        <v>207</v>
      </c>
      <c r="AK324" s="24"/>
      <c r="AL324" s="24"/>
      <c r="AM324" s="24"/>
    </row>
    <row r="325" spans="1:39" ht="12.75" customHeight="1">
      <c r="A325" s="22">
        <v>323</v>
      </c>
      <c r="B325" s="206" t="s">
        <v>208</v>
      </c>
      <c r="C325" s="24" t="s">
        <v>180</v>
      </c>
      <c r="D325" s="24" t="s">
        <v>1179</v>
      </c>
      <c r="E325" s="24"/>
      <c r="F325" s="24">
        <v>1</v>
      </c>
      <c r="G325" s="24" t="s">
        <v>1135</v>
      </c>
      <c r="H325" s="24"/>
      <c r="I325" s="24"/>
      <c r="J325" s="226"/>
      <c r="K325" s="196"/>
      <c r="L325" s="196"/>
      <c r="M325" s="196"/>
      <c r="N325" s="196"/>
      <c r="O325" s="196" t="s">
        <v>208</v>
      </c>
      <c r="P325" s="196"/>
      <c r="Q325" s="24"/>
      <c r="R325" s="196"/>
      <c r="S325" s="230"/>
      <c r="T325" s="196"/>
      <c r="U325" s="229"/>
      <c r="V325" s="229"/>
      <c r="W325" s="196"/>
      <c r="X325" s="24"/>
      <c r="Y325" s="24"/>
      <c r="Z325" s="24"/>
      <c r="AA325" s="22"/>
      <c r="AB325" s="24"/>
      <c r="AC325" s="24"/>
      <c r="AD325" s="227"/>
      <c r="AE325" s="25"/>
      <c r="AF325" s="113">
        <v>373067005</v>
      </c>
      <c r="AG325" s="28"/>
      <c r="AH325" s="205" t="s">
        <v>115</v>
      </c>
      <c r="AI325" s="223" t="s">
        <v>209</v>
      </c>
      <c r="AJ325" s="205" t="s">
        <v>210</v>
      </c>
      <c r="AK325" s="24"/>
      <c r="AL325" s="24"/>
      <c r="AM325" s="24"/>
    </row>
    <row r="326" spans="1:39" ht="12.75" customHeight="1">
      <c r="A326" s="22">
        <v>324</v>
      </c>
      <c r="B326" s="206" t="s">
        <v>1184</v>
      </c>
      <c r="C326" s="24" t="s">
        <v>96</v>
      </c>
      <c r="D326" s="24"/>
      <c r="E326" s="24"/>
      <c r="F326" s="24">
        <v>1</v>
      </c>
      <c r="G326" s="24" t="s">
        <v>1135</v>
      </c>
      <c r="H326" s="24"/>
      <c r="I326" s="24"/>
      <c r="J326" s="226"/>
      <c r="K326" s="204" t="s">
        <v>1184</v>
      </c>
      <c r="L326" s="204" t="s">
        <v>1185</v>
      </c>
      <c r="M326" s="204" t="s">
        <v>1186</v>
      </c>
      <c r="N326" s="204" t="s">
        <v>202</v>
      </c>
      <c r="O326" s="204"/>
      <c r="P326" s="196"/>
      <c r="Q326" s="24"/>
      <c r="R326" s="196"/>
      <c r="S326" s="230"/>
      <c r="T326" s="204" t="s">
        <v>208</v>
      </c>
      <c r="U326" s="229"/>
      <c r="V326" s="229"/>
      <c r="W326" s="196" t="s">
        <v>115</v>
      </c>
      <c r="X326" s="24"/>
      <c r="Y326" s="24"/>
      <c r="Z326" s="24"/>
      <c r="AA326" s="22"/>
      <c r="AB326" s="24"/>
      <c r="AC326" s="24"/>
      <c r="AD326" s="228"/>
      <c r="AE326" s="120"/>
      <c r="AF326" s="217"/>
      <c r="AG326" s="217"/>
      <c r="AH326" s="205" t="s">
        <v>1187</v>
      </c>
      <c r="AI326" s="223" t="s">
        <v>1159</v>
      </c>
      <c r="AJ326" s="205" t="s">
        <v>1160</v>
      </c>
      <c r="AK326" s="24"/>
      <c r="AL326" s="24"/>
      <c r="AM326" s="24"/>
    </row>
    <row r="327" spans="1:39" ht="12.75" customHeight="1">
      <c r="A327" s="22">
        <v>325</v>
      </c>
      <c r="B327" s="206" t="s">
        <v>113</v>
      </c>
      <c r="C327" s="24" t="s">
        <v>180</v>
      </c>
      <c r="D327" s="24" t="s">
        <v>1184</v>
      </c>
      <c r="E327" s="24"/>
      <c r="F327" s="24">
        <v>1</v>
      </c>
      <c r="G327" s="24" t="s">
        <v>1135</v>
      </c>
      <c r="H327" s="24"/>
      <c r="I327" s="24"/>
      <c r="J327" s="226"/>
      <c r="K327" s="196"/>
      <c r="L327" s="196"/>
      <c r="M327" s="196"/>
      <c r="N327" s="196"/>
      <c r="O327" s="204" t="s">
        <v>113</v>
      </c>
      <c r="P327" s="196"/>
      <c r="Q327" s="24"/>
      <c r="R327" s="196"/>
      <c r="S327" s="230"/>
      <c r="T327" s="196"/>
      <c r="U327" s="229"/>
      <c r="V327" s="229"/>
      <c r="W327" s="196"/>
      <c r="X327" s="24"/>
      <c r="Y327" s="24"/>
      <c r="Z327" s="24"/>
      <c r="AA327" s="22"/>
      <c r="AB327" s="24"/>
      <c r="AC327" s="24"/>
      <c r="AD327" s="227"/>
      <c r="AE327" s="25"/>
      <c r="AF327" s="113">
        <v>373066001</v>
      </c>
      <c r="AG327" s="28"/>
      <c r="AH327" s="205" t="s">
        <v>115</v>
      </c>
      <c r="AI327" s="223" t="s">
        <v>206</v>
      </c>
      <c r="AJ327" s="205" t="s">
        <v>207</v>
      </c>
      <c r="AK327" s="24"/>
      <c r="AL327" s="24"/>
      <c r="AM327" s="24"/>
    </row>
    <row r="328" spans="1:39" ht="12.75" customHeight="1">
      <c r="A328" s="22">
        <v>326</v>
      </c>
      <c r="B328" s="206" t="s">
        <v>208</v>
      </c>
      <c r="C328" s="24" t="s">
        <v>180</v>
      </c>
      <c r="D328" s="24" t="s">
        <v>1184</v>
      </c>
      <c r="E328" s="24"/>
      <c r="F328" s="24">
        <v>1</v>
      </c>
      <c r="G328" s="24" t="s">
        <v>1135</v>
      </c>
      <c r="H328" s="24"/>
      <c r="I328" s="24"/>
      <c r="J328" s="226"/>
      <c r="K328" s="196"/>
      <c r="L328" s="196"/>
      <c r="M328" s="196"/>
      <c r="N328" s="196"/>
      <c r="O328" s="196" t="s">
        <v>208</v>
      </c>
      <c r="P328" s="196"/>
      <c r="Q328" s="24"/>
      <c r="R328" s="196"/>
      <c r="S328" s="230"/>
      <c r="T328" s="196"/>
      <c r="U328" s="229"/>
      <c r="V328" s="229"/>
      <c r="W328" s="196"/>
      <c r="X328" s="24"/>
      <c r="Y328" s="24"/>
      <c r="Z328" s="24"/>
      <c r="AA328" s="22"/>
      <c r="AB328" s="24"/>
      <c r="AC328" s="24"/>
      <c r="AD328" s="227"/>
      <c r="AE328" s="25"/>
      <c r="AF328" s="113">
        <v>373067005</v>
      </c>
      <c r="AG328" s="28"/>
      <c r="AH328" s="205" t="s">
        <v>115</v>
      </c>
      <c r="AI328" s="223" t="s">
        <v>209</v>
      </c>
      <c r="AJ328" s="205" t="s">
        <v>210</v>
      </c>
      <c r="AK328" s="24"/>
      <c r="AL328" s="24"/>
      <c r="AM328" s="24"/>
    </row>
    <row r="329" spans="1:39" ht="12.75" customHeight="1">
      <c r="A329" s="22">
        <v>327</v>
      </c>
      <c r="B329" s="206" t="s">
        <v>1188</v>
      </c>
      <c r="C329" s="24" t="s">
        <v>96</v>
      </c>
      <c r="D329" s="24"/>
      <c r="E329" s="24"/>
      <c r="F329" s="24">
        <v>1</v>
      </c>
      <c r="G329" s="24" t="s">
        <v>1135</v>
      </c>
      <c r="H329" s="24"/>
      <c r="I329" s="24"/>
      <c r="J329" s="226"/>
      <c r="K329" s="196" t="s">
        <v>1188</v>
      </c>
      <c r="L329" s="204" t="s">
        <v>1189</v>
      </c>
      <c r="M329" s="204" t="s">
        <v>1190</v>
      </c>
      <c r="N329" s="204" t="s">
        <v>202</v>
      </c>
      <c r="O329" s="204"/>
      <c r="P329" s="196"/>
      <c r="Q329" s="24"/>
      <c r="R329" s="196"/>
      <c r="S329" s="230"/>
      <c r="T329" s="204" t="s">
        <v>208</v>
      </c>
      <c r="U329" s="229"/>
      <c r="V329" s="229"/>
      <c r="W329" s="196" t="s">
        <v>115</v>
      </c>
      <c r="X329" s="24"/>
      <c r="Y329" s="24"/>
      <c r="Z329" s="24"/>
      <c r="AA329" s="22"/>
      <c r="AB329" s="24"/>
      <c r="AC329" s="24"/>
      <c r="AD329" s="228"/>
      <c r="AE329" s="120"/>
      <c r="AF329" s="217"/>
      <c r="AG329" s="217"/>
      <c r="AH329" s="205" t="s">
        <v>1191</v>
      </c>
      <c r="AI329" s="223" t="s">
        <v>1159</v>
      </c>
      <c r="AJ329" s="205" t="s">
        <v>1160</v>
      </c>
      <c r="AK329" s="24"/>
      <c r="AL329" s="24"/>
      <c r="AM329" s="24"/>
    </row>
    <row r="330" spans="1:39" ht="12.75" customHeight="1">
      <c r="A330" s="22">
        <v>328</v>
      </c>
      <c r="B330" s="206" t="s">
        <v>113</v>
      </c>
      <c r="C330" s="24" t="s">
        <v>180</v>
      </c>
      <c r="D330" s="24" t="s">
        <v>1188</v>
      </c>
      <c r="E330" s="24"/>
      <c r="F330" s="24">
        <v>1</v>
      </c>
      <c r="G330" s="24" t="s">
        <v>1135</v>
      </c>
      <c r="H330" s="24"/>
      <c r="I330" s="24"/>
      <c r="J330" s="226"/>
      <c r="K330" s="196"/>
      <c r="L330" s="196"/>
      <c r="M330" s="196"/>
      <c r="N330" s="196"/>
      <c r="O330" s="204" t="s">
        <v>113</v>
      </c>
      <c r="P330" s="196"/>
      <c r="Q330" s="24"/>
      <c r="R330" s="196"/>
      <c r="S330" s="230"/>
      <c r="T330" s="196"/>
      <c r="U330" s="229"/>
      <c r="V330" s="229"/>
      <c r="W330" s="196"/>
      <c r="X330" s="24"/>
      <c r="Y330" s="24"/>
      <c r="Z330" s="24"/>
      <c r="AA330" s="22"/>
      <c r="AB330" s="24"/>
      <c r="AC330" s="24"/>
      <c r="AD330" s="227"/>
      <c r="AE330" s="25"/>
      <c r="AF330" s="113">
        <v>373066001</v>
      </c>
      <c r="AG330" s="28"/>
      <c r="AH330" s="205" t="s">
        <v>115</v>
      </c>
      <c r="AI330" s="223" t="s">
        <v>206</v>
      </c>
      <c r="AJ330" s="205" t="s">
        <v>207</v>
      </c>
      <c r="AK330" s="24"/>
      <c r="AL330" s="24"/>
      <c r="AM330" s="24"/>
    </row>
    <row r="331" spans="1:39" ht="12.75" customHeight="1">
      <c r="A331" s="22">
        <v>329</v>
      </c>
      <c r="B331" s="206" t="s">
        <v>208</v>
      </c>
      <c r="C331" s="24" t="s">
        <v>180</v>
      </c>
      <c r="D331" s="24" t="s">
        <v>1188</v>
      </c>
      <c r="E331" s="24"/>
      <c r="F331" s="24">
        <v>1</v>
      </c>
      <c r="G331" s="24" t="s">
        <v>1135</v>
      </c>
      <c r="H331" s="24"/>
      <c r="I331" s="24"/>
      <c r="J331" s="226"/>
      <c r="K331" s="196"/>
      <c r="L331" s="196"/>
      <c r="M331" s="196"/>
      <c r="N331" s="196"/>
      <c r="O331" s="196" t="s">
        <v>208</v>
      </c>
      <c r="P331" s="196"/>
      <c r="Q331" s="24"/>
      <c r="R331" s="196"/>
      <c r="S331" s="230"/>
      <c r="T331" s="196"/>
      <c r="U331" s="229"/>
      <c r="V331" s="229"/>
      <c r="W331" s="196"/>
      <c r="X331" s="24"/>
      <c r="Y331" s="24"/>
      <c r="Z331" s="24"/>
      <c r="AA331" s="22"/>
      <c r="AB331" s="24"/>
      <c r="AC331" s="24"/>
      <c r="AD331" s="227"/>
      <c r="AE331" s="25"/>
      <c r="AF331" s="113">
        <v>373067005</v>
      </c>
      <c r="AG331" s="28"/>
      <c r="AH331" s="205" t="s">
        <v>115</v>
      </c>
      <c r="AI331" s="223" t="s">
        <v>209</v>
      </c>
      <c r="AJ331" s="205" t="s">
        <v>210</v>
      </c>
      <c r="AK331" s="24"/>
      <c r="AL331" s="24"/>
      <c r="AM331" s="24"/>
    </row>
    <row r="332" spans="1:39" ht="12.75" customHeight="1">
      <c r="A332" s="22">
        <v>330</v>
      </c>
      <c r="B332" s="206" t="s">
        <v>1194</v>
      </c>
      <c r="C332" s="24" t="s">
        <v>96</v>
      </c>
      <c r="D332" s="24"/>
      <c r="E332" s="24" t="s">
        <v>1195</v>
      </c>
      <c r="F332" s="24">
        <v>1</v>
      </c>
      <c r="G332" s="24" t="s">
        <v>1135</v>
      </c>
      <c r="H332" s="24"/>
      <c r="I332" s="24"/>
      <c r="J332" s="226"/>
      <c r="K332" s="204" t="s">
        <v>1194</v>
      </c>
      <c r="L332" s="204" t="s">
        <v>1196</v>
      </c>
      <c r="M332" s="204" t="s">
        <v>1197</v>
      </c>
      <c r="N332" s="204" t="s">
        <v>238</v>
      </c>
      <c r="O332" s="196"/>
      <c r="P332" s="196"/>
      <c r="Q332" s="24"/>
      <c r="R332" s="204" t="s">
        <v>1109</v>
      </c>
      <c r="S332" s="230"/>
      <c r="T332" s="204" t="s">
        <v>113</v>
      </c>
      <c r="U332" s="229"/>
      <c r="V332" s="229"/>
      <c r="W332" s="204" t="s">
        <v>115</v>
      </c>
      <c r="X332" s="24"/>
      <c r="Y332" s="24"/>
      <c r="Z332" s="24"/>
      <c r="AA332" s="22"/>
      <c r="AB332" s="24"/>
      <c r="AC332" s="24"/>
      <c r="AD332" s="228"/>
      <c r="AE332" s="120"/>
      <c r="AF332" s="217"/>
      <c r="AG332" s="217"/>
      <c r="AH332" s="205" t="s">
        <v>115</v>
      </c>
      <c r="AI332" s="205" t="s">
        <v>1198</v>
      </c>
      <c r="AJ332" s="205" t="s">
        <v>1199</v>
      </c>
      <c r="AK332" s="24"/>
      <c r="AL332" s="24"/>
      <c r="AM332" s="24"/>
    </row>
    <row r="333" spans="1:39" ht="15" customHeight="1">
      <c r="A333" s="22">
        <v>331</v>
      </c>
      <c r="B333" s="206" t="s">
        <v>423</v>
      </c>
      <c r="C333" s="24" t="s">
        <v>180</v>
      </c>
      <c r="D333" s="24" t="s">
        <v>1194</v>
      </c>
      <c r="E333" s="24" t="s">
        <v>1195</v>
      </c>
      <c r="F333" s="24">
        <v>1</v>
      </c>
      <c r="G333" s="24" t="s">
        <v>1135</v>
      </c>
      <c r="H333" s="24"/>
      <c r="I333" s="24"/>
      <c r="J333" s="226"/>
      <c r="K333" s="204"/>
      <c r="L333" s="204"/>
      <c r="M333" s="204"/>
      <c r="N333" s="204"/>
      <c r="O333" s="196" t="s">
        <v>423</v>
      </c>
      <c r="P333" s="196"/>
      <c r="Q333" s="24"/>
      <c r="R333" s="204"/>
      <c r="S333" s="230"/>
      <c r="T333" s="204"/>
      <c r="U333" s="229"/>
      <c r="V333" s="229"/>
      <c r="W333" s="204"/>
      <c r="X333" s="24"/>
      <c r="Y333" s="24"/>
      <c r="Z333" s="24"/>
      <c r="AA333" s="22"/>
      <c r="AB333" s="24"/>
      <c r="AC333" s="24"/>
      <c r="AD333" s="227"/>
      <c r="AE333" s="227"/>
      <c r="AF333" s="231">
        <v>260413007</v>
      </c>
      <c r="AG333" s="227"/>
      <c r="AH333" s="205" t="s">
        <v>115</v>
      </c>
      <c r="AI333" s="205" t="s">
        <v>424</v>
      </c>
      <c r="AJ333" s="205" t="s">
        <v>425</v>
      </c>
      <c r="AK333" s="24"/>
      <c r="AL333" s="24"/>
      <c r="AM333" s="24"/>
    </row>
    <row r="334" spans="1:39" ht="12.75" customHeight="1">
      <c r="A334" s="22">
        <v>332</v>
      </c>
      <c r="B334" s="206" t="s">
        <v>1200</v>
      </c>
      <c r="C334" s="24" t="s">
        <v>180</v>
      </c>
      <c r="D334" s="24" t="s">
        <v>1194</v>
      </c>
      <c r="E334" s="24" t="s">
        <v>1195</v>
      </c>
      <c r="F334" s="24">
        <v>1</v>
      </c>
      <c r="G334" s="24" t="s">
        <v>1135</v>
      </c>
      <c r="H334" s="24"/>
      <c r="I334" s="24"/>
      <c r="J334" s="226"/>
      <c r="K334" s="196"/>
      <c r="L334" s="196"/>
      <c r="M334" s="196"/>
      <c r="N334" s="196"/>
      <c r="O334" s="204" t="s">
        <v>1200</v>
      </c>
      <c r="P334" s="196"/>
      <c r="Q334" s="24"/>
      <c r="R334" s="196"/>
      <c r="S334" s="230"/>
      <c r="T334" s="196"/>
      <c r="U334" s="229"/>
      <c r="V334" s="229"/>
      <c r="W334" s="196"/>
      <c r="X334" s="24"/>
      <c r="Y334" s="24"/>
      <c r="Z334" s="24"/>
      <c r="AA334" s="22"/>
      <c r="AB334" s="24"/>
      <c r="AC334" s="24"/>
      <c r="AD334" s="227"/>
      <c r="AE334" s="227"/>
      <c r="AF334" s="227"/>
      <c r="AG334" s="227"/>
      <c r="AH334" s="205" t="s">
        <v>115</v>
      </c>
      <c r="AI334" s="205" t="s">
        <v>1201</v>
      </c>
      <c r="AJ334" s="205" t="s">
        <v>1202</v>
      </c>
      <c r="AK334" s="24"/>
      <c r="AL334" s="24"/>
      <c r="AM334" s="24"/>
    </row>
    <row r="335" spans="1:39" ht="39" customHeight="1">
      <c r="A335" s="22">
        <v>333</v>
      </c>
      <c r="B335" s="206" t="s">
        <v>1204</v>
      </c>
      <c r="C335" s="24" t="s">
        <v>180</v>
      </c>
      <c r="D335" s="24" t="s">
        <v>1194</v>
      </c>
      <c r="E335" s="24" t="s">
        <v>1195</v>
      </c>
      <c r="F335" s="24">
        <v>1</v>
      </c>
      <c r="G335" s="24" t="s">
        <v>1135</v>
      </c>
      <c r="H335" s="24"/>
      <c r="I335" s="24"/>
      <c r="J335" s="226"/>
      <c r="K335" s="196"/>
      <c r="L335" s="196"/>
      <c r="M335" s="196"/>
      <c r="N335" s="196"/>
      <c r="O335" s="204" t="s">
        <v>1204</v>
      </c>
      <c r="P335" s="196"/>
      <c r="Q335" s="24"/>
      <c r="R335" s="196"/>
      <c r="S335" s="230"/>
      <c r="T335" s="196"/>
      <c r="U335" s="229"/>
      <c r="V335" s="229"/>
      <c r="W335" s="196"/>
      <c r="X335" s="24"/>
      <c r="Y335" s="24"/>
      <c r="Z335" s="24"/>
      <c r="AA335" s="22"/>
      <c r="AB335" s="24"/>
      <c r="AC335" s="24"/>
      <c r="AD335" s="231" t="s">
        <v>717</v>
      </c>
      <c r="AE335" s="227"/>
      <c r="AF335" s="231">
        <v>77176002</v>
      </c>
      <c r="AG335" s="227"/>
      <c r="AH335" s="205" t="s">
        <v>115</v>
      </c>
      <c r="AI335" s="205" t="s">
        <v>1205</v>
      </c>
      <c r="AJ335" s="205" t="s">
        <v>1206</v>
      </c>
      <c r="AK335" s="24"/>
      <c r="AL335" s="24"/>
      <c r="AM335" s="24"/>
    </row>
    <row r="336" spans="1:39" ht="51.75" customHeight="1">
      <c r="A336" s="22">
        <v>334</v>
      </c>
      <c r="B336" s="206" t="s">
        <v>1207</v>
      </c>
      <c r="C336" s="24" t="s">
        <v>180</v>
      </c>
      <c r="D336" s="24" t="s">
        <v>1194</v>
      </c>
      <c r="E336" s="24" t="s">
        <v>1195</v>
      </c>
      <c r="F336" s="24">
        <v>1</v>
      </c>
      <c r="G336" s="24" t="s">
        <v>1135</v>
      </c>
      <c r="H336" s="24"/>
      <c r="I336" s="24"/>
      <c r="J336" s="226"/>
      <c r="K336" s="196"/>
      <c r="L336" s="196"/>
      <c r="M336" s="196"/>
      <c r="N336" s="196"/>
      <c r="O336" s="204" t="s">
        <v>1207</v>
      </c>
      <c r="P336" s="196"/>
      <c r="Q336" s="24"/>
      <c r="R336" s="196"/>
      <c r="S336" s="226"/>
      <c r="T336" s="196"/>
      <c r="U336" s="229"/>
      <c r="V336" s="229"/>
      <c r="W336" s="196"/>
      <c r="X336" s="24"/>
      <c r="Y336" s="24"/>
      <c r="Z336" s="24"/>
      <c r="AA336" s="22"/>
      <c r="AB336" s="24"/>
      <c r="AC336" s="24"/>
      <c r="AD336" s="232" t="s">
        <v>1208</v>
      </c>
      <c r="AE336" s="227"/>
      <c r="AF336" s="231">
        <v>43381005</v>
      </c>
      <c r="AG336" s="227"/>
      <c r="AH336" s="205" t="s">
        <v>115</v>
      </c>
      <c r="AI336" s="205" t="s">
        <v>1091</v>
      </c>
      <c r="AJ336" s="205" t="s">
        <v>1092</v>
      </c>
      <c r="AK336" s="24"/>
      <c r="AL336" s="24"/>
      <c r="AM336" s="24"/>
    </row>
    <row r="337" spans="1:39" ht="12.75" customHeight="1">
      <c r="A337" s="22">
        <v>335</v>
      </c>
      <c r="B337" s="206" t="s">
        <v>1209</v>
      </c>
      <c r="C337" s="24" t="s">
        <v>180</v>
      </c>
      <c r="D337" s="24" t="s">
        <v>1194</v>
      </c>
      <c r="E337" s="24" t="s">
        <v>1195</v>
      </c>
      <c r="F337" s="24">
        <v>1</v>
      </c>
      <c r="G337" s="24" t="s">
        <v>1135</v>
      </c>
      <c r="H337" s="24"/>
      <c r="I337" s="24"/>
      <c r="J337" s="226"/>
      <c r="K337" s="196"/>
      <c r="L337" s="196"/>
      <c r="M337" s="196"/>
      <c r="N337" s="196"/>
      <c r="O337" s="204" t="s">
        <v>1209</v>
      </c>
      <c r="P337" s="196"/>
      <c r="Q337" s="24"/>
      <c r="R337" s="196"/>
      <c r="S337" s="229"/>
      <c r="T337" s="196"/>
      <c r="U337" s="229"/>
      <c r="V337" s="229"/>
      <c r="W337" s="196"/>
      <c r="X337" s="24"/>
      <c r="Y337" s="24"/>
      <c r="Z337" s="24"/>
      <c r="AA337" s="22"/>
      <c r="AB337" s="24"/>
      <c r="AC337" s="24"/>
      <c r="AD337" s="228"/>
      <c r="AE337" s="228"/>
      <c r="AF337" s="233"/>
      <c r="AG337" s="233"/>
      <c r="AH337" s="205" t="s">
        <v>115</v>
      </c>
      <c r="AI337" s="205" t="s">
        <v>1210</v>
      </c>
      <c r="AJ337" s="205" t="s">
        <v>1211</v>
      </c>
      <c r="AK337" s="24"/>
      <c r="AL337" s="24"/>
      <c r="AM337" s="24"/>
    </row>
    <row r="338" spans="1:39" ht="15" customHeight="1">
      <c r="A338" s="22">
        <v>336</v>
      </c>
      <c r="B338" s="206" t="s">
        <v>720</v>
      </c>
      <c r="C338" s="24" t="s">
        <v>180</v>
      </c>
      <c r="D338" s="24" t="s">
        <v>1194</v>
      </c>
      <c r="E338" s="24" t="s">
        <v>1195</v>
      </c>
      <c r="F338" s="24">
        <v>1</v>
      </c>
      <c r="G338" s="24" t="s">
        <v>1135</v>
      </c>
      <c r="H338" s="24"/>
      <c r="I338" s="24"/>
      <c r="J338" s="226"/>
      <c r="K338" s="196"/>
      <c r="L338" s="196"/>
      <c r="M338" s="196"/>
      <c r="N338" s="196"/>
      <c r="O338" s="204" t="s">
        <v>720</v>
      </c>
      <c r="P338" s="196"/>
      <c r="Q338" s="24"/>
      <c r="R338" s="196"/>
      <c r="S338" s="229"/>
      <c r="T338" s="196"/>
      <c r="U338" s="229"/>
      <c r="V338" s="229"/>
      <c r="W338" s="196"/>
      <c r="X338" s="24"/>
      <c r="Y338" s="24"/>
      <c r="Z338" s="24"/>
      <c r="AA338" s="22"/>
      <c r="AB338" s="24"/>
      <c r="AC338" s="24"/>
      <c r="AD338" s="227"/>
      <c r="AE338" s="25"/>
      <c r="AF338" s="231">
        <v>219006</v>
      </c>
      <c r="AG338" s="28"/>
      <c r="AH338" s="205" t="s">
        <v>115</v>
      </c>
      <c r="AI338" s="205" t="s">
        <v>721</v>
      </c>
      <c r="AJ338" s="205" t="s">
        <v>722</v>
      </c>
      <c r="AK338" s="24"/>
      <c r="AL338" s="24"/>
      <c r="AM338" s="24"/>
    </row>
    <row r="339" spans="1:39" ht="15" customHeight="1">
      <c r="A339" s="22">
        <v>337</v>
      </c>
      <c r="B339" s="206" t="s">
        <v>723</v>
      </c>
      <c r="C339" s="24" t="s">
        <v>180</v>
      </c>
      <c r="D339" s="24" t="s">
        <v>1194</v>
      </c>
      <c r="E339" s="24" t="s">
        <v>1195</v>
      </c>
      <c r="F339" s="24">
        <v>1</v>
      </c>
      <c r="G339" s="24" t="s">
        <v>1135</v>
      </c>
      <c r="H339" s="24"/>
      <c r="I339" s="24"/>
      <c r="J339" s="226"/>
      <c r="K339" s="196"/>
      <c r="L339" s="196"/>
      <c r="M339" s="196"/>
      <c r="N339" s="196"/>
      <c r="O339" s="204" t="s">
        <v>723</v>
      </c>
      <c r="P339" s="196"/>
      <c r="Q339" s="24"/>
      <c r="R339" s="196"/>
      <c r="S339" s="229"/>
      <c r="T339" s="196"/>
      <c r="U339" s="229"/>
      <c r="V339" s="229"/>
      <c r="W339" s="196"/>
      <c r="X339" s="24"/>
      <c r="Y339" s="24"/>
      <c r="Z339" s="24"/>
      <c r="AA339" s="22"/>
      <c r="AB339" s="24"/>
      <c r="AC339" s="24"/>
      <c r="AD339" s="227"/>
      <c r="AE339" s="25"/>
      <c r="AF339" s="231">
        <v>371422002</v>
      </c>
      <c r="AG339" s="28"/>
      <c r="AH339" s="205" t="s">
        <v>115</v>
      </c>
      <c r="AI339" s="205" t="s">
        <v>724</v>
      </c>
      <c r="AJ339" s="205" t="s">
        <v>725</v>
      </c>
      <c r="AK339" s="24"/>
      <c r="AL339" s="24"/>
      <c r="AM339" s="24"/>
    </row>
    <row r="340" spans="1:39" ht="12.75" customHeight="1">
      <c r="A340" s="22">
        <v>338</v>
      </c>
      <c r="B340" s="206" t="s">
        <v>1214</v>
      </c>
      <c r="C340" s="24" t="s">
        <v>96</v>
      </c>
      <c r="D340" s="24"/>
      <c r="E340" s="24" t="s">
        <v>1215</v>
      </c>
      <c r="F340" s="24">
        <v>1</v>
      </c>
      <c r="G340" s="24" t="s">
        <v>1135</v>
      </c>
      <c r="H340" s="24"/>
      <c r="I340" s="24"/>
      <c r="J340" s="226"/>
      <c r="K340" s="204" t="s">
        <v>1214</v>
      </c>
      <c r="L340" s="234" t="s">
        <v>1216</v>
      </c>
      <c r="M340" s="204" t="s">
        <v>1217</v>
      </c>
      <c r="N340" s="204" t="s">
        <v>238</v>
      </c>
      <c r="O340" s="196"/>
      <c r="P340" s="196"/>
      <c r="Q340" s="24"/>
      <c r="R340" s="204" t="s">
        <v>1056</v>
      </c>
      <c r="S340" s="229"/>
      <c r="T340" s="204" t="s">
        <v>113</v>
      </c>
      <c r="U340" s="229"/>
      <c r="V340" s="229"/>
      <c r="W340" s="204" t="s">
        <v>115</v>
      </c>
      <c r="X340" s="24"/>
      <c r="Y340" s="24"/>
      <c r="Z340" s="24"/>
      <c r="AA340" s="22"/>
      <c r="AB340" s="24"/>
      <c r="AC340" s="24"/>
      <c r="AD340" s="228"/>
      <c r="AE340" s="120"/>
      <c r="AF340" s="217"/>
      <c r="AG340" s="217"/>
      <c r="AH340" s="235" t="s">
        <v>1219</v>
      </c>
      <c r="AI340" s="236" t="s">
        <v>1220</v>
      </c>
      <c r="AJ340" s="235" t="s">
        <v>1221</v>
      </c>
      <c r="AK340" s="24"/>
      <c r="AL340" s="24"/>
      <c r="AM340" s="24"/>
    </row>
    <row r="341" spans="1:39" ht="15" customHeight="1">
      <c r="A341" s="22">
        <v>339</v>
      </c>
      <c r="B341" s="206" t="s">
        <v>423</v>
      </c>
      <c r="C341" s="24" t="s">
        <v>180</v>
      </c>
      <c r="D341" s="24" t="s">
        <v>1214</v>
      </c>
      <c r="E341" s="24" t="s">
        <v>1215</v>
      </c>
      <c r="F341" s="24">
        <v>1</v>
      </c>
      <c r="G341" s="24" t="s">
        <v>1135</v>
      </c>
      <c r="H341" s="24"/>
      <c r="I341" s="24"/>
      <c r="J341" s="226"/>
      <c r="K341" s="204"/>
      <c r="L341" s="204"/>
      <c r="M341" s="204"/>
      <c r="N341" s="196"/>
      <c r="O341" s="196" t="s">
        <v>423</v>
      </c>
      <c r="P341" s="196"/>
      <c r="Q341" s="24"/>
      <c r="R341" s="204"/>
      <c r="S341" s="229"/>
      <c r="T341" s="204"/>
      <c r="U341" s="229"/>
      <c r="V341" s="229"/>
      <c r="W341" s="204"/>
      <c r="X341" s="24"/>
      <c r="Y341" s="24"/>
      <c r="Z341" s="24"/>
      <c r="AA341" s="22"/>
      <c r="AB341" s="24"/>
      <c r="AC341" s="24"/>
      <c r="AD341" s="227"/>
      <c r="AE341" s="25"/>
      <c r="AF341" s="231">
        <v>260413007</v>
      </c>
      <c r="AG341" s="28"/>
      <c r="AH341" s="205" t="s">
        <v>115</v>
      </c>
      <c r="AI341" s="223" t="s">
        <v>424</v>
      </c>
      <c r="AJ341" s="205" t="s">
        <v>425</v>
      </c>
      <c r="AK341" s="24"/>
      <c r="AL341" s="24"/>
      <c r="AM341" s="24"/>
    </row>
    <row r="342" spans="1:39" ht="15" customHeight="1">
      <c r="A342" s="22">
        <v>340</v>
      </c>
      <c r="B342" s="206" t="s">
        <v>1223</v>
      </c>
      <c r="C342" s="24" t="s">
        <v>180</v>
      </c>
      <c r="D342" s="24" t="s">
        <v>1214</v>
      </c>
      <c r="E342" s="24" t="s">
        <v>1215</v>
      </c>
      <c r="F342" s="24">
        <v>1</v>
      </c>
      <c r="G342" s="24" t="s">
        <v>1135</v>
      </c>
      <c r="H342" s="24"/>
      <c r="I342" s="24"/>
      <c r="J342" s="226"/>
      <c r="K342" s="204"/>
      <c r="L342" s="204"/>
      <c r="M342" s="204"/>
      <c r="N342" s="196"/>
      <c r="O342" s="196" t="s">
        <v>1223</v>
      </c>
      <c r="P342" s="196"/>
      <c r="Q342" s="24"/>
      <c r="R342" s="204"/>
      <c r="S342" s="229"/>
      <c r="T342" s="204"/>
      <c r="U342" s="229"/>
      <c r="V342" s="229"/>
      <c r="W342" s="204"/>
      <c r="X342" s="24"/>
      <c r="Y342" s="24"/>
      <c r="Z342" s="24"/>
      <c r="AA342" s="22"/>
      <c r="AB342" s="24"/>
      <c r="AC342" s="24"/>
      <c r="AD342" s="231" t="s">
        <v>331</v>
      </c>
      <c r="AE342" s="25"/>
      <c r="AF342" s="28">
        <v>16932000</v>
      </c>
      <c r="AG342" s="28"/>
      <c r="AH342" s="205" t="s">
        <v>115</v>
      </c>
      <c r="AI342" s="223" t="s">
        <v>1224</v>
      </c>
      <c r="AJ342" s="207" t="s">
        <v>1225</v>
      </c>
      <c r="AK342" s="24"/>
      <c r="AL342" s="24"/>
      <c r="AM342" s="24"/>
    </row>
    <row r="343" spans="1:39" ht="15" customHeight="1">
      <c r="A343" s="22">
        <v>341</v>
      </c>
      <c r="B343" s="206" t="s">
        <v>302</v>
      </c>
      <c r="C343" s="24" t="s">
        <v>180</v>
      </c>
      <c r="D343" s="24" t="s">
        <v>1214</v>
      </c>
      <c r="E343" s="24" t="s">
        <v>1215</v>
      </c>
      <c r="F343" s="24">
        <v>1</v>
      </c>
      <c r="G343" s="24" t="s">
        <v>1135</v>
      </c>
      <c r="H343" s="24"/>
      <c r="I343" s="24"/>
      <c r="J343" s="226"/>
      <c r="K343" s="204"/>
      <c r="L343" s="204"/>
      <c r="M343" s="204"/>
      <c r="N343" s="196"/>
      <c r="O343" s="196" t="s">
        <v>302</v>
      </c>
      <c r="P343" s="196"/>
      <c r="Q343" s="24"/>
      <c r="R343" s="204"/>
      <c r="S343" s="229"/>
      <c r="T343" s="204"/>
      <c r="U343" s="229"/>
      <c r="V343" s="229"/>
      <c r="W343" s="204"/>
      <c r="X343" s="24"/>
      <c r="Y343" s="24"/>
      <c r="Z343" s="24"/>
      <c r="AA343" s="22"/>
      <c r="AB343" s="24"/>
      <c r="AC343" s="24"/>
      <c r="AD343" s="231" t="s">
        <v>303</v>
      </c>
      <c r="AE343" s="25"/>
      <c r="AF343" s="231">
        <v>16331000</v>
      </c>
      <c r="AG343" s="28"/>
      <c r="AH343" s="205" t="s">
        <v>115</v>
      </c>
      <c r="AI343" s="223" t="s">
        <v>305</v>
      </c>
      <c r="AJ343" s="205" t="s">
        <v>306</v>
      </c>
      <c r="AK343" s="24"/>
      <c r="AL343" s="24"/>
      <c r="AM343" s="24"/>
    </row>
    <row r="344" spans="1:39" ht="15" customHeight="1">
      <c r="A344" s="22">
        <v>342</v>
      </c>
      <c r="B344" s="206" t="s">
        <v>307</v>
      </c>
      <c r="C344" s="24" t="s">
        <v>180</v>
      </c>
      <c r="D344" s="24" t="s">
        <v>1214</v>
      </c>
      <c r="E344" s="24" t="s">
        <v>1215</v>
      </c>
      <c r="F344" s="24">
        <v>1</v>
      </c>
      <c r="G344" s="24" t="s">
        <v>1135</v>
      </c>
      <c r="H344" s="24"/>
      <c r="I344" s="24"/>
      <c r="J344" s="226"/>
      <c r="K344" s="204"/>
      <c r="L344" s="204"/>
      <c r="M344" s="204"/>
      <c r="N344" s="196"/>
      <c r="O344" s="196" t="s">
        <v>307</v>
      </c>
      <c r="P344" s="196"/>
      <c r="Q344" s="24"/>
      <c r="R344" s="204"/>
      <c r="S344" s="229"/>
      <c r="T344" s="204"/>
      <c r="U344" s="229"/>
      <c r="V344" s="229"/>
      <c r="W344" s="204"/>
      <c r="X344" s="24"/>
      <c r="Y344" s="24"/>
      <c r="Z344" s="24"/>
      <c r="AA344" s="22"/>
      <c r="AB344" s="24"/>
      <c r="AC344" s="24"/>
      <c r="AD344" s="232" t="s">
        <v>309</v>
      </c>
      <c r="AE344" s="25"/>
      <c r="AF344" s="231">
        <v>449917004</v>
      </c>
      <c r="AG344" s="28"/>
      <c r="AH344" s="205" t="s">
        <v>115</v>
      </c>
      <c r="AI344" s="223" t="s">
        <v>310</v>
      </c>
      <c r="AJ344" s="205" t="s">
        <v>311</v>
      </c>
      <c r="AK344" s="24"/>
      <c r="AL344" s="24"/>
      <c r="AM344" s="24"/>
    </row>
    <row r="345" spans="1:39" ht="15" customHeight="1">
      <c r="A345" s="22">
        <v>343</v>
      </c>
      <c r="B345" s="206" t="s">
        <v>249</v>
      </c>
      <c r="C345" s="24" t="s">
        <v>180</v>
      </c>
      <c r="D345" s="24" t="s">
        <v>1214</v>
      </c>
      <c r="E345" s="24" t="s">
        <v>1215</v>
      </c>
      <c r="F345" s="24">
        <v>1</v>
      </c>
      <c r="G345" s="24" t="s">
        <v>1135</v>
      </c>
      <c r="H345" s="24"/>
      <c r="I345" s="24"/>
      <c r="J345" s="226"/>
      <c r="K345" s="204"/>
      <c r="L345" s="204"/>
      <c r="M345" s="204"/>
      <c r="N345" s="196"/>
      <c r="O345" s="196" t="s">
        <v>249</v>
      </c>
      <c r="P345" s="196"/>
      <c r="Q345" s="24"/>
      <c r="R345" s="204"/>
      <c r="S345" s="229"/>
      <c r="T345" s="204"/>
      <c r="U345" s="229"/>
      <c r="V345" s="229"/>
      <c r="W345" s="204"/>
      <c r="X345" s="24"/>
      <c r="Y345" s="24"/>
      <c r="Z345" s="24"/>
      <c r="AA345" s="22"/>
      <c r="AB345" s="24"/>
      <c r="AC345" s="24"/>
      <c r="AD345" s="231" t="s">
        <v>251</v>
      </c>
      <c r="AE345" s="25"/>
      <c r="AF345" s="231">
        <v>14760008</v>
      </c>
      <c r="AG345" s="28"/>
      <c r="AH345" s="205" t="s">
        <v>115</v>
      </c>
      <c r="AI345" s="223" t="s">
        <v>252</v>
      </c>
      <c r="AJ345" s="205" t="s">
        <v>253</v>
      </c>
      <c r="AK345" s="24"/>
      <c r="AL345" s="24"/>
      <c r="AM345" s="24"/>
    </row>
    <row r="346" spans="1:39" ht="15" customHeight="1">
      <c r="A346" s="22">
        <v>344</v>
      </c>
      <c r="B346" s="206" t="s">
        <v>320</v>
      </c>
      <c r="C346" s="24" t="s">
        <v>180</v>
      </c>
      <c r="D346" s="24" t="s">
        <v>1214</v>
      </c>
      <c r="E346" s="24" t="s">
        <v>1215</v>
      </c>
      <c r="F346" s="24">
        <v>1</v>
      </c>
      <c r="G346" s="24" t="s">
        <v>1135</v>
      </c>
      <c r="H346" s="24"/>
      <c r="I346" s="24"/>
      <c r="J346" s="226"/>
      <c r="K346" s="204"/>
      <c r="L346" s="204"/>
      <c r="M346" s="204"/>
      <c r="N346" s="196"/>
      <c r="O346" s="196" t="s">
        <v>320</v>
      </c>
      <c r="P346" s="196"/>
      <c r="Q346" s="24"/>
      <c r="R346" s="204"/>
      <c r="S346" s="229"/>
      <c r="T346" s="204"/>
      <c r="U346" s="229"/>
      <c r="V346" s="229"/>
      <c r="W346" s="204"/>
      <c r="X346" s="24"/>
      <c r="Y346" s="24"/>
      <c r="Z346" s="24"/>
      <c r="AA346" s="22"/>
      <c r="AB346" s="24"/>
      <c r="AC346" s="24"/>
      <c r="AD346" s="231" t="s">
        <v>322</v>
      </c>
      <c r="AE346" s="25"/>
      <c r="AF346" s="231">
        <v>279039007</v>
      </c>
      <c r="AG346" s="28"/>
      <c r="AH346" s="205" t="s">
        <v>115</v>
      </c>
      <c r="AI346" s="223" t="s">
        <v>323</v>
      </c>
      <c r="AJ346" s="205" t="s">
        <v>324</v>
      </c>
      <c r="AK346" s="24"/>
      <c r="AL346" s="24"/>
      <c r="AM346" s="24"/>
    </row>
    <row r="347" spans="1:39" ht="15" customHeight="1">
      <c r="A347" s="22">
        <v>345</v>
      </c>
      <c r="B347" s="206" t="s">
        <v>325</v>
      </c>
      <c r="C347" s="24" t="s">
        <v>180</v>
      </c>
      <c r="D347" s="24" t="s">
        <v>1214</v>
      </c>
      <c r="E347" s="24" t="s">
        <v>1215</v>
      </c>
      <c r="F347" s="24">
        <v>1</v>
      </c>
      <c r="G347" s="24" t="s">
        <v>1135</v>
      </c>
      <c r="H347" s="24"/>
      <c r="I347" s="24"/>
      <c r="J347" s="226"/>
      <c r="K347" s="204"/>
      <c r="L347" s="204"/>
      <c r="M347" s="204"/>
      <c r="N347" s="196"/>
      <c r="O347" s="196" t="s">
        <v>325</v>
      </c>
      <c r="P347" s="196"/>
      <c r="Q347" s="24"/>
      <c r="R347" s="204"/>
      <c r="S347" s="229"/>
      <c r="T347" s="204"/>
      <c r="U347" s="229"/>
      <c r="V347" s="229"/>
      <c r="W347" s="204"/>
      <c r="X347" s="24"/>
      <c r="Y347" s="24"/>
      <c r="Z347" s="24"/>
      <c r="AA347" s="22"/>
      <c r="AB347" s="24"/>
      <c r="AC347" s="24"/>
      <c r="AD347" s="232" t="s">
        <v>326</v>
      </c>
      <c r="AE347" s="25"/>
      <c r="AF347" s="231">
        <v>30473006</v>
      </c>
      <c r="AG347" s="28"/>
      <c r="AH347" s="205" t="s">
        <v>115</v>
      </c>
      <c r="AI347" s="223" t="s">
        <v>328</v>
      </c>
      <c r="AJ347" s="205" t="s">
        <v>329</v>
      </c>
      <c r="AK347" s="24"/>
      <c r="AL347" s="24"/>
      <c r="AM347" s="24"/>
    </row>
    <row r="348" spans="1:39" ht="15" customHeight="1">
      <c r="A348" s="22">
        <v>346</v>
      </c>
      <c r="B348" s="206" t="s">
        <v>1229</v>
      </c>
      <c r="C348" s="24" t="s">
        <v>180</v>
      </c>
      <c r="D348" s="24" t="s">
        <v>1214</v>
      </c>
      <c r="E348" s="24" t="s">
        <v>1215</v>
      </c>
      <c r="F348" s="24">
        <v>1</v>
      </c>
      <c r="G348" s="24" t="s">
        <v>1135</v>
      </c>
      <c r="H348" s="24"/>
      <c r="I348" s="24"/>
      <c r="J348" s="226"/>
      <c r="K348" s="204"/>
      <c r="L348" s="204"/>
      <c r="M348" s="204"/>
      <c r="N348" s="196"/>
      <c r="O348" s="196" t="s">
        <v>1229</v>
      </c>
      <c r="P348" s="196"/>
      <c r="Q348" s="24"/>
      <c r="R348" s="204"/>
      <c r="S348" s="229"/>
      <c r="T348" s="204"/>
      <c r="U348" s="229"/>
      <c r="V348" s="229"/>
      <c r="W348" s="204"/>
      <c r="X348" s="24"/>
      <c r="Y348" s="24"/>
      <c r="Z348" s="24"/>
      <c r="AA348" s="22"/>
      <c r="AB348" s="24"/>
      <c r="AC348" s="24"/>
      <c r="AD348" s="231" t="s">
        <v>1230</v>
      </c>
      <c r="AE348" s="25"/>
      <c r="AF348" s="231">
        <v>72866009</v>
      </c>
      <c r="AG348" s="28"/>
      <c r="AH348" s="235" t="s">
        <v>115</v>
      </c>
      <c r="AI348" s="236" t="s">
        <v>1231</v>
      </c>
      <c r="AJ348" s="235" t="s">
        <v>1233</v>
      </c>
      <c r="AK348" s="24"/>
      <c r="AL348" s="24"/>
      <c r="AM348" s="24"/>
    </row>
    <row r="349" spans="1:39" ht="15" customHeight="1">
      <c r="A349" s="22">
        <v>347</v>
      </c>
      <c r="B349" s="206" t="s">
        <v>340</v>
      </c>
      <c r="C349" s="24" t="s">
        <v>180</v>
      </c>
      <c r="D349" s="24" t="s">
        <v>1214</v>
      </c>
      <c r="E349" s="24" t="s">
        <v>1215</v>
      </c>
      <c r="F349" s="24">
        <v>1</v>
      </c>
      <c r="G349" s="24" t="s">
        <v>1135</v>
      </c>
      <c r="H349" s="24"/>
      <c r="I349" s="24"/>
      <c r="J349" s="226"/>
      <c r="K349" s="204"/>
      <c r="L349" s="204"/>
      <c r="M349" s="204"/>
      <c r="N349" s="196"/>
      <c r="O349" s="196" t="s">
        <v>340</v>
      </c>
      <c r="P349" s="196"/>
      <c r="Q349" s="24"/>
      <c r="R349" s="204"/>
      <c r="S349" s="229"/>
      <c r="T349" s="204"/>
      <c r="U349" s="229"/>
      <c r="V349" s="229"/>
      <c r="W349" s="204"/>
      <c r="X349" s="24"/>
      <c r="Y349" s="24"/>
      <c r="Z349" s="24"/>
      <c r="AA349" s="22"/>
      <c r="AB349" s="24"/>
      <c r="AC349" s="24"/>
      <c r="AD349" s="232" t="s">
        <v>342</v>
      </c>
      <c r="AE349" s="25"/>
      <c r="AF349" s="231">
        <v>267038008</v>
      </c>
      <c r="AG349" s="28"/>
      <c r="AH349" s="238" t="s">
        <v>115</v>
      </c>
      <c r="AI349" s="223" t="s">
        <v>343</v>
      </c>
      <c r="AJ349" s="205" t="s">
        <v>344</v>
      </c>
      <c r="AK349" s="24"/>
      <c r="AL349" s="24"/>
      <c r="AM349" s="24"/>
    </row>
    <row r="350" spans="1:39" ht="51.75" customHeight="1">
      <c r="A350" s="22">
        <v>348</v>
      </c>
      <c r="B350" s="206" t="s">
        <v>423</v>
      </c>
      <c r="C350" s="24" t="s">
        <v>180</v>
      </c>
      <c r="D350" s="24" t="s">
        <v>1214</v>
      </c>
      <c r="E350" s="24" t="s">
        <v>1215</v>
      </c>
      <c r="F350" s="24">
        <v>1</v>
      </c>
      <c r="G350" s="24" t="s">
        <v>1135</v>
      </c>
      <c r="H350" s="24"/>
      <c r="I350" s="24"/>
      <c r="J350" s="226"/>
      <c r="K350" s="196"/>
      <c r="L350" s="204"/>
      <c r="M350" s="204" t="s">
        <v>1235</v>
      </c>
      <c r="N350" s="204" t="s">
        <v>238</v>
      </c>
      <c r="O350" s="196" t="s">
        <v>423</v>
      </c>
      <c r="P350" s="196"/>
      <c r="Q350" s="24"/>
      <c r="R350" s="239" t="s">
        <v>1056</v>
      </c>
      <c r="S350" s="229"/>
      <c r="T350" s="204"/>
      <c r="U350" s="229"/>
      <c r="V350" s="229"/>
      <c r="W350" s="196"/>
      <c r="X350" s="24"/>
      <c r="Y350" s="24"/>
      <c r="Z350" s="24"/>
      <c r="AA350" s="22"/>
      <c r="AB350" s="24"/>
      <c r="AC350" s="24"/>
      <c r="AD350" s="227"/>
      <c r="AE350" s="25"/>
      <c r="AF350" s="231">
        <v>260413007</v>
      </c>
      <c r="AG350" s="28"/>
      <c r="AH350" s="205" t="s">
        <v>115</v>
      </c>
      <c r="AI350" s="223" t="s">
        <v>424</v>
      </c>
      <c r="AJ350" s="205" t="s">
        <v>425</v>
      </c>
      <c r="AK350" s="24"/>
      <c r="AL350" s="24"/>
      <c r="AM350" s="24"/>
    </row>
    <row r="351" spans="1:39" ht="15" customHeight="1">
      <c r="A351" s="22">
        <v>349</v>
      </c>
      <c r="B351" s="206" t="s">
        <v>254</v>
      </c>
      <c r="C351" s="24" t="s">
        <v>180</v>
      </c>
      <c r="D351" s="24" t="s">
        <v>1214</v>
      </c>
      <c r="E351" s="24" t="s">
        <v>1215</v>
      </c>
      <c r="F351" s="24">
        <v>1</v>
      </c>
      <c r="G351" s="24" t="s">
        <v>1135</v>
      </c>
      <c r="H351" s="24"/>
      <c r="I351" s="24"/>
      <c r="J351" s="226"/>
      <c r="K351" s="196"/>
      <c r="L351" s="204"/>
      <c r="M351" s="204"/>
      <c r="N351" s="204"/>
      <c r="O351" s="196" t="s">
        <v>254</v>
      </c>
      <c r="P351" s="196"/>
      <c r="Q351" s="24"/>
      <c r="R351" s="196"/>
      <c r="S351" s="229"/>
      <c r="T351" s="204"/>
      <c r="U351" s="229"/>
      <c r="V351" s="229"/>
      <c r="W351" s="196"/>
      <c r="X351" s="24"/>
      <c r="Y351" s="24"/>
      <c r="Z351" s="24"/>
      <c r="AA351" s="22"/>
      <c r="AB351" s="24"/>
      <c r="AC351" s="24"/>
      <c r="AD351" s="227"/>
      <c r="AE351" s="25"/>
      <c r="AF351" s="231">
        <v>289741005</v>
      </c>
      <c r="AG351" s="28"/>
      <c r="AH351" s="205" t="s">
        <v>115</v>
      </c>
      <c r="AI351" s="223" t="s">
        <v>256</v>
      </c>
      <c r="AJ351" s="205" t="s">
        <v>257</v>
      </c>
      <c r="AK351" s="24"/>
      <c r="AL351" s="24"/>
      <c r="AM351" s="24"/>
    </row>
    <row r="352" spans="1:39" ht="15" customHeight="1">
      <c r="A352" s="22">
        <v>350</v>
      </c>
      <c r="B352" s="206" t="s">
        <v>369</v>
      </c>
      <c r="C352" s="24" t="s">
        <v>180</v>
      </c>
      <c r="D352" s="24" t="s">
        <v>1214</v>
      </c>
      <c r="E352" s="24" t="s">
        <v>1215</v>
      </c>
      <c r="F352" s="24">
        <v>1</v>
      </c>
      <c r="G352" s="24" t="s">
        <v>1135</v>
      </c>
      <c r="H352" s="24"/>
      <c r="I352" s="24"/>
      <c r="J352" s="226"/>
      <c r="K352" s="196"/>
      <c r="L352" s="204"/>
      <c r="M352" s="204"/>
      <c r="N352" s="204"/>
      <c r="O352" s="196" t="s">
        <v>369</v>
      </c>
      <c r="P352" s="196"/>
      <c r="Q352" s="24"/>
      <c r="R352" s="196"/>
      <c r="S352" s="229"/>
      <c r="T352" s="204"/>
      <c r="U352" s="229"/>
      <c r="V352" s="229"/>
      <c r="W352" s="196"/>
      <c r="X352" s="24"/>
      <c r="Y352" s="24"/>
      <c r="Z352" s="24"/>
      <c r="AA352" s="22"/>
      <c r="AB352" s="24"/>
      <c r="AC352" s="24"/>
      <c r="AD352" s="231" t="s">
        <v>370</v>
      </c>
      <c r="AE352" s="25"/>
      <c r="AF352" s="231">
        <v>49650001</v>
      </c>
      <c r="AG352" s="28"/>
      <c r="AH352" s="205" t="s">
        <v>115</v>
      </c>
      <c r="AI352" s="223" t="s">
        <v>371</v>
      </c>
      <c r="AJ352" s="205" t="s">
        <v>372</v>
      </c>
      <c r="AK352" s="24"/>
      <c r="AL352" s="24"/>
      <c r="AM352" s="24"/>
    </row>
    <row r="353" spans="1:39" ht="12.75" customHeight="1">
      <c r="A353" s="22">
        <v>351</v>
      </c>
      <c r="B353" s="206" t="s">
        <v>1237</v>
      </c>
      <c r="C353" s="24" t="s">
        <v>180</v>
      </c>
      <c r="D353" s="24" t="s">
        <v>1214</v>
      </c>
      <c r="E353" s="24" t="s">
        <v>1215</v>
      </c>
      <c r="F353" s="24">
        <v>1</v>
      </c>
      <c r="G353" s="24" t="s">
        <v>1135</v>
      </c>
      <c r="H353" s="24"/>
      <c r="I353" s="24"/>
      <c r="J353" s="226"/>
      <c r="K353" s="196"/>
      <c r="L353" s="204"/>
      <c r="M353" s="204"/>
      <c r="N353" s="204"/>
      <c r="O353" s="196" t="s">
        <v>1237</v>
      </c>
      <c r="P353" s="196"/>
      <c r="Q353" s="24"/>
      <c r="R353" s="196"/>
      <c r="S353" s="229"/>
      <c r="T353" s="204"/>
      <c r="U353" s="229"/>
      <c r="V353" s="229"/>
      <c r="W353" s="196"/>
      <c r="X353" s="24"/>
      <c r="Y353" s="24"/>
      <c r="Z353" s="24"/>
      <c r="AA353" s="22"/>
      <c r="AB353" s="24"/>
      <c r="AC353" s="24"/>
      <c r="AD353" s="228"/>
      <c r="AE353" s="120"/>
      <c r="AF353" s="217"/>
      <c r="AG353" s="217"/>
      <c r="AH353" s="238" t="s">
        <v>115</v>
      </c>
      <c r="AI353" s="223" t="s">
        <v>279</v>
      </c>
      <c r="AJ353" s="205" t="s">
        <v>280</v>
      </c>
      <c r="AK353" s="24"/>
      <c r="AL353" s="24"/>
      <c r="AM353" s="24"/>
    </row>
    <row r="354" spans="1:39" ht="12.75" customHeight="1">
      <c r="A354" s="22">
        <v>352</v>
      </c>
      <c r="B354" s="206" t="s">
        <v>1239</v>
      </c>
      <c r="C354" s="24" t="s">
        <v>96</v>
      </c>
      <c r="D354" s="24"/>
      <c r="E354" s="24" t="s">
        <v>1215</v>
      </c>
      <c r="F354" s="24">
        <v>1</v>
      </c>
      <c r="G354" s="24" t="s">
        <v>1135</v>
      </c>
      <c r="H354" s="24"/>
      <c r="I354" s="24"/>
      <c r="J354" s="226"/>
      <c r="K354" s="196"/>
      <c r="L354" s="204"/>
      <c r="M354" s="204" t="s">
        <v>1240</v>
      </c>
      <c r="N354" s="204" t="s">
        <v>238</v>
      </c>
      <c r="O354" s="204"/>
      <c r="P354" s="196"/>
      <c r="Q354" s="24"/>
      <c r="R354" s="196"/>
      <c r="S354" s="229"/>
      <c r="T354" s="204" t="s">
        <v>113</v>
      </c>
      <c r="U354" s="229"/>
      <c r="V354" s="229"/>
      <c r="W354" s="196" t="s">
        <v>115</v>
      </c>
      <c r="X354" s="24"/>
      <c r="Y354" s="24"/>
      <c r="Z354" s="24"/>
      <c r="AA354" s="22"/>
      <c r="AB354" s="24"/>
      <c r="AC354" s="24"/>
      <c r="AD354" s="228"/>
      <c r="AE354" s="120"/>
      <c r="AF354" s="217"/>
      <c r="AG354" s="217"/>
      <c r="AH354" s="235" t="s">
        <v>1241</v>
      </c>
      <c r="AI354" s="236" t="s">
        <v>1220</v>
      </c>
      <c r="AJ354" s="235" t="s">
        <v>1221</v>
      </c>
      <c r="AK354" s="24"/>
      <c r="AL354" s="24"/>
      <c r="AM354" s="24"/>
    </row>
    <row r="355" spans="1:39" ht="39" customHeight="1">
      <c r="A355" s="22">
        <v>353</v>
      </c>
      <c r="B355" s="206" t="s">
        <v>423</v>
      </c>
      <c r="C355" s="24" t="s">
        <v>180</v>
      </c>
      <c r="D355" s="24" t="s">
        <v>423</v>
      </c>
      <c r="E355" s="24" t="s">
        <v>1215</v>
      </c>
      <c r="F355" s="24">
        <v>1</v>
      </c>
      <c r="G355" s="24" t="s">
        <v>1135</v>
      </c>
      <c r="H355" s="24"/>
      <c r="I355" s="24"/>
      <c r="J355" s="226"/>
      <c r="K355" s="196"/>
      <c r="L355" s="196"/>
      <c r="M355" s="196"/>
      <c r="N355" s="196"/>
      <c r="O355" s="204" t="s">
        <v>423</v>
      </c>
      <c r="P355" s="196"/>
      <c r="Q355" s="24"/>
      <c r="R355" s="239" t="s">
        <v>1056</v>
      </c>
      <c r="S355" s="229"/>
      <c r="T355" s="196"/>
      <c r="U355" s="229"/>
      <c r="V355" s="229"/>
      <c r="W355" s="196"/>
      <c r="X355" s="24"/>
      <c r="Y355" s="24"/>
      <c r="Z355" s="24"/>
      <c r="AA355" s="22"/>
      <c r="AB355" s="24"/>
      <c r="AC355" s="24"/>
      <c r="AD355" s="227"/>
      <c r="AE355" s="25"/>
      <c r="AF355" s="231">
        <v>260413007</v>
      </c>
      <c r="AG355" s="28"/>
      <c r="AH355" s="205" t="s">
        <v>115</v>
      </c>
      <c r="AI355" s="223" t="s">
        <v>424</v>
      </c>
      <c r="AJ355" s="205" t="s">
        <v>425</v>
      </c>
      <c r="AK355" s="24"/>
      <c r="AL355" s="24"/>
      <c r="AM355" s="24"/>
    </row>
    <row r="356" spans="1:39" ht="15" customHeight="1">
      <c r="A356" s="22">
        <v>354</v>
      </c>
      <c r="B356" s="206" t="s">
        <v>312</v>
      </c>
      <c r="C356" s="24" t="s">
        <v>180</v>
      </c>
      <c r="D356" s="24" t="s">
        <v>312</v>
      </c>
      <c r="E356" s="24" t="s">
        <v>1215</v>
      </c>
      <c r="F356" s="24">
        <v>1</v>
      </c>
      <c r="G356" s="24" t="s">
        <v>1135</v>
      </c>
      <c r="H356" s="24"/>
      <c r="I356" s="24"/>
      <c r="J356" s="226"/>
      <c r="K356" s="196"/>
      <c r="L356" s="196"/>
      <c r="M356" s="196"/>
      <c r="N356" s="196"/>
      <c r="O356" s="234" t="s">
        <v>312</v>
      </c>
      <c r="P356" s="196"/>
      <c r="Q356" s="24"/>
      <c r="R356" s="196"/>
      <c r="S356" s="229"/>
      <c r="T356" s="196"/>
      <c r="U356" s="229"/>
      <c r="V356" s="229"/>
      <c r="W356" s="196"/>
      <c r="X356" s="24"/>
      <c r="Y356" s="24"/>
      <c r="Z356" s="24"/>
      <c r="AA356" s="22"/>
      <c r="AB356" s="24"/>
      <c r="AC356" s="24"/>
      <c r="AD356" s="240" t="s">
        <v>314</v>
      </c>
      <c r="AE356" s="25"/>
      <c r="AF356" s="241">
        <v>10601006</v>
      </c>
      <c r="AG356" s="28"/>
      <c r="AH356" s="205" t="s">
        <v>115</v>
      </c>
      <c r="AI356" s="223" t="s">
        <v>315</v>
      </c>
      <c r="AJ356" s="207" t="s">
        <v>316</v>
      </c>
      <c r="AK356" s="24"/>
      <c r="AL356" s="24"/>
      <c r="AM356" s="24"/>
    </row>
    <row r="357" spans="1:39" ht="12.75" customHeight="1">
      <c r="A357" s="22">
        <v>355</v>
      </c>
      <c r="B357" s="206" t="s">
        <v>317</v>
      </c>
      <c r="C357" s="24" t="s">
        <v>180</v>
      </c>
      <c r="D357" s="24" t="s">
        <v>317</v>
      </c>
      <c r="E357" s="24" t="s">
        <v>1215</v>
      </c>
      <c r="F357" s="24">
        <v>1</v>
      </c>
      <c r="G357" s="24" t="s">
        <v>1135</v>
      </c>
      <c r="H357" s="24"/>
      <c r="I357" s="24"/>
      <c r="J357" s="226"/>
      <c r="K357" s="196"/>
      <c r="L357" s="196"/>
      <c r="M357" s="196"/>
      <c r="N357" s="196"/>
      <c r="O357" s="234" t="s">
        <v>317</v>
      </c>
      <c r="P357" s="196"/>
      <c r="Q357" s="24"/>
      <c r="R357" s="196"/>
      <c r="S357" s="229"/>
      <c r="T357" s="196"/>
      <c r="U357" s="229"/>
      <c r="V357" s="229"/>
      <c r="W357" s="196"/>
      <c r="X357" s="24"/>
      <c r="Y357" s="24"/>
      <c r="Z357" s="24"/>
      <c r="AA357" s="22"/>
      <c r="AB357" s="24"/>
      <c r="AC357" s="24"/>
      <c r="AD357" s="228"/>
      <c r="AE357" s="120"/>
      <c r="AF357" s="217"/>
      <c r="AG357" s="217"/>
      <c r="AH357" s="238" t="s">
        <v>115</v>
      </c>
      <c r="AI357" s="223" t="s">
        <v>318</v>
      </c>
      <c r="AJ357" s="205" t="s">
        <v>319</v>
      </c>
      <c r="AK357" s="24"/>
      <c r="AL357" s="24"/>
      <c r="AM357" s="24"/>
    </row>
    <row r="358" spans="1:39" ht="12.75" customHeight="1">
      <c r="A358" s="22">
        <v>356</v>
      </c>
      <c r="B358" s="206" t="s">
        <v>1245</v>
      </c>
      <c r="C358" s="24" t="s">
        <v>96</v>
      </c>
      <c r="D358" s="24"/>
      <c r="E358" s="24" t="s">
        <v>1215</v>
      </c>
      <c r="F358" s="24">
        <v>1</v>
      </c>
      <c r="G358" s="24" t="s">
        <v>1135</v>
      </c>
      <c r="H358" s="24"/>
      <c r="I358" s="24"/>
      <c r="J358" s="226"/>
      <c r="K358" s="204" t="s">
        <v>1245</v>
      </c>
      <c r="L358" s="204" t="s">
        <v>1246</v>
      </c>
      <c r="M358" s="204" t="s">
        <v>1247</v>
      </c>
      <c r="N358" s="196" t="s">
        <v>238</v>
      </c>
      <c r="O358" s="196"/>
      <c r="P358" s="196"/>
      <c r="Q358" s="24"/>
      <c r="R358" s="204"/>
      <c r="S358" s="229"/>
      <c r="T358" s="204"/>
      <c r="U358" s="229"/>
      <c r="V358" s="229"/>
      <c r="W358" s="204" t="s">
        <v>115</v>
      </c>
      <c r="X358" s="24"/>
      <c r="Y358" s="24"/>
      <c r="Z358" s="24"/>
      <c r="AA358" s="22"/>
      <c r="AB358" s="24"/>
      <c r="AC358" s="24"/>
      <c r="AD358" s="228"/>
      <c r="AE358" s="120"/>
      <c r="AF358" s="217"/>
      <c r="AG358" s="217"/>
      <c r="AH358" s="235" t="s">
        <v>1219</v>
      </c>
      <c r="AI358" s="236" t="s">
        <v>1220</v>
      </c>
      <c r="AJ358" s="235" t="s">
        <v>1221</v>
      </c>
      <c r="AK358" s="24"/>
      <c r="AL358" s="24"/>
      <c r="AM358" s="24"/>
    </row>
    <row r="359" spans="1:39" ht="39" customHeight="1">
      <c r="A359" s="22">
        <v>357</v>
      </c>
      <c r="B359" s="206" t="s">
        <v>423</v>
      </c>
      <c r="C359" s="24" t="s">
        <v>180</v>
      </c>
      <c r="D359" s="24" t="s">
        <v>1245</v>
      </c>
      <c r="E359" s="24" t="s">
        <v>1215</v>
      </c>
      <c r="F359" s="24">
        <v>1</v>
      </c>
      <c r="G359" s="24" t="s">
        <v>1135</v>
      </c>
      <c r="H359" s="24"/>
      <c r="I359" s="24"/>
      <c r="J359" s="226"/>
      <c r="K359" s="204"/>
      <c r="L359" s="204"/>
      <c r="M359" s="204"/>
      <c r="N359" s="196"/>
      <c r="O359" s="196" t="s">
        <v>423</v>
      </c>
      <c r="P359" s="196"/>
      <c r="Q359" s="24"/>
      <c r="R359" s="204" t="s">
        <v>1056</v>
      </c>
      <c r="S359" s="229"/>
      <c r="T359" s="204"/>
      <c r="U359" s="229"/>
      <c r="V359" s="229"/>
      <c r="W359" s="204"/>
      <c r="X359" s="24"/>
      <c r="Y359" s="24"/>
      <c r="Z359" s="24"/>
      <c r="AA359" s="22"/>
      <c r="AB359" s="24"/>
      <c r="AC359" s="24"/>
      <c r="AD359" s="227"/>
      <c r="AE359" s="25"/>
      <c r="AF359" s="231">
        <v>260413007</v>
      </c>
      <c r="AG359" s="28"/>
      <c r="AH359" s="205" t="s">
        <v>115</v>
      </c>
      <c r="AI359" s="223" t="s">
        <v>424</v>
      </c>
      <c r="AJ359" s="205" t="s">
        <v>425</v>
      </c>
      <c r="AK359" s="24"/>
      <c r="AL359" s="24"/>
      <c r="AM359" s="24"/>
    </row>
    <row r="360" spans="1:39" ht="15" customHeight="1">
      <c r="A360" s="22">
        <v>358</v>
      </c>
      <c r="B360" s="206" t="s">
        <v>239</v>
      </c>
      <c r="C360" s="24" t="s">
        <v>180</v>
      </c>
      <c r="D360" s="24" t="s">
        <v>1245</v>
      </c>
      <c r="E360" s="24" t="s">
        <v>1215</v>
      </c>
      <c r="F360" s="24">
        <v>1</v>
      </c>
      <c r="G360" s="24" t="s">
        <v>1135</v>
      </c>
      <c r="H360" s="24"/>
      <c r="I360" s="24"/>
      <c r="J360" s="226"/>
      <c r="K360" s="204"/>
      <c r="L360" s="204"/>
      <c r="M360" s="204"/>
      <c r="N360" s="196"/>
      <c r="O360" s="196" t="s">
        <v>239</v>
      </c>
      <c r="P360" s="196"/>
      <c r="Q360" s="24"/>
      <c r="R360" s="204"/>
      <c r="S360" s="229"/>
      <c r="T360" s="204"/>
      <c r="U360" s="229"/>
      <c r="V360" s="229"/>
      <c r="W360" s="204"/>
      <c r="X360" s="24"/>
      <c r="Y360" s="24"/>
      <c r="Z360" s="24"/>
      <c r="AA360" s="22"/>
      <c r="AB360" s="24"/>
      <c r="AC360" s="24"/>
      <c r="AD360" s="232" t="s">
        <v>397</v>
      </c>
      <c r="AE360" s="25"/>
      <c r="AF360" s="231">
        <v>289567003</v>
      </c>
      <c r="AG360" s="28"/>
      <c r="AH360" s="205" t="s">
        <v>115</v>
      </c>
      <c r="AI360" s="223" t="s">
        <v>1250</v>
      </c>
      <c r="AJ360" s="205" t="s">
        <v>241</v>
      </c>
      <c r="AK360" s="24"/>
      <c r="AL360" s="24"/>
      <c r="AM360" s="24"/>
    </row>
    <row r="361" spans="1:39" ht="15" customHeight="1">
      <c r="A361" s="22">
        <v>359</v>
      </c>
      <c r="B361" s="206" t="s">
        <v>1251</v>
      </c>
      <c r="C361" s="24" t="s">
        <v>180</v>
      </c>
      <c r="D361" s="24" t="s">
        <v>1245</v>
      </c>
      <c r="E361" s="24" t="s">
        <v>1215</v>
      </c>
      <c r="F361" s="24">
        <v>1</v>
      </c>
      <c r="G361" s="24" t="s">
        <v>1135</v>
      </c>
      <c r="H361" s="24"/>
      <c r="I361" s="24"/>
      <c r="J361" s="226"/>
      <c r="K361" s="204"/>
      <c r="L361" s="204"/>
      <c r="M361" s="204"/>
      <c r="N361" s="196"/>
      <c r="O361" s="196" t="s">
        <v>1251</v>
      </c>
      <c r="P361" s="196"/>
      <c r="Q361" s="24"/>
      <c r="R361" s="204"/>
      <c r="S361" s="229"/>
      <c r="T361" s="204"/>
      <c r="U361" s="229"/>
      <c r="V361" s="229"/>
      <c r="W361" s="204"/>
      <c r="X361" s="24"/>
      <c r="Y361" s="24"/>
      <c r="Z361" s="24"/>
      <c r="AA361" s="22"/>
      <c r="AB361" s="24"/>
      <c r="AC361" s="24"/>
      <c r="AD361" s="232" t="s">
        <v>1253</v>
      </c>
      <c r="AE361" s="25"/>
      <c r="AF361" s="231">
        <v>230145002</v>
      </c>
      <c r="AG361" s="28"/>
      <c r="AH361" s="205" t="s">
        <v>115</v>
      </c>
      <c r="AI361" s="223" t="s">
        <v>1254</v>
      </c>
      <c r="AJ361" s="205" t="s">
        <v>1255</v>
      </c>
      <c r="AK361" s="24"/>
      <c r="AL361" s="24"/>
      <c r="AM361" s="24"/>
    </row>
    <row r="362" spans="1:39" ht="15" customHeight="1">
      <c r="A362" s="22">
        <v>360</v>
      </c>
      <c r="B362" s="206" t="s">
        <v>1256</v>
      </c>
      <c r="C362" s="24" t="s">
        <v>180</v>
      </c>
      <c r="D362" s="24" t="s">
        <v>1245</v>
      </c>
      <c r="E362" s="24" t="s">
        <v>1215</v>
      </c>
      <c r="F362" s="24">
        <v>1</v>
      </c>
      <c r="G362" s="24" t="s">
        <v>1135</v>
      </c>
      <c r="H362" s="24"/>
      <c r="I362" s="24"/>
      <c r="J362" s="226"/>
      <c r="K362" s="204"/>
      <c r="L362" s="204"/>
      <c r="M362" s="204"/>
      <c r="N362" s="196"/>
      <c r="O362" s="196" t="s">
        <v>1256</v>
      </c>
      <c r="P362" s="196"/>
      <c r="Q362" s="24"/>
      <c r="R362" s="204"/>
      <c r="S362" s="229"/>
      <c r="T362" s="204"/>
      <c r="U362" s="229"/>
      <c r="V362" s="229"/>
      <c r="W362" s="204"/>
      <c r="X362" s="24"/>
      <c r="Y362" s="24"/>
      <c r="Z362" s="24"/>
      <c r="AA362" s="22"/>
      <c r="AB362" s="24"/>
      <c r="AC362" s="24"/>
      <c r="AD362" s="231" t="s">
        <v>383</v>
      </c>
      <c r="AE362" s="25"/>
      <c r="AF362" s="231">
        <v>60845006</v>
      </c>
      <c r="AG362" s="28"/>
      <c r="AH362" s="205" t="s">
        <v>115</v>
      </c>
      <c r="AI362" s="223" t="s">
        <v>1258</v>
      </c>
      <c r="AJ362" s="205" t="s">
        <v>1259</v>
      </c>
      <c r="AK362" s="24"/>
      <c r="AL362" s="24"/>
      <c r="AM362" s="24"/>
    </row>
    <row r="363" spans="1:39" ht="15" customHeight="1">
      <c r="A363" s="22">
        <v>361</v>
      </c>
      <c r="B363" s="206" t="s">
        <v>1260</v>
      </c>
      <c r="C363" s="24" t="s">
        <v>180</v>
      </c>
      <c r="D363" s="24" t="s">
        <v>1245</v>
      </c>
      <c r="E363" s="24" t="s">
        <v>1215</v>
      </c>
      <c r="F363" s="24">
        <v>1</v>
      </c>
      <c r="G363" s="24" t="s">
        <v>1135</v>
      </c>
      <c r="H363" s="24"/>
      <c r="I363" s="24"/>
      <c r="J363" s="226"/>
      <c r="K363" s="204"/>
      <c r="L363" s="204"/>
      <c r="M363" s="204"/>
      <c r="N363" s="196"/>
      <c r="O363" s="196" t="s">
        <v>1260</v>
      </c>
      <c r="P363" s="196"/>
      <c r="Q363" s="24"/>
      <c r="R363" s="204"/>
      <c r="S363" s="229"/>
      <c r="T363" s="204"/>
      <c r="U363" s="229"/>
      <c r="V363" s="229"/>
      <c r="W363" s="204"/>
      <c r="X363" s="24"/>
      <c r="Y363" s="24"/>
      <c r="Z363" s="24"/>
      <c r="AA363" s="22"/>
      <c r="AB363" s="24"/>
      <c r="AC363" s="24"/>
      <c r="AD363" s="231" t="s">
        <v>259</v>
      </c>
      <c r="AE363" s="25"/>
      <c r="AF363" s="231">
        <v>68154008</v>
      </c>
      <c r="AG363" s="28"/>
      <c r="AH363" s="205" t="s">
        <v>115</v>
      </c>
      <c r="AI363" s="223" t="s">
        <v>1261</v>
      </c>
      <c r="AJ363" s="205" t="s">
        <v>1262</v>
      </c>
      <c r="AK363" s="24"/>
      <c r="AL363" s="24"/>
      <c r="AM363" s="24"/>
    </row>
    <row r="364" spans="1:39" ht="15" customHeight="1">
      <c r="A364" s="22">
        <v>362</v>
      </c>
      <c r="B364" s="206" t="s">
        <v>281</v>
      </c>
      <c r="C364" s="24" t="s">
        <v>180</v>
      </c>
      <c r="D364" s="24" t="s">
        <v>1245</v>
      </c>
      <c r="E364" s="24" t="s">
        <v>1215</v>
      </c>
      <c r="F364" s="24">
        <v>1</v>
      </c>
      <c r="G364" s="24" t="s">
        <v>1135</v>
      </c>
      <c r="H364" s="24"/>
      <c r="I364" s="24"/>
      <c r="J364" s="226"/>
      <c r="K364" s="204"/>
      <c r="L364" s="204"/>
      <c r="M364" s="204"/>
      <c r="N364" s="196"/>
      <c r="O364" s="196" t="s">
        <v>281</v>
      </c>
      <c r="P364" s="196"/>
      <c r="Q364" s="24"/>
      <c r="R364" s="204"/>
      <c r="S364" s="229"/>
      <c r="T364" s="204"/>
      <c r="U364" s="229"/>
      <c r="V364" s="229"/>
      <c r="W364" s="204"/>
      <c r="X364" s="24"/>
      <c r="Y364" s="24"/>
      <c r="Z364" s="24"/>
      <c r="AA364" s="22"/>
      <c r="AB364" s="24"/>
      <c r="AC364" s="24"/>
      <c r="AD364" s="231" t="s">
        <v>283</v>
      </c>
      <c r="AE364" s="25"/>
      <c r="AF364" s="231">
        <v>386661006</v>
      </c>
      <c r="AG364" s="28"/>
      <c r="AH364" s="205" t="s">
        <v>115</v>
      </c>
      <c r="AI364" s="223" t="s">
        <v>284</v>
      </c>
      <c r="AJ364" s="205" t="s">
        <v>285</v>
      </c>
      <c r="AK364" s="24"/>
      <c r="AL364" s="24"/>
      <c r="AM364" s="24"/>
    </row>
    <row r="365" spans="1:39" ht="15" customHeight="1">
      <c r="A365" s="22">
        <v>363</v>
      </c>
      <c r="B365" s="206" t="s">
        <v>1264</v>
      </c>
      <c r="C365" s="24" t="s">
        <v>180</v>
      </c>
      <c r="D365" s="24" t="s">
        <v>1245</v>
      </c>
      <c r="E365" s="24" t="s">
        <v>1215</v>
      </c>
      <c r="F365" s="24">
        <v>1</v>
      </c>
      <c r="G365" s="24" t="s">
        <v>1135</v>
      </c>
      <c r="H365" s="24"/>
      <c r="I365" s="24"/>
      <c r="J365" s="226"/>
      <c r="K365" s="204"/>
      <c r="L365" s="204"/>
      <c r="M365" s="204"/>
      <c r="N365" s="196"/>
      <c r="O365" s="196" t="s">
        <v>1264</v>
      </c>
      <c r="P365" s="196"/>
      <c r="Q365" s="24"/>
      <c r="R365" s="204"/>
      <c r="S365" s="229"/>
      <c r="T365" s="204"/>
      <c r="U365" s="229"/>
      <c r="V365" s="229"/>
      <c r="W365" s="204"/>
      <c r="X365" s="24"/>
      <c r="Y365" s="24"/>
      <c r="Z365" s="24"/>
      <c r="AA365" s="22"/>
      <c r="AB365" s="24"/>
      <c r="AC365" s="24"/>
      <c r="AD365" s="232" t="s">
        <v>387</v>
      </c>
      <c r="AE365" s="25"/>
      <c r="AF365" s="231">
        <v>84229001</v>
      </c>
      <c r="AG365" s="28"/>
      <c r="AH365" s="205" t="s">
        <v>115</v>
      </c>
      <c r="AI365" s="223" t="s">
        <v>1265</v>
      </c>
      <c r="AJ365" s="205" t="s">
        <v>1266</v>
      </c>
      <c r="AK365" s="24"/>
      <c r="AL365" s="24"/>
      <c r="AM365" s="24"/>
    </row>
    <row r="366" spans="1:39" ht="15" customHeight="1">
      <c r="A366" s="22">
        <v>364</v>
      </c>
      <c r="B366" s="206" t="s">
        <v>298</v>
      </c>
      <c r="C366" s="24" t="s">
        <v>180</v>
      </c>
      <c r="D366" s="24" t="s">
        <v>1245</v>
      </c>
      <c r="E366" s="24" t="s">
        <v>1215</v>
      </c>
      <c r="F366" s="24">
        <v>1</v>
      </c>
      <c r="G366" s="24" t="s">
        <v>1135</v>
      </c>
      <c r="H366" s="24"/>
      <c r="I366" s="24"/>
      <c r="J366" s="226"/>
      <c r="K366" s="204"/>
      <c r="L366" s="204"/>
      <c r="M366" s="204"/>
      <c r="N366" s="196"/>
      <c r="O366" s="196" t="s">
        <v>298</v>
      </c>
      <c r="P366" s="196"/>
      <c r="Q366" s="24"/>
      <c r="R366" s="204"/>
      <c r="S366" s="229"/>
      <c r="T366" s="204"/>
      <c r="U366" s="229"/>
      <c r="V366" s="229"/>
      <c r="W366" s="204"/>
      <c r="X366" s="24"/>
      <c r="Y366" s="24"/>
      <c r="Z366" s="24"/>
      <c r="AA366" s="22"/>
      <c r="AB366" s="24"/>
      <c r="AC366" s="24"/>
      <c r="AD366" s="231" t="s">
        <v>299</v>
      </c>
      <c r="AE366" s="25"/>
      <c r="AF366" s="231">
        <v>25064002</v>
      </c>
      <c r="AG366" s="28"/>
      <c r="AH366" s="205" t="s">
        <v>115</v>
      </c>
      <c r="AI366" s="223" t="s">
        <v>300</v>
      </c>
      <c r="AJ366" s="205" t="s">
        <v>301</v>
      </c>
      <c r="AK366" s="24"/>
      <c r="AL366" s="24"/>
      <c r="AM366" s="24"/>
    </row>
    <row r="367" spans="1:39" ht="15" customHeight="1">
      <c r="A367" s="22">
        <v>365</v>
      </c>
      <c r="B367" s="206" t="s">
        <v>396</v>
      </c>
      <c r="C367" s="24" t="s">
        <v>180</v>
      </c>
      <c r="D367" s="24" t="s">
        <v>1245</v>
      </c>
      <c r="E367" s="24" t="s">
        <v>1215</v>
      </c>
      <c r="F367" s="24">
        <v>1</v>
      </c>
      <c r="G367" s="24" t="s">
        <v>1135</v>
      </c>
      <c r="H367" s="24"/>
      <c r="I367" s="24"/>
      <c r="J367" s="226"/>
      <c r="K367" s="204"/>
      <c r="L367" s="204"/>
      <c r="M367" s="204"/>
      <c r="N367" s="196"/>
      <c r="O367" s="196" t="s">
        <v>396</v>
      </c>
      <c r="P367" s="196"/>
      <c r="Q367" s="24"/>
      <c r="R367" s="204"/>
      <c r="S367" s="229"/>
      <c r="T367" s="204"/>
      <c r="U367" s="229"/>
      <c r="V367" s="229"/>
      <c r="W367" s="204"/>
      <c r="X367" s="24"/>
      <c r="Y367" s="24"/>
      <c r="Z367" s="24"/>
      <c r="AA367" s="22"/>
      <c r="AB367" s="24"/>
      <c r="AC367" s="24"/>
      <c r="AD367" s="232" t="s">
        <v>397</v>
      </c>
      <c r="AE367" s="25"/>
      <c r="AF367" s="231">
        <v>289530006</v>
      </c>
      <c r="AG367" s="28"/>
      <c r="AH367" s="205" t="s">
        <v>115</v>
      </c>
      <c r="AI367" s="223" t="s">
        <v>1267</v>
      </c>
      <c r="AJ367" s="205" t="s">
        <v>399</v>
      </c>
      <c r="AK367" s="24"/>
      <c r="AL367" s="24"/>
      <c r="AM367" s="24"/>
    </row>
    <row r="368" spans="1:39" ht="15" customHeight="1">
      <c r="A368" s="22">
        <v>366</v>
      </c>
      <c r="B368" s="206" t="s">
        <v>1268</v>
      </c>
      <c r="C368" s="24" t="s">
        <v>180</v>
      </c>
      <c r="D368" s="24" t="s">
        <v>1245</v>
      </c>
      <c r="E368" s="24" t="s">
        <v>1215</v>
      </c>
      <c r="F368" s="24">
        <v>1</v>
      </c>
      <c r="G368" s="24" t="s">
        <v>1135</v>
      </c>
      <c r="H368" s="24"/>
      <c r="I368" s="24"/>
      <c r="J368" s="226"/>
      <c r="K368" s="204"/>
      <c r="L368" s="204"/>
      <c r="M368" s="204"/>
      <c r="N368" s="196"/>
      <c r="O368" s="196" t="s">
        <v>1268</v>
      </c>
      <c r="P368" s="196"/>
      <c r="Q368" s="24"/>
      <c r="R368" s="204"/>
      <c r="S368" s="229"/>
      <c r="T368" s="204"/>
      <c r="U368" s="229"/>
      <c r="V368" s="229"/>
      <c r="W368" s="204"/>
      <c r="X368" s="24"/>
      <c r="Y368" s="24"/>
      <c r="Z368" s="24"/>
      <c r="AA368" s="22"/>
      <c r="AB368" s="24"/>
      <c r="AC368" s="24"/>
      <c r="AD368" s="232" t="s">
        <v>397</v>
      </c>
      <c r="AE368" s="25"/>
      <c r="AF368" s="231">
        <v>271939006</v>
      </c>
      <c r="AG368" s="28"/>
      <c r="AH368" s="205" t="s">
        <v>115</v>
      </c>
      <c r="AI368" s="223" t="s">
        <v>1269</v>
      </c>
      <c r="AJ368" s="205" t="s">
        <v>1271</v>
      </c>
      <c r="AK368" s="24"/>
      <c r="AL368" s="24"/>
      <c r="AM368" s="24"/>
    </row>
    <row r="369" spans="1:39" ht="15" customHeight="1">
      <c r="A369" s="22">
        <v>367</v>
      </c>
      <c r="B369" s="206" t="s">
        <v>400</v>
      </c>
      <c r="C369" s="24" t="s">
        <v>180</v>
      </c>
      <c r="D369" s="24" t="s">
        <v>1245</v>
      </c>
      <c r="E369" s="24" t="s">
        <v>1215</v>
      </c>
      <c r="F369" s="24">
        <v>1</v>
      </c>
      <c r="G369" s="24" t="s">
        <v>1135</v>
      </c>
      <c r="H369" s="24"/>
      <c r="I369" s="24"/>
      <c r="J369" s="226"/>
      <c r="K369" s="204"/>
      <c r="L369" s="204"/>
      <c r="M369" s="204"/>
      <c r="N369" s="196"/>
      <c r="O369" s="196" t="s">
        <v>400</v>
      </c>
      <c r="P369" s="196"/>
      <c r="Q369" s="24"/>
      <c r="R369" s="204"/>
      <c r="S369" s="229"/>
      <c r="T369" s="204"/>
      <c r="U369" s="229"/>
      <c r="V369" s="229"/>
      <c r="W369" s="204"/>
      <c r="X369" s="24"/>
      <c r="Y369" s="24"/>
      <c r="Z369" s="24"/>
      <c r="AA369" s="22"/>
      <c r="AB369" s="24"/>
      <c r="AC369" s="24"/>
      <c r="AD369" s="232" t="s">
        <v>402</v>
      </c>
      <c r="AE369" s="25"/>
      <c r="AF369" s="231">
        <v>63102001</v>
      </c>
      <c r="AG369" s="28"/>
      <c r="AH369" s="205" t="s">
        <v>115</v>
      </c>
      <c r="AI369" s="223" t="s">
        <v>403</v>
      </c>
      <c r="AJ369" s="205" t="s">
        <v>404</v>
      </c>
      <c r="AK369" s="24"/>
      <c r="AL369" s="24"/>
      <c r="AM369" s="24"/>
    </row>
    <row r="370" spans="1:39" ht="12.75" customHeight="1">
      <c r="A370" s="22">
        <v>368</v>
      </c>
      <c r="B370" s="206" t="s">
        <v>1273</v>
      </c>
      <c r="C370" s="24" t="s">
        <v>96</v>
      </c>
      <c r="D370" s="24"/>
      <c r="E370" s="24" t="s">
        <v>1274</v>
      </c>
      <c r="F370" s="24">
        <v>1</v>
      </c>
      <c r="G370" s="24" t="s">
        <v>1135</v>
      </c>
      <c r="H370" s="24"/>
      <c r="I370" s="24"/>
      <c r="J370" s="226"/>
      <c r="K370" s="234" t="s">
        <v>1273</v>
      </c>
      <c r="L370" s="234" t="s">
        <v>1275</v>
      </c>
      <c r="M370" s="234" t="s">
        <v>1276</v>
      </c>
      <c r="N370" s="234" t="s">
        <v>238</v>
      </c>
      <c r="O370" s="196"/>
      <c r="P370" s="196"/>
      <c r="Q370" s="24"/>
      <c r="R370" s="234"/>
      <c r="S370" s="229"/>
      <c r="T370" s="234" t="s">
        <v>113</v>
      </c>
      <c r="U370" s="229"/>
      <c r="V370" s="229"/>
      <c r="W370" s="234" t="s">
        <v>1277</v>
      </c>
      <c r="X370" s="24"/>
      <c r="Y370" s="24"/>
      <c r="Z370" s="24"/>
      <c r="AA370" s="22"/>
      <c r="AB370" s="24"/>
      <c r="AC370" s="24"/>
      <c r="AD370" s="228"/>
      <c r="AE370" s="120"/>
      <c r="AF370" s="217"/>
      <c r="AG370" s="217"/>
      <c r="AH370" s="235" t="s">
        <v>1241</v>
      </c>
      <c r="AI370" s="236" t="s">
        <v>1220</v>
      </c>
      <c r="AJ370" s="235" t="s">
        <v>1221</v>
      </c>
      <c r="AK370" s="24"/>
      <c r="AL370" s="24"/>
      <c r="AM370" s="24"/>
    </row>
    <row r="371" spans="1:39" ht="128.25" customHeight="1">
      <c r="A371" s="22">
        <v>369</v>
      </c>
      <c r="B371" s="206" t="s">
        <v>423</v>
      </c>
      <c r="C371" s="24" t="s">
        <v>180</v>
      </c>
      <c r="D371" s="24" t="s">
        <v>1273</v>
      </c>
      <c r="E371" s="24" t="s">
        <v>1274</v>
      </c>
      <c r="F371" s="24">
        <v>1</v>
      </c>
      <c r="G371" s="24" t="s">
        <v>1135</v>
      </c>
      <c r="H371" s="24"/>
      <c r="I371" s="24"/>
      <c r="J371" s="226"/>
      <c r="K371" s="196"/>
      <c r="L371" s="196"/>
      <c r="M371" s="196"/>
      <c r="N371" s="196"/>
      <c r="O371" s="196" t="s">
        <v>423</v>
      </c>
      <c r="P371" s="196"/>
      <c r="Q371" s="24"/>
      <c r="R371" s="234" t="s">
        <v>1279</v>
      </c>
      <c r="S371" s="229"/>
      <c r="T371" s="196"/>
      <c r="U371" s="229"/>
      <c r="V371" s="229"/>
      <c r="W371" s="196"/>
      <c r="X371" s="24"/>
      <c r="Y371" s="24"/>
      <c r="Z371" s="24"/>
      <c r="AA371" s="22"/>
      <c r="AB371" s="24"/>
      <c r="AC371" s="24"/>
      <c r="AD371" s="227"/>
      <c r="AE371" s="25"/>
      <c r="AF371" s="231">
        <v>260413007</v>
      </c>
      <c r="AG371" s="28"/>
      <c r="AH371" s="205" t="s">
        <v>115</v>
      </c>
      <c r="AI371" s="223" t="s">
        <v>424</v>
      </c>
      <c r="AJ371" s="205" t="s">
        <v>425</v>
      </c>
      <c r="AK371" s="24"/>
      <c r="AL371" s="24"/>
      <c r="AM371" s="24"/>
    </row>
    <row r="372" spans="1:39" ht="26.25" customHeight="1">
      <c r="A372" s="22">
        <v>370</v>
      </c>
      <c r="B372" s="206" t="s">
        <v>1223</v>
      </c>
      <c r="C372" s="24" t="s">
        <v>180</v>
      </c>
      <c r="D372" s="24" t="s">
        <v>1273</v>
      </c>
      <c r="E372" s="24" t="s">
        <v>1274</v>
      </c>
      <c r="F372" s="24">
        <v>1</v>
      </c>
      <c r="G372" s="24" t="s">
        <v>1135</v>
      </c>
      <c r="H372" s="24"/>
      <c r="I372" s="24"/>
      <c r="J372" s="226"/>
      <c r="K372" s="196"/>
      <c r="L372" s="196"/>
      <c r="M372" s="196"/>
      <c r="N372" s="196"/>
      <c r="O372" s="234" t="s">
        <v>1223</v>
      </c>
      <c r="P372" s="196"/>
      <c r="Q372" s="24"/>
      <c r="R372" s="234"/>
      <c r="S372" s="229"/>
      <c r="T372" s="196"/>
      <c r="U372" s="229"/>
      <c r="V372" s="229"/>
      <c r="W372" s="196"/>
      <c r="X372" s="24"/>
      <c r="Y372" s="24"/>
      <c r="Z372" s="24"/>
      <c r="AA372" s="22"/>
      <c r="AB372" s="24"/>
      <c r="AC372" s="24"/>
      <c r="AD372" s="231" t="s">
        <v>331</v>
      </c>
      <c r="AE372" s="25"/>
      <c r="AF372" s="28">
        <v>16932000</v>
      </c>
      <c r="AG372" s="28"/>
      <c r="AH372" s="205" t="s">
        <v>115</v>
      </c>
      <c r="AI372" s="223" t="s">
        <v>1224</v>
      </c>
      <c r="AJ372" s="207" t="s">
        <v>1225</v>
      </c>
      <c r="AK372" s="24"/>
      <c r="AL372" s="24"/>
      <c r="AM372" s="24"/>
    </row>
    <row r="373" spans="1:39" ht="15" customHeight="1">
      <c r="A373" s="22">
        <v>371</v>
      </c>
      <c r="B373" s="206" t="s">
        <v>302</v>
      </c>
      <c r="C373" s="24" t="s">
        <v>180</v>
      </c>
      <c r="D373" s="24" t="s">
        <v>1273</v>
      </c>
      <c r="E373" s="24" t="s">
        <v>1274</v>
      </c>
      <c r="F373" s="24">
        <v>1</v>
      </c>
      <c r="G373" s="24" t="s">
        <v>1135</v>
      </c>
      <c r="H373" s="24"/>
      <c r="I373" s="24"/>
      <c r="J373" s="226"/>
      <c r="K373" s="196"/>
      <c r="L373" s="196"/>
      <c r="M373" s="196"/>
      <c r="N373" s="196"/>
      <c r="O373" s="234" t="s">
        <v>302</v>
      </c>
      <c r="P373" s="196"/>
      <c r="Q373" s="24"/>
      <c r="R373" s="234"/>
      <c r="S373" s="229"/>
      <c r="T373" s="196"/>
      <c r="U373" s="229"/>
      <c r="V373" s="229"/>
      <c r="W373" s="196"/>
      <c r="X373" s="24"/>
      <c r="Y373" s="24"/>
      <c r="Z373" s="24"/>
      <c r="AA373" s="22"/>
      <c r="AB373" s="24"/>
      <c r="AC373" s="24"/>
      <c r="AD373" s="231" t="s">
        <v>303</v>
      </c>
      <c r="AE373" s="25"/>
      <c r="AF373" s="231">
        <v>16331000</v>
      </c>
      <c r="AG373" s="28"/>
      <c r="AH373" s="205" t="s">
        <v>115</v>
      </c>
      <c r="AI373" s="243" t="s">
        <v>305</v>
      </c>
      <c r="AJ373" s="207" t="s">
        <v>306</v>
      </c>
      <c r="AK373" s="24"/>
      <c r="AL373" s="24"/>
      <c r="AM373" s="24"/>
    </row>
    <row r="374" spans="1:39" ht="15" customHeight="1">
      <c r="A374" s="22">
        <v>372</v>
      </c>
      <c r="B374" s="206" t="s">
        <v>307</v>
      </c>
      <c r="C374" s="24" t="s">
        <v>180</v>
      </c>
      <c r="D374" s="24" t="s">
        <v>1273</v>
      </c>
      <c r="E374" s="24" t="s">
        <v>1274</v>
      </c>
      <c r="F374" s="24">
        <v>1</v>
      </c>
      <c r="G374" s="24" t="s">
        <v>1135</v>
      </c>
      <c r="H374" s="24"/>
      <c r="I374" s="24"/>
      <c r="J374" s="226"/>
      <c r="K374" s="196"/>
      <c r="L374" s="196"/>
      <c r="M374" s="196"/>
      <c r="N374" s="196"/>
      <c r="O374" s="234" t="s">
        <v>307</v>
      </c>
      <c r="P374" s="196"/>
      <c r="Q374" s="24"/>
      <c r="R374" s="234"/>
      <c r="S374" s="229"/>
      <c r="T374" s="196"/>
      <c r="U374" s="229"/>
      <c r="V374" s="229"/>
      <c r="W374" s="196"/>
      <c r="X374" s="24"/>
      <c r="Y374" s="24"/>
      <c r="Z374" s="24"/>
      <c r="AA374" s="22"/>
      <c r="AB374" s="24"/>
      <c r="AC374" s="24"/>
      <c r="AD374" s="232" t="s">
        <v>309</v>
      </c>
      <c r="AE374" s="25"/>
      <c r="AF374" s="231">
        <v>449917004</v>
      </c>
      <c r="AG374" s="28"/>
      <c r="AH374" s="205" t="s">
        <v>115</v>
      </c>
      <c r="AI374" s="223" t="s">
        <v>310</v>
      </c>
      <c r="AJ374" s="205" t="s">
        <v>311</v>
      </c>
      <c r="AK374" s="24"/>
      <c r="AL374" s="24"/>
      <c r="AM374" s="24"/>
    </row>
    <row r="375" spans="1:39" ht="15" customHeight="1">
      <c r="A375" s="22">
        <v>373</v>
      </c>
      <c r="B375" s="206" t="s">
        <v>249</v>
      </c>
      <c r="C375" s="24" t="s">
        <v>180</v>
      </c>
      <c r="D375" s="24" t="s">
        <v>1273</v>
      </c>
      <c r="E375" s="24" t="s">
        <v>1274</v>
      </c>
      <c r="F375" s="24">
        <v>1</v>
      </c>
      <c r="G375" s="24" t="s">
        <v>1135</v>
      </c>
      <c r="H375" s="24"/>
      <c r="I375" s="24"/>
      <c r="J375" s="226"/>
      <c r="K375" s="196"/>
      <c r="L375" s="196"/>
      <c r="M375" s="196"/>
      <c r="N375" s="196"/>
      <c r="O375" s="234" t="s">
        <v>249</v>
      </c>
      <c r="P375" s="196"/>
      <c r="Q375" s="24"/>
      <c r="R375" s="234"/>
      <c r="S375" s="229"/>
      <c r="T375" s="196"/>
      <c r="U375" s="229"/>
      <c r="V375" s="229"/>
      <c r="W375" s="196"/>
      <c r="X375" s="24"/>
      <c r="Y375" s="24"/>
      <c r="Z375" s="24"/>
      <c r="AA375" s="22"/>
      <c r="AB375" s="24"/>
      <c r="AC375" s="24"/>
      <c r="AD375" s="231" t="s">
        <v>251</v>
      </c>
      <c r="AE375" s="25"/>
      <c r="AF375" s="231">
        <v>14760008</v>
      </c>
      <c r="AG375" s="28"/>
      <c r="AH375" s="205" t="s">
        <v>115</v>
      </c>
      <c r="AI375" s="223" t="s">
        <v>252</v>
      </c>
      <c r="AJ375" s="205" t="s">
        <v>253</v>
      </c>
      <c r="AK375" s="24"/>
      <c r="AL375" s="24"/>
      <c r="AM375" s="24"/>
    </row>
    <row r="376" spans="1:39" ht="15" customHeight="1">
      <c r="A376" s="22">
        <v>374</v>
      </c>
      <c r="B376" s="206" t="s">
        <v>320</v>
      </c>
      <c r="C376" s="24" t="s">
        <v>180</v>
      </c>
      <c r="D376" s="24" t="s">
        <v>1273</v>
      </c>
      <c r="E376" s="24" t="s">
        <v>1274</v>
      </c>
      <c r="F376" s="24">
        <v>1</v>
      </c>
      <c r="G376" s="24" t="s">
        <v>1135</v>
      </c>
      <c r="H376" s="24"/>
      <c r="I376" s="24"/>
      <c r="J376" s="226"/>
      <c r="K376" s="196"/>
      <c r="L376" s="196"/>
      <c r="M376" s="196"/>
      <c r="N376" s="196"/>
      <c r="O376" s="234" t="s">
        <v>320</v>
      </c>
      <c r="P376" s="196"/>
      <c r="Q376" s="24"/>
      <c r="R376" s="234"/>
      <c r="S376" s="229"/>
      <c r="T376" s="196"/>
      <c r="U376" s="229"/>
      <c r="V376" s="229"/>
      <c r="W376" s="196"/>
      <c r="X376" s="24"/>
      <c r="Y376" s="24"/>
      <c r="Z376" s="24"/>
      <c r="AA376" s="22"/>
      <c r="AB376" s="24"/>
      <c r="AC376" s="24"/>
      <c r="AD376" s="231" t="s">
        <v>322</v>
      </c>
      <c r="AE376" s="25"/>
      <c r="AF376" s="231">
        <v>279039007</v>
      </c>
      <c r="AG376" s="28"/>
      <c r="AH376" s="205" t="s">
        <v>115</v>
      </c>
      <c r="AI376" s="223" t="s">
        <v>323</v>
      </c>
      <c r="AJ376" s="205" t="s">
        <v>324</v>
      </c>
      <c r="AK376" s="24"/>
      <c r="AL376" s="24"/>
      <c r="AM376" s="24"/>
    </row>
    <row r="377" spans="1:39" ht="15" customHeight="1">
      <c r="A377" s="22">
        <v>375</v>
      </c>
      <c r="B377" s="206" t="s">
        <v>325</v>
      </c>
      <c r="C377" s="24" t="s">
        <v>180</v>
      </c>
      <c r="D377" s="24" t="s">
        <v>1273</v>
      </c>
      <c r="E377" s="24" t="s">
        <v>1274</v>
      </c>
      <c r="F377" s="24">
        <v>1</v>
      </c>
      <c r="G377" s="24" t="s">
        <v>1135</v>
      </c>
      <c r="H377" s="24"/>
      <c r="I377" s="24"/>
      <c r="J377" s="226"/>
      <c r="K377" s="196"/>
      <c r="L377" s="196"/>
      <c r="M377" s="196"/>
      <c r="N377" s="196"/>
      <c r="O377" s="234" t="s">
        <v>325</v>
      </c>
      <c r="P377" s="196"/>
      <c r="Q377" s="24"/>
      <c r="R377" s="234"/>
      <c r="S377" s="229"/>
      <c r="T377" s="196"/>
      <c r="U377" s="229"/>
      <c r="V377" s="229"/>
      <c r="W377" s="196"/>
      <c r="X377" s="24"/>
      <c r="Y377" s="24"/>
      <c r="Z377" s="24"/>
      <c r="AA377" s="22"/>
      <c r="AB377" s="24"/>
      <c r="AC377" s="24"/>
      <c r="AD377" s="232" t="s">
        <v>326</v>
      </c>
      <c r="AE377" s="25"/>
      <c r="AF377" s="231">
        <v>30473006</v>
      </c>
      <c r="AG377" s="28"/>
      <c r="AH377" s="205" t="s">
        <v>115</v>
      </c>
      <c r="AI377" s="223" t="s">
        <v>328</v>
      </c>
      <c r="AJ377" s="205" t="s">
        <v>329</v>
      </c>
      <c r="AK377" s="24"/>
      <c r="AL377" s="24"/>
      <c r="AM377" s="24"/>
    </row>
    <row r="378" spans="1:39" ht="15" customHeight="1">
      <c r="A378" s="22">
        <v>376</v>
      </c>
      <c r="B378" s="206" t="s">
        <v>1229</v>
      </c>
      <c r="C378" s="24" t="s">
        <v>180</v>
      </c>
      <c r="D378" s="24" t="s">
        <v>1273</v>
      </c>
      <c r="E378" s="24" t="s">
        <v>1274</v>
      </c>
      <c r="F378" s="24">
        <v>1</v>
      </c>
      <c r="G378" s="24" t="s">
        <v>1135</v>
      </c>
      <c r="H378" s="24"/>
      <c r="I378" s="24"/>
      <c r="J378" s="226"/>
      <c r="K378" s="196"/>
      <c r="L378" s="196"/>
      <c r="M378" s="196"/>
      <c r="N378" s="196"/>
      <c r="O378" s="234" t="s">
        <v>1229</v>
      </c>
      <c r="P378" s="196"/>
      <c r="Q378" s="24"/>
      <c r="R378" s="234"/>
      <c r="S378" s="229"/>
      <c r="T378" s="196"/>
      <c r="U378" s="229"/>
      <c r="V378" s="229"/>
      <c r="W378" s="196"/>
      <c r="X378" s="24"/>
      <c r="Y378" s="24"/>
      <c r="Z378" s="24"/>
      <c r="AA378" s="22"/>
      <c r="AB378" s="24"/>
      <c r="AC378" s="24"/>
      <c r="AD378" s="231" t="s">
        <v>1230</v>
      </c>
      <c r="AE378" s="25"/>
      <c r="AF378" s="231">
        <v>72866009</v>
      </c>
      <c r="AG378" s="28"/>
      <c r="AH378" s="235" t="s">
        <v>115</v>
      </c>
      <c r="AI378" s="236" t="s">
        <v>1231</v>
      </c>
      <c r="AJ378" s="235" t="s">
        <v>1233</v>
      </c>
      <c r="AK378" s="24"/>
      <c r="AL378" s="24"/>
      <c r="AM378" s="24"/>
    </row>
    <row r="379" spans="1:39" ht="15" customHeight="1">
      <c r="A379" s="22">
        <v>377</v>
      </c>
      <c r="B379" s="206" t="s">
        <v>340</v>
      </c>
      <c r="C379" s="24" t="s">
        <v>180</v>
      </c>
      <c r="D379" s="24" t="s">
        <v>1273</v>
      </c>
      <c r="E379" s="24" t="s">
        <v>1274</v>
      </c>
      <c r="F379" s="24">
        <v>1</v>
      </c>
      <c r="G379" s="24" t="s">
        <v>1135</v>
      </c>
      <c r="H379" s="24"/>
      <c r="I379" s="24"/>
      <c r="J379" s="226"/>
      <c r="K379" s="196"/>
      <c r="L379" s="196"/>
      <c r="M379" s="196"/>
      <c r="N379" s="196"/>
      <c r="O379" s="234" t="s">
        <v>340</v>
      </c>
      <c r="P379" s="196"/>
      <c r="Q379" s="24"/>
      <c r="R379" s="234"/>
      <c r="S379" s="229"/>
      <c r="T379" s="196"/>
      <c r="U379" s="229"/>
      <c r="V379" s="229"/>
      <c r="W379" s="196"/>
      <c r="X379" s="24"/>
      <c r="Y379" s="24"/>
      <c r="Z379" s="24"/>
      <c r="AA379" s="22"/>
      <c r="AB379" s="24"/>
      <c r="AC379" s="24"/>
      <c r="AD379" s="232" t="s">
        <v>342</v>
      </c>
      <c r="AE379" s="25"/>
      <c r="AF379" s="231">
        <v>267038008</v>
      </c>
      <c r="AG379" s="28"/>
      <c r="AH379" s="205" t="s">
        <v>115</v>
      </c>
      <c r="AI379" s="223" t="s">
        <v>343</v>
      </c>
      <c r="AJ379" s="205" t="s">
        <v>344</v>
      </c>
      <c r="AK379" s="24"/>
      <c r="AL379" s="24"/>
      <c r="AM379" s="24"/>
    </row>
    <row r="380" spans="1:39" ht="39" customHeight="1">
      <c r="A380" s="22">
        <v>378</v>
      </c>
      <c r="B380" s="206" t="s">
        <v>1283</v>
      </c>
      <c r="C380" s="24" t="s">
        <v>96</v>
      </c>
      <c r="D380" s="24"/>
      <c r="E380" s="24" t="s">
        <v>1274</v>
      </c>
      <c r="F380" s="24">
        <v>1</v>
      </c>
      <c r="G380" s="24" t="s">
        <v>1135</v>
      </c>
      <c r="H380" s="24"/>
      <c r="I380" s="24"/>
      <c r="J380" s="226"/>
      <c r="K380" s="196" t="s">
        <v>1283</v>
      </c>
      <c r="L380" s="196" t="s">
        <v>1284</v>
      </c>
      <c r="M380" s="196" t="s">
        <v>1235</v>
      </c>
      <c r="N380" s="196" t="s">
        <v>238</v>
      </c>
      <c r="O380" s="234"/>
      <c r="P380" s="196"/>
      <c r="Q380" s="24"/>
      <c r="R380" s="234" t="s">
        <v>1056</v>
      </c>
      <c r="S380" s="229"/>
      <c r="T380" s="196" t="s">
        <v>113</v>
      </c>
      <c r="U380" s="229"/>
      <c r="V380" s="229"/>
      <c r="W380" s="196" t="s">
        <v>115</v>
      </c>
      <c r="X380" s="24"/>
      <c r="Y380" s="24"/>
      <c r="Z380" s="24"/>
      <c r="AA380" s="22"/>
      <c r="AB380" s="24"/>
      <c r="AC380" s="24"/>
      <c r="AD380" s="227"/>
      <c r="AE380" s="25"/>
      <c r="AF380" s="231">
        <v>260413007</v>
      </c>
      <c r="AG380" s="28"/>
      <c r="AH380" s="235" t="s">
        <v>1241</v>
      </c>
      <c r="AI380" s="236" t="s">
        <v>1220</v>
      </c>
      <c r="AJ380" s="235" t="s">
        <v>1221</v>
      </c>
      <c r="AK380" s="24"/>
      <c r="AL380" s="24"/>
      <c r="AM380" s="24"/>
    </row>
    <row r="381" spans="1:39" ht="12.75" customHeight="1">
      <c r="A381" s="22">
        <v>379</v>
      </c>
      <c r="B381" s="206" t="s">
        <v>423</v>
      </c>
      <c r="C381" s="24" t="s">
        <v>180</v>
      </c>
      <c r="D381" s="24" t="s">
        <v>1283</v>
      </c>
      <c r="E381" s="24" t="s">
        <v>1274</v>
      </c>
      <c r="F381" s="24">
        <v>1</v>
      </c>
      <c r="G381" s="24" t="s">
        <v>1135</v>
      </c>
      <c r="H381" s="24"/>
      <c r="I381" s="24"/>
      <c r="J381" s="226"/>
      <c r="K381" s="196"/>
      <c r="L381" s="196"/>
      <c r="M381" s="196"/>
      <c r="N381" s="196"/>
      <c r="O381" s="234" t="s">
        <v>423</v>
      </c>
      <c r="P381" s="196"/>
      <c r="Q381" s="24"/>
      <c r="R381" s="234"/>
      <c r="S381" s="229"/>
      <c r="T381" s="204"/>
      <c r="U381" s="229"/>
      <c r="V381" s="229"/>
      <c r="W381" s="196"/>
      <c r="X381" s="24"/>
      <c r="Y381" s="24"/>
      <c r="Z381" s="24"/>
      <c r="AA381" s="22"/>
      <c r="AB381" s="24"/>
      <c r="AC381" s="24"/>
      <c r="AD381" s="227"/>
      <c r="AE381" s="25"/>
      <c r="AF381" s="28">
        <v>16932000</v>
      </c>
      <c r="AG381" s="28"/>
      <c r="AH381" s="205" t="s">
        <v>115</v>
      </c>
      <c r="AI381" s="223" t="s">
        <v>424</v>
      </c>
      <c r="AJ381" s="205" t="s">
        <v>425</v>
      </c>
      <c r="AK381" s="24"/>
      <c r="AL381" s="24"/>
      <c r="AM381" s="24"/>
    </row>
    <row r="382" spans="1:39" ht="15" customHeight="1">
      <c r="A382" s="22">
        <v>380</v>
      </c>
      <c r="B382" s="206" t="s">
        <v>254</v>
      </c>
      <c r="C382" s="24" t="s">
        <v>180</v>
      </c>
      <c r="D382" s="24" t="s">
        <v>1283</v>
      </c>
      <c r="E382" s="24" t="s">
        <v>1274</v>
      </c>
      <c r="F382" s="24">
        <v>1</v>
      </c>
      <c r="G382" s="24" t="s">
        <v>1135</v>
      </c>
      <c r="H382" s="24"/>
      <c r="I382" s="24"/>
      <c r="J382" s="226"/>
      <c r="K382" s="196"/>
      <c r="L382" s="196"/>
      <c r="M382" s="196"/>
      <c r="N382" s="196"/>
      <c r="O382" s="234" t="s">
        <v>254</v>
      </c>
      <c r="P382" s="196"/>
      <c r="Q382" s="24"/>
      <c r="R382" s="234"/>
      <c r="S382" s="229"/>
      <c r="T382" s="204"/>
      <c r="U382" s="229"/>
      <c r="V382" s="229"/>
      <c r="W382" s="196"/>
      <c r="X382" s="24"/>
      <c r="Y382" s="24"/>
      <c r="Z382" s="24"/>
      <c r="AA382" s="22"/>
      <c r="AB382" s="24"/>
      <c r="AC382" s="24"/>
      <c r="AD382" s="227"/>
      <c r="AE382" s="25"/>
      <c r="AF382" s="231">
        <v>289741005</v>
      </c>
      <c r="AG382" s="28"/>
      <c r="AH382" s="205" t="s">
        <v>115</v>
      </c>
      <c r="AI382" s="223" t="s">
        <v>256</v>
      </c>
      <c r="AJ382" s="205" t="s">
        <v>257</v>
      </c>
      <c r="AK382" s="24"/>
      <c r="AL382" s="24"/>
      <c r="AM382" s="24"/>
    </row>
    <row r="383" spans="1:39" ht="39" customHeight="1">
      <c r="A383" s="22">
        <v>381</v>
      </c>
      <c r="B383" s="206" t="s">
        <v>369</v>
      </c>
      <c r="C383" s="24" t="s">
        <v>180</v>
      </c>
      <c r="D383" s="24" t="s">
        <v>1283</v>
      </c>
      <c r="E383" s="24" t="s">
        <v>1274</v>
      </c>
      <c r="F383" s="24">
        <v>1</v>
      </c>
      <c r="G383" s="24" t="s">
        <v>1135</v>
      </c>
      <c r="H383" s="24"/>
      <c r="I383" s="24"/>
      <c r="J383" s="226"/>
      <c r="K383" s="196"/>
      <c r="L383" s="196"/>
      <c r="M383" s="196"/>
      <c r="N383" s="196"/>
      <c r="O383" s="234" t="s">
        <v>369</v>
      </c>
      <c r="P383" s="196"/>
      <c r="Q383" s="24"/>
      <c r="R383" s="234"/>
      <c r="S383" s="229"/>
      <c r="T383" s="204"/>
      <c r="U383" s="229"/>
      <c r="V383" s="229"/>
      <c r="W383" s="196"/>
      <c r="X383" s="24"/>
      <c r="Y383" s="24"/>
      <c r="Z383" s="24"/>
      <c r="AA383" s="22"/>
      <c r="AB383" s="24"/>
      <c r="AC383" s="24"/>
      <c r="AD383" s="231" t="s">
        <v>370</v>
      </c>
      <c r="AE383" s="25"/>
      <c r="AF383" s="231">
        <v>49650001</v>
      </c>
      <c r="AG383" s="28"/>
      <c r="AH383" s="205" t="s">
        <v>115</v>
      </c>
      <c r="AI383" s="223" t="s">
        <v>371</v>
      </c>
      <c r="AJ383" s="205" t="s">
        <v>372</v>
      </c>
      <c r="AK383" s="24"/>
      <c r="AL383" s="24"/>
      <c r="AM383" s="24"/>
    </row>
    <row r="384" spans="1:39" ht="12.75" customHeight="1">
      <c r="A384" s="22">
        <v>382</v>
      </c>
      <c r="B384" s="206" t="s">
        <v>1237</v>
      </c>
      <c r="C384" s="24" t="s">
        <v>180</v>
      </c>
      <c r="D384" s="24" t="s">
        <v>1283</v>
      </c>
      <c r="E384" s="24" t="s">
        <v>1274</v>
      </c>
      <c r="F384" s="24">
        <v>1</v>
      </c>
      <c r="G384" s="24" t="s">
        <v>1135</v>
      </c>
      <c r="H384" s="24"/>
      <c r="I384" s="24"/>
      <c r="J384" s="226"/>
      <c r="K384" s="196"/>
      <c r="L384" s="196"/>
      <c r="M384" s="196"/>
      <c r="N384" s="196"/>
      <c r="O384" s="234" t="s">
        <v>1237</v>
      </c>
      <c r="P384" s="196"/>
      <c r="Q384" s="24"/>
      <c r="R384" s="234"/>
      <c r="S384" s="229"/>
      <c r="T384" s="204"/>
      <c r="U384" s="229"/>
      <c r="V384" s="229"/>
      <c r="W384" s="196"/>
      <c r="X384" s="24"/>
      <c r="Y384" s="24"/>
      <c r="Z384" s="24"/>
      <c r="AA384" s="22"/>
      <c r="AB384" s="24"/>
      <c r="AC384" s="24"/>
      <c r="AD384" s="228"/>
      <c r="AE384" s="120"/>
      <c r="AF384" s="217"/>
      <c r="AG384" s="217"/>
      <c r="AH384" s="205" t="s">
        <v>115</v>
      </c>
      <c r="AI384" s="223" t="s">
        <v>279</v>
      </c>
      <c r="AJ384" s="205" t="s">
        <v>280</v>
      </c>
      <c r="AK384" s="24"/>
      <c r="AL384" s="24"/>
      <c r="AM384" s="24"/>
    </row>
    <row r="385" spans="1:39" ht="12.75" customHeight="1">
      <c r="A385" s="22">
        <v>383</v>
      </c>
      <c r="B385" s="206" t="s">
        <v>1285</v>
      </c>
      <c r="C385" s="24" t="s">
        <v>96</v>
      </c>
      <c r="D385" s="24"/>
      <c r="E385" s="24" t="s">
        <v>1274</v>
      </c>
      <c r="F385" s="24">
        <v>1</v>
      </c>
      <c r="G385" s="24" t="s">
        <v>1135</v>
      </c>
      <c r="H385" s="24"/>
      <c r="I385" s="24"/>
      <c r="J385" s="226"/>
      <c r="K385" s="196" t="s">
        <v>1285</v>
      </c>
      <c r="L385" s="196" t="s">
        <v>1286</v>
      </c>
      <c r="M385" s="196" t="s">
        <v>1240</v>
      </c>
      <c r="N385" s="196" t="s">
        <v>238</v>
      </c>
      <c r="O385" s="234"/>
      <c r="P385" s="196"/>
      <c r="Q385" s="24"/>
      <c r="R385" s="234" t="s">
        <v>1056</v>
      </c>
      <c r="S385" s="229"/>
      <c r="T385" s="204" t="s">
        <v>113</v>
      </c>
      <c r="U385" s="229"/>
      <c r="V385" s="229"/>
      <c r="W385" s="196" t="s">
        <v>115</v>
      </c>
      <c r="X385" s="24"/>
      <c r="Y385" s="24"/>
      <c r="Z385" s="24"/>
      <c r="AA385" s="22"/>
      <c r="AB385" s="24"/>
      <c r="AC385" s="24"/>
      <c r="AD385" s="228"/>
      <c r="AE385" s="120"/>
      <c r="AF385" s="217"/>
      <c r="AG385" s="217"/>
      <c r="AH385" s="235" t="s">
        <v>1241</v>
      </c>
      <c r="AI385" s="236" t="s">
        <v>1220</v>
      </c>
      <c r="AJ385" s="235" t="s">
        <v>1221</v>
      </c>
      <c r="AK385" s="24"/>
      <c r="AL385" s="24"/>
      <c r="AM385" s="24"/>
    </row>
    <row r="386" spans="1:39" ht="15" customHeight="1">
      <c r="A386" s="22">
        <v>384</v>
      </c>
      <c r="B386" s="206" t="s">
        <v>423</v>
      </c>
      <c r="C386" s="24" t="s">
        <v>180</v>
      </c>
      <c r="D386" s="24" t="s">
        <v>1285</v>
      </c>
      <c r="E386" s="24" t="s">
        <v>1274</v>
      </c>
      <c r="F386" s="24">
        <v>1</v>
      </c>
      <c r="G386" s="24" t="s">
        <v>1135</v>
      </c>
      <c r="H386" s="24"/>
      <c r="I386" s="24"/>
      <c r="J386" s="226"/>
      <c r="K386" s="196"/>
      <c r="L386" s="196"/>
      <c r="M386" s="196"/>
      <c r="N386" s="196"/>
      <c r="O386" s="234" t="s">
        <v>423</v>
      </c>
      <c r="P386" s="196"/>
      <c r="Q386" s="24"/>
      <c r="R386" s="196"/>
      <c r="S386" s="229"/>
      <c r="T386" s="196"/>
      <c r="U386" s="229"/>
      <c r="V386" s="229"/>
      <c r="W386" s="196"/>
      <c r="X386" s="24"/>
      <c r="Y386" s="24"/>
      <c r="Z386" s="24"/>
      <c r="AA386" s="22"/>
      <c r="AB386" s="24"/>
      <c r="AC386" s="24"/>
      <c r="AD386" s="227"/>
      <c r="AE386" s="25"/>
      <c r="AF386" s="231">
        <v>260413007</v>
      </c>
      <c r="AG386" s="28"/>
      <c r="AH386" s="205" t="s">
        <v>115</v>
      </c>
      <c r="AI386" s="223" t="s">
        <v>424</v>
      </c>
      <c r="AJ386" s="205" t="s">
        <v>425</v>
      </c>
      <c r="AK386" s="24"/>
      <c r="AL386" s="24"/>
      <c r="AM386" s="24"/>
    </row>
    <row r="387" spans="1:39" ht="15" customHeight="1">
      <c r="A387" s="22">
        <v>385</v>
      </c>
      <c r="B387" s="206" t="s">
        <v>312</v>
      </c>
      <c r="C387" s="24" t="s">
        <v>180</v>
      </c>
      <c r="D387" s="24" t="s">
        <v>1285</v>
      </c>
      <c r="E387" s="24" t="s">
        <v>1274</v>
      </c>
      <c r="F387" s="24">
        <v>1</v>
      </c>
      <c r="G387" s="24" t="s">
        <v>1135</v>
      </c>
      <c r="H387" s="24"/>
      <c r="I387" s="24"/>
      <c r="J387" s="226"/>
      <c r="K387" s="196"/>
      <c r="L387" s="196"/>
      <c r="M387" s="196"/>
      <c r="N387" s="196"/>
      <c r="O387" s="234" t="s">
        <v>312</v>
      </c>
      <c r="P387" s="196"/>
      <c r="Q387" s="24"/>
      <c r="R387" s="196"/>
      <c r="S387" s="229"/>
      <c r="T387" s="196"/>
      <c r="U387" s="229"/>
      <c r="V387" s="229"/>
      <c r="W387" s="196"/>
      <c r="X387" s="24"/>
      <c r="Y387" s="24"/>
      <c r="Z387" s="24"/>
      <c r="AA387" s="22"/>
      <c r="AB387" s="24"/>
      <c r="AC387" s="24"/>
      <c r="AD387" s="240" t="s">
        <v>314</v>
      </c>
      <c r="AE387" s="25"/>
      <c r="AF387" s="241">
        <v>10601006</v>
      </c>
      <c r="AG387" s="28"/>
      <c r="AH387" s="205" t="s">
        <v>115</v>
      </c>
      <c r="AI387" s="223" t="s">
        <v>315</v>
      </c>
      <c r="AJ387" s="205" t="s">
        <v>316</v>
      </c>
      <c r="AK387" s="24"/>
      <c r="AL387" s="24"/>
      <c r="AM387" s="24"/>
    </row>
    <row r="388" spans="1:39" ht="12.75" customHeight="1">
      <c r="A388" s="22">
        <v>386</v>
      </c>
      <c r="B388" s="206" t="s">
        <v>317</v>
      </c>
      <c r="C388" s="24" t="s">
        <v>180</v>
      </c>
      <c r="D388" s="24" t="s">
        <v>1285</v>
      </c>
      <c r="E388" s="24" t="s">
        <v>1274</v>
      </c>
      <c r="F388" s="24">
        <v>1</v>
      </c>
      <c r="G388" s="24" t="s">
        <v>1135</v>
      </c>
      <c r="H388" s="24"/>
      <c r="I388" s="24"/>
      <c r="J388" s="226"/>
      <c r="K388" s="196"/>
      <c r="L388" s="196"/>
      <c r="M388" s="196"/>
      <c r="N388" s="196"/>
      <c r="O388" s="234" t="s">
        <v>317</v>
      </c>
      <c r="P388" s="196"/>
      <c r="Q388" s="24"/>
      <c r="R388" s="196"/>
      <c r="S388" s="229"/>
      <c r="T388" s="196"/>
      <c r="U388" s="229"/>
      <c r="V388" s="229"/>
      <c r="W388" s="196"/>
      <c r="X388" s="24"/>
      <c r="Y388" s="24"/>
      <c r="Z388" s="24"/>
      <c r="AA388" s="22"/>
      <c r="AB388" s="24"/>
      <c r="AC388" s="24"/>
      <c r="AD388" s="228"/>
      <c r="AE388" s="120"/>
      <c r="AF388" s="217"/>
      <c r="AG388" s="217"/>
      <c r="AH388" s="238" t="s">
        <v>115</v>
      </c>
      <c r="AI388" s="223" t="s">
        <v>318</v>
      </c>
      <c r="AJ388" s="205" t="s">
        <v>319</v>
      </c>
      <c r="AK388" s="24"/>
      <c r="AL388" s="24"/>
      <c r="AM388" s="24"/>
    </row>
    <row r="389" spans="1:39" ht="12.75" customHeight="1">
      <c r="A389" s="22">
        <v>387</v>
      </c>
      <c r="B389" s="206" t="s">
        <v>1287</v>
      </c>
      <c r="C389" s="24" t="s">
        <v>96</v>
      </c>
      <c r="D389" s="24"/>
      <c r="E389" s="24" t="s">
        <v>1274</v>
      </c>
      <c r="F389" s="24">
        <v>1</v>
      </c>
      <c r="G389" s="24" t="s">
        <v>1135</v>
      </c>
      <c r="H389" s="24"/>
      <c r="I389" s="24"/>
      <c r="J389" s="226"/>
      <c r="K389" s="234" t="s">
        <v>1287</v>
      </c>
      <c r="L389" s="234" t="s">
        <v>1288</v>
      </c>
      <c r="M389" s="234" t="s">
        <v>1289</v>
      </c>
      <c r="N389" s="234" t="s">
        <v>238</v>
      </c>
      <c r="O389" s="196"/>
      <c r="P389" s="196"/>
      <c r="Q389" s="24"/>
      <c r="R389" s="234" t="s">
        <v>1279</v>
      </c>
      <c r="S389" s="229"/>
      <c r="T389" s="234" t="s">
        <v>113</v>
      </c>
      <c r="U389" s="229"/>
      <c r="V389" s="229"/>
      <c r="W389" s="234" t="s">
        <v>1277</v>
      </c>
      <c r="X389" s="24"/>
      <c r="Y389" s="24"/>
      <c r="Z389" s="24"/>
      <c r="AA389" s="22"/>
      <c r="AB389" s="24"/>
      <c r="AC389" s="24"/>
      <c r="AD389" s="228"/>
      <c r="AE389" s="120"/>
      <c r="AF389" s="217"/>
      <c r="AG389" s="217"/>
      <c r="AH389" s="235" t="s">
        <v>1241</v>
      </c>
      <c r="AI389" s="236" t="s">
        <v>1220</v>
      </c>
      <c r="AJ389" s="235" t="s">
        <v>1221</v>
      </c>
      <c r="AK389" s="24"/>
      <c r="AL389" s="24"/>
      <c r="AM389" s="24"/>
    </row>
    <row r="390" spans="1:39" ht="15" customHeight="1">
      <c r="A390" s="22">
        <v>388</v>
      </c>
      <c r="B390" s="206" t="s">
        <v>423</v>
      </c>
      <c r="C390" s="24" t="s">
        <v>180</v>
      </c>
      <c r="D390" s="24" t="s">
        <v>1287</v>
      </c>
      <c r="E390" s="24" t="s">
        <v>1274</v>
      </c>
      <c r="F390" s="24">
        <v>1</v>
      </c>
      <c r="G390" s="24" t="s">
        <v>1135</v>
      </c>
      <c r="H390" s="24"/>
      <c r="I390" s="24"/>
      <c r="J390" s="226"/>
      <c r="K390" s="196"/>
      <c r="L390" s="196"/>
      <c r="M390" s="196"/>
      <c r="N390" s="196"/>
      <c r="O390" s="196" t="s">
        <v>423</v>
      </c>
      <c r="P390" s="196"/>
      <c r="Q390" s="24"/>
      <c r="R390" s="196"/>
      <c r="S390" s="229"/>
      <c r="T390" s="196"/>
      <c r="U390" s="229"/>
      <c r="V390" s="229"/>
      <c r="W390" s="196"/>
      <c r="X390" s="24"/>
      <c r="Y390" s="24"/>
      <c r="Z390" s="24"/>
      <c r="AA390" s="22"/>
      <c r="AB390" s="24"/>
      <c r="AC390" s="24"/>
      <c r="AD390" s="227"/>
      <c r="AE390" s="25"/>
      <c r="AF390" s="231">
        <v>260413007</v>
      </c>
      <c r="AG390" s="227"/>
      <c r="AH390" s="205" t="s">
        <v>115</v>
      </c>
      <c r="AI390" s="223" t="s">
        <v>424</v>
      </c>
      <c r="AJ390" s="205" t="s">
        <v>425</v>
      </c>
      <c r="AK390" s="24"/>
      <c r="AL390" s="24"/>
      <c r="AM390" s="24"/>
    </row>
    <row r="391" spans="1:39" ht="39" customHeight="1">
      <c r="A391" s="22">
        <v>389</v>
      </c>
      <c r="B391" s="206" t="s">
        <v>239</v>
      </c>
      <c r="C391" s="24" t="s">
        <v>180</v>
      </c>
      <c r="D391" s="24" t="s">
        <v>1287</v>
      </c>
      <c r="E391" s="24" t="s">
        <v>1274</v>
      </c>
      <c r="F391" s="24">
        <v>1</v>
      </c>
      <c r="G391" s="24" t="s">
        <v>1135</v>
      </c>
      <c r="H391" s="24"/>
      <c r="I391" s="24"/>
      <c r="J391" s="226"/>
      <c r="K391" s="196"/>
      <c r="L391" s="196"/>
      <c r="M391" s="196"/>
      <c r="N391" s="196"/>
      <c r="O391" s="204" t="s">
        <v>239</v>
      </c>
      <c r="P391" s="196"/>
      <c r="Q391" s="24"/>
      <c r="R391" s="196"/>
      <c r="S391" s="229"/>
      <c r="T391" s="196"/>
      <c r="U391" s="229"/>
      <c r="V391" s="229"/>
      <c r="W391" s="196"/>
      <c r="X391" s="24"/>
      <c r="Y391" s="24"/>
      <c r="Z391" s="24"/>
      <c r="AA391" s="22"/>
      <c r="AB391" s="24"/>
      <c r="AC391" s="24"/>
      <c r="AD391" s="232" t="s">
        <v>397</v>
      </c>
      <c r="AE391" s="25"/>
      <c r="AF391" s="231">
        <v>289567003</v>
      </c>
      <c r="AG391" s="227"/>
      <c r="AH391" s="238" t="s">
        <v>115</v>
      </c>
      <c r="AI391" s="223" t="s">
        <v>240</v>
      </c>
      <c r="AJ391" s="205" t="s">
        <v>241</v>
      </c>
      <c r="AK391" s="24"/>
      <c r="AL391" s="24"/>
      <c r="AM391" s="24"/>
    </row>
    <row r="392" spans="1:39" ht="26.25" customHeight="1">
      <c r="A392" s="22">
        <v>390</v>
      </c>
      <c r="B392" s="206" t="s">
        <v>1251</v>
      </c>
      <c r="C392" s="24" t="s">
        <v>180</v>
      </c>
      <c r="D392" s="24" t="s">
        <v>1287</v>
      </c>
      <c r="E392" s="24" t="s">
        <v>1274</v>
      </c>
      <c r="F392" s="24">
        <v>1</v>
      </c>
      <c r="G392" s="24" t="s">
        <v>1135</v>
      </c>
      <c r="H392" s="24"/>
      <c r="I392" s="24"/>
      <c r="J392" s="226"/>
      <c r="K392" s="196"/>
      <c r="L392" s="196"/>
      <c r="M392" s="196"/>
      <c r="N392" s="196"/>
      <c r="O392" s="204" t="s">
        <v>1251</v>
      </c>
      <c r="P392" s="196"/>
      <c r="Q392" s="24"/>
      <c r="R392" s="196"/>
      <c r="S392" s="229"/>
      <c r="T392" s="196"/>
      <c r="U392" s="229"/>
      <c r="V392" s="229"/>
      <c r="W392" s="196"/>
      <c r="X392" s="24"/>
      <c r="Y392" s="24"/>
      <c r="Z392" s="24"/>
      <c r="AA392" s="22"/>
      <c r="AB392" s="24"/>
      <c r="AC392" s="24"/>
      <c r="AD392" s="232" t="s">
        <v>1253</v>
      </c>
      <c r="AE392" s="25"/>
      <c r="AF392" s="231">
        <v>230145002</v>
      </c>
      <c r="AG392" s="227"/>
      <c r="AH392" s="205" t="s">
        <v>115</v>
      </c>
      <c r="AI392" s="223" t="s">
        <v>1254</v>
      </c>
      <c r="AJ392" s="205" t="s">
        <v>1255</v>
      </c>
      <c r="AK392" s="24"/>
      <c r="AL392" s="24"/>
      <c r="AM392" s="24"/>
    </row>
    <row r="393" spans="1:39" ht="39" customHeight="1">
      <c r="A393" s="22">
        <v>391</v>
      </c>
      <c r="B393" s="206" t="s">
        <v>1256</v>
      </c>
      <c r="C393" s="24" t="s">
        <v>180</v>
      </c>
      <c r="D393" s="24" t="s">
        <v>1287</v>
      </c>
      <c r="E393" s="24" t="s">
        <v>1274</v>
      </c>
      <c r="F393" s="24">
        <v>1</v>
      </c>
      <c r="G393" s="24" t="s">
        <v>1135</v>
      </c>
      <c r="H393" s="24"/>
      <c r="I393" s="24"/>
      <c r="J393" s="226"/>
      <c r="K393" s="196"/>
      <c r="L393" s="196"/>
      <c r="M393" s="196"/>
      <c r="N393" s="196"/>
      <c r="O393" s="204" t="s">
        <v>1256</v>
      </c>
      <c r="P393" s="196"/>
      <c r="Q393" s="24"/>
      <c r="R393" s="196"/>
      <c r="S393" s="229"/>
      <c r="T393" s="196"/>
      <c r="U393" s="229"/>
      <c r="V393" s="229"/>
      <c r="W393" s="196"/>
      <c r="X393" s="24"/>
      <c r="Y393" s="24"/>
      <c r="Z393" s="24"/>
      <c r="AA393" s="22"/>
      <c r="AB393" s="24"/>
      <c r="AC393" s="24"/>
      <c r="AD393" s="231" t="s">
        <v>383</v>
      </c>
      <c r="AE393" s="25"/>
      <c r="AF393" s="231">
        <v>60845006</v>
      </c>
      <c r="AG393" s="227"/>
      <c r="AH393" s="205" t="s">
        <v>115</v>
      </c>
      <c r="AI393" s="223" t="s">
        <v>1258</v>
      </c>
      <c r="AJ393" s="205" t="s">
        <v>1259</v>
      </c>
      <c r="AK393" s="24"/>
      <c r="AL393" s="24"/>
      <c r="AM393" s="24"/>
    </row>
    <row r="394" spans="1:39" ht="39" customHeight="1">
      <c r="A394" s="22">
        <v>392</v>
      </c>
      <c r="B394" s="206" t="s">
        <v>1260</v>
      </c>
      <c r="C394" s="24" t="s">
        <v>180</v>
      </c>
      <c r="D394" s="24" t="s">
        <v>1287</v>
      </c>
      <c r="E394" s="24" t="s">
        <v>1274</v>
      </c>
      <c r="F394" s="24">
        <v>1</v>
      </c>
      <c r="G394" s="24" t="s">
        <v>1135</v>
      </c>
      <c r="H394" s="24"/>
      <c r="I394" s="24"/>
      <c r="J394" s="226"/>
      <c r="K394" s="196"/>
      <c r="L394" s="196"/>
      <c r="M394" s="196"/>
      <c r="N394" s="196"/>
      <c r="O394" s="204" t="s">
        <v>1260</v>
      </c>
      <c r="P394" s="196"/>
      <c r="Q394" s="24"/>
      <c r="R394" s="196"/>
      <c r="S394" s="229"/>
      <c r="T394" s="196"/>
      <c r="U394" s="229"/>
      <c r="V394" s="229"/>
      <c r="W394" s="196"/>
      <c r="X394" s="24"/>
      <c r="Y394" s="24"/>
      <c r="Z394" s="24"/>
      <c r="AA394" s="22"/>
      <c r="AB394" s="24"/>
      <c r="AC394" s="24"/>
      <c r="AD394" s="231" t="s">
        <v>259</v>
      </c>
      <c r="AE394" s="25"/>
      <c r="AF394" s="231">
        <v>68154008</v>
      </c>
      <c r="AG394" s="227"/>
      <c r="AH394" s="205" t="s">
        <v>115</v>
      </c>
      <c r="AI394" s="223" t="s">
        <v>1261</v>
      </c>
      <c r="AJ394" s="205" t="s">
        <v>1262</v>
      </c>
      <c r="AK394" s="24"/>
      <c r="AL394" s="24"/>
      <c r="AM394" s="24"/>
    </row>
    <row r="395" spans="1:39" ht="15" customHeight="1">
      <c r="A395" s="22">
        <v>393</v>
      </c>
      <c r="B395" s="206" t="s">
        <v>281</v>
      </c>
      <c r="C395" s="24" t="s">
        <v>180</v>
      </c>
      <c r="D395" s="24" t="s">
        <v>1287</v>
      </c>
      <c r="E395" s="24" t="s">
        <v>1274</v>
      </c>
      <c r="F395" s="24">
        <v>1</v>
      </c>
      <c r="G395" s="24" t="s">
        <v>1135</v>
      </c>
      <c r="H395" s="24"/>
      <c r="I395" s="24"/>
      <c r="J395" s="226"/>
      <c r="K395" s="196"/>
      <c r="L395" s="196"/>
      <c r="M395" s="196"/>
      <c r="N395" s="196"/>
      <c r="O395" s="204" t="s">
        <v>281</v>
      </c>
      <c r="P395" s="196"/>
      <c r="Q395" s="24"/>
      <c r="R395" s="196"/>
      <c r="S395" s="229"/>
      <c r="T395" s="196"/>
      <c r="U395" s="229"/>
      <c r="V395" s="229"/>
      <c r="W395" s="196"/>
      <c r="X395" s="24"/>
      <c r="Y395" s="24"/>
      <c r="Z395" s="24"/>
      <c r="AA395" s="22"/>
      <c r="AB395" s="24"/>
      <c r="AC395" s="24"/>
      <c r="AD395" s="231" t="s">
        <v>283</v>
      </c>
      <c r="AE395" s="25"/>
      <c r="AF395" s="231">
        <v>386661006</v>
      </c>
      <c r="AG395" s="227"/>
      <c r="AH395" s="205" t="s">
        <v>115</v>
      </c>
      <c r="AI395" s="223" t="s">
        <v>284</v>
      </c>
      <c r="AJ395" s="205" t="s">
        <v>285</v>
      </c>
      <c r="AK395" s="24"/>
      <c r="AL395" s="24"/>
      <c r="AM395" s="24"/>
    </row>
    <row r="396" spans="1:39" ht="15" customHeight="1">
      <c r="A396" s="22">
        <v>394</v>
      </c>
      <c r="B396" s="206" t="s">
        <v>1264</v>
      </c>
      <c r="C396" s="24" t="s">
        <v>180</v>
      </c>
      <c r="D396" s="24" t="s">
        <v>1287</v>
      </c>
      <c r="E396" s="24" t="s">
        <v>1274</v>
      </c>
      <c r="F396" s="24">
        <v>1</v>
      </c>
      <c r="G396" s="24" t="s">
        <v>1135</v>
      </c>
      <c r="H396" s="24"/>
      <c r="I396" s="24"/>
      <c r="J396" s="226"/>
      <c r="K396" s="196"/>
      <c r="L396" s="196"/>
      <c r="M396" s="196"/>
      <c r="N396" s="196"/>
      <c r="O396" s="204" t="s">
        <v>1264</v>
      </c>
      <c r="P396" s="196"/>
      <c r="Q396" s="24"/>
      <c r="R396" s="196"/>
      <c r="S396" s="229"/>
      <c r="T396" s="196"/>
      <c r="U396" s="229"/>
      <c r="V396" s="229"/>
      <c r="W396" s="196"/>
      <c r="X396" s="24"/>
      <c r="Y396" s="24"/>
      <c r="Z396" s="24"/>
      <c r="AA396" s="22"/>
      <c r="AB396" s="24"/>
      <c r="AC396" s="24"/>
      <c r="AD396" s="232" t="s">
        <v>387</v>
      </c>
      <c r="AE396" s="25"/>
      <c r="AF396" s="231">
        <v>84229001</v>
      </c>
      <c r="AG396" s="227"/>
      <c r="AH396" s="205" t="s">
        <v>115</v>
      </c>
      <c r="AI396" s="223" t="s">
        <v>1265</v>
      </c>
      <c r="AJ396" s="205" t="s">
        <v>1266</v>
      </c>
      <c r="AK396" s="24"/>
      <c r="AL396" s="24"/>
      <c r="AM396" s="24"/>
    </row>
    <row r="397" spans="1:39" ht="15" customHeight="1">
      <c r="A397" s="22">
        <v>395</v>
      </c>
      <c r="B397" s="206" t="s">
        <v>298</v>
      </c>
      <c r="C397" s="24" t="s">
        <v>180</v>
      </c>
      <c r="D397" s="24" t="s">
        <v>1287</v>
      </c>
      <c r="E397" s="24" t="s">
        <v>1274</v>
      </c>
      <c r="F397" s="24">
        <v>1</v>
      </c>
      <c r="G397" s="24" t="s">
        <v>1135</v>
      </c>
      <c r="H397" s="24"/>
      <c r="I397" s="24"/>
      <c r="J397" s="226"/>
      <c r="K397" s="196"/>
      <c r="L397" s="196"/>
      <c r="M397" s="196"/>
      <c r="N397" s="196"/>
      <c r="O397" s="204" t="s">
        <v>298</v>
      </c>
      <c r="P397" s="196"/>
      <c r="Q397" s="24"/>
      <c r="R397" s="196"/>
      <c r="S397" s="229"/>
      <c r="T397" s="196"/>
      <c r="U397" s="229"/>
      <c r="V397" s="229"/>
      <c r="W397" s="196"/>
      <c r="X397" s="24"/>
      <c r="Y397" s="24"/>
      <c r="Z397" s="24"/>
      <c r="AA397" s="22"/>
      <c r="AB397" s="24"/>
      <c r="AC397" s="24"/>
      <c r="AD397" s="231" t="s">
        <v>299</v>
      </c>
      <c r="AE397" s="25"/>
      <c r="AF397" s="231">
        <v>25064002</v>
      </c>
      <c r="AG397" s="227"/>
      <c r="AH397" s="205" t="s">
        <v>115</v>
      </c>
      <c r="AI397" s="223" t="s">
        <v>300</v>
      </c>
      <c r="AJ397" s="205" t="s">
        <v>301</v>
      </c>
      <c r="AK397" s="24"/>
      <c r="AL397" s="24"/>
      <c r="AM397" s="24"/>
    </row>
    <row r="398" spans="1:39" ht="15" customHeight="1">
      <c r="A398" s="22">
        <v>396</v>
      </c>
      <c r="B398" s="206" t="s">
        <v>396</v>
      </c>
      <c r="C398" s="24" t="s">
        <v>180</v>
      </c>
      <c r="D398" s="24" t="s">
        <v>1287</v>
      </c>
      <c r="E398" s="24" t="s">
        <v>1274</v>
      </c>
      <c r="F398" s="24">
        <v>1</v>
      </c>
      <c r="G398" s="24" t="s">
        <v>1135</v>
      </c>
      <c r="H398" s="24"/>
      <c r="I398" s="24"/>
      <c r="J398" s="226"/>
      <c r="K398" s="196"/>
      <c r="L398" s="196"/>
      <c r="M398" s="196"/>
      <c r="N398" s="196"/>
      <c r="O398" s="204" t="s">
        <v>396</v>
      </c>
      <c r="P398" s="196"/>
      <c r="Q398" s="24"/>
      <c r="R398" s="196"/>
      <c r="S398" s="229"/>
      <c r="T398" s="196"/>
      <c r="U398" s="229"/>
      <c r="V398" s="229"/>
      <c r="W398" s="196"/>
      <c r="X398" s="24"/>
      <c r="Y398" s="24"/>
      <c r="Z398" s="24"/>
      <c r="AA398" s="22"/>
      <c r="AB398" s="24"/>
      <c r="AC398" s="24"/>
      <c r="AD398" s="232" t="s">
        <v>397</v>
      </c>
      <c r="AE398" s="25"/>
      <c r="AF398" s="231">
        <v>289530006</v>
      </c>
      <c r="AG398" s="227"/>
      <c r="AH398" s="205" t="s">
        <v>115</v>
      </c>
      <c r="AI398" s="223" t="s">
        <v>1267</v>
      </c>
      <c r="AJ398" s="205" t="s">
        <v>399</v>
      </c>
      <c r="AK398" s="24"/>
      <c r="AL398" s="24"/>
      <c r="AM398" s="24"/>
    </row>
    <row r="399" spans="1:39" ht="26.25" customHeight="1">
      <c r="A399" s="22">
        <v>397</v>
      </c>
      <c r="B399" s="206" t="s">
        <v>1268</v>
      </c>
      <c r="C399" s="24" t="s">
        <v>180</v>
      </c>
      <c r="D399" s="24" t="s">
        <v>1287</v>
      </c>
      <c r="E399" s="24" t="s">
        <v>1274</v>
      </c>
      <c r="F399" s="24">
        <v>1</v>
      </c>
      <c r="G399" s="24" t="s">
        <v>1135</v>
      </c>
      <c r="H399" s="24"/>
      <c r="I399" s="24"/>
      <c r="J399" s="226"/>
      <c r="K399" s="196"/>
      <c r="L399" s="196"/>
      <c r="M399" s="196"/>
      <c r="N399" s="196"/>
      <c r="O399" s="204" t="s">
        <v>1268</v>
      </c>
      <c r="P399" s="196"/>
      <c r="Q399" s="24"/>
      <c r="R399" s="196"/>
      <c r="S399" s="229"/>
      <c r="T399" s="196"/>
      <c r="U399" s="229"/>
      <c r="V399" s="229"/>
      <c r="W399" s="196"/>
      <c r="X399" s="24"/>
      <c r="Y399" s="24"/>
      <c r="Z399" s="24"/>
      <c r="AA399" s="22"/>
      <c r="AB399" s="24"/>
      <c r="AC399" s="24"/>
      <c r="AD399" s="232" t="s">
        <v>397</v>
      </c>
      <c r="AE399" s="25"/>
      <c r="AF399" s="231">
        <v>271939006</v>
      </c>
      <c r="AG399" s="227"/>
      <c r="AH399" s="205" t="s">
        <v>115</v>
      </c>
      <c r="AI399" s="223" t="s">
        <v>1269</v>
      </c>
      <c r="AJ399" s="205" t="s">
        <v>1271</v>
      </c>
      <c r="AK399" s="24"/>
      <c r="AL399" s="24"/>
      <c r="AM399" s="24"/>
    </row>
    <row r="400" spans="1:39" ht="26.25" customHeight="1">
      <c r="A400" s="22">
        <v>398</v>
      </c>
      <c r="B400" s="206" t="s">
        <v>400</v>
      </c>
      <c r="C400" s="24" t="s">
        <v>180</v>
      </c>
      <c r="D400" s="24" t="s">
        <v>1287</v>
      </c>
      <c r="E400" s="24" t="s">
        <v>1274</v>
      </c>
      <c r="F400" s="24">
        <v>1</v>
      </c>
      <c r="G400" s="24" t="s">
        <v>1135</v>
      </c>
      <c r="H400" s="24"/>
      <c r="I400" s="24"/>
      <c r="J400" s="226"/>
      <c r="K400" s="196"/>
      <c r="L400" s="196"/>
      <c r="M400" s="196"/>
      <c r="N400" s="196"/>
      <c r="O400" s="204" t="s">
        <v>400</v>
      </c>
      <c r="P400" s="196"/>
      <c r="Q400" s="24"/>
      <c r="R400" s="196"/>
      <c r="S400" s="229"/>
      <c r="T400" s="196"/>
      <c r="U400" s="229"/>
      <c r="V400" s="229"/>
      <c r="W400" s="196"/>
      <c r="X400" s="24"/>
      <c r="Y400" s="24"/>
      <c r="Z400" s="24"/>
      <c r="AA400" s="22"/>
      <c r="AB400" s="24"/>
      <c r="AC400" s="24"/>
      <c r="AD400" s="232" t="s">
        <v>402</v>
      </c>
      <c r="AE400" s="25"/>
      <c r="AF400" s="231">
        <v>63102001</v>
      </c>
      <c r="AG400" s="227"/>
      <c r="AH400" s="205" t="s">
        <v>115</v>
      </c>
      <c r="AI400" s="223" t="s">
        <v>403</v>
      </c>
      <c r="AJ400" s="205" t="s">
        <v>404</v>
      </c>
      <c r="AK400" s="24"/>
      <c r="AL400" s="24"/>
      <c r="AM400" s="24"/>
    </row>
    <row r="401" spans="1:39" ht="12.75" customHeight="1">
      <c r="A401" s="22">
        <v>399</v>
      </c>
      <c r="B401" s="206" t="s">
        <v>405</v>
      </c>
      <c r="C401" s="24" t="s">
        <v>180</v>
      </c>
      <c r="D401" s="24" t="s">
        <v>1287</v>
      </c>
      <c r="E401" s="24" t="s">
        <v>1274</v>
      </c>
      <c r="F401" s="24">
        <v>1</v>
      </c>
      <c r="G401" s="24" t="s">
        <v>1135</v>
      </c>
      <c r="H401" s="24"/>
      <c r="I401" s="24"/>
      <c r="J401" s="226"/>
      <c r="K401" s="196"/>
      <c r="L401" s="196"/>
      <c r="M401" s="196"/>
      <c r="N401" s="196"/>
      <c r="O401" s="204" t="s">
        <v>405</v>
      </c>
      <c r="P401" s="196"/>
      <c r="Q401" s="24"/>
      <c r="R401" s="196"/>
      <c r="S401" s="229"/>
      <c r="T401" s="196"/>
      <c r="U401" s="229"/>
      <c r="V401" s="229"/>
      <c r="W401" s="196"/>
      <c r="X401" s="24"/>
      <c r="Y401" s="24"/>
      <c r="Z401" s="24"/>
      <c r="AA401" s="22"/>
      <c r="AB401" s="24"/>
      <c r="AC401" s="24"/>
      <c r="AD401" s="227"/>
      <c r="AE401" s="227"/>
      <c r="AF401" s="246" t="s">
        <v>745</v>
      </c>
      <c r="AG401" s="227"/>
      <c r="AH401" s="235" t="s">
        <v>1241</v>
      </c>
      <c r="AI401" s="223" t="s">
        <v>406</v>
      </c>
      <c r="AJ401" s="205" t="s">
        <v>407</v>
      </c>
      <c r="AK401" s="24"/>
      <c r="AL401" s="24"/>
      <c r="AM401" s="24"/>
    </row>
    <row r="402" spans="1:39" ht="15" customHeight="1">
      <c r="A402" s="22">
        <v>400</v>
      </c>
      <c r="B402" s="206" t="s">
        <v>1300</v>
      </c>
      <c r="C402" s="24" t="s">
        <v>96</v>
      </c>
      <c r="D402" s="24" t="s">
        <v>1287</v>
      </c>
      <c r="E402" s="24" t="s">
        <v>1274</v>
      </c>
      <c r="F402" s="24">
        <v>1</v>
      </c>
      <c r="G402" s="24" t="s">
        <v>1135</v>
      </c>
      <c r="H402" s="24"/>
      <c r="I402" s="24"/>
      <c r="J402" s="226"/>
      <c r="K402" s="196" t="s">
        <v>409</v>
      </c>
      <c r="L402" s="196" t="s">
        <v>1291</v>
      </c>
      <c r="M402" s="196" t="s">
        <v>1292</v>
      </c>
      <c r="N402" s="196" t="s">
        <v>111</v>
      </c>
      <c r="O402" s="196"/>
      <c r="P402" s="196"/>
      <c r="Q402" s="24"/>
      <c r="R402" s="196"/>
      <c r="S402" s="229"/>
      <c r="T402" s="196" t="s">
        <v>208</v>
      </c>
      <c r="U402" s="229"/>
      <c r="V402" s="229"/>
      <c r="W402" s="196" t="s">
        <v>115</v>
      </c>
      <c r="X402" s="24"/>
      <c r="Y402" s="24"/>
      <c r="Z402" s="24"/>
      <c r="AA402" s="22"/>
      <c r="AB402" s="24"/>
      <c r="AC402" s="24"/>
      <c r="AD402" s="227"/>
      <c r="AE402" s="227"/>
      <c r="AF402" s="227"/>
      <c r="AG402" s="232" t="s">
        <v>413</v>
      </c>
      <c r="AH402" s="235" t="s">
        <v>1241</v>
      </c>
      <c r="AI402" s="223" t="s">
        <v>415</v>
      </c>
      <c r="AJ402" s="205" t="s">
        <v>416</v>
      </c>
      <c r="AK402" s="24"/>
      <c r="AL402" s="24"/>
      <c r="AM402" s="24"/>
    </row>
    <row r="403" spans="1:39" ht="12.75" customHeight="1">
      <c r="A403" s="22">
        <v>401</v>
      </c>
      <c r="B403" s="206" t="s">
        <v>1293</v>
      </c>
      <c r="C403" s="24" t="s">
        <v>96</v>
      </c>
      <c r="D403" s="24"/>
      <c r="E403" s="24" t="s">
        <v>1274</v>
      </c>
      <c r="F403" s="24">
        <v>1</v>
      </c>
      <c r="G403" s="24" t="s">
        <v>1135</v>
      </c>
      <c r="H403" s="24"/>
      <c r="I403" s="24"/>
      <c r="J403" s="226"/>
      <c r="K403" s="234" t="s">
        <v>1293</v>
      </c>
      <c r="L403" s="234" t="s">
        <v>1294</v>
      </c>
      <c r="M403" s="234" t="s">
        <v>1295</v>
      </c>
      <c r="N403" s="234" t="s">
        <v>202</v>
      </c>
      <c r="O403" s="196"/>
      <c r="P403" s="196"/>
      <c r="Q403" s="24"/>
      <c r="R403" s="196"/>
      <c r="S403" s="229"/>
      <c r="T403" s="234" t="s">
        <v>113</v>
      </c>
      <c r="U403" s="229"/>
      <c r="V403" s="229"/>
      <c r="W403" s="196" t="s">
        <v>1296</v>
      </c>
      <c r="X403" s="24"/>
      <c r="Y403" s="24"/>
      <c r="Z403" s="24"/>
      <c r="AA403" s="22"/>
      <c r="AB403" s="24"/>
      <c r="AC403" s="24"/>
      <c r="AD403" s="227"/>
      <c r="AE403" s="227"/>
      <c r="AF403" s="246" t="s">
        <v>1297</v>
      </c>
      <c r="AG403" s="227"/>
      <c r="AH403" s="207" t="s">
        <v>115</v>
      </c>
      <c r="AI403" s="223" t="s">
        <v>1298</v>
      </c>
      <c r="AJ403" s="205" t="s">
        <v>1299</v>
      </c>
      <c r="AK403" s="24"/>
      <c r="AL403" s="24"/>
      <c r="AM403" s="24"/>
    </row>
    <row r="404" spans="1:39" ht="15" customHeight="1">
      <c r="A404" s="22">
        <v>402</v>
      </c>
      <c r="B404" s="206" t="s">
        <v>1301</v>
      </c>
      <c r="C404" s="24" t="s">
        <v>180</v>
      </c>
      <c r="D404" s="24" t="s">
        <v>1293</v>
      </c>
      <c r="E404" s="24" t="s">
        <v>1274</v>
      </c>
      <c r="F404" s="24">
        <v>1</v>
      </c>
      <c r="G404" s="24" t="s">
        <v>1135</v>
      </c>
      <c r="H404" s="24"/>
      <c r="I404" s="24"/>
      <c r="J404" s="226"/>
      <c r="K404" s="196"/>
      <c r="L404" s="196"/>
      <c r="M404" s="196"/>
      <c r="N404" s="196"/>
      <c r="O404" s="196" t="s">
        <v>1301</v>
      </c>
      <c r="P404" s="196"/>
      <c r="Q404" s="24"/>
      <c r="R404" s="196"/>
      <c r="S404" s="229"/>
      <c r="T404" s="196"/>
      <c r="U404" s="229"/>
      <c r="V404" s="229"/>
      <c r="W404" s="196"/>
      <c r="X404" s="24"/>
      <c r="Y404" s="24"/>
      <c r="Z404" s="24"/>
      <c r="AA404" s="22"/>
      <c r="AB404" s="24"/>
      <c r="AC404" s="24"/>
      <c r="AD404" s="227"/>
      <c r="AE404" s="227"/>
      <c r="AF404" s="231">
        <v>289431008</v>
      </c>
      <c r="AG404" s="227"/>
      <c r="AH404" s="207" t="s">
        <v>115</v>
      </c>
      <c r="AI404" s="223" t="s">
        <v>1303</v>
      </c>
      <c r="AJ404" s="207" t="s">
        <v>1304</v>
      </c>
      <c r="AK404" s="24"/>
      <c r="AL404" s="24"/>
      <c r="AM404" s="24"/>
    </row>
    <row r="405" spans="1:39" ht="26.25" customHeight="1">
      <c r="A405" s="22">
        <v>403</v>
      </c>
      <c r="B405" s="206" t="s">
        <v>378</v>
      </c>
      <c r="C405" s="24" t="s">
        <v>180</v>
      </c>
      <c r="D405" s="24" t="s">
        <v>1293</v>
      </c>
      <c r="E405" s="24" t="s">
        <v>1274</v>
      </c>
      <c r="F405" s="24">
        <v>1</v>
      </c>
      <c r="G405" s="24" t="s">
        <v>1135</v>
      </c>
      <c r="H405" s="24"/>
      <c r="I405" s="24"/>
      <c r="J405" s="226"/>
      <c r="K405" s="196"/>
      <c r="L405" s="196"/>
      <c r="M405" s="196"/>
      <c r="N405" s="196"/>
      <c r="O405" s="234" t="s">
        <v>378</v>
      </c>
      <c r="P405" s="196"/>
      <c r="Q405" s="24"/>
      <c r="R405" s="196"/>
      <c r="S405" s="229"/>
      <c r="T405" s="196"/>
      <c r="U405" s="229"/>
      <c r="V405" s="229"/>
      <c r="W405" s="196"/>
      <c r="X405" s="24"/>
      <c r="Y405" s="24"/>
      <c r="Z405" s="24"/>
      <c r="AA405" s="22"/>
      <c r="AB405" s="24"/>
      <c r="AC405" s="24"/>
      <c r="AD405" s="231" t="s">
        <v>336</v>
      </c>
      <c r="AE405" s="227"/>
      <c r="AF405" s="231">
        <v>276369006</v>
      </c>
      <c r="AG405" s="227"/>
      <c r="AH405" s="207" t="s">
        <v>115</v>
      </c>
      <c r="AI405" s="223" t="s">
        <v>379</v>
      </c>
      <c r="AJ405" s="207" t="s">
        <v>380</v>
      </c>
      <c r="AK405" s="24"/>
      <c r="AL405" s="24"/>
      <c r="AM405" s="24"/>
    </row>
    <row r="406" spans="1:39" ht="26.25" customHeight="1">
      <c r="A406" s="22">
        <v>404</v>
      </c>
      <c r="B406" s="206" t="s">
        <v>335</v>
      </c>
      <c r="C406" s="24" t="s">
        <v>180</v>
      </c>
      <c r="D406" s="24" t="s">
        <v>1293</v>
      </c>
      <c r="E406" s="24" t="s">
        <v>1274</v>
      </c>
      <c r="F406" s="24">
        <v>1</v>
      </c>
      <c r="G406" s="24" t="s">
        <v>1135</v>
      </c>
      <c r="H406" s="24"/>
      <c r="I406" s="24"/>
      <c r="J406" s="226"/>
      <c r="K406" s="196"/>
      <c r="L406" s="196"/>
      <c r="M406" s="196"/>
      <c r="N406" s="196"/>
      <c r="O406" s="204" t="s">
        <v>335</v>
      </c>
      <c r="P406" s="196"/>
      <c r="Q406" s="24"/>
      <c r="R406" s="196"/>
      <c r="S406" s="229"/>
      <c r="T406" s="196"/>
      <c r="U406" s="229"/>
      <c r="V406" s="229"/>
      <c r="W406" s="196"/>
      <c r="X406" s="24"/>
      <c r="Y406" s="24"/>
      <c r="Z406" s="24"/>
      <c r="AA406" s="22"/>
      <c r="AB406" s="24"/>
      <c r="AC406" s="24"/>
      <c r="AD406" s="231" t="s">
        <v>336</v>
      </c>
      <c r="AE406" s="227"/>
      <c r="AF406" s="231">
        <v>289433006</v>
      </c>
      <c r="AG406" s="227"/>
      <c r="AH406" s="207" t="s">
        <v>115</v>
      </c>
      <c r="AI406" s="223" t="s">
        <v>338</v>
      </c>
      <c r="AJ406" s="205" t="s">
        <v>339</v>
      </c>
      <c r="AK406" s="24"/>
      <c r="AL406" s="24"/>
      <c r="AM406" s="24"/>
    </row>
    <row r="407" spans="1:39" ht="12.75" customHeight="1">
      <c r="A407" s="22">
        <v>405</v>
      </c>
      <c r="B407" s="24" t="s">
        <v>1306</v>
      </c>
      <c r="C407" s="24" t="s">
        <v>96</v>
      </c>
      <c r="D407" s="24"/>
      <c r="E407" s="24" t="s">
        <v>1307</v>
      </c>
      <c r="F407" s="24">
        <v>1</v>
      </c>
      <c r="G407" s="24" t="s">
        <v>1308</v>
      </c>
      <c r="H407" s="24"/>
      <c r="I407" s="24"/>
      <c r="J407" s="114"/>
      <c r="K407" s="124" t="s">
        <v>1306</v>
      </c>
      <c r="L407" s="124" t="s">
        <v>1309</v>
      </c>
      <c r="M407" s="124" t="s">
        <v>1310</v>
      </c>
      <c r="N407" s="124" t="s">
        <v>168</v>
      </c>
      <c r="O407" s="126"/>
      <c r="P407" s="126"/>
      <c r="Q407" s="24"/>
      <c r="R407" s="124" t="s">
        <v>1311</v>
      </c>
      <c r="S407" s="114"/>
      <c r="T407" s="124" t="s">
        <v>113</v>
      </c>
      <c r="U407" s="114"/>
      <c r="V407" s="114"/>
      <c r="W407" s="124" t="s">
        <v>1312</v>
      </c>
      <c r="X407" s="24"/>
      <c r="Y407" s="114"/>
      <c r="Z407" s="24"/>
      <c r="AA407" s="24"/>
      <c r="AB407" s="24"/>
      <c r="AC407" s="24"/>
      <c r="AD407" s="182"/>
      <c r="AE407" s="182"/>
      <c r="AF407" s="113">
        <v>50373000</v>
      </c>
      <c r="AG407" s="182"/>
      <c r="AH407" s="115" t="s">
        <v>115</v>
      </c>
      <c r="AI407" s="115" t="s">
        <v>1313</v>
      </c>
      <c r="AJ407" s="115" t="s">
        <v>1314</v>
      </c>
      <c r="AK407" s="24"/>
      <c r="AL407" s="24"/>
      <c r="AM407" s="24"/>
    </row>
    <row r="408" spans="1:39" ht="12.75" customHeight="1">
      <c r="A408" s="22">
        <v>406</v>
      </c>
      <c r="B408" s="24" t="s">
        <v>1315</v>
      </c>
      <c r="C408" s="24" t="s">
        <v>96</v>
      </c>
      <c r="D408" s="24"/>
      <c r="E408" s="24" t="s">
        <v>1307</v>
      </c>
      <c r="F408" s="24">
        <v>1</v>
      </c>
      <c r="G408" s="24" t="s">
        <v>1308</v>
      </c>
      <c r="H408" s="24"/>
      <c r="I408" s="24"/>
      <c r="J408" s="114"/>
      <c r="K408" s="124" t="s">
        <v>1315</v>
      </c>
      <c r="L408" s="124" t="s">
        <v>1316</v>
      </c>
      <c r="M408" s="124" t="s">
        <v>1317</v>
      </c>
      <c r="N408" s="124" t="s">
        <v>1318</v>
      </c>
      <c r="O408" s="126"/>
      <c r="P408" s="126"/>
      <c r="Q408" s="24"/>
      <c r="R408" s="124" t="s">
        <v>1319</v>
      </c>
      <c r="S408" s="114"/>
      <c r="T408" s="124" t="s">
        <v>1320</v>
      </c>
      <c r="U408" s="114"/>
      <c r="V408" s="114"/>
      <c r="W408" s="124" t="s">
        <v>1312</v>
      </c>
      <c r="X408" s="24"/>
      <c r="Y408" s="114"/>
      <c r="Z408" s="24"/>
      <c r="AA408" s="24"/>
      <c r="AB408" s="24"/>
      <c r="AC408" s="24"/>
      <c r="AD408" s="233"/>
      <c r="AE408" s="233"/>
      <c r="AF408" s="250"/>
      <c r="AG408" s="233"/>
      <c r="AH408" s="115" t="s">
        <v>115</v>
      </c>
      <c r="AI408" s="115" t="s">
        <v>1321</v>
      </c>
      <c r="AJ408" s="115" t="s">
        <v>1322</v>
      </c>
      <c r="AK408" s="24"/>
      <c r="AL408" s="24"/>
      <c r="AM408" s="24"/>
    </row>
    <row r="409" spans="1:39" ht="12.75" customHeight="1">
      <c r="A409" s="22">
        <v>407</v>
      </c>
      <c r="B409" s="24" t="s">
        <v>1323</v>
      </c>
      <c r="C409" s="24" t="s">
        <v>96</v>
      </c>
      <c r="D409" s="24"/>
      <c r="E409" s="24" t="s">
        <v>1307</v>
      </c>
      <c r="F409" s="24">
        <v>1</v>
      </c>
      <c r="G409" s="24" t="s">
        <v>1308</v>
      </c>
      <c r="H409" s="24"/>
      <c r="I409" s="24"/>
      <c r="J409" s="114"/>
      <c r="K409" s="124" t="s">
        <v>1323</v>
      </c>
      <c r="L409" s="124" t="s">
        <v>1324</v>
      </c>
      <c r="M409" s="124" t="s">
        <v>1325</v>
      </c>
      <c r="N409" s="124" t="s">
        <v>153</v>
      </c>
      <c r="O409" s="126"/>
      <c r="P409" s="126"/>
      <c r="Q409" s="24"/>
      <c r="R409" s="126"/>
      <c r="S409" s="114"/>
      <c r="T409" s="124" t="s">
        <v>1320</v>
      </c>
      <c r="U409" s="114"/>
      <c r="V409" s="114"/>
      <c r="W409" s="124" t="s">
        <v>1312</v>
      </c>
      <c r="X409" s="24"/>
      <c r="Y409" s="114"/>
      <c r="Z409" s="24"/>
      <c r="AA409" s="24"/>
      <c r="AB409" s="24"/>
      <c r="AC409" s="24"/>
      <c r="AD409" s="182"/>
      <c r="AE409" s="182"/>
      <c r="AF409" s="113">
        <v>261665006</v>
      </c>
      <c r="AG409" s="182"/>
      <c r="AH409" s="115" t="s">
        <v>1326</v>
      </c>
      <c r="AI409" s="115" t="s">
        <v>501</v>
      </c>
      <c r="AJ409" s="115" t="s">
        <v>503</v>
      </c>
      <c r="AK409" s="24"/>
      <c r="AL409" s="24"/>
      <c r="AM409" s="24"/>
    </row>
    <row r="410" spans="1:39" ht="12.75" customHeight="1">
      <c r="A410" s="22">
        <v>408</v>
      </c>
      <c r="B410" s="24" t="s">
        <v>1327</v>
      </c>
      <c r="C410" s="24" t="s">
        <v>96</v>
      </c>
      <c r="D410" s="24"/>
      <c r="E410" s="24" t="s">
        <v>1307</v>
      </c>
      <c r="F410" s="24">
        <v>1</v>
      </c>
      <c r="G410" s="24" t="s">
        <v>1308</v>
      </c>
      <c r="H410" s="24"/>
      <c r="I410" s="24"/>
      <c r="J410" s="114"/>
      <c r="K410" s="124" t="s">
        <v>1327</v>
      </c>
      <c r="L410" s="124" t="s">
        <v>1328</v>
      </c>
      <c r="M410" s="124" t="s">
        <v>1329</v>
      </c>
      <c r="N410" s="124" t="s">
        <v>1318</v>
      </c>
      <c r="O410" s="126"/>
      <c r="P410" s="126"/>
      <c r="Q410" s="24"/>
      <c r="R410" s="124" t="s">
        <v>1319</v>
      </c>
      <c r="S410" s="114"/>
      <c r="T410" s="124" t="s">
        <v>113</v>
      </c>
      <c r="U410" s="114"/>
      <c r="V410" s="114"/>
      <c r="W410" s="124" t="s">
        <v>1277</v>
      </c>
      <c r="X410" s="24"/>
      <c r="Y410" s="114"/>
      <c r="Z410" s="24"/>
      <c r="AA410" s="24"/>
      <c r="AB410" s="24"/>
      <c r="AC410" s="24"/>
      <c r="AD410" s="182"/>
      <c r="AE410" s="182"/>
      <c r="AF410" s="121">
        <v>27113001</v>
      </c>
      <c r="AG410" s="182"/>
      <c r="AH410" s="115" t="s">
        <v>115</v>
      </c>
      <c r="AI410" s="115" t="s">
        <v>1330</v>
      </c>
      <c r="AJ410" s="115" t="s">
        <v>1331</v>
      </c>
      <c r="AK410" s="24"/>
      <c r="AL410" s="24"/>
      <c r="AM410" s="24"/>
    </row>
    <row r="411" spans="1:39" ht="12.75" customHeight="1">
      <c r="A411" s="22">
        <v>409</v>
      </c>
      <c r="B411" s="24" t="s">
        <v>1335</v>
      </c>
      <c r="C411" s="22" t="s">
        <v>65</v>
      </c>
      <c r="D411" s="24"/>
      <c r="E411" s="24" t="s">
        <v>1307</v>
      </c>
      <c r="F411" s="24">
        <v>1</v>
      </c>
      <c r="G411" s="24" t="s">
        <v>1308</v>
      </c>
      <c r="H411" s="24"/>
      <c r="I411" s="24"/>
      <c r="J411" s="114"/>
      <c r="K411" s="124" t="s">
        <v>115</v>
      </c>
      <c r="L411" s="124" t="s">
        <v>1332</v>
      </c>
      <c r="M411" s="124" t="s">
        <v>1333</v>
      </c>
      <c r="N411" s="124" t="s">
        <v>65</v>
      </c>
      <c r="O411" s="126"/>
      <c r="P411" s="124" t="s">
        <v>1334</v>
      </c>
      <c r="Q411" s="24"/>
      <c r="R411" s="24"/>
      <c r="S411" s="114"/>
      <c r="T411" s="124" t="s">
        <v>203</v>
      </c>
      <c r="U411" s="114"/>
      <c r="V411" s="114"/>
      <c r="W411" s="124" t="s">
        <v>115</v>
      </c>
      <c r="X411" s="24"/>
      <c r="Y411" s="114"/>
      <c r="Z411" s="24"/>
      <c r="AA411" s="24"/>
      <c r="AB411" s="24"/>
      <c r="AC411" s="24"/>
      <c r="AD411" s="233"/>
      <c r="AE411" s="233"/>
      <c r="AF411" s="250"/>
      <c r="AG411" s="233"/>
      <c r="AH411" s="115" t="s">
        <v>115</v>
      </c>
      <c r="AI411" s="115" t="s">
        <v>115</v>
      </c>
      <c r="AJ411" s="115" t="s">
        <v>115</v>
      </c>
      <c r="AK411" s="24"/>
      <c r="AL411" s="24"/>
      <c r="AM411" s="24"/>
    </row>
    <row r="412" spans="1:39" ht="12.75" customHeight="1">
      <c r="A412" s="22">
        <v>410</v>
      </c>
      <c r="B412" s="24" t="s">
        <v>1341</v>
      </c>
      <c r="C412" s="22" t="s">
        <v>65</v>
      </c>
      <c r="D412" s="24"/>
      <c r="E412" s="24" t="s">
        <v>1307</v>
      </c>
      <c r="F412" s="24">
        <v>1</v>
      </c>
      <c r="G412" s="24" t="s">
        <v>1308</v>
      </c>
      <c r="H412" s="24"/>
      <c r="I412" s="24"/>
      <c r="J412" s="114"/>
      <c r="K412" s="124" t="s">
        <v>115</v>
      </c>
      <c r="L412" s="124" t="s">
        <v>1336</v>
      </c>
      <c r="M412" s="124" t="s">
        <v>1337</v>
      </c>
      <c r="N412" s="124" t="s">
        <v>65</v>
      </c>
      <c r="O412" s="126"/>
      <c r="P412" s="124" t="s">
        <v>1338</v>
      </c>
      <c r="Q412" s="24"/>
      <c r="R412" s="24"/>
      <c r="S412" s="114"/>
      <c r="T412" s="124" t="s">
        <v>203</v>
      </c>
      <c r="U412" s="114"/>
      <c r="V412" s="114"/>
      <c r="W412" s="124" t="s">
        <v>115</v>
      </c>
      <c r="X412" s="24"/>
      <c r="Y412" s="114"/>
      <c r="Z412" s="24"/>
      <c r="AA412" s="24"/>
      <c r="AB412" s="24"/>
      <c r="AC412" s="24"/>
      <c r="AD412" s="182"/>
      <c r="AE412" s="182"/>
      <c r="AF412" s="121">
        <v>60621009</v>
      </c>
      <c r="AG412" s="182"/>
      <c r="AH412" s="115" t="s">
        <v>115</v>
      </c>
      <c r="AI412" s="115" t="s">
        <v>1339</v>
      </c>
      <c r="AJ412" s="115" t="s">
        <v>1340</v>
      </c>
      <c r="AK412" s="24"/>
      <c r="AL412" s="24"/>
      <c r="AM412" s="24"/>
    </row>
    <row r="413" spans="1:39" ht="12.75" customHeight="1">
      <c r="A413" s="22">
        <v>411</v>
      </c>
      <c r="B413" s="24" t="s">
        <v>1345</v>
      </c>
      <c r="C413" s="22" t="s">
        <v>65</v>
      </c>
      <c r="D413" s="24"/>
      <c r="E413" s="24" t="s">
        <v>1307</v>
      </c>
      <c r="F413" s="24">
        <v>1</v>
      </c>
      <c r="G413" s="24" t="s">
        <v>1308</v>
      </c>
      <c r="H413" s="24"/>
      <c r="I413" s="24"/>
      <c r="J413" s="114"/>
      <c r="K413" s="124" t="s">
        <v>115</v>
      </c>
      <c r="L413" s="124" t="s">
        <v>1342</v>
      </c>
      <c r="M413" s="124" t="s">
        <v>1343</v>
      </c>
      <c r="N413" s="124" t="s">
        <v>65</v>
      </c>
      <c r="O413" s="126"/>
      <c r="P413" s="124" t="s">
        <v>1344</v>
      </c>
      <c r="Q413" s="24"/>
      <c r="R413" s="24"/>
      <c r="S413" s="114"/>
      <c r="T413" s="124" t="s">
        <v>203</v>
      </c>
      <c r="U413" s="114"/>
      <c r="V413" s="114"/>
      <c r="W413" s="124" t="s">
        <v>115</v>
      </c>
      <c r="X413" s="24"/>
      <c r="Y413" s="114"/>
      <c r="Z413" s="24"/>
      <c r="AA413" s="24"/>
      <c r="AB413" s="24"/>
      <c r="AC413" s="24"/>
      <c r="AD413" s="233"/>
      <c r="AE413" s="233"/>
      <c r="AF413" s="250"/>
      <c r="AG413" s="233"/>
      <c r="AH413" s="115" t="s">
        <v>115</v>
      </c>
      <c r="AI413" s="115" t="s">
        <v>115</v>
      </c>
      <c r="AJ413" s="115" t="s">
        <v>115</v>
      </c>
      <c r="AK413" s="24"/>
      <c r="AL413" s="24"/>
      <c r="AM413" s="24"/>
    </row>
    <row r="414" spans="1:39" ht="12.75" customHeight="1">
      <c r="A414" s="22">
        <v>412</v>
      </c>
      <c r="B414" s="24" t="s">
        <v>1349</v>
      </c>
      <c r="C414" s="22" t="s">
        <v>65</v>
      </c>
      <c r="D414" s="24"/>
      <c r="E414" s="24" t="s">
        <v>1307</v>
      </c>
      <c r="F414" s="24">
        <v>1</v>
      </c>
      <c r="G414" s="24" t="s">
        <v>1308</v>
      </c>
      <c r="H414" s="24"/>
      <c r="I414" s="24"/>
      <c r="J414" s="114"/>
      <c r="K414" s="124" t="s">
        <v>115</v>
      </c>
      <c r="L414" s="124" t="s">
        <v>1346</v>
      </c>
      <c r="M414" s="124" t="s">
        <v>1347</v>
      </c>
      <c r="N414" s="124" t="s">
        <v>65</v>
      </c>
      <c r="O414" s="126"/>
      <c r="P414" s="124" t="s">
        <v>1348</v>
      </c>
      <c r="Q414" s="24"/>
      <c r="R414" s="24"/>
      <c r="S414" s="114"/>
      <c r="T414" s="124" t="s">
        <v>203</v>
      </c>
      <c r="U414" s="114"/>
      <c r="V414" s="114"/>
      <c r="W414" s="124" t="s">
        <v>115</v>
      </c>
      <c r="X414" s="24"/>
      <c r="Y414" s="114"/>
      <c r="Z414" s="24"/>
      <c r="AA414" s="24"/>
      <c r="AB414" s="24"/>
      <c r="AC414" s="24"/>
      <c r="AD414" s="233"/>
      <c r="AE414" s="233"/>
      <c r="AF414" s="250"/>
      <c r="AG414" s="233"/>
      <c r="AH414" s="115" t="s">
        <v>115</v>
      </c>
      <c r="AI414" s="115" t="s">
        <v>115</v>
      </c>
      <c r="AJ414" s="115" t="s">
        <v>115</v>
      </c>
      <c r="AK414" s="24"/>
      <c r="AL414" s="24"/>
      <c r="AM414" s="24"/>
    </row>
    <row r="415" spans="1:39" ht="12.75" customHeight="1">
      <c r="A415" s="22">
        <v>413</v>
      </c>
      <c r="B415" s="24" t="s">
        <v>1353</v>
      </c>
      <c r="C415" s="22" t="s">
        <v>65</v>
      </c>
      <c r="D415" s="24"/>
      <c r="E415" s="24" t="s">
        <v>1307</v>
      </c>
      <c r="F415" s="24">
        <v>1</v>
      </c>
      <c r="G415" s="24" t="s">
        <v>1308</v>
      </c>
      <c r="H415" s="24"/>
      <c r="I415" s="24"/>
      <c r="J415" s="114"/>
      <c r="K415" s="124" t="s">
        <v>115</v>
      </c>
      <c r="L415" s="124" t="s">
        <v>1350</v>
      </c>
      <c r="M415" s="124" t="s">
        <v>1351</v>
      </c>
      <c r="N415" s="124" t="s">
        <v>65</v>
      </c>
      <c r="O415" s="126"/>
      <c r="P415" s="124" t="s">
        <v>1352</v>
      </c>
      <c r="Q415" s="24"/>
      <c r="R415" s="24"/>
      <c r="S415" s="114"/>
      <c r="T415" s="124" t="s">
        <v>203</v>
      </c>
      <c r="U415" s="114"/>
      <c r="V415" s="114"/>
      <c r="W415" s="124" t="s">
        <v>115</v>
      </c>
      <c r="X415" s="24"/>
      <c r="Y415" s="114"/>
      <c r="Z415" s="24"/>
      <c r="AA415" s="24"/>
      <c r="AB415" s="24"/>
      <c r="AC415" s="24"/>
      <c r="AD415" s="233"/>
      <c r="AE415" s="233"/>
      <c r="AF415" s="250"/>
      <c r="AG415" s="233"/>
      <c r="AH415" s="115" t="s">
        <v>115</v>
      </c>
      <c r="AI415" s="115" t="s">
        <v>115</v>
      </c>
      <c r="AJ415" s="115" t="s">
        <v>115</v>
      </c>
      <c r="AK415" s="24"/>
      <c r="AL415" s="24"/>
      <c r="AM415" s="24"/>
    </row>
    <row r="416" spans="1:39" ht="12.75" customHeight="1">
      <c r="A416" s="22">
        <v>414</v>
      </c>
      <c r="B416" s="24" t="s">
        <v>1357</v>
      </c>
      <c r="C416" s="22" t="s">
        <v>65</v>
      </c>
      <c r="D416" s="24"/>
      <c r="E416" s="24" t="s">
        <v>1307</v>
      </c>
      <c r="F416" s="24">
        <v>1</v>
      </c>
      <c r="G416" s="24" t="s">
        <v>1308</v>
      </c>
      <c r="H416" s="24"/>
      <c r="I416" s="24"/>
      <c r="J416" s="114"/>
      <c r="K416" s="124" t="s">
        <v>115</v>
      </c>
      <c r="L416" s="124" t="s">
        <v>1354</v>
      </c>
      <c r="M416" s="124" t="s">
        <v>1355</v>
      </c>
      <c r="N416" s="124" t="s">
        <v>65</v>
      </c>
      <c r="O416" s="126"/>
      <c r="P416" s="124" t="s">
        <v>1356</v>
      </c>
      <c r="Q416" s="24"/>
      <c r="R416" s="24"/>
      <c r="S416" s="114"/>
      <c r="T416" s="124" t="s">
        <v>203</v>
      </c>
      <c r="U416" s="114"/>
      <c r="V416" s="114"/>
      <c r="W416" s="124" t="s">
        <v>115</v>
      </c>
      <c r="X416" s="24"/>
      <c r="Y416" s="114"/>
      <c r="Z416" s="24"/>
      <c r="AA416" s="24"/>
      <c r="AB416" s="24"/>
      <c r="AC416" s="24"/>
      <c r="AD416" s="233"/>
      <c r="AE416" s="233"/>
      <c r="AF416" s="250"/>
      <c r="AG416" s="233"/>
      <c r="AH416" s="115" t="s">
        <v>115</v>
      </c>
      <c r="AI416" s="115" t="s">
        <v>115</v>
      </c>
      <c r="AJ416" s="115" t="s">
        <v>115</v>
      </c>
      <c r="AK416" s="24"/>
      <c r="AL416" s="24"/>
      <c r="AM416" s="24"/>
    </row>
    <row r="417" spans="1:39" ht="12.75" customHeight="1">
      <c r="A417" s="22">
        <v>415</v>
      </c>
      <c r="B417" s="24" t="s">
        <v>1358</v>
      </c>
      <c r="C417" s="24" t="s">
        <v>96</v>
      </c>
      <c r="D417" s="24"/>
      <c r="E417" s="24" t="s">
        <v>1359</v>
      </c>
      <c r="F417" s="24">
        <v>1</v>
      </c>
      <c r="G417" s="24" t="s">
        <v>1308</v>
      </c>
      <c r="H417" s="24"/>
      <c r="I417" s="24"/>
      <c r="J417" s="114"/>
      <c r="K417" s="124" t="s">
        <v>1358</v>
      </c>
      <c r="L417" s="124" t="s">
        <v>1360</v>
      </c>
      <c r="M417" s="124" t="s">
        <v>1361</v>
      </c>
      <c r="N417" s="124" t="s">
        <v>168</v>
      </c>
      <c r="O417" s="126"/>
      <c r="P417" s="126"/>
      <c r="Q417" s="24"/>
      <c r="R417" s="124" t="s">
        <v>1362</v>
      </c>
      <c r="S417" s="114"/>
      <c r="T417" s="124" t="s">
        <v>1363</v>
      </c>
      <c r="U417" s="114"/>
      <c r="V417" s="114"/>
      <c r="W417" s="124" t="s">
        <v>1277</v>
      </c>
      <c r="X417" s="24"/>
      <c r="Y417" s="114"/>
      <c r="Z417" s="24"/>
      <c r="AA417" s="24"/>
      <c r="AB417" s="24"/>
      <c r="AC417" s="24"/>
      <c r="AD417" s="182"/>
      <c r="AE417" s="182"/>
      <c r="AF417" s="252">
        <v>271649006</v>
      </c>
      <c r="AG417" s="253">
        <v>2403450</v>
      </c>
      <c r="AH417" s="115" t="s">
        <v>115</v>
      </c>
      <c r="AI417" s="115" t="s">
        <v>1364</v>
      </c>
      <c r="AJ417" s="115" t="s">
        <v>1365</v>
      </c>
      <c r="AK417" s="24"/>
      <c r="AL417" s="24"/>
      <c r="AM417" s="24"/>
    </row>
    <row r="418" spans="1:39" ht="12.75" customHeight="1">
      <c r="A418" s="22">
        <v>416</v>
      </c>
      <c r="B418" s="24" t="s">
        <v>1366</v>
      </c>
      <c r="C418" s="24" t="s">
        <v>96</v>
      </c>
      <c r="D418" s="24"/>
      <c r="E418" s="24" t="s">
        <v>1359</v>
      </c>
      <c r="F418" s="24">
        <v>1</v>
      </c>
      <c r="G418" s="24" t="s">
        <v>1308</v>
      </c>
      <c r="H418" s="24"/>
      <c r="I418" s="24"/>
      <c r="J418" s="114"/>
      <c r="K418" s="124" t="s">
        <v>1366</v>
      </c>
      <c r="L418" s="124" t="s">
        <v>1367</v>
      </c>
      <c r="M418" s="124" t="s">
        <v>1368</v>
      </c>
      <c r="N418" s="124" t="s">
        <v>168</v>
      </c>
      <c r="O418" s="126"/>
      <c r="P418" s="126"/>
      <c r="Q418" s="24"/>
      <c r="R418" s="124" t="s">
        <v>1362</v>
      </c>
      <c r="S418" s="114"/>
      <c r="T418" s="124" t="s">
        <v>1363</v>
      </c>
      <c r="U418" s="114"/>
      <c r="V418" s="114"/>
      <c r="W418" s="124" t="s">
        <v>1277</v>
      </c>
      <c r="X418" s="24"/>
      <c r="Y418" s="114"/>
      <c r="Z418" s="24"/>
      <c r="AA418" s="24"/>
      <c r="AB418" s="24"/>
      <c r="AC418" s="24"/>
      <c r="AD418" s="182"/>
      <c r="AE418" s="182"/>
      <c r="AF418" s="252">
        <v>271650006</v>
      </c>
      <c r="AG418" s="252" t="s">
        <v>1369</v>
      </c>
      <c r="AH418" s="115" t="s">
        <v>115</v>
      </c>
      <c r="AI418" s="115" t="s">
        <v>1370</v>
      </c>
      <c r="AJ418" s="115" t="s">
        <v>1371</v>
      </c>
      <c r="AK418" s="24"/>
      <c r="AL418" s="24"/>
      <c r="AM418" s="24"/>
    </row>
    <row r="419" spans="1:39" ht="12.75" customHeight="1">
      <c r="A419" s="22">
        <v>417</v>
      </c>
      <c r="B419" s="24" t="s">
        <v>1372</v>
      </c>
      <c r="C419" s="24" t="s">
        <v>96</v>
      </c>
      <c r="D419" s="24"/>
      <c r="E419" s="24" t="s">
        <v>1359</v>
      </c>
      <c r="F419" s="24">
        <v>1</v>
      </c>
      <c r="G419" s="24" t="s">
        <v>1308</v>
      </c>
      <c r="H419" s="24"/>
      <c r="I419" s="24"/>
      <c r="J419" s="114"/>
      <c r="K419" s="124" t="s">
        <v>1372</v>
      </c>
      <c r="L419" s="124" t="s">
        <v>1373</v>
      </c>
      <c r="M419" s="124" t="s">
        <v>1374</v>
      </c>
      <c r="N419" s="124" t="s">
        <v>153</v>
      </c>
      <c r="O419" s="126"/>
      <c r="P419" s="126"/>
      <c r="Q419" s="24"/>
      <c r="R419" s="24"/>
      <c r="S419" s="114"/>
      <c r="T419" s="124" t="s">
        <v>1363</v>
      </c>
      <c r="U419" s="114"/>
      <c r="V419" s="114"/>
      <c r="W419" s="124" t="s">
        <v>1277</v>
      </c>
      <c r="X419" s="24"/>
      <c r="Y419" s="114"/>
      <c r="Z419" s="24"/>
      <c r="AA419" s="24"/>
      <c r="AB419" s="24"/>
      <c r="AC419" s="24"/>
      <c r="AD419" s="233"/>
      <c r="AE419" s="233"/>
      <c r="AF419" s="250"/>
      <c r="AG419" s="254"/>
      <c r="AH419" s="116" t="s">
        <v>115</v>
      </c>
      <c r="AI419" s="116" t="s">
        <v>115</v>
      </c>
      <c r="AJ419" s="116" t="s">
        <v>115</v>
      </c>
      <c r="AK419" s="24"/>
      <c r="AL419" s="24"/>
      <c r="AM419" s="24"/>
    </row>
    <row r="420" spans="1:39" ht="12.75" customHeight="1">
      <c r="A420" s="22">
        <v>418</v>
      </c>
      <c r="B420" s="24" t="s">
        <v>1375</v>
      </c>
      <c r="C420" s="24" t="s">
        <v>96</v>
      </c>
      <c r="D420" s="24"/>
      <c r="E420" s="24" t="s">
        <v>1359</v>
      </c>
      <c r="F420" s="24">
        <v>1</v>
      </c>
      <c r="G420" s="24" t="s">
        <v>1308</v>
      </c>
      <c r="H420" s="24"/>
      <c r="I420" s="24"/>
      <c r="J420" s="114"/>
      <c r="K420" s="124" t="s">
        <v>1376</v>
      </c>
      <c r="L420" s="124" t="s">
        <v>1377</v>
      </c>
      <c r="M420" s="124" t="s">
        <v>1378</v>
      </c>
      <c r="N420" s="124" t="s">
        <v>238</v>
      </c>
      <c r="O420" s="126"/>
      <c r="P420" s="126"/>
      <c r="Q420" s="24"/>
      <c r="R420" s="24"/>
      <c r="S420" s="114"/>
      <c r="T420" s="124" t="s">
        <v>113</v>
      </c>
      <c r="U420" s="114"/>
      <c r="V420" s="114"/>
      <c r="W420" s="124" t="s">
        <v>115</v>
      </c>
      <c r="X420" s="24"/>
      <c r="Y420" s="114"/>
      <c r="Z420" s="24"/>
      <c r="AA420" s="24"/>
      <c r="AB420" s="24"/>
      <c r="AC420" s="24"/>
      <c r="AD420" s="233"/>
      <c r="AE420" s="233"/>
      <c r="AF420" s="250"/>
      <c r="AG420" s="233"/>
      <c r="AH420" s="116" t="s">
        <v>115</v>
      </c>
      <c r="AI420" s="116" t="s">
        <v>1379</v>
      </c>
      <c r="AJ420" s="116" t="s">
        <v>1380</v>
      </c>
      <c r="AK420" s="24"/>
      <c r="AL420" s="24"/>
      <c r="AM420" s="24"/>
    </row>
    <row r="421" spans="1:39" ht="12.75" customHeight="1">
      <c r="A421" s="22">
        <v>419</v>
      </c>
      <c r="B421" s="24" t="s">
        <v>1381</v>
      </c>
      <c r="C421" s="24" t="s">
        <v>180</v>
      </c>
      <c r="D421" s="24" t="s">
        <v>1375</v>
      </c>
      <c r="E421" s="24" t="s">
        <v>1359</v>
      </c>
      <c r="F421" s="24">
        <v>1</v>
      </c>
      <c r="G421" s="24" t="s">
        <v>1308</v>
      </c>
      <c r="H421" s="24"/>
      <c r="I421" s="24"/>
      <c r="J421" s="114"/>
      <c r="K421" s="124"/>
      <c r="L421" s="124"/>
      <c r="M421" s="124"/>
      <c r="N421" s="124"/>
      <c r="O421" s="124" t="s">
        <v>1381</v>
      </c>
      <c r="P421" s="126"/>
      <c r="Q421" s="24"/>
      <c r="R421" s="24"/>
      <c r="S421" s="114"/>
      <c r="T421" s="124"/>
      <c r="U421" s="114"/>
      <c r="V421" s="114"/>
      <c r="W421" s="124"/>
      <c r="X421" s="24"/>
      <c r="Y421" s="114"/>
      <c r="Z421" s="24"/>
      <c r="AA421" s="24"/>
      <c r="AB421" s="24"/>
      <c r="AC421" s="24"/>
      <c r="AD421" s="233"/>
      <c r="AE421" s="233"/>
      <c r="AF421" s="250"/>
      <c r="AG421" s="233"/>
      <c r="AH421" s="116" t="s">
        <v>115</v>
      </c>
      <c r="AI421" s="116" t="s">
        <v>1382</v>
      </c>
      <c r="AJ421" s="116" t="s">
        <v>1383</v>
      </c>
      <c r="AK421" s="24"/>
      <c r="AL421" s="24"/>
      <c r="AM421" s="24"/>
    </row>
    <row r="422" spans="1:39" ht="12.75" customHeight="1">
      <c r="A422" s="22">
        <v>420</v>
      </c>
      <c r="B422" s="24" t="s">
        <v>1384</v>
      </c>
      <c r="C422" s="24" t="s">
        <v>180</v>
      </c>
      <c r="D422" s="24" t="s">
        <v>1375</v>
      </c>
      <c r="E422" s="24" t="s">
        <v>1359</v>
      </c>
      <c r="F422" s="24">
        <v>1</v>
      </c>
      <c r="G422" s="24" t="s">
        <v>1308</v>
      </c>
      <c r="H422" s="24"/>
      <c r="I422" s="24"/>
      <c r="J422" s="114"/>
      <c r="K422" s="124"/>
      <c r="L422" s="124"/>
      <c r="M422" s="124"/>
      <c r="N422" s="124"/>
      <c r="O422" s="124" t="s">
        <v>1384</v>
      </c>
      <c r="P422" s="126"/>
      <c r="Q422" s="24"/>
      <c r="R422" s="24"/>
      <c r="S422" s="114"/>
      <c r="T422" s="124"/>
      <c r="U422" s="114"/>
      <c r="V422" s="114"/>
      <c r="W422" s="124"/>
      <c r="X422" s="24"/>
      <c r="Y422" s="114"/>
      <c r="Z422" s="24"/>
      <c r="AA422" s="24"/>
      <c r="AB422" s="24"/>
      <c r="AC422" s="24"/>
      <c r="AD422" s="233"/>
      <c r="AE422" s="233"/>
      <c r="AF422" s="250"/>
      <c r="AG422" s="233"/>
      <c r="AH422" s="116" t="s">
        <v>115</v>
      </c>
      <c r="AI422" s="116" t="s">
        <v>1385</v>
      </c>
      <c r="AJ422" s="116" t="s">
        <v>1386</v>
      </c>
      <c r="AK422" s="24"/>
      <c r="AL422" s="24"/>
      <c r="AM422" s="24"/>
    </row>
    <row r="423" spans="1:39" ht="12.75" customHeight="1">
      <c r="A423" s="22">
        <v>421</v>
      </c>
      <c r="B423" s="24" t="s">
        <v>1387</v>
      </c>
      <c r="C423" s="24" t="s">
        <v>180</v>
      </c>
      <c r="D423" s="24" t="s">
        <v>1375</v>
      </c>
      <c r="E423" s="24" t="s">
        <v>1359</v>
      </c>
      <c r="F423" s="24">
        <v>1</v>
      </c>
      <c r="G423" s="24" t="s">
        <v>1308</v>
      </c>
      <c r="H423" s="24"/>
      <c r="I423" s="24"/>
      <c r="J423" s="114"/>
      <c r="K423" s="124"/>
      <c r="L423" s="124"/>
      <c r="M423" s="124"/>
      <c r="N423" s="124"/>
      <c r="O423" s="124" t="s">
        <v>1387</v>
      </c>
      <c r="P423" s="126"/>
      <c r="Q423" s="24"/>
      <c r="R423" s="24"/>
      <c r="S423" s="114"/>
      <c r="T423" s="124"/>
      <c r="U423" s="114"/>
      <c r="V423" s="114"/>
      <c r="W423" s="124"/>
      <c r="X423" s="24"/>
      <c r="Y423" s="114"/>
      <c r="Z423" s="24"/>
      <c r="AA423" s="24"/>
      <c r="AB423" s="24"/>
      <c r="AC423" s="24"/>
      <c r="AD423" s="182"/>
      <c r="AE423" s="182"/>
      <c r="AF423" s="129" t="s">
        <v>745</v>
      </c>
      <c r="AG423" s="175"/>
      <c r="AH423" s="116" t="s">
        <v>115</v>
      </c>
      <c r="AI423" s="116" t="s">
        <v>406</v>
      </c>
      <c r="AJ423" s="116" t="s">
        <v>407</v>
      </c>
      <c r="AK423" s="24"/>
      <c r="AL423" s="24"/>
      <c r="AM423" s="24"/>
    </row>
    <row r="424" spans="1:39" ht="12.75" customHeight="1">
      <c r="A424" s="22">
        <v>422</v>
      </c>
      <c r="B424" s="24" t="s">
        <v>1388</v>
      </c>
      <c r="C424" s="24" t="s">
        <v>96</v>
      </c>
      <c r="D424" s="24"/>
      <c r="E424" s="24" t="s">
        <v>1359</v>
      </c>
      <c r="F424" s="24">
        <v>1</v>
      </c>
      <c r="G424" s="24" t="s">
        <v>1308</v>
      </c>
      <c r="H424" s="24"/>
      <c r="I424" s="24"/>
      <c r="J424" s="114"/>
      <c r="K424" s="124" t="s">
        <v>1388</v>
      </c>
      <c r="L424" s="124" t="s">
        <v>1389</v>
      </c>
      <c r="M424" s="124" t="s">
        <v>1390</v>
      </c>
      <c r="N424" s="124" t="s">
        <v>168</v>
      </c>
      <c r="O424" s="126"/>
      <c r="P424" s="126"/>
      <c r="Q424" s="24"/>
      <c r="R424" s="124" t="s">
        <v>1362</v>
      </c>
      <c r="S424" s="114"/>
      <c r="T424" s="124" t="s">
        <v>113</v>
      </c>
      <c r="U424" s="114"/>
      <c r="V424" s="114"/>
      <c r="W424" s="124" t="s">
        <v>115</v>
      </c>
      <c r="X424" s="24"/>
      <c r="Y424" s="114"/>
      <c r="Z424" s="24"/>
      <c r="AA424" s="24"/>
      <c r="AB424" s="24"/>
      <c r="AC424" s="24"/>
      <c r="AD424" s="233"/>
      <c r="AE424" s="233"/>
      <c r="AF424" s="250"/>
      <c r="AG424" s="233"/>
      <c r="AH424" s="116" t="s">
        <v>115</v>
      </c>
      <c r="AI424" s="116" t="s">
        <v>1391</v>
      </c>
      <c r="AJ424" s="116" t="s">
        <v>1392</v>
      </c>
      <c r="AK424" s="24"/>
      <c r="AL424" s="24"/>
      <c r="AM424" s="24"/>
    </row>
    <row r="425" spans="1:39" ht="12.75" customHeight="1">
      <c r="A425" s="22">
        <v>423</v>
      </c>
      <c r="B425" s="24" t="s">
        <v>1393</v>
      </c>
      <c r="C425" s="24" t="s">
        <v>96</v>
      </c>
      <c r="D425" s="24"/>
      <c r="E425" s="24" t="s">
        <v>1359</v>
      </c>
      <c r="F425" s="24">
        <v>1</v>
      </c>
      <c r="G425" s="24" t="s">
        <v>1308</v>
      </c>
      <c r="H425" s="24"/>
      <c r="I425" s="24"/>
      <c r="J425" s="114"/>
      <c r="K425" s="124" t="s">
        <v>1393</v>
      </c>
      <c r="L425" s="124" t="s">
        <v>1394</v>
      </c>
      <c r="M425" s="124" t="s">
        <v>1395</v>
      </c>
      <c r="N425" s="124" t="s">
        <v>168</v>
      </c>
      <c r="O425" s="126"/>
      <c r="P425" s="126"/>
      <c r="Q425" s="24"/>
      <c r="R425" s="124" t="s">
        <v>1362</v>
      </c>
      <c r="S425" s="114"/>
      <c r="T425" s="124" t="s">
        <v>113</v>
      </c>
      <c r="U425" s="114"/>
      <c r="V425" s="114"/>
      <c r="W425" s="124" t="s">
        <v>115</v>
      </c>
      <c r="X425" s="24"/>
      <c r="Y425" s="114"/>
      <c r="Z425" s="24"/>
      <c r="AA425" s="24"/>
      <c r="AB425" s="24"/>
      <c r="AC425" s="24"/>
      <c r="AD425" s="233"/>
      <c r="AE425" s="233"/>
      <c r="AF425" s="250"/>
      <c r="AG425" s="233"/>
      <c r="AH425" s="116" t="s">
        <v>115</v>
      </c>
      <c r="AI425" s="116" t="s">
        <v>1396</v>
      </c>
      <c r="AJ425" s="116" t="s">
        <v>1397</v>
      </c>
      <c r="AK425" s="24"/>
      <c r="AL425" s="24"/>
      <c r="AM425" s="24"/>
    </row>
    <row r="426" spans="1:39" ht="12.75" customHeight="1">
      <c r="A426" s="22">
        <v>424</v>
      </c>
      <c r="B426" s="24" t="s">
        <v>1398</v>
      </c>
      <c r="C426" s="24" t="s">
        <v>96</v>
      </c>
      <c r="D426" s="24"/>
      <c r="E426" s="24" t="s">
        <v>1359</v>
      </c>
      <c r="F426" s="24">
        <v>1</v>
      </c>
      <c r="G426" s="24" t="s">
        <v>1308</v>
      </c>
      <c r="H426" s="24"/>
      <c r="I426" s="24"/>
      <c r="J426" s="126"/>
      <c r="K426" s="124" t="s">
        <v>1398</v>
      </c>
      <c r="L426" s="124" t="s">
        <v>1399</v>
      </c>
      <c r="M426" s="124" t="s">
        <v>1400</v>
      </c>
      <c r="N426" s="124" t="s">
        <v>238</v>
      </c>
      <c r="O426" s="126"/>
      <c r="P426" s="126"/>
      <c r="Q426" s="24"/>
      <c r="R426" s="124" t="s">
        <v>1401</v>
      </c>
      <c r="S426" s="126"/>
      <c r="T426" s="124" t="s">
        <v>113</v>
      </c>
      <c r="U426" s="126"/>
      <c r="V426" s="126"/>
      <c r="W426" s="124" t="s">
        <v>115</v>
      </c>
      <c r="X426" s="24"/>
      <c r="Y426" s="126"/>
      <c r="Z426" s="24"/>
      <c r="AA426" s="24"/>
      <c r="AB426" s="24"/>
      <c r="AC426" s="24"/>
      <c r="AD426" s="233"/>
      <c r="AE426" s="233"/>
      <c r="AF426" s="233"/>
      <c r="AG426" s="233"/>
      <c r="AH426" s="116" t="s">
        <v>115</v>
      </c>
      <c r="AI426" s="116" t="s">
        <v>1402</v>
      </c>
      <c r="AJ426" s="116" t="s">
        <v>1403</v>
      </c>
      <c r="AK426" s="24"/>
      <c r="AL426" s="24"/>
      <c r="AM426" s="24"/>
    </row>
    <row r="427" spans="1:39" ht="12.75" customHeight="1">
      <c r="A427" s="22">
        <v>425</v>
      </c>
      <c r="B427" s="24" t="s">
        <v>423</v>
      </c>
      <c r="C427" s="24" t="s">
        <v>180</v>
      </c>
      <c r="D427" s="24" t="s">
        <v>1398</v>
      </c>
      <c r="E427" s="24" t="s">
        <v>1359</v>
      </c>
      <c r="F427" s="24">
        <v>1</v>
      </c>
      <c r="G427" s="24" t="s">
        <v>1308</v>
      </c>
      <c r="H427" s="24"/>
      <c r="I427" s="24"/>
      <c r="J427" s="126"/>
      <c r="K427" s="124"/>
      <c r="L427" s="124"/>
      <c r="M427" s="124"/>
      <c r="N427" s="124"/>
      <c r="O427" s="126" t="s">
        <v>423</v>
      </c>
      <c r="P427" s="126"/>
      <c r="Q427" s="24"/>
      <c r="R427" s="24"/>
      <c r="S427" s="126"/>
      <c r="T427" s="124"/>
      <c r="U427" s="126"/>
      <c r="V427" s="126"/>
      <c r="W427" s="124"/>
      <c r="X427" s="24"/>
      <c r="Y427" s="126"/>
      <c r="Z427" s="24"/>
      <c r="AA427" s="24"/>
      <c r="AB427" s="24"/>
      <c r="AC427" s="24"/>
      <c r="AD427" s="182"/>
      <c r="AE427" s="182"/>
      <c r="AF427" s="113">
        <v>260413007</v>
      </c>
      <c r="AG427" s="182"/>
      <c r="AH427" s="115" t="s">
        <v>115</v>
      </c>
      <c r="AI427" s="115" t="s">
        <v>424</v>
      </c>
      <c r="AJ427" s="115" t="s">
        <v>425</v>
      </c>
      <c r="AK427" s="24"/>
      <c r="AL427" s="24"/>
      <c r="AM427" s="24"/>
    </row>
    <row r="428" spans="1:39" ht="12.75" customHeight="1">
      <c r="A428" s="22">
        <v>426</v>
      </c>
      <c r="B428" s="24" t="s">
        <v>439</v>
      </c>
      <c r="C428" s="24" t="s">
        <v>180</v>
      </c>
      <c r="D428" s="24" t="s">
        <v>1398</v>
      </c>
      <c r="E428" s="24" t="s">
        <v>1359</v>
      </c>
      <c r="F428" s="24">
        <v>1</v>
      </c>
      <c r="G428" s="24" t="s">
        <v>1308</v>
      </c>
      <c r="H428" s="24"/>
      <c r="I428" s="24"/>
      <c r="J428" s="126"/>
      <c r="K428" s="124"/>
      <c r="L428" s="124"/>
      <c r="M428" s="124"/>
      <c r="N428" s="124"/>
      <c r="O428" s="126" t="s">
        <v>439</v>
      </c>
      <c r="P428" s="126"/>
      <c r="Q428" s="24"/>
      <c r="R428" s="24"/>
      <c r="S428" s="126"/>
      <c r="T428" s="124"/>
      <c r="U428" s="126"/>
      <c r="V428" s="126"/>
      <c r="W428" s="124"/>
      <c r="X428" s="24"/>
      <c r="Y428" s="126"/>
      <c r="Z428" s="24"/>
      <c r="AA428" s="24"/>
      <c r="AB428" s="24"/>
      <c r="AC428" s="24"/>
      <c r="AD428" s="175" t="s">
        <v>299</v>
      </c>
      <c r="AE428" s="182"/>
      <c r="AF428" s="182"/>
      <c r="AG428" s="182"/>
      <c r="AH428" s="115" t="s">
        <v>115</v>
      </c>
      <c r="AI428" s="115" t="s">
        <v>441</v>
      </c>
      <c r="AJ428" s="115" t="s">
        <v>442</v>
      </c>
      <c r="AK428" s="24"/>
      <c r="AL428" s="24"/>
      <c r="AM428" s="24"/>
    </row>
    <row r="429" spans="1:39" ht="12.75" customHeight="1">
      <c r="A429" s="22">
        <v>427</v>
      </c>
      <c r="B429" s="24" t="s">
        <v>1404</v>
      </c>
      <c r="C429" s="24" t="s">
        <v>180</v>
      </c>
      <c r="D429" s="24" t="s">
        <v>1398</v>
      </c>
      <c r="E429" s="24" t="s">
        <v>1359</v>
      </c>
      <c r="F429" s="24">
        <v>1</v>
      </c>
      <c r="G429" s="24" t="s">
        <v>1308</v>
      </c>
      <c r="H429" s="24"/>
      <c r="I429" s="24"/>
      <c r="J429" s="126"/>
      <c r="K429" s="124"/>
      <c r="L429" s="124"/>
      <c r="M429" s="124"/>
      <c r="N429" s="124"/>
      <c r="O429" s="126" t="s">
        <v>1404</v>
      </c>
      <c r="P429" s="126"/>
      <c r="Q429" s="24"/>
      <c r="R429" s="24"/>
      <c r="S429" s="126"/>
      <c r="T429" s="124"/>
      <c r="U429" s="126"/>
      <c r="V429" s="126"/>
      <c r="W429" s="124"/>
      <c r="X429" s="24"/>
      <c r="Y429" s="126"/>
      <c r="Z429" s="24"/>
      <c r="AA429" s="24"/>
      <c r="AB429" s="24"/>
      <c r="AC429" s="24"/>
      <c r="AD429" s="175" t="s">
        <v>1405</v>
      </c>
      <c r="AE429" s="182"/>
      <c r="AF429" s="113">
        <v>111516008</v>
      </c>
      <c r="AG429" s="182"/>
      <c r="AH429" s="115" t="s">
        <v>115</v>
      </c>
      <c r="AI429" s="115" t="s">
        <v>1406</v>
      </c>
      <c r="AJ429" s="115" t="s">
        <v>1407</v>
      </c>
      <c r="AK429" s="24"/>
      <c r="AL429" s="24"/>
      <c r="AM429" s="24"/>
    </row>
    <row r="430" spans="1:39" ht="12.75" customHeight="1">
      <c r="A430" s="22">
        <v>428</v>
      </c>
      <c r="B430" s="24" t="s">
        <v>1408</v>
      </c>
      <c r="C430" s="24" t="s">
        <v>180</v>
      </c>
      <c r="D430" s="24" t="s">
        <v>1398</v>
      </c>
      <c r="E430" s="24" t="s">
        <v>1359</v>
      </c>
      <c r="F430" s="24">
        <v>1</v>
      </c>
      <c r="G430" s="24" t="s">
        <v>1308</v>
      </c>
      <c r="H430" s="24"/>
      <c r="I430" s="24"/>
      <c r="J430" s="126"/>
      <c r="K430" s="124"/>
      <c r="L430" s="124"/>
      <c r="M430" s="124"/>
      <c r="N430" s="124"/>
      <c r="O430" s="126" t="s">
        <v>1408</v>
      </c>
      <c r="P430" s="126"/>
      <c r="Q430" s="24"/>
      <c r="R430" s="24"/>
      <c r="S430" s="126"/>
      <c r="T430" s="124"/>
      <c r="U430" s="126"/>
      <c r="V430" s="126"/>
      <c r="W430" s="124"/>
      <c r="X430" s="24"/>
      <c r="Y430" s="126"/>
      <c r="Z430" s="24"/>
      <c r="AA430" s="24"/>
      <c r="AB430" s="24"/>
      <c r="AC430" s="24"/>
      <c r="AD430" s="93" t="s">
        <v>1409</v>
      </c>
      <c r="AE430" s="182"/>
      <c r="AF430" s="113">
        <v>79922009</v>
      </c>
      <c r="AG430" s="182"/>
      <c r="AH430" s="115" t="s">
        <v>115</v>
      </c>
      <c r="AI430" s="115" t="s">
        <v>1410</v>
      </c>
      <c r="AJ430" s="115" t="s">
        <v>1411</v>
      </c>
      <c r="AK430" s="24"/>
      <c r="AL430" s="24"/>
      <c r="AM430" s="24"/>
    </row>
    <row r="431" spans="1:39" ht="12.75" customHeight="1">
      <c r="A431" s="22">
        <v>429</v>
      </c>
      <c r="B431" s="24" t="s">
        <v>270</v>
      </c>
      <c r="C431" s="24" t="s">
        <v>180</v>
      </c>
      <c r="D431" s="24" t="s">
        <v>1398</v>
      </c>
      <c r="E431" s="24" t="s">
        <v>1359</v>
      </c>
      <c r="F431" s="24">
        <v>1</v>
      </c>
      <c r="G431" s="24" t="s">
        <v>1308</v>
      </c>
      <c r="H431" s="24"/>
      <c r="I431" s="24"/>
      <c r="J431" s="126"/>
      <c r="K431" s="124"/>
      <c r="L431" s="124"/>
      <c r="M431" s="124"/>
      <c r="N431" s="124"/>
      <c r="O431" s="126" t="s">
        <v>270</v>
      </c>
      <c r="P431" s="126"/>
      <c r="Q431" s="24"/>
      <c r="R431" s="24"/>
      <c r="S431" s="126"/>
      <c r="T431" s="124"/>
      <c r="U431" s="126"/>
      <c r="V431" s="126"/>
      <c r="W431" s="124"/>
      <c r="X431" s="24"/>
      <c r="Y431" s="126"/>
      <c r="Z431" s="24"/>
      <c r="AA431" s="24"/>
      <c r="AB431" s="24"/>
      <c r="AC431" s="24"/>
      <c r="AD431" s="175" t="s">
        <v>271</v>
      </c>
      <c r="AE431" s="182"/>
      <c r="AF431" s="113">
        <v>315018008</v>
      </c>
      <c r="AG431" s="182"/>
      <c r="AH431" s="115" t="s">
        <v>115</v>
      </c>
      <c r="AI431" s="115" t="s">
        <v>272</v>
      </c>
      <c r="AJ431" s="255" t="s">
        <v>273</v>
      </c>
      <c r="AK431" s="24"/>
      <c r="AL431" s="24"/>
      <c r="AM431" s="24"/>
    </row>
    <row r="432" spans="1:39" ht="12.75" customHeight="1">
      <c r="A432" s="22">
        <v>430</v>
      </c>
      <c r="B432" s="24" t="s">
        <v>1412</v>
      </c>
      <c r="C432" s="24" t="s">
        <v>180</v>
      </c>
      <c r="D432" s="24" t="s">
        <v>1398</v>
      </c>
      <c r="E432" s="24" t="s">
        <v>1359</v>
      </c>
      <c r="F432" s="24">
        <v>1</v>
      </c>
      <c r="G432" s="24" t="s">
        <v>1308</v>
      </c>
      <c r="H432" s="24"/>
      <c r="I432" s="24"/>
      <c r="J432" s="126"/>
      <c r="K432" s="124"/>
      <c r="L432" s="124"/>
      <c r="M432" s="124"/>
      <c r="N432" s="124"/>
      <c r="O432" s="126" t="s">
        <v>1412</v>
      </c>
      <c r="P432" s="126"/>
      <c r="Q432" s="24"/>
      <c r="R432" s="24"/>
      <c r="S432" s="126"/>
      <c r="T432" s="124"/>
      <c r="U432" s="126"/>
      <c r="V432" s="126"/>
      <c r="W432" s="124"/>
      <c r="X432" s="24"/>
      <c r="Y432" s="126"/>
      <c r="Z432" s="24"/>
      <c r="AA432" s="24"/>
      <c r="AB432" s="24"/>
      <c r="AC432" s="24"/>
      <c r="AD432" s="113" t="s">
        <v>331</v>
      </c>
      <c r="AE432" s="182"/>
      <c r="AF432" s="118">
        <v>422400008</v>
      </c>
      <c r="AG432" s="182"/>
      <c r="AH432" s="115" t="s">
        <v>115</v>
      </c>
      <c r="AI432" s="115" t="s">
        <v>1413</v>
      </c>
      <c r="AJ432" s="115" t="s">
        <v>1414</v>
      </c>
      <c r="AK432" s="24"/>
      <c r="AL432" s="24"/>
      <c r="AM432" s="24"/>
    </row>
    <row r="433" spans="1:39" ht="12.75" customHeight="1">
      <c r="A433" s="22">
        <v>431</v>
      </c>
      <c r="B433" s="24" t="s">
        <v>1415</v>
      </c>
      <c r="C433" s="24" t="s">
        <v>96</v>
      </c>
      <c r="D433" s="24"/>
      <c r="E433" s="24" t="s">
        <v>1359</v>
      </c>
      <c r="F433" s="24">
        <v>1</v>
      </c>
      <c r="G433" s="24" t="s">
        <v>1308</v>
      </c>
      <c r="H433" s="24"/>
      <c r="I433" s="24"/>
      <c r="J433" s="126"/>
      <c r="K433" s="124" t="s">
        <v>1416</v>
      </c>
      <c r="L433" s="124" t="s">
        <v>1417</v>
      </c>
      <c r="M433" s="124" t="s">
        <v>1418</v>
      </c>
      <c r="N433" s="124" t="s">
        <v>202</v>
      </c>
      <c r="O433" s="126"/>
      <c r="P433" s="126"/>
      <c r="Q433" s="24"/>
      <c r="R433" s="24"/>
      <c r="S433" s="126"/>
      <c r="T433" s="124" t="s">
        <v>113</v>
      </c>
      <c r="U433" s="126"/>
      <c r="V433" s="126"/>
      <c r="W433" s="124" t="s">
        <v>115</v>
      </c>
      <c r="X433" s="24"/>
      <c r="Y433" s="126"/>
      <c r="Z433" s="24"/>
      <c r="AA433" s="24"/>
      <c r="AB433" s="24"/>
      <c r="AC433" s="24"/>
      <c r="AD433" s="182"/>
      <c r="AE433" s="182"/>
      <c r="AF433" s="121">
        <v>271346009</v>
      </c>
      <c r="AG433" s="182"/>
      <c r="AH433" s="115" t="s">
        <v>115</v>
      </c>
      <c r="AI433" s="115" t="s">
        <v>1419</v>
      </c>
      <c r="AJ433" s="115" t="s">
        <v>1420</v>
      </c>
      <c r="AK433" s="24"/>
      <c r="AL433" s="24"/>
      <c r="AM433" s="24"/>
    </row>
    <row r="434" spans="1:39" ht="12.75" customHeight="1">
      <c r="A434" s="22">
        <v>432</v>
      </c>
      <c r="B434" s="24" t="s">
        <v>423</v>
      </c>
      <c r="C434" s="24" t="s">
        <v>180</v>
      </c>
      <c r="D434" s="24" t="s">
        <v>1416</v>
      </c>
      <c r="E434" s="24" t="s">
        <v>1359</v>
      </c>
      <c r="F434" s="24">
        <v>1</v>
      </c>
      <c r="G434" s="24" t="s">
        <v>1308</v>
      </c>
      <c r="H434" s="24"/>
      <c r="I434" s="24"/>
      <c r="J434" s="126"/>
      <c r="K434" s="124"/>
      <c r="L434" s="124"/>
      <c r="M434" s="124"/>
      <c r="N434" s="124"/>
      <c r="O434" s="126" t="s">
        <v>423</v>
      </c>
      <c r="P434" s="126"/>
      <c r="Q434" s="24"/>
      <c r="R434" s="24"/>
      <c r="S434" s="126"/>
      <c r="T434" s="124"/>
      <c r="U434" s="126"/>
      <c r="V434" s="126"/>
      <c r="W434" s="124"/>
      <c r="X434" s="24"/>
      <c r="Y434" s="126"/>
      <c r="Z434" s="24"/>
      <c r="AA434" s="24"/>
      <c r="AB434" s="24"/>
      <c r="AC434" s="24"/>
      <c r="AD434" s="182"/>
      <c r="AE434" s="182"/>
      <c r="AF434" s="118">
        <v>260385009</v>
      </c>
      <c r="AG434" s="182"/>
      <c r="AH434" s="115" t="s">
        <v>115</v>
      </c>
      <c r="AI434" s="115" t="s">
        <v>1128</v>
      </c>
      <c r="AJ434" s="115" t="s">
        <v>1129</v>
      </c>
      <c r="AK434" s="24"/>
      <c r="AL434" s="24"/>
      <c r="AM434" s="24"/>
    </row>
    <row r="435" spans="1:39" ht="12.75" customHeight="1">
      <c r="A435" s="22">
        <v>433</v>
      </c>
      <c r="B435" s="24" t="s">
        <v>1421</v>
      </c>
      <c r="C435" s="24" t="s">
        <v>180</v>
      </c>
      <c r="D435" s="24" t="s">
        <v>1416</v>
      </c>
      <c r="E435" s="24" t="s">
        <v>1359</v>
      </c>
      <c r="F435" s="24">
        <v>1</v>
      </c>
      <c r="G435" s="24" t="s">
        <v>1308</v>
      </c>
      <c r="H435" s="24"/>
      <c r="I435" s="24"/>
      <c r="J435" s="126"/>
      <c r="K435" s="124"/>
      <c r="L435" s="124"/>
      <c r="M435" s="124"/>
      <c r="N435" s="124"/>
      <c r="O435" s="256" t="s">
        <v>1421</v>
      </c>
      <c r="P435" s="126"/>
      <c r="Q435" s="24"/>
      <c r="R435" s="24"/>
      <c r="S435" s="126"/>
      <c r="T435" s="124"/>
      <c r="U435" s="126"/>
      <c r="V435" s="126"/>
      <c r="W435" s="124"/>
      <c r="X435" s="24"/>
      <c r="Y435" s="126"/>
      <c r="Z435" s="24"/>
      <c r="AA435" s="24"/>
      <c r="AB435" s="24"/>
      <c r="AC435" s="24"/>
      <c r="AD435" s="182"/>
      <c r="AE435" s="182"/>
      <c r="AF435" s="121">
        <v>260408008</v>
      </c>
      <c r="AG435" s="182"/>
      <c r="AH435" s="115" t="s">
        <v>115</v>
      </c>
      <c r="AI435" s="115" t="s">
        <v>1422</v>
      </c>
      <c r="AJ435" s="115" t="s">
        <v>1423</v>
      </c>
      <c r="AK435" s="24"/>
      <c r="AL435" s="24"/>
      <c r="AM435" s="24"/>
    </row>
    <row r="436" spans="1:39" ht="12.75" customHeight="1">
      <c r="A436" s="22">
        <v>434</v>
      </c>
      <c r="B436" s="24" t="s">
        <v>1424</v>
      </c>
      <c r="C436" s="24" t="s">
        <v>180</v>
      </c>
      <c r="D436" s="24" t="s">
        <v>1416</v>
      </c>
      <c r="E436" s="24" t="s">
        <v>1359</v>
      </c>
      <c r="F436" s="24">
        <v>1</v>
      </c>
      <c r="G436" s="24" t="s">
        <v>1308</v>
      </c>
      <c r="H436" s="24"/>
      <c r="I436" s="24"/>
      <c r="J436" s="126"/>
      <c r="K436" s="124"/>
      <c r="L436" s="124"/>
      <c r="M436" s="124"/>
      <c r="N436" s="124"/>
      <c r="O436" s="256" t="s">
        <v>1424</v>
      </c>
      <c r="P436" s="126"/>
      <c r="Q436" s="24"/>
      <c r="R436" s="24"/>
      <c r="S436" s="126"/>
      <c r="T436" s="124"/>
      <c r="U436" s="126"/>
      <c r="V436" s="126"/>
      <c r="W436" s="124"/>
      <c r="X436" s="24"/>
      <c r="Y436" s="126"/>
      <c r="Z436" s="24"/>
      <c r="AA436" s="24"/>
      <c r="AB436" s="24"/>
      <c r="AC436" s="24"/>
      <c r="AD436" s="182"/>
      <c r="AE436" s="182"/>
      <c r="AF436" s="121">
        <v>441517005</v>
      </c>
      <c r="AG436" s="182"/>
      <c r="AH436" s="115" t="s">
        <v>115</v>
      </c>
      <c r="AI436" s="115" t="s">
        <v>1425</v>
      </c>
      <c r="AJ436" s="115" t="s">
        <v>1426</v>
      </c>
      <c r="AK436" s="24"/>
      <c r="AL436" s="24"/>
      <c r="AM436" s="24"/>
    </row>
    <row r="437" spans="1:39" ht="12.75" customHeight="1">
      <c r="A437" s="22">
        <v>435</v>
      </c>
      <c r="B437" s="24" t="s">
        <v>1427</v>
      </c>
      <c r="C437" s="24" t="s">
        <v>180</v>
      </c>
      <c r="D437" s="24" t="s">
        <v>1416</v>
      </c>
      <c r="E437" s="24" t="s">
        <v>1359</v>
      </c>
      <c r="F437" s="24">
        <v>1</v>
      </c>
      <c r="G437" s="24" t="s">
        <v>1308</v>
      </c>
      <c r="H437" s="24"/>
      <c r="I437" s="24"/>
      <c r="J437" s="126"/>
      <c r="K437" s="124"/>
      <c r="L437" s="124"/>
      <c r="M437" s="124"/>
      <c r="N437" s="124"/>
      <c r="O437" s="256" t="s">
        <v>1427</v>
      </c>
      <c r="P437" s="126"/>
      <c r="Q437" s="24"/>
      <c r="R437" s="24"/>
      <c r="S437" s="126"/>
      <c r="T437" s="124"/>
      <c r="U437" s="126"/>
      <c r="V437" s="126"/>
      <c r="W437" s="124"/>
      <c r="X437" s="24"/>
      <c r="Y437" s="126"/>
      <c r="Z437" s="24"/>
      <c r="AA437" s="24"/>
      <c r="AB437" s="24"/>
      <c r="AC437" s="24"/>
      <c r="AD437" s="182"/>
      <c r="AE437" s="182"/>
      <c r="AF437" s="118">
        <v>441521003</v>
      </c>
      <c r="AG437" s="182"/>
      <c r="AH437" s="115" t="s">
        <v>115</v>
      </c>
      <c r="AI437" s="115" t="s">
        <v>1428</v>
      </c>
      <c r="AJ437" s="115" t="s">
        <v>1429</v>
      </c>
      <c r="AK437" s="24"/>
      <c r="AL437" s="24"/>
      <c r="AM437" s="24"/>
    </row>
    <row r="438" spans="1:39" ht="12.75" customHeight="1">
      <c r="A438" s="22">
        <v>436</v>
      </c>
      <c r="B438" s="24" t="s">
        <v>1430</v>
      </c>
      <c r="C438" s="24" t="s">
        <v>180</v>
      </c>
      <c r="D438" s="24" t="s">
        <v>1416</v>
      </c>
      <c r="E438" s="24" t="s">
        <v>1359</v>
      </c>
      <c r="F438" s="24">
        <v>1</v>
      </c>
      <c r="G438" s="24" t="s">
        <v>1308</v>
      </c>
      <c r="H438" s="24"/>
      <c r="I438" s="24"/>
      <c r="J438" s="126"/>
      <c r="K438" s="124"/>
      <c r="L438" s="124"/>
      <c r="M438" s="124"/>
      <c r="N438" s="124"/>
      <c r="O438" s="256" t="s">
        <v>1430</v>
      </c>
      <c r="P438" s="126"/>
      <c r="Q438" s="24"/>
      <c r="R438" s="24"/>
      <c r="S438" s="126"/>
      <c r="T438" s="124"/>
      <c r="U438" s="126"/>
      <c r="V438" s="126"/>
      <c r="W438" s="124"/>
      <c r="X438" s="24"/>
      <c r="Y438" s="126"/>
      <c r="Z438" s="24"/>
      <c r="AA438" s="24"/>
      <c r="AB438" s="24"/>
      <c r="AC438" s="24"/>
      <c r="AD438" s="233"/>
      <c r="AE438" s="233"/>
      <c r="AF438" s="233"/>
      <c r="AG438" s="233"/>
      <c r="AH438" s="115" t="s">
        <v>115</v>
      </c>
      <c r="AI438" s="115" t="s">
        <v>1431</v>
      </c>
      <c r="AJ438" s="115" t="s">
        <v>1432</v>
      </c>
      <c r="AK438" s="24"/>
      <c r="AL438" s="24"/>
      <c r="AM438" s="24"/>
    </row>
    <row r="439" spans="1:39" ht="12.75" customHeight="1">
      <c r="A439" s="22">
        <v>437</v>
      </c>
      <c r="B439" s="24" t="s">
        <v>1433</v>
      </c>
      <c r="C439" s="24" t="s">
        <v>96</v>
      </c>
      <c r="D439" s="24"/>
      <c r="E439" s="24" t="s">
        <v>1434</v>
      </c>
      <c r="F439" s="24">
        <v>1</v>
      </c>
      <c r="G439" s="24" t="s">
        <v>1308</v>
      </c>
      <c r="H439" s="24"/>
      <c r="I439" s="24"/>
      <c r="J439" s="126"/>
      <c r="K439" s="124" t="s">
        <v>1433</v>
      </c>
      <c r="L439" s="124" t="s">
        <v>1435</v>
      </c>
      <c r="M439" s="124" t="s">
        <v>1436</v>
      </c>
      <c r="N439" s="124" t="s">
        <v>1318</v>
      </c>
      <c r="O439" s="126"/>
      <c r="P439" s="124"/>
      <c r="Q439" s="24"/>
      <c r="R439" s="124" t="s">
        <v>1437</v>
      </c>
      <c r="S439" s="126"/>
      <c r="T439" s="124" t="s">
        <v>113</v>
      </c>
      <c r="U439" s="126"/>
      <c r="V439" s="126"/>
      <c r="W439" s="124" t="s">
        <v>1277</v>
      </c>
      <c r="X439" s="24"/>
      <c r="Y439" s="126"/>
      <c r="Z439" s="24"/>
      <c r="AA439" s="24"/>
      <c r="AB439" s="24"/>
      <c r="AC439" s="24"/>
      <c r="AD439" s="182"/>
      <c r="AE439" s="182"/>
      <c r="AF439" s="175" t="s">
        <v>1438</v>
      </c>
      <c r="AG439" s="258">
        <v>2341326</v>
      </c>
      <c r="AH439" s="115" t="s">
        <v>115</v>
      </c>
      <c r="AI439" s="115" t="s">
        <v>1439</v>
      </c>
      <c r="AJ439" s="115" t="s">
        <v>1440</v>
      </c>
      <c r="AK439" s="24"/>
      <c r="AL439" s="24"/>
      <c r="AM439" s="24"/>
    </row>
    <row r="440" spans="1:39" ht="12.75" customHeight="1">
      <c r="A440" s="22">
        <v>438</v>
      </c>
      <c r="B440" s="24" t="s">
        <v>1441</v>
      </c>
      <c r="C440" s="24" t="s">
        <v>96</v>
      </c>
      <c r="D440" s="24"/>
      <c r="E440" s="24" t="s">
        <v>1434</v>
      </c>
      <c r="F440" s="24">
        <v>1</v>
      </c>
      <c r="G440" s="24" t="s">
        <v>1308</v>
      </c>
      <c r="H440" s="24"/>
      <c r="I440" s="24"/>
      <c r="J440" s="126"/>
      <c r="K440" s="124" t="s">
        <v>1441</v>
      </c>
      <c r="L440" s="124" t="s">
        <v>1442</v>
      </c>
      <c r="M440" s="124" t="s">
        <v>1443</v>
      </c>
      <c r="N440" s="124" t="s">
        <v>1318</v>
      </c>
      <c r="O440" s="126"/>
      <c r="P440" s="124"/>
      <c r="Q440" s="24"/>
      <c r="R440" s="124" t="s">
        <v>1437</v>
      </c>
      <c r="S440" s="126"/>
      <c r="T440" s="124" t="s">
        <v>113</v>
      </c>
      <c r="U440" s="126"/>
      <c r="V440" s="126"/>
      <c r="W440" s="124" t="s">
        <v>115</v>
      </c>
      <c r="X440" s="24"/>
      <c r="Y440" s="126"/>
      <c r="Z440" s="24"/>
      <c r="AA440" s="24"/>
      <c r="AB440" s="24"/>
      <c r="AC440" s="24"/>
      <c r="AD440" s="182"/>
      <c r="AE440" s="182"/>
      <c r="AF440" s="175" t="s">
        <v>1438</v>
      </c>
      <c r="AG440" s="258">
        <v>2341326</v>
      </c>
      <c r="AH440" s="115" t="s">
        <v>115</v>
      </c>
      <c r="AI440" s="115" t="s">
        <v>1439</v>
      </c>
      <c r="AJ440" s="115" t="s">
        <v>1440</v>
      </c>
      <c r="AK440" s="24"/>
      <c r="AL440" s="24"/>
      <c r="AM440" s="24"/>
    </row>
    <row r="441" spans="1:39" ht="12.75" customHeight="1">
      <c r="A441" s="22">
        <v>439</v>
      </c>
      <c r="B441" s="24" t="s">
        <v>1444</v>
      </c>
      <c r="C441" s="24" t="s">
        <v>1445</v>
      </c>
      <c r="D441" s="24"/>
      <c r="E441" s="24" t="s">
        <v>1434</v>
      </c>
      <c r="F441" s="24">
        <v>1</v>
      </c>
      <c r="G441" s="24" t="s">
        <v>1308</v>
      </c>
      <c r="H441" s="24"/>
      <c r="I441" s="24"/>
      <c r="J441" s="126"/>
      <c r="K441" s="259" t="s">
        <v>1444</v>
      </c>
      <c r="L441" s="259" t="s">
        <v>115</v>
      </c>
      <c r="M441" s="259" t="s">
        <v>1446</v>
      </c>
      <c r="N441" s="259" t="s">
        <v>1445</v>
      </c>
      <c r="O441" s="132"/>
      <c r="P441" s="132"/>
      <c r="Q441" s="24"/>
      <c r="R441" s="132"/>
      <c r="S441" s="126"/>
      <c r="T441" s="259" t="s">
        <v>115</v>
      </c>
      <c r="U441" s="126"/>
      <c r="V441" s="126"/>
      <c r="W441" s="259" t="s">
        <v>115</v>
      </c>
      <c r="X441" s="24"/>
      <c r="Y441" s="126"/>
      <c r="Z441" s="24"/>
      <c r="AA441" s="24"/>
      <c r="AB441" s="24"/>
      <c r="AC441" s="24"/>
      <c r="AD441" s="233"/>
      <c r="AE441" s="233"/>
      <c r="AF441" s="233"/>
      <c r="AG441" s="233"/>
      <c r="AH441" s="116" t="s">
        <v>115</v>
      </c>
      <c r="AI441" s="116" t="s">
        <v>115</v>
      </c>
      <c r="AJ441" s="116" t="s">
        <v>115</v>
      </c>
      <c r="AK441" s="24"/>
      <c r="AL441" s="24"/>
      <c r="AM441" s="24"/>
    </row>
    <row r="442" spans="1:39" ht="12.75" customHeight="1">
      <c r="A442" s="22">
        <v>440</v>
      </c>
      <c r="B442" s="24" t="s">
        <v>1447</v>
      </c>
      <c r="C442" s="24" t="s">
        <v>96</v>
      </c>
      <c r="D442" s="24"/>
      <c r="E442" s="24" t="s">
        <v>1434</v>
      </c>
      <c r="F442" s="24">
        <v>1</v>
      </c>
      <c r="G442" s="24" t="s">
        <v>1308</v>
      </c>
      <c r="H442" s="24"/>
      <c r="I442" s="24"/>
      <c r="J442" s="126"/>
      <c r="K442" s="124" t="s">
        <v>1447</v>
      </c>
      <c r="L442" s="124" t="s">
        <v>1448</v>
      </c>
      <c r="M442" s="124" t="s">
        <v>1449</v>
      </c>
      <c r="N442" s="124" t="s">
        <v>168</v>
      </c>
      <c r="O442" s="126"/>
      <c r="P442" s="124"/>
      <c r="Q442" s="24"/>
      <c r="R442" s="124" t="s">
        <v>1450</v>
      </c>
      <c r="S442" s="126"/>
      <c r="T442" s="124" t="s">
        <v>113</v>
      </c>
      <c r="U442" s="126"/>
      <c r="V442" s="126"/>
      <c r="W442" s="124" t="s">
        <v>1277</v>
      </c>
      <c r="X442" s="24"/>
      <c r="Y442" s="126"/>
      <c r="Z442" s="24"/>
      <c r="AA442" s="24"/>
      <c r="AB442" s="24"/>
      <c r="AC442" s="24"/>
      <c r="AD442" s="182"/>
      <c r="AE442" s="182"/>
      <c r="AF442" s="262">
        <v>78564009</v>
      </c>
      <c r="AG442" s="264">
        <v>2544737</v>
      </c>
      <c r="AH442" s="115" t="s">
        <v>115</v>
      </c>
      <c r="AI442" s="115" t="s">
        <v>1451</v>
      </c>
      <c r="AJ442" s="115" t="s">
        <v>1452</v>
      </c>
      <c r="AK442" s="24"/>
      <c r="AL442" s="24"/>
      <c r="AM442" s="24"/>
    </row>
    <row r="443" spans="1:39" ht="12.75" customHeight="1">
      <c r="A443" s="22">
        <v>441</v>
      </c>
      <c r="B443" s="24" t="s">
        <v>1453</v>
      </c>
      <c r="C443" s="24" t="s">
        <v>96</v>
      </c>
      <c r="D443" s="24"/>
      <c r="E443" s="24" t="s">
        <v>1434</v>
      </c>
      <c r="F443" s="24">
        <v>1</v>
      </c>
      <c r="G443" s="24" t="s">
        <v>1308</v>
      </c>
      <c r="H443" s="24"/>
      <c r="I443" s="24"/>
      <c r="J443" s="126"/>
      <c r="K443" s="130" t="s">
        <v>1453</v>
      </c>
      <c r="L443" s="130" t="s">
        <v>1454</v>
      </c>
      <c r="M443" s="124" t="s">
        <v>1455</v>
      </c>
      <c r="N443" s="130" t="s">
        <v>168</v>
      </c>
      <c r="O443" s="126"/>
      <c r="P443" s="126"/>
      <c r="Q443" s="24"/>
      <c r="R443" s="130" t="s">
        <v>1450</v>
      </c>
      <c r="S443" s="126"/>
      <c r="T443" s="130" t="s">
        <v>113</v>
      </c>
      <c r="U443" s="126"/>
      <c r="V443" s="126"/>
      <c r="W443" s="130" t="s">
        <v>115</v>
      </c>
      <c r="X443" s="24"/>
      <c r="Y443" s="126"/>
      <c r="Z443" s="24"/>
      <c r="AA443" s="24"/>
      <c r="AB443" s="24"/>
      <c r="AC443" s="24"/>
      <c r="AD443" s="182"/>
      <c r="AE443" s="182"/>
      <c r="AF443" s="262">
        <v>78564009</v>
      </c>
      <c r="AG443" s="264">
        <v>2544737</v>
      </c>
      <c r="AH443" s="115" t="s">
        <v>115</v>
      </c>
      <c r="AI443" s="115" t="s">
        <v>1451</v>
      </c>
      <c r="AJ443" s="115" t="s">
        <v>1452</v>
      </c>
      <c r="AK443" s="24"/>
      <c r="AL443" s="24"/>
      <c r="AM443" s="24"/>
    </row>
    <row r="444" spans="1:39" ht="12.75" customHeight="1">
      <c r="A444" s="22">
        <v>442</v>
      </c>
      <c r="B444" s="24" t="s">
        <v>1456</v>
      </c>
      <c r="C444" s="24" t="s">
        <v>96</v>
      </c>
      <c r="D444" s="24"/>
      <c r="E444" s="24" t="s">
        <v>1434</v>
      </c>
      <c r="F444" s="24">
        <v>1</v>
      </c>
      <c r="G444" s="24" t="s">
        <v>1308</v>
      </c>
      <c r="H444" s="24"/>
      <c r="I444" s="24"/>
      <c r="J444" s="126"/>
      <c r="K444" s="124" t="s">
        <v>1456</v>
      </c>
      <c r="L444" s="124" t="s">
        <v>1457</v>
      </c>
      <c r="M444" s="124" t="s">
        <v>1458</v>
      </c>
      <c r="N444" s="124" t="s">
        <v>202</v>
      </c>
      <c r="O444" s="126"/>
      <c r="P444" s="124"/>
      <c r="Q444" s="24"/>
      <c r="R444" s="24"/>
      <c r="S444" s="126"/>
      <c r="T444" s="124" t="s">
        <v>1459</v>
      </c>
      <c r="U444" s="126"/>
      <c r="V444" s="126"/>
      <c r="W444" s="124" t="s">
        <v>1277</v>
      </c>
      <c r="X444" s="24"/>
      <c r="Y444" s="126"/>
      <c r="Z444" s="24"/>
      <c r="AA444" s="24"/>
      <c r="AB444" s="24"/>
      <c r="AC444" s="24"/>
      <c r="AD444" s="175" t="s">
        <v>1460</v>
      </c>
      <c r="AE444" s="182"/>
      <c r="AF444" s="121">
        <v>398979000</v>
      </c>
      <c r="AG444" s="182"/>
      <c r="AH444" s="115" t="s">
        <v>115</v>
      </c>
      <c r="AI444" s="115" t="s">
        <v>1461</v>
      </c>
      <c r="AJ444" s="115" t="s">
        <v>1462</v>
      </c>
      <c r="AK444" s="24"/>
      <c r="AL444" s="24"/>
      <c r="AM444" s="24"/>
    </row>
    <row r="445" spans="1:39" ht="12.75" customHeight="1">
      <c r="A445" s="22">
        <v>443</v>
      </c>
      <c r="B445" s="24" t="s">
        <v>113</v>
      </c>
      <c r="C445" s="24" t="s">
        <v>180</v>
      </c>
      <c r="D445" s="24" t="s">
        <v>1456</v>
      </c>
      <c r="E445" s="24" t="s">
        <v>1434</v>
      </c>
      <c r="F445" s="24">
        <v>1</v>
      </c>
      <c r="G445" s="24" t="s">
        <v>1308</v>
      </c>
      <c r="H445" s="24"/>
      <c r="I445" s="24"/>
      <c r="J445" s="126"/>
      <c r="K445" s="124"/>
      <c r="L445" s="124"/>
      <c r="M445" s="124"/>
      <c r="N445" s="124"/>
      <c r="O445" s="126" t="s">
        <v>113</v>
      </c>
      <c r="P445" s="124"/>
      <c r="Q445" s="24"/>
      <c r="R445" s="24"/>
      <c r="S445" s="126"/>
      <c r="T445" s="124"/>
      <c r="U445" s="126"/>
      <c r="V445" s="126"/>
      <c r="W445" s="124"/>
      <c r="X445" s="24"/>
      <c r="Y445" s="126"/>
      <c r="Z445" s="24"/>
      <c r="AA445" s="24"/>
      <c r="AB445" s="24"/>
      <c r="AC445" s="24"/>
      <c r="AD445" s="182"/>
      <c r="AE445" s="182"/>
      <c r="AF445" s="113">
        <v>373066001</v>
      </c>
      <c r="AG445" s="182"/>
      <c r="AH445" s="115" t="s">
        <v>115</v>
      </c>
      <c r="AI445" s="115" t="s">
        <v>206</v>
      </c>
      <c r="AJ445" s="115" t="s">
        <v>207</v>
      </c>
      <c r="AK445" s="24"/>
      <c r="AL445" s="24"/>
      <c r="AM445" s="24"/>
    </row>
    <row r="446" spans="1:39" ht="12.75" customHeight="1">
      <c r="A446" s="22">
        <v>444</v>
      </c>
      <c r="B446" s="24" t="s">
        <v>208</v>
      </c>
      <c r="C446" s="24" t="s">
        <v>180</v>
      </c>
      <c r="D446" s="24" t="s">
        <v>1456</v>
      </c>
      <c r="E446" s="24" t="s">
        <v>1434</v>
      </c>
      <c r="F446" s="24">
        <v>1</v>
      </c>
      <c r="G446" s="24" t="s">
        <v>1308</v>
      </c>
      <c r="H446" s="24"/>
      <c r="I446" s="24"/>
      <c r="J446" s="126"/>
      <c r="K446" s="124"/>
      <c r="L446" s="124"/>
      <c r="M446" s="124"/>
      <c r="N446" s="124"/>
      <c r="O446" s="126" t="s">
        <v>208</v>
      </c>
      <c r="P446" s="124"/>
      <c r="Q446" s="24"/>
      <c r="R446" s="24"/>
      <c r="S446" s="126"/>
      <c r="T446" s="124"/>
      <c r="U446" s="126"/>
      <c r="V446" s="126"/>
      <c r="W446" s="124"/>
      <c r="X446" s="24"/>
      <c r="Y446" s="126"/>
      <c r="Z446" s="24"/>
      <c r="AA446" s="24"/>
      <c r="AB446" s="24"/>
      <c r="AC446" s="24"/>
      <c r="AD446" s="182"/>
      <c r="AE446" s="182"/>
      <c r="AF446" s="113">
        <v>373067005</v>
      </c>
      <c r="AG446" s="182"/>
      <c r="AH446" s="115" t="s">
        <v>115</v>
      </c>
      <c r="AI446" s="115" t="s">
        <v>209</v>
      </c>
      <c r="AJ446" s="115" t="s">
        <v>210</v>
      </c>
      <c r="AK446" s="24"/>
      <c r="AL446" s="24"/>
      <c r="AM446" s="24"/>
    </row>
    <row r="447" spans="1:39" ht="12.75" customHeight="1">
      <c r="A447" s="22">
        <v>445</v>
      </c>
      <c r="B447" s="24" t="s">
        <v>1463</v>
      </c>
      <c r="C447" s="24" t="s">
        <v>96</v>
      </c>
      <c r="D447" s="24"/>
      <c r="E447" s="24" t="s">
        <v>1434</v>
      </c>
      <c r="F447" s="24">
        <v>1</v>
      </c>
      <c r="G447" s="24" t="s">
        <v>1308</v>
      </c>
      <c r="H447" s="24"/>
      <c r="I447" s="24"/>
      <c r="J447" s="126"/>
      <c r="K447" s="124" t="s">
        <v>1463</v>
      </c>
      <c r="L447" s="124" t="s">
        <v>1464</v>
      </c>
      <c r="M447" s="124" t="s">
        <v>1465</v>
      </c>
      <c r="N447" s="124" t="s">
        <v>202</v>
      </c>
      <c r="O447" s="126"/>
      <c r="P447" s="124"/>
      <c r="Q447" s="24"/>
      <c r="R447" s="24"/>
      <c r="S447" s="126"/>
      <c r="T447" s="124" t="s">
        <v>208</v>
      </c>
      <c r="U447" s="126"/>
      <c r="V447" s="126"/>
      <c r="W447" s="124" t="s">
        <v>1277</v>
      </c>
      <c r="X447" s="24"/>
      <c r="Y447" s="126"/>
      <c r="Z447" s="24"/>
      <c r="AA447" s="24"/>
      <c r="AB447" s="24"/>
      <c r="AC447" s="24"/>
      <c r="AD447" s="233"/>
      <c r="AE447" s="233"/>
      <c r="AF447" s="233"/>
      <c r="AG447" s="233"/>
      <c r="AH447" s="115" t="s">
        <v>115</v>
      </c>
      <c r="AI447" s="115" t="s">
        <v>1466</v>
      </c>
      <c r="AJ447" s="115" t="s">
        <v>1467</v>
      </c>
      <c r="AK447" s="24"/>
      <c r="AL447" s="24"/>
      <c r="AM447" s="24"/>
    </row>
    <row r="448" spans="1:39" ht="12.75" customHeight="1">
      <c r="A448" s="22">
        <v>446</v>
      </c>
      <c r="B448" s="24" t="s">
        <v>1468</v>
      </c>
      <c r="C448" s="24" t="s">
        <v>180</v>
      </c>
      <c r="D448" s="24" t="s">
        <v>1463</v>
      </c>
      <c r="E448" s="24" t="s">
        <v>1434</v>
      </c>
      <c r="F448" s="24">
        <v>1</v>
      </c>
      <c r="G448" s="24" t="s">
        <v>1308</v>
      </c>
      <c r="H448" s="24"/>
      <c r="I448" s="24"/>
      <c r="J448" s="126"/>
      <c r="K448" s="161"/>
      <c r="L448" s="124"/>
      <c r="M448" s="124"/>
      <c r="N448" s="161"/>
      <c r="O448" s="126" t="s">
        <v>1468</v>
      </c>
      <c r="P448" s="161"/>
      <c r="Q448" s="24"/>
      <c r="R448" s="24"/>
      <c r="S448" s="126"/>
      <c r="T448" s="161"/>
      <c r="U448" s="126"/>
      <c r="V448" s="126"/>
      <c r="W448" s="161"/>
      <c r="X448" s="24"/>
      <c r="Y448" s="126"/>
      <c r="Z448" s="24"/>
      <c r="AA448" s="24"/>
      <c r="AB448" s="24"/>
      <c r="AC448" s="24"/>
      <c r="AD448" s="182"/>
      <c r="AE448" s="182"/>
      <c r="AF448" s="182">
        <v>385660001</v>
      </c>
      <c r="AG448" s="182"/>
      <c r="AH448" s="115" t="s">
        <v>115</v>
      </c>
      <c r="AI448" s="115" t="s">
        <v>1469</v>
      </c>
      <c r="AJ448" s="115" t="s">
        <v>1470</v>
      </c>
      <c r="AK448" s="24"/>
      <c r="AL448" s="24"/>
      <c r="AM448" s="24"/>
    </row>
    <row r="449" spans="1:39" ht="12.75" customHeight="1">
      <c r="A449" s="22">
        <v>447</v>
      </c>
      <c r="B449" s="24" t="s">
        <v>1471</v>
      </c>
      <c r="C449" s="24" t="s">
        <v>180</v>
      </c>
      <c r="D449" s="24" t="s">
        <v>1463</v>
      </c>
      <c r="E449" s="24" t="s">
        <v>1434</v>
      </c>
      <c r="F449" s="24">
        <v>1</v>
      </c>
      <c r="G449" s="24" t="s">
        <v>1308</v>
      </c>
      <c r="H449" s="24"/>
      <c r="I449" s="24"/>
      <c r="J449" s="126"/>
      <c r="K449" s="161"/>
      <c r="L449" s="124"/>
      <c r="M449" s="124"/>
      <c r="N449" s="161"/>
      <c r="O449" s="160" t="s">
        <v>1471</v>
      </c>
      <c r="P449" s="161"/>
      <c r="Q449" s="24"/>
      <c r="R449" s="24"/>
      <c r="S449" s="126"/>
      <c r="T449" s="161"/>
      <c r="U449" s="126"/>
      <c r="V449" s="126"/>
      <c r="W449" s="161"/>
      <c r="X449" s="24"/>
      <c r="Y449" s="126"/>
      <c r="Z449" s="24"/>
      <c r="AA449" s="24"/>
      <c r="AB449" s="24"/>
      <c r="AC449" s="24"/>
      <c r="AD449" s="182"/>
      <c r="AE449" s="182"/>
      <c r="AF449" s="182">
        <v>17621005</v>
      </c>
      <c r="AG449" s="182"/>
      <c r="AH449" s="115" t="s">
        <v>115</v>
      </c>
      <c r="AI449" s="115" t="s">
        <v>1472</v>
      </c>
      <c r="AJ449" s="115" t="s">
        <v>1473</v>
      </c>
      <c r="AK449" s="24"/>
      <c r="AL449" s="24"/>
      <c r="AM449" s="24"/>
    </row>
    <row r="450" spans="1:39" ht="12.75" customHeight="1">
      <c r="A450" s="22">
        <v>448</v>
      </c>
      <c r="B450" s="24" t="s">
        <v>1474</v>
      </c>
      <c r="C450" s="24" t="s">
        <v>180</v>
      </c>
      <c r="D450" s="24" t="s">
        <v>1463</v>
      </c>
      <c r="E450" s="24" t="s">
        <v>1434</v>
      </c>
      <c r="F450" s="24">
        <v>1</v>
      </c>
      <c r="G450" s="24" t="s">
        <v>1308</v>
      </c>
      <c r="H450" s="24"/>
      <c r="I450" s="24"/>
      <c r="J450" s="126"/>
      <c r="K450" s="161"/>
      <c r="L450" s="124"/>
      <c r="M450" s="124"/>
      <c r="N450" s="161"/>
      <c r="O450" s="160" t="s">
        <v>1474</v>
      </c>
      <c r="P450" s="161"/>
      <c r="Q450" s="24"/>
      <c r="R450" s="24"/>
      <c r="S450" s="126"/>
      <c r="T450" s="161"/>
      <c r="U450" s="126"/>
      <c r="V450" s="126"/>
      <c r="W450" s="161"/>
      <c r="X450" s="24"/>
      <c r="Y450" s="126"/>
      <c r="Z450" s="24"/>
      <c r="AA450" s="24"/>
      <c r="AB450" s="24"/>
      <c r="AC450" s="24"/>
      <c r="AD450" s="182"/>
      <c r="AE450" s="182"/>
      <c r="AF450" s="118">
        <v>263654008</v>
      </c>
      <c r="AG450" s="182"/>
      <c r="AH450" s="115" t="s">
        <v>115</v>
      </c>
      <c r="AI450" s="115" t="s">
        <v>1475</v>
      </c>
      <c r="AJ450" s="115" t="s">
        <v>1476</v>
      </c>
      <c r="AK450" s="24"/>
      <c r="AL450" s="24"/>
      <c r="AM450" s="24"/>
    </row>
    <row r="451" spans="1:39" ht="12.75" customHeight="1">
      <c r="A451" s="22">
        <v>449</v>
      </c>
      <c r="B451" s="24" t="s">
        <v>1477</v>
      </c>
      <c r="C451" s="24" t="s">
        <v>96</v>
      </c>
      <c r="D451" s="24"/>
      <c r="E451" s="24" t="s">
        <v>1434</v>
      </c>
      <c r="F451" s="24">
        <v>1</v>
      </c>
      <c r="G451" s="24" t="s">
        <v>1308</v>
      </c>
      <c r="H451" s="24"/>
      <c r="I451" s="24"/>
      <c r="J451" s="126"/>
      <c r="K451" s="161" t="s">
        <v>1478</v>
      </c>
      <c r="L451" s="124" t="s">
        <v>1479</v>
      </c>
      <c r="M451" s="124" t="s">
        <v>1480</v>
      </c>
      <c r="N451" s="161" t="s">
        <v>238</v>
      </c>
      <c r="O451" s="160"/>
      <c r="P451" s="161"/>
      <c r="Q451" s="24"/>
      <c r="R451" s="24"/>
      <c r="S451" s="126"/>
      <c r="T451" s="161" t="s">
        <v>208</v>
      </c>
      <c r="U451" s="126"/>
      <c r="V451" s="126"/>
      <c r="W451" s="161" t="s">
        <v>115</v>
      </c>
      <c r="X451" s="24"/>
      <c r="Y451" s="126"/>
      <c r="Z451" s="24"/>
      <c r="AA451" s="24"/>
      <c r="AB451" s="24"/>
      <c r="AC451" s="24"/>
      <c r="AD451" s="182"/>
      <c r="AE451" s="182"/>
      <c r="AF451" s="113">
        <v>272016000</v>
      </c>
      <c r="AG451" s="182"/>
      <c r="AH451" s="115" t="s">
        <v>115</v>
      </c>
      <c r="AI451" s="115" t="s">
        <v>1481</v>
      </c>
      <c r="AJ451" s="115" t="s">
        <v>1482</v>
      </c>
      <c r="AK451" s="24"/>
      <c r="AL451" s="24"/>
      <c r="AM451" s="24"/>
    </row>
    <row r="452" spans="1:39" ht="12.75" customHeight="1">
      <c r="A452" s="22">
        <v>450</v>
      </c>
      <c r="B452" s="24" t="s">
        <v>1483</v>
      </c>
      <c r="C452" s="24" t="s">
        <v>180</v>
      </c>
      <c r="D452" s="24" t="s">
        <v>1477</v>
      </c>
      <c r="E452" s="24" t="s">
        <v>1434</v>
      </c>
      <c r="F452" s="24">
        <v>1</v>
      </c>
      <c r="G452" s="24" t="s">
        <v>1308</v>
      </c>
      <c r="H452" s="24"/>
      <c r="I452" s="24"/>
      <c r="J452" s="126"/>
      <c r="K452" s="161"/>
      <c r="L452" s="124"/>
      <c r="M452" s="161"/>
      <c r="N452" s="161"/>
      <c r="O452" s="160" t="s">
        <v>1483</v>
      </c>
      <c r="P452" s="161"/>
      <c r="Q452" s="24"/>
      <c r="R452" s="24"/>
      <c r="S452" s="126"/>
      <c r="T452" s="161"/>
      <c r="U452" s="126"/>
      <c r="V452" s="126"/>
      <c r="W452" s="161"/>
      <c r="X452" s="24"/>
      <c r="Y452" s="126"/>
      <c r="Z452" s="24"/>
      <c r="AA452" s="24"/>
      <c r="AB452" s="24"/>
      <c r="AC452" s="24"/>
      <c r="AD452" s="113" t="s">
        <v>383</v>
      </c>
      <c r="AE452" s="182"/>
      <c r="AF452" s="113">
        <v>267036007</v>
      </c>
      <c r="AG452" s="182"/>
      <c r="AH452" s="115" t="s">
        <v>115</v>
      </c>
      <c r="AI452" s="115" t="s">
        <v>1484</v>
      </c>
      <c r="AJ452" s="115" t="s">
        <v>1485</v>
      </c>
      <c r="AK452" s="24"/>
      <c r="AL452" s="24"/>
      <c r="AM452" s="24"/>
    </row>
    <row r="453" spans="1:39" ht="12.75" customHeight="1">
      <c r="A453" s="22">
        <v>451</v>
      </c>
      <c r="B453" s="24" t="s">
        <v>258</v>
      </c>
      <c r="C453" s="24" t="s">
        <v>180</v>
      </c>
      <c r="D453" s="24" t="s">
        <v>1477</v>
      </c>
      <c r="E453" s="24" t="s">
        <v>1434</v>
      </c>
      <c r="F453" s="24">
        <v>1</v>
      </c>
      <c r="G453" s="24" t="s">
        <v>1308</v>
      </c>
      <c r="H453" s="24"/>
      <c r="I453" s="24"/>
      <c r="J453" s="126"/>
      <c r="K453" s="161"/>
      <c r="L453" s="124"/>
      <c r="M453" s="161"/>
      <c r="N453" s="161"/>
      <c r="O453" s="160" t="s">
        <v>258</v>
      </c>
      <c r="P453" s="161"/>
      <c r="Q453" s="24"/>
      <c r="R453" s="24"/>
      <c r="S453" s="126"/>
      <c r="T453" s="161"/>
      <c r="U453" s="126"/>
      <c r="V453" s="126"/>
      <c r="W453" s="161"/>
      <c r="X453" s="24"/>
      <c r="Y453" s="126"/>
      <c r="Z453" s="24"/>
      <c r="AA453" s="24"/>
      <c r="AB453" s="24"/>
      <c r="AC453" s="24"/>
      <c r="AD453" s="113" t="s">
        <v>259</v>
      </c>
      <c r="AE453" s="182"/>
      <c r="AF453" s="113">
        <v>49727002</v>
      </c>
      <c r="AG453" s="182"/>
      <c r="AH453" s="115" t="s">
        <v>115</v>
      </c>
      <c r="AI453" s="115" t="s">
        <v>260</v>
      </c>
      <c r="AJ453" s="115" t="s">
        <v>261</v>
      </c>
      <c r="AK453" s="24"/>
      <c r="AL453" s="24"/>
      <c r="AM453" s="24"/>
    </row>
    <row r="454" spans="1:39" ht="12.75" customHeight="1">
      <c r="A454" s="22">
        <v>452</v>
      </c>
      <c r="B454" s="24" t="s">
        <v>1486</v>
      </c>
      <c r="C454" s="24" t="s">
        <v>180</v>
      </c>
      <c r="D454" s="24" t="s">
        <v>1477</v>
      </c>
      <c r="E454" s="24" t="s">
        <v>1434</v>
      </c>
      <c r="F454" s="24">
        <v>1</v>
      </c>
      <c r="G454" s="24" t="s">
        <v>1308</v>
      </c>
      <c r="H454" s="24"/>
      <c r="I454" s="24"/>
      <c r="J454" s="126"/>
      <c r="K454" s="161"/>
      <c r="L454" s="124"/>
      <c r="M454" s="161"/>
      <c r="N454" s="161"/>
      <c r="O454" s="160" t="s">
        <v>1486</v>
      </c>
      <c r="P454" s="161"/>
      <c r="Q454" s="24"/>
      <c r="R454" s="24"/>
      <c r="S454" s="126"/>
      <c r="T454" s="161"/>
      <c r="U454" s="126"/>
      <c r="V454" s="126"/>
      <c r="W454" s="161"/>
      <c r="X454" s="24"/>
      <c r="Y454" s="126"/>
      <c r="Z454" s="24"/>
      <c r="AA454" s="24"/>
      <c r="AB454" s="24"/>
      <c r="AC454" s="24"/>
      <c r="AD454" s="175" t="s">
        <v>1253</v>
      </c>
      <c r="AE454" s="182"/>
      <c r="AF454" s="113">
        <v>271823003</v>
      </c>
      <c r="AG454" s="182"/>
      <c r="AH454" s="115" t="s">
        <v>115</v>
      </c>
      <c r="AI454" s="115" t="s">
        <v>1487</v>
      </c>
      <c r="AJ454" s="115" t="s">
        <v>1488</v>
      </c>
      <c r="AK454" s="24"/>
      <c r="AL454" s="24"/>
      <c r="AM454" s="24"/>
    </row>
    <row r="455" spans="1:39" ht="12.75" customHeight="1">
      <c r="A455" s="22">
        <v>453</v>
      </c>
      <c r="B455" s="24" t="s">
        <v>1489</v>
      </c>
      <c r="C455" s="24" t="s">
        <v>180</v>
      </c>
      <c r="D455" s="24" t="s">
        <v>1477</v>
      </c>
      <c r="E455" s="24" t="s">
        <v>1434</v>
      </c>
      <c r="F455" s="24">
        <v>1</v>
      </c>
      <c r="G455" s="24" t="s">
        <v>1308</v>
      </c>
      <c r="H455" s="24"/>
      <c r="I455" s="24"/>
      <c r="J455" s="126"/>
      <c r="K455" s="161"/>
      <c r="L455" s="124"/>
      <c r="M455" s="161"/>
      <c r="N455" s="161"/>
      <c r="O455" s="160" t="s">
        <v>1489</v>
      </c>
      <c r="P455" s="161"/>
      <c r="Q455" s="24"/>
      <c r="R455" s="24"/>
      <c r="S455" s="126"/>
      <c r="T455" s="161"/>
      <c r="U455" s="126"/>
      <c r="V455" s="126"/>
      <c r="W455" s="161"/>
      <c r="X455" s="24"/>
      <c r="Y455" s="126"/>
      <c r="Z455" s="24"/>
      <c r="AA455" s="24"/>
      <c r="AB455" s="24"/>
      <c r="AC455" s="24"/>
      <c r="AD455" s="182" t="s">
        <v>1490</v>
      </c>
      <c r="AE455" s="182"/>
      <c r="AF455" s="113">
        <v>86684002</v>
      </c>
      <c r="AG455" s="182"/>
      <c r="AH455" s="115" t="s">
        <v>115</v>
      </c>
      <c r="AI455" s="115" t="s">
        <v>1491</v>
      </c>
      <c r="AJ455" s="115" t="s">
        <v>1492</v>
      </c>
      <c r="AK455" s="24"/>
      <c r="AL455" s="24"/>
      <c r="AM455" s="24"/>
    </row>
    <row r="456" spans="1:39" ht="12.75" customHeight="1">
      <c r="A456" s="22">
        <v>454</v>
      </c>
      <c r="B456" s="24" t="s">
        <v>1493</v>
      </c>
      <c r="C456" s="24" t="s">
        <v>180</v>
      </c>
      <c r="D456" s="24" t="s">
        <v>1477</v>
      </c>
      <c r="E456" s="24" t="s">
        <v>1434</v>
      </c>
      <c r="F456" s="24">
        <v>1</v>
      </c>
      <c r="G456" s="24" t="s">
        <v>1308</v>
      </c>
      <c r="H456" s="24"/>
      <c r="I456" s="24"/>
      <c r="J456" s="126"/>
      <c r="K456" s="161"/>
      <c r="L456" s="124"/>
      <c r="M456" s="161"/>
      <c r="N456" s="161"/>
      <c r="O456" s="160" t="s">
        <v>1493</v>
      </c>
      <c r="P456" s="161"/>
      <c r="Q456" s="24"/>
      <c r="R456" s="24"/>
      <c r="S456" s="126"/>
      <c r="T456" s="161"/>
      <c r="U456" s="126"/>
      <c r="V456" s="126"/>
      <c r="W456" s="161"/>
      <c r="X456" s="24"/>
      <c r="Y456" s="126"/>
      <c r="Z456" s="24"/>
      <c r="AA456" s="24"/>
      <c r="AB456" s="24"/>
      <c r="AC456" s="24"/>
      <c r="AD456" s="182"/>
      <c r="AE456" s="182"/>
      <c r="AF456" s="113">
        <v>56018004</v>
      </c>
      <c r="AG456" s="182"/>
      <c r="AH456" s="115" t="s">
        <v>115</v>
      </c>
      <c r="AI456" s="115" t="s">
        <v>1494</v>
      </c>
      <c r="AJ456" s="115" t="s">
        <v>1495</v>
      </c>
      <c r="AK456" s="24"/>
      <c r="AL456" s="24"/>
      <c r="AM456" s="24"/>
    </row>
    <row r="457" spans="1:39" ht="12.75" customHeight="1">
      <c r="A457" s="22">
        <v>455</v>
      </c>
      <c r="B457" s="24" t="s">
        <v>1496</v>
      </c>
      <c r="C457" s="24" t="s">
        <v>180</v>
      </c>
      <c r="D457" s="24" t="s">
        <v>1477</v>
      </c>
      <c r="E457" s="24" t="s">
        <v>1434</v>
      </c>
      <c r="F457" s="24">
        <v>1</v>
      </c>
      <c r="G457" s="24" t="s">
        <v>1308</v>
      </c>
      <c r="H457" s="24"/>
      <c r="I457" s="24"/>
      <c r="J457" s="126"/>
      <c r="K457" s="161"/>
      <c r="L457" s="124"/>
      <c r="M457" s="161"/>
      <c r="N457" s="161"/>
      <c r="O457" s="160" t="s">
        <v>1496</v>
      </c>
      <c r="P457" s="161"/>
      <c r="Q457" s="24"/>
      <c r="R457" s="24"/>
      <c r="S457" s="126"/>
      <c r="T457" s="161"/>
      <c r="U457" s="126"/>
      <c r="V457" s="126"/>
      <c r="W457" s="161"/>
      <c r="X457" s="24"/>
      <c r="Y457" s="126"/>
      <c r="Z457" s="24"/>
      <c r="AA457" s="24"/>
      <c r="AB457" s="24"/>
      <c r="AC457" s="24"/>
      <c r="AD457" s="182" t="s">
        <v>1497</v>
      </c>
      <c r="AE457" s="182"/>
      <c r="AF457" s="113">
        <v>48409008</v>
      </c>
      <c r="AG457" s="182"/>
      <c r="AH457" s="115" t="s">
        <v>115</v>
      </c>
      <c r="AI457" s="115" t="s">
        <v>1498</v>
      </c>
      <c r="AJ457" s="115" t="s">
        <v>1499</v>
      </c>
      <c r="AK457" s="24"/>
      <c r="AL457" s="24"/>
      <c r="AM457" s="24"/>
    </row>
    <row r="458" spans="1:39" ht="12.75" customHeight="1">
      <c r="A458" s="22">
        <v>456</v>
      </c>
      <c r="B458" s="24" t="s">
        <v>405</v>
      </c>
      <c r="C458" s="24" t="s">
        <v>180</v>
      </c>
      <c r="D458" s="24" t="s">
        <v>1477</v>
      </c>
      <c r="E458" s="24" t="s">
        <v>1434</v>
      </c>
      <c r="F458" s="24">
        <v>1</v>
      </c>
      <c r="G458" s="24" t="s">
        <v>1308</v>
      </c>
      <c r="H458" s="24"/>
      <c r="I458" s="24"/>
      <c r="J458" s="126"/>
      <c r="K458" s="161"/>
      <c r="L458" s="124"/>
      <c r="M458" s="161"/>
      <c r="N458" s="161"/>
      <c r="O458" s="160" t="s">
        <v>405</v>
      </c>
      <c r="P458" s="161"/>
      <c r="Q458" s="24"/>
      <c r="R458" s="24"/>
      <c r="S458" s="126"/>
      <c r="T458" s="161"/>
      <c r="U458" s="126"/>
      <c r="V458" s="126"/>
      <c r="W458" s="161"/>
      <c r="X458" s="24"/>
      <c r="Y458" s="126"/>
      <c r="Z458" s="24"/>
      <c r="AA458" s="24"/>
      <c r="AB458" s="24"/>
      <c r="AC458" s="24"/>
      <c r="AD458" s="182"/>
      <c r="AE458" s="182"/>
      <c r="AF458" s="182"/>
      <c r="AG458" s="182"/>
      <c r="AH458" s="115" t="s">
        <v>1500</v>
      </c>
      <c r="AI458" s="116" t="s">
        <v>406</v>
      </c>
      <c r="AJ458" s="116" t="s">
        <v>407</v>
      </c>
      <c r="AK458" s="24"/>
      <c r="AL458" s="24"/>
      <c r="AM458" s="24"/>
    </row>
    <row r="459" spans="1:39" ht="12.75" customHeight="1">
      <c r="A459" s="22">
        <v>457</v>
      </c>
      <c r="B459" s="24" t="s">
        <v>1501</v>
      </c>
      <c r="C459" s="24" t="s">
        <v>96</v>
      </c>
      <c r="D459" s="24"/>
      <c r="E459" s="24" t="s">
        <v>1434</v>
      </c>
      <c r="F459" s="24">
        <v>1</v>
      </c>
      <c r="G459" s="24" t="s">
        <v>1308</v>
      </c>
      <c r="H459" s="24"/>
      <c r="I459" s="24"/>
      <c r="J459" s="126"/>
      <c r="K459" s="160" t="s">
        <v>409</v>
      </c>
      <c r="L459" s="160" t="s">
        <v>1502</v>
      </c>
      <c r="M459" s="160" t="s">
        <v>1503</v>
      </c>
      <c r="N459" s="160" t="s">
        <v>111</v>
      </c>
      <c r="O459" s="161"/>
      <c r="P459" s="161"/>
      <c r="Q459" s="24"/>
      <c r="R459" s="24"/>
      <c r="S459" s="126"/>
      <c r="T459" s="160" t="s">
        <v>208</v>
      </c>
      <c r="U459" s="126"/>
      <c r="V459" s="126"/>
      <c r="W459" s="160" t="s">
        <v>115</v>
      </c>
      <c r="X459" s="24"/>
      <c r="Y459" s="126"/>
      <c r="Z459" s="24"/>
      <c r="AA459" s="24"/>
      <c r="AB459" s="24"/>
      <c r="AC459" s="24"/>
      <c r="AD459" s="182"/>
      <c r="AE459" s="182"/>
      <c r="AF459" s="175" t="s">
        <v>541</v>
      </c>
      <c r="AG459" s="182"/>
      <c r="AH459" s="116" t="s">
        <v>1500</v>
      </c>
      <c r="AI459" s="116" t="s">
        <v>415</v>
      </c>
      <c r="AJ459" s="116" t="s">
        <v>416</v>
      </c>
      <c r="AK459" s="24"/>
      <c r="AL459" s="24"/>
      <c r="AM459" s="24"/>
    </row>
    <row r="460" spans="1:39" ht="12.75" customHeight="1">
      <c r="A460" s="22">
        <v>458</v>
      </c>
      <c r="B460" s="24" t="s">
        <v>1504</v>
      </c>
      <c r="C460" s="24" t="s">
        <v>96</v>
      </c>
      <c r="D460" s="24"/>
      <c r="E460" s="24" t="s">
        <v>1434</v>
      </c>
      <c r="F460" s="24">
        <v>1</v>
      </c>
      <c r="G460" s="24" t="s">
        <v>1308</v>
      </c>
      <c r="H460" s="24"/>
      <c r="I460" s="24"/>
      <c r="J460" s="126"/>
      <c r="K460" s="124" t="s">
        <v>1504</v>
      </c>
      <c r="L460" s="124" t="s">
        <v>1505</v>
      </c>
      <c r="M460" s="124" t="s">
        <v>1506</v>
      </c>
      <c r="N460" s="160" t="s">
        <v>168</v>
      </c>
      <c r="O460" s="126"/>
      <c r="P460" s="124"/>
      <c r="Q460" s="24"/>
      <c r="R460" s="124" t="s">
        <v>1507</v>
      </c>
      <c r="S460" s="126"/>
      <c r="T460" s="124" t="s">
        <v>208</v>
      </c>
      <c r="U460" s="126"/>
      <c r="V460" s="126"/>
      <c r="W460" s="124" t="s">
        <v>115</v>
      </c>
      <c r="X460" s="24"/>
      <c r="Y460" s="126"/>
      <c r="Z460" s="24"/>
      <c r="AA460" s="24"/>
      <c r="AB460" s="24"/>
      <c r="AC460" s="24"/>
      <c r="AD460" s="182"/>
      <c r="AE460" s="182"/>
      <c r="AF460" s="113">
        <v>431314004</v>
      </c>
      <c r="AG460" s="182" t="s">
        <v>1508</v>
      </c>
      <c r="AH460" s="115" t="s">
        <v>115</v>
      </c>
      <c r="AI460" s="115" t="s">
        <v>1509</v>
      </c>
      <c r="AJ460" s="115" t="s">
        <v>1510</v>
      </c>
      <c r="AK460" s="24"/>
      <c r="AL460" s="24"/>
      <c r="AM460" s="24"/>
    </row>
    <row r="461" spans="1:39" ht="12.75" customHeight="1">
      <c r="A461" s="22">
        <v>459</v>
      </c>
      <c r="B461" s="24" t="s">
        <v>1511</v>
      </c>
      <c r="C461" s="24" t="s">
        <v>96</v>
      </c>
      <c r="D461" s="24"/>
      <c r="E461" s="24" t="s">
        <v>1434</v>
      </c>
      <c r="F461" s="24">
        <v>1</v>
      </c>
      <c r="G461" s="24" t="s">
        <v>1308</v>
      </c>
      <c r="H461" s="24"/>
      <c r="I461" s="24"/>
      <c r="J461" s="126"/>
      <c r="K461" s="124" t="s">
        <v>1511</v>
      </c>
      <c r="L461" s="124" t="s">
        <v>1512</v>
      </c>
      <c r="M461" s="124" t="s">
        <v>1513</v>
      </c>
      <c r="N461" s="124" t="s">
        <v>202</v>
      </c>
      <c r="O461" s="126"/>
      <c r="P461" s="124"/>
      <c r="Q461" s="24"/>
      <c r="R461" s="24"/>
      <c r="S461" s="126"/>
      <c r="T461" s="124" t="s">
        <v>208</v>
      </c>
      <c r="U461" s="126"/>
      <c r="V461" s="126"/>
      <c r="W461" s="124" t="s">
        <v>1277</v>
      </c>
      <c r="X461" s="24"/>
      <c r="Y461" s="126"/>
      <c r="Z461" s="24"/>
      <c r="AA461" s="24"/>
      <c r="AB461" s="24"/>
      <c r="AC461" s="24"/>
      <c r="AD461" s="233"/>
      <c r="AE461" s="233"/>
      <c r="AF461" s="233"/>
      <c r="AG461" s="233"/>
      <c r="AH461" s="115" t="s">
        <v>115</v>
      </c>
      <c r="AI461" s="115" t="s">
        <v>1514</v>
      </c>
      <c r="AJ461" s="115" t="s">
        <v>1515</v>
      </c>
      <c r="AK461" s="24"/>
      <c r="AL461" s="24"/>
      <c r="AM461" s="24"/>
    </row>
    <row r="462" spans="1:39" ht="12.75" customHeight="1">
      <c r="A462" s="22">
        <v>460</v>
      </c>
      <c r="B462" s="24" t="s">
        <v>1468</v>
      </c>
      <c r="C462" s="24" t="s">
        <v>180</v>
      </c>
      <c r="D462" s="24" t="s">
        <v>1511</v>
      </c>
      <c r="E462" s="24" t="s">
        <v>1434</v>
      </c>
      <c r="F462" s="24">
        <v>1</v>
      </c>
      <c r="G462" s="24" t="s">
        <v>1308</v>
      </c>
      <c r="H462" s="24"/>
      <c r="I462" s="24"/>
      <c r="J462" s="126"/>
      <c r="K462" s="161"/>
      <c r="L462" s="124"/>
      <c r="M462" s="124"/>
      <c r="N462" s="161"/>
      <c r="O462" s="126" t="s">
        <v>1468</v>
      </c>
      <c r="P462" s="161"/>
      <c r="Q462" s="24"/>
      <c r="R462" s="24"/>
      <c r="S462" s="126"/>
      <c r="T462" s="124"/>
      <c r="U462" s="126"/>
      <c r="V462" s="126"/>
      <c r="W462" s="161"/>
      <c r="X462" s="24"/>
      <c r="Y462" s="126"/>
      <c r="Z462" s="24"/>
      <c r="AA462" s="24"/>
      <c r="AB462" s="24"/>
      <c r="AC462" s="24"/>
      <c r="AD462" s="182"/>
      <c r="AE462" s="182"/>
      <c r="AF462" s="113">
        <v>385660001</v>
      </c>
      <c r="AG462" s="182"/>
      <c r="AH462" s="115" t="s">
        <v>115</v>
      </c>
      <c r="AI462" s="115" t="s">
        <v>1469</v>
      </c>
      <c r="AJ462" s="115" t="s">
        <v>1470</v>
      </c>
      <c r="AK462" s="24"/>
      <c r="AL462" s="24"/>
      <c r="AM462" s="24"/>
    </row>
    <row r="463" spans="1:39" ht="12.75" customHeight="1">
      <c r="A463" s="22">
        <v>461</v>
      </c>
      <c r="B463" s="24" t="s">
        <v>1471</v>
      </c>
      <c r="C463" s="24" t="s">
        <v>180</v>
      </c>
      <c r="D463" s="24" t="s">
        <v>1511</v>
      </c>
      <c r="E463" s="24" t="s">
        <v>1434</v>
      </c>
      <c r="F463" s="24">
        <v>1</v>
      </c>
      <c r="G463" s="24" t="s">
        <v>1308</v>
      </c>
      <c r="H463" s="24"/>
      <c r="I463" s="24"/>
      <c r="J463" s="126"/>
      <c r="K463" s="161"/>
      <c r="L463" s="124"/>
      <c r="M463" s="124"/>
      <c r="N463" s="161"/>
      <c r="O463" s="160" t="s">
        <v>1471</v>
      </c>
      <c r="P463" s="161"/>
      <c r="Q463" s="24"/>
      <c r="R463" s="24"/>
      <c r="S463" s="126"/>
      <c r="T463" s="124"/>
      <c r="U463" s="126"/>
      <c r="V463" s="126"/>
      <c r="W463" s="161"/>
      <c r="X463" s="24"/>
      <c r="Y463" s="126"/>
      <c r="Z463" s="24"/>
      <c r="AA463" s="24"/>
      <c r="AB463" s="24"/>
      <c r="AC463" s="24"/>
      <c r="AD463" s="182"/>
      <c r="AE463" s="182"/>
      <c r="AF463" s="113">
        <v>17621005</v>
      </c>
      <c r="AG463" s="182"/>
      <c r="AH463" s="115" t="s">
        <v>115</v>
      </c>
      <c r="AI463" s="115" t="s">
        <v>1472</v>
      </c>
      <c r="AJ463" s="115" t="s">
        <v>1473</v>
      </c>
      <c r="AK463" s="24"/>
      <c r="AL463" s="24"/>
      <c r="AM463" s="24"/>
    </row>
    <row r="464" spans="1:39" ht="12.75" customHeight="1">
      <c r="A464" s="22">
        <v>462</v>
      </c>
      <c r="B464" s="24" t="s">
        <v>1474</v>
      </c>
      <c r="C464" s="24" t="s">
        <v>180</v>
      </c>
      <c r="D464" s="24" t="s">
        <v>1511</v>
      </c>
      <c r="E464" s="24" t="s">
        <v>1434</v>
      </c>
      <c r="F464" s="24">
        <v>1</v>
      </c>
      <c r="G464" s="24" t="s">
        <v>1308</v>
      </c>
      <c r="H464" s="24"/>
      <c r="I464" s="24"/>
      <c r="J464" s="126"/>
      <c r="K464" s="161"/>
      <c r="L464" s="124"/>
      <c r="M464" s="124"/>
      <c r="N464" s="161"/>
      <c r="O464" s="160" t="s">
        <v>1474</v>
      </c>
      <c r="P464" s="161"/>
      <c r="Q464" s="24"/>
      <c r="R464" s="24"/>
      <c r="S464" s="126"/>
      <c r="T464" s="124"/>
      <c r="U464" s="126"/>
      <c r="V464" s="126"/>
      <c r="W464" s="161"/>
      <c r="X464" s="24"/>
      <c r="Y464" s="126"/>
      <c r="Z464" s="24"/>
      <c r="AA464" s="24"/>
      <c r="AB464" s="24"/>
      <c r="AC464" s="24"/>
      <c r="AD464" s="182"/>
      <c r="AE464" s="182"/>
      <c r="AF464" s="113">
        <v>263654008</v>
      </c>
      <c r="AG464" s="182"/>
      <c r="AH464" s="115" t="s">
        <v>115</v>
      </c>
      <c r="AI464" s="115" t="s">
        <v>1475</v>
      </c>
      <c r="AJ464" s="115" t="s">
        <v>1476</v>
      </c>
      <c r="AK464" s="24"/>
      <c r="AL464" s="24"/>
      <c r="AM464" s="24"/>
    </row>
    <row r="465" spans="1:39" ht="12.75" customHeight="1">
      <c r="A465" s="22">
        <v>463</v>
      </c>
      <c r="B465" s="24" t="s">
        <v>1516</v>
      </c>
      <c r="C465" s="24" t="s">
        <v>96</v>
      </c>
      <c r="D465" s="24"/>
      <c r="E465" s="24" t="s">
        <v>1434</v>
      </c>
      <c r="F465" s="24">
        <v>1</v>
      </c>
      <c r="G465" s="24" t="s">
        <v>1308</v>
      </c>
      <c r="H465" s="24"/>
      <c r="I465" s="24"/>
      <c r="J465" s="126"/>
      <c r="K465" s="161" t="s">
        <v>1478</v>
      </c>
      <c r="L465" s="124" t="s">
        <v>1517</v>
      </c>
      <c r="M465" s="124" t="s">
        <v>1480</v>
      </c>
      <c r="N465" s="161" t="s">
        <v>238</v>
      </c>
      <c r="O465" s="161"/>
      <c r="P465" s="161"/>
      <c r="Q465" s="24"/>
      <c r="R465" s="24"/>
      <c r="S465" s="126"/>
      <c r="T465" s="124" t="s">
        <v>208</v>
      </c>
      <c r="U465" s="126"/>
      <c r="V465" s="126"/>
      <c r="W465" s="161" t="s">
        <v>115</v>
      </c>
      <c r="X465" s="24"/>
      <c r="Y465" s="126"/>
      <c r="Z465" s="24"/>
      <c r="AA465" s="24"/>
      <c r="AB465" s="24"/>
      <c r="AC465" s="24"/>
      <c r="AD465" s="182"/>
      <c r="AE465" s="182"/>
      <c r="AF465" s="113">
        <v>271910006</v>
      </c>
      <c r="AG465" s="182"/>
      <c r="AH465" s="115" t="s">
        <v>115</v>
      </c>
      <c r="AI465" s="115" t="s">
        <v>1518</v>
      </c>
      <c r="AJ465" s="115" t="s">
        <v>1519</v>
      </c>
      <c r="AK465" s="24"/>
      <c r="AL465" s="24"/>
      <c r="AM465" s="24"/>
    </row>
    <row r="466" spans="1:39" ht="12.75" customHeight="1">
      <c r="A466" s="22">
        <v>464</v>
      </c>
      <c r="B466" s="24" t="s">
        <v>1520</v>
      </c>
      <c r="C466" s="24" t="s">
        <v>180</v>
      </c>
      <c r="D466" s="24" t="s">
        <v>1516</v>
      </c>
      <c r="E466" s="24" t="s">
        <v>1434</v>
      </c>
      <c r="F466" s="24">
        <v>1</v>
      </c>
      <c r="G466" s="24" t="s">
        <v>1308</v>
      </c>
      <c r="H466" s="24"/>
      <c r="I466" s="24"/>
      <c r="J466" s="126"/>
      <c r="K466" s="161"/>
      <c r="L466" s="161"/>
      <c r="M466" s="161"/>
      <c r="N466" s="161"/>
      <c r="O466" s="161" t="s">
        <v>1520</v>
      </c>
      <c r="P466" s="161"/>
      <c r="Q466" s="24"/>
      <c r="R466" s="24"/>
      <c r="S466" s="126"/>
      <c r="T466" s="124"/>
      <c r="U466" s="126"/>
      <c r="V466" s="126"/>
      <c r="W466" s="161"/>
      <c r="X466" s="24"/>
      <c r="Y466" s="126"/>
      <c r="Z466" s="24"/>
      <c r="AA466" s="24"/>
      <c r="AB466" s="24"/>
      <c r="AC466" s="24"/>
      <c r="AD466" s="121" t="s">
        <v>1521</v>
      </c>
      <c r="AE466" s="182"/>
      <c r="AF466" s="113">
        <v>88610006</v>
      </c>
      <c r="AG466" s="182"/>
      <c r="AH466" s="115" t="s">
        <v>115</v>
      </c>
      <c r="AI466" s="115" t="s">
        <v>1522</v>
      </c>
      <c r="AJ466" s="115" t="s">
        <v>1523</v>
      </c>
      <c r="AK466" s="24"/>
      <c r="AL466" s="24"/>
      <c r="AM466" s="24"/>
    </row>
    <row r="467" spans="1:39" ht="12.75" customHeight="1">
      <c r="A467" s="22">
        <v>465</v>
      </c>
      <c r="B467" s="24" t="s">
        <v>1524</v>
      </c>
      <c r="C467" s="24" t="s">
        <v>180</v>
      </c>
      <c r="D467" s="24" t="s">
        <v>1516</v>
      </c>
      <c r="E467" s="24" t="s">
        <v>1434</v>
      </c>
      <c r="F467" s="24">
        <v>1</v>
      </c>
      <c r="G467" s="24" t="s">
        <v>1308</v>
      </c>
      <c r="H467" s="24"/>
      <c r="I467" s="24"/>
      <c r="J467" s="126"/>
      <c r="K467" s="161"/>
      <c r="L467" s="161"/>
      <c r="M467" s="161"/>
      <c r="N467" s="161"/>
      <c r="O467" s="160" t="s">
        <v>1524</v>
      </c>
      <c r="P467" s="161"/>
      <c r="Q467" s="24"/>
      <c r="R467" s="24"/>
      <c r="S467" s="126"/>
      <c r="T467" s="124"/>
      <c r="U467" s="126"/>
      <c r="V467" s="126"/>
      <c r="W467" s="161"/>
      <c r="X467" s="24"/>
      <c r="Y467" s="126"/>
      <c r="Z467" s="24"/>
      <c r="AA467" s="24"/>
      <c r="AB467" s="24"/>
      <c r="AC467" s="24"/>
      <c r="AD467" s="118" t="s">
        <v>1525</v>
      </c>
      <c r="AE467" s="182"/>
      <c r="AF467" s="113">
        <v>64661000</v>
      </c>
      <c r="AG467" s="182"/>
      <c r="AH467" s="115" t="s">
        <v>115</v>
      </c>
      <c r="AI467" s="115" t="s">
        <v>1526</v>
      </c>
      <c r="AJ467" s="115" t="s">
        <v>1527</v>
      </c>
      <c r="AK467" s="24"/>
      <c r="AL467" s="24"/>
      <c r="AM467" s="24"/>
    </row>
    <row r="468" spans="1:39" ht="12.75" customHeight="1">
      <c r="A468" s="22">
        <v>466</v>
      </c>
      <c r="B468" s="24" t="s">
        <v>1528</v>
      </c>
      <c r="C468" s="24" t="s">
        <v>180</v>
      </c>
      <c r="D468" s="24" t="s">
        <v>1516</v>
      </c>
      <c r="E468" s="24" t="s">
        <v>1434</v>
      </c>
      <c r="F468" s="24">
        <v>1</v>
      </c>
      <c r="G468" s="24" t="s">
        <v>1308</v>
      </c>
      <c r="H468" s="24"/>
      <c r="I468" s="24"/>
      <c r="J468" s="126"/>
      <c r="K468" s="161"/>
      <c r="L468" s="161"/>
      <c r="M468" s="161"/>
      <c r="N468" s="161"/>
      <c r="O468" s="160" t="s">
        <v>1528</v>
      </c>
      <c r="P468" s="161"/>
      <c r="Q468" s="24"/>
      <c r="R468" s="24"/>
      <c r="S468" s="126"/>
      <c r="T468" s="124"/>
      <c r="U468" s="126"/>
      <c r="V468" s="126"/>
      <c r="W468" s="161"/>
      <c r="X468" s="24"/>
      <c r="Y468" s="126"/>
      <c r="Z468" s="24"/>
      <c r="AA468" s="24"/>
      <c r="AB468" s="24"/>
      <c r="AC468" s="24"/>
      <c r="AD468" s="175" t="s">
        <v>1529</v>
      </c>
      <c r="AE468" s="182"/>
      <c r="AF468" s="113">
        <v>3424008</v>
      </c>
      <c r="AG468" s="182"/>
      <c r="AH468" s="115" t="s">
        <v>115</v>
      </c>
      <c r="AI468" s="115" t="s">
        <v>1530</v>
      </c>
      <c r="AJ468" s="115" t="s">
        <v>1531</v>
      </c>
      <c r="AK468" s="24"/>
      <c r="AL468" s="24"/>
      <c r="AM468" s="24"/>
    </row>
    <row r="469" spans="1:39" ht="12.75" customHeight="1">
      <c r="A469" s="22">
        <v>467</v>
      </c>
      <c r="B469" s="24" t="s">
        <v>1532</v>
      </c>
      <c r="C469" s="24" t="s">
        <v>180</v>
      </c>
      <c r="D469" s="24" t="s">
        <v>1516</v>
      </c>
      <c r="E469" s="24" t="s">
        <v>1434</v>
      </c>
      <c r="F469" s="24">
        <v>1</v>
      </c>
      <c r="G469" s="24" t="s">
        <v>1308</v>
      </c>
      <c r="H469" s="24"/>
      <c r="I469" s="24"/>
      <c r="J469" s="126"/>
      <c r="K469" s="161"/>
      <c r="L469" s="161"/>
      <c r="M469" s="161"/>
      <c r="N469" s="161"/>
      <c r="O469" s="160" t="s">
        <v>1532</v>
      </c>
      <c r="P469" s="161"/>
      <c r="Q469" s="24"/>
      <c r="R469" s="24"/>
      <c r="S469" s="126"/>
      <c r="T469" s="124"/>
      <c r="U469" s="126"/>
      <c r="V469" s="126"/>
      <c r="W469" s="161"/>
      <c r="X469" s="24"/>
      <c r="Y469" s="126"/>
      <c r="Z469" s="24"/>
      <c r="AA469" s="24"/>
      <c r="AB469" s="24"/>
      <c r="AC469" s="24"/>
      <c r="AD469" s="121" t="s">
        <v>1533</v>
      </c>
      <c r="AE469" s="182"/>
      <c r="AF469" s="113">
        <v>48867003</v>
      </c>
      <c r="AG469" s="182"/>
      <c r="AH469" s="115" t="s">
        <v>115</v>
      </c>
      <c r="AI469" s="115" t="s">
        <v>1534</v>
      </c>
      <c r="AJ469" s="115" t="s">
        <v>1535</v>
      </c>
      <c r="AK469" s="24"/>
      <c r="AL469" s="24"/>
      <c r="AM469" s="24"/>
    </row>
    <row r="470" spans="1:39" ht="12.75" customHeight="1">
      <c r="A470" s="22">
        <v>468</v>
      </c>
      <c r="B470" s="24" t="s">
        <v>1536</v>
      </c>
      <c r="C470" s="24" t="s">
        <v>180</v>
      </c>
      <c r="D470" s="24" t="s">
        <v>1516</v>
      </c>
      <c r="E470" s="24" t="s">
        <v>1434</v>
      </c>
      <c r="F470" s="24">
        <v>1</v>
      </c>
      <c r="G470" s="24" t="s">
        <v>1308</v>
      </c>
      <c r="H470" s="24"/>
      <c r="I470" s="24"/>
      <c r="J470" s="126"/>
      <c r="K470" s="161"/>
      <c r="L470" s="161"/>
      <c r="M470" s="161"/>
      <c r="N470" s="161"/>
      <c r="O470" s="160" t="s">
        <v>1536</v>
      </c>
      <c r="P470" s="161"/>
      <c r="Q470" s="24"/>
      <c r="R470" s="24"/>
      <c r="S470" s="126"/>
      <c r="T470" s="124"/>
      <c r="U470" s="126"/>
      <c r="V470" s="126"/>
      <c r="W470" s="161"/>
      <c r="X470" s="24"/>
      <c r="Y470" s="126"/>
      <c r="Z470" s="24"/>
      <c r="AA470" s="24"/>
      <c r="AB470" s="24"/>
      <c r="AC470" s="24"/>
      <c r="AD470" s="121" t="s">
        <v>1537</v>
      </c>
      <c r="AE470" s="182"/>
      <c r="AF470" s="118">
        <v>698247007</v>
      </c>
      <c r="AG470" s="182"/>
      <c r="AH470" s="115" t="s">
        <v>115</v>
      </c>
      <c r="AI470" s="115" t="s">
        <v>1538</v>
      </c>
      <c r="AJ470" s="115" t="s">
        <v>1539</v>
      </c>
      <c r="AK470" s="24"/>
      <c r="AL470" s="24"/>
      <c r="AM470" s="24"/>
    </row>
    <row r="471" spans="1:39" ht="12.75" customHeight="1">
      <c r="A471" s="22">
        <v>469</v>
      </c>
      <c r="B471" s="24" t="s">
        <v>1540</v>
      </c>
      <c r="C471" s="24" t="s">
        <v>180</v>
      </c>
      <c r="D471" s="24" t="s">
        <v>1516</v>
      </c>
      <c r="E471" s="24" t="s">
        <v>1434</v>
      </c>
      <c r="F471" s="24">
        <v>1</v>
      </c>
      <c r="G471" s="24" t="s">
        <v>1308</v>
      </c>
      <c r="H471" s="24"/>
      <c r="I471" s="24"/>
      <c r="J471" s="126"/>
      <c r="K471" s="161"/>
      <c r="L471" s="161"/>
      <c r="M471" s="161"/>
      <c r="N471" s="161"/>
      <c r="O471" s="160" t="s">
        <v>1540</v>
      </c>
      <c r="P471" s="161"/>
      <c r="Q471" s="24"/>
      <c r="R471" s="24"/>
      <c r="S471" s="126"/>
      <c r="T471" s="124"/>
      <c r="U471" s="126"/>
      <c r="V471" s="126"/>
      <c r="W471" s="161"/>
      <c r="X471" s="24"/>
      <c r="Y471" s="126"/>
      <c r="Z471" s="24"/>
      <c r="AA471" s="24"/>
      <c r="AB471" s="24"/>
      <c r="AC471" s="24"/>
      <c r="AD471" s="118" t="s">
        <v>1541</v>
      </c>
      <c r="AE471" s="182"/>
      <c r="AF471" s="121">
        <v>3415004</v>
      </c>
      <c r="AG471" s="182"/>
      <c r="AH471" s="115" t="s">
        <v>115</v>
      </c>
      <c r="AI471" s="115" t="s">
        <v>1542</v>
      </c>
      <c r="AJ471" s="115" t="s">
        <v>1543</v>
      </c>
      <c r="AK471" s="24"/>
      <c r="AL471" s="24"/>
      <c r="AM471" s="24"/>
    </row>
    <row r="472" spans="1:39" ht="12.75" customHeight="1">
      <c r="A472" s="22">
        <v>470</v>
      </c>
      <c r="B472" s="24" t="s">
        <v>1544</v>
      </c>
      <c r="C472" s="24" t="s">
        <v>180</v>
      </c>
      <c r="D472" s="24" t="s">
        <v>1516</v>
      </c>
      <c r="E472" s="24" t="s">
        <v>1434</v>
      </c>
      <c r="F472" s="24">
        <v>1</v>
      </c>
      <c r="G472" s="24" t="s">
        <v>1308</v>
      </c>
      <c r="H472" s="24"/>
      <c r="I472" s="24"/>
      <c r="J472" s="126"/>
      <c r="K472" s="161"/>
      <c r="L472" s="161"/>
      <c r="M472" s="161"/>
      <c r="N472" s="161"/>
      <c r="O472" s="160" t="s">
        <v>1544</v>
      </c>
      <c r="P472" s="161"/>
      <c r="Q472" s="24"/>
      <c r="R472" s="24"/>
      <c r="S472" s="126"/>
      <c r="T472" s="124"/>
      <c r="U472" s="126"/>
      <c r="V472" s="126"/>
      <c r="W472" s="161"/>
      <c r="X472" s="24"/>
      <c r="Y472" s="126"/>
      <c r="Z472" s="24"/>
      <c r="AA472" s="24"/>
      <c r="AB472" s="24"/>
      <c r="AC472" s="24"/>
      <c r="AD472" s="233"/>
      <c r="AE472" s="233"/>
      <c r="AF472" s="233"/>
      <c r="AG472" s="233"/>
      <c r="AH472" s="115" t="s">
        <v>115</v>
      </c>
      <c r="AI472" s="115" t="s">
        <v>1545</v>
      </c>
      <c r="AJ472" s="115" t="s">
        <v>1546</v>
      </c>
      <c r="AK472" s="24"/>
      <c r="AL472" s="24"/>
      <c r="AM472" s="24"/>
    </row>
    <row r="473" spans="1:39" ht="12.75" customHeight="1">
      <c r="A473" s="22">
        <v>471</v>
      </c>
      <c r="B473" s="24" t="s">
        <v>405</v>
      </c>
      <c r="C473" s="24" t="s">
        <v>180</v>
      </c>
      <c r="D473" s="24" t="s">
        <v>1516</v>
      </c>
      <c r="E473" s="24" t="s">
        <v>1434</v>
      </c>
      <c r="F473" s="24">
        <v>1</v>
      </c>
      <c r="G473" s="24" t="s">
        <v>1308</v>
      </c>
      <c r="H473" s="24"/>
      <c r="I473" s="24"/>
      <c r="J473" s="126"/>
      <c r="K473" s="161"/>
      <c r="L473" s="161"/>
      <c r="M473" s="161"/>
      <c r="N473" s="161"/>
      <c r="O473" s="160" t="s">
        <v>405</v>
      </c>
      <c r="P473" s="161"/>
      <c r="Q473" s="24"/>
      <c r="R473" s="24"/>
      <c r="S473" s="126"/>
      <c r="T473" s="124"/>
      <c r="U473" s="126"/>
      <c r="V473" s="126"/>
      <c r="W473" s="161"/>
      <c r="X473" s="24"/>
      <c r="Y473" s="126"/>
      <c r="Z473" s="24"/>
      <c r="AA473" s="24"/>
      <c r="AB473" s="24"/>
      <c r="AC473" s="24"/>
      <c r="AD473" s="182"/>
      <c r="AE473" s="182"/>
      <c r="AF473" s="270" t="s">
        <v>1547</v>
      </c>
      <c r="AG473" s="182"/>
      <c r="AH473" s="115" t="s">
        <v>1548</v>
      </c>
      <c r="AI473" s="116" t="s">
        <v>406</v>
      </c>
      <c r="AJ473" s="116" t="s">
        <v>407</v>
      </c>
      <c r="AK473" s="24"/>
      <c r="AL473" s="24"/>
      <c r="AM473" s="24"/>
    </row>
    <row r="474" spans="1:39" ht="12.75" customHeight="1">
      <c r="A474" s="22">
        <v>472</v>
      </c>
      <c r="B474" s="24" t="s">
        <v>1549</v>
      </c>
      <c r="C474" s="24" t="s">
        <v>96</v>
      </c>
      <c r="D474" s="24"/>
      <c r="E474" s="24" t="s">
        <v>1434</v>
      </c>
      <c r="F474" s="24">
        <v>1</v>
      </c>
      <c r="G474" s="24" t="s">
        <v>1308</v>
      </c>
      <c r="H474" s="24"/>
      <c r="I474" s="24"/>
      <c r="J474" s="126"/>
      <c r="K474" s="160" t="s">
        <v>409</v>
      </c>
      <c r="L474" s="160" t="s">
        <v>1550</v>
      </c>
      <c r="M474" s="160" t="s">
        <v>1551</v>
      </c>
      <c r="N474" s="160" t="s">
        <v>111</v>
      </c>
      <c r="O474" s="161"/>
      <c r="P474" s="161"/>
      <c r="Q474" s="24"/>
      <c r="R474" s="24"/>
      <c r="S474" s="126"/>
      <c r="T474" s="160" t="s">
        <v>208</v>
      </c>
      <c r="U474" s="126"/>
      <c r="V474" s="126"/>
      <c r="W474" s="160" t="s">
        <v>115</v>
      </c>
      <c r="X474" s="24"/>
      <c r="Y474" s="126"/>
      <c r="Z474" s="24"/>
      <c r="AA474" s="24"/>
      <c r="AB474" s="24"/>
      <c r="AC474" s="24"/>
      <c r="AD474" s="182"/>
      <c r="AE474" s="182"/>
      <c r="AF474" s="182"/>
      <c r="AG474" s="182" t="s">
        <v>1552</v>
      </c>
      <c r="AH474" s="116" t="s">
        <v>1548</v>
      </c>
      <c r="AI474" s="116" t="s">
        <v>415</v>
      </c>
      <c r="AJ474" s="116" t="s">
        <v>416</v>
      </c>
      <c r="AK474" s="24"/>
      <c r="AL474" s="24"/>
      <c r="AM474" s="24"/>
    </row>
    <row r="475" spans="1:39" ht="12.75" customHeight="1">
      <c r="A475" s="22">
        <v>473</v>
      </c>
      <c r="B475" s="24" t="s">
        <v>1553</v>
      </c>
      <c r="C475" s="24" t="s">
        <v>96</v>
      </c>
      <c r="D475" s="24"/>
      <c r="E475" s="24" t="s">
        <v>1434</v>
      </c>
      <c r="F475" s="24">
        <v>1</v>
      </c>
      <c r="G475" s="24" t="s">
        <v>1308</v>
      </c>
      <c r="H475" s="24"/>
      <c r="I475" s="24"/>
      <c r="J475" s="126"/>
      <c r="K475" s="160" t="s">
        <v>1553</v>
      </c>
      <c r="L475" s="124" t="s">
        <v>1554</v>
      </c>
      <c r="M475" s="124" t="s">
        <v>1555</v>
      </c>
      <c r="N475" s="124" t="s">
        <v>202</v>
      </c>
      <c r="O475" s="126"/>
      <c r="P475" s="124"/>
      <c r="Q475" s="24"/>
      <c r="R475" s="24"/>
      <c r="S475" s="126"/>
      <c r="T475" s="124" t="s">
        <v>208</v>
      </c>
      <c r="U475" s="126"/>
      <c r="V475" s="126"/>
      <c r="W475" s="124" t="s">
        <v>1277</v>
      </c>
      <c r="X475" s="24"/>
      <c r="Y475" s="126"/>
      <c r="Z475" s="24"/>
      <c r="AA475" s="24"/>
      <c r="AB475" s="24"/>
      <c r="AC475" s="24"/>
      <c r="AD475" s="233"/>
      <c r="AE475" s="233"/>
      <c r="AF475" s="233"/>
      <c r="AG475" s="233"/>
      <c r="AH475" s="115" t="s">
        <v>115</v>
      </c>
      <c r="AI475" s="115" t="s">
        <v>1556</v>
      </c>
      <c r="AJ475" s="115" t="s">
        <v>1557</v>
      </c>
      <c r="AK475" s="24"/>
      <c r="AL475" s="24"/>
      <c r="AM475" s="24"/>
    </row>
    <row r="476" spans="1:39" ht="12.75" customHeight="1">
      <c r="A476" s="22">
        <v>474</v>
      </c>
      <c r="B476" s="24" t="s">
        <v>1468</v>
      </c>
      <c r="C476" s="24" t="s">
        <v>180</v>
      </c>
      <c r="D476" s="24" t="s">
        <v>1553</v>
      </c>
      <c r="E476" s="24" t="s">
        <v>1434</v>
      </c>
      <c r="F476" s="24">
        <v>1</v>
      </c>
      <c r="G476" s="24" t="s">
        <v>1308</v>
      </c>
      <c r="H476" s="24"/>
      <c r="I476" s="24"/>
      <c r="J476" s="126"/>
      <c r="K476" s="161"/>
      <c r="L476" s="124"/>
      <c r="M476" s="124"/>
      <c r="N476" s="161"/>
      <c r="O476" s="126" t="s">
        <v>1468</v>
      </c>
      <c r="P476" s="161"/>
      <c r="Q476" s="24"/>
      <c r="R476" s="24"/>
      <c r="S476" s="126"/>
      <c r="T476" s="124"/>
      <c r="U476" s="126"/>
      <c r="V476" s="126"/>
      <c r="W476" s="161"/>
      <c r="X476" s="24"/>
      <c r="Y476" s="126"/>
      <c r="Z476" s="24"/>
      <c r="AA476" s="24"/>
      <c r="AB476" s="24"/>
      <c r="AC476" s="24"/>
      <c r="AD476" s="182"/>
      <c r="AE476" s="182"/>
      <c r="AF476" s="182">
        <v>385660001</v>
      </c>
      <c r="AG476" s="182"/>
      <c r="AH476" s="115" t="s">
        <v>115</v>
      </c>
      <c r="AI476" s="115" t="s">
        <v>1469</v>
      </c>
      <c r="AJ476" s="115" t="s">
        <v>1470</v>
      </c>
      <c r="AK476" s="24"/>
      <c r="AL476" s="24"/>
      <c r="AM476" s="24"/>
    </row>
    <row r="477" spans="1:39" ht="12.75" customHeight="1">
      <c r="A477" s="22">
        <v>475</v>
      </c>
      <c r="B477" s="24" t="s">
        <v>1471</v>
      </c>
      <c r="C477" s="24" t="s">
        <v>180</v>
      </c>
      <c r="D477" s="24" t="s">
        <v>1553</v>
      </c>
      <c r="E477" s="24" t="s">
        <v>1434</v>
      </c>
      <c r="F477" s="24">
        <v>1</v>
      </c>
      <c r="G477" s="24" t="s">
        <v>1308</v>
      </c>
      <c r="H477" s="24"/>
      <c r="I477" s="24"/>
      <c r="J477" s="126"/>
      <c r="K477" s="161"/>
      <c r="L477" s="124"/>
      <c r="M477" s="124"/>
      <c r="N477" s="161"/>
      <c r="O477" s="160" t="s">
        <v>1471</v>
      </c>
      <c r="P477" s="161"/>
      <c r="Q477" s="24"/>
      <c r="R477" s="24"/>
      <c r="S477" s="126"/>
      <c r="T477" s="124"/>
      <c r="U477" s="126"/>
      <c r="V477" s="126"/>
      <c r="W477" s="161"/>
      <c r="X477" s="24"/>
      <c r="Y477" s="126"/>
      <c r="Z477" s="24"/>
      <c r="AA477" s="24"/>
      <c r="AB477" s="24"/>
      <c r="AC477" s="24"/>
      <c r="AD477" s="182"/>
      <c r="AE477" s="182"/>
      <c r="AF477" s="182">
        <v>17621005</v>
      </c>
      <c r="AG477" s="182"/>
      <c r="AH477" s="115" t="s">
        <v>115</v>
      </c>
      <c r="AI477" s="115" t="s">
        <v>1472</v>
      </c>
      <c r="AJ477" s="115" t="s">
        <v>1473</v>
      </c>
      <c r="AK477" s="24"/>
      <c r="AL477" s="24"/>
      <c r="AM477" s="24"/>
    </row>
    <row r="478" spans="1:39" ht="12.75" customHeight="1">
      <c r="A478" s="22">
        <v>476</v>
      </c>
      <c r="B478" s="24" t="s">
        <v>1474</v>
      </c>
      <c r="C478" s="24" t="s">
        <v>180</v>
      </c>
      <c r="D478" s="24" t="s">
        <v>1553</v>
      </c>
      <c r="E478" s="24" t="s">
        <v>1434</v>
      </c>
      <c r="F478" s="24">
        <v>1</v>
      </c>
      <c r="G478" s="24" t="s">
        <v>1308</v>
      </c>
      <c r="H478" s="24"/>
      <c r="I478" s="24"/>
      <c r="J478" s="126"/>
      <c r="K478" s="161"/>
      <c r="L478" s="124"/>
      <c r="M478" s="124"/>
      <c r="N478" s="161"/>
      <c r="O478" s="160" t="s">
        <v>1474</v>
      </c>
      <c r="P478" s="161"/>
      <c r="Q478" s="24"/>
      <c r="R478" s="24"/>
      <c r="S478" s="126"/>
      <c r="T478" s="124"/>
      <c r="U478" s="126"/>
      <c r="V478" s="126"/>
      <c r="W478" s="161"/>
      <c r="X478" s="24"/>
      <c r="Y478" s="126"/>
      <c r="Z478" s="24"/>
      <c r="AA478" s="24"/>
      <c r="AB478" s="24"/>
      <c r="AC478" s="24"/>
      <c r="AD478" s="182"/>
      <c r="AE478" s="182"/>
      <c r="AF478" s="113">
        <v>263654008</v>
      </c>
      <c r="AG478" s="182"/>
      <c r="AH478" s="115" t="s">
        <v>115</v>
      </c>
      <c r="AI478" s="115" t="s">
        <v>1475</v>
      </c>
      <c r="AJ478" s="115" t="s">
        <v>1476</v>
      </c>
      <c r="AK478" s="24"/>
      <c r="AL478" s="24"/>
      <c r="AM478" s="24"/>
    </row>
    <row r="479" spans="1:39" ht="12.75" customHeight="1">
      <c r="A479" s="22">
        <v>477</v>
      </c>
      <c r="B479" s="24" t="s">
        <v>1558</v>
      </c>
      <c r="C479" s="24" t="s">
        <v>96</v>
      </c>
      <c r="D479" s="24"/>
      <c r="E479" s="24" t="s">
        <v>1434</v>
      </c>
      <c r="F479" s="24">
        <v>1</v>
      </c>
      <c r="G479" s="24" t="s">
        <v>1308</v>
      </c>
      <c r="H479" s="24"/>
      <c r="I479" s="24"/>
      <c r="J479" s="126"/>
      <c r="K479" s="161" t="s">
        <v>1478</v>
      </c>
      <c r="L479" s="124" t="s">
        <v>1559</v>
      </c>
      <c r="M479" s="124" t="s">
        <v>1480</v>
      </c>
      <c r="N479" s="161" t="s">
        <v>238</v>
      </c>
      <c r="O479" s="161"/>
      <c r="P479" s="161"/>
      <c r="Q479" s="24"/>
      <c r="R479" s="24"/>
      <c r="S479" s="126"/>
      <c r="T479" s="124" t="s">
        <v>208</v>
      </c>
      <c r="U479" s="126"/>
      <c r="V479" s="126"/>
      <c r="W479" s="161" t="s">
        <v>115</v>
      </c>
      <c r="X479" s="24"/>
      <c r="Y479" s="126"/>
      <c r="Z479" s="24"/>
      <c r="AA479" s="24"/>
      <c r="AB479" s="24"/>
      <c r="AC479" s="24"/>
      <c r="AD479" s="182"/>
      <c r="AE479" s="182"/>
      <c r="AF479" s="113">
        <v>271886009</v>
      </c>
      <c r="AG479" s="182"/>
      <c r="AH479" s="115" t="s">
        <v>115</v>
      </c>
      <c r="AI479" s="115" t="s">
        <v>1560</v>
      </c>
      <c r="AJ479" s="115" t="s">
        <v>1561</v>
      </c>
      <c r="AK479" s="24"/>
      <c r="AL479" s="24"/>
      <c r="AM479" s="24"/>
    </row>
    <row r="480" spans="1:39" ht="12.75" customHeight="1">
      <c r="A480" s="22">
        <v>478</v>
      </c>
      <c r="B480" s="24" t="s">
        <v>1562</v>
      </c>
      <c r="C480" s="24" t="s">
        <v>180</v>
      </c>
      <c r="D480" s="24" t="s">
        <v>1558</v>
      </c>
      <c r="E480" s="24" t="s">
        <v>1434</v>
      </c>
      <c r="F480" s="24">
        <v>1</v>
      </c>
      <c r="G480" s="24" t="s">
        <v>1308</v>
      </c>
      <c r="H480" s="24"/>
      <c r="I480" s="24"/>
      <c r="J480" s="126"/>
      <c r="K480" s="161"/>
      <c r="L480" s="161"/>
      <c r="M480" s="161"/>
      <c r="N480" s="161"/>
      <c r="O480" s="161" t="s">
        <v>1562</v>
      </c>
      <c r="P480" s="161"/>
      <c r="Q480" s="24"/>
      <c r="R480" s="24"/>
      <c r="S480" s="126"/>
      <c r="T480" s="124"/>
      <c r="U480" s="126"/>
      <c r="V480" s="126"/>
      <c r="W480" s="161"/>
      <c r="X480" s="24"/>
      <c r="Y480" s="126"/>
      <c r="Z480" s="24"/>
      <c r="AA480" s="24"/>
      <c r="AB480" s="24"/>
      <c r="AC480" s="24"/>
      <c r="AD480" s="113" t="s">
        <v>1563</v>
      </c>
      <c r="AE480" s="182"/>
      <c r="AF480" s="113">
        <v>89164003</v>
      </c>
      <c r="AG480" s="182"/>
      <c r="AH480" s="115" t="s">
        <v>115</v>
      </c>
      <c r="AI480" s="115" t="s">
        <v>1564</v>
      </c>
      <c r="AJ480" s="115" t="s">
        <v>1565</v>
      </c>
      <c r="AK480" s="24"/>
      <c r="AL480" s="24"/>
      <c r="AM480" s="24"/>
    </row>
    <row r="481" spans="1:39" ht="12.75" customHeight="1">
      <c r="A481" s="22">
        <v>479</v>
      </c>
      <c r="B481" s="24" t="s">
        <v>1566</v>
      </c>
      <c r="C481" s="24" t="s">
        <v>180</v>
      </c>
      <c r="D481" s="24" t="s">
        <v>1558</v>
      </c>
      <c r="E481" s="24" t="s">
        <v>1434</v>
      </c>
      <c r="F481" s="24">
        <v>1</v>
      </c>
      <c r="G481" s="24" t="s">
        <v>1308</v>
      </c>
      <c r="H481" s="24"/>
      <c r="I481" s="24"/>
      <c r="J481" s="126"/>
      <c r="K481" s="161"/>
      <c r="L481" s="161"/>
      <c r="M481" s="161"/>
      <c r="N481" s="161"/>
      <c r="O481" s="160" t="s">
        <v>1566</v>
      </c>
      <c r="P481" s="161"/>
      <c r="Q481" s="24"/>
      <c r="R481" s="24"/>
      <c r="S481" s="126"/>
      <c r="T481" s="124"/>
      <c r="U481" s="126"/>
      <c r="V481" s="126"/>
      <c r="W481" s="161"/>
      <c r="X481" s="24"/>
      <c r="Y481" s="126"/>
      <c r="Z481" s="24"/>
      <c r="AA481" s="24"/>
      <c r="AB481" s="24"/>
      <c r="AC481" s="24"/>
      <c r="AD481" s="113" t="s">
        <v>1567</v>
      </c>
      <c r="AE481" s="182"/>
      <c r="AF481" s="113">
        <v>54302000</v>
      </c>
      <c r="AG481" s="182"/>
      <c r="AH481" s="115" t="s">
        <v>115</v>
      </c>
      <c r="AI481" s="115" t="s">
        <v>1568</v>
      </c>
      <c r="AJ481" s="115" t="s">
        <v>1569</v>
      </c>
      <c r="AK481" s="24"/>
      <c r="AL481" s="24"/>
      <c r="AM481" s="24"/>
    </row>
    <row r="482" spans="1:39" ht="12.75" customHeight="1">
      <c r="A482" s="22">
        <v>480</v>
      </c>
      <c r="B482" s="24" t="s">
        <v>1570</v>
      </c>
      <c r="C482" s="24" t="s">
        <v>180</v>
      </c>
      <c r="D482" s="24" t="s">
        <v>1558</v>
      </c>
      <c r="E482" s="24" t="s">
        <v>1434</v>
      </c>
      <c r="F482" s="24">
        <v>1</v>
      </c>
      <c r="G482" s="24" t="s">
        <v>1308</v>
      </c>
      <c r="H482" s="24"/>
      <c r="I482" s="24"/>
      <c r="J482" s="126"/>
      <c r="K482" s="161"/>
      <c r="L482" s="161"/>
      <c r="M482" s="161"/>
      <c r="N482" s="161"/>
      <c r="O482" s="160" t="s">
        <v>1570</v>
      </c>
      <c r="P482" s="161"/>
      <c r="Q482" s="24"/>
      <c r="R482" s="24"/>
      <c r="S482" s="126"/>
      <c r="T482" s="124"/>
      <c r="U482" s="126"/>
      <c r="V482" s="126"/>
      <c r="W482" s="161"/>
      <c r="X482" s="24"/>
      <c r="Y482" s="126"/>
      <c r="Z482" s="24"/>
      <c r="AA482" s="24"/>
      <c r="AB482" s="24"/>
      <c r="AC482" s="24"/>
      <c r="AD482" s="113" t="s">
        <v>1571</v>
      </c>
      <c r="AE482" s="182"/>
      <c r="AF482" s="113">
        <v>238810007</v>
      </c>
      <c r="AG482" s="182"/>
      <c r="AH482" s="115" t="s">
        <v>115</v>
      </c>
      <c r="AI482" s="115" t="s">
        <v>1572</v>
      </c>
      <c r="AJ482" s="115" t="s">
        <v>1573</v>
      </c>
      <c r="AK482" s="24"/>
      <c r="AL482" s="24"/>
      <c r="AM482" s="24"/>
    </row>
    <row r="483" spans="1:39" ht="12.75" customHeight="1">
      <c r="A483" s="22">
        <v>481</v>
      </c>
      <c r="B483" s="24" t="s">
        <v>1574</v>
      </c>
      <c r="C483" s="24" t="s">
        <v>180</v>
      </c>
      <c r="D483" s="24" t="s">
        <v>1558</v>
      </c>
      <c r="E483" s="24" t="s">
        <v>1434</v>
      </c>
      <c r="F483" s="24">
        <v>1</v>
      </c>
      <c r="G483" s="24" t="s">
        <v>1308</v>
      </c>
      <c r="H483" s="24"/>
      <c r="I483" s="24"/>
      <c r="J483" s="126"/>
      <c r="K483" s="161"/>
      <c r="L483" s="161"/>
      <c r="M483" s="161"/>
      <c r="N483" s="161"/>
      <c r="O483" s="160" t="s">
        <v>1574</v>
      </c>
      <c r="P483" s="161"/>
      <c r="Q483" s="24"/>
      <c r="R483" s="24"/>
      <c r="S483" s="126"/>
      <c r="T483" s="124"/>
      <c r="U483" s="126"/>
      <c r="V483" s="126"/>
      <c r="W483" s="161"/>
      <c r="X483" s="24"/>
      <c r="Y483" s="126"/>
      <c r="Z483" s="24"/>
      <c r="AA483" s="24"/>
      <c r="AB483" s="24"/>
      <c r="AC483" s="24"/>
      <c r="AD483" s="121" t="s">
        <v>1575</v>
      </c>
      <c r="AE483" s="182"/>
      <c r="AF483" s="182">
        <v>53430007</v>
      </c>
      <c r="AG483" s="182"/>
      <c r="AH483" s="115" t="s">
        <v>115</v>
      </c>
      <c r="AI483" s="115" t="s">
        <v>1576</v>
      </c>
      <c r="AJ483" s="115" t="s">
        <v>1577</v>
      </c>
      <c r="AK483" s="24"/>
      <c r="AL483" s="24"/>
      <c r="AM483" s="24"/>
    </row>
    <row r="484" spans="1:39" ht="12.75" customHeight="1">
      <c r="A484" s="22">
        <v>482</v>
      </c>
      <c r="B484" s="24" t="s">
        <v>1578</v>
      </c>
      <c r="C484" s="24" t="s">
        <v>180</v>
      </c>
      <c r="D484" s="24" t="s">
        <v>1558</v>
      </c>
      <c r="E484" s="24" t="s">
        <v>1434</v>
      </c>
      <c r="F484" s="24">
        <v>1</v>
      </c>
      <c r="G484" s="24" t="s">
        <v>1308</v>
      </c>
      <c r="H484" s="24"/>
      <c r="I484" s="24"/>
      <c r="J484" s="126"/>
      <c r="K484" s="161"/>
      <c r="L484" s="161"/>
      <c r="M484" s="161"/>
      <c r="N484" s="161"/>
      <c r="O484" s="160" t="s">
        <v>1578</v>
      </c>
      <c r="P484" s="161"/>
      <c r="Q484" s="24"/>
      <c r="R484" s="24"/>
      <c r="S484" s="126"/>
      <c r="T484" s="124"/>
      <c r="U484" s="126"/>
      <c r="V484" s="126"/>
      <c r="W484" s="161"/>
      <c r="X484" s="24"/>
      <c r="Y484" s="126"/>
      <c r="Z484" s="24"/>
      <c r="AA484" s="24"/>
      <c r="AB484" s="24"/>
      <c r="AC484" s="24"/>
      <c r="AD484" s="175" t="s">
        <v>1579</v>
      </c>
      <c r="AE484" s="182"/>
      <c r="AF484" s="121">
        <v>52297004</v>
      </c>
      <c r="AG484" s="182"/>
      <c r="AH484" s="115" t="s">
        <v>115</v>
      </c>
      <c r="AI484" s="115" t="s">
        <v>1580</v>
      </c>
      <c r="AJ484" s="115" t="s">
        <v>1581</v>
      </c>
      <c r="AK484" s="24"/>
      <c r="AL484" s="24"/>
      <c r="AM484" s="24"/>
    </row>
    <row r="485" spans="1:39" ht="12.75" customHeight="1">
      <c r="A485" s="22">
        <v>483</v>
      </c>
      <c r="B485" s="24" t="s">
        <v>1582</v>
      </c>
      <c r="C485" s="24" t="s">
        <v>180</v>
      </c>
      <c r="D485" s="24" t="s">
        <v>1558</v>
      </c>
      <c r="E485" s="24" t="s">
        <v>1434</v>
      </c>
      <c r="F485" s="24">
        <v>1</v>
      </c>
      <c r="G485" s="24" t="s">
        <v>1308</v>
      </c>
      <c r="H485" s="24"/>
      <c r="I485" s="24"/>
      <c r="J485" s="126"/>
      <c r="K485" s="161"/>
      <c r="L485" s="161"/>
      <c r="M485" s="161"/>
      <c r="N485" s="161"/>
      <c r="O485" s="160" t="s">
        <v>1582</v>
      </c>
      <c r="P485" s="161"/>
      <c r="Q485" s="24"/>
      <c r="R485" s="24"/>
      <c r="S485" s="126"/>
      <c r="T485" s="124"/>
      <c r="U485" s="126"/>
      <c r="V485" s="126"/>
      <c r="W485" s="161"/>
      <c r="X485" s="24"/>
      <c r="Y485" s="126"/>
      <c r="Z485" s="24"/>
      <c r="AA485" s="24"/>
      <c r="AB485" s="24"/>
      <c r="AC485" s="24"/>
      <c r="AD485" s="233"/>
      <c r="AE485" s="233"/>
      <c r="AF485" s="233"/>
      <c r="AG485" s="233"/>
      <c r="AH485" s="115" t="s">
        <v>115</v>
      </c>
      <c r="AI485" s="115" t="s">
        <v>1583</v>
      </c>
      <c r="AJ485" s="115" t="s">
        <v>1584</v>
      </c>
      <c r="AK485" s="24"/>
      <c r="AL485" s="24"/>
      <c r="AM485" s="24"/>
    </row>
    <row r="486" spans="1:39" ht="12.75" customHeight="1">
      <c r="A486" s="22">
        <v>484</v>
      </c>
      <c r="B486" s="24" t="s">
        <v>405</v>
      </c>
      <c r="C486" s="24" t="s">
        <v>180</v>
      </c>
      <c r="D486" s="24" t="s">
        <v>1558</v>
      </c>
      <c r="E486" s="24" t="s">
        <v>1434</v>
      </c>
      <c r="F486" s="24">
        <v>1</v>
      </c>
      <c r="G486" s="24" t="s">
        <v>1308</v>
      </c>
      <c r="H486" s="24"/>
      <c r="I486" s="24"/>
      <c r="J486" s="126"/>
      <c r="K486" s="161"/>
      <c r="L486" s="161"/>
      <c r="M486" s="161"/>
      <c r="N486" s="161"/>
      <c r="O486" s="160" t="s">
        <v>405</v>
      </c>
      <c r="P486" s="161"/>
      <c r="Q486" s="24"/>
      <c r="R486" s="24"/>
      <c r="S486" s="126"/>
      <c r="T486" s="124"/>
      <c r="U486" s="126"/>
      <c r="V486" s="126"/>
      <c r="W486" s="161"/>
      <c r="X486" s="24"/>
      <c r="Y486" s="126"/>
      <c r="Z486" s="24"/>
      <c r="AA486" s="24"/>
      <c r="AB486" s="24"/>
      <c r="AC486" s="24"/>
      <c r="AD486" s="182"/>
      <c r="AE486" s="182"/>
      <c r="AF486" s="175" t="s">
        <v>1585</v>
      </c>
      <c r="AG486" s="182"/>
      <c r="AH486" s="115" t="s">
        <v>1586</v>
      </c>
      <c r="AI486" s="116" t="s">
        <v>406</v>
      </c>
      <c r="AJ486" s="116" t="s">
        <v>407</v>
      </c>
      <c r="AK486" s="24"/>
      <c r="AL486" s="24"/>
      <c r="AM486" s="24"/>
    </row>
    <row r="487" spans="1:39" ht="12.75" customHeight="1">
      <c r="A487" s="22">
        <v>485</v>
      </c>
      <c r="B487" s="24" t="s">
        <v>1587</v>
      </c>
      <c r="C487" s="24" t="s">
        <v>96</v>
      </c>
      <c r="D487" s="24"/>
      <c r="E487" s="24" t="s">
        <v>1434</v>
      </c>
      <c r="F487" s="24">
        <v>1</v>
      </c>
      <c r="G487" s="24" t="s">
        <v>1308</v>
      </c>
      <c r="H487" s="24"/>
      <c r="I487" s="24"/>
      <c r="J487" s="126"/>
      <c r="K487" s="160" t="s">
        <v>409</v>
      </c>
      <c r="L487" s="160" t="s">
        <v>1588</v>
      </c>
      <c r="M487" s="160" t="s">
        <v>1589</v>
      </c>
      <c r="N487" s="160" t="s">
        <v>111</v>
      </c>
      <c r="O487" s="161"/>
      <c r="P487" s="161"/>
      <c r="Q487" s="24"/>
      <c r="R487" s="24"/>
      <c r="S487" s="126"/>
      <c r="T487" s="160" t="s">
        <v>208</v>
      </c>
      <c r="U487" s="126"/>
      <c r="V487" s="126"/>
      <c r="W487" s="160" t="s">
        <v>115</v>
      </c>
      <c r="X487" s="24"/>
      <c r="Y487" s="126"/>
      <c r="Z487" s="24"/>
      <c r="AA487" s="24"/>
      <c r="AB487" s="24"/>
      <c r="AC487" s="24"/>
      <c r="AD487" s="182"/>
      <c r="AE487" s="182"/>
      <c r="AF487" s="182"/>
      <c r="AG487" s="175" t="s">
        <v>1552</v>
      </c>
      <c r="AH487" s="116" t="s">
        <v>1586</v>
      </c>
      <c r="AI487" s="116" t="s">
        <v>415</v>
      </c>
      <c r="AJ487" s="116" t="s">
        <v>416</v>
      </c>
      <c r="AK487" s="24"/>
      <c r="AL487" s="24"/>
      <c r="AM487" s="24"/>
    </row>
    <row r="488" spans="1:39" ht="12.75" customHeight="1">
      <c r="A488" s="22">
        <v>486</v>
      </c>
      <c r="B488" s="24" t="s">
        <v>1590</v>
      </c>
      <c r="C488" s="24" t="s">
        <v>96</v>
      </c>
      <c r="D488" s="24"/>
      <c r="E488" s="24" t="s">
        <v>1434</v>
      </c>
      <c r="F488" s="24">
        <v>1</v>
      </c>
      <c r="G488" s="24" t="s">
        <v>1308</v>
      </c>
      <c r="H488" s="24"/>
      <c r="I488" s="24"/>
      <c r="J488" s="126"/>
      <c r="K488" s="160" t="s">
        <v>1590</v>
      </c>
      <c r="L488" s="124" t="s">
        <v>1591</v>
      </c>
      <c r="M488" s="124" t="s">
        <v>1592</v>
      </c>
      <c r="N488" s="124" t="s">
        <v>202</v>
      </c>
      <c r="O488" s="126"/>
      <c r="P488" s="124"/>
      <c r="Q488" s="24"/>
      <c r="R488" s="24"/>
      <c r="S488" s="126"/>
      <c r="T488" s="124" t="s">
        <v>208</v>
      </c>
      <c r="U488" s="126"/>
      <c r="V488" s="126"/>
      <c r="W488" s="124" t="s">
        <v>1277</v>
      </c>
      <c r="X488" s="24"/>
      <c r="Y488" s="126"/>
      <c r="Z488" s="24"/>
      <c r="AA488" s="24"/>
      <c r="AB488" s="24"/>
      <c r="AC488" s="24"/>
      <c r="AD488" s="233"/>
      <c r="AE488" s="233"/>
      <c r="AF488" s="233"/>
      <c r="AG488" s="233"/>
      <c r="AH488" s="115" t="s">
        <v>115</v>
      </c>
      <c r="AI488" s="115" t="s">
        <v>1593</v>
      </c>
      <c r="AJ488" s="115" t="s">
        <v>1594</v>
      </c>
      <c r="AK488" s="24"/>
      <c r="AL488" s="24"/>
      <c r="AM488" s="24"/>
    </row>
    <row r="489" spans="1:39" ht="12.75" customHeight="1">
      <c r="A489" s="22">
        <v>487</v>
      </c>
      <c r="B489" s="24" t="s">
        <v>1468</v>
      </c>
      <c r="C489" s="24" t="s">
        <v>180</v>
      </c>
      <c r="D489" s="24" t="s">
        <v>1590</v>
      </c>
      <c r="E489" s="24" t="s">
        <v>1434</v>
      </c>
      <c r="F489" s="24">
        <v>1</v>
      </c>
      <c r="G489" s="24" t="s">
        <v>1308</v>
      </c>
      <c r="H489" s="24"/>
      <c r="I489" s="24"/>
      <c r="J489" s="126"/>
      <c r="K489" s="161"/>
      <c r="L489" s="124"/>
      <c r="M489" s="124"/>
      <c r="N489" s="161"/>
      <c r="O489" s="126" t="s">
        <v>1468</v>
      </c>
      <c r="P489" s="161"/>
      <c r="Q489" s="24"/>
      <c r="R489" s="24"/>
      <c r="S489" s="126"/>
      <c r="T489" s="124"/>
      <c r="U489" s="126"/>
      <c r="V489" s="126"/>
      <c r="W489" s="161"/>
      <c r="X489" s="24"/>
      <c r="Y489" s="126"/>
      <c r="Z489" s="24"/>
      <c r="AA489" s="24"/>
      <c r="AB489" s="24"/>
      <c r="AC489" s="24"/>
      <c r="AD489" s="182"/>
      <c r="AE489" s="182"/>
      <c r="AF489" s="182">
        <v>385660001</v>
      </c>
      <c r="AG489" s="182"/>
      <c r="AH489" s="115" t="s">
        <v>115</v>
      </c>
      <c r="AI489" s="115" t="s">
        <v>1469</v>
      </c>
      <c r="AJ489" s="115" t="s">
        <v>1470</v>
      </c>
      <c r="AK489" s="24"/>
      <c r="AL489" s="24"/>
      <c r="AM489" s="24"/>
    </row>
    <row r="490" spans="1:39" ht="12.75" customHeight="1">
      <c r="A490" s="22">
        <v>488</v>
      </c>
      <c r="B490" s="24" t="s">
        <v>1471</v>
      </c>
      <c r="C490" s="24" t="s">
        <v>180</v>
      </c>
      <c r="D490" s="24" t="s">
        <v>1590</v>
      </c>
      <c r="E490" s="24" t="s">
        <v>1434</v>
      </c>
      <c r="F490" s="24">
        <v>1</v>
      </c>
      <c r="G490" s="24" t="s">
        <v>1308</v>
      </c>
      <c r="H490" s="24"/>
      <c r="I490" s="24"/>
      <c r="J490" s="126"/>
      <c r="K490" s="161"/>
      <c r="L490" s="124"/>
      <c r="M490" s="124"/>
      <c r="N490" s="161"/>
      <c r="O490" s="160" t="s">
        <v>1471</v>
      </c>
      <c r="P490" s="161"/>
      <c r="Q490" s="24"/>
      <c r="R490" s="24"/>
      <c r="S490" s="126"/>
      <c r="T490" s="124"/>
      <c r="U490" s="126"/>
      <c r="V490" s="126"/>
      <c r="W490" s="161"/>
      <c r="X490" s="24"/>
      <c r="Y490" s="126"/>
      <c r="Z490" s="24"/>
      <c r="AA490" s="24"/>
      <c r="AB490" s="24"/>
      <c r="AC490" s="24"/>
      <c r="AD490" s="182"/>
      <c r="AE490" s="182"/>
      <c r="AF490" s="182">
        <v>17621005</v>
      </c>
      <c r="AG490" s="182"/>
      <c r="AH490" s="115" t="s">
        <v>115</v>
      </c>
      <c r="AI490" s="115" t="s">
        <v>1472</v>
      </c>
      <c r="AJ490" s="115" t="s">
        <v>1473</v>
      </c>
      <c r="AK490" s="24"/>
      <c r="AL490" s="24"/>
      <c r="AM490" s="24"/>
    </row>
    <row r="491" spans="1:39" ht="12.75" customHeight="1">
      <c r="A491" s="22">
        <v>489</v>
      </c>
      <c r="B491" s="24" t="s">
        <v>1474</v>
      </c>
      <c r="C491" s="24" t="s">
        <v>180</v>
      </c>
      <c r="D491" s="24" t="s">
        <v>1590</v>
      </c>
      <c r="E491" s="24" t="s">
        <v>1434</v>
      </c>
      <c r="F491" s="24">
        <v>1</v>
      </c>
      <c r="G491" s="24" t="s">
        <v>1308</v>
      </c>
      <c r="H491" s="24"/>
      <c r="I491" s="24"/>
      <c r="J491" s="126"/>
      <c r="K491" s="161"/>
      <c r="L491" s="124"/>
      <c r="M491" s="124"/>
      <c r="N491" s="161"/>
      <c r="O491" s="160" t="s">
        <v>1474</v>
      </c>
      <c r="P491" s="161"/>
      <c r="Q491" s="24"/>
      <c r="R491" s="24"/>
      <c r="S491" s="126"/>
      <c r="T491" s="124"/>
      <c r="U491" s="126"/>
      <c r="V491" s="126"/>
      <c r="W491" s="161"/>
      <c r="X491" s="24"/>
      <c r="Y491" s="126"/>
      <c r="Z491" s="24"/>
      <c r="AA491" s="24"/>
      <c r="AB491" s="24"/>
      <c r="AC491" s="24"/>
      <c r="AD491" s="182"/>
      <c r="AE491" s="182"/>
      <c r="AF491" s="118">
        <v>263654008</v>
      </c>
      <c r="AG491" s="182"/>
      <c r="AH491" s="115" t="s">
        <v>115</v>
      </c>
      <c r="AI491" s="115" t="s">
        <v>1475</v>
      </c>
      <c r="AJ491" s="115" t="s">
        <v>1476</v>
      </c>
      <c r="AK491" s="24"/>
      <c r="AL491" s="24"/>
      <c r="AM491" s="24"/>
    </row>
    <row r="492" spans="1:39" ht="12.75" customHeight="1">
      <c r="A492" s="22">
        <v>490</v>
      </c>
      <c r="B492" s="24" t="s">
        <v>1595</v>
      </c>
      <c r="C492" s="24" t="s">
        <v>96</v>
      </c>
      <c r="D492" s="24"/>
      <c r="E492" s="24" t="s">
        <v>1434</v>
      </c>
      <c r="F492" s="24">
        <v>1</v>
      </c>
      <c r="G492" s="24" t="s">
        <v>1308</v>
      </c>
      <c r="H492" s="24"/>
      <c r="I492" s="24"/>
      <c r="J492" s="126"/>
      <c r="K492" s="161" t="s">
        <v>1478</v>
      </c>
      <c r="L492" s="124" t="s">
        <v>1596</v>
      </c>
      <c r="M492" s="124" t="s">
        <v>1480</v>
      </c>
      <c r="N492" s="161" t="s">
        <v>238</v>
      </c>
      <c r="O492" s="160"/>
      <c r="P492" s="161"/>
      <c r="Q492" s="24"/>
      <c r="R492" s="24"/>
      <c r="S492" s="126"/>
      <c r="T492" s="124" t="s">
        <v>208</v>
      </c>
      <c r="U492" s="126"/>
      <c r="V492" s="126"/>
      <c r="W492" s="161" t="s">
        <v>115</v>
      </c>
      <c r="X492" s="24"/>
      <c r="Y492" s="126"/>
      <c r="Z492" s="24"/>
      <c r="AA492" s="24"/>
      <c r="AB492" s="24"/>
      <c r="AC492" s="24"/>
      <c r="AD492" s="182"/>
      <c r="AE492" s="182"/>
      <c r="AF492" s="118">
        <v>271911005</v>
      </c>
      <c r="AG492" s="182"/>
      <c r="AH492" s="115" t="s">
        <v>115</v>
      </c>
      <c r="AI492" s="115" t="s">
        <v>1597</v>
      </c>
      <c r="AJ492" s="115" t="s">
        <v>1598</v>
      </c>
      <c r="AK492" s="24"/>
      <c r="AL492" s="24"/>
      <c r="AM492" s="24"/>
    </row>
    <row r="493" spans="1:39" ht="12.75" customHeight="1">
      <c r="A493" s="22">
        <v>491</v>
      </c>
      <c r="B493" s="24" t="s">
        <v>1599</v>
      </c>
      <c r="C493" s="24" t="s">
        <v>180</v>
      </c>
      <c r="D493" s="24" t="s">
        <v>1595</v>
      </c>
      <c r="E493" s="24" t="s">
        <v>1434</v>
      </c>
      <c r="F493" s="24">
        <v>1</v>
      </c>
      <c r="G493" s="24" t="s">
        <v>1308</v>
      </c>
      <c r="H493" s="24"/>
      <c r="I493" s="24"/>
      <c r="J493" s="126"/>
      <c r="K493" s="161"/>
      <c r="L493" s="161"/>
      <c r="M493" s="161"/>
      <c r="N493" s="161"/>
      <c r="O493" s="160" t="s">
        <v>1599</v>
      </c>
      <c r="P493" s="161"/>
      <c r="Q493" s="24"/>
      <c r="R493" s="24"/>
      <c r="S493" s="126"/>
      <c r="T493" s="124"/>
      <c r="U493" s="126"/>
      <c r="V493" s="126"/>
      <c r="W493" s="161"/>
      <c r="X493" s="24"/>
      <c r="Y493" s="126"/>
      <c r="Z493" s="24"/>
      <c r="AA493" s="24"/>
      <c r="AB493" s="24"/>
      <c r="AC493" s="24"/>
      <c r="AD493" s="182"/>
      <c r="AE493" s="182"/>
      <c r="AF493" s="121">
        <v>271860004</v>
      </c>
      <c r="AG493" s="182"/>
      <c r="AH493" s="115" t="s">
        <v>115</v>
      </c>
      <c r="AI493" s="115" t="s">
        <v>1600</v>
      </c>
      <c r="AJ493" s="115" t="s">
        <v>1601</v>
      </c>
      <c r="AK493" s="24"/>
      <c r="AL493" s="24"/>
      <c r="AM493" s="24"/>
    </row>
    <row r="494" spans="1:39" ht="12.75" customHeight="1">
      <c r="A494" s="22">
        <v>492</v>
      </c>
      <c r="B494" s="24" t="s">
        <v>1602</v>
      </c>
      <c r="C494" s="24" t="s">
        <v>180</v>
      </c>
      <c r="D494" s="24" t="s">
        <v>1595</v>
      </c>
      <c r="E494" s="24" t="s">
        <v>1434</v>
      </c>
      <c r="F494" s="24">
        <v>1</v>
      </c>
      <c r="G494" s="24" t="s">
        <v>1308</v>
      </c>
      <c r="H494" s="24"/>
      <c r="I494" s="24"/>
      <c r="J494" s="126"/>
      <c r="K494" s="161"/>
      <c r="L494" s="161"/>
      <c r="M494" s="161"/>
      <c r="N494" s="161"/>
      <c r="O494" s="160" t="s">
        <v>1602</v>
      </c>
      <c r="P494" s="161"/>
      <c r="Q494" s="24"/>
      <c r="R494" s="24"/>
      <c r="S494" s="126"/>
      <c r="T494" s="124"/>
      <c r="U494" s="126"/>
      <c r="V494" s="126"/>
      <c r="W494" s="161"/>
      <c r="X494" s="24"/>
      <c r="Y494" s="126"/>
      <c r="Z494" s="24"/>
      <c r="AA494" s="24"/>
      <c r="AB494" s="24"/>
      <c r="AC494" s="24"/>
      <c r="AD494" s="182"/>
      <c r="AE494" s="182"/>
      <c r="AF494" s="182"/>
      <c r="AG494" s="182"/>
      <c r="AH494" s="115" t="s">
        <v>115</v>
      </c>
      <c r="AI494" s="115" t="s">
        <v>1603</v>
      </c>
      <c r="AJ494" s="115" t="s">
        <v>1604</v>
      </c>
      <c r="AK494" s="24"/>
      <c r="AL494" s="24"/>
      <c r="AM494" s="24"/>
    </row>
    <row r="495" spans="1:39" ht="12.75" customHeight="1">
      <c r="A495" s="22">
        <v>493</v>
      </c>
      <c r="B495" s="24" t="s">
        <v>1605</v>
      </c>
      <c r="C495" s="24" t="s">
        <v>180</v>
      </c>
      <c r="D495" s="24" t="s">
        <v>1595</v>
      </c>
      <c r="E495" s="24" t="s">
        <v>1434</v>
      </c>
      <c r="F495" s="24">
        <v>1</v>
      </c>
      <c r="G495" s="24" t="s">
        <v>1308</v>
      </c>
      <c r="H495" s="24"/>
      <c r="I495" s="24"/>
      <c r="J495" s="126"/>
      <c r="K495" s="161"/>
      <c r="L495" s="161"/>
      <c r="M495" s="161"/>
      <c r="N495" s="161"/>
      <c r="O495" s="160" t="s">
        <v>1605</v>
      </c>
      <c r="P495" s="161"/>
      <c r="Q495" s="24"/>
      <c r="R495" s="24"/>
      <c r="S495" s="126"/>
      <c r="T495" s="124"/>
      <c r="U495" s="126"/>
      <c r="V495" s="126"/>
      <c r="W495" s="161"/>
      <c r="X495" s="24"/>
      <c r="Y495" s="126"/>
      <c r="Z495" s="24"/>
      <c r="AA495" s="24"/>
      <c r="AB495" s="24"/>
      <c r="AC495" s="24"/>
      <c r="AD495" s="182"/>
      <c r="AE495" s="182"/>
      <c r="AF495" s="182"/>
      <c r="AG495" s="182"/>
      <c r="AH495" s="115" t="s">
        <v>115</v>
      </c>
      <c r="AI495" s="115" t="s">
        <v>1606</v>
      </c>
      <c r="AJ495" s="115" t="s">
        <v>1607</v>
      </c>
      <c r="AK495" s="24"/>
      <c r="AL495" s="24"/>
      <c r="AM495" s="24"/>
    </row>
    <row r="496" spans="1:39" ht="12.75" customHeight="1">
      <c r="A496" s="22">
        <v>494</v>
      </c>
      <c r="B496" s="24" t="s">
        <v>1608</v>
      </c>
      <c r="C496" s="24" t="s">
        <v>180</v>
      </c>
      <c r="D496" s="24" t="s">
        <v>1595</v>
      </c>
      <c r="E496" s="24" t="s">
        <v>1434</v>
      </c>
      <c r="F496" s="24">
        <v>1</v>
      </c>
      <c r="G496" s="24" t="s">
        <v>1308</v>
      </c>
      <c r="H496" s="24"/>
      <c r="I496" s="24"/>
      <c r="J496" s="126"/>
      <c r="K496" s="161"/>
      <c r="L496" s="161"/>
      <c r="M496" s="161"/>
      <c r="N496" s="161"/>
      <c r="O496" s="160" t="s">
        <v>1608</v>
      </c>
      <c r="P496" s="161"/>
      <c r="Q496" s="24"/>
      <c r="R496" s="24"/>
      <c r="S496" s="126"/>
      <c r="T496" s="124"/>
      <c r="U496" s="126"/>
      <c r="V496" s="126"/>
      <c r="W496" s="161"/>
      <c r="X496" s="24"/>
      <c r="Y496" s="126"/>
      <c r="Z496" s="24"/>
      <c r="AA496" s="24"/>
      <c r="AB496" s="24"/>
      <c r="AC496" s="24"/>
      <c r="AD496" s="182"/>
      <c r="AE496" s="182"/>
      <c r="AF496" s="182"/>
      <c r="AG496" s="182"/>
      <c r="AH496" s="115" t="s">
        <v>115</v>
      </c>
      <c r="AI496" s="115" t="s">
        <v>1609</v>
      </c>
      <c r="AJ496" s="115" t="s">
        <v>1610</v>
      </c>
      <c r="AK496" s="24"/>
      <c r="AL496" s="24"/>
      <c r="AM496" s="24"/>
    </row>
    <row r="497" spans="1:39" ht="12.75" customHeight="1">
      <c r="A497" s="22">
        <v>495</v>
      </c>
      <c r="B497" s="24" t="s">
        <v>405</v>
      </c>
      <c r="C497" s="24" t="s">
        <v>180</v>
      </c>
      <c r="D497" s="24" t="s">
        <v>1595</v>
      </c>
      <c r="E497" s="24" t="s">
        <v>1434</v>
      </c>
      <c r="F497" s="24">
        <v>1</v>
      </c>
      <c r="G497" s="24" t="s">
        <v>1308</v>
      </c>
      <c r="H497" s="24"/>
      <c r="I497" s="24"/>
      <c r="J497" s="126"/>
      <c r="K497" s="161"/>
      <c r="L497" s="161"/>
      <c r="M497" s="161"/>
      <c r="N497" s="161"/>
      <c r="O497" s="160" t="s">
        <v>405</v>
      </c>
      <c r="P497" s="161"/>
      <c r="Q497" s="24"/>
      <c r="R497" s="24"/>
      <c r="S497" s="126"/>
      <c r="T497" s="124"/>
      <c r="U497" s="126"/>
      <c r="V497" s="126"/>
      <c r="W497" s="161"/>
      <c r="X497" s="24"/>
      <c r="Y497" s="126"/>
      <c r="Z497" s="24"/>
      <c r="AA497" s="24"/>
      <c r="AB497" s="24"/>
      <c r="AC497" s="24"/>
      <c r="AD497" s="182"/>
      <c r="AE497" s="182"/>
      <c r="AF497" s="182"/>
      <c r="AG497" s="182"/>
      <c r="AH497" s="115" t="s">
        <v>1611</v>
      </c>
      <c r="AI497" s="116" t="s">
        <v>406</v>
      </c>
      <c r="AJ497" s="116" t="s">
        <v>407</v>
      </c>
      <c r="AK497" s="24"/>
      <c r="AL497" s="24"/>
      <c r="AM497" s="24"/>
    </row>
    <row r="498" spans="1:39" ht="12.75" customHeight="1">
      <c r="A498" s="22">
        <v>496</v>
      </c>
      <c r="B498" s="24" t="s">
        <v>1612</v>
      </c>
      <c r="C498" s="24" t="s">
        <v>96</v>
      </c>
      <c r="D498" s="24"/>
      <c r="E498" s="24" t="s">
        <v>1434</v>
      </c>
      <c r="F498" s="24">
        <v>1</v>
      </c>
      <c r="G498" s="24" t="s">
        <v>1308</v>
      </c>
      <c r="H498" s="24"/>
      <c r="I498" s="24"/>
      <c r="J498" s="126"/>
      <c r="K498" s="160" t="s">
        <v>409</v>
      </c>
      <c r="L498" s="160" t="s">
        <v>1613</v>
      </c>
      <c r="M498" s="160" t="s">
        <v>1614</v>
      </c>
      <c r="N498" s="160" t="s">
        <v>111</v>
      </c>
      <c r="O498" s="161"/>
      <c r="P498" s="161"/>
      <c r="Q498" s="24"/>
      <c r="R498" s="24"/>
      <c r="S498" s="126"/>
      <c r="T498" s="160" t="s">
        <v>208</v>
      </c>
      <c r="U498" s="126"/>
      <c r="V498" s="126"/>
      <c r="W498" s="160" t="s">
        <v>115</v>
      </c>
      <c r="X498" s="24"/>
      <c r="Y498" s="126"/>
      <c r="Z498" s="24"/>
      <c r="AA498" s="24"/>
      <c r="AB498" s="24"/>
      <c r="AC498" s="24"/>
      <c r="AD498" s="182"/>
      <c r="AE498" s="182"/>
      <c r="AF498" s="182"/>
      <c r="AG498" s="182"/>
      <c r="AH498" s="116" t="s">
        <v>1611</v>
      </c>
      <c r="AI498" s="116" t="s">
        <v>415</v>
      </c>
      <c r="AJ498" s="116" t="s">
        <v>416</v>
      </c>
      <c r="AK498" s="24"/>
      <c r="AL498" s="24"/>
      <c r="AM498" s="24"/>
    </row>
    <row r="499" spans="1:39" ht="12.75" customHeight="1">
      <c r="A499" s="22">
        <v>497</v>
      </c>
      <c r="B499" s="24" t="s">
        <v>1615</v>
      </c>
      <c r="C499" s="24" t="s">
        <v>96</v>
      </c>
      <c r="D499" s="24"/>
      <c r="E499" s="24" t="s">
        <v>1434</v>
      </c>
      <c r="F499" s="24">
        <v>1</v>
      </c>
      <c r="G499" s="24" t="s">
        <v>1308</v>
      </c>
      <c r="H499" s="24"/>
      <c r="I499" s="24"/>
      <c r="J499" s="126"/>
      <c r="K499" s="160" t="s">
        <v>1615</v>
      </c>
      <c r="L499" s="124" t="s">
        <v>1616</v>
      </c>
      <c r="M499" s="124" t="s">
        <v>1617</v>
      </c>
      <c r="N499" s="124" t="s">
        <v>202</v>
      </c>
      <c r="O499" s="126"/>
      <c r="P499" s="124"/>
      <c r="Q499" s="24"/>
      <c r="R499" s="24"/>
      <c r="S499" s="126"/>
      <c r="T499" s="124" t="s">
        <v>208</v>
      </c>
      <c r="U499" s="126"/>
      <c r="V499" s="126"/>
      <c r="W499" s="124" t="s">
        <v>1277</v>
      </c>
      <c r="X499" s="24"/>
      <c r="Y499" s="126"/>
      <c r="Z499" s="24"/>
      <c r="AA499" s="24"/>
      <c r="AB499" s="24"/>
      <c r="AC499" s="24"/>
      <c r="AD499" s="182"/>
      <c r="AE499" s="182"/>
      <c r="AF499" s="182"/>
      <c r="AG499" s="182"/>
      <c r="AH499" s="115" t="s">
        <v>115</v>
      </c>
      <c r="AI499" s="115" t="s">
        <v>1618</v>
      </c>
      <c r="AJ499" s="115" t="s">
        <v>1619</v>
      </c>
      <c r="AK499" s="24"/>
      <c r="AL499" s="24"/>
      <c r="AM499" s="24"/>
    </row>
    <row r="500" spans="1:39" ht="12.75" customHeight="1">
      <c r="A500" s="22">
        <v>498</v>
      </c>
      <c r="B500" s="24" t="s">
        <v>1468</v>
      </c>
      <c r="C500" s="24" t="s">
        <v>180</v>
      </c>
      <c r="D500" s="24" t="s">
        <v>1615</v>
      </c>
      <c r="E500" s="24" t="s">
        <v>1434</v>
      </c>
      <c r="F500" s="24">
        <v>1</v>
      </c>
      <c r="G500" s="24" t="s">
        <v>1308</v>
      </c>
      <c r="H500" s="24"/>
      <c r="I500" s="24"/>
      <c r="J500" s="126"/>
      <c r="K500" s="161"/>
      <c r="L500" s="124"/>
      <c r="M500" s="124"/>
      <c r="N500" s="124"/>
      <c r="O500" s="126" t="s">
        <v>1468</v>
      </c>
      <c r="P500" s="124"/>
      <c r="Q500" s="24"/>
      <c r="R500" s="24"/>
      <c r="S500" s="126"/>
      <c r="T500" s="124"/>
      <c r="U500" s="126"/>
      <c r="V500" s="126"/>
      <c r="W500" s="124"/>
      <c r="X500" s="24"/>
      <c r="Y500" s="126"/>
      <c r="Z500" s="24"/>
      <c r="AA500" s="24"/>
      <c r="AB500" s="24"/>
      <c r="AC500" s="24"/>
      <c r="AD500" s="182"/>
      <c r="AE500" s="182"/>
      <c r="AF500" s="182">
        <v>385660001</v>
      </c>
      <c r="AG500" s="182"/>
      <c r="AH500" s="115" t="s">
        <v>115</v>
      </c>
      <c r="AI500" s="115" t="s">
        <v>1469</v>
      </c>
      <c r="AJ500" s="115" t="s">
        <v>1470</v>
      </c>
      <c r="AK500" s="24"/>
      <c r="AL500" s="24"/>
      <c r="AM500" s="24"/>
    </row>
    <row r="501" spans="1:39" ht="12.75" customHeight="1">
      <c r="A501" s="22">
        <v>499</v>
      </c>
      <c r="B501" s="24" t="s">
        <v>1471</v>
      </c>
      <c r="C501" s="24" t="s">
        <v>180</v>
      </c>
      <c r="D501" s="24" t="s">
        <v>1615</v>
      </c>
      <c r="E501" s="24" t="s">
        <v>1434</v>
      </c>
      <c r="F501" s="24">
        <v>1</v>
      </c>
      <c r="G501" s="24" t="s">
        <v>1308</v>
      </c>
      <c r="H501" s="24"/>
      <c r="I501" s="24"/>
      <c r="J501" s="126"/>
      <c r="K501" s="161"/>
      <c r="L501" s="124"/>
      <c r="M501" s="124"/>
      <c r="N501" s="124"/>
      <c r="O501" s="160" t="s">
        <v>1471</v>
      </c>
      <c r="P501" s="124"/>
      <c r="Q501" s="24"/>
      <c r="R501" s="24"/>
      <c r="S501" s="126"/>
      <c r="T501" s="124"/>
      <c r="U501" s="126"/>
      <c r="V501" s="126"/>
      <c r="W501" s="124"/>
      <c r="X501" s="24"/>
      <c r="Y501" s="126"/>
      <c r="Z501" s="24"/>
      <c r="AA501" s="24"/>
      <c r="AB501" s="24"/>
      <c r="AC501" s="24"/>
      <c r="AD501" s="182"/>
      <c r="AE501" s="182"/>
      <c r="AF501" s="182">
        <v>17621005</v>
      </c>
      <c r="AG501" s="182"/>
      <c r="AH501" s="115" t="s">
        <v>115</v>
      </c>
      <c r="AI501" s="115" t="s">
        <v>1472</v>
      </c>
      <c r="AJ501" s="115" t="s">
        <v>1473</v>
      </c>
      <c r="AK501" s="24"/>
      <c r="AL501" s="24"/>
      <c r="AM501" s="24"/>
    </row>
    <row r="502" spans="1:39" ht="12.75" customHeight="1">
      <c r="A502" s="22">
        <v>500</v>
      </c>
      <c r="B502" s="24" t="s">
        <v>1474</v>
      </c>
      <c r="C502" s="24" t="s">
        <v>180</v>
      </c>
      <c r="D502" s="24" t="s">
        <v>1615</v>
      </c>
      <c r="E502" s="24" t="s">
        <v>1434</v>
      </c>
      <c r="F502" s="24">
        <v>1</v>
      </c>
      <c r="G502" s="24" t="s">
        <v>1308</v>
      </c>
      <c r="H502" s="24"/>
      <c r="I502" s="24"/>
      <c r="J502" s="126"/>
      <c r="K502" s="161"/>
      <c r="L502" s="124"/>
      <c r="M502" s="124"/>
      <c r="N502" s="124"/>
      <c r="O502" s="160" t="s">
        <v>1474</v>
      </c>
      <c r="P502" s="124"/>
      <c r="Q502" s="24"/>
      <c r="R502" s="24"/>
      <c r="S502" s="126"/>
      <c r="T502" s="124"/>
      <c r="U502" s="126"/>
      <c r="V502" s="126"/>
      <c r="W502" s="124"/>
      <c r="X502" s="24"/>
      <c r="Y502" s="126"/>
      <c r="Z502" s="24"/>
      <c r="AA502" s="24"/>
      <c r="AB502" s="24"/>
      <c r="AC502" s="24"/>
      <c r="AD502" s="182"/>
      <c r="AE502" s="182"/>
      <c r="AF502" s="113">
        <v>263654008</v>
      </c>
      <c r="AG502" s="182"/>
      <c r="AH502" s="115" t="s">
        <v>115</v>
      </c>
      <c r="AI502" s="115" t="s">
        <v>1475</v>
      </c>
      <c r="AJ502" s="115" t="s">
        <v>1476</v>
      </c>
      <c r="AK502" s="24"/>
      <c r="AL502" s="24"/>
      <c r="AM502" s="24"/>
    </row>
    <row r="503" spans="1:39" ht="12.75" customHeight="1">
      <c r="A503" s="22">
        <v>501</v>
      </c>
      <c r="B503" s="24" t="s">
        <v>1620</v>
      </c>
      <c r="C503" s="24" t="s">
        <v>96</v>
      </c>
      <c r="D503" s="24"/>
      <c r="E503" s="24" t="s">
        <v>1434</v>
      </c>
      <c r="F503" s="24">
        <v>1</v>
      </c>
      <c r="G503" s="24" t="s">
        <v>1308</v>
      </c>
      <c r="H503" s="24"/>
      <c r="I503" s="24"/>
      <c r="J503" s="126"/>
      <c r="K503" s="161" t="s">
        <v>1478</v>
      </c>
      <c r="L503" s="124" t="s">
        <v>1621</v>
      </c>
      <c r="M503" s="124" t="s">
        <v>1480</v>
      </c>
      <c r="N503" s="124" t="s">
        <v>238</v>
      </c>
      <c r="O503" s="126"/>
      <c r="P503" s="124"/>
      <c r="Q503" s="24"/>
      <c r="R503" s="24"/>
      <c r="S503" s="126"/>
      <c r="T503" s="124" t="s">
        <v>208</v>
      </c>
      <c r="U503" s="126"/>
      <c r="V503" s="126"/>
      <c r="W503" s="124" t="s">
        <v>115</v>
      </c>
      <c r="X503" s="24"/>
      <c r="Y503" s="126"/>
      <c r="Z503" s="24"/>
      <c r="AA503" s="24"/>
      <c r="AB503" s="24"/>
      <c r="AC503" s="24"/>
      <c r="AD503" s="233"/>
      <c r="AE503" s="233"/>
      <c r="AF503" s="233"/>
      <c r="AG503" s="233"/>
      <c r="AH503" s="115" t="s">
        <v>115</v>
      </c>
      <c r="AI503" s="115" t="s">
        <v>1622</v>
      </c>
      <c r="AJ503" s="115" t="s">
        <v>1623</v>
      </c>
      <c r="AK503" s="24"/>
      <c r="AL503" s="24"/>
      <c r="AM503" s="24"/>
    </row>
    <row r="504" spans="1:39" ht="12.75" customHeight="1">
      <c r="A504" s="22">
        <v>502</v>
      </c>
      <c r="B504" s="24" t="s">
        <v>1624</v>
      </c>
      <c r="C504" s="24" t="s">
        <v>180</v>
      </c>
      <c r="D504" s="24" t="s">
        <v>1620</v>
      </c>
      <c r="E504" s="24" t="s">
        <v>1434</v>
      </c>
      <c r="F504" s="24">
        <v>1</v>
      </c>
      <c r="G504" s="24" t="s">
        <v>1308</v>
      </c>
      <c r="H504" s="24"/>
      <c r="I504" s="24"/>
      <c r="J504" s="126"/>
      <c r="K504" s="161"/>
      <c r="L504" s="161"/>
      <c r="M504" s="161"/>
      <c r="N504" s="161"/>
      <c r="O504" s="126" t="s">
        <v>1624</v>
      </c>
      <c r="P504" s="161"/>
      <c r="Q504" s="24"/>
      <c r="R504" s="24"/>
      <c r="S504" s="126"/>
      <c r="T504" s="124"/>
      <c r="U504" s="126"/>
      <c r="V504" s="126"/>
      <c r="W504" s="161"/>
      <c r="X504" s="24"/>
      <c r="Y504" s="126"/>
      <c r="Z504" s="24"/>
      <c r="AA504" s="24"/>
      <c r="AB504" s="24"/>
      <c r="AC504" s="24"/>
      <c r="AD504" s="233"/>
      <c r="AE504" s="233"/>
      <c r="AF504" s="233"/>
      <c r="AG504" s="233"/>
      <c r="AH504" s="115" t="s">
        <v>115</v>
      </c>
      <c r="AI504" s="115" t="s">
        <v>1625</v>
      </c>
      <c r="AJ504" s="115" t="s">
        <v>1626</v>
      </c>
      <c r="AK504" s="24"/>
      <c r="AL504" s="24"/>
      <c r="AM504" s="24"/>
    </row>
    <row r="505" spans="1:39" ht="12.75" customHeight="1">
      <c r="A505" s="22">
        <v>503</v>
      </c>
      <c r="B505" s="24" t="s">
        <v>239</v>
      </c>
      <c r="C505" s="24" t="s">
        <v>180</v>
      </c>
      <c r="D505" s="24" t="s">
        <v>1620</v>
      </c>
      <c r="E505" s="24" t="s">
        <v>1434</v>
      </c>
      <c r="F505" s="24">
        <v>1</v>
      </c>
      <c r="G505" s="24" t="s">
        <v>1308</v>
      </c>
      <c r="H505" s="24"/>
      <c r="I505" s="24"/>
      <c r="J505" s="126"/>
      <c r="K505" s="161"/>
      <c r="L505" s="161"/>
      <c r="M505" s="161"/>
      <c r="N505" s="161"/>
      <c r="O505" s="160" t="s">
        <v>239</v>
      </c>
      <c r="P505" s="161"/>
      <c r="Q505" s="24"/>
      <c r="R505" s="24"/>
      <c r="S505" s="126"/>
      <c r="T505" s="124"/>
      <c r="U505" s="126"/>
      <c r="V505" s="126"/>
      <c r="W505" s="161"/>
      <c r="X505" s="24"/>
      <c r="Y505" s="126"/>
      <c r="Z505" s="24"/>
      <c r="AA505" s="24"/>
      <c r="AB505" s="24"/>
      <c r="AC505" s="24"/>
      <c r="AD505" s="175" t="s">
        <v>1627</v>
      </c>
      <c r="AE505" s="182"/>
      <c r="AF505" s="113">
        <v>289567003</v>
      </c>
      <c r="AG505" s="182"/>
      <c r="AH505" s="115" t="s">
        <v>115</v>
      </c>
      <c r="AI505" s="115" t="s">
        <v>240</v>
      </c>
      <c r="AJ505" s="115" t="s">
        <v>241</v>
      </c>
      <c r="AK505" s="24"/>
      <c r="AL505" s="24"/>
      <c r="AM505" s="24"/>
    </row>
    <row r="506" spans="1:39" ht="12.75" customHeight="1">
      <c r="A506" s="22">
        <v>504</v>
      </c>
      <c r="B506" s="24" t="s">
        <v>1628</v>
      </c>
      <c r="C506" s="24" t="s">
        <v>180</v>
      </c>
      <c r="D506" s="24" t="s">
        <v>1620</v>
      </c>
      <c r="E506" s="24" t="s">
        <v>1434</v>
      </c>
      <c r="F506" s="24">
        <v>1</v>
      </c>
      <c r="G506" s="24" t="s">
        <v>1308</v>
      </c>
      <c r="H506" s="24"/>
      <c r="I506" s="24"/>
      <c r="J506" s="126"/>
      <c r="K506" s="161"/>
      <c r="L506" s="161"/>
      <c r="M506" s="161"/>
      <c r="N506" s="161"/>
      <c r="O506" s="160" t="s">
        <v>1628</v>
      </c>
      <c r="P506" s="161"/>
      <c r="Q506" s="24"/>
      <c r="R506" s="24"/>
      <c r="S506" s="126"/>
      <c r="T506" s="124"/>
      <c r="U506" s="126"/>
      <c r="V506" s="126"/>
      <c r="W506" s="161"/>
      <c r="X506" s="24"/>
      <c r="Y506" s="126"/>
      <c r="Z506" s="24"/>
      <c r="AA506" s="24"/>
      <c r="AB506" s="24"/>
      <c r="AC506" s="24"/>
      <c r="AD506" s="182"/>
      <c r="AE506" s="182"/>
      <c r="AF506" s="113">
        <v>371380006</v>
      </c>
      <c r="AG506" s="182"/>
      <c r="AH506" s="115" t="s">
        <v>115</v>
      </c>
      <c r="AI506" s="115" t="s">
        <v>1630</v>
      </c>
      <c r="AJ506" s="115" t="s">
        <v>297</v>
      </c>
      <c r="AK506" s="24"/>
      <c r="AL506" s="24"/>
      <c r="AM506" s="24"/>
    </row>
    <row r="507" spans="1:39" ht="12.75" customHeight="1">
      <c r="A507" s="22">
        <v>505</v>
      </c>
      <c r="B507" s="24" t="s">
        <v>1631</v>
      </c>
      <c r="C507" s="24" t="s">
        <v>180</v>
      </c>
      <c r="D507" s="24" t="s">
        <v>1620</v>
      </c>
      <c r="E507" s="24" t="s">
        <v>1434</v>
      </c>
      <c r="F507" s="24">
        <v>1</v>
      </c>
      <c r="G507" s="24" t="s">
        <v>1308</v>
      </c>
      <c r="H507" s="24"/>
      <c r="I507" s="24"/>
      <c r="J507" s="126"/>
      <c r="K507" s="161"/>
      <c r="L507" s="161"/>
      <c r="M507" s="161"/>
      <c r="N507" s="161"/>
      <c r="O507" s="160" t="s">
        <v>1631</v>
      </c>
      <c r="P507" s="161"/>
      <c r="Q507" s="24"/>
      <c r="R507" s="24"/>
      <c r="S507" s="126"/>
      <c r="T507" s="124"/>
      <c r="U507" s="126"/>
      <c r="V507" s="126"/>
      <c r="W507" s="161"/>
      <c r="X507" s="24"/>
      <c r="Y507" s="126"/>
      <c r="Z507" s="24"/>
      <c r="AA507" s="24"/>
      <c r="AB507" s="24"/>
      <c r="AC507" s="24"/>
      <c r="AD507" s="182"/>
      <c r="AE507" s="182"/>
      <c r="AF507" s="182"/>
      <c r="AG507" s="182"/>
      <c r="AH507" s="115" t="s">
        <v>115</v>
      </c>
      <c r="AI507" s="115" t="s">
        <v>1633</v>
      </c>
      <c r="AJ507" s="115" t="s">
        <v>1634</v>
      </c>
      <c r="AK507" s="24"/>
      <c r="AL507" s="24"/>
      <c r="AM507" s="24"/>
    </row>
    <row r="508" spans="1:39" ht="12.75" customHeight="1">
      <c r="A508" s="22">
        <v>506</v>
      </c>
      <c r="B508" s="24" t="s">
        <v>1635</v>
      </c>
      <c r="C508" s="24" t="s">
        <v>180</v>
      </c>
      <c r="D508" s="24" t="s">
        <v>1620</v>
      </c>
      <c r="E508" s="24" t="s">
        <v>1434</v>
      </c>
      <c r="F508" s="24">
        <v>1</v>
      </c>
      <c r="G508" s="24" t="s">
        <v>1308</v>
      </c>
      <c r="H508" s="24"/>
      <c r="I508" s="24"/>
      <c r="J508" s="126"/>
      <c r="K508" s="161"/>
      <c r="L508" s="161"/>
      <c r="M508" s="161"/>
      <c r="N508" s="161"/>
      <c r="O508" s="160" t="s">
        <v>1635</v>
      </c>
      <c r="P508" s="161"/>
      <c r="Q508" s="24"/>
      <c r="R508" s="24"/>
      <c r="S508" s="126"/>
      <c r="T508" s="124"/>
      <c r="U508" s="126"/>
      <c r="V508" s="126"/>
      <c r="W508" s="161"/>
      <c r="X508" s="24"/>
      <c r="Y508" s="126"/>
      <c r="Z508" s="24"/>
      <c r="AA508" s="24"/>
      <c r="AB508" s="24"/>
      <c r="AC508" s="24"/>
      <c r="AD508" s="182"/>
      <c r="AE508" s="182"/>
      <c r="AF508" s="182"/>
      <c r="AG508" s="182"/>
      <c r="AH508" s="115" t="s">
        <v>115</v>
      </c>
      <c r="AI508" s="115" t="s">
        <v>1636</v>
      </c>
      <c r="AJ508" s="115" t="s">
        <v>1637</v>
      </c>
      <c r="AK508" s="24"/>
      <c r="AL508" s="24"/>
      <c r="AM508" s="24"/>
    </row>
    <row r="509" spans="1:39" ht="12.75" customHeight="1">
      <c r="A509" s="22">
        <v>507</v>
      </c>
      <c r="B509" s="24" t="s">
        <v>1638</v>
      </c>
      <c r="C509" s="24" t="s">
        <v>180</v>
      </c>
      <c r="D509" s="24" t="s">
        <v>1620</v>
      </c>
      <c r="E509" s="24" t="s">
        <v>1434</v>
      </c>
      <c r="F509" s="24">
        <v>1</v>
      </c>
      <c r="G509" s="24" t="s">
        <v>1308</v>
      </c>
      <c r="H509" s="24"/>
      <c r="I509" s="24"/>
      <c r="J509" s="126"/>
      <c r="K509" s="161"/>
      <c r="L509" s="161"/>
      <c r="M509" s="161"/>
      <c r="N509" s="161"/>
      <c r="O509" s="160" t="s">
        <v>1638</v>
      </c>
      <c r="P509" s="161"/>
      <c r="Q509" s="24"/>
      <c r="R509" s="24"/>
      <c r="S509" s="126"/>
      <c r="T509" s="124"/>
      <c r="U509" s="126"/>
      <c r="V509" s="126"/>
      <c r="W509" s="161"/>
      <c r="X509" s="24"/>
      <c r="Y509" s="126"/>
      <c r="Z509" s="24"/>
      <c r="AA509" s="24"/>
      <c r="AB509" s="24"/>
      <c r="AC509" s="24"/>
      <c r="AD509" s="182"/>
      <c r="AE509" s="182"/>
      <c r="AF509" s="182"/>
      <c r="AG509" s="182"/>
      <c r="AH509" s="115" t="s">
        <v>115</v>
      </c>
      <c r="AI509" s="115" t="s">
        <v>1640</v>
      </c>
      <c r="AJ509" s="115" t="s">
        <v>1641</v>
      </c>
      <c r="AK509" s="24"/>
      <c r="AL509" s="24"/>
      <c r="AM509" s="24"/>
    </row>
    <row r="510" spans="1:39" ht="12.75" customHeight="1">
      <c r="A510" s="22">
        <v>508</v>
      </c>
      <c r="B510" s="24" t="s">
        <v>1642</v>
      </c>
      <c r="C510" s="24" t="s">
        <v>180</v>
      </c>
      <c r="D510" s="24" t="s">
        <v>1620</v>
      </c>
      <c r="E510" s="24" t="s">
        <v>1434</v>
      </c>
      <c r="F510" s="24">
        <v>1</v>
      </c>
      <c r="G510" s="24" t="s">
        <v>1308</v>
      </c>
      <c r="H510" s="24"/>
      <c r="I510" s="24"/>
      <c r="J510" s="126"/>
      <c r="K510" s="161"/>
      <c r="L510" s="161"/>
      <c r="M510" s="161"/>
      <c r="N510" s="161"/>
      <c r="O510" s="160" t="s">
        <v>1642</v>
      </c>
      <c r="P510" s="161"/>
      <c r="Q510" s="24"/>
      <c r="R510" s="24"/>
      <c r="S510" s="126"/>
      <c r="T510" s="124"/>
      <c r="U510" s="126"/>
      <c r="V510" s="126"/>
      <c r="W510" s="161"/>
      <c r="X510" s="24"/>
      <c r="Y510" s="126"/>
      <c r="Z510" s="24"/>
      <c r="AA510" s="24"/>
      <c r="AB510" s="24"/>
      <c r="AC510" s="24"/>
      <c r="AD510" s="182"/>
      <c r="AE510" s="182"/>
      <c r="AF510" s="182"/>
      <c r="AG510" s="182"/>
      <c r="AH510" s="115" t="s">
        <v>115</v>
      </c>
      <c r="AI510" s="115" t="s">
        <v>1643</v>
      </c>
      <c r="AJ510" s="115" t="s">
        <v>1644</v>
      </c>
      <c r="AK510" s="24"/>
      <c r="AL510" s="24"/>
      <c r="AM510" s="24"/>
    </row>
    <row r="511" spans="1:39" ht="12.75" customHeight="1">
      <c r="A511" s="22">
        <v>509</v>
      </c>
      <c r="B511" s="24" t="s">
        <v>1645</v>
      </c>
      <c r="C511" s="24" t="s">
        <v>180</v>
      </c>
      <c r="D511" s="24" t="s">
        <v>1620</v>
      </c>
      <c r="E511" s="24" t="s">
        <v>1434</v>
      </c>
      <c r="F511" s="24">
        <v>1</v>
      </c>
      <c r="G511" s="24" t="s">
        <v>1308</v>
      </c>
      <c r="H511" s="24"/>
      <c r="I511" s="24"/>
      <c r="J511" s="126"/>
      <c r="K511" s="161"/>
      <c r="L511" s="161"/>
      <c r="M511" s="161"/>
      <c r="N511" s="161"/>
      <c r="O511" s="160" t="s">
        <v>1645</v>
      </c>
      <c r="P511" s="161"/>
      <c r="Q511" s="24"/>
      <c r="R511" s="24"/>
      <c r="S511" s="126"/>
      <c r="T511" s="124"/>
      <c r="U511" s="126"/>
      <c r="V511" s="126"/>
      <c r="W511" s="161"/>
      <c r="X511" s="24"/>
      <c r="Y511" s="126"/>
      <c r="Z511" s="24"/>
      <c r="AA511" s="24"/>
      <c r="AB511" s="24"/>
      <c r="AC511" s="24"/>
      <c r="AD511" s="182"/>
      <c r="AE511" s="182"/>
      <c r="AF511" s="182"/>
      <c r="AG511" s="182"/>
      <c r="AH511" s="115" t="s">
        <v>115</v>
      </c>
      <c r="AI511" s="115" t="s">
        <v>1647</v>
      </c>
      <c r="AJ511" s="115" t="s">
        <v>1648</v>
      </c>
      <c r="AK511" s="24"/>
      <c r="AL511" s="24"/>
      <c r="AM511" s="24"/>
    </row>
    <row r="512" spans="1:39" ht="12.75" customHeight="1">
      <c r="A512" s="22">
        <v>510</v>
      </c>
      <c r="B512" s="24" t="s">
        <v>1649</v>
      </c>
      <c r="C512" s="24" t="s">
        <v>180</v>
      </c>
      <c r="D512" s="24" t="s">
        <v>1620</v>
      </c>
      <c r="E512" s="24" t="s">
        <v>1434</v>
      </c>
      <c r="F512" s="24">
        <v>1</v>
      </c>
      <c r="G512" s="24" t="s">
        <v>1308</v>
      </c>
      <c r="H512" s="24"/>
      <c r="I512" s="24"/>
      <c r="J512" s="126"/>
      <c r="K512" s="161"/>
      <c r="L512" s="161"/>
      <c r="M512" s="161"/>
      <c r="N512" s="161"/>
      <c r="O512" s="160" t="s">
        <v>1649</v>
      </c>
      <c r="P512" s="161"/>
      <c r="Q512" s="24"/>
      <c r="R512" s="24"/>
      <c r="S512" s="126"/>
      <c r="T512" s="124"/>
      <c r="U512" s="126"/>
      <c r="V512" s="126"/>
      <c r="W512" s="161"/>
      <c r="X512" s="24"/>
      <c r="Y512" s="126"/>
      <c r="Z512" s="24"/>
      <c r="AA512" s="24"/>
      <c r="AB512" s="24"/>
      <c r="AC512" s="24"/>
      <c r="AD512" s="182"/>
      <c r="AE512" s="182"/>
      <c r="AF512" s="182"/>
      <c r="AG512" s="182"/>
      <c r="AH512" s="115" t="s">
        <v>115</v>
      </c>
      <c r="AI512" s="115" t="s">
        <v>1650</v>
      </c>
      <c r="AJ512" s="115" t="s">
        <v>1651</v>
      </c>
      <c r="AK512" s="24"/>
      <c r="AL512" s="24"/>
      <c r="AM512" s="24"/>
    </row>
    <row r="513" spans="1:39" ht="12.75" customHeight="1">
      <c r="A513" s="22">
        <v>511</v>
      </c>
      <c r="B513" s="24" t="s">
        <v>1652</v>
      </c>
      <c r="C513" s="24" t="s">
        <v>180</v>
      </c>
      <c r="D513" s="24" t="s">
        <v>1620</v>
      </c>
      <c r="E513" s="24" t="s">
        <v>1434</v>
      </c>
      <c r="F513" s="24">
        <v>1</v>
      </c>
      <c r="G513" s="24" t="s">
        <v>1308</v>
      </c>
      <c r="H513" s="24"/>
      <c r="I513" s="24"/>
      <c r="J513" s="126"/>
      <c r="K513" s="161"/>
      <c r="L513" s="161"/>
      <c r="M513" s="161"/>
      <c r="N513" s="161"/>
      <c r="O513" s="160" t="s">
        <v>1652</v>
      </c>
      <c r="P513" s="161"/>
      <c r="Q513" s="24"/>
      <c r="R513" s="24"/>
      <c r="S513" s="126"/>
      <c r="T513" s="124"/>
      <c r="U513" s="126"/>
      <c r="V513" s="126"/>
      <c r="W513" s="161"/>
      <c r="X513" s="24"/>
      <c r="Y513" s="126"/>
      <c r="Z513" s="24"/>
      <c r="AA513" s="24"/>
      <c r="AB513" s="24"/>
      <c r="AC513" s="24"/>
      <c r="AD513" s="182"/>
      <c r="AE513" s="182"/>
      <c r="AF513" s="182"/>
      <c r="AG513" s="182"/>
      <c r="AH513" s="115" t="s">
        <v>115</v>
      </c>
      <c r="AI513" s="115" t="s">
        <v>1653</v>
      </c>
      <c r="AJ513" s="115" t="s">
        <v>1654</v>
      </c>
      <c r="AK513" s="24"/>
      <c r="AL513" s="24"/>
      <c r="AM513" s="24"/>
    </row>
    <row r="514" spans="1:39" ht="12.75" customHeight="1">
      <c r="A514" s="22">
        <v>512</v>
      </c>
      <c r="B514" s="24" t="s">
        <v>1655</v>
      </c>
      <c r="C514" s="24" t="s">
        <v>180</v>
      </c>
      <c r="D514" s="24" t="s">
        <v>1620</v>
      </c>
      <c r="E514" s="24" t="s">
        <v>1434</v>
      </c>
      <c r="F514" s="24">
        <v>1</v>
      </c>
      <c r="G514" s="24" t="s">
        <v>1308</v>
      </c>
      <c r="H514" s="24"/>
      <c r="I514" s="24"/>
      <c r="J514" s="126"/>
      <c r="K514" s="161"/>
      <c r="L514" s="161"/>
      <c r="M514" s="161"/>
      <c r="N514" s="161"/>
      <c r="O514" s="160" t="s">
        <v>1655</v>
      </c>
      <c r="P514" s="161"/>
      <c r="Q514" s="24"/>
      <c r="R514" s="24"/>
      <c r="S514" s="126"/>
      <c r="T514" s="124"/>
      <c r="U514" s="126"/>
      <c r="V514" s="126"/>
      <c r="W514" s="161"/>
      <c r="X514" s="24"/>
      <c r="Y514" s="126"/>
      <c r="Z514" s="24"/>
      <c r="AA514" s="24"/>
      <c r="AB514" s="24"/>
      <c r="AC514" s="24"/>
      <c r="AD514" s="182"/>
      <c r="AE514" s="182"/>
      <c r="AF514" s="182"/>
      <c r="AG514" s="182"/>
      <c r="AH514" s="115" t="s">
        <v>115</v>
      </c>
      <c r="AI514" s="115" t="s">
        <v>1656</v>
      </c>
      <c r="AJ514" s="115" t="s">
        <v>1657</v>
      </c>
      <c r="AK514" s="24"/>
      <c r="AL514" s="24"/>
      <c r="AM514" s="24"/>
    </row>
    <row r="515" spans="1:39" ht="12.75" customHeight="1">
      <c r="A515" s="22">
        <v>513</v>
      </c>
      <c r="B515" s="24" t="s">
        <v>1658</v>
      </c>
      <c r="C515" s="24" t="s">
        <v>180</v>
      </c>
      <c r="D515" s="24" t="s">
        <v>1620</v>
      </c>
      <c r="E515" s="24" t="s">
        <v>1434</v>
      </c>
      <c r="F515" s="24">
        <v>1</v>
      </c>
      <c r="G515" s="24" t="s">
        <v>1308</v>
      </c>
      <c r="H515" s="24"/>
      <c r="I515" s="24"/>
      <c r="J515" s="126"/>
      <c r="K515" s="161"/>
      <c r="L515" s="161"/>
      <c r="M515" s="161"/>
      <c r="N515" s="161"/>
      <c r="O515" s="160" t="s">
        <v>1658</v>
      </c>
      <c r="P515" s="161"/>
      <c r="Q515" s="24"/>
      <c r="R515" s="24"/>
      <c r="S515" s="126"/>
      <c r="T515" s="124"/>
      <c r="U515" s="126"/>
      <c r="V515" s="126"/>
      <c r="W515" s="161"/>
      <c r="X515" s="24"/>
      <c r="Y515" s="126"/>
      <c r="Z515" s="24"/>
      <c r="AA515" s="24"/>
      <c r="AB515" s="24"/>
      <c r="AC515" s="24"/>
      <c r="AD515" s="182"/>
      <c r="AE515" s="182"/>
      <c r="AF515" s="182"/>
      <c r="AG515" s="182"/>
      <c r="AH515" s="115" t="s">
        <v>115</v>
      </c>
      <c r="AI515" s="115" t="s">
        <v>1659</v>
      </c>
      <c r="AJ515" s="115" t="s">
        <v>1660</v>
      </c>
      <c r="AK515" s="24"/>
      <c r="AL515" s="24"/>
      <c r="AM515" s="24"/>
    </row>
    <row r="516" spans="1:39" ht="12.75" customHeight="1">
      <c r="A516" s="22">
        <v>514</v>
      </c>
      <c r="B516" s="24" t="s">
        <v>1661</v>
      </c>
      <c r="C516" s="24" t="s">
        <v>180</v>
      </c>
      <c r="D516" s="24" t="s">
        <v>1620</v>
      </c>
      <c r="E516" s="24" t="s">
        <v>1434</v>
      </c>
      <c r="F516" s="24">
        <v>1</v>
      </c>
      <c r="G516" s="24" t="s">
        <v>1308</v>
      </c>
      <c r="H516" s="24"/>
      <c r="I516" s="24"/>
      <c r="J516" s="126"/>
      <c r="K516" s="161"/>
      <c r="L516" s="161"/>
      <c r="M516" s="161"/>
      <c r="N516" s="161"/>
      <c r="O516" s="160" t="s">
        <v>1661</v>
      </c>
      <c r="P516" s="161"/>
      <c r="Q516" s="24"/>
      <c r="R516" s="24"/>
      <c r="S516" s="126"/>
      <c r="T516" s="124"/>
      <c r="U516" s="126"/>
      <c r="V516" s="126"/>
      <c r="W516" s="161"/>
      <c r="X516" s="24"/>
      <c r="Y516" s="126"/>
      <c r="Z516" s="24"/>
      <c r="AA516" s="24"/>
      <c r="AB516" s="24"/>
      <c r="AC516" s="24"/>
      <c r="AD516" s="182"/>
      <c r="AE516" s="182"/>
      <c r="AF516" s="182"/>
      <c r="AG516" s="182"/>
      <c r="AH516" s="115" t="s">
        <v>115</v>
      </c>
      <c r="AI516" s="115" t="s">
        <v>1662</v>
      </c>
      <c r="AJ516" s="115" t="s">
        <v>1663</v>
      </c>
      <c r="AK516" s="24"/>
      <c r="AL516" s="24"/>
      <c r="AM516" s="24"/>
    </row>
    <row r="517" spans="1:39" ht="12.75" customHeight="1">
      <c r="A517" s="22">
        <v>515</v>
      </c>
      <c r="B517" s="24" t="s">
        <v>405</v>
      </c>
      <c r="C517" s="24" t="s">
        <v>180</v>
      </c>
      <c r="D517" s="24" t="s">
        <v>1620</v>
      </c>
      <c r="E517" s="24" t="s">
        <v>1434</v>
      </c>
      <c r="F517" s="24">
        <v>1</v>
      </c>
      <c r="G517" s="24" t="s">
        <v>1308</v>
      </c>
      <c r="H517" s="24"/>
      <c r="I517" s="24"/>
      <c r="J517" s="126"/>
      <c r="K517" s="161"/>
      <c r="L517" s="161"/>
      <c r="M517" s="161"/>
      <c r="N517" s="161"/>
      <c r="O517" s="160" t="s">
        <v>405</v>
      </c>
      <c r="P517" s="161"/>
      <c r="Q517" s="24"/>
      <c r="R517" s="24"/>
      <c r="S517" s="126"/>
      <c r="T517" s="124"/>
      <c r="U517" s="126"/>
      <c r="V517" s="126"/>
      <c r="W517" s="161"/>
      <c r="X517" s="24"/>
      <c r="Y517" s="126"/>
      <c r="Z517" s="24"/>
      <c r="AA517" s="24"/>
      <c r="AB517" s="24"/>
      <c r="AC517" s="24"/>
      <c r="AD517" s="182"/>
      <c r="AE517" s="182"/>
      <c r="AF517" s="182"/>
      <c r="AG517" s="182"/>
      <c r="AH517" s="115" t="s">
        <v>1664</v>
      </c>
      <c r="AI517" s="116" t="s">
        <v>406</v>
      </c>
      <c r="AJ517" s="116" t="s">
        <v>407</v>
      </c>
      <c r="AK517" s="24"/>
      <c r="AL517" s="24"/>
      <c r="AM517" s="24"/>
    </row>
    <row r="518" spans="1:39" ht="12.75" customHeight="1">
      <c r="A518" s="22">
        <v>516</v>
      </c>
      <c r="B518" s="24" t="s">
        <v>1665</v>
      </c>
      <c r="C518" s="24" t="s">
        <v>96</v>
      </c>
      <c r="D518" s="24"/>
      <c r="E518" s="24" t="s">
        <v>1434</v>
      </c>
      <c r="F518" s="24">
        <v>1</v>
      </c>
      <c r="G518" s="24" t="s">
        <v>1308</v>
      </c>
      <c r="H518" s="24"/>
      <c r="I518" s="24"/>
      <c r="J518" s="126"/>
      <c r="K518" s="160" t="s">
        <v>409</v>
      </c>
      <c r="L518" s="160" t="s">
        <v>1666</v>
      </c>
      <c r="M518" s="160" t="s">
        <v>1667</v>
      </c>
      <c r="N518" s="160" t="s">
        <v>111</v>
      </c>
      <c r="O518" s="161"/>
      <c r="P518" s="161"/>
      <c r="Q518" s="24"/>
      <c r="R518" s="24"/>
      <c r="S518" s="126"/>
      <c r="T518" s="160" t="s">
        <v>208</v>
      </c>
      <c r="U518" s="126"/>
      <c r="V518" s="126"/>
      <c r="W518" s="160" t="s">
        <v>115</v>
      </c>
      <c r="X518" s="24"/>
      <c r="Y518" s="126"/>
      <c r="Z518" s="24"/>
      <c r="AA518" s="24"/>
      <c r="AB518" s="24"/>
      <c r="AC518" s="24"/>
      <c r="AD518" s="182"/>
      <c r="AE518" s="182"/>
      <c r="AF518" s="182"/>
      <c r="AG518" s="182"/>
      <c r="AH518" s="116" t="s">
        <v>1664</v>
      </c>
      <c r="AI518" s="116" t="s">
        <v>415</v>
      </c>
      <c r="AJ518" s="116" t="s">
        <v>416</v>
      </c>
      <c r="AK518" s="24"/>
      <c r="AL518" s="24"/>
      <c r="AM518" s="24"/>
    </row>
    <row r="519" spans="1:39" ht="12.75" customHeight="1">
      <c r="A519" s="22">
        <v>517</v>
      </c>
      <c r="B519" s="24" t="s">
        <v>1668</v>
      </c>
      <c r="C519" s="24" t="s">
        <v>96</v>
      </c>
      <c r="D519" s="24"/>
      <c r="E519" s="24" t="s">
        <v>1434</v>
      </c>
      <c r="F519" s="24">
        <v>1</v>
      </c>
      <c r="G519" s="24" t="s">
        <v>1308</v>
      </c>
      <c r="H519" s="24"/>
      <c r="I519" s="24"/>
      <c r="J519" s="126"/>
      <c r="K519" s="160" t="s">
        <v>1668</v>
      </c>
      <c r="L519" s="124" t="s">
        <v>1669</v>
      </c>
      <c r="M519" s="124" t="s">
        <v>1670</v>
      </c>
      <c r="N519" s="124" t="s">
        <v>202</v>
      </c>
      <c r="O519" s="126"/>
      <c r="P519" s="124"/>
      <c r="Q519" s="24"/>
      <c r="R519" s="24"/>
      <c r="S519" s="126"/>
      <c r="T519" s="124" t="s">
        <v>208</v>
      </c>
      <c r="U519" s="126"/>
      <c r="V519" s="126"/>
      <c r="W519" s="124" t="s">
        <v>1277</v>
      </c>
      <c r="X519" s="24"/>
      <c r="Y519" s="126"/>
      <c r="Z519" s="24"/>
      <c r="AA519" s="24"/>
      <c r="AB519" s="24"/>
      <c r="AC519" s="24"/>
      <c r="AD519" s="182"/>
      <c r="AE519" s="182"/>
      <c r="AF519" s="182"/>
      <c r="AG519" s="182"/>
      <c r="AH519" s="115" t="s">
        <v>115</v>
      </c>
      <c r="AI519" s="115" t="s">
        <v>1671</v>
      </c>
      <c r="AJ519" s="115" t="s">
        <v>1672</v>
      </c>
      <c r="AK519" s="24"/>
      <c r="AL519" s="24"/>
      <c r="AM519" s="24"/>
    </row>
    <row r="520" spans="1:39" ht="12.75" customHeight="1">
      <c r="A520" s="22">
        <v>518</v>
      </c>
      <c r="B520" s="24" t="s">
        <v>1673</v>
      </c>
      <c r="C520" s="24" t="s">
        <v>180</v>
      </c>
      <c r="D520" s="24" t="s">
        <v>1668</v>
      </c>
      <c r="E520" s="24" t="s">
        <v>1434</v>
      </c>
      <c r="F520" s="24">
        <v>1</v>
      </c>
      <c r="G520" s="24" t="s">
        <v>1308</v>
      </c>
      <c r="H520" s="24"/>
      <c r="I520" s="24"/>
      <c r="J520" s="126"/>
      <c r="K520" s="160"/>
      <c r="L520" s="124"/>
      <c r="M520" s="124"/>
      <c r="N520" s="124"/>
      <c r="O520" s="126" t="s">
        <v>1673</v>
      </c>
      <c r="P520" s="124"/>
      <c r="Q520" s="24"/>
      <c r="R520" s="24"/>
      <c r="S520" s="126"/>
      <c r="T520" s="124"/>
      <c r="U520" s="126"/>
      <c r="V520" s="126"/>
      <c r="W520" s="124"/>
      <c r="X520" s="24"/>
      <c r="Y520" s="126"/>
      <c r="Z520" s="24"/>
      <c r="AA520" s="24"/>
      <c r="AB520" s="24"/>
      <c r="AC520" s="24"/>
      <c r="AD520" s="182"/>
      <c r="AE520" s="182"/>
      <c r="AF520" s="182"/>
      <c r="AG520" s="182"/>
      <c r="AH520" s="115" t="s">
        <v>115</v>
      </c>
      <c r="AI520" s="115" t="s">
        <v>942</v>
      </c>
      <c r="AJ520" s="115" t="s">
        <v>943</v>
      </c>
      <c r="AK520" s="24"/>
      <c r="AL520" s="24"/>
      <c r="AM520" s="24"/>
    </row>
    <row r="521" spans="1:39" ht="12.75" customHeight="1">
      <c r="A521" s="22">
        <v>519</v>
      </c>
      <c r="B521" s="24" t="s">
        <v>1468</v>
      </c>
      <c r="C521" s="24" t="s">
        <v>180</v>
      </c>
      <c r="D521" s="24" t="s">
        <v>1668</v>
      </c>
      <c r="E521" s="24" t="s">
        <v>1434</v>
      </c>
      <c r="F521" s="24">
        <v>1</v>
      </c>
      <c r="G521" s="24" t="s">
        <v>1308</v>
      </c>
      <c r="H521" s="24"/>
      <c r="I521" s="24"/>
      <c r="J521" s="126"/>
      <c r="K521" s="160"/>
      <c r="L521" s="124"/>
      <c r="M521" s="124"/>
      <c r="N521" s="124"/>
      <c r="O521" s="126" t="s">
        <v>1468</v>
      </c>
      <c r="P521" s="124"/>
      <c r="Q521" s="24"/>
      <c r="R521" s="24"/>
      <c r="S521" s="126"/>
      <c r="T521" s="124"/>
      <c r="U521" s="126"/>
      <c r="V521" s="126"/>
      <c r="W521" s="124"/>
      <c r="X521" s="24"/>
      <c r="Y521" s="126"/>
      <c r="Z521" s="24"/>
      <c r="AA521" s="24"/>
      <c r="AB521" s="24"/>
      <c r="AC521" s="24"/>
      <c r="AD521" s="175" t="s">
        <v>1675</v>
      </c>
      <c r="AE521" s="182"/>
      <c r="AF521" s="182">
        <v>385660001</v>
      </c>
      <c r="AG521" s="182"/>
      <c r="AH521" s="115" t="s">
        <v>115</v>
      </c>
      <c r="AI521" s="115" t="s">
        <v>1469</v>
      </c>
      <c r="AJ521" s="115" t="s">
        <v>1470</v>
      </c>
      <c r="AK521" s="24"/>
      <c r="AL521" s="24"/>
      <c r="AM521" s="24"/>
    </row>
    <row r="522" spans="1:39" ht="12.75" customHeight="1">
      <c r="A522" s="22">
        <v>520</v>
      </c>
      <c r="B522" s="24" t="s">
        <v>1676</v>
      </c>
      <c r="C522" s="24" t="s">
        <v>96</v>
      </c>
      <c r="D522" s="24"/>
      <c r="E522" s="24" t="s">
        <v>1434</v>
      </c>
      <c r="F522" s="24">
        <v>1</v>
      </c>
      <c r="G522" s="24" t="s">
        <v>1308</v>
      </c>
      <c r="H522" s="24"/>
      <c r="I522" s="24"/>
      <c r="J522" s="126"/>
      <c r="K522" s="160" t="s">
        <v>1676</v>
      </c>
      <c r="L522" s="124" t="s">
        <v>1677</v>
      </c>
      <c r="M522" s="124" t="s">
        <v>1678</v>
      </c>
      <c r="N522" s="124" t="s">
        <v>168</v>
      </c>
      <c r="O522" s="126"/>
      <c r="P522" s="124"/>
      <c r="Q522" s="24"/>
      <c r="R522" s="124" t="s">
        <v>1679</v>
      </c>
      <c r="S522" s="126"/>
      <c r="T522" s="124" t="s">
        <v>208</v>
      </c>
      <c r="U522" s="126"/>
      <c r="V522" s="126"/>
      <c r="W522" s="124" t="s">
        <v>115</v>
      </c>
      <c r="X522" s="24"/>
      <c r="Y522" s="126"/>
      <c r="Z522" s="24"/>
      <c r="AA522" s="24"/>
      <c r="AB522" s="24"/>
      <c r="AC522" s="24"/>
      <c r="AD522" s="182"/>
      <c r="AE522" s="182"/>
      <c r="AF522" s="113">
        <v>127375006</v>
      </c>
      <c r="AG522" s="182"/>
      <c r="AH522" s="115" t="s">
        <v>115</v>
      </c>
      <c r="AI522" s="115" t="s">
        <v>1680</v>
      </c>
      <c r="AJ522" s="115" t="s">
        <v>1681</v>
      </c>
      <c r="AK522" s="24"/>
      <c r="AL522" s="24"/>
      <c r="AM522" s="24"/>
    </row>
    <row r="523" spans="1:39" ht="12.75" customHeight="1">
      <c r="A523" s="22">
        <v>521</v>
      </c>
      <c r="B523" s="24" t="s">
        <v>1682</v>
      </c>
      <c r="C523" s="24" t="s">
        <v>96</v>
      </c>
      <c r="D523" s="24"/>
      <c r="E523" s="24" t="s">
        <v>1434</v>
      </c>
      <c r="F523" s="24">
        <v>1</v>
      </c>
      <c r="G523" s="24" t="s">
        <v>1308</v>
      </c>
      <c r="H523" s="24"/>
      <c r="I523" s="24"/>
      <c r="J523" s="126"/>
      <c r="K523" s="160" t="s">
        <v>1682</v>
      </c>
      <c r="L523" s="160" t="s">
        <v>1683</v>
      </c>
      <c r="M523" s="160" t="s">
        <v>1684</v>
      </c>
      <c r="N523" s="160" t="s">
        <v>202</v>
      </c>
      <c r="O523" s="161"/>
      <c r="P523" s="161"/>
      <c r="Q523" s="24"/>
      <c r="R523" s="24"/>
      <c r="S523" s="126"/>
      <c r="T523" s="160" t="s">
        <v>208</v>
      </c>
      <c r="U523" s="126"/>
      <c r="V523" s="126"/>
      <c r="W523" s="160" t="s">
        <v>1277</v>
      </c>
      <c r="X523" s="24"/>
      <c r="Y523" s="126"/>
      <c r="Z523" s="24"/>
      <c r="AA523" s="24"/>
      <c r="AB523" s="24"/>
      <c r="AC523" s="24"/>
      <c r="AD523" s="182" t="s">
        <v>1685</v>
      </c>
      <c r="AE523" s="182"/>
      <c r="AF523" s="113">
        <v>267038008</v>
      </c>
      <c r="AG523" s="182"/>
      <c r="AH523" s="115" t="s">
        <v>115</v>
      </c>
      <c r="AI523" s="115" t="s">
        <v>343</v>
      </c>
      <c r="AJ523" s="115" t="s">
        <v>344</v>
      </c>
      <c r="AK523" s="24"/>
      <c r="AL523" s="24"/>
      <c r="AM523" s="24"/>
    </row>
    <row r="524" spans="1:39" ht="12.75" customHeight="1">
      <c r="A524" s="22">
        <v>522</v>
      </c>
      <c r="B524" s="24" t="s">
        <v>113</v>
      </c>
      <c r="C524" s="24" t="s">
        <v>180</v>
      </c>
      <c r="D524" s="24" t="s">
        <v>1682</v>
      </c>
      <c r="E524" s="24" t="s">
        <v>1434</v>
      </c>
      <c r="F524" s="24">
        <v>1</v>
      </c>
      <c r="G524" s="24" t="s">
        <v>1308</v>
      </c>
      <c r="H524" s="24"/>
      <c r="I524" s="24"/>
      <c r="J524" s="126"/>
      <c r="K524" s="160"/>
      <c r="L524" s="126"/>
      <c r="M524" s="160"/>
      <c r="N524" s="160"/>
      <c r="O524" s="161" t="s">
        <v>113</v>
      </c>
      <c r="P524" s="161"/>
      <c r="Q524" s="24"/>
      <c r="R524" s="24"/>
      <c r="S524" s="126"/>
      <c r="T524" s="160"/>
      <c r="U524" s="126"/>
      <c r="V524" s="126"/>
      <c r="W524" s="160"/>
      <c r="X524" s="24"/>
      <c r="Y524" s="126"/>
      <c r="Z524" s="24"/>
      <c r="AA524" s="24"/>
      <c r="AB524" s="24"/>
      <c r="AC524" s="24"/>
      <c r="AD524" s="182"/>
      <c r="AE524" s="182"/>
      <c r="AF524" s="113">
        <v>373066001</v>
      </c>
      <c r="AG524" s="182"/>
      <c r="AH524" s="115" t="s">
        <v>115</v>
      </c>
      <c r="AI524" s="115" t="s">
        <v>206</v>
      </c>
      <c r="AJ524" s="115" t="s">
        <v>207</v>
      </c>
      <c r="AK524" s="24"/>
      <c r="AL524" s="24"/>
      <c r="AM524" s="24"/>
    </row>
    <row r="525" spans="1:39" ht="12.75" customHeight="1">
      <c r="A525" s="22">
        <v>523</v>
      </c>
      <c r="B525" s="24" t="s">
        <v>208</v>
      </c>
      <c r="C525" s="24" t="s">
        <v>180</v>
      </c>
      <c r="D525" s="24" t="s">
        <v>1682</v>
      </c>
      <c r="E525" s="24" t="s">
        <v>1434</v>
      </c>
      <c r="F525" s="24">
        <v>1</v>
      </c>
      <c r="G525" s="24" t="s">
        <v>1308</v>
      </c>
      <c r="H525" s="24"/>
      <c r="I525" s="24"/>
      <c r="J525" s="126"/>
      <c r="K525" s="160"/>
      <c r="L525" s="126"/>
      <c r="M525" s="160"/>
      <c r="N525" s="160"/>
      <c r="O525" s="161" t="s">
        <v>208</v>
      </c>
      <c r="P525" s="161"/>
      <c r="Q525" s="24"/>
      <c r="R525" s="24"/>
      <c r="S525" s="126"/>
      <c r="T525" s="160"/>
      <c r="U525" s="126"/>
      <c r="V525" s="126"/>
      <c r="W525" s="160"/>
      <c r="X525" s="24"/>
      <c r="Y525" s="126"/>
      <c r="Z525" s="24"/>
      <c r="AA525" s="24"/>
      <c r="AB525" s="24"/>
      <c r="AC525" s="24"/>
      <c r="AD525" s="182"/>
      <c r="AE525" s="182"/>
      <c r="AF525" s="118">
        <v>373067005</v>
      </c>
      <c r="AG525" s="182"/>
      <c r="AH525" s="115" t="s">
        <v>115</v>
      </c>
      <c r="AI525" s="115" t="s">
        <v>209</v>
      </c>
      <c r="AJ525" s="115" t="s">
        <v>210</v>
      </c>
      <c r="AK525" s="24"/>
      <c r="AL525" s="24"/>
      <c r="AM525" s="24"/>
    </row>
    <row r="526" spans="1:39" ht="12.75" customHeight="1">
      <c r="A526" s="22">
        <v>524</v>
      </c>
      <c r="B526" s="24" t="s">
        <v>1686</v>
      </c>
      <c r="C526" s="24" t="s">
        <v>96</v>
      </c>
      <c r="D526" s="24"/>
      <c r="E526" s="24" t="s">
        <v>1434</v>
      </c>
      <c r="F526" s="24">
        <v>1</v>
      </c>
      <c r="G526" s="24" t="s">
        <v>1308</v>
      </c>
      <c r="H526" s="24"/>
      <c r="I526" s="24"/>
      <c r="J526" s="126"/>
      <c r="K526" s="124" t="s">
        <v>1686</v>
      </c>
      <c r="L526" s="126" t="s">
        <v>1687</v>
      </c>
      <c r="M526" s="124" t="s">
        <v>1688</v>
      </c>
      <c r="N526" s="124" t="s">
        <v>238</v>
      </c>
      <c r="O526" s="126"/>
      <c r="P526" s="126"/>
      <c r="Q526" s="24"/>
      <c r="R526" s="24"/>
      <c r="S526" s="126"/>
      <c r="T526" s="124" t="s">
        <v>1459</v>
      </c>
      <c r="U526" s="126"/>
      <c r="V526" s="126"/>
      <c r="W526" s="124" t="s">
        <v>115</v>
      </c>
      <c r="X526" s="24"/>
      <c r="Y526" s="126"/>
      <c r="Z526" s="24"/>
      <c r="AA526" s="24"/>
      <c r="AB526" s="24"/>
      <c r="AC526" s="24"/>
      <c r="AD526" s="233"/>
      <c r="AE526" s="233"/>
      <c r="AF526" s="233"/>
      <c r="AG526" s="233"/>
      <c r="AH526" s="115" t="s">
        <v>115</v>
      </c>
      <c r="AI526" s="115" t="s">
        <v>1689</v>
      </c>
      <c r="AJ526" s="115" t="s">
        <v>1690</v>
      </c>
      <c r="AK526" s="24"/>
      <c r="AL526" s="24"/>
      <c r="AM526" s="24"/>
    </row>
    <row r="527" spans="1:39" ht="12.75" customHeight="1">
      <c r="A527" s="22">
        <v>525</v>
      </c>
      <c r="B527" s="24" t="s">
        <v>1691</v>
      </c>
      <c r="C527" s="24" t="s">
        <v>180</v>
      </c>
      <c r="D527" s="24" t="s">
        <v>1686</v>
      </c>
      <c r="E527" s="24" t="s">
        <v>1434</v>
      </c>
      <c r="F527" s="24">
        <v>1</v>
      </c>
      <c r="G527" s="24" t="s">
        <v>1308</v>
      </c>
      <c r="H527" s="24"/>
      <c r="I527" s="24"/>
      <c r="J527" s="126"/>
      <c r="K527" s="160"/>
      <c r="L527" s="126"/>
      <c r="M527" s="160"/>
      <c r="N527" s="160"/>
      <c r="O527" s="126" t="s">
        <v>1691</v>
      </c>
      <c r="P527" s="161"/>
      <c r="Q527" s="24"/>
      <c r="R527" s="24"/>
      <c r="S527" s="126"/>
      <c r="T527" s="160"/>
      <c r="U527" s="126"/>
      <c r="V527" s="126"/>
      <c r="W527" s="160"/>
      <c r="X527" s="24"/>
      <c r="Y527" s="126"/>
      <c r="Z527" s="24"/>
      <c r="AA527" s="24"/>
      <c r="AB527" s="24"/>
      <c r="AC527" s="24"/>
      <c r="AD527" s="182" t="s">
        <v>1685</v>
      </c>
      <c r="AE527" s="182"/>
      <c r="AF527" s="121">
        <v>26237000</v>
      </c>
      <c r="AG527" s="182"/>
      <c r="AH527" s="115" t="s">
        <v>115</v>
      </c>
      <c r="AI527" s="115" t="s">
        <v>1692</v>
      </c>
      <c r="AJ527" s="115" t="s">
        <v>1693</v>
      </c>
      <c r="AK527" s="24"/>
      <c r="AL527" s="24"/>
      <c r="AM527" s="24"/>
    </row>
    <row r="528" spans="1:39" ht="12.75" customHeight="1">
      <c r="A528" s="22">
        <v>526</v>
      </c>
      <c r="B528" s="24" t="s">
        <v>1694</v>
      </c>
      <c r="C528" s="24" t="s">
        <v>180</v>
      </c>
      <c r="D528" s="24" t="s">
        <v>1686</v>
      </c>
      <c r="E528" s="24" t="s">
        <v>1434</v>
      </c>
      <c r="F528" s="24">
        <v>1</v>
      </c>
      <c r="G528" s="24" t="s">
        <v>1308</v>
      </c>
      <c r="H528" s="24"/>
      <c r="I528" s="24"/>
      <c r="J528" s="126"/>
      <c r="K528" s="160"/>
      <c r="L528" s="126"/>
      <c r="M528" s="160"/>
      <c r="N528" s="160"/>
      <c r="O528" s="126" t="s">
        <v>1694</v>
      </c>
      <c r="P528" s="161"/>
      <c r="Q528" s="24"/>
      <c r="R528" s="24"/>
      <c r="S528" s="126"/>
      <c r="T528" s="160"/>
      <c r="U528" s="126"/>
      <c r="V528" s="126"/>
      <c r="W528" s="160"/>
      <c r="X528" s="24"/>
      <c r="Y528" s="126"/>
      <c r="Z528" s="24"/>
      <c r="AA528" s="24"/>
      <c r="AB528" s="24"/>
      <c r="AC528" s="24"/>
      <c r="AD528" s="233"/>
      <c r="AE528" s="233"/>
      <c r="AF528" s="233"/>
      <c r="AG528" s="233"/>
      <c r="AH528" s="115" t="s">
        <v>115</v>
      </c>
      <c r="AI528" s="115" t="s">
        <v>1695</v>
      </c>
      <c r="AJ528" s="115" t="s">
        <v>1696</v>
      </c>
      <c r="AK528" s="24"/>
      <c r="AL528" s="24"/>
      <c r="AM528" s="24"/>
    </row>
    <row r="529" spans="1:39" ht="12.75" customHeight="1">
      <c r="A529" s="22">
        <v>527</v>
      </c>
      <c r="B529" s="24" t="s">
        <v>1697</v>
      </c>
      <c r="C529" s="24" t="s">
        <v>180</v>
      </c>
      <c r="D529" s="24" t="s">
        <v>1686</v>
      </c>
      <c r="E529" s="24" t="s">
        <v>1434</v>
      </c>
      <c r="F529" s="24">
        <v>1</v>
      </c>
      <c r="G529" s="24" t="s">
        <v>1308</v>
      </c>
      <c r="H529" s="24"/>
      <c r="I529" s="24"/>
      <c r="J529" s="126"/>
      <c r="K529" s="160"/>
      <c r="L529" s="126"/>
      <c r="M529" s="160"/>
      <c r="N529" s="160"/>
      <c r="O529" s="126" t="s">
        <v>1697</v>
      </c>
      <c r="P529" s="161"/>
      <c r="Q529" s="24"/>
      <c r="R529" s="24"/>
      <c r="S529" s="126"/>
      <c r="T529" s="160"/>
      <c r="U529" s="126"/>
      <c r="V529" s="126"/>
      <c r="W529" s="160"/>
      <c r="X529" s="24"/>
      <c r="Y529" s="126"/>
      <c r="Z529" s="24"/>
      <c r="AA529" s="24"/>
      <c r="AB529" s="24"/>
      <c r="AC529" s="24"/>
      <c r="AD529" s="233"/>
      <c r="AE529" s="233"/>
      <c r="AF529" s="254"/>
      <c r="AG529" s="233"/>
      <c r="AH529" s="115" t="s">
        <v>115</v>
      </c>
      <c r="AI529" s="115" t="s">
        <v>1698</v>
      </c>
      <c r="AJ529" s="115" t="s">
        <v>1699</v>
      </c>
      <c r="AK529" s="24"/>
      <c r="AL529" s="24"/>
      <c r="AM529" s="24"/>
    </row>
    <row r="530" spans="1:39" ht="12.75" customHeight="1">
      <c r="A530" s="22">
        <v>528</v>
      </c>
      <c r="B530" s="24" t="s">
        <v>1701</v>
      </c>
      <c r="C530" s="24" t="s">
        <v>180</v>
      </c>
      <c r="D530" s="24" t="s">
        <v>1686</v>
      </c>
      <c r="E530" s="24" t="s">
        <v>1434</v>
      </c>
      <c r="F530" s="24">
        <v>1</v>
      </c>
      <c r="G530" s="24" t="s">
        <v>1308</v>
      </c>
      <c r="H530" s="24"/>
      <c r="I530" s="24"/>
      <c r="J530" s="126"/>
      <c r="K530" s="160"/>
      <c r="L530" s="126"/>
      <c r="M530" s="160"/>
      <c r="N530" s="160"/>
      <c r="O530" s="126" t="s">
        <v>1701</v>
      </c>
      <c r="P530" s="161"/>
      <c r="Q530" s="24"/>
      <c r="R530" s="24"/>
      <c r="S530" s="126"/>
      <c r="T530" s="160"/>
      <c r="U530" s="126"/>
      <c r="V530" s="126"/>
      <c r="W530" s="160"/>
      <c r="X530" s="24"/>
      <c r="Y530" s="126"/>
      <c r="Z530" s="24"/>
      <c r="AA530" s="24"/>
      <c r="AB530" s="24"/>
      <c r="AC530" s="24"/>
      <c r="AD530" s="175" t="s">
        <v>1685</v>
      </c>
      <c r="AE530" s="182"/>
      <c r="AF530" s="121">
        <v>102572006</v>
      </c>
      <c r="AG530" s="182"/>
      <c r="AH530" s="115" t="s">
        <v>115</v>
      </c>
      <c r="AI530" s="115" t="s">
        <v>1702</v>
      </c>
      <c r="AJ530" s="115" t="s">
        <v>1703</v>
      </c>
      <c r="AK530" s="24"/>
      <c r="AL530" s="24"/>
      <c r="AM530" s="24"/>
    </row>
    <row r="531" spans="1:39" ht="12.75" customHeight="1">
      <c r="A531" s="22">
        <v>529</v>
      </c>
      <c r="B531" s="24" t="s">
        <v>1704</v>
      </c>
      <c r="C531" s="24" t="s">
        <v>96</v>
      </c>
      <c r="D531" s="24"/>
      <c r="E531" s="24" t="s">
        <v>1434</v>
      </c>
      <c r="F531" s="24">
        <v>1</v>
      </c>
      <c r="G531" s="24" t="s">
        <v>1308</v>
      </c>
      <c r="H531" s="24"/>
      <c r="I531" s="24"/>
      <c r="J531" s="126"/>
      <c r="K531" s="160" t="s">
        <v>1704</v>
      </c>
      <c r="L531" s="126" t="s">
        <v>1705</v>
      </c>
      <c r="M531" s="160" t="s">
        <v>1706</v>
      </c>
      <c r="N531" s="160" t="s">
        <v>202</v>
      </c>
      <c r="O531" s="126"/>
      <c r="P531" s="161"/>
      <c r="Q531" s="24"/>
      <c r="R531" s="24"/>
      <c r="S531" s="126"/>
      <c r="T531" s="160" t="s">
        <v>208</v>
      </c>
      <c r="U531" s="126"/>
      <c r="V531" s="126"/>
      <c r="W531" s="160" t="s">
        <v>115</v>
      </c>
      <c r="X531" s="24"/>
      <c r="Y531" s="126"/>
      <c r="Z531" s="24"/>
      <c r="AA531" s="24"/>
      <c r="AB531" s="24"/>
      <c r="AC531" s="24"/>
      <c r="AD531" s="182"/>
      <c r="AE531" s="182"/>
      <c r="AF531" s="121">
        <v>423484008</v>
      </c>
      <c r="AG531" s="182"/>
      <c r="AH531" s="115" t="s">
        <v>115</v>
      </c>
      <c r="AI531" s="115" t="s">
        <v>1707</v>
      </c>
      <c r="AJ531" s="115" t="s">
        <v>1708</v>
      </c>
      <c r="AK531" s="24"/>
      <c r="AL531" s="24"/>
      <c r="AM531" s="24"/>
    </row>
    <row r="532" spans="1:39" ht="12.75" customHeight="1">
      <c r="A532" s="22">
        <v>530</v>
      </c>
      <c r="B532" s="24" t="s">
        <v>1421</v>
      </c>
      <c r="C532" s="24" t="s">
        <v>180</v>
      </c>
      <c r="D532" s="24" t="s">
        <v>1704</v>
      </c>
      <c r="E532" s="24" t="s">
        <v>1434</v>
      </c>
      <c r="F532" s="24">
        <v>1</v>
      </c>
      <c r="G532" s="24" t="s">
        <v>1308</v>
      </c>
      <c r="H532" s="24"/>
      <c r="I532" s="24"/>
      <c r="J532" s="126"/>
      <c r="K532" s="126"/>
      <c r="L532" s="126"/>
      <c r="M532" s="126"/>
      <c r="N532" s="124"/>
      <c r="O532" s="256" t="s">
        <v>1421</v>
      </c>
      <c r="P532" s="126"/>
      <c r="Q532" s="24"/>
      <c r="R532" s="24"/>
      <c r="S532" s="126"/>
      <c r="T532" s="126"/>
      <c r="U532" s="126"/>
      <c r="V532" s="126"/>
      <c r="W532" s="126"/>
      <c r="X532" s="24"/>
      <c r="Y532" s="126"/>
      <c r="Z532" s="24"/>
      <c r="AA532" s="24"/>
      <c r="AB532" s="24"/>
      <c r="AC532" s="24"/>
      <c r="AD532" s="182"/>
      <c r="AE532" s="182"/>
      <c r="AF532" s="121">
        <v>260408008</v>
      </c>
      <c r="AG532" s="182"/>
      <c r="AH532" s="115" t="s">
        <v>115</v>
      </c>
      <c r="AI532" s="115" t="s">
        <v>1422</v>
      </c>
      <c r="AJ532" s="115" t="s">
        <v>1423</v>
      </c>
      <c r="AK532" s="24"/>
      <c r="AL532" s="24"/>
      <c r="AM532" s="24"/>
    </row>
    <row r="533" spans="1:39" ht="12.75" customHeight="1">
      <c r="A533" s="22">
        <v>531</v>
      </c>
      <c r="B533" s="24" t="s">
        <v>1424</v>
      </c>
      <c r="C533" s="24" t="s">
        <v>180</v>
      </c>
      <c r="D533" s="24" t="s">
        <v>1704</v>
      </c>
      <c r="E533" s="24" t="s">
        <v>1434</v>
      </c>
      <c r="F533" s="24">
        <v>1</v>
      </c>
      <c r="G533" s="24" t="s">
        <v>1308</v>
      </c>
      <c r="H533" s="24"/>
      <c r="I533" s="24"/>
      <c r="J533" s="126"/>
      <c r="K533" s="126"/>
      <c r="L533" s="126"/>
      <c r="M533" s="126"/>
      <c r="N533" s="124"/>
      <c r="O533" s="256" t="s">
        <v>1424</v>
      </c>
      <c r="P533" s="126"/>
      <c r="Q533" s="24"/>
      <c r="R533" s="24"/>
      <c r="S533" s="126"/>
      <c r="T533" s="126"/>
      <c r="U533" s="126"/>
      <c r="V533" s="126"/>
      <c r="W533" s="126"/>
      <c r="X533" s="24"/>
      <c r="Y533" s="126"/>
      <c r="Z533" s="24"/>
      <c r="AA533" s="24"/>
      <c r="AB533" s="24"/>
      <c r="AC533" s="24"/>
      <c r="AD533" s="182"/>
      <c r="AE533" s="182"/>
      <c r="AF533" s="121">
        <v>441517005</v>
      </c>
      <c r="AG533" s="182"/>
      <c r="AH533" s="115" t="s">
        <v>115</v>
      </c>
      <c r="AI533" s="115" t="s">
        <v>1425</v>
      </c>
      <c r="AJ533" s="115" t="s">
        <v>1426</v>
      </c>
      <c r="AK533" s="24"/>
      <c r="AL533" s="24"/>
      <c r="AM533" s="24"/>
    </row>
    <row r="534" spans="1:39" ht="12.75" customHeight="1">
      <c r="A534" s="22">
        <v>532</v>
      </c>
      <c r="B534" s="24" t="s">
        <v>1427</v>
      </c>
      <c r="C534" s="24" t="s">
        <v>180</v>
      </c>
      <c r="D534" s="24" t="s">
        <v>1704</v>
      </c>
      <c r="E534" s="24" t="s">
        <v>1434</v>
      </c>
      <c r="F534" s="24">
        <v>1</v>
      </c>
      <c r="G534" s="24" t="s">
        <v>1308</v>
      </c>
      <c r="H534" s="24"/>
      <c r="I534" s="24"/>
      <c r="J534" s="126"/>
      <c r="K534" s="126"/>
      <c r="L534" s="126"/>
      <c r="M534" s="126"/>
      <c r="N534" s="124"/>
      <c r="O534" s="256" t="s">
        <v>1427</v>
      </c>
      <c r="P534" s="126"/>
      <c r="Q534" s="24"/>
      <c r="R534" s="24"/>
      <c r="S534" s="126"/>
      <c r="T534" s="126"/>
      <c r="U534" s="126"/>
      <c r="V534" s="126"/>
      <c r="W534" s="126"/>
      <c r="X534" s="24"/>
      <c r="Y534" s="126"/>
      <c r="Z534" s="24"/>
      <c r="AA534" s="24"/>
      <c r="AB534" s="24"/>
      <c r="AC534" s="24"/>
      <c r="AD534" s="182"/>
      <c r="AE534" s="182"/>
      <c r="AF534" s="118">
        <v>441521003</v>
      </c>
      <c r="AG534" s="182"/>
      <c r="AH534" s="115" t="s">
        <v>115</v>
      </c>
      <c r="AI534" s="115" t="s">
        <v>1428</v>
      </c>
      <c r="AJ534" s="115" t="s">
        <v>1429</v>
      </c>
      <c r="AK534" s="24"/>
      <c r="AL534" s="24"/>
      <c r="AM534" s="24"/>
    </row>
    <row r="535" spans="1:39" ht="12.75" customHeight="1">
      <c r="A535" s="22">
        <v>533</v>
      </c>
      <c r="B535" s="24" t="s">
        <v>1430</v>
      </c>
      <c r="C535" s="24" t="s">
        <v>180</v>
      </c>
      <c r="D535" s="24" t="s">
        <v>1704</v>
      </c>
      <c r="E535" s="24" t="s">
        <v>1434</v>
      </c>
      <c r="F535" s="24">
        <v>1</v>
      </c>
      <c r="G535" s="24" t="s">
        <v>1308</v>
      </c>
      <c r="H535" s="24"/>
      <c r="I535" s="24"/>
      <c r="J535" s="126"/>
      <c r="K535" s="126"/>
      <c r="L535" s="126"/>
      <c r="M535" s="126"/>
      <c r="N535" s="124"/>
      <c r="O535" s="256" t="s">
        <v>1430</v>
      </c>
      <c r="P535" s="126"/>
      <c r="Q535" s="24"/>
      <c r="R535" s="24"/>
      <c r="S535" s="126"/>
      <c r="T535" s="126"/>
      <c r="U535" s="126"/>
      <c r="V535" s="126"/>
      <c r="W535" s="126"/>
      <c r="X535" s="24"/>
      <c r="Y535" s="126"/>
      <c r="Z535" s="24"/>
      <c r="AA535" s="24"/>
      <c r="AB535" s="24"/>
      <c r="AC535" s="24"/>
      <c r="AD535" s="233"/>
      <c r="AE535" s="233"/>
      <c r="AF535" s="233"/>
      <c r="AG535" s="233"/>
      <c r="AH535" s="115" t="s">
        <v>115</v>
      </c>
      <c r="AI535" s="115" t="s">
        <v>1431</v>
      </c>
      <c r="AJ535" s="115" t="s">
        <v>1432</v>
      </c>
      <c r="AK535" s="24"/>
      <c r="AL535" s="24"/>
      <c r="AM535" s="24"/>
    </row>
    <row r="536" spans="1:39" ht="12.75" customHeight="1">
      <c r="A536" s="22">
        <v>534</v>
      </c>
      <c r="B536" s="24" t="s">
        <v>1709</v>
      </c>
      <c r="C536" s="24" t="s">
        <v>96</v>
      </c>
      <c r="D536" s="24"/>
      <c r="E536" s="24" t="s">
        <v>1710</v>
      </c>
      <c r="F536" s="24">
        <v>1</v>
      </c>
      <c r="G536" s="24" t="s">
        <v>1308</v>
      </c>
      <c r="H536" s="24"/>
      <c r="I536" s="24"/>
      <c r="J536" s="126"/>
      <c r="K536" s="124" t="s">
        <v>1709</v>
      </c>
      <c r="L536" s="124" t="s">
        <v>1711</v>
      </c>
      <c r="M536" s="124" t="s">
        <v>1712</v>
      </c>
      <c r="N536" s="124" t="s">
        <v>168</v>
      </c>
      <c r="O536" s="126"/>
      <c r="P536" s="126"/>
      <c r="Q536" s="24"/>
      <c r="R536" s="124" t="s">
        <v>1713</v>
      </c>
      <c r="S536" s="126"/>
      <c r="T536" s="124" t="s">
        <v>1459</v>
      </c>
      <c r="U536" s="126"/>
      <c r="V536" s="126"/>
      <c r="W536" s="160" t="s">
        <v>1277</v>
      </c>
      <c r="X536" s="24"/>
      <c r="Y536" s="126"/>
      <c r="Z536" s="24"/>
      <c r="AA536" s="24"/>
      <c r="AB536" s="24"/>
      <c r="AC536" s="24"/>
      <c r="AD536" s="182"/>
      <c r="AE536" s="182"/>
      <c r="AF536" s="281">
        <v>249016007</v>
      </c>
      <c r="AG536" s="281" t="s">
        <v>1714</v>
      </c>
      <c r="AH536" s="115" t="s">
        <v>115</v>
      </c>
      <c r="AI536" s="115" t="s">
        <v>1715</v>
      </c>
      <c r="AJ536" s="115" t="s">
        <v>614</v>
      </c>
      <c r="AK536" s="24"/>
      <c r="AL536" s="24"/>
      <c r="AM536" s="24"/>
    </row>
    <row r="537" spans="1:39" ht="12.75" customHeight="1">
      <c r="A537" s="22">
        <v>535</v>
      </c>
      <c r="B537" s="24" t="s">
        <v>1716</v>
      </c>
      <c r="C537" s="24" t="s">
        <v>96</v>
      </c>
      <c r="D537" s="24"/>
      <c r="E537" s="24" t="s">
        <v>1710</v>
      </c>
      <c r="F537" s="24">
        <v>1</v>
      </c>
      <c r="G537" s="24" t="s">
        <v>1308</v>
      </c>
      <c r="H537" s="24"/>
      <c r="I537" s="24"/>
      <c r="J537" s="126"/>
      <c r="K537" s="124" t="s">
        <v>1716</v>
      </c>
      <c r="L537" s="124" t="s">
        <v>1717</v>
      </c>
      <c r="M537" s="124" t="s">
        <v>1718</v>
      </c>
      <c r="N537" s="124" t="s">
        <v>202</v>
      </c>
      <c r="O537" s="161"/>
      <c r="P537" s="126"/>
      <c r="Q537" s="24"/>
      <c r="R537" s="126"/>
      <c r="S537" s="126"/>
      <c r="T537" s="124" t="s">
        <v>208</v>
      </c>
      <c r="U537" s="126"/>
      <c r="V537" s="126"/>
      <c r="W537" s="124" t="s">
        <v>1296</v>
      </c>
      <c r="X537" s="24"/>
      <c r="Y537" s="126"/>
      <c r="Z537" s="24"/>
      <c r="AA537" s="24"/>
      <c r="AB537" s="24"/>
      <c r="AC537" s="24"/>
      <c r="AD537" s="233"/>
      <c r="AE537" s="233"/>
      <c r="AF537" s="233"/>
      <c r="AG537" s="282"/>
      <c r="AH537" s="115" t="s">
        <v>115</v>
      </c>
      <c r="AI537" s="115" t="s">
        <v>1719</v>
      </c>
      <c r="AJ537" s="115" t="s">
        <v>1720</v>
      </c>
      <c r="AK537" s="24"/>
      <c r="AL537" s="24"/>
      <c r="AM537" s="24"/>
    </row>
    <row r="538" spans="1:39" ht="12.75" customHeight="1">
      <c r="A538" s="22">
        <v>536</v>
      </c>
      <c r="B538" s="24" t="s">
        <v>113</v>
      </c>
      <c r="C538" s="24" t="s">
        <v>180</v>
      </c>
      <c r="D538" s="24" t="s">
        <v>1716</v>
      </c>
      <c r="E538" s="24" t="s">
        <v>1710</v>
      </c>
      <c r="F538" s="24">
        <v>1</v>
      </c>
      <c r="G538" s="24" t="s">
        <v>1308</v>
      </c>
      <c r="H538" s="24"/>
      <c r="I538" s="24"/>
      <c r="J538" s="126"/>
      <c r="K538" s="124"/>
      <c r="L538" s="124"/>
      <c r="M538" s="124"/>
      <c r="N538" s="124"/>
      <c r="O538" s="161" t="s">
        <v>113</v>
      </c>
      <c r="P538" s="126"/>
      <c r="Q538" s="24"/>
      <c r="R538" s="126"/>
      <c r="S538" s="126"/>
      <c r="T538" s="124"/>
      <c r="U538" s="126"/>
      <c r="V538" s="126"/>
      <c r="W538" s="124"/>
      <c r="X538" s="24"/>
      <c r="Y538" s="126"/>
      <c r="Z538" s="24"/>
      <c r="AA538" s="24"/>
      <c r="AB538" s="24"/>
      <c r="AC538" s="24"/>
      <c r="AD538" s="182"/>
      <c r="AE538" s="182"/>
      <c r="AF538" s="118">
        <v>373066001</v>
      </c>
      <c r="AG538" s="182"/>
      <c r="AH538" s="115" t="s">
        <v>115</v>
      </c>
      <c r="AI538" s="115" t="s">
        <v>206</v>
      </c>
      <c r="AJ538" s="115" t="s">
        <v>207</v>
      </c>
      <c r="AK538" s="24"/>
      <c r="AL538" s="24"/>
      <c r="AM538" s="24"/>
    </row>
    <row r="539" spans="1:39" ht="12.75" customHeight="1">
      <c r="A539" s="22">
        <v>537</v>
      </c>
      <c r="B539" s="24" t="s">
        <v>208</v>
      </c>
      <c r="C539" s="24" t="s">
        <v>180</v>
      </c>
      <c r="D539" s="24" t="s">
        <v>1716</v>
      </c>
      <c r="E539" s="24" t="s">
        <v>1710</v>
      </c>
      <c r="F539" s="24">
        <v>1</v>
      </c>
      <c r="G539" s="24" t="s">
        <v>1308</v>
      </c>
      <c r="H539" s="24"/>
      <c r="I539" s="24"/>
      <c r="J539" s="126"/>
      <c r="K539" s="124"/>
      <c r="L539" s="124"/>
      <c r="M539" s="124"/>
      <c r="N539" s="124"/>
      <c r="O539" s="126" t="s">
        <v>208</v>
      </c>
      <c r="P539" s="126"/>
      <c r="Q539" s="24"/>
      <c r="R539" s="126"/>
      <c r="S539" s="126"/>
      <c r="T539" s="124"/>
      <c r="U539" s="126"/>
      <c r="V539" s="126"/>
      <c r="W539" s="124"/>
      <c r="X539" s="24"/>
      <c r="Y539" s="126"/>
      <c r="Z539" s="24"/>
      <c r="AA539" s="24"/>
      <c r="AB539" s="24"/>
      <c r="AC539" s="24"/>
      <c r="AD539" s="182"/>
      <c r="AE539" s="182"/>
      <c r="AF539" s="118">
        <v>373067005</v>
      </c>
      <c r="AG539" s="182"/>
      <c r="AH539" s="115" t="s">
        <v>115</v>
      </c>
      <c r="AI539" s="115" t="s">
        <v>209</v>
      </c>
      <c r="AJ539" s="115" t="s">
        <v>210</v>
      </c>
      <c r="AK539" s="24"/>
      <c r="AL539" s="24"/>
      <c r="AM539" s="24"/>
    </row>
    <row r="540" spans="1:39" ht="12.75" customHeight="1">
      <c r="A540" s="22">
        <v>538</v>
      </c>
      <c r="B540" s="24" t="s">
        <v>1722</v>
      </c>
      <c r="C540" s="24" t="s">
        <v>96</v>
      </c>
      <c r="D540" s="24"/>
      <c r="E540" s="24" t="s">
        <v>1710</v>
      </c>
      <c r="F540" s="24">
        <v>1</v>
      </c>
      <c r="G540" s="24" t="s">
        <v>1308</v>
      </c>
      <c r="H540" s="24"/>
      <c r="I540" s="24"/>
      <c r="J540" s="126"/>
      <c r="K540" s="124" t="s">
        <v>1722</v>
      </c>
      <c r="L540" s="124" t="s">
        <v>1723</v>
      </c>
      <c r="M540" s="124" t="s">
        <v>1724</v>
      </c>
      <c r="N540" s="124" t="s">
        <v>202</v>
      </c>
      <c r="O540" s="161"/>
      <c r="P540" s="126"/>
      <c r="Q540" s="24"/>
      <c r="R540" s="126"/>
      <c r="S540" s="126"/>
      <c r="T540" s="124" t="s">
        <v>113</v>
      </c>
      <c r="U540" s="126"/>
      <c r="V540" s="126"/>
      <c r="W540" s="124" t="s">
        <v>1277</v>
      </c>
      <c r="X540" s="24"/>
      <c r="Y540" s="126"/>
      <c r="Z540" s="24"/>
      <c r="AA540" s="24"/>
      <c r="AB540" s="24"/>
      <c r="AC540" s="24"/>
      <c r="AD540" s="233"/>
      <c r="AE540" s="233"/>
      <c r="AF540" s="233"/>
      <c r="AG540" s="233"/>
      <c r="AH540" s="115" t="s">
        <v>115</v>
      </c>
      <c r="AI540" s="115" t="s">
        <v>1725</v>
      </c>
      <c r="AJ540" s="115" t="s">
        <v>1726</v>
      </c>
      <c r="AK540" s="24"/>
      <c r="AL540" s="24"/>
      <c r="AM540" s="24"/>
    </row>
    <row r="541" spans="1:39" ht="12.75" customHeight="1">
      <c r="A541" s="22">
        <v>539</v>
      </c>
      <c r="B541" s="24" t="s">
        <v>113</v>
      </c>
      <c r="C541" s="24" t="s">
        <v>180</v>
      </c>
      <c r="D541" s="24" t="s">
        <v>1722</v>
      </c>
      <c r="E541" s="24" t="s">
        <v>1710</v>
      </c>
      <c r="F541" s="24">
        <v>1</v>
      </c>
      <c r="G541" s="24" t="s">
        <v>1308</v>
      </c>
      <c r="H541" s="24"/>
      <c r="I541" s="24"/>
      <c r="J541" s="126"/>
      <c r="K541" s="124"/>
      <c r="L541" s="124"/>
      <c r="M541" s="124"/>
      <c r="N541" s="124"/>
      <c r="O541" s="161" t="s">
        <v>113</v>
      </c>
      <c r="P541" s="126"/>
      <c r="Q541" s="24"/>
      <c r="R541" s="126"/>
      <c r="S541" s="126"/>
      <c r="T541" s="124"/>
      <c r="U541" s="126"/>
      <c r="V541" s="126"/>
      <c r="W541" s="124"/>
      <c r="X541" s="24"/>
      <c r="Y541" s="126"/>
      <c r="Z541" s="24"/>
      <c r="AA541" s="24"/>
      <c r="AB541" s="24"/>
      <c r="AC541" s="24"/>
      <c r="AD541" s="182"/>
      <c r="AE541" s="182"/>
      <c r="AF541" s="118">
        <v>373066001</v>
      </c>
      <c r="AG541" s="182"/>
      <c r="AH541" s="115" t="s">
        <v>115</v>
      </c>
      <c r="AI541" s="115" t="s">
        <v>206</v>
      </c>
      <c r="AJ541" s="115" t="s">
        <v>207</v>
      </c>
      <c r="AK541" s="24"/>
      <c r="AL541" s="24"/>
      <c r="AM541" s="24"/>
    </row>
    <row r="542" spans="1:39" ht="12.75" customHeight="1">
      <c r="A542" s="22">
        <v>540</v>
      </c>
      <c r="B542" s="24" t="s">
        <v>208</v>
      </c>
      <c r="C542" s="24" t="s">
        <v>180</v>
      </c>
      <c r="D542" s="24" t="s">
        <v>1722</v>
      </c>
      <c r="E542" s="24" t="s">
        <v>1710</v>
      </c>
      <c r="F542" s="24">
        <v>1</v>
      </c>
      <c r="G542" s="24" t="s">
        <v>1308</v>
      </c>
      <c r="H542" s="24"/>
      <c r="I542" s="24"/>
      <c r="J542" s="126"/>
      <c r="K542" s="124"/>
      <c r="L542" s="124"/>
      <c r="M542" s="124"/>
      <c r="N542" s="124"/>
      <c r="O542" s="126" t="s">
        <v>208</v>
      </c>
      <c r="P542" s="126"/>
      <c r="Q542" s="24"/>
      <c r="R542" s="126"/>
      <c r="S542" s="126"/>
      <c r="T542" s="124"/>
      <c r="U542" s="126"/>
      <c r="V542" s="126"/>
      <c r="W542" s="124"/>
      <c r="X542" s="24"/>
      <c r="Y542" s="126"/>
      <c r="Z542" s="24"/>
      <c r="AA542" s="24"/>
      <c r="AB542" s="24"/>
      <c r="AC542" s="24"/>
      <c r="AD542" s="182"/>
      <c r="AE542" s="182"/>
      <c r="AF542" s="118">
        <v>373067005</v>
      </c>
      <c r="AG542" s="182"/>
      <c r="AH542" s="115" t="s">
        <v>115</v>
      </c>
      <c r="AI542" s="115" t="s">
        <v>209</v>
      </c>
      <c r="AJ542" s="115" t="s">
        <v>210</v>
      </c>
      <c r="AK542" s="24"/>
      <c r="AL542" s="24"/>
      <c r="AM542" s="24"/>
    </row>
    <row r="543" spans="1:39" ht="12.75" customHeight="1">
      <c r="A543" s="22">
        <v>541</v>
      </c>
      <c r="B543" s="24" t="s">
        <v>1727</v>
      </c>
      <c r="C543" s="24" t="s">
        <v>96</v>
      </c>
      <c r="D543" s="24"/>
      <c r="E543" s="24" t="s">
        <v>1710</v>
      </c>
      <c r="F543" s="24">
        <v>1</v>
      </c>
      <c r="G543" s="24" t="s">
        <v>1308</v>
      </c>
      <c r="H543" s="24"/>
      <c r="I543" s="24"/>
      <c r="J543" s="126"/>
      <c r="K543" s="160" t="s">
        <v>1727</v>
      </c>
      <c r="L543" s="124" t="s">
        <v>1728</v>
      </c>
      <c r="M543" s="124" t="s">
        <v>1729</v>
      </c>
      <c r="N543" s="124" t="s">
        <v>168</v>
      </c>
      <c r="O543" s="126"/>
      <c r="P543" s="126"/>
      <c r="Q543" s="24"/>
      <c r="R543" s="124" t="s">
        <v>1730</v>
      </c>
      <c r="S543" s="126"/>
      <c r="T543" s="124" t="s">
        <v>208</v>
      </c>
      <c r="U543" s="126"/>
      <c r="V543" s="126"/>
      <c r="W543" s="124" t="s">
        <v>115</v>
      </c>
      <c r="X543" s="24"/>
      <c r="Y543" s="126"/>
      <c r="Z543" s="24"/>
      <c r="AA543" s="24"/>
      <c r="AB543" s="24"/>
      <c r="AC543" s="24"/>
      <c r="AD543" s="182"/>
      <c r="AE543" s="182"/>
      <c r="AF543" s="121">
        <v>249043002</v>
      </c>
      <c r="AG543" s="182"/>
      <c r="AH543" s="115" t="s">
        <v>115</v>
      </c>
      <c r="AI543" s="115" t="s">
        <v>1731</v>
      </c>
      <c r="AJ543" s="115" t="s">
        <v>1732</v>
      </c>
      <c r="AK543" s="24"/>
      <c r="AL543" s="24"/>
      <c r="AM543" s="24"/>
    </row>
    <row r="544" spans="1:39" ht="12.75" customHeight="1">
      <c r="A544" s="22">
        <v>542</v>
      </c>
      <c r="B544" s="24" t="s">
        <v>1733</v>
      </c>
      <c r="C544" s="24" t="s">
        <v>96</v>
      </c>
      <c r="D544" s="24"/>
      <c r="E544" s="24" t="s">
        <v>1710</v>
      </c>
      <c r="F544" s="24">
        <v>1</v>
      </c>
      <c r="G544" s="24" t="s">
        <v>1308</v>
      </c>
      <c r="H544" s="24"/>
      <c r="I544" s="24"/>
      <c r="J544" s="126"/>
      <c r="K544" s="130" t="s">
        <v>1733</v>
      </c>
      <c r="L544" s="130" t="s">
        <v>1734</v>
      </c>
      <c r="M544" s="124" t="s">
        <v>1735</v>
      </c>
      <c r="N544" s="130" t="s">
        <v>168</v>
      </c>
      <c r="O544" s="126"/>
      <c r="P544" s="126"/>
      <c r="Q544" s="24"/>
      <c r="R544" s="124" t="s">
        <v>1730</v>
      </c>
      <c r="S544" s="126"/>
      <c r="T544" s="130" t="s">
        <v>113</v>
      </c>
      <c r="U544" s="126"/>
      <c r="V544" s="126"/>
      <c r="W544" s="124" t="s">
        <v>115</v>
      </c>
      <c r="X544" s="24"/>
      <c r="Y544" s="126"/>
      <c r="Z544" s="24"/>
      <c r="AA544" s="24"/>
      <c r="AB544" s="24"/>
      <c r="AC544" s="24"/>
      <c r="AD544" s="182"/>
      <c r="AE544" s="182"/>
      <c r="AF544" s="121">
        <v>249043002</v>
      </c>
      <c r="AG544" s="182"/>
      <c r="AH544" s="115" t="s">
        <v>115</v>
      </c>
      <c r="AI544" s="115" t="s">
        <v>1731</v>
      </c>
      <c r="AJ544" s="115" t="s">
        <v>1732</v>
      </c>
      <c r="AK544" s="24"/>
      <c r="AL544" s="24"/>
      <c r="AM544" s="24"/>
    </row>
    <row r="545" spans="1:41" ht="12.75" customHeight="1">
      <c r="A545" s="22">
        <v>543</v>
      </c>
      <c r="B545" s="24" t="s">
        <v>1736</v>
      </c>
      <c r="C545" s="24" t="s">
        <v>96</v>
      </c>
      <c r="D545" s="24"/>
      <c r="E545" s="24" t="s">
        <v>1710</v>
      </c>
      <c r="F545" s="24">
        <v>1</v>
      </c>
      <c r="G545" s="24" t="s">
        <v>1308</v>
      </c>
      <c r="H545" s="24"/>
      <c r="I545" s="24"/>
      <c r="J545" s="126"/>
      <c r="K545" s="124" t="s">
        <v>1736</v>
      </c>
      <c r="L545" s="124" t="s">
        <v>1737</v>
      </c>
      <c r="M545" s="124" t="s">
        <v>1738</v>
      </c>
      <c r="N545" s="124" t="s">
        <v>168</v>
      </c>
      <c r="O545" s="126"/>
      <c r="P545" s="124"/>
      <c r="Q545" s="24"/>
      <c r="R545" s="124" t="s">
        <v>1739</v>
      </c>
      <c r="S545" s="126"/>
      <c r="T545" s="124" t="s">
        <v>1740</v>
      </c>
      <c r="U545" s="126"/>
      <c r="V545" s="126"/>
      <c r="W545" s="124" t="s">
        <v>1741</v>
      </c>
      <c r="X545" s="24"/>
      <c r="Y545" s="126"/>
      <c r="Z545" s="24"/>
      <c r="AA545" s="24"/>
      <c r="AB545" s="24"/>
      <c r="AC545" s="24"/>
      <c r="AD545" s="233"/>
      <c r="AE545" s="233"/>
      <c r="AF545" s="233"/>
      <c r="AG545" s="233"/>
      <c r="AH545" s="115" t="s">
        <v>115</v>
      </c>
      <c r="AI545" s="115" t="s">
        <v>1742</v>
      </c>
      <c r="AJ545" s="115" t="s">
        <v>1743</v>
      </c>
      <c r="AK545" s="24"/>
      <c r="AL545" s="24"/>
      <c r="AM545" s="24"/>
    </row>
    <row r="546" spans="1:41" ht="12.75" customHeight="1">
      <c r="A546" s="22">
        <v>544</v>
      </c>
      <c r="B546" s="24" t="s">
        <v>1744</v>
      </c>
      <c r="C546" s="24" t="s">
        <v>96</v>
      </c>
      <c r="D546" s="24"/>
      <c r="E546" s="24" t="s">
        <v>1710</v>
      </c>
      <c r="F546" s="24">
        <v>1</v>
      </c>
      <c r="G546" s="24" t="s">
        <v>1308</v>
      </c>
      <c r="H546" s="24"/>
      <c r="I546" s="24"/>
      <c r="J546" s="126"/>
      <c r="K546" s="124" t="s">
        <v>1744</v>
      </c>
      <c r="L546" s="124" t="s">
        <v>1745</v>
      </c>
      <c r="M546" s="124" t="s">
        <v>1746</v>
      </c>
      <c r="N546" s="124" t="s">
        <v>153</v>
      </c>
      <c r="O546" s="126"/>
      <c r="P546" s="124"/>
      <c r="Q546" s="24"/>
      <c r="R546" s="124"/>
      <c r="S546" s="126"/>
      <c r="T546" s="124" t="s">
        <v>1740</v>
      </c>
      <c r="U546" s="126"/>
      <c r="V546" s="126"/>
      <c r="W546" s="124" t="s">
        <v>1741</v>
      </c>
      <c r="X546" s="24"/>
      <c r="Y546" s="126"/>
      <c r="Z546" s="24"/>
      <c r="AA546" s="24"/>
      <c r="AB546" s="24"/>
      <c r="AC546" s="24"/>
      <c r="AD546" s="233"/>
      <c r="AE546" s="233"/>
      <c r="AF546" s="233"/>
      <c r="AG546" s="233"/>
      <c r="AH546" s="115" t="s">
        <v>115</v>
      </c>
      <c r="AI546" s="115" t="s">
        <v>1747</v>
      </c>
      <c r="AJ546" s="115" t="s">
        <v>1748</v>
      </c>
      <c r="AK546" s="24"/>
      <c r="AL546" s="24"/>
      <c r="AM546" s="24"/>
    </row>
    <row r="547" spans="1:41" ht="12.75" customHeight="1">
      <c r="A547" s="22">
        <v>545</v>
      </c>
      <c r="B547" s="24" t="s">
        <v>1749</v>
      </c>
      <c r="C547" s="24" t="s">
        <v>96</v>
      </c>
      <c r="D547" s="24"/>
      <c r="E547" s="24" t="s">
        <v>1710</v>
      </c>
      <c r="F547" s="24">
        <v>1</v>
      </c>
      <c r="G547" s="24" t="s">
        <v>1308</v>
      </c>
      <c r="H547" s="24"/>
      <c r="I547" s="24"/>
      <c r="J547" s="126"/>
      <c r="K547" s="124" t="s">
        <v>1750</v>
      </c>
      <c r="L547" s="124" t="s">
        <v>1751</v>
      </c>
      <c r="M547" s="124" t="s">
        <v>1752</v>
      </c>
      <c r="N547" s="124" t="s">
        <v>202</v>
      </c>
      <c r="O547" s="126"/>
      <c r="P547" s="124"/>
      <c r="Q547" s="24"/>
      <c r="R547" s="126"/>
      <c r="S547" s="126"/>
      <c r="T547" s="130" t="s">
        <v>113</v>
      </c>
      <c r="U547" s="126"/>
      <c r="V547" s="126"/>
      <c r="W547" s="124" t="s">
        <v>1753</v>
      </c>
      <c r="X547" s="24"/>
      <c r="Y547" s="126"/>
      <c r="Z547" s="24"/>
      <c r="AA547" s="24"/>
      <c r="AB547" s="24"/>
      <c r="AC547" s="24"/>
      <c r="AD547" s="182"/>
      <c r="AE547" s="182"/>
      <c r="AF547" s="113">
        <v>271692001</v>
      </c>
      <c r="AG547" s="182"/>
      <c r="AH547" s="115" t="s">
        <v>115</v>
      </c>
      <c r="AI547" s="115" t="s">
        <v>1754</v>
      </c>
      <c r="AJ547" s="115" t="s">
        <v>1755</v>
      </c>
      <c r="AK547" s="24"/>
      <c r="AL547" s="24"/>
      <c r="AM547" s="24"/>
    </row>
    <row r="548" spans="1:41" ht="12.75" customHeight="1">
      <c r="A548" s="22">
        <v>546</v>
      </c>
      <c r="B548" s="24" t="s">
        <v>936</v>
      </c>
      <c r="C548" s="24" t="s">
        <v>180</v>
      </c>
      <c r="D548" s="24" t="s">
        <v>1750</v>
      </c>
      <c r="E548" s="24" t="s">
        <v>1710</v>
      </c>
      <c r="F548" s="24">
        <v>1</v>
      </c>
      <c r="G548" s="24" t="s">
        <v>1308</v>
      </c>
      <c r="H548" s="24"/>
      <c r="I548" s="24"/>
      <c r="J548" s="126"/>
      <c r="K548" s="126"/>
      <c r="L548" s="126"/>
      <c r="M548" s="126"/>
      <c r="N548" s="126"/>
      <c r="O548" s="126" t="s">
        <v>936</v>
      </c>
      <c r="P548" s="126"/>
      <c r="Q548" s="24"/>
      <c r="R548" s="126"/>
      <c r="S548" s="126"/>
      <c r="T548" s="126"/>
      <c r="U548" s="126"/>
      <c r="V548" s="126"/>
      <c r="W548" s="126"/>
      <c r="X548" s="24"/>
      <c r="Y548" s="126"/>
      <c r="Z548" s="24"/>
      <c r="AA548" s="24"/>
      <c r="AB548" s="24"/>
      <c r="AC548" s="24"/>
      <c r="AD548" s="182"/>
      <c r="AE548" s="182"/>
      <c r="AF548" s="113">
        <v>261665006</v>
      </c>
      <c r="AG548" s="182"/>
      <c r="AH548" s="115" t="s">
        <v>115</v>
      </c>
      <c r="AI548" s="115" t="s">
        <v>501</v>
      </c>
      <c r="AJ548" s="115" t="s">
        <v>503</v>
      </c>
      <c r="AK548" s="24"/>
      <c r="AL548" s="24"/>
      <c r="AM548" s="24"/>
    </row>
    <row r="549" spans="1:41" ht="12.75" customHeight="1">
      <c r="A549" s="22">
        <v>547</v>
      </c>
      <c r="B549" s="24" t="s">
        <v>1756</v>
      </c>
      <c r="C549" s="24" t="s">
        <v>180</v>
      </c>
      <c r="D549" s="24" t="s">
        <v>1750</v>
      </c>
      <c r="E549" s="24" t="s">
        <v>1710</v>
      </c>
      <c r="F549" s="24">
        <v>1</v>
      </c>
      <c r="G549" s="24" t="s">
        <v>1308</v>
      </c>
      <c r="H549" s="24"/>
      <c r="I549" s="24"/>
      <c r="J549" s="126"/>
      <c r="K549" s="126"/>
      <c r="L549" s="126"/>
      <c r="M549" s="126"/>
      <c r="N549" s="126"/>
      <c r="O549" s="124" t="s">
        <v>1756</v>
      </c>
      <c r="P549" s="126"/>
      <c r="Q549" s="24"/>
      <c r="R549" s="126"/>
      <c r="S549" s="126"/>
      <c r="T549" s="126"/>
      <c r="U549" s="126"/>
      <c r="V549" s="126"/>
      <c r="W549" s="126"/>
      <c r="X549" s="24"/>
      <c r="Y549" s="126"/>
      <c r="Z549" s="24"/>
      <c r="AA549" s="24"/>
      <c r="AB549" s="24"/>
      <c r="AC549" s="24"/>
      <c r="AD549" s="182"/>
      <c r="AE549" s="182"/>
      <c r="AF549" s="113">
        <v>70028003</v>
      </c>
      <c r="AG549" s="182"/>
      <c r="AH549" s="115" t="s">
        <v>115</v>
      </c>
      <c r="AI549" s="115" t="s">
        <v>1757</v>
      </c>
      <c r="AJ549" s="115" t="s">
        <v>1758</v>
      </c>
      <c r="AK549" s="24"/>
      <c r="AL549" s="24"/>
      <c r="AM549" s="24"/>
    </row>
    <row r="550" spans="1:41" ht="12.75" customHeight="1">
      <c r="A550" s="22">
        <v>548</v>
      </c>
      <c r="B550" s="24" t="s">
        <v>1759</v>
      </c>
      <c r="C550" s="24" t="s">
        <v>180</v>
      </c>
      <c r="D550" s="24" t="s">
        <v>1750</v>
      </c>
      <c r="E550" s="24" t="s">
        <v>1710</v>
      </c>
      <c r="F550" s="24">
        <v>1</v>
      </c>
      <c r="G550" s="24" t="s">
        <v>1308</v>
      </c>
      <c r="H550" s="24"/>
      <c r="I550" s="24"/>
      <c r="J550" s="126"/>
      <c r="K550" s="126"/>
      <c r="L550" s="126"/>
      <c r="M550" s="126"/>
      <c r="N550" s="126"/>
      <c r="O550" s="124" t="s">
        <v>1759</v>
      </c>
      <c r="P550" s="126"/>
      <c r="Q550" s="24"/>
      <c r="R550" s="126"/>
      <c r="S550" s="126"/>
      <c r="T550" s="126"/>
      <c r="U550" s="126"/>
      <c r="V550" s="126"/>
      <c r="W550" s="126"/>
      <c r="X550" s="24"/>
      <c r="Y550" s="126"/>
      <c r="Z550" s="24"/>
      <c r="AA550" s="24"/>
      <c r="AB550" s="24"/>
      <c r="AC550" s="24"/>
      <c r="AD550" s="233"/>
      <c r="AE550" s="233"/>
      <c r="AF550" s="275"/>
      <c r="AG550" s="233"/>
      <c r="AH550" s="115" t="s">
        <v>115</v>
      </c>
      <c r="AI550" s="115" t="s">
        <v>1760</v>
      </c>
      <c r="AJ550" s="115" t="s">
        <v>1761</v>
      </c>
      <c r="AK550" s="24"/>
      <c r="AL550" s="24"/>
      <c r="AM550" s="24"/>
    </row>
    <row r="551" spans="1:41" ht="12.75" customHeight="1">
      <c r="A551" s="22">
        <v>549</v>
      </c>
      <c r="B551" s="24" t="s">
        <v>1762</v>
      </c>
      <c r="C551" s="24" t="s">
        <v>180</v>
      </c>
      <c r="D551" s="24" t="s">
        <v>1750</v>
      </c>
      <c r="E551" s="24" t="s">
        <v>1710</v>
      </c>
      <c r="F551" s="24">
        <v>1</v>
      </c>
      <c r="G551" s="24" t="s">
        <v>1308</v>
      </c>
      <c r="H551" s="24"/>
      <c r="I551" s="24"/>
      <c r="J551" s="126"/>
      <c r="K551" s="126"/>
      <c r="L551" s="126"/>
      <c r="M551" s="126"/>
      <c r="N551" s="126"/>
      <c r="O551" s="124" t="s">
        <v>1762</v>
      </c>
      <c r="P551" s="126"/>
      <c r="Q551" s="24"/>
      <c r="R551" s="126"/>
      <c r="S551" s="126"/>
      <c r="T551" s="126"/>
      <c r="U551" s="126"/>
      <c r="V551" s="126"/>
      <c r="W551" s="126"/>
      <c r="X551" s="24"/>
      <c r="Y551" s="126"/>
      <c r="Z551" s="24"/>
      <c r="AA551" s="24"/>
      <c r="AB551" s="24"/>
      <c r="AC551" s="24"/>
      <c r="AD551" s="182"/>
      <c r="AE551" s="182"/>
      <c r="AF551" s="113">
        <v>11914001</v>
      </c>
      <c r="AG551" s="182"/>
      <c r="AH551" s="115" t="s">
        <v>115</v>
      </c>
      <c r="AI551" s="115" t="s">
        <v>1763</v>
      </c>
      <c r="AJ551" s="115" t="s">
        <v>1764</v>
      </c>
      <c r="AK551" s="24"/>
      <c r="AL551" s="24"/>
      <c r="AM551" s="24"/>
    </row>
    <row r="552" spans="1:41" ht="12.75" customHeight="1">
      <c r="A552" s="22">
        <v>550</v>
      </c>
      <c r="B552" s="24" t="s">
        <v>1387</v>
      </c>
      <c r="C552" s="24" t="s">
        <v>180</v>
      </c>
      <c r="D552" s="24" t="s">
        <v>1750</v>
      </c>
      <c r="E552" s="24" t="s">
        <v>1710</v>
      </c>
      <c r="F552" s="24">
        <v>1</v>
      </c>
      <c r="G552" s="24" t="s">
        <v>1308</v>
      </c>
      <c r="H552" s="24"/>
      <c r="I552" s="24"/>
      <c r="J552" s="126"/>
      <c r="K552" s="126"/>
      <c r="L552" s="126"/>
      <c r="M552" s="126"/>
      <c r="N552" s="126"/>
      <c r="O552" s="124" t="s">
        <v>1387</v>
      </c>
      <c r="P552" s="126"/>
      <c r="Q552" s="24"/>
      <c r="R552" s="126"/>
      <c r="S552" s="126"/>
      <c r="T552" s="126"/>
      <c r="U552" s="126"/>
      <c r="V552" s="126"/>
      <c r="W552" s="126"/>
      <c r="X552" s="24"/>
      <c r="Y552" s="126"/>
      <c r="Z552" s="24"/>
      <c r="AA552" s="24"/>
      <c r="AB552" s="24"/>
      <c r="AC552" s="24"/>
      <c r="AD552" s="182"/>
      <c r="AE552" s="182"/>
      <c r="AF552" s="175" t="s">
        <v>1585</v>
      </c>
      <c r="AG552" s="182"/>
      <c r="AH552" s="115" t="s">
        <v>115</v>
      </c>
      <c r="AI552" s="115" t="s">
        <v>406</v>
      </c>
      <c r="AJ552" s="115" t="s">
        <v>407</v>
      </c>
      <c r="AK552" s="24"/>
      <c r="AL552" s="24"/>
      <c r="AM552" s="24"/>
      <c r="AN552" s="24"/>
      <c r="AO552" s="24"/>
    </row>
    <row r="553" spans="1:41" ht="12.75" customHeight="1">
      <c r="A553" s="22">
        <v>551</v>
      </c>
      <c r="B553" s="24" t="s">
        <v>1765</v>
      </c>
      <c r="C553" s="24" t="s">
        <v>96</v>
      </c>
      <c r="D553" s="24"/>
      <c r="E553" s="24" t="s">
        <v>1766</v>
      </c>
      <c r="F553" s="24">
        <v>1</v>
      </c>
      <c r="G553" s="24" t="s">
        <v>1767</v>
      </c>
      <c r="H553" s="24"/>
      <c r="I553" s="24"/>
      <c r="J553" s="283"/>
      <c r="K553" s="224" t="s">
        <v>1765</v>
      </c>
      <c r="L553" s="224" t="s">
        <v>1768</v>
      </c>
      <c r="M553" s="224" t="s">
        <v>1769</v>
      </c>
      <c r="N553" s="224" t="s">
        <v>202</v>
      </c>
      <c r="O553" s="224"/>
      <c r="P553" s="224"/>
      <c r="Q553" s="24"/>
      <c r="R553" s="224"/>
      <c r="S553" s="283"/>
      <c r="T553" s="224" t="s">
        <v>113</v>
      </c>
      <c r="U553" s="283"/>
      <c r="V553" s="283"/>
      <c r="W553" s="224" t="s">
        <v>1770</v>
      </c>
      <c r="X553" s="24"/>
      <c r="Y553" s="283"/>
      <c r="Z553" s="24"/>
      <c r="AA553" s="24"/>
      <c r="AB553" s="24"/>
      <c r="AC553" s="24"/>
      <c r="AD553" s="284"/>
      <c r="AE553" s="284"/>
      <c r="AF553" s="284"/>
      <c r="AG553" s="284"/>
      <c r="AH553" s="285" t="s">
        <v>1772</v>
      </c>
      <c r="AI553" s="205" t="s">
        <v>1773</v>
      </c>
      <c r="AJ553" s="285" t="s">
        <v>1774</v>
      </c>
      <c r="AK553" s="24"/>
      <c r="AL553" s="24"/>
      <c r="AM553" s="24"/>
    </row>
    <row r="554" spans="1:41" ht="12.75" customHeight="1">
      <c r="A554" s="22">
        <v>552</v>
      </c>
      <c r="B554" s="24" t="s">
        <v>1775</v>
      </c>
      <c r="C554" s="24" t="s">
        <v>180</v>
      </c>
      <c r="D554" s="24" t="s">
        <v>1765</v>
      </c>
      <c r="E554" s="24" t="s">
        <v>1766</v>
      </c>
      <c r="F554" s="24">
        <v>1</v>
      </c>
      <c r="G554" s="24" t="s">
        <v>1767</v>
      </c>
      <c r="H554" s="24"/>
      <c r="I554" s="24"/>
      <c r="J554" s="283"/>
      <c r="K554" s="224"/>
      <c r="L554" s="224"/>
      <c r="M554" s="224"/>
      <c r="N554" s="224"/>
      <c r="O554" s="224" t="s">
        <v>1775</v>
      </c>
      <c r="P554" s="224"/>
      <c r="Q554" s="24"/>
      <c r="R554" s="224"/>
      <c r="S554" s="283"/>
      <c r="T554" s="224"/>
      <c r="U554" s="283"/>
      <c r="V554" s="283"/>
      <c r="W554" s="164"/>
      <c r="X554" s="24"/>
      <c r="Y554" s="283"/>
      <c r="Z554" s="24"/>
      <c r="AA554" s="24"/>
      <c r="AB554" s="24"/>
      <c r="AC554" s="24"/>
      <c r="AD554" s="284"/>
      <c r="AE554" s="284"/>
      <c r="AF554" s="284"/>
      <c r="AG554" s="284"/>
      <c r="AH554" s="285" t="s">
        <v>115</v>
      </c>
      <c r="AI554" s="285" t="s">
        <v>1777</v>
      </c>
      <c r="AJ554" s="285" t="s">
        <v>1778</v>
      </c>
      <c r="AK554" s="24"/>
      <c r="AL554" s="24"/>
      <c r="AM554" s="24"/>
    </row>
    <row r="555" spans="1:41" ht="12.75" customHeight="1">
      <c r="A555" s="22">
        <v>553</v>
      </c>
      <c r="B555" s="24" t="s">
        <v>1779</v>
      </c>
      <c r="C555" s="24" t="s">
        <v>180</v>
      </c>
      <c r="D555" s="24" t="s">
        <v>1765</v>
      </c>
      <c r="E555" s="24" t="s">
        <v>1766</v>
      </c>
      <c r="F555" s="24">
        <v>1</v>
      </c>
      <c r="G555" s="24" t="s">
        <v>1767</v>
      </c>
      <c r="H555" s="24"/>
      <c r="I555" s="24"/>
      <c r="J555" s="283"/>
      <c r="K555" s="224"/>
      <c r="L555" s="224"/>
      <c r="M555" s="224"/>
      <c r="N555" s="224"/>
      <c r="O555" s="204" t="s">
        <v>1779</v>
      </c>
      <c r="P555" s="224"/>
      <c r="Q555" s="24"/>
      <c r="R555" s="224"/>
      <c r="S555" s="283"/>
      <c r="T555" s="224"/>
      <c r="U555" s="283"/>
      <c r="V555" s="283"/>
      <c r="W555" s="164"/>
      <c r="X555" s="24"/>
      <c r="Y555" s="283"/>
      <c r="Z555" s="24"/>
      <c r="AA555" s="24"/>
      <c r="AB555" s="24"/>
      <c r="AC555" s="24"/>
      <c r="AD555" s="284"/>
      <c r="AE555" s="284"/>
      <c r="AF555" s="286"/>
      <c r="AG555" s="284"/>
      <c r="AH555" s="285" t="s">
        <v>115</v>
      </c>
      <c r="AI555" s="285" t="s">
        <v>1781</v>
      </c>
      <c r="AJ555" s="285" t="s">
        <v>1782</v>
      </c>
      <c r="AK555" s="24"/>
      <c r="AL555" s="24"/>
      <c r="AM555" s="24"/>
    </row>
    <row r="556" spans="1:41" ht="12.75" customHeight="1">
      <c r="A556" s="22">
        <v>554</v>
      </c>
      <c r="B556" s="24" t="s">
        <v>1783</v>
      </c>
      <c r="C556" s="24" t="s">
        <v>180</v>
      </c>
      <c r="D556" s="24" t="s">
        <v>1765</v>
      </c>
      <c r="E556" s="24" t="s">
        <v>1766</v>
      </c>
      <c r="F556" s="24">
        <v>1</v>
      </c>
      <c r="G556" s="24" t="s">
        <v>1767</v>
      </c>
      <c r="H556" s="24"/>
      <c r="I556" s="24"/>
      <c r="J556" s="283"/>
      <c r="K556" s="224"/>
      <c r="L556" s="224"/>
      <c r="M556" s="224"/>
      <c r="N556" s="224"/>
      <c r="O556" s="204" t="s">
        <v>1783</v>
      </c>
      <c r="P556" s="224"/>
      <c r="Q556" s="24"/>
      <c r="R556" s="224"/>
      <c r="S556" s="283"/>
      <c r="T556" s="224"/>
      <c r="U556" s="283"/>
      <c r="V556" s="283"/>
      <c r="W556" s="164"/>
      <c r="X556" s="24"/>
      <c r="Y556" s="283"/>
      <c r="Z556" s="24"/>
      <c r="AA556" s="24"/>
      <c r="AB556" s="24"/>
      <c r="AC556" s="24"/>
      <c r="AD556" s="284"/>
      <c r="AE556" s="284"/>
      <c r="AF556" s="286"/>
      <c r="AG556" s="284"/>
      <c r="AH556" s="285" t="s">
        <v>115</v>
      </c>
      <c r="AI556" s="285" t="s">
        <v>1784</v>
      </c>
      <c r="AJ556" s="205" t="s">
        <v>1785</v>
      </c>
      <c r="AK556" s="24"/>
      <c r="AL556" s="24"/>
      <c r="AM556" s="24"/>
    </row>
    <row r="557" spans="1:41" ht="12.75" customHeight="1">
      <c r="A557" s="22">
        <v>555</v>
      </c>
      <c r="B557" s="24" t="s">
        <v>1468</v>
      </c>
      <c r="C557" s="24" t="s">
        <v>180</v>
      </c>
      <c r="D557" s="24" t="s">
        <v>1765</v>
      </c>
      <c r="E557" s="24" t="s">
        <v>1766</v>
      </c>
      <c r="F557" s="24">
        <v>1</v>
      </c>
      <c r="G557" s="24" t="s">
        <v>1767</v>
      </c>
      <c r="H557" s="24"/>
      <c r="I557" s="24"/>
      <c r="J557" s="283"/>
      <c r="K557" s="224"/>
      <c r="L557" s="224"/>
      <c r="M557" s="224"/>
      <c r="N557" s="224"/>
      <c r="O557" s="204" t="s">
        <v>1468</v>
      </c>
      <c r="P557" s="224"/>
      <c r="Q557" s="24"/>
      <c r="R557" s="224"/>
      <c r="S557" s="283"/>
      <c r="T557" s="224"/>
      <c r="U557" s="283"/>
      <c r="V557" s="283"/>
      <c r="W557" s="164"/>
      <c r="X557" s="24"/>
      <c r="Y557" s="283"/>
      <c r="Z557" s="24"/>
      <c r="AA557" s="24"/>
      <c r="AB557" s="24"/>
      <c r="AC557" s="24"/>
      <c r="AD557" s="130"/>
      <c r="AE557" s="130"/>
      <c r="AF557" s="287">
        <v>385660001</v>
      </c>
      <c r="AG557" s="130"/>
      <c r="AH557" s="285" t="s">
        <v>115</v>
      </c>
      <c r="AI557" s="285" t="s">
        <v>1469</v>
      </c>
      <c r="AJ557" s="205" t="s">
        <v>1470</v>
      </c>
      <c r="AK557" s="24"/>
      <c r="AL557" s="24"/>
      <c r="AM557" s="24"/>
    </row>
    <row r="558" spans="1:41" ht="12.75" customHeight="1">
      <c r="A558" s="22">
        <v>556</v>
      </c>
      <c r="B558" s="24" t="s">
        <v>1786</v>
      </c>
      <c r="C558" s="24" t="s">
        <v>96</v>
      </c>
      <c r="D558" s="24" t="s">
        <v>1787</v>
      </c>
      <c r="E558" s="24" t="s">
        <v>1766</v>
      </c>
      <c r="F558" s="24">
        <v>1</v>
      </c>
      <c r="G558" s="24" t="s">
        <v>1767</v>
      </c>
      <c r="H558" s="24"/>
      <c r="I558" s="24"/>
      <c r="J558" s="283"/>
      <c r="K558" s="224" t="s">
        <v>1376</v>
      </c>
      <c r="L558" s="224" t="s">
        <v>1788</v>
      </c>
      <c r="M558" s="224" t="s">
        <v>1789</v>
      </c>
      <c r="N558" s="224" t="s">
        <v>202</v>
      </c>
      <c r="O558" s="204"/>
      <c r="P558" s="224"/>
      <c r="Q558" s="24"/>
      <c r="R558" s="224"/>
      <c r="S558" s="283"/>
      <c r="T558" s="224" t="s">
        <v>113</v>
      </c>
      <c r="U558" s="283"/>
      <c r="V558" s="283"/>
      <c r="W558" s="164" t="s">
        <v>115</v>
      </c>
      <c r="X558" s="24"/>
      <c r="Y558" s="283"/>
      <c r="Z558" s="24"/>
      <c r="AA558" s="24"/>
      <c r="AB558" s="24"/>
      <c r="AC558" s="24"/>
      <c r="AD558" s="284"/>
      <c r="AE558" s="284"/>
      <c r="AF558" s="286"/>
      <c r="AG558" s="284"/>
      <c r="AH558" s="285" t="s">
        <v>1772</v>
      </c>
      <c r="AI558" s="285" t="s">
        <v>1791</v>
      </c>
      <c r="AJ558" s="285" t="s">
        <v>1792</v>
      </c>
      <c r="AK558" s="24"/>
      <c r="AL558" s="24"/>
      <c r="AM558" s="24"/>
    </row>
    <row r="559" spans="1:41" ht="12.75" customHeight="1">
      <c r="A559" s="22">
        <v>557</v>
      </c>
      <c r="B559" s="24" t="s">
        <v>1793</v>
      </c>
      <c r="C559" s="24" t="s">
        <v>180</v>
      </c>
      <c r="D559" s="24" t="s">
        <v>1376</v>
      </c>
      <c r="E559" s="24" t="s">
        <v>1766</v>
      </c>
      <c r="F559" s="24">
        <v>1</v>
      </c>
      <c r="G559" s="24" t="s">
        <v>1767</v>
      </c>
      <c r="H559" s="24"/>
      <c r="I559" s="24"/>
      <c r="J559" s="283"/>
      <c r="K559" s="196"/>
      <c r="L559" s="196"/>
      <c r="M559" s="196"/>
      <c r="N559" s="204"/>
      <c r="O559" s="204" t="s">
        <v>1793</v>
      </c>
      <c r="P559" s="204"/>
      <c r="Q559" s="24"/>
      <c r="R559" s="204"/>
      <c r="S559" s="283"/>
      <c r="T559" s="224"/>
      <c r="U559" s="283"/>
      <c r="V559" s="283"/>
      <c r="W559" s="196"/>
      <c r="X559" s="24"/>
      <c r="Y559" s="283"/>
      <c r="Z559" s="24"/>
      <c r="AA559" s="24"/>
      <c r="AB559" s="24"/>
      <c r="AC559" s="24"/>
      <c r="AD559" s="284"/>
      <c r="AE559" s="284"/>
      <c r="AF559" s="286"/>
      <c r="AG559" s="284"/>
      <c r="AH559" s="285" t="s">
        <v>115</v>
      </c>
      <c r="AI559" s="285" t="s">
        <v>1794</v>
      </c>
      <c r="AJ559" s="285" t="s">
        <v>1795</v>
      </c>
      <c r="AK559" s="24"/>
      <c r="AL559" s="24"/>
      <c r="AM559" s="24"/>
    </row>
    <row r="560" spans="1:41" ht="12.75" customHeight="1">
      <c r="A560" s="22">
        <v>558</v>
      </c>
      <c r="B560" s="24" t="s">
        <v>1796</v>
      </c>
      <c r="C560" s="24" t="s">
        <v>180</v>
      </c>
      <c r="D560" s="24" t="s">
        <v>1376</v>
      </c>
      <c r="E560" s="24" t="s">
        <v>1766</v>
      </c>
      <c r="F560" s="24">
        <v>1</v>
      </c>
      <c r="G560" s="24" t="s">
        <v>1767</v>
      </c>
      <c r="H560" s="24"/>
      <c r="I560" s="24"/>
      <c r="J560" s="283"/>
      <c r="K560" s="196"/>
      <c r="L560" s="196"/>
      <c r="M560" s="196"/>
      <c r="N560" s="204"/>
      <c r="O560" s="204" t="s">
        <v>1796</v>
      </c>
      <c r="P560" s="204"/>
      <c r="Q560" s="24"/>
      <c r="R560" s="204"/>
      <c r="S560" s="283"/>
      <c r="T560" s="224"/>
      <c r="U560" s="283"/>
      <c r="V560" s="283"/>
      <c r="W560" s="196"/>
      <c r="X560" s="24"/>
      <c r="Y560" s="283"/>
      <c r="Z560" s="24"/>
      <c r="AA560" s="24"/>
      <c r="AB560" s="24"/>
      <c r="AC560" s="24"/>
      <c r="AD560" s="284"/>
      <c r="AE560" s="284"/>
      <c r="AF560" s="286"/>
      <c r="AG560" s="284"/>
      <c r="AH560" s="285" t="s">
        <v>115</v>
      </c>
      <c r="AI560" s="285" t="s">
        <v>1382</v>
      </c>
      <c r="AJ560" s="285" t="s">
        <v>1383</v>
      </c>
      <c r="AK560" s="24"/>
      <c r="AL560" s="24"/>
      <c r="AM560" s="24"/>
    </row>
    <row r="561" spans="1:39" ht="12.75" customHeight="1">
      <c r="A561" s="22">
        <v>559</v>
      </c>
      <c r="B561" s="24" t="s">
        <v>405</v>
      </c>
      <c r="C561" s="24" t="s">
        <v>180</v>
      </c>
      <c r="D561" s="24" t="s">
        <v>1376</v>
      </c>
      <c r="E561" s="24" t="s">
        <v>1766</v>
      </c>
      <c r="F561" s="24">
        <v>1</v>
      </c>
      <c r="G561" s="24" t="s">
        <v>1767</v>
      </c>
      <c r="H561" s="24"/>
      <c r="I561" s="24"/>
      <c r="J561" s="283"/>
      <c r="K561" s="196"/>
      <c r="L561" s="196"/>
      <c r="M561" s="196"/>
      <c r="N561" s="204"/>
      <c r="O561" s="204" t="s">
        <v>405</v>
      </c>
      <c r="P561" s="204"/>
      <c r="Q561" s="24"/>
      <c r="R561" s="204"/>
      <c r="S561" s="283"/>
      <c r="T561" s="224"/>
      <c r="U561" s="283"/>
      <c r="V561" s="283"/>
      <c r="W561" s="196"/>
      <c r="X561" s="24"/>
      <c r="Y561" s="283"/>
      <c r="Z561" s="24"/>
      <c r="AA561" s="24"/>
      <c r="AB561" s="24"/>
      <c r="AC561" s="24"/>
      <c r="AD561" s="130"/>
      <c r="AE561" s="130"/>
      <c r="AF561" s="288" t="s">
        <v>1585</v>
      </c>
      <c r="AG561" s="130"/>
      <c r="AH561" s="285" t="s">
        <v>115</v>
      </c>
      <c r="AI561" s="205" t="s">
        <v>406</v>
      </c>
      <c r="AJ561" s="205" t="s">
        <v>407</v>
      </c>
      <c r="AK561" s="24"/>
      <c r="AL561" s="24"/>
      <c r="AM561" s="24"/>
    </row>
    <row r="562" spans="1:39" ht="12.75" customHeight="1">
      <c r="A562" s="22">
        <v>560</v>
      </c>
      <c r="B562" s="24" t="s">
        <v>1797</v>
      </c>
      <c r="C562" s="24" t="s">
        <v>96</v>
      </c>
      <c r="D562" s="24" t="s">
        <v>1787</v>
      </c>
      <c r="E562" s="24" t="s">
        <v>1766</v>
      </c>
      <c r="F562" s="24">
        <v>1</v>
      </c>
      <c r="G562" s="24" t="s">
        <v>1767</v>
      </c>
      <c r="H562" s="24"/>
      <c r="I562" s="24"/>
      <c r="J562" s="283"/>
      <c r="K562" s="204" t="s">
        <v>409</v>
      </c>
      <c r="L562" s="196" t="s">
        <v>1798</v>
      </c>
      <c r="M562" s="196" t="s">
        <v>1799</v>
      </c>
      <c r="N562" s="204" t="s">
        <v>111</v>
      </c>
      <c r="O562" s="204"/>
      <c r="P562" s="204"/>
      <c r="Q562" s="24"/>
      <c r="R562" s="204"/>
      <c r="S562" s="283"/>
      <c r="T562" s="224" t="s">
        <v>208</v>
      </c>
      <c r="U562" s="283"/>
      <c r="V562" s="283"/>
      <c r="W562" s="196" t="s">
        <v>115</v>
      </c>
      <c r="X562" s="24"/>
      <c r="Y562" s="283"/>
      <c r="Z562" s="24"/>
      <c r="AA562" s="24"/>
      <c r="AB562" s="24"/>
      <c r="AC562" s="24"/>
      <c r="AD562" s="284"/>
      <c r="AE562" s="284"/>
      <c r="AF562" s="286"/>
      <c r="AG562" s="284"/>
      <c r="AH562" s="285" t="s">
        <v>1772</v>
      </c>
      <c r="AI562" s="205" t="s">
        <v>1800</v>
      </c>
      <c r="AJ562" s="205" t="s">
        <v>1801</v>
      </c>
      <c r="AK562" s="24"/>
      <c r="AL562" s="24"/>
      <c r="AM562" s="24"/>
    </row>
    <row r="563" spans="1:39" ht="12.75" customHeight="1">
      <c r="A563" s="22">
        <v>561</v>
      </c>
      <c r="B563" s="24">
        <v>0</v>
      </c>
      <c r="C563" s="24" t="s">
        <v>96</v>
      </c>
      <c r="D563" s="24" t="s">
        <v>1787</v>
      </c>
      <c r="E563" s="24" t="s">
        <v>1766</v>
      </c>
      <c r="F563" s="24">
        <v>1</v>
      </c>
      <c r="G563" s="24" t="s">
        <v>1767</v>
      </c>
      <c r="H563" s="24" t="s">
        <v>1803</v>
      </c>
      <c r="I563" s="24"/>
      <c r="J563" s="283"/>
      <c r="K563" s="224">
        <v>0</v>
      </c>
      <c r="L563" s="224">
        <v>0</v>
      </c>
      <c r="M563" s="224">
        <v>0</v>
      </c>
      <c r="N563" s="224" t="s">
        <v>140</v>
      </c>
      <c r="O563" s="224"/>
      <c r="P563" s="224">
        <v>0</v>
      </c>
      <c r="Q563" s="24"/>
      <c r="R563" s="224">
        <v>0</v>
      </c>
      <c r="S563" s="283"/>
      <c r="T563" s="224">
        <v>0</v>
      </c>
      <c r="U563" s="283"/>
      <c r="V563" s="283"/>
      <c r="W563" s="164" t="s">
        <v>115</v>
      </c>
      <c r="X563" s="24"/>
      <c r="Y563" s="283"/>
      <c r="Z563" s="24"/>
      <c r="AA563" s="24"/>
      <c r="AB563" s="24"/>
      <c r="AC563" s="24"/>
      <c r="AD563" s="284"/>
      <c r="AE563" s="284"/>
      <c r="AF563" s="286"/>
      <c r="AG563" s="284"/>
      <c r="AH563" s="285" t="s">
        <v>1772</v>
      </c>
      <c r="AI563" s="205" t="s">
        <v>1804</v>
      </c>
      <c r="AJ563" s="205" t="s">
        <v>1805</v>
      </c>
      <c r="AK563" s="24"/>
      <c r="AL563" s="24"/>
      <c r="AM563" s="24"/>
    </row>
    <row r="564" spans="1:39" ht="12.75" customHeight="1">
      <c r="A564" s="22">
        <v>562</v>
      </c>
      <c r="B564" s="24">
        <v>0</v>
      </c>
      <c r="C564" s="24" t="s">
        <v>180</v>
      </c>
      <c r="D564" s="24">
        <v>0</v>
      </c>
      <c r="E564" s="24" t="s">
        <v>1766</v>
      </c>
      <c r="F564" s="24">
        <v>1</v>
      </c>
      <c r="G564" s="24" t="s">
        <v>1767</v>
      </c>
      <c r="H564" s="24" t="s">
        <v>1806</v>
      </c>
      <c r="I564" s="24"/>
      <c r="J564" s="283"/>
      <c r="K564" s="224">
        <v>0</v>
      </c>
      <c r="L564" s="224">
        <v>0</v>
      </c>
      <c r="M564" s="224">
        <v>0</v>
      </c>
      <c r="N564" s="224">
        <v>0</v>
      </c>
      <c r="O564" s="224">
        <v>0</v>
      </c>
      <c r="P564" s="224">
        <v>0</v>
      </c>
      <c r="Q564" s="24"/>
      <c r="R564" s="224">
        <v>0</v>
      </c>
      <c r="S564" s="283"/>
      <c r="T564" s="224">
        <v>0</v>
      </c>
      <c r="U564" s="283"/>
      <c r="V564" s="283"/>
      <c r="W564" s="164" t="s">
        <v>115</v>
      </c>
      <c r="X564" s="24"/>
      <c r="Y564" s="283"/>
      <c r="Z564" s="24"/>
      <c r="AA564" s="24"/>
      <c r="AB564" s="24"/>
      <c r="AC564" s="24"/>
      <c r="AD564" s="284"/>
      <c r="AE564" s="284"/>
      <c r="AF564" s="286"/>
      <c r="AG564" s="284"/>
      <c r="AH564" s="285" t="s">
        <v>115</v>
      </c>
      <c r="AI564" s="205" t="s">
        <v>115</v>
      </c>
      <c r="AJ564" s="205" t="s">
        <v>115</v>
      </c>
      <c r="AK564" s="24"/>
      <c r="AL564" s="24"/>
      <c r="AM564" s="24"/>
    </row>
    <row r="565" spans="1:39" ht="12.75" customHeight="1">
      <c r="A565" s="22">
        <v>563</v>
      </c>
      <c r="B565" s="24" t="s">
        <v>1807</v>
      </c>
      <c r="C565" s="24" t="s">
        <v>96</v>
      </c>
      <c r="D565" s="24" t="s">
        <v>1787</v>
      </c>
      <c r="E565" s="24" t="s">
        <v>1766</v>
      </c>
      <c r="F565" s="24">
        <v>1</v>
      </c>
      <c r="G565" s="24" t="s">
        <v>1767</v>
      </c>
      <c r="H565" s="24"/>
      <c r="I565" s="24"/>
      <c r="J565" s="283"/>
      <c r="K565" s="224" t="s">
        <v>588</v>
      </c>
      <c r="L565" s="224" t="s">
        <v>590</v>
      </c>
      <c r="M565" s="224" t="s">
        <v>591</v>
      </c>
      <c r="N565" s="224" t="s">
        <v>168</v>
      </c>
      <c r="O565" s="164"/>
      <c r="P565" s="164"/>
      <c r="Q565" s="24"/>
      <c r="R565" s="224" t="s">
        <v>592</v>
      </c>
      <c r="S565" s="283"/>
      <c r="T565" s="224" t="s">
        <v>208</v>
      </c>
      <c r="U565" s="283"/>
      <c r="V565" s="283"/>
      <c r="W565" s="164" t="s">
        <v>115</v>
      </c>
      <c r="X565" s="24"/>
      <c r="Y565" s="283"/>
      <c r="Z565" s="24"/>
      <c r="AA565" s="24"/>
      <c r="AB565" s="24"/>
      <c r="AC565" s="24"/>
      <c r="AD565" s="284"/>
      <c r="AE565" s="284"/>
      <c r="AF565" s="286"/>
      <c r="AG565" s="284"/>
      <c r="AH565" s="285" t="s">
        <v>115</v>
      </c>
      <c r="AI565" s="285" t="s">
        <v>115</v>
      </c>
      <c r="AJ565" s="285" t="s">
        <v>115</v>
      </c>
      <c r="AK565" s="24"/>
      <c r="AL565" s="24"/>
      <c r="AM565" s="24"/>
    </row>
    <row r="566" spans="1:39" ht="12.75" customHeight="1">
      <c r="A566" s="22">
        <v>564</v>
      </c>
      <c r="B566" s="24" t="s">
        <v>594</v>
      </c>
      <c r="C566" s="24" t="s">
        <v>65</v>
      </c>
      <c r="D566" s="24" t="s">
        <v>1787</v>
      </c>
      <c r="E566" s="24" t="s">
        <v>1766</v>
      </c>
      <c r="F566" s="24">
        <v>1</v>
      </c>
      <c r="G566" s="24" t="s">
        <v>1767</v>
      </c>
      <c r="H566" s="24"/>
      <c r="I566" s="24"/>
      <c r="J566" s="283"/>
      <c r="K566" s="224" t="s">
        <v>115</v>
      </c>
      <c r="L566" s="224" t="s">
        <v>594</v>
      </c>
      <c r="M566" s="224" t="s">
        <v>595</v>
      </c>
      <c r="N566" s="224" t="s">
        <v>65</v>
      </c>
      <c r="O566" s="164"/>
      <c r="P566" s="224" t="s">
        <v>596</v>
      </c>
      <c r="Q566" s="224"/>
      <c r="R566" s="24"/>
      <c r="S566" s="283"/>
      <c r="T566" s="224" t="s">
        <v>115</v>
      </c>
      <c r="U566" s="283"/>
      <c r="V566" s="283"/>
      <c r="W566" s="164" t="s">
        <v>115</v>
      </c>
      <c r="X566" s="24"/>
      <c r="Y566" s="283"/>
      <c r="Z566" s="24"/>
      <c r="AA566" s="24"/>
      <c r="AB566" s="24"/>
      <c r="AC566" s="24"/>
      <c r="AD566" s="130"/>
      <c r="AE566" s="130"/>
      <c r="AF566" s="289" t="s">
        <v>1808</v>
      </c>
      <c r="AG566" s="130"/>
      <c r="AH566" s="285" t="s">
        <v>115</v>
      </c>
      <c r="AI566" s="285" t="s">
        <v>598</v>
      </c>
      <c r="AJ566" s="285" t="s">
        <v>599</v>
      </c>
      <c r="AK566" s="24"/>
      <c r="AL566" s="24"/>
      <c r="AM566" s="24"/>
    </row>
    <row r="567" spans="1:39" ht="12.75" customHeight="1">
      <c r="A567" s="22">
        <v>565</v>
      </c>
      <c r="B567" s="24" t="s">
        <v>601</v>
      </c>
      <c r="C567" s="24" t="s">
        <v>65</v>
      </c>
      <c r="D567" s="24" t="s">
        <v>1787</v>
      </c>
      <c r="E567" s="24" t="s">
        <v>1766</v>
      </c>
      <c r="F567" s="24">
        <v>1</v>
      </c>
      <c r="G567" s="24" t="s">
        <v>1767</v>
      </c>
      <c r="H567" s="24"/>
      <c r="I567" s="24"/>
      <c r="J567" s="283"/>
      <c r="K567" s="224" t="s">
        <v>115</v>
      </c>
      <c r="L567" s="224" t="s">
        <v>601</v>
      </c>
      <c r="M567" s="224" t="s">
        <v>602</v>
      </c>
      <c r="N567" s="224" t="s">
        <v>65</v>
      </c>
      <c r="O567" s="164"/>
      <c r="P567" s="224" t="s">
        <v>603</v>
      </c>
      <c r="Q567" s="224"/>
      <c r="R567" s="24"/>
      <c r="S567" s="283"/>
      <c r="T567" s="224" t="s">
        <v>115</v>
      </c>
      <c r="U567" s="283"/>
      <c r="V567" s="283"/>
      <c r="W567" s="164" t="s">
        <v>115</v>
      </c>
      <c r="X567" s="24"/>
      <c r="Y567" s="283"/>
      <c r="Z567" s="24"/>
      <c r="AA567" s="24"/>
      <c r="AB567" s="24"/>
      <c r="AC567" s="24"/>
      <c r="AD567" s="130"/>
      <c r="AE567" s="130"/>
      <c r="AF567" s="291"/>
      <c r="AG567" s="130"/>
      <c r="AH567" s="285" t="s">
        <v>115</v>
      </c>
      <c r="AI567" s="285" t="s">
        <v>115</v>
      </c>
      <c r="AJ567" s="285" t="s">
        <v>115</v>
      </c>
      <c r="AK567" s="24"/>
      <c r="AL567" s="24"/>
      <c r="AM567" s="24"/>
    </row>
    <row r="568" spans="1:39" ht="12.75" customHeight="1">
      <c r="A568" s="22">
        <v>566</v>
      </c>
      <c r="B568" s="24" t="s">
        <v>1809</v>
      </c>
      <c r="C568" s="24" t="s">
        <v>96</v>
      </c>
      <c r="D568" s="24" t="s">
        <v>1787</v>
      </c>
      <c r="E568" s="24" t="s">
        <v>1766</v>
      </c>
      <c r="F568" s="24">
        <v>1</v>
      </c>
      <c r="G568" s="24" t="s">
        <v>1767</v>
      </c>
      <c r="H568" s="24"/>
      <c r="I568" s="24"/>
      <c r="J568" s="283"/>
      <c r="K568" s="224" t="s">
        <v>1736</v>
      </c>
      <c r="L568" s="224" t="s">
        <v>1737</v>
      </c>
      <c r="M568" s="224" t="s">
        <v>1810</v>
      </c>
      <c r="N568" s="224" t="s">
        <v>168</v>
      </c>
      <c r="O568" s="224"/>
      <c r="P568" s="164"/>
      <c r="Q568" s="164"/>
      <c r="R568" s="24"/>
      <c r="S568" s="283"/>
      <c r="T568" s="224" t="s">
        <v>113</v>
      </c>
      <c r="U568" s="283"/>
      <c r="V568" s="283"/>
      <c r="W568" s="164" t="s">
        <v>115</v>
      </c>
      <c r="X568" s="24"/>
      <c r="Y568" s="283"/>
      <c r="Z568" s="24"/>
      <c r="AA568" s="24"/>
      <c r="AB568" s="24"/>
      <c r="AC568" s="24"/>
      <c r="AD568" s="130"/>
      <c r="AE568" s="130"/>
      <c r="AF568" s="288" t="s">
        <v>1811</v>
      </c>
      <c r="AG568" s="130"/>
      <c r="AH568" s="285" t="s">
        <v>115</v>
      </c>
      <c r="AI568" s="285" t="s">
        <v>1812</v>
      </c>
      <c r="AJ568" s="285" t="s">
        <v>1813</v>
      </c>
      <c r="AK568" s="24"/>
      <c r="AL568" s="24"/>
      <c r="AM568" s="24"/>
    </row>
    <row r="569" spans="1:39" ht="12.75" customHeight="1">
      <c r="A569" s="22">
        <v>567</v>
      </c>
      <c r="B569" s="24" t="s">
        <v>1814</v>
      </c>
      <c r="C569" s="24" t="s">
        <v>96</v>
      </c>
      <c r="D569" s="24" t="s">
        <v>1787</v>
      </c>
      <c r="E569" s="24" t="s">
        <v>1766</v>
      </c>
      <c r="F569" s="24">
        <v>1</v>
      </c>
      <c r="G569" s="24" t="s">
        <v>1767</v>
      </c>
      <c r="H569" s="24"/>
      <c r="I569" s="24"/>
      <c r="J569" s="283"/>
      <c r="K569" s="224" t="s">
        <v>1750</v>
      </c>
      <c r="L569" s="224" t="s">
        <v>1751</v>
      </c>
      <c r="M569" s="224" t="s">
        <v>1815</v>
      </c>
      <c r="N569" s="224" t="s">
        <v>202</v>
      </c>
      <c r="O569" s="224"/>
      <c r="P569" s="164"/>
      <c r="Q569" s="224"/>
      <c r="R569" s="24"/>
      <c r="S569" s="283"/>
      <c r="T569" s="224" t="s">
        <v>208</v>
      </c>
      <c r="U569" s="283"/>
      <c r="V569" s="283"/>
      <c r="W569" s="164" t="s">
        <v>115</v>
      </c>
      <c r="X569" s="24"/>
      <c r="Y569" s="283"/>
      <c r="Z569" s="24"/>
      <c r="AA569" s="24"/>
      <c r="AB569" s="24"/>
      <c r="AC569" s="24"/>
      <c r="AD569" s="130"/>
      <c r="AE569" s="130"/>
      <c r="AF569" s="287">
        <v>271692001</v>
      </c>
      <c r="AG569" s="130"/>
      <c r="AH569" s="205" t="s">
        <v>115</v>
      </c>
      <c r="AI569" s="285" t="s">
        <v>1754</v>
      </c>
      <c r="AJ569" s="285" t="s">
        <v>1755</v>
      </c>
      <c r="AK569" s="24"/>
      <c r="AL569" s="24"/>
      <c r="AM569" s="24"/>
    </row>
    <row r="570" spans="1:39" ht="12.75" customHeight="1">
      <c r="A570" s="22">
        <v>568</v>
      </c>
      <c r="B570" s="24" t="s">
        <v>1756</v>
      </c>
      <c r="C570" s="24" t="s">
        <v>180</v>
      </c>
      <c r="D570" s="24" t="s">
        <v>1750</v>
      </c>
      <c r="E570" s="24" t="s">
        <v>1766</v>
      </c>
      <c r="F570" s="24">
        <v>1</v>
      </c>
      <c r="G570" s="24" t="s">
        <v>1767</v>
      </c>
      <c r="H570" s="24"/>
      <c r="I570" s="24"/>
      <c r="J570" s="283"/>
      <c r="K570" s="224"/>
      <c r="L570" s="224"/>
      <c r="M570" s="224"/>
      <c r="N570" s="224"/>
      <c r="O570" s="224" t="s">
        <v>1756</v>
      </c>
      <c r="P570" s="164"/>
      <c r="Q570" s="224"/>
      <c r="R570" s="24"/>
      <c r="S570" s="283"/>
      <c r="T570" s="224"/>
      <c r="U570" s="283"/>
      <c r="V570" s="283"/>
      <c r="W570" s="164"/>
      <c r="X570" s="24"/>
      <c r="Y570" s="283"/>
      <c r="Z570" s="24"/>
      <c r="AA570" s="24"/>
      <c r="AB570" s="24"/>
      <c r="AC570" s="24"/>
      <c r="AD570" s="126"/>
      <c r="AE570" s="130"/>
      <c r="AF570" s="287">
        <v>70028003</v>
      </c>
      <c r="AG570" s="130"/>
      <c r="AH570" s="205" t="s">
        <v>115</v>
      </c>
      <c r="AI570" s="292" t="s">
        <v>1757</v>
      </c>
      <c r="AJ570" s="285" t="s">
        <v>1758</v>
      </c>
      <c r="AK570" s="24"/>
      <c r="AL570" s="24"/>
      <c r="AM570" s="24"/>
    </row>
    <row r="571" spans="1:39" ht="12.75" customHeight="1">
      <c r="A571" s="22">
        <v>569</v>
      </c>
      <c r="B571" s="24" t="s">
        <v>1759</v>
      </c>
      <c r="C571" s="24" t="s">
        <v>180</v>
      </c>
      <c r="D571" s="24" t="s">
        <v>1750</v>
      </c>
      <c r="E571" s="24" t="s">
        <v>1766</v>
      </c>
      <c r="F571" s="24">
        <v>1</v>
      </c>
      <c r="G571" s="24" t="s">
        <v>1767</v>
      </c>
      <c r="H571" s="24"/>
      <c r="I571" s="24"/>
      <c r="J571" s="283"/>
      <c r="K571" s="224"/>
      <c r="L571" s="224"/>
      <c r="M571" s="224"/>
      <c r="N571" s="224"/>
      <c r="O571" s="224" t="s">
        <v>1759</v>
      </c>
      <c r="P571" s="164"/>
      <c r="Q571" s="224"/>
      <c r="R571" s="24"/>
      <c r="S571" s="283"/>
      <c r="T571" s="224"/>
      <c r="U571" s="283"/>
      <c r="V571" s="283"/>
      <c r="W571" s="164"/>
      <c r="X571" s="24"/>
      <c r="Y571" s="283"/>
      <c r="Z571" s="24"/>
      <c r="AA571" s="24"/>
      <c r="AB571" s="24"/>
      <c r="AC571" s="24"/>
      <c r="AD571" s="130" t="s">
        <v>1816</v>
      </c>
      <c r="AE571" s="130"/>
      <c r="AF571" s="287">
        <v>6096002</v>
      </c>
      <c r="AG571" s="130"/>
      <c r="AH571" s="205" t="s">
        <v>115</v>
      </c>
      <c r="AI571" s="285" t="s">
        <v>1760</v>
      </c>
      <c r="AJ571" s="285" t="s">
        <v>1761</v>
      </c>
      <c r="AK571" s="24"/>
      <c r="AL571" s="24"/>
      <c r="AM571" s="24"/>
    </row>
    <row r="572" spans="1:39" ht="12.75" customHeight="1">
      <c r="A572" s="22">
        <v>570</v>
      </c>
      <c r="B572" s="24" t="s">
        <v>1762</v>
      </c>
      <c r="C572" s="24" t="s">
        <v>180</v>
      </c>
      <c r="D572" s="24" t="s">
        <v>1750</v>
      </c>
      <c r="E572" s="24" t="s">
        <v>1766</v>
      </c>
      <c r="F572" s="24">
        <v>1</v>
      </c>
      <c r="G572" s="24" t="s">
        <v>1767</v>
      </c>
      <c r="H572" s="24"/>
      <c r="I572" s="24"/>
      <c r="J572" s="283"/>
      <c r="K572" s="224"/>
      <c r="L572" s="224"/>
      <c r="M572" s="224"/>
      <c r="N572" s="224"/>
      <c r="O572" s="224" t="s">
        <v>1762</v>
      </c>
      <c r="P572" s="164"/>
      <c r="Q572" s="224"/>
      <c r="R572" s="24"/>
      <c r="S572" s="283"/>
      <c r="T572" s="224"/>
      <c r="U572" s="283"/>
      <c r="V572" s="283"/>
      <c r="W572" s="164"/>
      <c r="X572" s="24"/>
      <c r="Y572" s="283"/>
      <c r="Z572" s="24"/>
      <c r="AA572" s="24"/>
      <c r="AB572" s="24"/>
      <c r="AC572" s="24"/>
      <c r="AD572" s="130" t="s">
        <v>1817</v>
      </c>
      <c r="AE572" s="130"/>
      <c r="AF572" s="288" t="s">
        <v>1818</v>
      </c>
      <c r="AG572" s="130"/>
      <c r="AH572" s="205" t="s">
        <v>115</v>
      </c>
      <c r="AI572" s="205" t="s">
        <v>1763</v>
      </c>
      <c r="AJ572" s="285" t="s">
        <v>1764</v>
      </c>
      <c r="AK572" s="24"/>
      <c r="AL572" s="24"/>
      <c r="AM572" s="24"/>
    </row>
    <row r="573" spans="1:39" ht="12.75" customHeight="1">
      <c r="A573" s="22">
        <v>571</v>
      </c>
      <c r="B573" s="24" t="s">
        <v>1387</v>
      </c>
      <c r="C573" s="24" t="s">
        <v>180</v>
      </c>
      <c r="D573" s="24" t="s">
        <v>1750</v>
      </c>
      <c r="E573" s="24" t="s">
        <v>1766</v>
      </c>
      <c r="F573" s="24">
        <v>1</v>
      </c>
      <c r="G573" s="24" t="s">
        <v>1767</v>
      </c>
      <c r="H573" s="24"/>
      <c r="I573" s="24"/>
      <c r="J573" s="283"/>
      <c r="K573" s="224"/>
      <c r="L573" s="224"/>
      <c r="M573" s="224"/>
      <c r="N573" s="224"/>
      <c r="O573" s="224" t="s">
        <v>1387</v>
      </c>
      <c r="P573" s="164"/>
      <c r="Q573" s="224"/>
      <c r="R573" s="24"/>
      <c r="S573" s="283"/>
      <c r="T573" s="224"/>
      <c r="U573" s="283"/>
      <c r="V573" s="283"/>
      <c r="W573" s="164"/>
      <c r="X573" s="24"/>
      <c r="Y573" s="283"/>
      <c r="Z573" s="24"/>
      <c r="AA573" s="24"/>
      <c r="AB573" s="24"/>
      <c r="AC573" s="24"/>
      <c r="AD573" s="130"/>
      <c r="AE573" s="130"/>
      <c r="AF573" s="288" t="s">
        <v>1585</v>
      </c>
      <c r="AG573" s="130"/>
      <c r="AH573" s="205" t="s">
        <v>115</v>
      </c>
      <c r="AI573" s="285" t="s">
        <v>406</v>
      </c>
      <c r="AJ573" s="285" t="s">
        <v>407</v>
      </c>
      <c r="AK573" s="24"/>
      <c r="AL573" s="24"/>
      <c r="AM573" s="24"/>
    </row>
    <row r="574" spans="1:39" ht="12.75" customHeight="1">
      <c r="A574" s="22">
        <v>572</v>
      </c>
      <c r="B574" s="24" t="s">
        <v>1819</v>
      </c>
      <c r="C574" s="24" t="s">
        <v>96</v>
      </c>
      <c r="D574" s="24" t="s">
        <v>1787</v>
      </c>
      <c r="E574" s="24" t="s">
        <v>1766</v>
      </c>
      <c r="F574" s="24">
        <v>1</v>
      </c>
      <c r="G574" s="24" t="s">
        <v>1767</v>
      </c>
      <c r="H574" s="24"/>
      <c r="I574" s="24"/>
      <c r="J574" s="283"/>
      <c r="K574" s="224" t="s">
        <v>1819</v>
      </c>
      <c r="L574" s="224" t="s">
        <v>1820</v>
      </c>
      <c r="M574" s="224" t="s">
        <v>1821</v>
      </c>
      <c r="N574" s="224" t="s">
        <v>202</v>
      </c>
      <c r="O574" s="224"/>
      <c r="P574" s="164"/>
      <c r="Q574" s="224"/>
      <c r="R574" s="24"/>
      <c r="S574" s="283"/>
      <c r="T574" s="224" t="s">
        <v>208</v>
      </c>
      <c r="U574" s="283"/>
      <c r="V574" s="283"/>
      <c r="W574" s="164" t="s">
        <v>115</v>
      </c>
      <c r="X574" s="24"/>
      <c r="Y574" s="283"/>
      <c r="Z574" s="24"/>
      <c r="AA574" s="24"/>
      <c r="AB574" s="24"/>
      <c r="AC574" s="24"/>
      <c r="AD574" s="130"/>
      <c r="AE574" s="130"/>
      <c r="AF574" s="113">
        <v>364354005</v>
      </c>
      <c r="AG574" s="130"/>
      <c r="AH574" s="285" t="s">
        <v>115</v>
      </c>
      <c r="AI574" s="285" t="s">
        <v>1822</v>
      </c>
      <c r="AJ574" s="285" t="s">
        <v>1823</v>
      </c>
      <c r="AK574" s="24"/>
      <c r="AL574" s="24"/>
      <c r="AM574" s="24"/>
    </row>
    <row r="575" spans="1:39" ht="12.75" customHeight="1">
      <c r="A575" s="22">
        <v>573</v>
      </c>
      <c r="B575" s="24" t="s">
        <v>1471</v>
      </c>
      <c r="C575" s="24" t="s">
        <v>180</v>
      </c>
      <c r="D575" s="24" t="s">
        <v>1819</v>
      </c>
      <c r="E575" s="24" t="s">
        <v>1766</v>
      </c>
      <c r="F575" s="24">
        <v>1</v>
      </c>
      <c r="G575" s="24" t="s">
        <v>1767</v>
      </c>
      <c r="H575" s="24"/>
      <c r="I575" s="24"/>
      <c r="J575" s="283"/>
      <c r="K575" s="224"/>
      <c r="L575" s="164"/>
      <c r="M575" s="224"/>
      <c r="N575" s="224"/>
      <c r="O575" s="224" t="s">
        <v>1471</v>
      </c>
      <c r="P575" s="164"/>
      <c r="Q575" s="224"/>
      <c r="R575" s="24"/>
      <c r="S575" s="283"/>
      <c r="T575" s="224"/>
      <c r="U575" s="283"/>
      <c r="V575" s="283"/>
      <c r="W575" s="164"/>
      <c r="X575" s="24"/>
      <c r="Y575" s="283"/>
      <c r="Z575" s="24"/>
      <c r="AA575" s="24"/>
      <c r="AB575" s="24"/>
      <c r="AC575" s="24"/>
      <c r="AD575" s="130"/>
      <c r="AE575" s="130"/>
      <c r="AF575" s="291">
        <v>17621005</v>
      </c>
      <c r="AG575" s="130"/>
      <c r="AH575" s="285" t="s">
        <v>115</v>
      </c>
      <c r="AI575" s="285" t="s">
        <v>1472</v>
      </c>
      <c r="AJ575" s="285" t="s">
        <v>1473</v>
      </c>
      <c r="AK575" s="24"/>
      <c r="AL575" s="24"/>
      <c r="AM575" s="24"/>
    </row>
    <row r="576" spans="1:39" ht="12.75" customHeight="1">
      <c r="A576" s="22">
        <v>574</v>
      </c>
      <c r="B576" s="24" t="s">
        <v>1824</v>
      </c>
      <c r="C576" s="24" t="s">
        <v>180</v>
      </c>
      <c r="D576" s="24" t="s">
        <v>1819</v>
      </c>
      <c r="E576" s="24" t="s">
        <v>1766</v>
      </c>
      <c r="F576" s="24">
        <v>1</v>
      </c>
      <c r="G576" s="24" t="s">
        <v>1767</v>
      </c>
      <c r="H576" s="24"/>
      <c r="I576" s="24"/>
      <c r="J576" s="283"/>
      <c r="K576" s="224"/>
      <c r="L576" s="164"/>
      <c r="M576" s="224"/>
      <c r="N576" s="224"/>
      <c r="O576" s="224" t="s">
        <v>1824</v>
      </c>
      <c r="P576" s="164"/>
      <c r="Q576" s="224"/>
      <c r="R576" s="24"/>
      <c r="S576" s="283"/>
      <c r="T576" s="224"/>
      <c r="U576" s="283"/>
      <c r="V576" s="283"/>
      <c r="W576" s="164"/>
      <c r="X576" s="24"/>
      <c r="Y576" s="283"/>
      <c r="Z576" s="24"/>
      <c r="AA576" s="24"/>
      <c r="AB576" s="24"/>
      <c r="AC576" s="24"/>
      <c r="AD576" s="130"/>
      <c r="AE576" s="130"/>
      <c r="AF576" s="113">
        <v>260400001</v>
      </c>
      <c r="AG576" s="130"/>
      <c r="AH576" s="285" t="s">
        <v>115</v>
      </c>
      <c r="AI576" s="285" t="s">
        <v>1825</v>
      </c>
      <c r="AJ576" s="285" t="s">
        <v>1826</v>
      </c>
      <c r="AK576" s="24"/>
      <c r="AL576" s="24"/>
      <c r="AM576" s="24"/>
    </row>
    <row r="577" spans="1:39" ht="12.75" customHeight="1">
      <c r="A577" s="22">
        <v>575</v>
      </c>
      <c r="B577" s="24" t="s">
        <v>1827</v>
      </c>
      <c r="C577" s="24" t="s">
        <v>180</v>
      </c>
      <c r="D577" s="24" t="s">
        <v>1819</v>
      </c>
      <c r="E577" s="24" t="s">
        <v>1766</v>
      </c>
      <c r="F577" s="24">
        <v>1</v>
      </c>
      <c r="G577" s="24" t="s">
        <v>1767</v>
      </c>
      <c r="H577" s="24"/>
      <c r="I577" s="24"/>
      <c r="J577" s="283"/>
      <c r="K577" s="224"/>
      <c r="L577" s="164"/>
      <c r="M577" s="224"/>
      <c r="N577" s="224"/>
      <c r="O577" s="224" t="s">
        <v>1827</v>
      </c>
      <c r="P577" s="164"/>
      <c r="Q577" s="224"/>
      <c r="R577" s="24"/>
      <c r="S577" s="283"/>
      <c r="T577" s="224"/>
      <c r="U577" s="283"/>
      <c r="V577" s="283"/>
      <c r="W577" s="164"/>
      <c r="X577" s="24"/>
      <c r="Y577" s="283"/>
      <c r="Z577" s="24"/>
      <c r="AA577" s="24"/>
      <c r="AB577" s="24"/>
      <c r="AC577" s="24"/>
      <c r="AD577" s="130"/>
      <c r="AE577" s="130"/>
      <c r="AF577" s="113">
        <v>35105006</v>
      </c>
      <c r="AG577" s="130"/>
      <c r="AH577" s="285" t="s">
        <v>115</v>
      </c>
      <c r="AI577" s="285" t="s">
        <v>1828</v>
      </c>
      <c r="AJ577" s="285" t="s">
        <v>1829</v>
      </c>
      <c r="AK577" s="24"/>
      <c r="AL577" s="24"/>
      <c r="AM577" s="24"/>
    </row>
    <row r="578" spans="1:39" ht="12.75" customHeight="1">
      <c r="A578" s="22">
        <v>576</v>
      </c>
      <c r="B578" s="24" t="s">
        <v>1830</v>
      </c>
      <c r="C578" s="24" t="s">
        <v>96</v>
      </c>
      <c r="D578" s="24" t="s">
        <v>1787</v>
      </c>
      <c r="E578" s="24" t="s">
        <v>1766</v>
      </c>
      <c r="F578" s="24">
        <v>1</v>
      </c>
      <c r="G578" s="24" t="s">
        <v>1767</v>
      </c>
      <c r="H578" s="24"/>
      <c r="I578" s="24"/>
      <c r="J578" s="283"/>
      <c r="K578" s="224" t="s">
        <v>1830</v>
      </c>
      <c r="L578" s="164" t="s">
        <v>1831</v>
      </c>
      <c r="M578" s="224" t="s">
        <v>1832</v>
      </c>
      <c r="N578" s="224" t="s">
        <v>202</v>
      </c>
      <c r="O578" s="224"/>
      <c r="P578" s="164"/>
      <c r="Q578" s="224"/>
      <c r="R578" s="24"/>
      <c r="S578" s="283"/>
      <c r="T578" s="224" t="s">
        <v>208</v>
      </c>
      <c r="U578" s="283"/>
      <c r="V578" s="283"/>
      <c r="W578" s="164" t="s">
        <v>115</v>
      </c>
      <c r="X578" s="24"/>
      <c r="Y578" s="283"/>
      <c r="Z578" s="24"/>
      <c r="AA578" s="24"/>
      <c r="AB578" s="24"/>
      <c r="AC578" s="24"/>
      <c r="AD578" s="130"/>
      <c r="AE578" s="130"/>
      <c r="AF578" s="288" t="s">
        <v>1833</v>
      </c>
      <c r="AG578" s="130"/>
      <c r="AH578" s="285" t="s">
        <v>115</v>
      </c>
      <c r="AI578" s="285" t="s">
        <v>1834</v>
      </c>
      <c r="AJ578" s="285" t="s">
        <v>1835</v>
      </c>
      <c r="AK578" s="24"/>
      <c r="AL578" s="24"/>
      <c r="AM578" s="24"/>
    </row>
    <row r="579" spans="1:39" ht="12.75" customHeight="1">
      <c r="A579" s="22">
        <v>577</v>
      </c>
      <c r="B579" s="24" t="s">
        <v>1836</v>
      </c>
      <c r="C579" s="24" t="s">
        <v>180</v>
      </c>
      <c r="D579" s="24" t="s">
        <v>1830</v>
      </c>
      <c r="E579" s="24" t="s">
        <v>1766</v>
      </c>
      <c r="F579" s="24">
        <v>1</v>
      </c>
      <c r="G579" s="24" t="s">
        <v>1767</v>
      </c>
      <c r="H579" s="24"/>
      <c r="I579" s="24"/>
      <c r="J579" s="283"/>
      <c r="K579" s="224"/>
      <c r="L579" s="224"/>
      <c r="M579" s="224"/>
      <c r="N579" s="224"/>
      <c r="O579" s="224" t="s">
        <v>1836</v>
      </c>
      <c r="P579" s="164"/>
      <c r="Q579" s="224"/>
      <c r="R579" s="24"/>
      <c r="S579" s="283"/>
      <c r="T579" s="224"/>
      <c r="U579" s="283"/>
      <c r="V579" s="283"/>
      <c r="W579" s="164"/>
      <c r="X579" s="24"/>
      <c r="Y579" s="283"/>
      <c r="Z579" s="24"/>
      <c r="AA579" s="24"/>
      <c r="AB579" s="24"/>
      <c r="AC579" s="24"/>
      <c r="AD579" s="130" t="s">
        <v>1837</v>
      </c>
      <c r="AE579" s="130"/>
      <c r="AF579" s="291">
        <v>36813001</v>
      </c>
      <c r="AG579" s="130"/>
      <c r="AH579" s="285" t="s">
        <v>115</v>
      </c>
      <c r="AI579" s="205" t="s">
        <v>1838</v>
      </c>
      <c r="AJ579" s="285" t="s">
        <v>1839</v>
      </c>
      <c r="AK579" s="24"/>
      <c r="AL579" s="24"/>
      <c r="AM579" s="24"/>
    </row>
    <row r="580" spans="1:39" ht="12.75" customHeight="1">
      <c r="A580" s="22">
        <v>578</v>
      </c>
      <c r="B580" s="24" t="s">
        <v>1840</v>
      </c>
      <c r="C580" s="24" t="s">
        <v>180</v>
      </c>
      <c r="D580" s="24" t="s">
        <v>1830</v>
      </c>
      <c r="E580" s="24" t="s">
        <v>1766</v>
      </c>
      <c r="F580" s="24">
        <v>1</v>
      </c>
      <c r="G580" s="24" t="s">
        <v>1767</v>
      </c>
      <c r="H580" s="24"/>
      <c r="I580" s="24"/>
      <c r="J580" s="283"/>
      <c r="K580" s="224"/>
      <c r="L580" s="224"/>
      <c r="M580" s="224"/>
      <c r="N580" s="224"/>
      <c r="O580" s="224" t="s">
        <v>1840</v>
      </c>
      <c r="P580" s="164"/>
      <c r="Q580" s="224"/>
      <c r="R580" s="24"/>
      <c r="S580" s="283"/>
      <c r="T580" s="224"/>
      <c r="U580" s="283"/>
      <c r="V580" s="283"/>
      <c r="W580" s="164"/>
      <c r="X580" s="24"/>
      <c r="Y580" s="283"/>
      <c r="Z580" s="24"/>
      <c r="AA580" s="24"/>
      <c r="AB580" s="24"/>
      <c r="AC580" s="24"/>
      <c r="AD580" s="130"/>
      <c r="AE580" s="130"/>
      <c r="AF580" s="113">
        <v>445122007</v>
      </c>
      <c r="AG580" s="130"/>
      <c r="AH580" s="285" t="s">
        <v>115</v>
      </c>
      <c r="AI580" s="285" t="s">
        <v>1841</v>
      </c>
      <c r="AJ580" s="285" t="s">
        <v>1842</v>
      </c>
      <c r="AK580" s="24"/>
      <c r="AL580" s="24"/>
      <c r="AM580" s="24"/>
    </row>
    <row r="581" spans="1:39" ht="12.75" customHeight="1">
      <c r="A581" s="22">
        <v>579</v>
      </c>
      <c r="B581" s="24" t="s">
        <v>1843</v>
      </c>
      <c r="C581" s="24" t="s">
        <v>180</v>
      </c>
      <c r="D581" s="24" t="s">
        <v>1830</v>
      </c>
      <c r="E581" s="24" t="s">
        <v>1766</v>
      </c>
      <c r="F581" s="24">
        <v>1</v>
      </c>
      <c r="G581" s="24" t="s">
        <v>1767</v>
      </c>
      <c r="H581" s="24"/>
      <c r="I581" s="24"/>
      <c r="J581" s="283"/>
      <c r="K581" s="224"/>
      <c r="L581" s="224"/>
      <c r="M581" s="224"/>
      <c r="N581" s="224"/>
      <c r="O581" s="224" t="s">
        <v>1843</v>
      </c>
      <c r="P581" s="164"/>
      <c r="Q581" s="224"/>
      <c r="R581" s="24"/>
      <c r="S581" s="283"/>
      <c r="T581" s="224"/>
      <c r="U581" s="283"/>
      <c r="V581" s="283"/>
      <c r="W581" s="164"/>
      <c r="X581" s="24"/>
      <c r="Y581" s="283"/>
      <c r="Z581" s="24"/>
      <c r="AA581" s="24"/>
      <c r="AB581" s="24"/>
      <c r="AC581" s="24"/>
      <c r="AD581" s="130"/>
      <c r="AE581" s="130"/>
      <c r="AF581" s="113">
        <v>255549009</v>
      </c>
      <c r="AG581" s="130"/>
      <c r="AH581" s="285" t="s">
        <v>115</v>
      </c>
      <c r="AI581" s="285" t="s">
        <v>1844</v>
      </c>
      <c r="AJ581" s="285" t="s">
        <v>1845</v>
      </c>
      <c r="AK581" s="24"/>
      <c r="AL581" s="24"/>
      <c r="AM581" s="24"/>
    </row>
    <row r="582" spans="1:39" ht="12.75" customHeight="1">
      <c r="A582" s="22">
        <v>580</v>
      </c>
      <c r="B582" s="24" t="s">
        <v>1846</v>
      </c>
      <c r="C582" s="24" t="s">
        <v>180</v>
      </c>
      <c r="D582" s="24" t="s">
        <v>1830</v>
      </c>
      <c r="E582" s="24" t="s">
        <v>1766</v>
      </c>
      <c r="F582" s="24">
        <v>1</v>
      </c>
      <c r="G582" s="24" t="s">
        <v>1767</v>
      </c>
      <c r="H582" s="24"/>
      <c r="I582" s="24"/>
      <c r="J582" s="283"/>
      <c r="K582" s="224"/>
      <c r="L582" s="224"/>
      <c r="M582" s="224"/>
      <c r="N582" s="224"/>
      <c r="O582" s="224" t="s">
        <v>1846</v>
      </c>
      <c r="P582" s="164"/>
      <c r="Q582" s="224"/>
      <c r="R582" s="24"/>
      <c r="S582" s="283"/>
      <c r="T582" s="224"/>
      <c r="U582" s="283"/>
      <c r="V582" s="283"/>
      <c r="W582" s="164"/>
      <c r="X582" s="24"/>
      <c r="Y582" s="283"/>
      <c r="Z582" s="24"/>
      <c r="AA582" s="24"/>
      <c r="AB582" s="24"/>
      <c r="AC582" s="24"/>
      <c r="AD582" s="130"/>
      <c r="AE582" s="130"/>
      <c r="AF582" s="113">
        <v>255551008</v>
      </c>
      <c r="AG582" s="130"/>
      <c r="AH582" s="285" t="s">
        <v>115</v>
      </c>
      <c r="AI582" s="285" t="s">
        <v>1847</v>
      </c>
      <c r="AJ582" s="285" t="s">
        <v>1848</v>
      </c>
      <c r="AK582" s="24"/>
      <c r="AL582" s="24"/>
      <c r="AM582" s="24"/>
    </row>
    <row r="583" spans="1:39" ht="12.75" customHeight="1">
      <c r="A583" s="22">
        <v>581</v>
      </c>
      <c r="B583" s="24" t="s">
        <v>1849</v>
      </c>
      <c r="C583" s="24" t="s">
        <v>180</v>
      </c>
      <c r="D583" s="24" t="s">
        <v>1830</v>
      </c>
      <c r="E583" s="24" t="s">
        <v>1766</v>
      </c>
      <c r="F583" s="24">
        <v>1</v>
      </c>
      <c r="G583" s="24" t="s">
        <v>1767</v>
      </c>
      <c r="H583" s="24"/>
      <c r="I583" s="24"/>
      <c r="J583" s="283"/>
      <c r="K583" s="224"/>
      <c r="L583" s="224"/>
      <c r="M583" s="224"/>
      <c r="N583" s="224"/>
      <c r="O583" s="224" t="s">
        <v>1849</v>
      </c>
      <c r="P583" s="164"/>
      <c r="Q583" s="224"/>
      <c r="R583" s="24"/>
      <c r="S583" s="283"/>
      <c r="T583" s="224"/>
      <c r="U583" s="283"/>
      <c r="V583" s="283"/>
      <c r="W583" s="164"/>
      <c r="X583" s="24"/>
      <c r="Y583" s="283"/>
      <c r="Z583" s="24"/>
      <c r="AA583" s="24"/>
      <c r="AB583" s="24"/>
      <c r="AC583" s="24"/>
      <c r="AD583" s="130"/>
      <c r="AE583" s="130"/>
      <c r="AF583" s="113">
        <v>24028007</v>
      </c>
      <c r="AG583" s="130"/>
      <c r="AH583" s="285" t="s">
        <v>115</v>
      </c>
      <c r="AI583" s="285" t="s">
        <v>1850</v>
      </c>
      <c r="AJ583" s="285" t="s">
        <v>1851</v>
      </c>
      <c r="AK583" s="24"/>
      <c r="AL583" s="24"/>
      <c r="AM583" s="24"/>
    </row>
    <row r="584" spans="1:39" ht="12.75" customHeight="1">
      <c r="A584" s="22">
        <v>582</v>
      </c>
      <c r="B584" s="24" t="s">
        <v>1852</v>
      </c>
      <c r="C584" s="24" t="s">
        <v>180</v>
      </c>
      <c r="D584" s="24" t="s">
        <v>1830</v>
      </c>
      <c r="E584" s="24" t="s">
        <v>1766</v>
      </c>
      <c r="F584" s="24">
        <v>1</v>
      </c>
      <c r="G584" s="24" t="s">
        <v>1767</v>
      </c>
      <c r="H584" s="24"/>
      <c r="I584" s="24"/>
      <c r="J584" s="283"/>
      <c r="K584" s="224"/>
      <c r="L584" s="224"/>
      <c r="M584" s="224"/>
      <c r="N584" s="224"/>
      <c r="O584" s="224" t="s">
        <v>1852</v>
      </c>
      <c r="P584" s="164"/>
      <c r="Q584" s="224"/>
      <c r="R584" s="24"/>
      <c r="S584" s="283"/>
      <c r="T584" s="224"/>
      <c r="U584" s="283"/>
      <c r="V584" s="283"/>
      <c r="W584" s="164"/>
      <c r="X584" s="24"/>
      <c r="Y584" s="283"/>
      <c r="Z584" s="24"/>
      <c r="AA584" s="24"/>
      <c r="AB584" s="24"/>
      <c r="AC584" s="24"/>
      <c r="AD584" s="130"/>
      <c r="AE584" s="130"/>
      <c r="AF584" s="291">
        <v>7771000</v>
      </c>
      <c r="AG584" s="130"/>
      <c r="AH584" s="285" t="s">
        <v>115</v>
      </c>
      <c r="AI584" s="285" t="s">
        <v>1853</v>
      </c>
      <c r="AJ584" s="285" t="s">
        <v>1854</v>
      </c>
      <c r="AK584" s="24"/>
      <c r="AL584" s="24"/>
      <c r="AM584" s="24"/>
    </row>
    <row r="585" spans="1:39" ht="12.75" customHeight="1">
      <c r="A585" s="22">
        <v>583</v>
      </c>
      <c r="B585" s="24" t="s">
        <v>1855</v>
      </c>
      <c r="C585" s="24" t="s">
        <v>180</v>
      </c>
      <c r="D585" s="24" t="s">
        <v>1830</v>
      </c>
      <c r="E585" s="24" t="s">
        <v>1766</v>
      </c>
      <c r="F585" s="24">
        <v>1</v>
      </c>
      <c r="G585" s="24" t="s">
        <v>1767</v>
      </c>
      <c r="H585" s="24"/>
      <c r="I585" s="24"/>
      <c r="J585" s="283"/>
      <c r="K585" s="224"/>
      <c r="L585" s="224"/>
      <c r="M585" s="224"/>
      <c r="N585" s="224"/>
      <c r="O585" s="224" t="s">
        <v>1855</v>
      </c>
      <c r="P585" s="164"/>
      <c r="Q585" s="224"/>
      <c r="R585" s="24"/>
      <c r="S585" s="283"/>
      <c r="T585" s="224"/>
      <c r="U585" s="283"/>
      <c r="V585" s="283"/>
      <c r="W585" s="164"/>
      <c r="X585" s="24"/>
      <c r="Y585" s="283"/>
      <c r="Z585" s="24"/>
      <c r="AA585" s="24"/>
      <c r="AB585" s="24"/>
      <c r="AC585" s="24"/>
      <c r="AD585" s="130"/>
      <c r="AE585" s="130"/>
      <c r="AF585" s="113">
        <v>27485007</v>
      </c>
      <c r="AG585" s="130"/>
      <c r="AH585" s="285" t="s">
        <v>115</v>
      </c>
      <c r="AI585" s="285" t="s">
        <v>1856</v>
      </c>
      <c r="AJ585" s="285" t="s">
        <v>1857</v>
      </c>
      <c r="AK585" s="24"/>
      <c r="AL585" s="24"/>
      <c r="AM585" s="24"/>
    </row>
    <row r="586" spans="1:39" ht="12.75" customHeight="1">
      <c r="A586" s="22">
        <v>584</v>
      </c>
      <c r="B586" s="24" t="s">
        <v>1858</v>
      </c>
      <c r="C586" s="24" t="s">
        <v>96</v>
      </c>
      <c r="D586" s="24" t="s">
        <v>1787</v>
      </c>
      <c r="E586" s="24" t="s">
        <v>1766</v>
      </c>
      <c r="F586" s="24">
        <v>1</v>
      </c>
      <c r="G586" s="24" t="s">
        <v>1767</v>
      </c>
      <c r="H586" s="24"/>
      <c r="I586" s="24"/>
      <c r="J586" s="283"/>
      <c r="K586" s="224" t="s">
        <v>620</v>
      </c>
      <c r="L586" s="224" t="s">
        <v>621</v>
      </c>
      <c r="M586" s="224" t="s">
        <v>622</v>
      </c>
      <c r="N586" s="224" t="s">
        <v>202</v>
      </c>
      <c r="O586" s="224"/>
      <c r="P586" s="164"/>
      <c r="Q586" s="224"/>
      <c r="R586" s="24"/>
      <c r="S586" s="283"/>
      <c r="T586" s="224" t="s">
        <v>113</v>
      </c>
      <c r="U586" s="283"/>
      <c r="V586" s="283"/>
      <c r="W586" s="164" t="s">
        <v>115</v>
      </c>
      <c r="X586" s="24"/>
      <c r="Y586" s="283"/>
      <c r="Z586" s="24"/>
      <c r="AA586" s="24"/>
      <c r="AB586" s="24"/>
      <c r="AC586" s="24"/>
      <c r="AD586" s="130"/>
      <c r="AE586" s="130"/>
      <c r="AF586" s="288" t="s">
        <v>1859</v>
      </c>
      <c r="AG586" s="130"/>
      <c r="AH586" s="285" t="s">
        <v>115</v>
      </c>
      <c r="AI586" s="285" t="s">
        <v>625</v>
      </c>
      <c r="AJ586" s="285" t="s">
        <v>626</v>
      </c>
      <c r="AK586" s="24"/>
      <c r="AL586" s="24"/>
      <c r="AM586" s="24"/>
    </row>
    <row r="587" spans="1:39" ht="12.75" customHeight="1">
      <c r="A587" s="22">
        <v>585</v>
      </c>
      <c r="B587" s="24" t="s">
        <v>1860</v>
      </c>
      <c r="C587" s="24" t="s">
        <v>180</v>
      </c>
      <c r="D587" s="24" t="s">
        <v>620</v>
      </c>
      <c r="E587" s="24" t="s">
        <v>1766</v>
      </c>
      <c r="F587" s="24">
        <v>1</v>
      </c>
      <c r="G587" s="24" t="s">
        <v>1767</v>
      </c>
      <c r="H587" s="24"/>
      <c r="I587" s="24"/>
      <c r="J587" s="283"/>
      <c r="K587" s="224"/>
      <c r="L587" s="224"/>
      <c r="M587" s="224"/>
      <c r="N587" s="224"/>
      <c r="O587" s="224" t="s">
        <v>1860</v>
      </c>
      <c r="P587" s="224"/>
      <c r="Q587" s="224"/>
      <c r="R587" s="24"/>
      <c r="S587" s="283"/>
      <c r="T587" s="224"/>
      <c r="U587" s="283"/>
      <c r="V587" s="283"/>
      <c r="W587" s="164"/>
      <c r="X587" s="24"/>
      <c r="Y587" s="283"/>
      <c r="Z587" s="24"/>
      <c r="AA587" s="24"/>
      <c r="AB587" s="24"/>
      <c r="AC587" s="24"/>
      <c r="AD587" s="130"/>
      <c r="AE587" s="130"/>
      <c r="AF587" s="113">
        <v>21840007</v>
      </c>
      <c r="AG587" s="130"/>
      <c r="AH587" s="285" t="s">
        <v>115</v>
      </c>
      <c r="AI587" s="285" t="s">
        <v>559</v>
      </c>
      <c r="AJ587" s="285" t="s">
        <v>560</v>
      </c>
      <c r="AK587" s="24"/>
      <c r="AL587" s="24"/>
      <c r="AM587" s="24"/>
    </row>
    <row r="588" spans="1:39" ht="12.75" customHeight="1">
      <c r="A588" s="22">
        <v>586</v>
      </c>
      <c r="B588" s="24" t="s">
        <v>1861</v>
      </c>
      <c r="C588" s="24" t="s">
        <v>180</v>
      </c>
      <c r="D588" s="24" t="s">
        <v>620</v>
      </c>
      <c r="E588" s="24" t="s">
        <v>1766</v>
      </c>
      <c r="F588" s="24">
        <v>1</v>
      </c>
      <c r="G588" s="24" t="s">
        <v>1767</v>
      </c>
      <c r="H588" s="24"/>
      <c r="I588" s="24"/>
      <c r="J588" s="283"/>
      <c r="K588" s="224"/>
      <c r="L588" s="224"/>
      <c r="M588" s="224"/>
      <c r="N588" s="224"/>
      <c r="O588" s="224" t="s">
        <v>1861</v>
      </c>
      <c r="P588" s="224"/>
      <c r="Q588" s="224"/>
      <c r="R588" s="24"/>
      <c r="S588" s="283"/>
      <c r="T588" s="224"/>
      <c r="U588" s="283"/>
      <c r="V588" s="283"/>
      <c r="W588" s="164"/>
      <c r="X588" s="24"/>
      <c r="Y588" s="283"/>
      <c r="Z588" s="24"/>
      <c r="AA588" s="24"/>
      <c r="AB588" s="24"/>
      <c r="AC588" s="24"/>
      <c r="AD588" s="130"/>
      <c r="AE588" s="130"/>
      <c r="AF588" s="113" t="s">
        <v>1862</v>
      </c>
      <c r="AG588" s="130"/>
      <c r="AH588" s="285" t="s">
        <v>115</v>
      </c>
      <c r="AI588" s="205" t="s">
        <v>630</v>
      </c>
      <c r="AJ588" s="285" t="s">
        <v>631</v>
      </c>
      <c r="AK588" s="24"/>
      <c r="AL588" s="24"/>
      <c r="AM588" s="24"/>
    </row>
    <row r="589" spans="1:39" ht="12.75" customHeight="1">
      <c r="A589" s="22">
        <v>587</v>
      </c>
      <c r="B589" s="24" t="s">
        <v>1863</v>
      </c>
      <c r="C589" s="24" t="s">
        <v>180</v>
      </c>
      <c r="D589" s="24" t="s">
        <v>620</v>
      </c>
      <c r="E589" s="24" t="s">
        <v>1766</v>
      </c>
      <c r="F589" s="24">
        <v>1</v>
      </c>
      <c r="G589" s="24" t="s">
        <v>1767</v>
      </c>
      <c r="H589" s="24"/>
      <c r="I589" s="24"/>
      <c r="J589" s="283"/>
      <c r="K589" s="224"/>
      <c r="L589" s="224"/>
      <c r="M589" s="224"/>
      <c r="N589" s="224"/>
      <c r="O589" s="224" t="s">
        <v>1863</v>
      </c>
      <c r="P589" s="224"/>
      <c r="Q589" s="224"/>
      <c r="R589" s="24"/>
      <c r="S589" s="283"/>
      <c r="T589" s="224"/>
      <c r="U589" s="283"/>
      <c r="V589" s="283"/>
      <c r="W589" s="164"/>
      <c r="X589" s="24"/>
      <c r="Y589" s="283"/>
      <c r="Z589" s="24"/>
      <c r="AA589" s="24"/>
      <c r="AB589" s="24"/>
      <c r="AC589" s="24"/>
      <c r="AD589" s="130"/>
      <c r="AE589" s="130"/>
      <c r="AF589" s="291" t="s">
        <v>1864</v>
      </c>
      <c r="AG589" s="130"/>
      <c r="AH589" s="285" t="s">
        <v>115</v>
      </c>
      <c r="AI589" s="285" t="s">
        <v>613</v>
      </c>
      <c r="AJ589" s="285" t="s">
        <v>614</v>
      </c>
      <c r="AK589" s="24"/>
      <c r="AL589" s="24"/>
      <c r="AM589" s="24"/>
    </row>
    <row r="590" spans="1:39" ht="12.75" customHeight="1">
      <c r="A590" s="22">
        <v>588</v>
      </c>
      <c r="B590" s="24" t="s">
        <v>636</v>
      </c>
      <c r="C590" s="24" t="s">
        <v>65</v>
      </c>
      <c r="D590" s="24" t="s">
        <v>1787</v>
      </c>
      <c r="E590" s="24" t="s">
        <v>1766</v>
      </c>
      <c r="F590" s="24">
        <v>1</v>
      </c>
      <c r="G590" s="24" t="s">
        <v>1767</v>
      </c>
      <c r="H590" s="24"/>
      <c r="I590" s="24"/>
      <c r="J590" s="283"/>
      <c r="K590" s="224" t="s">
        <v>115</v>
      </c>
      <c r="L590" s="224" t="s">
        <v>636</v>
      </c>
      <c r="M590" s="224" t="s">
        <v>637</v>
      </c>
      <c r="N590" s="224" t="s">
        <v>65</v>
      </c>
      <c r="O590" s="224"/>
      <c r="P590" s="224" t="s">
        <v>634</v>
      </c>
      <c r="Q590" s="224"/>
      <c r="R590" s="24"/>
      <c r="S590" s="283"/>
      <c r="T590" s="224" t="s">
        <v>115</v>
      </c>
      <c r="U590" s="283"/>
      <c r="V590" s="283"/>
      <c r="W590" s="164" t="s">
        <v>115</v>
      </c>
      <c r="X590" s="24"/>
      <c r="Y590" s="283"/>
      <c r="Z590" s="24"/>
      <c r="AA590" s="24"/>
      <c r="AB590" s="24"/>
      <c r="AC590" s="24"/>
      <c r="AD590" s="130"/>
      <c r="AE590" s="130"/>
      <c r="AF590" s="291"/>
      <c r="AG590" s="130"/>
      <c r="AH590" s="285" t="s">
        <v>115</v>
      </c>
      <c r="AI590" s="285" t="s">
        <v>115</v>
      </c>
      <c r="AJ590" s="285" t="s">
        <v>115</v>
      </c>
      <c r="AK590" s="24"/>
      <c r="AL590" s="24"/>
      <c r="AM590" s="24"/>
    </row>
    <row r="591" spans="1:39" ht="12.75" customHeight="1">
      <c r="A591" s="22">
        <v>589</v>
      </c>
      <c r="B591" s="24" t="s">
        <v>642</v>
      </c>
      <c r="C591" s="24" t="s">
        <v>65</v>
      </c>
      <c r="D591" s="24" t="s">
        <v>1787</v>
      </c>
      <c r="E591" s="24" t="s">
        <v>1766</v>
      </c>
      <c r="F591" s="24">
        <v>1</v>
      </c>
      <c r="G591" s="24" t="s">
        <v>1767</v>
      </c>
      <c r="H591" s="24"/>
      <c r="I591" s="24"/>
      <c r="J591" s="164"/>
      <c r="K591" s="224" t="s">
        <v>115</v>
      </c>
      <c r="L591" s="224" t="s">
        <v>642</v>
      </c>
      <c r="M591" s="224" t="s">
        <v>643</v>
      </c>
      <c r="N591" s="224" t="s">
        <v>65</v>
      </c>
      <c r="O591" s="224"/>
      <c r="P591" s="224" t="s">
        <v>641</v>
      </c>
      <c r="Q591" s="224"/>
      <c r="R591" s="24"/>
      <c r="S591" s="164"/>
      <c r="T591" s="224" t="s">
        <v>115</v>
      </c>
      <c r="U591" s="164"/>
      <c r="V591" s="164"/>
      <c r="W591" s="164" t="s">
        <v>115</v>
      </c>
      <c r="X591" s="24"/>
      <c r="Y591" s="164"/>
      <c r="Z591" s="24"/>
      <c r="AA591" s="24"/>
      <c r="AB591" s="24"/>
      <c r="AC591" s="24"/>
      <c r="AD591" s="126"/>
      <c r="AE591" s="126"/>
      <c r="AF591" s="124"/>
      <c r="AG591" s="126"/>
      <c r="AH591" s="285" t="s">
        <v>115</v>
      </c>
      <c r="AI591" s="285" t="s">
        <v>115</v>
      </c>
      <c r="AJ591" s="285" t="s">
        <v>115</v>
      </c>
      <c r="AK591" s="24"/>
      <c r="AL591" s="24"/>
      <c r="AM591" s="24"/>
    </row>
    <row r="592" spans="1:39" ht="12.75" customHeight="1">
      <c r="A592" s="22">
        <v>590</v>
      </c>
      <c r="B592" s="24" t="s">
        <v>1865</v>
      </c>
      <c r="C592" s="24" t="s">
        <v>96</v>
      </c>
      <c r="D592" s="24" t="s">
        <v>1787</v>
      </c>
      <c r="E592" s="24" t="s">
        <v>1866</v>
      </c>
      <c r="F592" s="24">
        <v>1</v>
      </c>
      <c r="G592" s="24" t="s">
        <v>1767</v>
      </c>
      <c r="H592" s="24"/>
      <c r="I592" s="24"/>
      <c r="J592" s="283"/>
      <c r="K592" s="224" t="s">
        <v>1865</v>
      </c>
      <c r="L592" s="224" t="s">
        <v>1867</v>
      </c>
      <c r="M592" s="224" t="s">
        <v>1868</v>
      </c>
      <c r="N592" s="224" t="s">
        <v>202</v>
      </c>
      <c r="O592" s="224"/>
      <c r="P592" s="164"/>
      <c r="Q592" s="164"/>
      <c r="R592" s="24"/>
      <c r="S592" s="283"/>
      <c r="T592" s="224" t="s">
        <v>113</v>
      </c>
      <c r="U592" s="283"/>
      <c r="V592" s="283"/>
      <c r="W592" s="164" t="s">
        <v>1869</v>
      </c>
      <c r="X592" s="24"/>
      <c r="Y592" s="283"/>
      <c r="Z592" s="24"/>
      <c r="AA592" s="24"/>
      <c r="AB592" s="24"/>
      <c r="AC592" s="24"/>
      <c r="AD592" s="295"/>
      <c r="AE592" s="295"/>
      <c r="AF592" s="295"/>
      <c r="AG592" s="295"/>
      <c r="AH592" s="205" t="s">
        <v>1870</v>
      </c>
      <c r="AI592" s="205" t="s">
        <v>1773</v>
      </c>
      <c r="AJ592" s="285" t="s">
        <v>1774</v>
      </c>
      <c r="AK592" s="24"/>
      <c r="AL592" s="24"/>
      <c r="AM592" s="24"/>
    </row>
    <row r="593" spans="1:39" ht="12.75" customHeight="1">
      <c r="A593" s="22">
        <v>591</v>
      </c>
      <c r="B593" s="24" t="s">
        <v>1775</v>
      </c>
      <c r="C593" s="24" t="s">
        <v>180</v>
      </c>
      <c r="D593" s="24" t="s">
        <v>1865</v>
      </c>
      <c r="E593" s="24" t="s">
        <v>1866</v>
      </c>
      <c r="F593" s="24">
        <v>1</v>
      </c>
      <c r="G593" s="24" t="s">
        <v>1767</v>
      </c>
      <c r="H593" s="24"/>
      <c r="I593" s="24"/>
      <c r="J593" s="283"/>
      <c r="K593" s="196"/>
      <c r="L593" s="196"/>
      <c r="M593" s="196"/>
      <c r="N593" s="196"/>
      <c r="O593" s="204" t="s">
        <v>1775</v>
      </c>
      <c r="P593" s="196"/>
      <c r="Q593" s="196"/>
      <c r="R593" s="24"/>
      <c r="S593" s="283"/>
      <c r="T593" s="196"/>
      <c r="U593" s="283"/>
      <c r="V593" s="283"/>
      <c r="W593" s="196"/>
      <c r="X593" s="24"/>
      <c r="Y593" s="283"/>
      <c r="Z593" s="24"/>
      <c r="AA593" s="24"/>
      <c r="AB593" s="24"/>
      <c r="AC593" s="24"/>
      <c r="AD593" s="295"/>
      <c r="AE593" s="295"/>
      <c r="AF593" s="295"/>
      <c r="AG593" s="295"/>
      <c r="AH593" s="205" t="s">
        <v>115</v>
      </c>
      <c r="AI593" s="205" t="s">
        <v>1777</v>
      </c>
      <c r="AJ593" s="205" t="s">
        <v>1778</v>
      </c>
      <c r="AK593" s="24"/>
      <c r="AL593" s="24"/>
      <c r="AM593" s="24"/>
    </row>
    <row r="594" spans="1:39" ht="12.75" customHeight="1">
      <c r="A594" s="22">
        <v>592</v>
      </c>
      <c r="B594" s="24" t="s">
        <v>1779</v>
      </c>
      <c r="C594" s="24" t="s">
        <v>180</v>
      </c>
      <c r="D594" s="24" t="s">
        <v>1865</v>
      </c>
      <c r="E594" s="24" t="s">
        <v>1866</v>
      </c>
      <c r="F594" s="24">
        <v>1</v>
      </c>
      <c r="G594" s="24" t="s">
        <v>1767</v>
      </c>
      <c r="H594" s="24"/>
      <c r="I594" s="24"/>
      <c r="J594" s="283"/>
      <c r="K594" s="196"/>
      <c r="L594" s="196"/>
      <c r="M594" s="196"/>
      <c r="N594" s="196"/>
      <c r="O594" s="204" t="s">
        <v>1779</v>
      </c>
      <c r="P594" s="196"/>
      <c r="Q594" s="196"/>
      <c r="R594" s="24"/>
      <c r="S594" s="283"/>
      <c r="T594" s="196"/>
      <c r="U594" s="283"/>
      <c r="V594" s="283"/>
      <c r="W594" s="196"/>
      <c r="X594" s="24"/>
      <c r="Y594" s="283"/>
      <c r="Z594" s="24"/>
      <c r="AA594" s="24"/>
      <c r="AB594" s="24"/>
      <c r="AC594" s="24"/>
      <c r="AD594" s="283"/>
      <c r="AE594" s="283"/>
      <c r="AF594" s="288" t="s">
        <v>1871</v>
      </c>
      <c r="AG594" s="283"/>
      <c r="AH594" s="205" t="s">
        <v>115</v>
      </c>
      <c r="AI594" s="205" t="s">
        <v>1781</v>
      </c>
      <c r="AJ594" s="205" t="s">
        <v>1782</v>
      </c>
      <c r="AK594" s="24"/>
      <c r="AL594" s="24"/>
      <c r="AM594" s="24"/>
    </row>
    <row r="595" spans="1:39" ht="12.75" customHeight="1">
      <c r="A595" s="22">
        <v>593</v>
      </c>
      <c r="B595" s="24" t="s">
        <v>1783</v>
      </c>
      <c r="C595" s="24" t="s">
        <v>180</v>
      </c>
      <c r="D595" s="24" t="s">
        <v>1865</v>
      </c>
      <c r="E595" s="24" t="s">
        <v>1866</v>
      </c>
      <c r="F595" s="24">
        <v>1</v>
      </c>
      <c r="G595" s="24" t="s">
        <v>1767</v>
      </c>
      <c r="H595" s="24"/>
      <c r="I595" s="24"/>
      <c r="J595" s="283"/>
      <c r="K595" s="196"/>
      <c r="L595" s="196"/>
      <c r="M595" s="196"/>
      <c r="N595" s="196"/>
      <c r="O595" s="204" t="s">
        <v>1783</v>
      </c>
      <c r="P595" s="196"/>
      <c r="Q595" s="196"/>
      <c r="R595" s="24"/>
      <c r="S595" s="283"/>
      <c r="T595" s="196"/>
      <c r="U595" s="283"/>
      <c r="V595" s="283"/>
      <c r="W595" s="196"/>
      <c r="X595" s="24"/>
      <c r="Y595" s="283"/>
      <c r="Z595" s="24"/>
      <c r="AA595" s="24"/>
      <c r="AB595" s="24"/>
      <c r="AC595" s="24"/>
      <c r="AD595" s="283"/>
      <c r="AE595" s="283"/>
      <c r="AF595" s="113">
        <v>721963009</v>
      </c>
      <c r="AG595" s="283"/>
      <c r="AH595" s="205" t="s">
        <v>115</v>
      </c>
      <c r="AI595" s="205" t="s">
        <v>1784</v>
      </c>
      <c r="AJ595" s="205" t="s">
        <v>1785</v>
      </c>
      <c r="AK595" s="24"/>
      <c r="AL595" s="24"/>
      <c r="AM595" s="24"/>
    </row>
    <row r="596" spans="1:39" ht="12.75" customHeight="1">
      <c r="A596" s="22">
        <v>594</v>
      </c>
      <c r="B596" s="24" t="s">
        <v>1468</v>
      </c>
      <c r="C596" s="24" t="s">
        <v>180</v>
      </c>
      <c r="D596" s="24" t="s">
        <v>1865</v>
      </c>
      <c r="E596" s="24" t="s">
        <v>1866</v>
      </c>
      <c r="F596" s="24">
        <v>1</v>
      </c>
      <c r="G596" s="24" t="s">
        <v>1767</v>
      </c>
      <c r="H596" s="24"/>
      <c r="I596" s="24"/>
      <c r="J596" s="283"/>
      <c r="K596" s="196"/>
      <c r="L596" s="196"/>
      <c r="M596" s="196"/>
      <c r="N596" s="196"/>
      <c r="O596" s="204" t="s">
        <v>1468</v>
      </c>
      <c r="P596" s="196"/>
      <c r="Q596" s="196"/>
      <c r="R596" s="24"/>
      <c r="S596" s="283"/>
      <c r="T596" s="196"/>
      <c r="U596" s="283"/>
      <c r="V596" s="283"/>
      <c r="W596" s="196"/>
      <c r="X596" s="24"/>
      <c r="Y596" s="283"/>
      <c r="Z596" s="24"/>
      <c r="AA596" s="24"/>
      <c r="AB596" s="24"/>
      <c r="AC596" s="24"/>
      <c r="AD596" s="283"/>
      <c r="AE596" s="283"/>
      <c r="AF596" s="113">
        <v>385660001</v>
      </c>
      <c r="AG596" s="283"/>
      <c r="AH596" s="205" t="s">
        <v>115</v>
      </c>
      <c r="AI596" s="205" t="s">
        <v>1469</v>
      </c>
      <c r="AJ596" s="205" t="s">
        <v>1470</v>
      </c>
      <c r="AK596" s="24"/>
      <c r="AL596" s="24"/>
      <c r="AM596" s="24"/>
    </row>
    <row r="597" spans="1:39" ht="12.75" customHeight="1">
      <c r="A597" s="22">
        <v>595</v>
      </c>
      <c r="B597" s="24" t="s">
        <v>1872</v>
      </c>
      <c r="C597" s="24" t="s">
        <v>96</v>
      </c>
      <c r="D597" s="24" t="s">
        <v>1787</v>
      </c>
      <c r="E597" s="24" t="s">
        <v>1866</v>
      </c>
      <c r="F597" s="24">
        <v>1</v>
      </c>
      <c r="G597" s="24" t="s">
        <v>1767</v>
      </c>
      <c r="H597" s="24"/>
      <c r="I597" s="24"/>
      <c r="J597" s="283"/>
      <c r="K597" s="196" t="s">
        <v>1872</v>
      </c>
      <c r="L597" s="196" t="s">
        <v>1873</v>
      </c>
      <c r="M597" s="196" t="s">
        <v>1874</v>
      </c>
      <c r="N597" s="196" t="s">
        <v>140</v>
      </c>
      <c r="O597" s="196"/>
      <c r="P597" s="196"/>
      <c r="Q597" s="196"/>
      <c r="R597" s="24"/>
      <c r="S597" s="283"/>
      <c r="T597" s="204" t="s">
        <v>113</v>
      </c>
      <c r="U597" s="283"/>
      <c r="V597" s="283"/>
      <c r="W597" s="196" t="s">
        <v>115</v>
      </c>
      <c r="X597" s="24"/>
      <c r="Y597" s="283"/>
      <c r="Z597" s="24"/>
      <c r="AA597" s="24"/>
      <c r="AB597" s="24"/>
      <c r="AC597" s="24"/>
      <c r="AD597" s="295"/>
      <c r="AE597" s="295"/>
      <c r="AF597" s="295"/>
      <c r="AG597" s="295"/>
      <c r="AH597" s="205" t="s">
        <v>1870</v>
      </c>
      <c r="AI597" s="205" t="s">
        <v>1804</v>
      </c>
      <c r="AJ597" s="205" t="s">
        <v>1805</v>
      </c>
      <c r="AK597" s="24"/>
      <c r="AL597" s="24"/>
      <c r="AM597" s="24"/>
    </row>
    <row r="598" spans="1:39" ht="12.75" customHeight="1">
      <c r="A598" s="22">
        <v>596</v>
      </c>
      <c r="B598" s="24" t="s">
        <v>1875</v>
      </c>
      <c r="C598" s="24" t="s">
        <v>96</v>
      </c>
      <c r="D598" s="24" t="s">
        <v>1787</v>
      </c>
      <c r="E598" s="24" t="s">
        <v>1866</v>
      </c>
      <c r="F598" s="24">
        <v>1</v>
      </c>
      <c r="G598" s="24" t="s">
        <v>1767</v>
      </c>
      <c r="H598" s="24"/>
      <c r="I598" s="24"/>
      <c r="J598" s="283"/>
      <c r="K598" s="296" t="s">
        <v>1875</v>
      </c>
      <c r="L598" s="224" t="s">
        <v>1876</v>
      </c>
      <c r="M598" s="224" t="s">
        <v>1877</v>
      </c>
      <c r="N598" s="224" t="s">
        <v>202</v>
      </c>
      <c r="O598" s="224"/>
      <c r="P598" s="164"/>
      <c r="Q598" s="164"/>
      <c r="R598" s="24"/>
      <c r="S598" s="283"/>
      <c r="T598" s="224" t="s">
        <v>113</v>
      </c>
      <c r="U598" s="283"/>
      <c r="V598" s="283"/>
      <c r="W598" s="296" t="s">
        <v>115</v>
      </c>
      <c r="X598" s="24"/>
      <c r="Y598" s="283"/>
      <c r="Z598" s="24"/>
      <c r="AA598" s="24"/>
      <c r="AB598" s="24"/>
      <c r="AC598" s="24"/>
      <c r="AD598" s="283"/>
      <c r="AE598" s="283"/>
      <c r="AF598" s="113">
        <v>365636006</v>
      </c>
      <c r="AG598" s="283"/>
      <c r="AH598" s="285" t="s">
        <v>115</v>
      </c>
      <c r="AI598" s="285" t="s">
        <v>1878</v>
      </c>
      <c r="AJ598" s="285" t="s">
        <v>1879</v>
      </c>
      <c r="AK598" s="24"/>
      <c r="AL598" s="24"/>
      <c r="AM598" s="24"/>
    </row>
    <row r="599" spans="1:39" ht="12.75" customHeight="1">
      <c r="A599" s="22">
        <v>597</v>
      </c>
      <c r="B599" s="24" t="s">
        <v>1880</v>
      </c>
      <c r="C599" s="24" t="s">
        <v>180</v>
      </c>
      <c r="D599" s="24" t="s">
        <v>1875</v>
      </c>
      <c r="E599" s="24" t="s">
        <v>1866</v>
      </c>
      <c r="F599" s="24">
        <v>1</v>
      </c>
      <c r="G599" s="24" t="s">
        <v>1767</v>
      </c>
      <c r="H599" s="24"/>
      <c r="I599" s="24"/>
      <c r="J599" s="283"/>
      <c r="K599" s="224"/>
      <c r="L599" s="224"/>
      <c r="M599" s="224"/>
      <c r="N599" s="224"/>
      <c r="O599" s="224" t="s">
        <v>1880</v>
      </c>
      <c r="P599" s="164"/>
      <c r="Q599" s="164"/>
      <c r="R599" s="24"/>
      <c r="S599" s="283"/>
      <c r="T599" s="224"/>
      <c r="U599" s="283"/>
      <c r="V599" s="283"/>
      <c r="W599" s="164"/>
      <c r="X599" s="24"/>
      <c r="Y599" s="283"/>
      <c r="Z599" s="24"/>
      <c r="AA599" s="24"/>
      <c r="AB599" s="24"/>
      <c r="AC599" s="24"/>
      <c r="AD599" s="283"/>
      <c r="AE599" s="283"/>
      <c r="AF599" s="113">
        <v>112144000</v>
      </c>
      <c r="AG599" s="283"/>
      <c r="AH599" s="285" t="s">
        <v>115</v>
      </c>
      <c r="AI599" s="285" t="s">
        <v>1881</v>
      </c>
      <c r="AJ599" s="285" t="s">
        <v>1882</v>
      </c>
      <c r="AK599" s="24"/>
      <c r="AL599" s="24"/>
      <c r="AM599" s="24"/>
    </row>
    <row r="600" spans="1:39" ht="12.75" customHeight="1">
      <c r="A600" s="22">
        <v>598</v>
      </c>
      <c r="B600" s="24" t="s">
        <v>1883</v>
      </c>
      <c r="C600" s="24" t="s">
        <v>180</v>
      </c>
      <c r="D600" s="24" t="s">
        <v>1875</v>
      </c>
      <c r="E600" s="24" t="s">
        <v>1866</v>
      </c>
      <c r="F600" s="24">
        <v>1</v>
      </c>
      <c r="G600" s="24" t="s">
        <v>1767</v>
      </c>
      <c r="H600" s="24"/>
      <c r="I600" s="24"/>
      <c r="J600" s="283"/>
      <c r="K600" s="224"/>
      <c r="L600" s="224"/>
      <c r="M600" s="224"/>
      <c r="N600" s="224"/>
      <c r="O600" s="224" t="s">
        <v>1883</v>
      </c>
      <c r="P600" s="164"/>
      <c r="Q600" s="164"/>
      <c r="R600" s="24"/>
      <c r="S600" s="283"/>
      <c r="T600" s="224"/>
      <c r="U600" s="283"/>
      <c r="V600" s="283"/>
      <c r="W600" s="164"/>
      <c r="X600" s="24"/>
      <c r="Y600" s="283"/>
      <c r="Z600" s="24"/>
      <c r="AA600" s="24"/>
      <c r="AB600" s="24"/>
      <c r="AC600" s="24"/>
      <c r="AD600" s="283"/>
      <c r="AE600" s="283"/>
      <c r="AF600" s="113">
        <v>112149005</v>
      </c>
      <c r="AG600" s="283"/>
      <c r="AH600" s="285" t="s">
        <v>115</v>
      </c>
      <c r="AI600" s="285" t="s">
        <v>1884</v>
      </c>
      <c r="AJ600" s="285" t="s">
        <v>1885</v>
      </c>
      <c r="AK600" s="24"/>
      <c r="AL600" s="24"/>
      <c r="AM600" s="24"/>
    </row>
    <row r="601" spans="1:39" ht="12.75" customHeight="1">
      <c r="A601" s="22">
        <v>599</v>
      </c>
      <c r="B601" s="24" t="s">
        <v>1886</v>
      </c>
      <c r="C601" s="24" t="s">
        <v>180</v>
      </c>
      <c r="D601" s="24" t="s">
        <v>1875</v>
      </c>
      <c r="E601" s="24" t="s">
        <v>1866</v>
      </c>
      <c r="F601" s="24">
        <v>1</v>
      </c>
      <c r="G601" s="24" t="s">
        <v>1767</v>
      </c>
      <c r="H601" s="24"/>
      <c r="I601" s="24"/>
      <c r="J601" s="283"/>
      <c r="K601" s="224"/>
      <c r="L601" s="224"/>
      <c r="M601" s="224"/>
      <c r="N601" s="224"/>
      <c r="O601" s="224" t="s">
        <v>1886</v>
      </c>
      <c r="P601" s="164"/>
      <c r="Q601" s="164"/>
      <c r="R601" s="24"/>
      <c r="S601" s="283"/>
      <c r="T601" s="224"/>
      <c r="U601" s="283"/>
      <c r="V601" s="283"/>
      <c r="W601" s="164"/>
      <c r="X601" s="24"/>
      <c r="Y601" s="283"/>
      <c r="Z601" s="24"/>
      <c r="AA601" s="24"/>
      <c r="AB601" s="24"/>
      <c r="AC601" s="24"/>
      <c r="AD601" s="283"/>
      <c r="AE601" s="283"/>
      <c r="AF601" s="113">
        <v>165743006</v>
      </c>
      <c r="AG601" s="283"/>
      <c r="AH601" s="285" t="s">
        <v>115</v>
      </c>
      <c r="AI601" s="285" t="s">
        <v>1887</v>
      </c>
      <c r="AJ601" s="285" t="s">
        <v>1888</v>
      </c>
      <c r="AK601" s="24"/>
      <c r="AL601" s="24"/>
      <c r="AM601" s="24"/>
    </row>
    <row r="602" spans="1:39" ht="12.75" customHeight="1">
      <c r="A602" s="22">
        <v>600</v>
      </c>
      <c r="B602" s="24" t="s">
        <v>1889</v>
      </c>
      <c r="C602" s="24" t="s">
        <v>180</v>
      </c>
      <c r="D602" s="24" t="s">
        <v>1875</v>
      </c>
      <c r="E602" s="24" t="s">
        <v>1866</v>
      </c>
      <c r="F602" s="24">
        <v>1</v>
      </c>
      <c r="G602" s="24" t="s">
        <v>1767</v>
      </c>
      <c r="H602" s="24"/>
      <c r="I602" s="24"/>
      <c r="J602" s="283"/>
      <c r="K602" s="224"/>
      <c r="L602" s="224"/>
      <c r="M602" s="224"/>
      <c r="N602" s="224"/>
      <c r="O602" s="224" t="s">
        <v>1889</v>
      </c>
      <c r="P602" s="164"/>
      <c r="Q602" s="164"/>
      <c r="R602" s="24"/>
      <c r="S602" s="283"/>
      <c r="T602" s="224"/>
      <c r="U602" s="283"/>
      <c r="V602" s="283"/>
      <c r="W602" s="164"/>
      <c r="X602" s="24"/>
      <c r="Y602" s="283"/>
      <c r="Z602" s="24"/>
      <c r="AA602" s="24"/>
      <c r="AB602" s="24"/>
      <c r="AC602" s="24"/>
      <c r="AD602" s="283"/>
      <c r="AE602" s="283"/>
      <c r="AF602" s="113">
        <v>58460004</v>
      </c>
      <c r="AG602" s="283"/>
      <c r="AH602" s="285" t="s">
        <v>115</v>
      </c>
      <c r="AI602" s="285" t="s">
        <v>1890</v>
      </c>
      <c r="AJ602" s="285" t="s">
        <v>1891</v>
      </c>
      <c r="AK602" s="24"/>
      <c r="AL602" s="24"/>
      <c r="AM602" s="24"/>
    </row>
    <row r="603" spans="1:39" ht="12.75" customHeight="1">
      <c r="A603" s="22">
        <v>601</v>
      </c>
      <c r="B603" s="24" t="s">
        <v>1892</v>
      </c>
      <c r="C603" s="24" t="s">
        <v>96</v>
      </c>
      <c r="D603" s="24" t="s">
        <v>1787</v>
      </c>
      <c r="E603" s="24" t="s">
        <v>1866</v>
      </c>
      <c r="F603" s="24">
        <v>1</v>
      </c>
      <c r="G603" s="24" t="s">
        <v>1767</v>
      </c>
      <c r="H603" s="24"/>
      <c r="I603" s="24"/>
      <c r="J603" s="283"/>
      <c r="K603" s="224" t="s">
        <v>1892</v>
      </c>
      <c r="L603" s="224" t="s">
        <v>1893</v>
      </c>
      <c r="M603" s="224" t="s">
        <v>1894</v>
      </c>
      <c r="N603" s="224" t="s">
        <v>202</v>
      </c>
      <c r="O603" s="224"/>
      <c r="P603" s="164"/>
      <c r="Q603" s="164"/>
      <c r="R603" s="24"/>
      <c r="S603" s="283"/>
      <c r="T603" s="224" t="s">
        <v>113</v>
      </c>
      <c r="U603" s="283"/>
      <c r="V603" s="283"/>
      <c r="W603" s="164" t="s">
        <v>115</v>
      </c>
      <c r="X603" s="24"/>
      <c r="Y603" s="283"/>
      <c r="Z603" s="24"/>
      <c r="AA603" s="24"/>
      <c r="AB603" s="24"/>
      <c r="AC603" s="24"/>
      <c r="AD603" s="283"/>
      <c r="AE603" s="283"/>
      <c r="AF603" s="113">
        <v>165745004</v>
      </c>
      <c r="AG603" s="283"/>
      <c r="AH603" s="285" t="s">
        <v>115</v>
      </c>
      <c r="AI603" s="285" t="s">
        <v>1895</v>
      </c>
      <c r="AJ603" s="285" t="s">
        <v>1896</v>
      </c>
      <c r="AK603" s="24"/>
      <c r="AL603" s="24"/>
      <c r="AM603" s="24"/>
    </row>
    <row r="604" spans="1:39" ht="12.75" customHeight="1">
      <c r="A604" s="22">
        <v>602</v>
      </c>
      <c r="B604" s="24" t="s">
        <v>1122</v>
      </c>
      <c r="C604" s="24" t="s">
        <v>180</v>
      </c>
      <c r="D604" s="24" t="s">
        <v>1892</v>
      </c>
      <c r="E604" s="24" t="s">
        <v>1866</v>
      </c>
      <c r="F604" s="24">
        <v>1</v>
      </c>
      <c r="G604" s="24" t="s">
        <v>1767</v>
      </c>
      <c r="H604" s="24"/>
      <c r="I604" s="24"/>
      <c r="J604" s="283"/>
      <c r="K604" s="196"/>
      <c r="L604" s="196"/>
      <c r="M604" s="196"/>
      <c r="N604" s="196"/>
      <c r="O604" s="204" t="s">
        <v>1122</v>
      </c>
      <c r="P604" s="196"/>
      <c r="Q604" s="196"/>
      <c r="R604" s="24"/>
      <c r="S604" s="283"/>
      <c r="T604" s="196"/>
      <c r="U604" s="283"/>
      <c r="V604" s="283"/>
      <c r="W604" s="196"/>
      <c r="X604" s="24"/>
      <c r="Y604" s="283"/>
      <c r="Z604" s="24"/>
      <c r="AA604" s="24"/>
      <c r="AB604" s="24"/>
      <c r="AC604" s="24"/>
      <c r="AD604" s="283"/>
      <c r="AE604" s="283"/>
      <c r="AF604" s="113">
        <v>10828004</v>
      </c>
      <c r="AG604" s="283"/>
      <c r="AH604" s="205" t="s">
        <v>115</v>
      </c>
      <c r="AI604" s="205" t="s">
        <v>1897</v>
      </c>
      <c r="AJ604" s="205" t="s">
        <v>1125</v>
      </c>
      <c r="AK604" s="24"/>
      <c r="AL604" s="24"/>
      <c r="AM604" s="24"/>
    </row>
    <row r="605" spans="1:39" ht="12.75" customHeight="1">
      <c r="A605" s="22">
        <v>603</v>
      </c>
      <c r="B605" s="24" t="s">
        <v>1126</v>
      </c>
      <c r="C605" s="24" t="s">
        <v>180</v>
      </c>
      <c r="D605" s="24" t="s">
        <v>1892</v>
      </c>
      <c r="E605" s="24" t="s">
        <v>1866</v>
      </c>
      <c r="F605" s="24">
        <v>1</v>
      </c>
      <c r="G605" s="24" t="s">
        <v>1767</v>
      </c>
      <c r="H605" s="24"/>
      <c r="I605" s="24"/>
      <c r="J605" s="283"/>
      <c r="K605" s="196"/>
      <c r="L605" s="196"/>
      <c r="M605" s="196"/>
      <c r="N605" s="196"/>
      <c r="O605" s="204" t="s">
        <v>1126</v>
      </c>
      <c r="P605" s="196"/>
      <c r="Q605" s="196"/>
      <c r="R605" s="24"/>
      <c r="S605" s="283"/>
      <c r="T605" s="196"/>
      <c r="U605" s="283"/>
      <c r="V605" s="283"/>
      <c r="W605" s="196"/>
      <c r="X605" s="24"/>
      <c r="Y605" s="283"/>
      <c r="Z605" s="24"/>
      <c r="AA605" s="24"/>
      <c r="AB605" s="24"/>
      <c r="AC605" s="24"/>
      <c r="AD605" s="283"/>
      <c r="AE605" s="283"/>
      <c r="AF605" s="113">
        <v>260385009</v>
      </c>
      <c r="AG605" s="283"/>
      <c r="AH605" s="205" t="s">
        <v>115</v>
      </c>
      <c r="AI605" s="205" t="s">
        <v>1128</v>
      </c>
      <c r="AJ605" s="205" t="s">
        <v>1129</v>
      </c>
      <c r="AK605" s="24"/>
      <c r="AL605" s="24"/>
      <c r="AM605" s="24"/>
    </row>
    <row r="606" spans="1:39" ht="12.75" customHeight="1">
      <c r="A606" s="22">
        <v>604</v>
      </c>
      <c r="B606" s="24" t="s">
        <v>1898</v>
      </c>
      <c r="C606" s="24" t="s">
        <v>96</v>
      </c>
      <c r="D606" s="24" t="s">
        <v>1787</v>
      </c>
      <c r="E606" s="24" t="s">
        <v>887</v>
      </c>
      <c r="F606" s="24">
        <v>1</v>
      </c>
      <c r="G606" s="24" t="s">
        <v>1767</v>
      </c>
      <c r="H606" s="24"/>
      <c r="I606" s="24"/>
      <c r="J606" s="283"/>
      <c r="K606" s="224" t="s">
        <v>1898</v>
      </c>
      <c r="L606" s="224" t="s">
        <v>1899</v>
      </c>
      <c r="M606" s="224" t="s">
        <v>1900</v>
      </c>
      <c r="N606" s="224" t="s">
        <v>202</v>
      </c>
      <c r="O606" s="224"/>
      <c r="P606" s="164"/>
      <c r="Q606" s="164"/>
      <c r="R606" s="24"/>
      <c r="S606" s="283"/>
      <c r="T606" s="224" t="s">
        <v>113</v>
      </c>
      <c r="U606" s="283"/>
      <c r="V606" s="283"/>
      <c r="W606" s="164" t="s">
        <v>1901</v>
      </c>
      <c r="X606" s="24"/>
      <c r="Y606" s="283"/>
      <c r="Z606" s="24"/>
      <c r="AA606" s="24"/>
      <c r="AB606" s="24"/>
      <c r="AC606" s="24"/>
      <c r="AD606" s="295"/>
      <c r="AE606" s="295"/>
      <c r="AF606" s="295"/>
      <c r="AG606" s="295"/>
      <c r="AH606" s="285" t="s">
        <v>1902</v>
      </c>
      <c r="AI606" s="205" t="s">
        <v>1773</v>
      </c>
      <c r="AJ606" s="285" t="s">
        <v>1774</v>
      </c>
      <c r="AK606" s="24"/>
      <c r="AL606" s="24"/>
      <c r="AM606" s="24"/>
    </row>
    <row r="607" spans="1:39" ht="12.75" customHeight="1">
      <c r="A607" s="22">
        <v>605</v>
      </c>
      <c r="B607" s="24" t="s">
        <v>1775</v>
      </c>
      <c r="C607" s="24" t="s">
        <v>180</v>
      </c>
      <c r="D607" s="24" t="s">
        <v>1898</v>
      </c>
      <c r="E607" s="24" t="s">
        <v>887</v>
      </c>
      <c r="F607" s="24">
        <v>1</v>
      </c>
      <c r="G607" s="24" t="s">
        <v>1767</v>
      </c>
      <c r="H607" s="24"/>
      <c r="I607" s="24"/>
      <c r="J607" s="283"/>
      <c r="K607" s="224"/>
      <c r="L607" s="224"/>
      <c r="M607" s="224"/>
      <c r="N607" s="224"/>
      <c r="O607" s="224" t="s">
        <v>1775</v>
      </c>
      <c r="P607" s="224"/>
      <c r="Q607" s="224"/>
      <c r="R607" s="24"/>
      <c r="S607" s="283"/>
      <c r="T607" s="224"/>
      <c r="U607" s="283"/>
      <c r="V607" s="283"/>
      <c r="W607" s="164"/>
      <c r="X607" s="24"/>
      <c r="Y607" s="283"/>
      <c r="Z607" s="24"/>
      <c r="AA607" s="24"/>
      <c r="AB607" s="24"/>
      <c r="AC607" s="24"/>
      <c r="AD607" s="295"/>
      <c r="AE607" s="295"/>
      <c r="AF607" s="295"/>
      <c r="AG607" s="295"/>
      <c r="AH607" s="285" t="s">
        <v>115</v>
      </c>
      <c r="AI607" s="285" t="s">
        <v>1777</v>
      </c>
      <c r="AJ607" s="285" t="s">
        <v>1778</v>
      </c>
      <c r="AK607" s="24"/>
      <c r="AL607" s="24"/>
      <c r="AM607" s="24"/>
    </row>
    <row r="608" spans="1:39" ht="12.75" customHeight="1">
      <c r="A608" s="22">
        <v>606</v>
      </c>
      <c r="B608" s="24" t="s">
        <v>1779</v>
      </c>
      <c r="C608" s="24" t="s">
        <v>180</v>
      </c>
      <c r="D608" s="24" t="s">
        <v>1898</v>
      </c>
      <c r="E608" s="24" t="s">
        <v>887</v>
      </c>
      <c r="F608" s="24">
        <v>1</v>
      </c>
      <c r="G608" s="24" t="s">
        <v>1767</v>
      </c>
      <c r="H608" s="24"/>
      <c r="I608" s="24"/>
      <c r="J608" s="283"/>
      <c r="K608" s="224"/>
      <c r="L608" s="224"/>
      <c r="M608" s="224"/>
      <c r="N608" s="224"/>
      <c r="O608" s="204" t="s">
        <v>1779</v>
      </c>
      <c r="P608" s="224"/>
      <c r="Q608" s="224"/>
      <c r="R608" s="24"/>
      <c r="S608" s="283"/>
      <c r="T608" s="224"/>
      <c r="U608" s="283"/>
      <c r="V608" s="283"/>
      <c r="W608" s="164"/>
      <c r="X608" s="24"/>
      <c r="Y608" s="283"/>
      <c r="Z608" s="24"/>
      <c r="AA608" s="24"/>
      <c r="AB608" s="24"/>
      <c r="AC608" s="24"/>
      <c r="AD608" s="291"/>
      <c r="AE608" s="291"/>
      <c r="AF608" s="288" t="s">
        <v>1871</v>
      </c>
      <c r="AG608" s="291"/>
      <c r="AH608" s="285" t="s">
        <v>115</v>
      </c>
      <c r="AI608" s="285" t="s">
        <v>1781</v>
      </c>
      <c r="AJ608" s="285" t="s">
        <v>1782</v>
      </c>
      <c r="AK608" s="24"/>
      <c r="AL608" s="24"/>
      <c r="AM608" s="24"/>
    </row>
    <row r="609" spans="1:39" ht="12.75" customHeight="1">
      <c r="A609" s="22">
        <v>607</v>
      </c>
      <c r="B609" s="24" t="s">
        <v>1783</v>
      </c>
      <c r="C609" s="24" t="s">
        <v>180</v>
      </c>
      <c r="D609" s="24" t="s">
        <v>1898</v>
      </c>
      <c r="E609" s="24" t="s">
        <v>887</v>
      </c>
      <c r="F609" s="24">
        <v>1</v>
      </c>
      <c r="G609" s="24" t="s">
        <v>1767</v>
      </c>
      <c r="H609" s="24"/>
      <c r="I609" s="24"/>
      <c r="J609" s="283"/>
      <c r="K609" s="224"/>
      <c r="L609" s="224"/>
      <c r="M609" s="224"/>
      <c r="N609" s="224"/>
      <c r="O609" s="204" t="s">
        <v>1783</v>
      </c>
      <c r="P609" s="224"/>
      <c r="Q609" s="224"/>
      <c r="R609" s="24"/>
      <c r="S609" s="283"/>
      <c r="T609" s="224"/>
      <c r="U609" s="283"/>
      <c r="V609" s="283"/>
      <c r="W609" s="164"/>
      <c r="X609" s="24"/>
      <c r="Y609" s="283"/>
      <c r="Z609" s="24"/>
      <c r="AA609" s="24"/>
      <c r="AB609" s="24"/>
      <c r="AC609" s="24"/>
      <c r="AD609" s="291"/>
      <c r="AE609" s="291"/>
      <c r="AF609" s="113">
        <v>721963009</v>
      </c>
      <c r="AG609" s="291"/>
      <c r="AH609" s="285" t="s">
        <v>115</v>
      </c>
      <c r="AI609" s="285" t="s">
        <v>1784</v>
      </c>
      <c r="AJ609" s="205" t="s">
        <v>1785</v>
      </c>
      <c r="AK609" s="24"/>
      <c r="AL609" s="24"/>
      <c r="AM609" s="24"/>
    </row>
    <row r="610" spans="1:39" ht="12.75" customHeight="1">
      <c r="A610" s="22">
        <v>608</v>
      </c>
      <c r="B610" s="24" t="s">
        <v>1468</v>
      </c>
      <c r="C610" s="24" t="s">
        <v>180</v>
      </c>
      <c r="D610" s="24" t="s">
        <v>1898</v>
      </c>
      <c r="E610" s="24" t="s">
        <v>887</v>
      </c>
      <c r="F610" s="24">
        <v>1</v>
      </c>
      <c r="G610" s="24" t="s">
        <v>1767</v>
      </c>
      <c r="H610" s="24"/>
      <c r="I610" s="24"/>
      <c r="J610" s="283"/>
      <c r="K610" s="224"/>
      <c r="L610" s="224"/>
      <c r="M610" s="224"/>
      <c r="N610" s="224"/>
      <c r="O610" s="204" t="s">
        <v>1468</v>
      </c>
      <c r="P610" s="224"/>
      <c r="Q610" s="224"/>
      <c r="R610" s="24"/>
      <c r="S610" s="283"/>
      <c r="T610" s="224"/>
      <c r="U610" s="283"/>
      <c r="V610" s="283"/>
      <c r="W610" s="164"/>
      <c r="X610" s="24"/>
      <c r="Y610" s="283"/>
      <c r="Z610" s="24"/>
      <c r="AA610" s="24"/>
      <c r="AB610" s="24"/>
      <c r="AC610" s="24"/>
      <c r="AD610" s="291"/>
      <c r="AE610" s="291"/>
      <c r="AF610" s="113">
        <v>385660001</v>
      </c>
      <c r="AG610" s="291"/>
      <c r="AH610" s="285" t="s">
        <v>115</v>
      </c>
      <c r="AI610" s="285" t="s">
        <v>1469</v>
      </c>
      <c r="AJ610" s="205" t="s">
        <v>1470</v>
      </c>
      <c r="AK610" s="24"/>
      <c r="AL610" s="24"/>
      <c r="AM610" s="24"/>
    </row>
    <row r="611" spans="1:39" ht="12.75" customHeight="1">
      <c r="A611" s="22">
        <v>609</v>
      </c>
      <c r="B611" s="24" t="s">
        <v>1903</v>
      </c>
      <c r="C611" s="24" t="s">
        <v>96</v>
      </c>
      <c r="D611" s="24" t="s">
        <v>1787</v>
      </c>
      <c r="E611" s="24" t="s">
        <v>887</v>
      </c>
      <c r="F611" s="24">
        <v>1</v>
      </c>
      <c r="G611" s="24" t="s">
        <v>1767</v>
      </c>
      <c r="H611" s="24"/>
      <c r="I611" s="24"/>
      <c r="J611" s="283"/>
      <c r="K611" s="224" t="s">
        <v>1376</v>
      </c>
      <c r="L611" s="224" t="s">
        <v>1904</v>
      </c>
      <c r="M611" s="224" t="s">
        <v>1905</v>
      </c>
      <c r="N611" s="224" t="s">
        <v>238</v>
      </c>
      <c r="O611" s="224"/>
      <c r="P611" s="224"/>
      <c r="Q611" s="224"/>
      <c r="R611" s="24"/>
      <c r="S611" s="283"/>
      <c r="T611" s="224" t="s">
        <v>113</v>
      </c>
      <c r="U611" s="283"/>
      <c r="V611" s="283"/>
      <c r="W611" s="164" t="s">
        <v>115</v>
      </c>
      <c r="X611" s="24"/>
      <c r="Y611" s="283"/>
      <c r="Z611" s="24"/>
      <c r="AA611" s="24"/>
      <c r="AB611" s="24"/>
      <c r="AC611" s="24"/>
      <c r="AD611" s="291"/>
      <c r="AE611" s="291"/>
      <c r="AF611" s="131" t="s">
        <v>1906</v>
      </c>
      <c r="AG611" s="291"/>
      <c r="AH611" s="285" t="s">
        <v>115</v>
      </c>
      <c r="AI611" s="285" t="s">
        <v>1907</v>
      </c>
      <c r="AJ611" s="285" t="s">
        <v>1908</v>
      </c>
      <c r="AK611" s="24"/>
      <c r="AL611" s="24"/>
      <c r="AM611" s="24"/>
    </row>
    <row r="612" spans="1:39" ht="12.75" customHeight="1">
      <c r="A612" s="22">
        <v>610</v>
      </c>
      <c r="B612" s="24" t="s">
        <v>1909</v>
      </c>
      <c r="C612" s="24" t="s">
        <v>180</v>
      </c>
      <c r="D612" s="24" t="s">
        <v>1903</v>
      </c>
      <c r="E612" s="24" t="s">
        <v>887</v>
      </c>
      <c r="F612" s="24">
        <v>1</v>
      </c>
      <c r="G612" s="24" t="s">
        <v>1767</v>
      </c>
      <c r="H612" s="24"/>
      <c r="I612" s="24"/>
      <c r="J612" s="283"/>
      <c r="K612" s="196"/>
      <c r="L612" s="196"/>
      <c r="M612" s="196"/>
      <c r="N612" s="196"/>
      <c r="O612" s="204" t="s">
        <v>1909</v>
      </c>
      <c r="P612" s="196"/>
      <c r="Q612" s="196"/>
      <c r="R612" s="24"/>
      <c r="S612" s="283"/>
      <c r="T612" s="196"/>
      <c r="U612" s="283"/>
      <c r="V612" s="283"/>
      <c r="W612" s="196"/>
      <c r="X612" s="24"/>
      <c r="Y612" s="283"/>
      <c r="Z612" s="24"/>
      <c r="AA612" s="24"/>
      <c r="AB612" s="24"/>
      <c r="AC612" s="24"/>
      <c r="AD612" s="291"/>
      <c r="AE612" s="291"/>
      <c r="AF612" s="118">
        <v>419182006</v>
      </c>
      <c r="AG612" s="291"/>
      <c r="AH612" s="205" t="s">
        <v>115</v>
      </c>
      <c r="AI612" s="205" t="s">
        <v>1910</v>
      </c>
      <c r="AJ612" s="205" t="s">
        <v>1911</v>
      </c>
      <c r="AK612" s="24"/>
      <c r="AL612" s="24"/>
      <c r="AM612" s="24"/>
    </row>
    <row r="613" spans="1:39" ht="12.75" customHeight="1">
      <c r="A613" s="22">
        <v>611</v>
      </c>
      <c r="B613" s="24" t="s">
        <v>1912</v>
      </c>
      <c r="C613" s="24" t="s">
        <v>180</v>
      </c>
      <c r="D613" s="24" t="s">
        <v>1903</v>
      </c>
      <c r="E613" s="24" t="s">
        <v>887</v>
      </c>
      <c r="F613" s="24">
        <v>1</v>
      </c>
      <c r="G613" s="24" t="s">
        <v>1767</v>
      </c>
      <c r="H613" s="24"/>
      <c r="I613" s="24"/>
      <c r="J613" s="283"/>
      <c r="K613" s="196"/>
      <c r="L613" s="196"/>
      <c r="M613" s="196"/>
      <c r="N613" s="196"/>
      <c r="O613" s="196" t="s">
        <v>1912</v>
      </c>
      <c r="P613" s="196"/>
      <c r="Q613" s="196"/>
      <c r="R613" s="24"/>
      <c r="S613" s="283"/>
      <c r="T613" s="196"/>
      <c r="U613" s="283"/>
      <c r="V613" s="283"/>
      <c r="W613" s="196"/>
      <c r="X613" s="24"/>
      <c r="Y613" s="283"/>
      <c r="Z613" s="24"/>
      <c r="AA613" s="24"/>
      <c r="AB613" s="24"/>
      <c r="AC613" s="24"/>
      <c r="AD613" s="291"/>
      <c r="AE613" s="291"/>
      <c r="AF613" s="118">
        <v>405663000</v>
      </c>
      <c r="AG613" s="291"/>
      <c r="AH613" s="205" t="s">
        <v>115</v>
      </c>
      <c r="AI613" s="205" t="s">
        <v>1913</v>
      </c>
      <c r="AJ613" s="205" t="s">
        <v>1914</v>
      </c>
      <c r="AK613" s="24"/>
      <c r="AL613" s="24"/>
      <c r="AM613" s="24"/>
    </row>
    <row r="614" spans="1:39" ht="12.75" customHeight="1">
      <c r="A614" s="22">
        <v>612</v>
      </c>
      <c r="B614" s="24" t="s">
        <v>405</v>
      </c>
      <c r="C614" s="24" t="s">
        <v>180</v>
      </c>
      <c r="D614" s="24" t="s">
        <v>1903</v>
      </c>
      <c r="E614" s="24" t="s">
        <v>887</v>
      </c>
      <c r="F614" s="24">
        <v>1</v>
      </c>
      <c r="G614" s="24" t="s">
        <v>1767</v>
      </c>
      <c r="H614" s="24"/>
      <c r="I614" s="24"/>
      <c r="J614" s="283"/>
      <c r="K614" s="196"/>
      <c r="L614" s="196"/>
      <c r="M614" s="196"/>
      <c r="N614" s="196"/>
      <c r="O614" s="196" t="s">
        <v>405</v>
      </c>
      <c r="P614" s="196"/>
      <c r="Q614" s="196"/>
      <c r="R614" s="24"/>
      <c r="S614" s="283"/>
      <c r="T614" s="196"/>
      <c r="U614" s="283"/>
      <c r="V614" s="283"/>
      <c r="W614" s="196"/>
      <c r="X614" s="24"/>
      <c r="Y614" s="283"/>
      <c r="Z614" s="24"/>
      <c r="AA614" s="24"/>
      <c r="AB614" s="24"/>
      <c r="AC614" s="24"/>
      <c r="AD614" s="291"/>
      <c r="AE614" s="291"/>
      <c r="AF614" s="288" t="s">
        <v>1585</v>
      </c>
      <c r="AG614" s="291"/>
      <c r="AH614" s="205" t="s">
        <v>115</v>
      </c>
      <c r="AI614" s="205" t="s">
        <v>406</v>
      </c>
      <c r="AJ614" s="205" t="s">
        <v>407</v>
      </c>
      <c r="AK614" s="24"/>
      <c r="AL614" s="24"/>
      <c r="AM614" s="24"/>
    </row>
    <row r="615" spans="1:39" ht="12.75" customHeight="1">
      <c r="A615" s="22">
        <v>613</v>
      </c>
      <c r="B615" s="24" t="s">
        <v>1915</v>
      </c>
      <c r="C615" s="24" t="s">
        <v>96</v>
      </c>
      <c r="D615" s="24" t="s">
        <v>1787</v>
      </c>
      <c r="E615" s="24" t="s">
        <v>887</v>
      </c>
      <c r="F615" s="24">
        <v>1</v>
      </c>
      <c r="G615" s="24" t="s">
        <v>1767</v>
      </c>
      <c r="H615" s="24"/>
      <c r="I615" s="24"/>
      <c r="J615" s="283"/>
      <c r="K615" s="196" t="s">
        <v>409</v>
      </c>
      <c r="L615" s="196" t="s">
        <v>1916</v>
      </c>
      <c r="M615" s="196" t="s">
        <v>1917</v>
      </c>
      <c r="N615" s="196" t="s">
        <v>111</v>
      </c>
      <c r="O615" s="196"/>
      <c r="P615" s="196"/>
      <c r="Q615" s="196"/>
      <c r="R615" s="24"/>
      <c r="S615" s="283"/>
      <c r="T615" s="196" t="s">
        <v>208</v>
      </c>
      <c r="U615" s="283"/>
      <c r="V615" s="283"/>
      <c r="W615" s="196" t="s">
        <v>115</v>
      </c>
      <c r="X615" s="24"/>
      <c r="Y615" s="283"/>
      <c r="Z615" s="24"/>
      <c r="AA615" s="24"/>
      <c r="AB615" s="24"/>
      <c r="AC615" s="24"/>
      <c r="AD615" s="291"/>
      <c r="AE615" s="291"/>
      <c r="AF615" s="291"/>
      <c r="AG615" s="288" t="s">
        <v>1918</v>
      </c>
      <c r="AH615" s="205" t="s">
        <v>1919</v>
      </c>
      <c r="AI615" s="205" t="s">
        <v>415</v>
      </c>
      <c r="AJ615" s="205" t="s">
        <v>416</v>
      </c>
      <c r="AK615" s="24"/>
      <c r="AL615" s="24"/>
      <c r="AM615" s="24"/>
    </row>
    <row r="616" spans="1:39" ht="12.75" customHeight="1">
      <c r="A616" s="22">
        <v>614</v>
      </c>
      <c r="B616" s="24" t="s">
        <v>1920</v>
      </c>
      <c r="C616" s="24" t="s">
        <v>96</v>
      </c>
      <c r="D616" s="24" t="s">
        <v>1787</v>
      </c>
      <c r="E616" s="24" t="s">
        <v>887</v>
      </c>
      <c r="F616" s="24">
        <v>1</v>
      </c>
      <c r="G616" s="24" t="s">
        <v>1767</v>
      </c>
      <c r="H616" s="24"/>
      <c r="I616" s="24"/>
      <c r="J616" s="283"/>
      <c r="K616" s="196" t="s">
        <v>1920</v>
      </c>
      <c r="L616" s="196" t="s">
        <v>1921</v>
      </c>
      <c r="M616" s="196" t="s">
        <v>1922</v>
      </c>
      <c r="N616" s="196" t="s">
        <v>140</v>
      </c>
      <c r="O616" s="196"/>
      <c r="P616" s="196"/>
      <c r="Q616" s="196"/>
      <c r="R616" s="24"/>
      <c r="S616" s="283"/>
      <c r="T616" s="196" t="s">
        <v>113</v>
      </c>
      <c r="U616" s="283"/>
      <c r="V616" s="283"/>
      <c r="W616" s="196" t="s">
        <v>115</v>
      </c>
      <c r="X616" s="24"/>
      <c r="Y616" s="283"/>
      <c r="Z616" s="24"/>
      <c r="AA616" s="24"/>
      <c r="AB616" s="24"/>
      <c r="AC616" s="24"/>
      <c r="AD616" s="286"/>
      <c r="AE616" s="286"/>
      <c r="AF616" s="286"/>
      <c r="AG616" s="286"/>
      <c r="AH616" s="205" t="s">
        <v>115</v>
      </c>
      <c r="AI616" s="205" t="s">
        <v>1923</v>
      </c>
      <c r="AJ616" s="205" t="s">
        <v>1924</v>
      </c>
      <c r="AK616" s="24"/>
      <c r="AL616" s="24"/>
      <c r="AM616" s="24"/>
    </row>
    <row r="617" spans="1:39" ht="12.75" customHeight="1">
      <c r="A617" s="22">
        <v>615</v>
      </c>
      <c r="B617" s="24" t="s">
        <v>1925</v>
      </c>
      <c r="C617" s="24" t="s">
        <v>96</v>
      </c>
      <c r="D617" s="24" t="s">
        <v>1787</v>
      </c>
      <c r="E617" s="24" t="s">
        <v>887</v>
      </c>
      <c r="F617" s="24">
        <v>1</v>
      </c>
      <c r="G617" s="24" t="s">
        <v>1767</v>
      </c>
      <c r="H617" s="24"/>
      <c r="I617" s="24"/>
      <c r="J617" s="283"/>
      <c r="K617" s="224" t="s">
        <v>1926</v>
      </c>
      <c r="L617" s="224" t="s">
        <v>1927</v>
      </c>
      <c r="M617" s="224" t="s">
        <v>1928</v>
      </c>
      <c r="N617" s="224" t="s">
        <v>202</v>
      </c>
      <c r="O617" s="224"/>
      <c r="P617" s="164"/>
      <c r="Q617" s="164"/>
      <c r="R617" s="24"/>
      <c r="S617" s="283"/>
      <c r="T617" s="224" t="s">
        <v>113</v>
      </c>
      <c r="U617" s="283"/>
      <c r="V617" s="283"/>
      <c r="W617" s="164" t="s">
        <v>115</v>
      </c>
      <c r="X617" s="24"/>
      <c r="Y617" s="283"/>
      <c r="Z617" s="24"/>
      <c r="AA617" s="24"/>
      <c r="AB617" s="24"/>
      <c r="AC617" s="24"/>
      <c r="AD617" s="291"/>
      <c r="AE617" s="291"/>
      <c r="AF617" s="288" t="s">
        <v>1929</v>
      </c>
      <c r="AG617" s="291"/>
      <c r="AH617" s="285" t="s">
        <v>115</v>
      </c>
      <c r="AI617" s="285" t="s">
        <v>1930</v>
      </c>
      <c r="AJ617" s="285" t="s">
        <v>1931</v>
      </c>
      <c r="AK617" s="24"/>
      <c r="AL617" s="24"/>
      <c r="AM617" s="24"/>
    </row>
    <row r="618" spans="1:39" ht="12.75" customHeight="1">
      <c r="A618" s="22">
        <v>616</v>
      </c>
      <c r="B618" s="24" t="s">
        <v>1122</v>
      </c>
      <c r="C618" s="24" t="s">
        <v>180</v>
      </c>
      <c r="D618" s="24" t="s">
        <v>1926</v>
      </c>
      <c r="E618" s="24" t="s">
        <v>887</v>
      </c>
      <c r="F618" s="24">
        <v>1</v>
      </c>
      <c r="G618" s="24" t="s">
        <v>1767</v>
      </c>
      <c r="H618" s="24"/>
      <c r="I618" s="24"/>
      <c r="J618" s="283"/>
      <c r="K618" s="224"/>
      <c r="L618" s="224"/>
      <c r="M618" s="224"/>
      <c r="N618" s="224"/>
      <c r="O618" s="224" t="s">
        <v>1122</v>
      </c>
      <c r="P618" s="224"/>
      <c r="Q618" s="164"/>
      <c r="R618" s="24"/>
      <c r="S618" s="283"/>
      <c r="T618" s="224"/>
      <c r="U618" s="283"/>
      <c r="V618" s="283"/>
      <c r="W618" s="164"/>
      <c r="X618" s="24"/>
      <c r="Y618" s="283"/>
      <c r="Z618" s="24"/>
      <c r="AA618" s="24"/>
      <c r="AB618" s="24"/>
      <c r="AC618" s="24"/>
      <c r="AD618" s="291"/>
      <c r="AE618" s="291"/>
      <c r="AF618" s="113">
        <v>10828004</v>
      </c>
      <c r="AG618" s="291"/>
      <c r="AH618" s="285" t="s">
        <v>115</v>
      </c>
      <c r="AI618" s="285" t="s">
        <v>1897</v>
      </c>
      <c r="AJ618" s="285" t="s">
        <v>1125</v>
      </c>
      <c r="AK618" s="24"/>
      <c r="AL618" s="24"/>
      <c r="AM618" s="24"/>
    </row>
    <row r="619" spans="1:39" ht="12.75" customHeight="1">
      <c r="A619" s="22">
        <v>617</v>
      </c>
      <c r="B619" s="24" t="s">
        <v>1126</v>
      </c>
      <c r="C619" s="24" t="s">
        <v>180</v>
      </c>
      <c r="D619" s="24" t="s">
        <v>1926</v>
      </c>
      <c r="E619" s="24" t="s">
        <v>887</v>
      </c>
      <c r="F619" s="24">
        <v>1</v>
      </c>
      <c r="G619" s="24" t="s">
        <v>1767</v>
      </c>
      <c r="H619" s="24"/>
      <c r="I619" s="24"/>
      <c r="J619" s="283"/>
      <c r="K619" s="224"/>
      <c r="L619" s="224"/>
      <c r="M619" s="224"/>
      <c r="N619" s="224"/>
      <c r="O619" s="224" t="s">
        <v>1126</v>
      </c>
      <c r="P619" s="224"/>
      <c r="Q619" s="164"/>
      <c r="R619" s="24"/>
      <c r="S619" s="283"/>
      <c r="T619" s="224"/>
      <c r="U619" s="283"/>
      <c r="V619" s="283"/>
      <c r="W619" s="164"/>
      <c r="X619" s="24"/>
      <c r="Y619" s="283"/>
      <c r="Z619" s="24"/>
      <c r="AA619" s="24"/>
      <c r="AB619" s="24"/>
      <c r="AC619" s="24"/>
      <c r="AD619" s="291"/>
      <c r="AE619" s="291"/>
      <c r="AF619" s="113">
        <v>260385009</v>
      </c>
      <c r="AG619" s="291"/>
      <c r="AH619" s="285" t="s">
        <v>115</v>
      </c>
      <c r="AI619" s="285" t="s">
        <v>1128</v>
      </c>
      <c r="AJ619" s="285" t="s">
        <v>1129</v>
      </c>
      <c r="AK619" s="24"/>
      <c r="AL619" s="24"/>
      <c r="AM619" s="24"/>
    </row>
    <row r="620" spans="1:39" ht="12.75" customHeight="1">
      <c r="A620" s="22">
        <v>618</v>
      </c>
      <c r="B620" s="24" t="s">
        <v>1932</v>
      </c>
      <c r="C620" s="24" t="s">
        <v>180</v>
      </c>
      <c r="D620" s="24" t="s">
        <v>1926</v>
      </c>
      <c r="E620" s="24" t="s">
        <v>887</v>
      </c>
      <c r="F620" s="24">
        <v>1</v>
      </c>
      <c r="G620" s="24" t="s">
        <v>1767</v>
      </c>
      <c r="H620" s="24"/>
      <c r="I620" s="24"/>
      <c r="J620" s="283"/>
      <c r="K620" s="224"/>
      <c r="L620" s="224"/>
      <c r="M620" s="224"/>
      <c r="N620" s="224"/>
      <c r="O620" s="224" t="s">
        <v>1932</v>
      </c>
      <c r="P620" s="224"/>
      <c r="Q620" s="164"/>
      <c r="R620" s="24"/>
      <c r="S620" s="283"/>
      <c r="T620" s="224"/>
      <c r="U620" s="283"/>
      <c r="V620" s="283"/>
      <c r="W620" s="164"/>
      <c r="X620" s="24"/>
      <c r="Y620" s="283"/>
      <c r="Z620" s="24"/>
      <c r="AA620" s="24"/>
      <c r="AB620" s="24"/>
      <c r="AC620" s="24"/>
      <c r="AD620" s="291"/>
      <c r="AE620" s="291"/>
      <c r="AF620" s="291">
        <v>82334004</v>
      </c>
      <c r="AG620" s="291"/>
      <c r="AH620" s="285" t="s">
        <v>115</v>
      </c>
      <c r="AI620" s="205" t="s">
        <v>1934</v>
      </c>
      <c r="AJ620" s="285" t="s">
        <v>1935</v>
      </c>
      <c r="AK620" s="24"/>
      <c r="AL620" s="24"/>
      <c r="AM620" s="24"/>
    </row>
    <row r="621" spans="1:39" ht="12.75" customHeight="1">
      <c r="A621" s="22">
        <v>619</v>
      </c>
      <c r="B621" s="24" t="s">
        <v>916</v>
      </c>
      <c r="C621" s="24" t="s">
        <v>65</v>
      </c>
      <c r="D621" s="24" t="s">
        <v>1787</v>
      </c>
      <c r="E621" s="24" t="s">
        <v>887</v>
      </c>
      <c r="F621" s="24">
        <v>1</v>
      </c>
      <c r="G621" s="24" t="s">
        <v>1767</v>
      </c>
      <c r="H621" s="24"/>
      <c r="I621" s="24"/>
      <c r="J621" s="283"/>
      <c r="K621" s="297" t="s">
        <v>1936</v>
      </c>
      <c r="L621" s="297" t="s">
        <v>916</v>
      </c>
      <c r="M621" s="297" t="s">
        <v>917</v>
      </c>
      <c r="N621" s="297" t="s">
        <v>65</v>
      </c>
      <c r="O621" s="297"/>
      <c r="P621" s="297" t="s">
        <v>918</v>
      </c>
      <c r="Q621" s="164"/>
      <c r="R621" s="24"/>
      <c r="S621" s="283"/>
      <c r="T621" s="298" t="s">
        <v>115</v>
      </c>
      <c r="U621" s="283"/>
      <c r="V621" s="283"/>
      <c r="W621" s="298" t="s">
        <v>115</v>
      </c>
      <c r="X621" s="24"/>
      <c r="Y621" s="283"/>
      <c r="Z621" s="24"/>
      <c r="AA621" s="24"/>
      <c r="AB621" s="24"/>
      <c r="AC621" s="24"/>
      <c r="AD621" s="291" t="s">
        <v>1938</v>
      </c>
      <c r="AE621" s="291"/>
      <c r="AF621" s="121">
        <v>165816005</v>
      </c>
      <c r="AG621" s="291"/>
      <c r="AH621" s="285" t="s">
        <v>115</v>
      </c>
      <c r="AI621" s="205" t="s">
        <v>888</v>
      </c>
      <c r="AJ621" s="285" t="s">
        <v>889</v>
      </c>
      <c r="AK621" s="24"/>
      <c r="AL621" s="24"/>
      <c r="AM621" s="24"/>
    </row>
    <row r="622" spans="1:39" ht="12.75" customHeight="1">
      <c r="A622" s="22">
        <v>620</v>
      </c>
      <c r="B622" s="24" t="s">
        <v>1939</v>
      </c>
      <c r="C622" s="24" t="s">
        <v>1445</v>
      </c>
      <c r="D622" s="24" t="s">
        <v>1787</v>
      </c>
      <c r="E622" s="24" t="s">
        <v>887</v>
      </c>
      <c r="F622" s="24">
        <v>1</v>
      </c>
      <c r="G622" s="24" t="s">
        <v>1767</v>
      </c>
      <c r="H622" s="24"/>
      <c r="I622" s="24"/>
      <c r="J622" s="283"/>
      <c r="K622" s="299" t="s">
        <v>1939</v>
      </c>
      <c r="L622" s="299" t="s">
        <v>115</v>
      </c>
      <c r="M622" s="299" t="s">
        <v>1940</v>
      </c>
      <c r="N622" s="299" t="s">
        <v>1445</v>
      </c>
      <c r="O622" s="299"/>
      <c r="P622" s="299"/>
      <c r="Q622" s="299"/>
      <c r="R622" s="24"/>
      <c r="S622" s="283"/>
      <c r="T622" s="299" t="s">
        <v>115</v>
      </c>
      <c r="U622" s="283"/>
      <c r="V622" s="283"/>
      <c r="W622" s="299" t="s">
        <v>115</v>
      </c>
      <c r="X622" s="24"/>
      <c r="Y622" s="283"/>
      <c r="Z622" s="24"/>
      <c r="AA622" s="24"/>
      <c r="AB622" s="24"/>
      <c r="AC622" s="24"/>
      <c r="AD622" s="295"/>
      <c r="AE622" s="295"/>
      <c r="AF622" s="295"/>
      <c r="AG622" s="295"/>
      <c r="AH622" s="205" t="s">
        <v>115</v>
      </c>
      <c r="AI622" s="205" t="s">
        <v>115</v>
      </c>
      <c r="AJ622" s="205" t="s">
        <v>115</v>
      </c>
      <c r="AK622" s="24"/>
      <c r="AL622" s="24"/>
      <c r="AM622" s="24"/>
    </row>
    <row r="623" spans="1:39" ht="12.75" customHeight="1">
      <c r="A623" s="22">
        <v>621</v>
      </c>
      <c r="B623" s="24" t="s">
        <v>1941</v>
      </c>
      <c r="C623" s="24" t="s">
        <v>1445</v>
      </c>
      <c r="D623" s="24" t="s">
        <v>1787</v>
      </c>
      <c r="E623" s="24" t="s">
        <v>887</v>
      </c>
      <c r="F623" s="24">
        <v>1</v>
      </c>
      <c r="G623" s="24" t="s">
        <v>1767</v>
      </c>
      <c r="H623" s="24"/>
      <c r="I623" s="24"/>
      <c r="J623" s="164"/>
      <c r="K623" s="302" t="s">
        <v>1942</v>
      </c>
      <c r="L623" s="302" t="s">
        <v>115</v>
      </c>
      <c r="M623" s="302" t="s">
        <v>1943</v>
      </c>
      <c r="N623" s="302" t="s">
        <v>1445</v>
      </c>
      <c r="O623" s="302"/>
      <c r="P623" s="303"/>
      <c r="Q623" s="303"/>
      <c r="R623" s="24"/>
      <c r="S623" s="164"/>
      <c r="T623" s="303"/>
      <c r="U623" s="164"/>
      <c r="V623" s="164"/>
      <c r="W623" s="303"/>
      <c r="X623" s="24"/>
      <c r="Y623" s="164"/>
      <c r="Z623" s="24"/>
      <c r="AA623" s="24"/>
      <c r="AB623" s="24"/>
      <c r="AC623" s="24"/>
      <c r="AD623" s="305"/>
      <c r="AE623" s="305"/>
      <c r="AF623" s="307"/>
      <c r="AG623" s="305"/>
      <c r="AH623" s="205" t="s">
        <v>115</v>
      </c>
      <c r="AI623" s="205" t="s">
        <v>115</v>
      </c>
      <c r="AJ623" s="205" t="s">
        <v>115</v>
      </c>
      <c r="AK623" s="24"/>
      <c r="AL623" s="24"/>
      <c r="AM623" s="24"/>
    </row>
    <row r="624" spans="1:39" ht="12.75" customHeight="1">
      <c r="A624" s="22">
        <v>622</v>
      </c>
      <c r="B624" s="24" t="s">
        <v>1944</v>
      </c>
      <c r="C624" s="24" t="s">
        <v>96</v>
      </c>
      <c r="D624" s="24" t="s">
        <v>1787</v>
      </c>
      <c r="E624" s="24" t="s">
        <v>1945</v>
      </c>
      <c r="F624" s="24">
        <v>1</v>
      </c>
      <c r="G624" s="24" t="s">
        <v>1767</v>
      </c>
      <c r="H624" s="24"/>
      <c r="I624" s="24"/>
      <c r="J624" s="283"/>
      <c r="K624" s="204" t="s">
        <v>1944</v>
      </c>
      <c r="L624" s="204" t="s">
        <v>1946</v>
      </c>
      <c r="M624" s="204" t="s">
        <v>1947</v>
      </c>
      <c r="N624" s="204" t="s">
        <v>202</v>
      </c>
      <c r="O624" s="224"/>
      <c r="P624" s="196"/>
      <c r="Q624" s="196"/>
      <c r="R624" s="24"/>
      <c r="S624" s="283"/>
      <c r="T624" s="309" t="s">
        <v>208</v>
      </c>
      <c r="U624" s="283"/>
      <c r="V624" s="283"/>
      <c r="W624" s="224" t="s">
        <v>1948</v>
      </c>
      <c r="X624" s="24"/>
      <c r="Y624" s="283"/>
      <c r="Z624" s="24"/>
      <c r="AA624" s="24"/>
      <c r="AB624" s="24"/>
      <c r="AC624" s="24"/>
      <c r="AD624" s="283"/>
      <c r="AE624" s="283"/>
      <c r="AF624" s="283"/>
      <c r="AG624" s="283"/>
      <c r="AH624" s="285" t="s">
        <v>1949</v>
      </c>
      <c r="AI624" s="205" t="s">
        <v>1773</v>
      </c>
      <c r="AJ624" s="285" t="s">
        <v>1774</v>
      </c>
      <c r="AK624" s="24"/>
      <c r="AL624" s="24"/>
      <c r="AM624" s="24"/>
    </row>
    <row r="625" spans="1:39" ht="12.75" customHeight="1">
      <c r="A625" s="22">
        <v>623</v>
      </c>
      <c r="B625" s="24" t="s">
        <v>1775</v>
      </c>
      <c r="C625" s="24" t="s">
        <v>180</v>
      </c>
      <c r="D625" s="24" t="s">
        <v>1944</v>
      </c>
      <c r="E625" s="24" t="s">
        <v>1945</v>
      </c>
      <c r="F625" s="24">
        <v>1</v>
      </c>
      <c r="G625" s="24" t="s">
        <v>1767</v>
      </c>
      <c r="H625" s="24"/>
      <c r="I625" s="24"/>
      <c r="J625" s="283"/>
      <c r="K625" s="296"/>
      <c r="L625" s="164"/>
      <c r="M625" s="204"/>
      <c r="N625" s="204"/>
      <c r="O625" s="224" t="s">
        <v>1775</v>
      </c>
      <c r="P625" s="164"/>
      <c r="Q625" s="164"/>
      <c r="R625" s="24"/>
      <c r="S625" s="283"/>
      <c r="T625" s="164"/>
      <c r="U625" s="283"/>
      <c r="V625" s="283"/>
      <c r="W625" s="196"/>
      <c r="X625" s="24"/>
      <c r="Y625" s="283"/>
      <c r="Z625" s="24"/>
      <c r="AA625" s="24"/>
      <c r="AB625" s="24"/>
      <c r="AC625" s="24"/>
      <c r="AD625" s="283"/>
      <c r="AE625" s="283"/>
      <c r="AF625" s="283"/>
      <c r="AG625" s="283"/>
      <c r="AH625" s="285" t="s">
        <v>115</v>
      </c>
      <c r="AI625" s="285" t="s">
        <v>1777</v>
      </c>
      <c r="AJ625" s="285" t="s">
        <v>1778</v>
      </c>
      <c r="AK625" s="24"/>
      <c r="AL625" s="24"/>
      <c r="AM625" s="24"/>
    </row>
    <row r="626" spans="1:39" ht="12.75" customHeight="1">
      <c r="A626" s="22">
        <v>624</v>
      </c>
      <c r="B626" s="24" t="s">
        <v>1779</v>
      </c>
      <c r="C626" s="24" t="s">
        <v>180</v>
      </c>
      <c r="D626" s="24" t="s">
        <v>1944</v>
      </c>
      <c r="E626" s="24" t="s">
        <v>1945</v>
      </c>
      <c r="F626" s="24">
        <v>1</v>
      </c>
      <c r="G626" s="24" t="s">
        <v>1767</v>
      </c>
      <c r="H626" s="24"/>
      <c r="I626" s="24"/>
      <c r="J626" s="283"/>
      <c r="K626" s="296"/>
      <c r="L626" s="164"/>
      <c r="M626" s="204"/>
      <c r="N626" s="204"/>
      <c r="O626" s="204" t="s">
        <v>1779</v>
      </c>
      <c r="P626" s="164"/>
      <c r="Q626" s="164"/>
      <c r="R626" s="24"/>
      <c r="S626" s="283"/>
      <c r="T626" s="164"/>
      <c r="U626" s="283"/>
      <c r="V626" s="283"/>
      <c r="W626" s="196"/>
      <c r="X626" s="24"/>
      <c r="Y626" s="283"/>
      <c r="Z626" s="24"/>
      <c r="AA626" s="24"/>
      <c r="AB626" s="24"/>
      <c r="AC626" s="24"/>
      <c r="AD626" s="283"/>
      <c r="AE626" s="283"/>
      <c r="AF626" s="283"/>
      <c r="AG626" s="283"/>
      <c r="AH626" s="285" t="s">
        <v>115</v>
      </c>
      <c r="AI626" s="285" t="s">
        <v>1781</v>
      </c>
      <c r="AJ626" s="285" t="s">
        <v>1782</v>
      </c>
      <c r="AK626" s="24"/>
      <c r="AL626" s="24"/>
      <c r="AM626" s="24"/>
    </row>
    <row r="627" spans="1:39" ht="12.75" customHeight="1">
      <c r="A627" s="22">
        <v>625</v>
      </c>
      <c r="B627" s="24" t="s">
        <v>1783</v>
      </c>
      <c r="C627" s="24" t="s">
        <v>180</v>
      </c>
      <c r="D627" s="24" t="s">
        <v>1944</v>
      </c>
      <c r="E627" s="24" t="s">
        <v>1945</v>
      </c>
      <c r="F627" s="24">
        <v>1</v>
      </c>
      <c r="G627" s="24" t="s">
        <v>1767</v>
      </c>
      <c r="H627" s="24"/>
      <c r="I627" s="24"/>
      <c r="J627" s="283"/>
      <c r="K627" s="296"/>
      <c r="L627" s="164"/>
      <c r="M627" s="204"/>
      <c r="N627" s="204"/>
      <c r="O627" s="204" t="s">
        <v>1783</v>
      </c>
      <c r="P627" s="164"/>
      <c r="Q627" s="164"/>
      <c r="R627" s="24"/>
      <c r="S627" s="283"/>
      <c r="T627" s="164"/>
      <c r="U627" s="283"/>
      <c r="V627" s="283"/>
      <c r="W627" s="196"/>
      <c r="X627" s="24"/>
      <c r="Y627" s="283"/>
      <c r="Z627" s="24"/>
      <c r="AA627" s="24"/>
      <c r="AB627" s="24"/>
      <c r="AC627" s="24"/>
      <c r="AD627" s="283"/>
      <c r="AE627" s="283"/>
      <c r="AF627" s="283"/>
      <c r="AG627" s="283"/>
      <c r="AH627" s="285" t="s">
        <v>115</v>
      </c>
      <c r="AI627" s="285" t="s">
        <v>1784</v>
      </c>
      <c r="AJ627" s="205" t="s">
        <v>1785</v>
      </c>
      <c r="AK627" s="24"/>
      <c r="AL627" s="24"/>
      <c r="AM627" s="24"/>
    </row>
    <row r="628" spans="1:39" ht="12.75" customHeight="1">
      <c r="A628" s="22">
        <v>626</v>
      </c>
      <c r="B628" s="24" t="s">
        <v>1468</v>
      </c>
      <c r="C628" s="24" t="s">
        <v>180</v>
      </c>
      <c r="D628" s="24" t="s">
        <v>1944</v>
      </c>
      <c r="E628" s="24" t="s">
        <v>1945</v>
      </c>
      <c r="F628" s="24">
        <v>1</v>
      </c>
      <c r="G628" s="24" t="s">
        <v>1767</v>
      </c>
      <c r="H628" s="24"/>
      <c r="I628" s="24"/>
      <c r="J628" s="283"/>
      <c r="K628" s="296"/>
      <c r="L628" s="164"/>
      <c r="M628" s="204"/>
      <c r="N628" s="204"/>
      <c r="O628" s="204" t="s">
        <v>1468</v>
      </c>
      <c r="P628" s="164"/>
      <c r="Q628" s="164"/>
      <c r="R628" s="24"/>
      <c r="S628" s="283"/>
      <c r="T628" s="164"/>
      <c r="U628" s="283"/>
      <c r="V628" s="283"/>
      <c r="W628" s="196"/>
      <c r="X628" s="24"/>
      <c r="Y628" s="283"/>
      <c r="Z628" s="24"/>
      <c r="AA628" s="24"/>
      <c r="AB628" s="24"/>
      <c r="AC628" s="24"/>
      <c r="AD628" s="283"/>
      <c r="AE628" s="283"/>
      <c r="AF628" s="283"/>
      <c r="AG628" s="283"/>
      <c r="AH628" s="285" t="s">
        <v>115</v>
      </c>
      <c r="AI628" s="285" t="s">
        <v>1469</v>
      </c>
      <c r="AJ628" s="205" t="s">
        <v>1470</v>
      </c>
      <c r="AK628" s="24"/>
      <c r="AL628" s="24"/>
      <c r="AM628" s="24"/>
    </row>
    <row r="629" spans="1:39" ht="12.75" customHeight="1">
      <c r="A629" s="22">
        <v>627</v>
      </c>
      <c r="B629" s="24" t="s">
        <v>1951</v>
      </c>
      <c r="C629" s="24" t="s">
        <v>96</v>
      </c>
      <c r="D629" s="24" t="s">
        <v>1787</v>
      </c>
      <c r="E629" s="24" t="s">
        <v>1945</v>
      </c>
      <c r="F629" s="24">
        <v>1</v>
      </c>
      <c r="G629" s="24" t="s">
        <v>1767</v>
      </c>
      <c r="H629" s="24"/>
      <c r="I629" s="24"/>
      <c r="J629" s="283"/>
      <c r="K629" s="296" t="s">
        <v>1951</v>
      </c>
      <c r="L629" s="164" t="s">
        <v>1952</v>
      </c>
      <c r="M629" s="204" t="s">
        <v>1953</v>
      </c>
      <c r="N629" s="204" t="s">
        <v>140</v>
      </c>
      <c r="O629" s="164"/>
      <c r="P629" s="164"/>
      <c r="Q629" s="164"/>
      <c r="R629" s="24"/>
      <c r="S629" s="283"/>
      <c r="T629" s="164" t="s">
        <v>113</v>
      </c>
      <c r="U629" s="283"/>
      <c r="V629" s="283"/>
      <c r="W629" s="196" t="s">
        <v>115</v>
      </c>
      <c r="X629" s="24"/>
      <c r="Y629" s="283"/>
      <c r="Z629" s="24"/>
      <c r="AA629" s="24"/>
      <c r="AB629" s="24"/>
      <c r="AC629" s="24"/>
      <c r="AD629" s="283"/>
      <c r="AE629" s="283"/>
      <c r="AF629" s="283"/>
      <c r="AG629" s="283"/>
      <c r="AH629" s="285" t="s">
        <v>1949</v>
      </c>
      <c r="AI629" s="205" t="s">
        <v>1923</v>
      </c>
      <c r="AJ629" s="205" t="s">
        <v>1924</v>
      </c>
      <c r="AK629" s="24"/>
      <c r="AL629" s="24"/>
      <c r="AM629" s="24"/>
    </row>
    <row r="630" spans="1:39" ht="12.75" customHeight="1">
      <c r="A630" s="22">
        <v>628</v>
      </c>
      <c r="B630" s="24" t="s">
        <v>1954</v>
      </c>
      <c r="C630" s="24" t="s">
        <v>96</v>
      </c>
      <c r="D630" s="24" t="s">
        <v>1787</v>
      </c>
      <c r="E630" s="24" t="s">
        <v>1945</v>
      </c>
      <c r="F630" s="24">
        <v>1</v>
      </c>
      <c r="G630" s="24" t="s">
        <v>1767</v>
      </c>
      <c r="H630" s="24"/>
      <c r="I630" s="24"/>
      <c r="J630" s="283"/>
      <c r="K630" s="204" t="s">
        <v>1926</v>
      </c>
      <c r="L630" s="204" t="s">
        <v>1955</v>
      </c>
      <c r="M630" s="204" t="s">
        <v>1956</v>
      </c>
      <c r="N630" s="204" t="s">
        <v>202</v>
      </c>
      <c r="O630" s="224"/>
      <c r="P630" s="196"/>
      <c r="Q630" s="196"/>
      <c r="R630" s="24"/>
      <c r="S630" s="283"/>
      <c r="T630" s="296" t="s">
        <v>113</v>
      </c>
      <c r="U630" s="283"/>
      <c r="V630" s="283"/>
      <c r="W630" s="196" t="s">
        <v>115</v>
      </c>
      <c r="X630" s="24"/>
      <c r="Y630" s="283"/>
      <c r="Z630" s="24"/>
      <c r="AA630" s="24"/>
      <c r="AB630" s="24"/>
      <c r="AC630" s="24"/>
      <c r="AD630" s="283"/>
      <c r="AE630" s="283"/>
      <c r="AF630" s="283"/>
      <c r="AG630" s="283"/>
      <c r="AH630" s="285" t="s">
        <v>1949</v>
      </c>
      <c r="AI630" s="285" t="s">
        <v>1930</v>
      </c>
      <c r="AJ630" s="285" t="s">
        <v>1931</v>
      </c>
      <c r="AK630" s="24"/>
      <c r="AL630" s="24"/>
      <c r="AM630" s="24"/>
    </row>
    <row r="631" spans="1:39" ht="12.75" customHeight="1">
      <c r="A631" s="22">
        <v>629</v>
      </c>
      <c r="B631" s="24" t="s">
        <v>1122</v>
      </c>
      <c r="C631" s="24" t="s">
        <v>180</v>
      </c>
      <c r="D631" s="24" t="s">
        <v>1926</v>
      </c>
      <c r="E631" s="24" t="s">
        <v>1945</v>
      </c>
      <c r="F631" s="24">
        <v>1</v>
      </c>
      <c r="G631" s="24" t="s">
        <v>1767</v>
      </c>
      <c r="H631" s="24"/>
      <c r="I631" s="24"/>
      <c r="J631" s="283"/>
      <c r="K631" s="204"/>
      <c r="L631" s="204"/>
      <c r="M631" s="204"/>
      <c r="N631" s="224"/>
      <c r="O631" s="224" t="s">
        <v>1122</v>
      </c>
      <c r="P631" s="204"/>
      <c r="Q631" s="196"/>
      <c r="R631" s="24"/>
      <c r="S631" s="283"/>
      <c r="T631" s="224"/>
      <c r="U631" s="283"/>
      <c r="V631" s="283"/>
      <c r="W631" s="196"/>
      <c r="X631" s="24"/>
      <c r="Y631" s="283"/>
      <c r="Z631" s="24"/>
      <c r="AA631" s="24"/>
      <c r="AB631" s="24"/>
      <c r="AC631" s="24"/>
      <c r="AD631" s="283"/>
      <c r="AE631" s="283"/>
      <c r="AF631" s="283"/>
      <c r="AG631" s="283"/>
      <c r="AH631" s="285" t="s">
        <v>115</v>
      </c>
      <c r="AI631" s="285" t="s">
        <v>1897</v>
      </c>
      <c r="AJ631" s="285" t="s">
        <v>1125</v>
      </c>
      <c r="AK631" s="24"/>
      <c r="AL631" s="24"/>
      <c r="AM631" s="24"/>
    </row>
    <row r="632" spans="1:39" ht="12.75" customHeight="1">
      <c r="A632" s="22">
        <v>630</v>
      </c>
      <c r="B632" s="24" t="s">
        <v>1126</v>
      </c>
      <c r="C632" s="24" t="s">
        <v>180</v>
      </c>
      <c r="D632" s="24" t="s">
        <v>1926</v>
      </c>
      <c r="E632" s="24" t="s">
        <v>1945</v>
      </c>
      <c r="F632" s="24">
        <v>1</v>
      </c>
      <c r="G632" s="24" t="s">
        <v>1767</v>
      </c>
      <c r="H632" s="24"/>
      <c r="I632" s="24"/>
      <c r="J632" s="283"/>
      <c r="K632" s="204"/>
      <c r="L632" s="204"/>
      <c r="M632" s="204"/>
      <c r="N632" s="224"/>
      <c r="O632" s="224" t="s">
        <v>1126</v>
      </c>
      <c r="P632" s="204"/>
      <c r="Q632" s="196"/>
      <c r="R632" s="24"/>
      <c r="S632" s="283"/>
      <c r="T632" s="224"/>
      <c r="U632" s="283"/>
      <c r="V632" s="283"/>
      <c r="W632" s="196"/>
      <c r="X632" s="24"/>
      <c r="Y632" s="283"/>
      <c r="Z632" s="24"/>
      <c r="AA632" s="24"/>
      <c r="AB632" s="24"/>
      <c r="AC632" s="24"/>
      <c r="AD632" s="283"/>
      <c r="AE632" s="283"/>
      <c r="AF632" s="283"/>
      <c r="AG632" s="283"/>
      <c r="AH632" s="285" t="s">
        <v>115</v>
      </c>
      <c r="AI632" s="285" t="s">
        <v>1128</v>
      </c>
      <c r="AJ632" s="285" t="s">
        <v>1129</v>
      </c>
      <c r="AK632" s="24"/>
      <c r="AL632" s="24"/>
      <c r="AM632" s="24"/>
    </row>
    <row r="633" spans="1:39" ht="12.75" customHeight="1">
      <c r="A633" s="22">
        <v>631</v>
      </c>
      <c r="B633" s="24" t="s">
        <v>1932</v>
      </c>
      <c r="C633" s="24" t="s">
        <v>180</v>
      </c>
      <c r="D633" s="24" t="s">
        <v>1926</v>
      </c>
      <c r="E633" s="24" t="s">
        <v>1945</v>
      </c>
      <c r="F633" s="24">
        <v>1</v>
      </c>
      <c r="G633" s="24" t="s">
        <v>1767</v>
      </c>
      <c r="H633" s="24"/>
      <c r="I633" s="24"/>
      <c r="J633" s="283"/>
      <c r="K633" s="204"/>
      <c r="L633" s="204"/>
      <c r="M633" s="204"/>
      <c r="N633" s="224"/>
      <c r="O633" s="224" t="s">
        <v>1932</v>
      </c>
      <c r="P633" s="204"/>
      <c r="Q633" s="196"/>
      <c r="R633" s="24"/>
      <c r="S633" s="283"/>
      <c r="T633" s="224"/>
      <c r="U633" s="283"/>
      <c r="V633" s="283"/>
      <c r="W633" s="196"/>
      <c r="X633" s="24"/>
      <c r="Y633" s="283"/>
      <c r="Z633" s="24"/>
      <c r="AA633" s="24"/>
      <c r="AB633" s="24"/>
      <c r="AC633" s="24"/>
      <c r="AD633" s="283"/>
      <c r="AE633" s="283"/>
      <c r="AF633" s="283"/>
      <c r="AG633" s="283"/>
      <c r="AH633" s="285" t="s">
        <v>115</v>
      </c>
      <c r="AI633" s="205" t="s">
        <v>1934</v>
      </c>
      <c r="AJ633" s="285" t="s">
        <v>1935</v>
      </c>
      <c r="AK633" s="24"/>
      <c r="AL633" s="24"/>
      <c r="AM633" s="24"/>
    </row>
    <row r="634" spans="1:39" ht="12.75" customHeight="1">
      <c r="A634" s="22">
        <v>632</v>
      </c>
      <c r="B634" s="24" t="s">
        <v>1957</v>
      </c>
      <c r="C634" s="24" t="s">
        <v>96</v>
      </c>
      <c r="D634" s="24" t="s">
        <v>1787</v>
      </c>
      <c r="E634" s="24" t="s">
        <v>1945</v>
      </c>
      <c r="F634" s="24">
        <v>1</v>
      </c>
      <c r="G634" s="24" t="s">
        <v>1767</v>
      </c>
      <c r="H634" s="24"/>
      <c r="I634" s="24"/>
      <c r="J634" s="283"/>
      <c r="K634" s="234" t="s">
        <v>1957</v>
      </c>
      <c r="L634" s="234" t="s">
        <v>1958</v>
      </c>
      <c r="M634" s="234" t="s">
        <v>1959</v>
      </c>
      <c r="N634" s="297"/>
      <c r="O634" s="249"/>
      <c r="P634" s="234" t="s">
        <v>1132</v>
      </c>
      <c r="Q634" s="196"/>
      <c r="R634" s="24"/>
      <c r="S634" s="283"/>
      <c r="T634" s="298"/>
      <c r="U634" s="283"/>
      <c r="V634" s="283"/>
      <c r="W634" s="238" t="s">
        <v>115</v>
      </c>
      <c r="X634" s="24"/>
      <c r="Y634" s="283"/>
      <c r="Z634" s="24"/>
      <c r="AA634" s="24"/>
      <c r="AB634" s="24"/>
      <c r="AC634" s="24"/>
      <c r="AD634" s="283"/>
      <c r="AE634" s="283"/>
      <c r="AF634" s="283"/>
      <c r="AG634" s="283"/>
      <c r="AH634" s="205" t="s">
        <v>1960</v>
      </c>
      <c r="AI634" s="205" t="s">
        <v>888</v>
      </c>
      <c r="AJ634" s="285" t="s">
        <v>889</v>
      </c>
      <c r="AK634" s="24"/>
      <c r="AL634" s="24"/>
      <c r="AM634" s="24"/>
    </row>
    <row r="635" spans="1:39" ht="12.75" customHeight="1">
      <c r="A635" s="22">
        <v>633</v>
      </c>
      <c r="B635" s="24" t="s">
        <v>1961</v>
      </c>
      <c r="C635" s="24" t="s">
        <v>1445</v>
      </c>
      <c r="D635" s="24" t="s">
        <v>1787</v>
      </c>
      <c r="E635" s="24" t="s">
        <v>1945</v>
      </c>
      <c r="F635" s="24">
        <v>1</v>
      </c>
      <c r="G635" s="24" t="s">
        <v>1767</v>
      </c>
      <c r="H635" s="24"/>
      <c r="I635" s="24"/>
      <c r="J635" s="283"/>
      <c r="K635" s="299" t="s">
        <v>1961</v>
      </c>
      <c r="L635" s="299" t="s">
        <v>115</v>
      </c>
      <c r="M635" s="299" t="s">
        <v>1962</v>
      </c>
      <c r="N635" s="299" t="s">
        <v>1445</v>
      </c>
      <c r="O635" s="299"/>
      <c r="P635" s="299"/>
      <c r="Q635" s="299"/>
      <c r="R635" s="24"/>
      <c r="S635" s="283"/>
      <c r="T635" s="299" t="s">
        <v>115</v>
      </c>
      <c r="U635" s="283"/>
      <c r="V635" s="283"/>
      <c r="W635" s="299" t="s">
        <v>115</v>
      </c>
      <c r="X635" s="24"/>
      <c r="Y635" s="283"/>
      <c r="Z635" s="24"/>
      <c r="AA635" s="24"/>
      <c r="AB635" s="24"/>
      <c r="AC635" s="24"/>
      <c r="AD635" s="283"/>
      <c r="AE635" s="283"/>
      <c r="AF635" s="283"/>
      <c r="AG635" s="283"/>
      <c r="AH635" s="205" t="s">
        <v>115</v>
      </c>
      <c r="AI635" s="205" t="s">
        <v>115</v>
      </c>
      <c r="AJ635" s="205" t="s">
        <v>115</v>
      </c>
      <c r="AK635" s="24"/>
      <c r="AL635" s="24"/>
      <c r="AM635" s="24"/>
    </row>
    <row r="636" spans="1:39" ht="12.75" customHeight="1">
      <c r="A636" s="22">
        <v>634</v>
      </c>
      <c r="B636" s="24" t="s">
        <v>1963</v>
      </c>
      <c r="C636" s="24" t="s">
        <v>65</v>
      </c>
      <c r="D636" s="24" t="s">
        <v>1787</v>
      </c>
      <c r="E636" s="24" t="s">
        <v>1945</v>
      </c>
      <c r="F636" s="24">
        <v>1</v>
      </c>
      <c r="G636" s="24" t="s">
        <v>1767</v>
      </c>
      <c r="H636" s="24"/>
      <c r="I636" s="24"/>
      <c r="J636" s="164"/>
      <c r="K636" s="234" t="s">
        <v>1964</v>
      </c>
      <c r="L636" s="234" t="s">
        <v>1963</v>
      </c>
      <c r="M636" s="234" t="s">
        <v>1965</v>
      </c>
      <c r="N636" s="234" t="s">
        <v>65</v>
      </c>
      <c r="O636" s="249"/>
      <c r="P636" s="297" t="s">
        <v>1966</v>
      </c>
      <c r="Q636" s="196"/>
      <c r="R636" s="24"/>
      <c r="S636" s="164"/>
      <c r="T636" s="297" t="s">
        <v>115</v>
      </c>
      <c r="U636" s="164"/>
      <c r="V636" s="164"/>
      <c r="W636" s="238" t="s">
        <v>115</v>
      </c>
      <c r="X636" s="24"/>
      <c r="Y636" s="164"/>
      <c r="Z636" s="24"/>
      <c r="AA636" s="24"/>
      <c r="AB636" s="24"/>
      <c r="AC636" s="24"/>
      <c r="AD636" s="164"/>
      <c r="AE636" s="164"/>
      <c r="AF636" s="163"/>
      <c r="AG636" s="164"/>
      <c r="AH636" s="205" t="s">
        <v>115</v>
      </c>
      <c r="AI636" s="205" t="s">
        <v>1967</v>
      </c>
      <c r="AJ636" s="205" t="s">
        <v>1968</v>
      </c>
      <c r="AK636" s="24"/>
      <c r="AL636" s="24"/>
      <c r="AM636" s="24"/>
    </row>
    <row r="637" spans="1:39" ht="12.75" customHeight="1">
      <c r="A637" s="22">
        <v>635</v>
      </c>
      <c r="B637" s="24" t="s">
        <v>1969</v>
      </c>
      <c r="C637" s="24" t="s">
        <v>96</v>
      </c>
      <c r="D637" s="24" t="s">
        <v>1787</v>
      </c>
      <c r="E637" s="24" t="s">
        <v>1970</v>
      </c>
      <c r="F637" s="24">
        <v>1</v>
      </c>
      <c r="G637" s="24" t="s">
        <v>1767</v>
      </c>
      <c r="H637" s="24"/>
      <c r="I637" s="24"/>
      <c r="J637" s="283"/>
      <c r="K637" s="224" t="s">
        <v>1969</v>
      </c>
      <c r="L637" s="224" t="s">
        <v>1971</v>
      </c>
      <c r="M637" s="224" t="s">
        <v>1972</v>
      </c>
      <c r="N637" s="224" t="s">
        <v>202</v>
      </c>
      <c r="O637" s="224"/>
      <c r="P637" s="164"/>
      <c r="Q637" s="164"/>
      <c r="R637" s="24"/>
      <c r="S637" s="283"/>
      <c r="T637" s="224" t="s">
        <v>113</v>
      </c>
      <c r="U637" s="283"/>
      <c r="V637" s="283"/>
      <c r="W637" s="164" t="s">
        <v>226</v>
      </c>
      <c r="X637" s="24"/>
      <c r="Y637" s="283"/>
      <c r="Z637" s="24"/>
      <c r="AA637" s="24"/>
      <c r="AB637" s="24"/>
      <c r="AC637" s="24"/>
      <c r="AD637" s="283"/>
      <c r="AE637" s="283"/>
      <c r="AF637" s="283"/>
      <c r="AG637" s="283"/>
      <c r="AH637" s="285" t="s">
        <v>1973</v>
      </c>
      <c r="AI637" s="205" t="s">
        <v>1773</v>
      </c>
      <c r="AJ637" s="285" t="s">
        <v>1774</v>
      </c>
      <c r="AK637" s="24"/>
      <c r="AL637" s="24"/>
      <c r="AM637" s="24"/>
    </row>
    <row r="638" spans="1:39" ht="12.75" customHeight="1">
      <c r="A638" s="22">
        <v>636</v>
      </c>
      <c r="B638" s="24" t="s">
        <v>1775</v>
      </c>
      <c r="C638" s="24" t="s">
        <v>180</v>
      </c>
      <c r="D638" s="24" t="s">
        <v>1969</v>
      </c>
      <c r="E638" s="24" t="s">
        <v>1970</v>
      </c>
      <c r="F638" s="24">
        <v>1</v>
      </c>
      <c r="G638" s="24" t="s">
        <v>1767</v>
      </c>
      <c r="H638" s="24"/>
      <c r="I638" s="24"/>
      <c r="J638" s="283"/>
      <c r="K638" s="224"/>
      <c r="L638" s="224"/>
      <c r="M638" s="224"/>
      <c r="N638" s="224"/>
      <c r="O638" s="224" t="s">
        <v>1775</v>
      </c>
      <c r="P638" s="224"/>
      <c r="Q638" s="224"/>
      <c r="R638" s="24"/>
      <c r="S638" s="283"/>
      <c r="T638" s="224"/>
      <c r="U638" s="283"/>
      <c r="V638" s="283"/>
      <c r="W638" s="196"/>
      <c r="X638" s="24"/>
      <c r="Y638" s="283"/>
      <c r="Z638" s="24"/>
      <c r="AA638" s="24"/>
      <c r="AB638" s="24"/>
      <c r="AC638" s="24"/>
      <c r="AD638" s="283"/>
      <c r="AE638" s="283"/>
      <c r="AF638" s="283"/>
      <c r="AG638" s="283"/>
      <c r="AH638" s="285" t="s">
        <v>115</v>
      </c>
      <c r="AI638" s="285" t="s">
        <v>1777</v>
      </c>
      <c r="AJ638" s="285" t="s">
        <v>1778</v>
      </c>
      <c r="AK638" s="24"/>
      <c r="AL638" s="24"/>
      <c r="AM638" s="24"/>
    </row>
    <row r="639" spans="1:39" ht="12.75" customHeight="1">
      <c r="A639" s="22">
        <v>637</v>
      </c>
      <c r="B639" s="24" t="s">
        <v>1779</v>
      </c>
      <c r="C639" s="24" t="s">
        <v>180</v>
      </c>
      <c r="D639" s="24" t="s">
        <v>1969</v>
      </c>
      <c r="E639" s="24" t="s">
        <v>1970</v>
      </c>
      <c r="F639" s="24">
        <v>1</v>
      </c>
      <c r="G639" s="24" t="s">
        <v>1767</v>
      </c>
      <c r="H639" s="24"/>
      <c r="I639" s="24"/>
      <c r="J639" s="283"/>
      <c r="K639" s="224"/>
      <c r="L639" s="224"/>
      <c r="M639" s="224"/>
      <c r="N639" s="224"/>
      <c r="O639" s="204" t="s">
        <v>1779</v>
      </c>
      <c r="P639" s="224"/>
      <c r="Q639" s="224"/>
      <c r="R639" s="24"/>
      <c r="S639" s="283"/>
      <c r="T639" s="224"/>
      <c r="U639" s="283"/>
      <c r="V639" s="283"/>
      <c r="W639" s="196"/>
      <c r="X639" s="24"/>
      <c r="Y639" s="283"/>
      <c r="Z639" s="24"/>
      <c r="AA639" s="24"/>
      <c r="AB639" s="24"/>
      <c r="AC639" s="24"/>
      <c r="AD639" s="283"/>
      <c r="AE639" s="283"/>
      <c r="AF639" s="283"/>
      <c r="AG639" s="283"/>
      <c r="AH639" s="285" t="s">
        <v>115</v>
      </c>
      <c r="AI639" s="285" t="s">
        <v>1781</v>
      </c>
      <c r="AJ639" s="285" t="s">
        <v>1782</v>
      </c>
      <c r="AK639" s="24"/>
      <c r="AL639" s="24"/>
      <c r="AM639" s="24"/>
    </row>
    <row r="640" spans="1:39" ht="12.75" customHeight="1">
      <c r="A640" s="22">
        <v>638</v>
      </c>
      <c r="B640" s="24" t="s">
        <v>1783</v>
      </c>
      <c r="C640" s="24" t="s">
        <v>180</v>
      </c>
      <c r="D640" s="24" t="s">
        <v>1969</v>
      </c>
      <c r="E640" s="24" t="s">
        <v>1970</v>
      </c>
      <c r="F640" s="24">
        <v>1</v>
      </c>
      <c r="G640" s="24" t="s">
        <v>1767</v>
      </c>
      <c r="H640" s="24"/>
      <c r="I640" s="24"/>
      <c r="J640" s="283"/>
      <c r="K640" s="224"/>
      <c r="L640" s="224"/>
      <c r="M640" s="224"/>
      <c r="N640" s="224"/>
      <c r="O640" s="204" t="s">
        <v>1783</v>
      </c>
      <c r="P640" s="224"/>
      <c r="Q640" s="224"/>
      <c r="R640" s="24"/>
      <c r="S640" s="283"/>
      <c r="T640" s="224"/>
      <c r="U640" s="283"/>
      <c r="V640" s="283"/>
      <c r="W640" s="196"/>
      <c r="X640" s="24"/>
      <c r="Y640" s="283"/>
      <c r="Z640" s="24"/>
      <c r="AA640" s="24"/>
      <c r="AB640" s="24"/>
      <c r="AC640" s="24"/>
      <c r="AD640" s="283"/>
      <c r="AE640" s="283"/>
      <c r="AF640" s="283"/>
      <c r="AG640" s="283"/>
      <c r="AH640" s="285" t="s">
        <v>115</v>
      </c>
      <c r="AI640" s="285" t="s">
        <v>1784</v>
      </c>
      <c r="AJ640" s="205" t="s">
        <v>1785</v>
      </c>
      <c r="AK640" s="24"/>
      <c r="AL640" s="24"/>
      <c r="AM640" s="24"/>
    </row>
    <row r="641" spans="1:39" ht="12.75" customHeight="1">
      <c r="A641" s="22">
        <v>639</v>
      </c>
      <c r="B641" s="24" t="s">
        <v>1468</v>
      </c>
      <c r="C641" s="24" t="s">
        <v>180</v>
      </c>
      <c r="D641" s="24" t="s">
        <v>1969</v>
      </c>
      <c r="E641" s="24" t="s">
        <v>1970</v>
      </c>
      <c r="F641" s="24">
        <v>1</v>
      </c>
      <c r="G641" s="24" t="s">
        <v>1767</v>
      </c>
      <c r="H641" s="24"/>
      <c r="I641" s="24"/>
      <c r="J641" s="283"/>
      <c r="K641" s="224"/>
      <c r="L641" s="224"/>
      <c r="M641" s="224"/>
      <c r="N641" s="224"/>
      <c r="O641" s="204" t="s">
        <v>1468</v>
      </c>
      <c r="P641" s="224"/>
      <c r="Q641" s="224"/>
      <c r="R641" s="24"/>
      <c r="S641" s="283"/>
      <c r="T641" s="224"/>
      <c r="U641" s="283"/>
      <c r="V641" s="283"/>
      <c r="W641" s="196"/>
      <c r="X641" s="24"/>
      <c r="Y641" s="283"/>
      <c r="Z641" s="24"/>
      <c r="AA641" s="24"/>
      <c r="AB641" s="24"/>
      <c r="AC641" s="24"/>
      <c r="AD641" s="283"/>
      <c r="AE641" s="283"/>
      <c r="AF641" s="283"/>
      <c r="AG641" s="283"/>
      <c r="AH641" s="285" t="s">
        <v>115</v>
      </c>
      <c r="AI641" s="285" t="s">
        <v>1469</v>
      </c>
      <c r="AJ641" s="205" t="s">
        <v>1470</v>
      </c>
      <c r="AK641" s="24"/>
      <c r="AL641" s="24"/>
      <c r="AM641" s="24"/>
    </row>
    <row r="642" spans="1:39" ht="12.75" customHeight="1">
      <c r="A642" s="22">
        <v>640</v>
      </c>
      <c r="B642" s="24" t="s">
        <v>1974</v>
      </c>
      <c r="C642" s="24" t="s">
        <v>96</v>
      </c>
      <c r="D642" s="24" t="s">
        <v>1787</v>
      </c>
      <c r="E642" s="24" t="s">
        <v>1970</v>
      </c>
      <c r="F642" s="24">
        <v>1</v>
      </c>
      <c r="G642" s="24" t="s">
        <v>1767</v>
      </c>
      <c r="H642" s="24"/>
      <c r="I642" s="24"/>
      <c r="J642" s="283"/>
      <c r="K642" s="224" t="s">
        <v>1376</v>
      </c>
      <c r="L642" s="224" t="s">
        <v>1975</v>
      </c>
      <c r="M642" s="224" t="s">
        <v>1976</v>
      </c>
      <c r="N642" s="224" t="s">
        <v>238</v>
      </c>
      <c r="O642" s="224"/>
      <c r="P642" s="224"/>
      <c r="Q642" s="224"/>
      <c r="R642" s="24"/>
      <c r="S642" s="283"/>
      <c r="T642" s="224" t="s">
        <v>113</v>
      </c>
      <c r="U642" s="283"/>
      <c r="V642" s="283"/>
      <c r="W642" s="196" t="s">
        <v>115</v>
      </c>
      <c r="X642" s="24"/>
      <c r="Y642" s="283"/>
      <c r="Z642" s="24"/>
      <c r="AA642" s="24"/>
      <c r="AB642" s="24"/>
      <c r="AC642" s="24"/>
      <c r="AD642" s="283"/>
      <c r="AE642" s="283"/>
      <c r="AF642" s="283"/>
      <c r="AG642" s="283"/>
      <c r="AH642" s="285" t="s">
        <v>1973</v>
      </c>
      <c r="AI642" s="285" t="s">
        <v>1791</v>
      </c>
      <c r="AJ642" s="285" t="s">
        <v>1792</v>
      </c>
      <c r="AK642" s="24"/>
      <c r="AL642" s="24"/>
      <c r="AM642" s="24"/>
    </row>
    <row r="643" spans="1:39" ht="12.75" customHeight="1">
      <c r="A643" s="22">
        <v>641</v>
      </c>
      <c r="B643" s="24" t="s">
        <v>1909</v>
      </c>
      <c r="C643" s="24" t="s">
        <v>180</v>
      </c>
      <c r="D643" s="24" t="s">
        <v>1376</v>
      </c>
      <c r="E643" s="24" t="s">
        <v>1970</v>
      </c>
      <c r="F643" s="24">
        <v>1</v>
      </c>
      <c r="G643" s="24" t="s">
        <v>1767</v>
      </c>
      <c r="H643" s="24"/>
      <c r="I643" s="24"/>
      <c r="J643" s="283"/>
      <c r="K643" s="196"/>
      <c r="L643" s="196"/>
      <c r="M643" s="196"/>
      <c r="N643" s="196"/>
      <c r="O643" s="204" t="s">
        <v>1909</v>
      </c>
      <c r="P643" s="196"/>
      <c r="Q643" s="196"/>
      <c r="R643" s="24"/>
      <c r="S643" s="283"/>
      <c r="T643" s="196"/>
      <c r="U643" s="283"/>
      <c r="V643" s="283"/>
      <c r="W643" s="196"/>
      <c r="X643" s="24"/>
      <c r="Y643" s="283"/>
      <c r="Z643" s="24"/>
      <c r="AA643" s="24"/>
      <c r="AB643" s="24"/>
      <c r="AC643" s="24"/>
      <c r="AD643" s="283"/>
      <c r="AE643" s="283"/>
      <c r="AF643" s="283"/>
      <c r="AG643" s="283"/>
      <c r="AH643" s="205" t="s">
        <v>115</v>
      </c>
      <c r="AI643" s="205" t="s">
        <v>1910</v>
      </c>
      <c r="AJ643" s="205" t="s">
        <v>1911</v>
      </c>
      <c r="AK643" s="24"/>
      <c r="AL643" s="24"/>
      <c r="AM643" s="24"/>
    </row>
    <row r="644" spans="1:39" ht="12.75" customHeight="1">
      <c r="A644" s="22">
        <v>642</v>
      </c>
      <c r="B644" s="24" t="s">
        <v>1912</v>
      </c>
      <c r="C644" s="24" t="s">
        <v>180</v>
      </c>
      <c r="D644" s="24" t="s">
        <v>1376</v>
      </c>
      <c r="E644" s="24" t="s">
        <v>1970</v>
      </c>
      <c r="F644" s="24">
        <v>1</v>
      </c>
      <c r="G644" s="24" t="s">
        <v>1767</v>
      </c>
      <c r="H644" s="24"/>
      <c r="I644" s="24"/>
      <c r="J644" s="283"/>
      <c r="K644" s="196"/>
      <c r="L644" s="196"/>
      <c r="M644" s="196"/>
      <c r="N644" s="196"/>
      <c r="O644" s="196" t="s">
        <v>1912</v>
      </c>
      <c r="P644" s="196"/>
      <c r="Q644" s="196"/>
      <c r="R644" s="24"/>
      <c r="S644" s="283"/>
      <c r="T644" s="196"/>
      <c r="U644" s="283"/>
      <c r="V644" s="283"/>
      <c r="W644" s="196"/>
      <c r="X644" s="24"/>
      <c r="Y644" s="283"/>
      <c r="Z644" s="24"/>
      <c r="AA644" s="24"/>
      <c r="AB644" s="24"/>
      <c r="AC644" s="24"/>
      <c r="AD644" s="283"/>
      <c r="AE644" s="283"/>
      <c r="AF644" s="283"/>
      <c r="AG644" s="283"/>
      <c r="AH644" s="205" t="s">
        <v>115</v>
      </c>
      <c r="AI644" s="205" t="s">
        <v>1913</v>
      </c>
      <c r="AJ644" s="205" t="s">
        <v>1914</v>
      </c>
      <c r="AK644" s="24"/>
      <c r="AL644" s="24"/>
      <c r="AM644" s="24"/>
    </row>
    <row r="645" spans="1:39" ht="12.75" customHeight="1">
      <c r="A645" s="22">
        <v>643</v>
      </c>
      <c r="B645" s="24" t="s">
        <v>405</v>
      </c>
      <c r="C645" s="24" t="s">
        <v>180</v>
      </c>
      <c r="D645" s="24" t="s">
        <v>1376</v>
      </c>
      <c r="E645" s="24" t="s">
        <v>1970</v>
      </c>
      <c r="F645" s="24">
        <v>1</v>
      </c>
      <c r="G645" s="24" t="s">
        <v>1767</v>
      </c>
      <c r="H645" s="24"/>
      <c r="I645" s="24"/>
      <c r="J645" s="283"/>
      <c r="K645" s="196"/>
      <c r="L645" s="196"/>
      <c r="M645" s="196"/>
      <c r="N645" s="196"/>
      <c r="O645" s="196" t="s">
        <v>405</v>
      </c>
      <c r="P645" s="196"/>
      <c r="Q645" s="196"/>
      <c r="R645" s="24"/>
      <c r="S645" s="283"/>
      <c r="T645" s="196"/>
      <c r="U645" s="283"/>
      <c r="V645" s="283"/>
      <c r="W645" s="196"/>
      <c r="X645" s="24"/>
      <c r="Y645" s="283"/>
      <c r="Z645" s="24"/>
      <c r="AA645" s="24"/>
      <c r="AB645" s="24"/>
      <c r="AC645" s="24"/>
      <c r="AD645" s="283"/>
      <c r="AE645" s="283"/>
      <c r="AF645" s="283"/>
      <c r="AG645" s="283"/>
      <c r="AH645" s="205" t="s">
        <v>115</v>
      </c>
      <c r="AI645" s="205" t="s">
        <v>406</v>
      </c>
      <c r="AJ645" s="205" t="s">
        <v>407</v>
      </c>
      <c r="AK645" s="24"/>
      <c r="AL645" s="24"/>
      <c r="AM645" s="24"/>
    </row>
    <row r="646" spans="1:39" ht="12.75" customHeight="1">
      <c r="A646" s="22">
        <v>644</v>
      </c>
      <c r="B646" s="24" t="s">
        <v>1977</v>
      </c>
      <c r="C646" s="24" t="s">
        <v>96</v>
      </c>
      <c r="D646" s="24" t="s">
        <v>1787</v>
      </c>
      <c r="E646" s="24" t="s">
        <v>1970</v>
      </c>
      <c r="F646" s="24">
        <v>1</v>
      </c>
      <c r="G646" s="24" t="s">
        <v>1767</v>
      </c>
      <c r="H646" s="24"/>
      <c r="I646" s="24"/>
      <c r="J646" s="283"/>
      <c r="K646" s="196" t="s">
        <v>409</v>
      </c>
      <c r="L646" s="196" t="s">
        <v>1978</v>
      </c>
      <c r="M646" s="196" t="s">
        <v>1979</v>
      </c>
      <c r="N646" s="196" t="s">
        <v>111</v>
      </c>
      <c r="O646" s="196"/>
      <c r="P646" s="196"/>
      <c r="Q646" s="196"/>
      <c r="R646" s="24"/>
      <c r="S646" s="283"/>
      <c r="T646" s="196" t="s">
        <v>208</v>
      </c>
      <c r="U646" s="283"/>
      <c r="V646" s="283"/>
      <c r="W646" s="196" t="s">
        <v>115</v>
      </c>
      <c r="X646" s="24"/>
      <c r="Y646" s="283"/>
      <c r="Z646" s="24"/>
      <c r="AA646" s="24"/>
      <c r="AB646" s="24"/>
      <c r="AC646" s="24"/>
      <c r="AD646" s="283"/>
      <c r="AE646" s="283"/>
      <c r="AF646" s="283"/>
      <c r="AG646" s="283"/>
      <c r="AH646" s="205" t="s">
        <v>1973</v>
      </c>
      <c r="AI646" s="205" t="s">
        <v>1800</v>
      </c>
      <c r="AJ646" s="205" t="s">
        <v>1801</v>
      </c>
      <c r="AK646" s="24"/>
      <c r="AL646" s="24"/>
      <c r="AM646" s="24"/>
    </row>
    <row r="647" spans="1:39" ht="12.75" customHeight="1">
      <c r="A647" s="22">
        <v>645</v>
      </c>
      <c r="B647" s="24" t="s">
        <v>1980</v>
      </c>
      <c r="C647" s="24" t="s">
        <v>96</v>
      </c>
      <c r="D647" s="24" t="s">
        <v>1787</v>
      </c>
      <c r="E647" s="24" t="s">
        <v>1970</v>
      </c>
      <c r="F647" s="24">
        <v>1</v>
      </c>
      <c r="G647" s="24" t="s">
        <v>1767</v>
      </c>
      <c r="H647" s="24"/>
      <c r="I647" s="24"/>
      <c r="J647" s="283"/>
      <c r="K647" s="309" t="s">
        <v>1980</v>
      </c>
      <c r="L647" s="309" t="s">
        <v>1981</v>
      </c>
      <c r="M647" s="204" t="s">
        <v>1982</v>
      </c>
      <c r="N647" s="204" t="s">
        <v>140</v>
      </c>
      <c r="O647" s="196"/>
      <c r="P647" s="196"/>
      <c r="Q647" s="196"/>
      <c r="R647" s="24"/>
      <c r="S647" s="283"/>
      <c r="T647" s="309" t="s">
        <v>113</v>
      </c>
      <c r="U647" s="283"/>
      <c r="V647" s="283"/>
      <c r="W647" s="204" t="s">
        <v>115</v>
      </c>
      <c r="X647" s="24"/>
      <c r="Y647" s="283"/>
      <c r="Z647" s="24"/>
      <c r="AA647" s="24"/>
      <c r="AB647" s="24"/>
      <c r="AC647" s="24"/>
      <c r="AD647" s="283"/>
      <c r="AE647" s="283"/>
      <c r="AF647" s="283"/>
      <c r="AG647" s="283"/>
      <c r="AH647" s="205" t="s">
        <v>1973</v>
      </c>
      <c r="AI647" s="205" t="s">
        <v>1804</v>
      </c>
      <c r="AJ647" s="205" t="s">
        <v>1805</v>
      </c>
      <c r="AK647" s="24"/>
      <c r="AL647" s="24"/>
      <c r="AM647" s="24"/>
    </row>
    <row r="648" spans="1:39" ht="12.75" customHeight="1">
      <c r="A648" s="22">
        <v>646</v>
      </c>
      <c r="B648" s="24" t="s">
        <v>1983</v>
      </c>
      <c r="C648" s="24" t="s">
        <v>96</v>
      </c>
      <c r="D648" s="24" t="s">
        <v>1787</v>
      </c>
      <c r="E648" s="24" t="s">
        <v>1970</v>
      </c>
      <c r="F648" s="24">
        <v>1</v>
      </c>
      <c r="G648" s="24" t="s">
        <v>1767</v>
      </c>
      <c r="H648" s="24"/>
      <c r="I648" s="24"/>
      <c r="J648" s="283"/>
      <c r="K648" s="224" t="s">
        <v>1983</v>
      </c>
      <c r="L648" s="224" t="s">
        <v>1984</v>
      </c>
      <c r="M648" s="224" t="s">
        <v>1985</v>
      </c>
      <c r="N648" s="224" t="s">
        <v>202</v>
      </c>
      <c r="O648" s="224"/>
      <c r="P648" s="164"/>
      <c r="Q648" s="164"/>
      <c r="R648" s="24"/>
      <c r="S648" s="283"/>
      <c r="T648" s="224" t="s">
        <v>113</v>
      </c>
      <c r="U648" s="283"/>
      <c r="V648" s="283"/>
      <c r="W648" s="196" t="s">
        <v>115</v>
      </c>
      <c r="X648" s="24"/>
      <c r="Y648" s="283"/>
      <c r="Z648" s="24"/>
      <c r="AA648" s="24"/>
      <c r="AB648" s="24"/>
      <c r="AC648" s="24"/>
      <c r="AD648" s="283"/>
      <c r="AE648" s="283"/>
      <c r="AF648" s="283"/>
      <c r="AG648" s="283"/>
      <c r="AH648" s="285" t="s">
        <v>115</v>
      </c>
      <c r="AI648" s="285" t="s">
        <v>1986</v>
      </c>
      <c r="AJ648" s="285" t="s">
        <v>1987</v>
      </c>
      <c r="AK648" s="24"/>
      <c r="AL648" s="24"/>
      <c r="AM648" s="24"/>
    </row>
    <row r="649" spans="1:39" ht="12.75" customHeight="1">
      <c r="A649" s="22">
        <v>647</v>
      </c>
      <c r="B649" s="24" t="s">
        <v>1988</v>
      </c>
      <c r="C649" s="24" t="s">
        <v>180</v>
      </c>
      <c r="D649" s="24" t="s">
        <v>1983</v>
      </c>
      <c r="E649" s="24" t="s">
        <v>1970</v>
      </c>
      <c r="F649" s="24">
        <v>1</v>
      </c>
      <c r="G649" s="24" t="s">
        <v>1767</v>
      </c>
      <c r="H649" s="24"/>
      <c r="I649" s="24"/>
      <c r="J649" s="283"/>
      <c r="K649" s="224"/>
      <c r="L649" s="224"/>
      <c r="M649" s="224"/>
      <c r="N649" s="224"/>
      <c r="O649" s="224" t="s">
        <v>1988</v>
      </c>
      <c r="P649" s="164"/>
      <c r="Q649" s="164"/>
      <c r="R649" s="24"/>
      <c r="S649" s="283"/>
      <c r="T649" s="224"/>
      <c r="U649" s="283"/>
      <c r="V649" s="283"/>
      <c r="W649" s="196"/>
      <c r="X649" s="24"/>
      <c r="Y649" s="283"/>
      <c r="Z649" s="24"/>
      <c r="AA649" s="24"/>
      <c r="AB649" s="24"/>
      <c r="AC649" s="24"/>
      <c r="AD649" s="283"/>
      <c r="AE649" s="283"/>
      <c r="AF649" s="283"/>
      <c r="AG649" s="283"/>
      <c r="AH649" s="285" t="s">
        <v>115</v>
      </c>
      <c r="AI649" s="205" t="s">
        <v>1989</v>
      </c>
      <c r="AJ649" s="285" t="s">
        <v>1990</v>
      </c>
      <c r="AK649" s="24"/>
      <c r="AL649" s="24"/>
      <c r="AM649" s="24"/>
    </row>
    <row r="650" spans="1:39" ht="12.75" customHeight="1">
      <c r="A650" s="22">
        <v>648</v>
      </c>
      <c r="B650" s="24" t="s">
        <v>1991</v>
      </c>
      <c r="C650" s="24" t="s">
        <v>180</v>
      </c>
      <c r="D650" s="24" t="s">
        <v>1983</v>
      </c>
      <c r="E650" s="24" t="s">
        <v>1970</v>
      </c>
      <c r="F650" s="24">
        <v>1</v>
      </c>
      <c r="G650" s="24" t="s">
        <v>1767</v>
      </c>
      <c r="H650" s="24"/>
      <c r="I650" s="24"/>
      <c r="J650" s="283"/>
      <c r="K650" s="224"/>
      <c r="L650" s="224"/>
      <c r="M650" s="224"/>
      <c r="N650" s="224"/>
      <c r="O650" s="224" t="s">
        <v>1991</v>
      </c>
      <c r="P650" s="164"/>
      <c r="Q650" s="164"/>
      <c r="R650" s="24"/>
      <c r="S650" s="283"/>
      <c r="T650" s="224"/>
      <c r="U650" s="283"/>
      <c r="V650" s="283"/>
      <c r="W650" s="196"/>
      <c r="X650" s="24"/>
      <c r="Y650" s="283"/>
      <c r="Z650" s="24"/>
      <c r="AA650" s="24"/>
      <c r="AB650" s="24"/>
      <c r="AC650" s="24"/>
      <c r="AD650" s="283"/>
      <c r="AE650" s="283"/>
      <c r="AF650" s="283"/>
      <c r="AG650" s="283"/>
      <c r="AH650" s="285" t="s">
        <v>115</v>
      </c>
      <c r="AI650" s="205" t="s">
        <v>1992</v>
      </c>
      <c r="AJ650" s="285" t="s">
        <v>1993</v>
      </c>
      <c r="AK650" s="24"/>
      <c r="AL650" s="24"/>
      <c r="AM650" s="24"/>
    </row>
    <row r="651" spans="1:39" ht="12.75" customHeight="1">
      <c r="A651" s="22">
        <v>649</v>
      </c>
      <c r="B651" s="24" t="s">
        <v>1994</v>
      </c>
      <c r="C651" s="24" t="s">
        <v>180</v>
      </c>
      <c r="D651" s="24" t="s">
        <v>1983</v>
      </c>
      <c r="E651" s="24" t="s">
        <v>1970</v>
      </c>
      <c r="F651" s="24">
        <v>1</v>
      </c>
      <c r="G651" s="24" t="s">
        <v>1767</v>
      </c>
      <c r="H651" s="24"/>
      <c r="I651" s="24"/>
      <c r="J651" s="283"/>
      <c r="K651" s="224"/>
      <c r="L651" s="224"/>
      <c r="M651" s="224"/>
      <c r="N651" s="224"/>
      <c r="O651" s="224" t="s">
        <v>1994</v>
      </c>
      <c r="P651" s="164"/>
      <c r="Q651" s="164"/>
      <c r="R651" s="24"/>
      <c r="S651" s="283"/>
      <c r="T651" s="224"/>
      <c r="U651" s="283"/>
      <c r="V651" s="283"/>
      <c r="W651" s="196"/>
      <c r="X651" s="24"/>
      <c r="Y651" s="283"/>
      <c r="Z651" s="24"/>
      <c r="AA651" s="24"/>
      <c r="AB651" s="24"/>
      <c r="AC651" s="24"/>
      <c r="AD651" s="283"/>
      <c r="AE651" s="283"/>
      <c r="AF651" s="283"/>
      <c r="AG651" s="283"/>
      <c r="AH651" s="285" t="s">
        <v>115</v>
      </c>
      <c r="AI651" s="205" t="s">
        <v>1995</v>
      </c>
      <c r="AJ651" s="285" t="s">
        <v>1996</v>
      </c>
      <c r="AK651" s="24"/>
      <c r="AL651" s="24"/>
      <c r="AM651" s="24"/>
    </row>
    <row r="652" spans="1:39" ht="12.75" customHeight="1">
      <c r="A652" s="22">
        <v>650</v>
      </c>
      <c r="B652" s="24" t="s">
        <v>1988</v>
      </c>
      <c r="C652" s="24" t="s">
        <v>96</v>
      </c>
      <c r="D652" s="24" t="s">
        <v>1787</v>
      </c>
      <c r="E652" s="24" t="s">
        <v>1970</v>
      </c>
      <c r="F652" s="24">
        <v>1</v>
      </c>
      <c r="G652" s="24" t="s">
        <v>1767</v>
      </c>
      <c r="H652" s="24"/>
      <c r="I652" s="24"/>
      <c r="J652" s="283"/>
      <c r="K652" s="224" t="s">
        <v>1988</v>
      </c>
      <c r="L652" s="224" t="s">
        <v>1997</v>
      </c>
      <c r="M652" s="224" t="s">
        <v>1998</v>
      </c>
      <c r="N652" s="224" t="s">
        <v>202</v>
      </c>
      <c r="O652" s="224"/>
      <c r="P652" s="164"/>
      <c r="Q652" s="164"/>
      <c r="R652" s="24"/>
      <c r="S652" s="283"/>
      <c r="T652" s="224" t="s">
        <v>113</v>
      </c>
      <c r="U652" s="283"/>
      <c r="V652" s="283"/>
      <c r="W652" s="196" t="s">
        <v>115</v>
      </c>
      <c r="X652" s="24"/>
      <c r="Y652" s="283"/>
      <c r="Z652" s="24"/>
      <c r="AA652" s="24"/>
      <c r="AB652" s="24"/>
      <c r="AC652" s="24"/>
      <c r="AD652" s="283"/>
      <c r="AE652" s="283"/>
      <c r="AF652" s="283"/>
      <c r="AG652" s="283"/>
      <c r="AH652" s="285" t="s">
        <v>115</v>
      </c>
      <c r="AI652" s="205" t="s">
        <v>1989</v>
      </c>
      <c r="AJ652" s="285" t="s">
        <v>1990</v>
      </c>
      <c r="AK652" s="24"/>
      <c r="AL652" s="24"/>
      <c r="AM652" s="24"/>
    </row>
    <row r="653" spans="1:39" ht="12.75" customHeight="1">
      <c r="A653" s="22">
        <v>651</v>
      </c>
      <c r="B653" s="24" t="s">
        <v>1122</v>
      </c>
      <c r="C653" s="24" t="s">
        <v>180</v>
      </c>
      <c r="D653" s="24" t="s">
        <v>1988</v>
      </c>
      <c r="E653" s="24" t="s">
        <v>1970</v>
      </c>
      <c r="F653" s="24">
        <v>1</v>
      </c>
      <c r="G653" s="24" t="s">
        <v>1767</v>
      </c>
      <c r="H653" s="24"/>
      <c r="I653" s="24"/>
      <c r="J653" s="283"/>
      <c r="K653" s="224"/>
      <c r="L653" s="224"/>
      <c r="M653" s="224"/>
      <c r="N653" s="224"/>
      <c r="O653" s="224" t="s">
        <v>1122</v>
      </c>
      <c r="P653" s="164"/>
      <c r="Q653" s="164"/>
      <c r="R653" s="24"/>
      <c r="S653" s="283"/>
      <c r="T653" s="224"/>
      <c r="U653" s="283"/>
      <c r="V653" s="283"/>
      <c r="W653" s="196"/>
      <c r="X653" s="24"/>
      <c r="Y653" s="283"/>
      <c r="Z653" s="24"/>
      <c r="AA653" s="24"/>
      <c r="AB653" s="24"/>
      <c r="AC653" s="24"/>
      <c r="AD653" s="283"/>
      <c r="AE653" s="283"/>
      <c r="AF653" s="283"/>
      <c r="AG653" s="283"/>
      <c r="AH653" s="285" t="s">
        <v>115</v>
      </c>
      <c r="AI653" s="285" t="s">
        <v>1897</v>
      </c>
      <c r="AJ653" s="285" t="s">
        <v>1125</v>
      </c>
      <c r="AK653" s="24"/>
      <c r="AL653" s="24"/>
      <c r="AM653" s="24"/>
    </row>
    <row r="654" spans="1:39" ht="12.75" customHeight="1">
      <c r="A654" s="22">
        <v>652</v>
      </c>
      <c r="B654" s="24" t="s">
        <v>1126</v>
      </c>
      <c r="C654" s="24" t="s">
        <v>180</v>
      </c>
      <c r="D654" s="24" t="s">
        <v>1988</v>
      </c>
      <c r="E654" s="24" t="s">
        <v>1970</v>
      </c>
      <c r="F654" s="24">
        <v>1</v>
      </c>
      <c r="G654" s="24" t="s">
        <v>1767</v>
      </c>
      <c r="H654" s="24"/>
      <c r="I654" s="24"/>
      <c r="J654" s="283"/>
      <c r="K654" s="224"/>
      <c r="L654" s="224"/>
      <c r="M654" s="224"/>
      <c r="N654" s="224"/>
      <c r="O654" s="224" t="s">
        <v>1126</v>
      </c>
      <c r="P654" s="164"/>
      <c r="Q654" s="164"/>
      <c r="R654" s="24"/>
      <c r="S654" s="283"/>
      <c r="T654" s="224"/>
      <c r="U654" s="283"/>
      <c r="V654" s="283"/>
      <c r="W654" s="196"/>
      <c r="X654" s="24"/>
      <c r="Y654" s="283"/>
      <c r="Z654" s="24"/>
      <c r="AA654" s="24"/>
      <c r="AB654" s="24"/>
      <c r="AC654" s="24"/>
      <c r="AD654" s="283"/>
      <c r="AE654" s="283"/>
      <c r="AF654" s="283"/>
      <c r="AG654" s="283"/>
      <c r="AH654" s="285" t="s">
        <v>115</v>
      </c>
      <c r="AI654" s="285" t="s">
        <v>1128</v>
      </c>
      <c r="AJ654" s="285" t="s">
        <v>1129</v>
      </c>
      <c r="AK654" s="24"/>
      <c r="AL654" s="24"/>
      <c r="AM654" s="24"/>
    </row>
    <row r="655" spans="1:39" ht="12.75" customHeight="1">
      <c r="A655" s="22">
        <v>653</v>
      </c>
      <c r="B655" s="24" t="s">
        <v>1991</v>
      </c>
      <c r="C655" s="24" t="s">
        <v>96</v>
      </c>
      <c r="D655" s="24" t="s">
        <v>1787</v>
      </c>
      <c r="E655" s="24" t="s">
        <v>1970</v>
      </c>
      <c r="F655" s="24">
        <v>1</v>
      </c>
      <c r="G655" s="24" t="s">
        <v>1767</v>
      </c>
      <c r="H655" s="24"/>
      <c r="I655" s="24"/>
      <c r="J655" s="283"/>
      <c r="K655" s="224" t="s">
        <v>1991</v>
      </c>
      <c r="L655" s="224" t="s">
        <v>1999</v>
      </c>
      <c r="M655" s="224" t="s">
        <v>2000</v>
      </c>
      <c r="N655" s="224" t="s">
        <v>202</v>
      </c>
      <c r="O655" s="224"/>
      <c r="P655" s="164"/>
      <c r="Q655" s="164"/>
      <c r="R655" s="24"/>
      <c r="S655" s="283"/>
      <c r="T655" s="224" t="s">
        <v>113</v>
      </c>
      <c r="U655" s="283"/>
      <c r="V655" s="283"/>
      <c r="W655" s="196" t="s">
        <v>115</v>
      </c>
      <c r="X655" s="24"/>
      <c r="Y655" s="283"/>
      <c r="Z655" s="24"/>
      <c r="AA655" s="24"/>
      <c r="AB655" s="24"/>
      <c r="AC655" s="24"/>
      <c r="AD655" s="283"/>
      <c r="AE655" s="283"/>
      <c r="AF655" s="283"/>
      <c r="AG655" s="283"/>
      <c r="AH655" s="285" t="s">
        <v>115</v>
      </c>
      <c r="AI655" s="205" t="s">
        <v>1992</v>
      </c>
      <c r="AJ655" s="285" t="s">
        <v>1993</v>
      </c>
      <c r="AK655" s="24"/>
      <c r="AL655" s="24"/>
      <c r="AM655" s="24"/>
    </row>
    <row r="656" spans="1:39" ht="12.75" customHeight="1">
      <c r="A656" s="22">
        <v>654</v>
      </c>
      <c r="B656" s="24" t="s">
        <v>1122</v>
      </c>
      <c r="C656" s="24" t="s">
        <v>180</v>
      </c>
      <c r="D656" s="24" t="s">
        <v>1991</v>
      </c>
      <c r="E656" s="24" t="s">
        <v>1970</v>
      </c>
      <c r="F656" s="24">
        <v>1</v>
      </c>
      <c r="G656" s="24" t="s">
        <v>1767</v>
      </c>
      <c r="H656" s="24"/>
      <c r="I656" s="24"/>
      <c r="J656" s="283"/>
      <c r="K656" s="224"/>
      <c r="L656" s="224"/>
      <c r="M656" s="224"/>
      <c r="N656" s="224"/>
      <c r="O656" s="224" t="s">
        <v>1122</v>
      </c>
      <c r="P656" s="164"/>
      <c r="Q656" s="164"/>
      <c r="R656" s="24"/>
      <c r="S656" s="283"/>
      <c r="T656" s="224"/>
      <c r="U656" s="283"/>
      <c r="V656" s="283"/>
      <c r="W656" s="196"/>
      <c r="X656" s="24"/>
      <c r="Y656" s="283"/>
      <c r="Z656" s="24"/>
      <c r="AA656" s="24"/>
      <c r="AB656" s="24"/>
      <c r="AC656" s="24"/>
      <c r="AD656" s="283"/>
      <c r="AE656" s="283"/>
      <c r="AF656" s="283"/>
      <c r="AG656" s="283"/>
      <c r="AH656" s="285" t="s">
        <v>115</v>
      </c>
      <c r="AI656" s="285" t="s">
        <v>1897</v>
      </c>
      <c r="AJ656" s="285" t="s">
        <v>1125</v>
      </c>
      <c r="AK656" s="24"/>
      <c r="AL656" s="24"/>
      <c r="AM656" s="24"/>
    </row>
    <row r="657" spans="1:39" ht="12.75" customHeight="1">
      <c r="A657" s="22">
        <v>655</v>
      </c>
      <c r="B657" s="24" t="s">
        <v>1126</v>
      </c>
      <c r="C657" s="24" t="s">
        <v>180</v>
      </c>
      <c r="D657" s="24" t="s">
        <v>1991</v>
      </c>
      <c r="E657" s="24" t="s">
        <v>1970</v>
      </c>
      <c r="F657" s="24">
        <v>1</v>
      </c>
      <c r="G657" s="24" t="s">
        <v>1767</v>
      </c>
      <c r="H657" s="24"/>
      <c r="I657" s="24"/>
      <c r="J657" s="283"/>
      <c r="K657" s="224"/>
      <c r="L657" s="224"/>
      <c r="M657" s="224"/>
      <c r="N657" s="224"/>
      <c r="O657" s="224" t="s">
        <v>1126</v>
      </c>
      <c r="P657" s="164"/>
      <c r="Q657" s="164"/>
      <c r="R657" s="24"/>
      <c r="S657" s="283"/>
      <c r="T657" s="224"/>
      <c r="U657" s="283"/>
      <c r="V657" s="283"/>
      <c r="W657" s="196"/>
      <c r="X657" s="24"/>
      <c r="Y657" s="283"/>
      <c r="Z657" s="24"/>
      <c r="AA657" s="24"/>
      <c r="AB657" s="24"/>
      <c r="AC657" s="24"/>
      <c r="AD657" s="283"/>
      <c r="AE657" s="283"/>
      <c r="AF657" s="283"/>
      <c r="AG657" s="283"/>
      <c r="AH657" s="285" t="s">
        <v>115</v>
      </c>
      <c r="AI657" s="285" t="s">
        <v>1128</v>
      </c>
      <c r="AJ657" s="285" t="s">
        <v>1129</v>
      </c>
      <c r="AK657" s="24"/>
      <c r="AL657" s="24"/>
      <c r="AM657" s="24"/>
    </row>
    <row r="658" spans="1:39" ht="12.75" customHeight="1">
      <c r="A658" s="22">
        <v>656</v>
      </c>
      <c r="B658" s="24" t="s">
        <v>1994</v>
      </c>
      <c r="C658" s="24" t="s">
        <v>96</v>
      </c>
      <c r="D658" s="24" t="s">
        <v>1787</v>
      </c>
      <c r="E658" s="24" t="s">
        <v>1970</v>
      </c>
      <c r="F658" s="24">
        <v>1</v>
      </c>
      <c r="G658" s="24" t="s">
        <v>1767</v>
      </c>
      <c r="H658" s="24"/>
      <c r="I658" s="24"/>
      <c r="J658" s="283"/>
      <c r="K658" s="224" t="s">
        <v>1994</v>
      </c>
      <c r="L658" s="224" t="s">
        <v>2002</v>
      </c>
      <c r="M658" s="224" t="s">
        <v>2003</v>
      </c>
      <c r="N658" s="224" t="s">
        <v>202</v>
      </c>
      <c r="O658" s="224"/>
      <c r="P658" s="164"/>
      <c r="Q658" s="164"/>
      <c r="R658" s="24"/>
      <c r="S658" s="283"/>
      <c r="T658" s="224" t="s">
        <v>113</v>
      </c>
      <c r="U658" s="283"/>
      <c r="V658" s="283"/>
      <c r="W658" s="196" t="s">
        <v>115</v>
      </c>
      <c r="X658" s="24"/>
      <c r="Y658" s="283"/>
      <c r="Z658" s="24"/>
      <c r="AA658" s="24"/>
      <c r="AB658" s="24"/>
      <c r="AC658" s="24"/>
      <c r="AD658" s="283"/>
      <c r="AE658" s="283"/>
      <c r="AF658" s="283"/>
      <c r="AG658" s="283"/>
      <c r="AH658" s="285" t="s">
        <v>115</v>
      </c>
      <c r="AI658" s="205" t="s">
        <v>1995</v>
      </c>
      <c r="AJ658" s="285" t="s">
        <v>1996</v>
      </c>
      <c r="AK658" s="24"/>
      <c r="AL658" s="24"/>
      <c r="AM658" s="24"/>
    </row>
    <row r="659" spans="1:39" ht="12.75" customHeight="1">
      <c r="A659" s="22">
        <v>657</v>
      </c>
      <c r="B659" s="24" t="s">
        <v>1122</v>
      </c>
      <c r="C659" s="24" t="s">
        <v>180</v>
      </c>
      <c r="D659" s="24" t="s">
        <v>1994</v>
      </c>
      <c r="E659" s="24" t="s">
        <v>1970</v>
      </c>
      <c r="F659" s="24">
        <v>1</v>
      </c>
      <c r="G659" s="24" t="s">
        <v>1767</v>
      </c>
      <c r="H659" s="24"/>
      <c r="I659" s="24"/>
      <c r="J659" s="283"/>
      <c r="K659" s="224"/>
      <c r="L659" s="224"/>
      <c r="M659" s="224"/>
      <c r="N659" s="224"/>
      <c r="O659" s="224" t="s">
        <v>1122</v>
      </c>
      <c r="P659" s="164"/>
      <c r="Q659" s="164"/>
      <c r="R659" s="24"/>
      <c r="S659" s="283"/>
      <c r="T659" s="224"/>
      <c r="U659" s="283"/>
      <c r="V659" s="283"/>
      <c r="W659" s="196"/>
      <c r="X659" s="24"/>
      <c r="Y659" s="283"/>
      <c r="Z659" s="24"/>
      <c r="AA659" s="24"/>
      <c r="AB659" s="24"/>
      <c r="AC659" s="24"/>
      <c r="AD659" s="283"/>
      <c r="AE659" s="283"/>
      <c r="AF659" s="283"/>
      <c r="AG659" s="283"/>
      <c r="AH659" s="285" t="s">
        <v>115</v>
      </c>
      <c r="AI659" s="285" t="s">
        <v>1897</v>
      </c>
      <c r="AJ659" s="285" t="s">
        <v>1125</v>
      </c>
      <c r="AK659" s="24"/>
      <c r="AL659" s="24"/>
      <c r="AM659" s="24"/>
    </row>
    <row r="660" spans="1:39" ht="12.75" customHeight="1">
      <c r="A660" s="22">
        <v>658</v>
      </c>
      <c r="B660" s="24" t="s">
        <v>1126</v>
      </c>
      <c r="C660" s="24" t="s">
        <v>180</v>
      </c>
      <c r="D660" s="24" t="s">
        <v>1994</v>
      </c>
      <c r="E660" s="24" t="s">
        <v>1970</v>
      </c>
      <c r="F660" s="24">
        <v>1</v>
      </c>
      <c r="G660" s="24" t="s">
        <v>1767</v>
      </c>
      <c r="H660" s="24"/>
      <c r="I660" s="24"/>
      <c r="J660" s="164"/>
      <c r="K660" s="224"/>
      <c r="L660" s="224"/>
      <c r="M660" s="224"/>
      <c r="N660" s="224"/>
      <c r="O660" s="224" t="s">
        <v>1126</v>
      </c>
      <c r="P660" s="164"/>
      <c r="Q660" s="164"/>
      <c r="R660" s="24"/>
      <c r="S660" s="164"/>
      <c r="T660" s="224"/>
      <c r="U660" s="164"/>
      <c r="V660" s="164"/>
      <c r="W660" s="196"/>
      <c r="X660" s="24"/>
      <c r="Y660" s="164"/>
      <c r="Z660" s="24"/>
      <c r="AA660" s="24"/>
      <c r="AB660" s="24"/>
      <c r="AC660" s="24"/>
      <c r="AD660" s="164"/>
      <c r="AE660" s="164"/>
      <c r="AF660" s="163"/>
      <c r="AG660" s="164"/>
      <c r="AH660" s="285" t="s">
        <v>115</v>
      </c>
      <c r="AI660" s="285" t="s">
        <v>1128</v>
      </c>
      <c r="AJ660" s="285" t="s">
        <v>1129</v>
      </c>
      <c r="AK660" s="24"/>
      <c r="AL660" s="24"/>
      <c r="AM660" s="24"/>
    </row>
    <row r="661" spans="1:39" ht="12.75" customHeight="1">
      <c r="A661" s="22">
        <v>659</v>
      </c>
      <c r="B661" s="24" t="s">
        <v>2006</v>
      </c>
      <c r="C661" s="24" t="s">
        <v>65</v>
      </c>
      <c r="D661" s="24" t="s">
        <v>1787</v>
      </c>
      <c r="E661" s="24" t="s">
        <v>1970</v>
      </c>
      <c r="F661" s="24">
        <v>1</v>
      </c>
      <c r="G661" s="24" t="s">
        <v>1767</v>
      </c>
      <c r="H661" s="24"/>
      <c r="I661" s="24"/>
      <c r="J661" s="283"/>
      <c r="K661" s="297" t="s">
        <v>2007</v>
      </c>
      <c r="L661" s="297" t="s">
        <v>2006</v>
      </c>
      <c r="M661" s="297" t="s">
        <v>2008</v>
      </c>
      <c r="N661" s="297" t="s">
        <v>65</v>
      </c>
      <c r="O661" s="225"/>
      <c r="P661" s="297" t="s">
        <v>2009</v>
      </c>
      <c r="Q661" s="225"/>
      <c r="R661" s="24"/>
      <c r="S661" s="283"/>
      <c r="T661" s="297" t="s">
        <v>115</v>
      </c>
      <c r="U661" s="283"/>
      <c r="V661" s="283"/>
      <c r="W661" s="238" t="s">
        <v>115</v>
      </c>
      <c r="X661" s="24"/>
      <c r="Y661" s="283"/>
      <c r="Z661" s="24"/>
      <c r="AA661" s="24"/>
      <c r="AB661" s="24"/>
      <c r="AC661" s="24"/>
      <c r="AD661" s="283"/>
      <c r="AE661" s="283"/>
      <c r="AF661" s="283"/>
      <c r="AG661" s="283"/>
      <c r="AH661" s="285" t="s">
        <v>115</v>
      </c>
      <c r="AI661" s="205" t="s">
        <v>2010</v>
      </c>
      <c r="AJ661" s="285" t="s">
        <v>2011</v>
      </c>
      <c r="AK661" s="24"/>
      <c r="AL661" s="24"/>
      <c r="AM661" s="24"/>
    </row>
    <row r="662" spans="1:39" ht="12.75" customHeight="1">
      <c r="A662" s="22">
        <v>660</v>
      </c>
      <c r="B662" s="24" t="s">
        <v>2012</v>
      </c>
      <c r="C662" s="24" t="s">
        <v>96</v>
      </c>
      <c r="D662" s="24" t="s">
        <v>1787</v>
      </c>
      <c r="E662" s="24" t="s">
        <v>2013</v>
      </c>
      <c r="F662" s="24">
        <v>1</v>
      </c>
      <c r="G662" s="24" t="s">
        <v>1767</v>
      </c>
      <c r="H662" s="24"/>
      <c r="I662" s="24"/>
      <c r="J662" s="283"/>
      <c r="K662" s="224" t="s">
        <v>2012</v>
      </c>
      <c r="L662" s="224" t="s">
        <v>2014</v>
      </c>
      <c r="M662" s="224" t="s">
        <v>2015</v>
      </c>
      <c r="N662" s="224" t="s">
        <v>202</v>
      </c>
      <c r="O662" s="224"/>
      <c r="P662" s="164"/>
      <c r="Q662" s="164"/>
      <c r="R662" s="24"/>
      <c r="S662" s="283"/>
      <c r="T662" s="224" t="s">
        <v>113</v>
      </c>
      <c r="U662" s="283"/>
      <c r="V662" s="283"/>
      <c r="W662" s="164" t="s">
        <v>226</v>
      </c>
      <c r="X662" s="24"/>
      <c r="Y662" s="283"/>
      <c r="Z662" s="24"/>
      <c r="AA662" s="24"/>
      <c r="AB662" s="24"/>
      <c r="AC662" s="24"/>
      <c r="AD662" s="283"/>
      <c r="AE662" s="283"/>
      <c r="AF662" s="283"/>
      <c r="AG662" s="283"/>
      <c r="AH662" s="285" t="s">
        <v>2016</v>
      </c>
      <c r="AI662" s="205" t="s">
        <v>1773</v>
      </c>
      <c r="AJ662" s="285" t="s">
        <v>1774</v>
      </c>
      <c r="AK662" s="24"/>
      <c r="AL662" s="24"/>
      <c r="AM662" s="24"/>
    </row>
    <row r="663" spans="1:39" ht="12.75" customHeight="1">
      <c r="A663" s="22">
        <v>661</v>
      </c>
      <c r="B663" s="24" t="s">
        <v>1775</v>
      </c>
      <c r="C663" s="24" t="s">
        <v>180</v>
      </c>
      <c r="D663" s="24" t="s">
        <v>2012</v>
      </c>
      <c r="E663" s="24" t="s">
        <v>2013</v>
      </c>
      <c r="F663" s="24">
        <v>1</v>
      </c>
      <c r="G663" s="24" t="s">
        <v>1767</v>
      </c>
      <c r="H663" s="24"/>
      <c r="I663" s="24"/>
      <c r="J663" s="283"/>
      <c r="K663" s="224"/>
      <c r="L663" s="224"/>
      <c r="M663" s="224"/>
      <c r="N663" s="224"/>
      <c r="O663" s="224" t="s">
        <v>1775</v>
      </c>
      <c r="P663" s="224"/>
      <c r="Q663" s="224"/>
      <c r="R663" s="24"/>
      <c r="S663" s="283"/>
      <c r="T663" s="224"/>
      <c r="U663" s="283"/>
      <c r="V663" s="283"/>
      <c r="W663" s="164"/>
      <c r="X663" s="24"/>
      <c r="Y663" s="283"/>
      <c r="Z663" s="24"/>
      <c r="AA663" s="24"/>
      <c r="AB663" s="24"/>
      <c r="AC663" s="24"/>
      <c r="AD663" s="283"/>
      <c r="AE663" s="283"/>
      <c r="AF663" s="283"/>
      <c r="AG663" s="283"/>
      <c r="AH663" s="285" t="s">
        <v>115</v>
      </c>
      <c r="AI663" s="285" t="s">
        <v>1777</v>
      </c>
      <c r="AJ663" s="285" t="s">
        <v>1778</v>
      </c>
      <c r="AK663" s="24"/>
      <c r="AL663" s="24"/>
      <c r="AM663" s="24"/>
    </row>
    <row r="664" spans="1:39" ht="12.75" customHeight="1">
      <c r="A664" s="22">
        <v>662</v>
      </c>
      <c r="B664" s="24" t="s">
        <v>1779</v>
      </c>
      <c r="C664" s="24" t="s">
        <v>180</v>
      </c>
      <c r="D664" s="24" t="s">
        <v>2012</v>
      </c>
      <c r="E664" s="24" t="s">
        <v>2013</v>
      </c>
      <c r="F664" s="24">
        <v>1</v>
      </c>
      <c r="G664" s="24" t="s">
        <v>1767</v>
      </c>
      <c r="H664" s="24"/>
      <c r="I664" s="24"/>
      <c r="J664" s="283"/>
      <c r="K664" s="224"/>
      <c r="L664" s="224"/>
      <c r="M664" s="224"/>
      <c r="N664" s="224"/>
      <c r="O664" s="204" t="s">
        <v>1779</v>
      </c>
      <c r="P664" s="224"/>
      <c r="Q664" s="224"/>
      <c r="R664" s="24"/>
      <c r="S664" s="283"/>
      <c r="T664" s="224"/>
      <c r="U664" s="283"/>
      <c r="V664" s="283"/>
      <c r="W664" s="164"/>
      <c r="X664" s="24"/>
      <c r="Y664" s="283"/>
      <c r="Z664" s="24"/>
      <c r="AA664" s="24"/>
      <c r="AB664" s="24"/>
      <c r="AC664" s="24"/>
      <c r="AD664" s="283"/>
      <c r="AE664" s="283"/>
      <c r="AF664" s="283"/>
      <c r="AG664" s="283"/>
      <c r="AH664" s="285" t="s">
        <v>115</v>
      </c>
      <c r="AI664" s="285" t="s">
        <v>1781</v>
      </c>
      <c r="AJ664" s="285" t="s">
        <v>1782</v>
      </c>
      <c r="AK664" s="24"/>
      <c r="AL664" s="24"/>
      <c r="AM664" s="24"/>
    </row>
    <row r="665" spans="1:39" ht="12.75" customHeight="1">
      <c r="A665" s="22">
        <v>663</v>
      </c>
      <c r="B665" s="24" t="s">
        <v>1783</v>
      </c>
      <c r="C665" s="24" t="s">
        <v>180</v>
      </c>
      <c r="D665" s="24" t="s">
        <v>2012</v>
      </c>
      <c r="E665" s="24" t="s">
        <v>2013</v>
      </c>
      <c r="F665" s="24">
        <v>1</v>
      </c>
      <c r="G665" s="24" t="s">
        <v>1767</v>
      </c>
      <c r="H665" s="24"/>
      <c r="I665" s="24"/>
      <c r="J665" s="283"/>
      <c r="K665" s="224"/>
      <c r="L665" s="224"/>
      <c r="M665" s="224"/>
      <c r="N665" s="224"/>
      <c r="O665" s="204" t="s">
        <v>1783</v>
      </c>
      <c r="P665" s="224"/>
      <c r="Q665" s="224"/>
      <c r="R665" s="24"/>
      <c r="S665" s="283"/>
      <c r="T665" s="224"/>
      <c r="U665" s="283"/>
      <c r="V665" s="283"/>
      <c r="W665" s="164"/>
      <c r="X665" s="24"/>
      <c r="Y665" s="283"/>
      <c r="Z665" s="24"/>
      <c r="AA665" s="24"/>
      <c r="AB665" s="24"/>
      <c r="AC665" s="24"/>
      <c r="AD665" s="283"/>
      <c r="AE665" s="283"/>
      <c r="AF665" s="283"/>
      <c r="AG665" s="283"/>
      <c r="AH665" s="285" t="s">
        <v>115</v>
      </c>
      <c r="AI665" s="285" t="s">
        <v>1784</v>
      </c>
      <c r="AJ665" s="205" t="s">
        <v>1785</v>
      </c>
      <c r="AK665" s="24"/>
      <c r="AL665" s="24"/>
      <c r="AM665" s="24"/>
    </row>
    <row r="666" spans="1:39" ht="12.75" customHeight="1">
      <c r="A666" s="22">
        <v>664</v>
      </c>
      <c r="B666" s="24" t="s">
        <v>1468</v>
      </c>
      <c r="C666" s="24" t="s">
        <v>180</v>
      </c>
      <c r="D666" s="24" t="s">
        <v>2012</v>
      </c>
      <c r="E666" s="24" t="s">
        <v>2013</v>
      </c>
      <c r="F666" s="24">
        <v>1</v>
      </c>
      <c r="G666" s="24" t="s">
        <v>1767</v>
      </c>
      <c r="H666" s="24"/>
      <c r="I666" s="24"/>
      <c r="J666" s="283"/>
      <c r="K666" s="224"/>
      <c r="L666" s="224"/>
      <c r="M666" s="224"/>
      <c r="N666" s="224"/>
      <c r="O666" s="204" t="s">
        <v>1468</v>
      </c>
      <c r="P666" s="224"/>
      <c r="Q666" s="224"/>
      <c r="R666" s="24"/>
      <c r="S666" s="283"/>
      <c r="T666" s="224"/>
      <c r="U666" s="283"/>
      <c r="V666" s="283"/>
      <c r="W666" s="164"/>
      <c r="X666" s="24"/>
      <c r="Y666" s="283"/>
      <c r="Z666" s="24"/>
      <c r="AA666" s="24"/>
      <c r="AB666" s="24"/>
      <c r="AC666" s="24"/>
      <c r="AD666" s="283"/>
      <c r="AE666" s="283"/>
      <c r="AF666" s="283"/>
      <c r="AG666" s="283"/>
      <c r="AH666" s="285" t="s">
        <v>115</v>
      </c>
      <c r="AI666" s="285" t="s">
        <v>1469</v>
      </c>
      <c r="AJ666" s="205" t="s">
        <v>1470</v>
      </c>
      <c r="AK666" s="24"/>
      <c r="AL666" s="24"/>
      <c r="AM666" s="24"/>
    </row>
    <row r="667" spans="1:39" ht="12.75" customHeight="1">
      <c r="A667" s="22">
        <v>665</v>
      </c>
      <c r="B667" s="24" t="s">
        <v>2017</v>
      </c>
      <c r="C667" s="24" t="s">
        <v>96</v>
      </c>
      <c r="D667" s="24" t="s">
        <v>1787</v>
      </c>
      <c r="E667" s="24" t="s">
        <v>2013</v>
      </c>
      <c r="F667" s="24">
        <v>1</v>
      </c>
      <c r="G667" s="24" t="s">
        <v>1767</v>
      </c>
      <c r="H667" s="24"/>
      <c r="I667" s="24"/>
      <c r="J667" s="283"/>
      <c r="K667" s="224" t="s">
        <v>1376</v>
      </c>
      <c r="L667" s="224" t="s">
        <v>2018</v>
      </c>
      <c r="M667" s="224" t="s">
        <v>2019</v>
      </c>
      <c r="N667" s="224" t="s">
        <v>238</v>
      </c>
      <c r="O667" s="224"/>
      <c r="P667" s="224"/>
      <c r="Q667" s="224"/>
      <c r="R667" s="24"/>
      <c r="S667" s="283"/>
      <c r="T667" s="224" t="s">
        <v>113</v>
      </c>
      <c r="U667" s="283"/>
      <c r="V667" s="283"/>
      <c r="W667" s="164" t="s">
        <v>115</v>
      </c>
      <c r="X667" s="24"/>
      <c r="Y667" s="283"/>
      <c r="Z667" s="24"/>
      <c r="AA667" s="24"/>
      <c r="AB667" s="24"/>
      <c r="AC667" s="24"/>
      <c r="AD667" s="283"/>
      <c r="AE667" s="283"/>
      <c r="AF667" s="283"/>
      <c r="AG667" s="283"/>
      <c r="AH667" s="285" t="s">
        <v>2016</v>
      </c>
      <c r="AI667" s="285" t="s">
        <v>1791</v>
      </c>
      <c r="AJ667" s="285" t="s">
        <v>1792</v>
      </c>
      <c r="AK667" s="24"/>
      <c r="AL667" s="24"/>
      <c r="AM667" s="24"/>
    </row>
    <row r="668" spans="1:39" ht="12.75" customHeight="1">
      <c r="A668" s="22">
        <v>666</v>
      </c>
      <c r="B668" s="24" t="s">
        <v>1909</v>
      </c>
      <c r="C668" s="24" t="s">
        <v>180</v>
      </c>
      <c r="D668" s="24" t="s">
        <v>1376</v>
      </c>
      <c r="E668" s="24" t="s">
        <v>2013</v>
      </c>
      <c r="F668" s="24">
        <v>1</v>
      </c>
      <c r="G668" s="24" t="s">
        <v>1767</v>
      </c>
      <c r="H668" s="24"/>
      <c r="I668" s="24"/>
      <c r="J668" s="283"/>
      <c r="K668" s="196"/>
      <c r="L668" s="196"/>
      <c r="M668" s="196"/>
      <c r="N668" s="196"/>
      <c r="O668" s="204" t="s">
        <v>1909</v>
      </c>
      <c r="P668" s="196"/>
      <c r="Q668" s="196"/>
      <c r="R668" s="24"/>
      <c r="S668" s="283"/>
      <c r="T668" s="196"/>
      <c r="U668" s="283"/>
      <c r="V668" s="283"/>
      <c r="W668" s="196"/>
      <c r="X668" s="24"/>
      <c r="Y668" s="283"/>
      <c r="Z668" s="24"/>
      <c r="AA668" s="24"/>
      <c r="AB668" s="24"/>
      <c r="AC668" s="24"/>
      <c r="AD668" s="283"/>
      <c r="AE668" s="283"/>
      <c r="AF668" s="283"/>
      <c r="AG668" s="283"/>
      <c r="AH668" s="205" t="s">
        <v>115</v>
      </c>
      <c r="AI668" s="205" t="s">
        <v>1910</v>
      </c>
      <c r="AJ668" s="205" t="s">
        <v>1911</v>
      </c>
      <c r="AK668" s="24"/>
      <c r="AL668" s="24"/>
      <c r="AM668" s="24"/>
    </row>
    <row r="669" spans="1:39" ht="12.75" customHeight="1">
      <c r="A669" s="22">
        <v>667</v>
      </c>
      <c r="B669" s="24" t="s">
        <v>1912</v>
      </c>
      <c r="C669" s="24" t="s">
        <v>180</v>
      </c>
      <c r="D669" s="24" t="s">
        <v>1376</v>
      </c>
      <c r="E669" s="24" t="s">
        <v>2013</v>
      </c>
      <c r="F669" s="24">
        <v>1</v>
      </c>
      <c r="G669" s="24" t="s">
        <v>1767</v>
      </c>
      <c r="H669" s="24"/>
      <c r="I669" s="24"/>
      <c r="J669" s="283"/>
      <c r="K669" s="196"/>
      <c r="L669" s="196"/>
      <c r="M669" s="196"/>
      <c r="N669" s="196"/>
      <c r="O669" s="196" t="s">
        <v>1912</v>
      </c>
      <c r="P669" s="196"/>
      <c r="Q669" s="196"/>
      <c r="R669" s="24"/>
      <c r="S669" s="283"/>
      <c r="T669" s="196"/>
      <c r="U669" s="283"/>
      <c r="V669" s="283"/>
      <c r="W669" s="196"/>
      <c r="X669" s="24"/>
      <c r="Y669" s="283"/>
      <c r="Z669" s="24"/>
      <c r="AA669" s="24"/>
      <c r="AB669" s="24"/>
      <c r="AC669" s="24"/>
      <c r="AD669" s="283"/>
      <c r="AE669" s="283"/>
      <c r="AF669" s="283"/>
      <c r="AG669" s="283"/>
      <c r="AH669" s="205" t="s">
        <v>115</v>
      </c>
      <c r="AI669" s="205" t="s">
        <v>1913</v>
      </c>
      <c r="AJ669" s="205" t="s">
        <v>1914</v>
      </c>
      <c r="AK669" s="24"/>
      <c r="AL669" s="24"/>
      <c r="AM669" s="24"/>
    </row>
    <row r="670" spans="1:39" ht="12.75" customHeight="1">
      <c r="A670" s="22">
        <v>668</v>
      </c>
      <c r="B670" s="24" t="s">
        <v>405</v>
      </c>
      <c r="C670" s="24" t="s">
        <v>180</v>
      </c>
      <c r="D670" s="24" t="s">
        <v>1376</v>
      </c>
      <c r="E670" s="24" t="s">
        <v>2013</v>
      </c>
      <c r="F670" s="24">
        <v>1</v>
      </c>
      <c r="G670" s="24" t="s">
        <v>1767</v>
      </c>
      <c r="H670" s="24"/>
      <c r="I670" s="24"/>
      <c r="J670" s="283"/>
      <c r="K670" s="196"/>
      <c r="L670" s="196"/>
      <c r="M670" s="196"/>
      <c r="N670" s="196"/>
      <c r="O670" s="196" t="s">
        <v>405</v>
      </c>
      <c r="P670" s="196"/>
      <c r="Q670" s="196"/>
      <c r="R670" s="24"/>
      <c r="S670" s="283"/>
      <c r="T670" s="196"/>
      <c r="U670" s="283"/>
      <c r="V670" s="283"/>
      <c r="W670" s="196"/>
      <c r="X670" s="24"/>
      <c r="Y670" s="283"/>
      <c r="Z670" s="24"/>
      <c r="AA670" s="24"/>
      <c r="AB670" s="24"/>
      <c r="AC670" s="24"/>
      <c r="AD670" s="283"/>
      <c r="AE670" s="283"/>
      <c r="AF670" s="283"/>
      <c r="AG670" s="283"/>
      <c r="AH670" s="205" t="s">
        <v>115</v>
      </c>
      <c r="AI670" s="205" t="s">
        <v>406</v>
      </c>
      <c r="AJ670" s="205" t="s">
        <v>407</v>
      </c>
      <c r="AK670" s="24"/>
      <c r="AL670" s="24"/>
      <c r="AM670" s="24"/>
    </row>
    <row r="671" spans="1:39" ht="12.75" customHeight="1">
      <c r="A671" s="22">
        <v>669</v>
      </c>
      <c r="B671" s="24" t="s">
        <v>2021</v>
      </c>
      <c r="C671" s="24" t="s">
        <v>96</v>
      </c>
      <c r="D671" s="24" t="s">
        <v>1787</v>
      </c>
      <c r="E671" s="24" t="s">
        <v>2013</v>
      </c>
      <c r="F671" s="24">
        <v>1</v>
      </c>
      <c r="G671" s="24" t="s">
        <v>1767</v>
      </c>
      <c r="H671" s="24"/>
      <c r="I671" s="24"/>
      <c r="J671" s="283"/>
      <c r="K671" s="196" t="s">
        <v>409</v>
      </c>
      <c r="L671" s="196" t="s">
        <v>2022</v>
      </c>
      <c r="M671" s="196" t="s">
        <v>2023</v>
      </c>
      <c r="N671" s="196" t="s">
        <v>111</v>
      </c>
      <c r="O671" s="196"/>
      <c r="P671" s="196"/>
      <c r="Q671" s="196"/>
      <c r="R671" s="24"/>
      <c r="S671" s="283"/>
      <c r="T671" s="196" t="s">
        <v>208</v>
      </c>
      <c r="U671" s="283"/>
      <c r="V671" s="283"/>
      <c r="W671" s="196" t="s">
        <v>115</v>
      </c>
      <c r="X671" s="24"/>
      <c r="Y671" s="283"/>
      <c r="Z671" s="24"/>
      <c r="AA671" s="24"/>
      <c r="AB671" s="24"/>
      <c r="AC671" s="24"/>
      <c r="AD671" s="283"/>
      <c r="AE671" s="283"/>
      <c r="AF671" s="283"/>
      <c r="AG671" s="283"/>
      <c r="AH671" s="205" t="s">
        <v>2016</v>
      </c>
      <c r="AI671" s="205" t="s">
        <v>1800</v>
      </c>
      <c r="AJ671" s="205" t="s">
        <v>1801</v>
      </c>
      <c r="AK671" s="24"/>
      <c r="AL671" s="24"/>
      <c r="AM671" s="24"/>
    </row>
    <row r="672" spans="1:39" ht="12.75" customHeight="1">
      <c r="A672" s="22">
        <v>670</v>
      </c>
      <c r="B672" s="24" t="s">
        <v>2024</v>
      </c>
      <c r="C672" s="24" t="s">
        <v>96</v>
      </c>
      <c r="D672" s="24" t="s">
        <v>1787</v>
      </c>
      <c r="E672" s="24" t="s">
        <v>2013</v>
      </c>
      <c r="F672" s="24">
        <v>1</v>
      </c>
      <c r="G672" s="24" t="s">
        <v>1767</v>
      </c>
      <c r="H672" s="24"/>
      <c r="I672" s="24"/>
      <c r="J672" s="283"/>
      <c r="K672" s="309" t="s">
        <v>2024</v>
      </c>
      <c r="L672" s="309" t="s">
        <v>2026</v>
      </c>
      <c r="M672" s="204" t="s">
        <v>2027</v>
      </c>
      <c r="N672" s="204" t="s">
        <v>140</v>
      </c>
      <c r="O672" s="196"/>
      <c r="P672" s="196"/>
      <c r="Q672" s="196"/>
      <c r="R672" s="24"/>
      <c r="S672" s="283"/>
      <c r="T672" s="309" t="s">
        <v>113</v>
      </c>
      <c r="U672" s="283"/>
      <c r="V672" s="283"/>
      <c r="W672" s="204" t="s">
        <v>115</v>
      </c>
      <c r="X672" s="24"/>
      <c r="Y672" s="283"/>
      <c r="Z672" s="24"/>
      <c r="AA672" s="24"/>
      <c r="AB672" s="24"/>
      <c r="AC672" s="24"/>
      <c r="AD672" s="283"/>
      <c r="AE672" s="283"/>
      <c r="AF672" s="283"/>
      <c r="AG672" s="283"/>
      <c r="AH672" s="205" t="s">
        <v>2016</v>
      </c>
      <c r="AI672" s="205" t="s">
        <v>1804</v>
      </c>
      <c r="AJ672" s="205" t="s">
        <v>1805</v>
      </c>
      <c r="AK672" s="24"/>
      <c r="AL672" s="24"/>
      <c r="AM672" s="24"/>
    </row>
    <row r="673" spans="1:39" ht="12.75" customHeight="1">
      <c r="A673" s="22">
        <v>671</v>
      </c>
      <c r="B673" s="24" t="s">
        <v>2028</v>
      </c>
      <c r="C673" s="24" t="s">
        <v>96</v>
      </c>
      <c r="D673" s="24" t="s">
        <v>1787</v>
      </c>
      <c r="E673" s="24" t="s">
        <v>2013</v>
      </c>
      <c r="F673" s="24">
        <v>1</v>
      </c>
      <c r="G673" s="24" t="s">
        <v>1767</v>
      </c>
      <c r="H673" s="24"/>
      <c r="I673" s="24"/>
      <c r="J673" s="283"/>
      <c r="K673" s="204" t="s">
        <v>2028</v>
      </c>
      <c r="L673" s="196" t="s">
        <v>2029</v>
      </c>
      <c r="M673" s="196" t="s">
        <v>2030</v>
      </c>
      <c r="N673" s="196" t="s">
        <v>202</v>
      </c>
      <c r="O673" s="196"/>
      <c r="P673" s="196"/>
      <c r="Q673" s="196"/>
      <c r="R673" s="24"/>
      <c r="S673" s="283"/>
      <c r="T673" s="196" t="s">
        <v>113</v>
      </c>
      <c r="U673" s="283"/>
      <c r="V673" s="283"/>
      <c r="W673" s="196" t="s">
        <v>115</v>
      </c>
      <c r="X673" s="24"/>
      <c r="Y673" s="283"/>
      <c r="Z673" s="24"/>
      <c r="AA673" s="24"/>
      <c r="AB673" s="24"/>
      <c r="AC673" s="24"/>
      <c r="AD673" s="283"/>
      <c r="AE673" s="283"/>
      <c r="AF673" s="283"/>
      <c r="AG673" s="283"/>
      <c r="AH673" s="205" t="s">
        <v>115</v>
      </c>
      <c r="AI673" s="205" t="s">
        <v>2031</v>
      </c>
      <c r="AJ673" s="205" t="s">
        <v>2032</v>
      </c>
      <c r="AK673" s="24"/>
      <c r="AL673" s="24"/>
      <c r="AM673" s="24"/>
    </row>
    <row r="674" spans="1:39" ht="12.75" customHeight="1">
      <c r="A674" s="22">
        <v>672</v>
      </c>
      <c r="B674" s="24" t="s">
        <v>2033</v>
      </c>
      <c r="C674" s="24" t="s">
        <v>180</v>
      </c>
      <c r="D674" s="24" t="s">
        <v>2028</v>
      </c>
      <c r="E674" s="24" t="s">
        <v>2013</v>
      </c>
      <c r="F674" s="24">
        <v>1</v>
      </c>
      <c r="G674" s="24" t="s">
        <v>1767</v>
      </c>
      <c r="H674" s="24"/>
      <c r="I674" s="24"/>
      <c r="J674" s="283"/>
      <c r="K674" s="196"/>
      <c r="L674" s="196"/>
      <c r="M674" s="196"/>
      <c r="N674" s="196"/>
      <c r="O674" s="196" t="s">
        <v>2033</v>
      </c>
      <c r="P674" s="196"/>
      <c r="Q674" s="196"/>
      <c r="R674" s="24"/>
      <c r="S674" s="283"/>
      <c r="T674" s="196"/>
      <c r="U674" s="283"/>
      <c r="V674" s="283"/>
      <c r="W674" s="196"/>
      <c r="X674" s="24"/>
      <c r="Y674" s="283"/>
      <c r="Z674" s="24"/>
      <c r="AA674" s="24"/>
      <c r="AB674" s="24"/>
      <c r="AC674" s="24"/>
      <c r="AD674" s="283"/>
      <c r="AE674" s="283"/>
      <c r="AF674" s="283"/>
      <c r="AG674" s="283"/>
      <c r="AH674" s="205" t="s">
        <v>115</v>
      </c>
      <c r="AI674" s="205" t="s">
        <v>2034</v>
      </c>
      <c r="AJ674" s="205" t="s">
        <v>2035</v>
      </c>
      <c r="AK674" s="24"/>
      <c r="AL674" s="24"/>
      <c r="AM674" s="24"/>
    </row>
    <row r="675" spans="1:39" ht="12.75" customHeight="1">
      <c r="A675" s="22">
        <v>673</v>
      </c>
      <c r="B675" s="24" t="s">
        <v>2036</v>
      </c>
      <c r="C675" s="24" t="s">
        <v>180</v>
      </c>
      <c r="D675" s="24" t="s">
        <v>2028</v>
      </c>
      <c r="E675" s="24" t="s">
        <v>2013</v>
      </c>
      <c r="F675" s="24">
        <v>1</v>
      </c>
      <c r="G675" s="24" t="s">
        <v>1767</v>
      </c>
      <c r="H675" s="24"/>
      <c r="I675" s="24"/>
      <c r="J675" s="283"/>
      <c r="K675" s="196"/>
      <c r="L675" s="196"/>
      <c r="M675" s="196"/>
      <c r="N675" s="196"/>
      <c r="O675" s="196" t="s">
        <v>2036</v>
      </c>
      <c r="P675" s="196"/>
      <c r="Q675" s="196"/>
      <c r="R675" s="24"/>
      <c r="S675" s="283"/>
      <c r="T675" s="196"/>
      <c r="U675" s="283"/>
      <c r="V675" s="283"/>
      <c r="W675" s="196"/>
      <c r="X675" s="24"/>
      <c r="Y675" s="283"/>
      <c r="Z675" s="24"/>
      <c r="AA675" s="24"/>
      <c r="AB675" s="24"/>
      <c r="AC675" s="24"/>
      <c r="AD675" s="283"/>
      <c r="AE675" s="283"/>
      <c r="AF675" s="283"/>
      <c r="AG675" s="283"/>
      <c r="AH675" s="205" t="s">
        <v>115</v>
      </c>
      <c r="AI675" s="205" t="s">
        <v>2037</v>
      </c>
      <c r="AJ675" s="205" t="s">
        <v>2038</v>
      </c>
      <c r="AK675" s="24"/>
      <c r="AL675" s="24"/>
      <c r="AM675" s="24"/>
    </row>
    <row r="676" spans="1:39" ht="12.75" customHeight="1">
      <c r="A676" s="22">
        <v>674</v>
      </c>
      <c r="B676" s="24" t="s">
        <v>2039</v>
      </c>
      <c r="C676" s="24" t="s">
        <v>180</v>
      </c>
      <c r="D676" s="24" t="s">
        <v>2028</v>
      </c>
      <c r="E676" s="24" t="s">
        <v>2013</v>
      </c>
      <c r="F676" s="24">
        <v>1</v>
      </c>
      <c r="G676" s="24" t="s">
        <v>1767</v>
      </c>
      <c r="H676" s="24"/>
      <c r="I676" s="24"/>
      <c r="J676" s="283"/>
      <c r="K676" s="196"/>
      <c r="L676" s="196"/>
      <c r="M676" s="196"/>
      <c r="N676" s="196"/>
      <c r="O676" s="196" t="s">
        <v>2039</v>
      </c>
      <c r="P676" s="196"/>
      <c r="Q676" s="196"/>
      <c r="R676" s="24"/>
      <c r="S676" s="283"/>
      <c r="T676" s="196"/>
      <c r="U676" s="283"/>
      <c r="V676" s="283"/>
      <c r="W676" s="196"/>
      <c r="X676" s="24"/>
      <c r="Y676" s="283"/>
      <c r="Z676" s="24"/>
      <c r="AA676" s="24"/>
      <c r="AB676" s="24"/>
      <c r="AC676" s="24"/>
      <c r="AD676" s="283"/>
      <c r="AE676" s="283"/>
      <c r="AF676" s="283"/>
      <c r="AG676" s="283"/>
      <c r="AH676" s="205" t="s">
        <v>115</v>
      </c>
      <c r="AI676" s="205" t="s">
        <v>2040</v>
      </c>
      <c r="AJ676" s="205" t="s">
        <v>2041</v>
      </c>
      <c r="AK676" s="24"/>
      <c r="AL676" s="24"/>
      <c r="AM676" s="24"/>
    </row>
    <row r="677" spans="1:39" ht="12.75" customHeight="1">
      <c r="A677" s="22">
        <v>675</v>
      </c>
      <c r="B677" s="24" t="s">
        <v>2033</v>
      </c>
      <c r="C677" s="24" t="s">
        <v>96</v>
      </c>
      <c r="D677" s="24" t="s">
        <v>1787</v>
      </c>
      <c r="E677" s="24" t="s">
        <v>2013</v>
      </c>
      <c r="F677" s="24">
        <v>1</v>
      </c>
      <c r="G677" s="24" t="s">
        <v>1767</v>
      </c>
      <c r="H677" s="24"/>
      <c r="I677" s="24"/>
      <c r="J677" s="283"/>
      <c r="K677" s="224" t="s">
        <v>2033</v>
      </c>
      <c r="L677" s="224" t="s">
        <v>2042</v>
      </c>
      <c r="M677" s="224" t="s">
        <v>2043</v>
      </c>
      <c r="N677" s="224" t="s">
        <v>202</v>
      </c>
      <c r="O677" s="224"/>
      <c r="P677" s="164"/>
      <c r="Q677" s="164"/>
      <c r="R677" s="24"/>
      <c r="S677" s="283"/>
      <c r="T677" s="204" t="s">
        <v>113</v>
      </c>
      <c r="U677" s="283"/>
      <c r="V677" s="283"/>
      <c r="W677" s="164" t="s">
        <v>115</v>
      </c>
      <c r="X677" s="24"/>
      <c r="Y677" s="283"/>
      <c r="Z677" s="24"/>
      <c r="AA677" s="24"/>
      <c r="AB677" s="24"/>
      <c r="AC677" s="24"/>
      <c r="AD677" s="283"/>
      <c r="AE677" s="283"/>
      <c r="AF677" s="283"/>
      <c r="AG677" s="283"/>
      <c r="AH677" s="285" t="s">
        <v>115</v>
      </c>
      <c r="AI677" s="205" t="s">
        <v>2034</v>
      </c>
      <c r="AJ677" s="205" t="s">
        <v>2035</v>
      </c>
      <c r="AK677" s="24"/>
      <c r="AL677" s="24"/>
      <c r="AM677" s="24"/>
    </row>
    <row r="678" spans="1:39" ht="12.75" customHeight="1">
      <c r="A678" s="22">
        <v>676</v>
      </c>
      <c r="B678" s="24" t="s">
        <v>1122</v>
      </c>
      <c r="C678" s="24" t="s">
        <v>180</v>
      </c>
      <c r="D678" s="24" t="s">
        <v>2033</v>
      </c>
      <c r="E678" s="24" t="s">
        <v>2013</v>
      </c>
      <c r="F678" s="24">
        <v>1</v>
      </c>
      <c r="G678" s="24" t="s">
        <v>1767</v>
      </c>
      <c r="H678" s="24"/>
      <c r="I678" s="24"/>
      <c r="J678" s="283"/>
      <c r="K678" s="164"/>
      <c r="L678" s="224"/>
      <c r="M678" s="224"/>
      <c r="N678" s="224"/>
      <c r="O678" s="224" t="s">
        <v>1122</v>
      </c>
      <c r="P678" s="164"/>
      <c r="Q678" s="164"/>
      <c r="R678" s="24"/>
      <c r="S678" s="283"/>
      <c r="T678" s="204"/>
      <c r="U678" s="283"/>
      <c r="V678" s="283"/>
      <c r="W678" s="164"/>
      <c r="X678" s="24"/>
      <c r="Y678" s="283"/>
      <c r="Z678" s="24"/>
      <c r="AA678" s="24"/>
      <c r="AB678" s="24"/>
      <c r="AC678" s="24"/>
      <c r="AD678" s="283"/>
      <c r="AE678" s="283"/>
      <c r="AF678" s="283"/>
      <c r="AG678" s="283"/>
      <c r="AH678" s="285" t="s">
        <v>115</v>
      </c>
      <c r="AI678" s="285" t="s">
        <v>1897</v>
      </c>
      <c r="AJ678" s="285" t="s">
        <v>1125</v>
      </c>
      <c r="AK678" s="24"/>
      <c r="AL678" s="24"/>
      <c r="AM678" s="24"/>
    </row>
    <row r="679" spans="1:39" ht="12.75" customHeight="1">
      <c r="A679" s="22">
        <v>677</v>
      </c>
      <c r="B679" s="24" t="s">
        <v>1126</v>
      </c>
      <c r="C679" s="24" t="s">
        <v>180</v>
      </c>
      <c r="D679" s="24" t="s">
        <v>2033</v>
      </c>
      <c r="E679" s="24" t="s">
        <v>2013</v>
      </c>
      <c r="F679" s="24">
        <v>1</v>
      </c>
      <c r="G679" s="24" t="s">
        <v>1767</v>
      </c>
      <c r="H679" s="24"/>
      <c r="I679" s="24"/>
      <c r="J679" s="283"/>
      <c r="K679" s="164"/>
      <c r="L679" s="224"/>
      <c r="M679" s="224"/>
      <c r="N679" s="224"/>
      <c r="O679" s="224" t="s">
        <v>1126</v>
      </c>
      <c r="P679" s="164"/>
      <c r="Q679" s="164"/>
      <c r="R679" s="24"/>
      <c r="S679" s="283"/>
      <c r="T679" s="204"/>
      <c r="U679" s="283"/>
      <c r="V679" s="283"/>
      <c r="W679" s="164"/>
      <c r="X679" s="24"/>
      <c r="Y679" s="283"/>
      <c r="Z679" s="24"/>
      <c r="AA679" s="24"/>
      <c r="AB679" s="24"/>
      <c r="AC679" s="24"/>
      <c r="AD679" s="283"/>
      <c r="AE679" s="283"/>
      <c r="AF679" s="283"/>
      <c r="AG679" s="283"/>
      <c r="AH679" s="285" t="s">
        <v>115</v>
      </c>
      <c r="AI679" s="285" t="s">
        <v>1128</v>
      </c>
      <c r="AJ679" s="285" t="s">
        <v>1129</v>
      </c>
      <c r="AK679" s="24"/>
      <c r="AL679" s="24"/>
      <c r="AM679" s="24"/>
    </row>
    <row r="680" spans="1:39" ht="12.75" customHeight="1">
      <c r="A680" s="22">
        <v>678</v>
      </c>
      <c r="B680" s="24" t="s">
        <v>2036</v>
      </c>
      <c r="C680" s="24" t="s">
        <v>96</v>
      </c>
      <c r="D680" s="24" t="s">
        <v>1787</v>
      </c>
      <c r="E680" s="24" t="s">
        <v>2013</v>
      </c>
      <c r="F680" s="24">
        <v>1</v>
      </c>
      <c r="G680" s="24" t="s">
        <v>1767</v>
      </c>
      <c r="H680" s="24"/>
      <c r="I680" s="24"/>
      <c r="J680" s="283"/>
      <c r="K680" s="164" t="s">
        <v>2036</v>
      </c>
      <c r="L680" s="224" t="s">
        <v>2045</v>
      </c>
      <c r="M680" s="224" t="s">
        <v>2046</v>
      </c>
      <c r="N680" s="224" t="s">
        <v>202</v>
      </c>
      <c r="O680" s="224"/>
      <c r="P680" s="164"/>
      <c r="Q680" s="164"/>
      <c r="R680" s="24"/>
      <c r="S680" s="283"/>
      <c r="T680" s="204" t="s">
        <v>113</v>
      </c>
      <c r="U680" s="283"/>
      <c r="V680" s="283"/>
      <c r="W680" s="164" t="s">
        <v>115</v>
      </c>
      <c r="X680" s="24"/>
      <c r="Y680" s="283"/>
      <c r="Z680" s="24"/>
      <c r="AA680" s="24"/>
      <c r="AB680" s="24"/>
      <c r="AC680" s="24"/>
      <c r="AD680" s="283"/>
      <c r="AE680" s="283"/>
      <c r="AF680" s="283"/>
      <c r="AG680" s="283"/>
      <c r="AH680" s="285" t="s">
        <v>115</v>
      </c>
      <c r="AI680" s="205" t="s">
        <v>2037</v>
      </c>
      <c r="AJ680" s="205" t="s">
        <v>2038</v>
      </c>
      <c r="AK680" s="24"/>
      <c r="AL680" s="24"/>
      <c r="AM680" s="24"/>
    </row>
    <row r="681" spans="1:39" ht="12.75" customHeight="1">
      <c r="A681" s="22">
        <v>679</v>
      </c>
      <c r="B681" s="24" t="s">
        <v>1122</v>
      </c>
      <c r="C681" s="24" t="s">
        <v>180</v>
      </c>
      <c r="D681" s="24" t="s">
        <v>2036</v>
      </c>
      <c r="E681" s="24" t="s">
        <v>2013</v>
      </c>
      <c r="F681" s="24">
        <v>1</v>
      </c>
      <c r="G681" s="24" t="s">
        <v>1767</v>
      </c>
      <c r="H681" s="24"/>
      <c r="I681" s="24"/>
      <c r="J681" s="283"/>
      <c r="K681" s="224"/>
      <c r="L681" s="224"/>
      <c r="M681" s="224"/>
      <c r="N681" s="224"/>
      <c r="O681" s="224" t="s">
        <v>1122</v>
      </c>
      <c r="P681" s="164"/>
      <c r="Q681" s="164"/>
      <c r="R681" s="24"/>
      <c r="S681" s="283"/>
      <c r="T681" s="204"/>
      <c r="U681" s="283"/>
      <c r="V681" s="283"/>
      <c r="W681" s="164"/>
      <c r="X681" s="24"/>
      <c r="Y681" s="283"/>
      <c r="Z681" s="24"/>
      <c r="AA681" s="24"/>
      <c r="AB681" s="24"/>
      <c r="AC681" s="24"/>
      <c r="AD681" s="283"/>
      <c r="AE681" s="283"/>
      <c r="AF681" s="283"/>
      <c r="AG681" s="283"/>
      <c r="AH681" s="285" t="s">
        <v>115</v>
      </c>
      <c r="AI681" s="285" t="s">
        <v>1897</v>
      </c>
      <c r="AJ681" s="285" t="s">
        <v>1125</v>
      </c>
      <c r="AK681" s="24"/>
      <c r="AL681" s="24"/>
      <c r="AM681" s="24"/>
    </row>
    <row r="682" spans="1:39" ht="12.75" customHeight="1">
      <c r="A682" s="22">
        <v>680</v>
      </c>
      <c r="B682" s="24" t="s">
        <v>1126</v>
      </c>
      <c r="C682" s="24" t="s">
        <v>180</v>
      </c>
      <c r="D682" s="24" t="s">
        <v>2036</v>
      </c>
      <c r="E682" s="24" t="s">
        <v>2013</v>
      </c>
      <c r="F682" s="24">
        <v>1</v>
      </c>
      <c r="G682" s="24" t="s">
        <v>1767</v>
      </c>
      <c r="H682" s="24"/>
      <c r="I682" s="24"/>
      <c r="J682" s="283"/>
      <c r="K682" s="224"/>
      <c r="L682" s="224"/>
      <c r="M682" s="224"/>
      <c r="N682" s="224"/>
      <c r="O682" s="224" t="s">
        <v>1126</v>
      </c>
      <c r="P682" s="164"/>
      <c r="Q682" s="164"/>
      <c r="R682" s="24"/>
      <c r="S682" s="283"/>
      <c r="T682" s="204"/>
      <c r="U682" s="283"/>
      <c r="V682" s="283"/>
      <c r="W682" s="164"/>
      <c r="X682" s="24"/>
      <c r="Y682" s="283"/>
      <c r="Z682" s="24"/>
      <c r="AA682" s="24"/>
      <c r="AB682" s="24"/>
      <c r="AC682" s="24"/>
      <c r="AD682" s="283"/>
      <c r="AE682" s="283"/>
      <c r="AF682" s="283"/>
      <c r="AG682" s="283"/>
      <c r="AH682" s="285" t="s">
        <v>115</v>
      </c>
      <c r="AI682" s="285" t="s">
        <v>1128</v>
      </c>
      <c r="AJ682" s="285" t="s">
        <v>1129</v>
      </c>
      <c r="AK682" s="24"/>
      <c r="AL682" s="24"/>
      <c r="AM682" s="24"/>
    </row>
    <row r="683" spans="1:39" ht="102" customHeight="1">
      <c r="A683" s="22">
        <v>681</v>
      </c>
      <c r="B683" s="24" t="s">
        <v>2039</v>
      </c>
      <c r="C683" s="24" t="s">
        <v>96</v>
      </c>
      <c r="D683" s="24" t="s">
        <v>1787</v>
      </c>
      <c r="E683" s="24" t="s">
        <v>2013</v>
      </c>
      <c r="F683" s="24">
        <v>1</v>
      </c>
      <c r="G683" s="24" t="s">
        <v>1767</v>
      </c>
      <c r="H683" s="24"/>
      <c r="I683" s="24"/>
      <c r="J683" s="164"/>
      <c r="K683" s="224" t="s">
        <v>2039</v>
      </c>
      <c r="L683" s="224" t="s">
        <v>2047</v>
      </c>
      <c r="M683" s="224" t="s">
        <v>2048</v>
      </c>
      <c r="N683" s="224" t="s">
        <v>202</v>
      </c>
      <c r="O683" s="224"/>
      <c r="P683" s="164"/>
      <c r="Q683" s="164"/>
      <c r="R683" s="24"/>
      <c r="S683" s="164"/>
      <c r="T683" s="204" t="s">
        <v>113</v>
      </c>
      <c r="U683" s="164"/>
      <c r="V683" s="164"/>
      <c r="W683" s="164" t="s">
        <v>115</v>
      </c>
      <c r="X683" s="24"/>
      <c r="Y683" s="164"/>
      <c r="Z683" s="24"/>
      <c r="AA683" s="24"/>
      <c r="AB683" s="24"/>
      <c r="AC683" s="24"/>
      <c r="AD683" s="164"/>
      <c r="AE683" s="164"/>
      <c r="AF683" s="164"/>
      <c r="AG683" s="164"/>
      <c r="AH683" s="205" t="s">
        <v>115</v>
      </c>
      <c r="AI683" s="205" t="s">
        <v>2040</v>
      </c>
      <c r="AJ683" s="205" t="s">
        <v>2041</v>
      </c>
      <c r="AK683" s="24"/>
      <c r="AL683" s="24"/>
      <c r="AM683" s="24"/>
    </row>
    <row r="684" spans="1:39" ht="14.25" customHeight="1">
      <c r="A684" s="22">
        <v>682</v>
      </c>
      <c r="B684" s="24" t="s">
        <v>1122</v>
      </c>
      <c r="C684" s="24" t="s">
        <v>180</v>
      </c>
      <c r="D684" s="24" t="s">
        <v>2039</v>
      </c>
      <c r="E684" s="24" t="s">
        <v>2013</v>
      </c>
      <c r="F684" s="24">
        <v>1</v>
      </c>
      <c r="G684" s="24" t="s">
        <v>1767</v>
      </c>
      <c r="H684" s="24"/>
      <c r="I684" s="24"/>
      <c r="J684" s="283"/>
      <c r="K684" s="224"/>
      <c r="L684" s="224"/>
      <c r="M684" s="224"/>
      <c r="N684" s="224"/>
      <c r="O684" s="224" t="s">
        <v>1122</v>
      </c>
      <c r="P684" s="164"/>
      <c r="Q684" s="164"/>
      <c r="R684" s="24"/>
      <c r="S684" s="283"/>
      <c r="T684" s="204"/>
      <c r="U684" s="283"/>
      <c r="V684" s="283"/>
      <c r="W684" s="164"/>
      <c r="X684" s="24"/>
      <c r="Y684" s="283"/>
      <c r="Z684" s="24"/>
      <c r="AA684" s="24"/>
      <c r="AB684" s="24"/>
      <c r="AC684" s="24"/>
      <c r="AD684" s="283"/>
      <c r="AE684" s="283"/>
      <c r="AF684" s="283"/>
      <c r="AG684" s="283"/>
      <c r="AH684" s="285" t="s">
        <v>115</v>
      </c>
      <c r="AI684" s="285" t="s">
        <v>1897</v>
      </c>
      <c r="AJ684" s="285" t="s">
        <v>1125</v>
      </c>
      <c r="AK684" s="24"/>
      <c r="AL684" s="24"/>
      <c r="AM684" s="24"/>
    </row>
    <row r="685" spans="1:39" ht="12.75" customHeight="1">
      <c r="A685" s="22">
        <v>683</v>
      </c>
      <c r="B685" s="24" t="s">
        <v>1126</v>
      </c>
      <c r="C685" s="24" t="s">
        <v>180</v>
      </c>
      <c r="D685" s="24" t="s">
        <v>2039</v>
      </c>
      <c r="E685" s="24" t="s">
        <v>2013</v>
      </c>
      <c r="F685" s="24">
        <v>1</v>
      </c>
      <c r="G685" s="24" t="s">
        <v>1767</v>
      </c>
      <c r="H685" s="24"/>
      <c r="I685" s="24"/>
      <c r="J685" s="283"/>
      <c r="K685" s="224"/>
      <c r="L685" s="224"/>
      <c r="M685" s="224"/>
      <c r="N685" s="224"/>
      <c r="O685" s="224" t="s">
        <v>1126</v>
      </c>
      <c r="P685" s="164"/>
      <c r="Q685" s="164"/>
      <c r="R685" s="24"/>
      <c r="S685" s="283"/>
      <c r="T685" s="204"/>
      <c r="U685" s="283"/>
      <c r="V685" s="283"/>
      <c r="W685" s="164"/>
      <c r="X685" s="24"/>
      <c r="Y685" s="283"/>
      <c r="Z685" s="24"/>
      <c r="AA685" s="24"/>
      <c r="AB685" s="24"/>
      <c r="AC685" s="24"/>
      <c r="AD685" s="283"/>
      <c r="AE685" s="283"/>
      <c r="AF685" s="283"/>
      <c r="AG685" s="283"/>
      <c r="AH685" s="285" t="s">
        <v>115</v>
      </c>
      <c r="AI685" s="285" t="s">
        <v>1128</v>
      </c>
      <c r="AJ685" s="285" t="s">
        <v>1129</v>
      </c>
      <c r="AK685" s="24"/>
      <c r="AL685" s="24"/>
      <c r="AM685" s="24"/>
    </row>
    <row r="686" spans="1:39" ht="12.75" customHeight="1">
      <c r="A686" s="22">
        <v>684</v>
      </c>
      <c r="B686" s="24" t="s">
        <v>2050</v>
      </c>
      <c r="C686" s="24" t="s">
        <v>65</v>
      </c>
      <c r="D686" s="24" t="s">
        <v>1787</v>
      </c>
      <c r="E686" s="24" t="s">
        <v>2013</v>
      </c>
      <c r="F686" s="24">
        <v>1</v>
      </c>
      <c r="G686" s="24" t="s">
        <v>1767</v>
      </c>
      <c r="H686" s="24"/>
      <c r="I686" s="24"/>
      <c r="J686" s="283"/>
      <c r="K686" s="297" t="s">
        <v>2051</v>
      </c>
      <c r="L686" s="297" t="s">
        <v>2050</v>
      </c>
      <c r="M686" s="297" t="s">
        <v>2052</v>
      </c>
      <c r="N686" s="297" t="s">
        <v>65</v>
      </c>
      <c r="O686" s="225"/>
      <c r="P686" s="297" t="s">
        <v>2053</v>
      </c>
      <c r="Q686" s="225"/>
      <c r="R686" s="24"/>
      <c r="S686" s="283"/>
      <c r="T686" s="297" t="s">
        <v>115</v>
      </c>
      <c r="U686" s="283"/>
      <c r="V686" s="283"/>
      <c r="W686" s="298" t="s">
        <v>115</v>
      </c>
      <c r="X686" s="24"/>
      <c r="Y686" s="283"/>
      <c r="Z686" s="24"/>
      <c r="AA686" s="24"/>
      <c r="AB686" s="24"/>
      <c r="AC686" s="24"/>
      <c r="AD686" s="283"/>
      <c r="AE686" s="283"/>
      <c r="AF686" s="283"/>
      <c r="AG686" s="283"/>
      <c r="AH686" s="285" t="s">
        <v>115</v>
      </c>
      <c r="AI686" s="205" t="s">
        <v>2054</v>
      </c>
      <c r="AJ686" s="285" t="s">
        <v>2055</v>
      </c>
      <c r="AK686" s="24"/>
      <c r="AL686" s="24"/>
      <c r="AM686" s="24"/>
    </row>
    <row r="687" spans="1:39" ht="12.75" customHeight="1">
      <c r="A687" s="22">
        <v>685</v>
      </c>
      <c r="B687" s="24" t="s">
        <v>2056</v>
      </c>
      <c r="C687" s="24" t="s">
        <v>96</v>
      </c>
      <c r="D687" s="24" t="s">
        <v>1787</v>
      </c>
      <c r="E687" s="24" t="s">
        <v>2057</v>
      </c>
      <c r="F687" s="24">
        <v>1</v>
      </c>
      <c r="G687" s="24" t="s">
        <v>1767</v>
      </c>
      <c r="H687" s="24"/>
      <c r="I687" s="24"/>
      <c r="J687" s="283"/>
      <c r="K687" s="224" t="s">
        <v>2056</v>
      </c>
      <c r="L687" s="224" t="s">
        <v>2058</v>
      </c>
      <c r="M687" s="224" t="s">
        <v>2059</v>
      </c>
      <c r="N687" s="224" t="s">
        <v>202</v>
      </c>
      <c r="O687" s="224"/>
      <c r="P687" s="164"/>
      <c r="Q687" s="164"/>
      <c r="R687" s="24"/>
      <c r="S687" s="283"/>
      <c r="T687" s="224" t="s">
        <v>113</v>
      </c>
      <c r="U687" s="283"/>
      <c r="V687" s="283"/>
      <c r="W687" s="164" t="s">
        <v>1901</v>
      </c>
      <c r="X687" s="24"/>
      <c r="Y687" s="283"/>
      <c r="Z687" s="24"/>
      <c r="AA687" s="24"/>
      <c r="AB687" s="24"/>
      <c r="AC687" s="24"/>
      <c r="AD687" s="283"/>
      <c r="AE687" s="283"/>
      <c r="AF687" s="283"/>
      <c r="AG687" s="283"/>
      <c r="AH687" s="285" t="s">
        <v>2060</v>
      </c>
      <c r="AI687" s="205" t="s">
        <v>1773</v>
      </c>
      <c r="AJ687" s="285" t="s">
        <v>1774</v>
      </c>
      <c r="AK687" s="24"/>
      <c r="AL687" s="24"/>
      <c r="AM687" s="24"/>
    </row>
    <row r="688" spans="1:39" ht="12.75" customHeight="1">
      <c r="A688" s="22">
        <v>686</v>
      </c>
      <c r="B688" s="24" t="s">
        <v>1775</v>
      </c>
      <c r="C688" s="24" t="s">
        <v>180</v>
      </c>
      <c r="D688" s="24" t="s">
        <v>2056</v>
      </c>
      <c r="E688" s="24" t="s">
        <v>2057</v>
      </c>
      <c r="F688" s="24">
        <v>1</v>
      </c>
      <c r="G688" s="24" t="s">
        <v>1767</v>
      </c>
      <c r="H688" s="24"/>
      <c r="I688" s="24"/>
      <c r="J688" s="283"/>
      <c r="K688" s="224"/>
      <c r="L688" s="224"/>
      <c r="M688" s="224"/>
      <c r="N688" s="224"/>
      <c r="O688" s="224" t="s">
        <v>1775</v>
      </c>
      <c r="P688" s="164"/>
      <c r="Q688" s="164"/>
      <c r="R688" s="24"/>
      <c r="S688" s="283"/>
      <c r="T688" s="224"/>
      <c r="U688" s="283"/>
      <c r="V688" s="283"/>
      <c r="W688" s="196"/>
      <c r="X688" s="24"/>
      <c r="Y688" s="283"/>
      <c r="Z688" s="24"/>
      <c r="AA688" s="24"/>
      <c r="AB688" s="24"/>
      <c r="AC688" s="24"/>
      <c r="AD688" s="283"/>
      <c r="AE688" s="283"/>
      <c r="AF688" s="283"/>
      <c r="AG688" s="283"/>
      <c r="AH688" s="285" t="s">
        <v>115</v>
      </c>
      <c r="AI688" s="285" t="s">
        <v>1777</v>
      </c>
      <c r="AJ688" s="285" t="s">
        <v>1778</v>
      </c>
      <c r="AK688" s="24"/>
      <c r="AL688" s="24"/>
      <c r="AM688" s="24"/>
    </row>
    <row r="689" spans="1:39" ht="12.75" customHeight="1">
      <c r="A689" s="22">
        <v>687</v>
      </c>
      <c r="B689" s="24" t="s">
        <v>1779</v>
      </c>
      <c r="C689" s="24" t="s">
        <v>180</v>
      </c>
      <c r="D689" s="24" t="s">
        <v>2056</v>
      </c>
      <c r="E689" s="24" t="s">
        <v>2057</v>
      </c>
      <c r="F689" s="24">
        <v>1</v>
      </c>
      <c r="G689" s="24" t="s">
        <v>1767</v>
      </c>
      <c r="H689" s="24"/>
      <c r="I689" s="24"/>
      <c r="J689" s="283"/>
      <c r="K689" s="224"/>
      <c r="L689" s="224"/>
      <c r="M689" s="224"/>
      <c r="N689" s="224"/>
      <c r="O689" s="204" t="s">
        <v>1779</v>
      </c>
      <c r="P689" s="164"/>
      <c r="Q689" s="164"/>
      <c r="R689" s="24"/>
      <c r="S689" s="283"/>
      <c r="T689" s="224"/>
      <c r="U689" s="283"/>
      <c r="V689" s="283"/>
      <c r="W689" s="196"/>
      <c r="X689" s="24"/>
      <c r="Y689" s="283"/>
      <c r="Z689" s="24"/>
      <c r="AA689" s="24"/>
      <c r="AB689" s="24"/>
      <c r="AC689" s="24"/>
      <c r="AD689" s="283"/>
      <c r="AE689" s="283"/>
      <c r="AF689" s="283"/>
      <c r="AG689" s="283"/>
      <c r="AH689" s="285" t="s">
        <v>115</v>
      </c>
      <c r="AI689" s="285" t="s">
        <v>1781</v>
      </c>
      <c r="AJ689" s="285" t="s">
        <v>1782</v>
      </c>
      <c r="AK689" s="24"/>
      <c r="AL689" s="24"/>
      <c r="AM689" s="24"/>
    </row>
    <row r="690" spans="1:39" ht="12.75" customHeight="1">
      <c r="A690" s="22">
        <v>688</v>
      </c>
      <c r="B690" s="24" t="s">
        <v>1783</v>
      </c>
      <c r="C690" s="24" t="s">
        <v>180</v>
      </c>
      <c r="D690" s="24" t="s">
        <v>2056</v>
      </c>
      <c r="E690" s="24" t="s">
        <v>2057</v>
      </c>
      <c r="F690" s="24">
        <v>1</v>
      </c>
      <c r="G690" s="24" t="s">
        <v>1767</v>
      </c>
      <c r="H690" s="24"/>
      <c r="I690" s="24"/>
      <c r="J690" s="283"/>
      <c r="K690" s="224"/>
      <c r="L690" s="224"/>
      <c r="M690" s="224"/>
      <c r="N690" s="224"/>
      <c r="O690" s="204" t="s">
        <v>1783</v>
      </c>
      <c r="P690" s="164"/>
      <c r="Q690" s="164"/>
      <c r="R690" s="24"/>
      <c r="S690" s="283"/>
      <c r="T690" s="224"/>
      <c r="U690" s="283"/>
      <c r="V690" s="283"/>
      <c r="W690" s="196"/>
      <c r="X690" s="24"/>
      <c r="Y690" s="283"/>
      <c r="Z690" s="24"/>
      <c r="AA690" s="24"/>
      <c r="AB690" s="24"/>
      <c r="AC690" s="24"/>
      <c r="AD690" s="283"/>
      <c r="AE690" s="283"/>
      <c r="AF690" s="283"/>
      <c r="AG690" s="283"/>
      <c r="AH690" s="285" t="s">
        <v>115</v>
      </c>
      <c r="AI690" s="285" t="s">
        <v>1784</v>
      </c>
      <c r="AJ690" s="205" t="s">
        <v>1785</v>
      </c>
      <c r="AK690" s="24"/>
      <c r="AL690" s="24"/>
      <c r="AM690" s="24"/>
    </row>
    <row r="691" spans="1:39" ht="12.75" customHeight="1">
      <c r="A691" s="22">
        <v>689</v>
      </c>
      <c r="B691" s="24" t="s">
        <v>1468</v>
      </c>
      <c r="C691" s="24" t="s">
        <v>180</v>
      </c>
      <c r="D691" s="24" t="s">
        <v>2056</v>
      </c>
      <c r="E691" s="24" t="s">
        <v>2057</v>
      </c>
      <c r="F691" s="24">
        <v>1</v>
      </c>
      <c r="G691" s="24" t="s">
        <v>1767</v>
      </c>
      <c r="H691" s="24"/>
      <c r="I691" s="24"/>
      <c r="J691" s="283"/>
      <c r="K691" s="224"/>
      <c r="L691" s="224"/>
      <c r="M691" s="224"/>
      <c r="N691" s="224"/>
      <c r="O691" s="204" t="s">
        <v>1468</v>
      </c>
      <c r="P691" s="164"/>
      <c r="Q691" s="164"/>
      <c r="R691" s="24"/>
      <c r="S691" s="283"/>
      <c r="T691" s="224"/>
      <c r="U691" s="283"/>
      <c r="V691" s="283"/>
      <c r="W691" s="196"/>
      <c r="X691" s="24"/>
      <c r="Y691" s="283"/>
      <c r="Z691" s="24"/>
      <c r="AA691" s="24"/>
      <c r="AB691" s="24"/>
      <c r="AC691" s="24"/>
      <c r="AD691" s="283"/>
      <c r="AE691" s="283"/>
      <c r="AF691" s="283"/>
      <c r="AG691" s="283"/>
      <c r="AH691" s="285" t="s">
        <v>115</v>
      </c>
      <c r="AI691" s="285" t="s">
        <v>1469</v>
      </c>
      <c r="AJ691" s="205" t="s">
        <v>1470</v>
      </c>
      <c r="AK691" s="24"/>
      <c r="AL691" s="24"/>
      <c r="AM691" s="24"/>
    </row>
    <row r="692" spans="1:39" ht="12.75" customHeight="1">
      <c r="A692" s="22">
        <v>690</v>
      </c>
      <c r="B692" s="24" t="s">
        <v>2064</v>
      </c>
      <c r="C692" s="24" t="s">
        <v>96</v>
      </c>
      <c r="D692" s="24" t="s">
        <v>1787</v>
      </c>
      <c r="E692" s="24" t="s">
        <v>2057</v>
      </c>
      <c r="F692" s="24">
        <v>1</v>
      </c>
      <c r="G692" s="24" t="s">
        <v>1767</v>
      </c>
      <c r="H692" s="24"/>
      <c r="I692" s="24"/>
      <c r="J692" s="283"/>
      <c r="K692" s="224" t="s">
        <v>1376</v>
      </c>
      <c r="L692" s="224" t="s">
        <v>2065</v>
      </c>
      <c r="M692" s="224" t="s">
        <v>2066</v>
      </c>
      <c r="N692" s="224" t="s">
        <v>238</v>
      </c>
      <c r="O692" s="224"/>
      <c r="P692" s="224"/>
      <c r="Q692" s="224"/>
      <c r="R692" s="24"/>
      <c r="S692" s="283"/>
      <c r="T692" s="224" t="s">
        <v>113</v>
      </c>
      <c r="U692" s="283"/>
      <c r="V692" s="283"/>
      <c r="W692" s="164" t="s">
        <v>115</v>
      </c>
      <c r="X692" s="24"/>
      <c r="Y692" s="283"/>
      <c r="Z692" s="24"/>
      <c r="AA692" s="24"/>
      <c r="AB692" s="24"/>
      <c r="AC692" s="24"/>
      <c r="AD692" s="283"/>
      <c r="AE692" s="283"/>
      <c r="AF692" s="283"/>
      <c r="AG692" s="283"/>
      <c r="AH692" s="285" t="s">
        <v>2060</v>
      </c>
      <c r="AI692" s="285" t="s">
        <v>1791</v>
      </c>
      <c r="AJ692" s="285" t="s">
        <v>1792</v>
      </c>
      <c r="AK692" s="24"/>
      <c r="AL692" s="24"/>
      <c r="AM692" s="24"/>
    </row>
    <row r="693" spans="1:39" ht="12.75" customHeight="1">
      <c r="A693" s="22">
        <v>691</v>
      </c>
      <c r="B693" s="24" t="s">
        <v>1909</v>
      </c>
      <c r="C693" s="24" t="s">
        <v>180</v>
      </c>
      <c r="D693" s="24" t="s">
        <v>1376</v>
      </c>
      <c r="E693" s="24" t="s">
        <v>2057</v>
      </c>
      <c r="F693" s="24">
        <v>1</v>
      </c>
      <c r="G693" s="24" t="s">
        <v>1767</v>
      </c>
      <c r="H693" s="24"/>
      <c r="I693" s="24"/>
      <c r="J693" s="283"/>
      <c r="K693" s="196"/>
      <c r="L693" s="196"/>
      <c r="M693" s="196"/>
      <c r="N693" s="196"/>
      <c r="O693" s="204" t="s">
        <v>1909</v>
      </c>
      <c r="P693" s="196"/>
      <c r="Q693" s="196"/>
      <c r="R693" s="24"/>
      <c r="S693" s="283"/>
      <c r="T693" s="196"/>
      <c r="U693" s="283"/>
      <c r="V693" s="283"/>
      <c r="W693" s="196"/>
      <c r="X693" s="24"/>
      <c r="Y693" s="283"/>
      <c r="Z693" s="24"/>
      <c r="AA693" s="24"/>
      <c r="AB693" s="24"/>
      <c r="AC693" s="24"/>
      <c r="AD693" s="283"/>
      <c r="AE693" s="283"/>
      <c r="AF693" s="283"/>
      <c r="AG693" s="283"/>
      <c r="AH693" s="205" t="s">
        <v>115</v>
      </c>
      <c r="AI693" s="205" t="s">
        <v>1910</v>
      </c>
      <c r="AJ693" s="205" t="s">
        <v>1911</v>
      </c>
      <c r="AK693" s="24"/>
      <c r="AL693" s="24"/>
      <c r="AM693" s="24"/>
    </row>
    <row r="694" spans="1:39" ht="12.75" customHeight="1">
      <c r="A694" s="22">
        <v>692</v>
      </c>
      <c r="B694" s="24" t="s">
        <v>1912</v>
      </c>
      <c r="C694" s="24" t="s">
        <v>180</v>
      </c>
      <c r="D694" s="24" t="s">
        <v>1376</v>
      </c>
      <c r="E694" s="24" t="s">
        <v>2057</v>
      </c>
      <c r="F694" s="24">
        <v>1</v>
      </c>
      <c r="G694" s="24" t="s">
        <v>1767</v>
      </c>
      <c r="H694" s="24"/>
      <c r="I694" s="24"/>
      <c r="J694" s="283"/>
      <c r="K694" s="196"/>
      <c r="L694" s="196"/>
      <c r="M694" s="196"/>
      <c r="N694" s="196"/>
      <c r="O694" s="196" t="s">
        <v>1912</v>
      </c>
      <c r="P694" s="196"/>
      <c r="Q694" s="196"/>
      <c r="R694" s="24"/>
      <c r="S694" s="283"/>
      <c r="T694" s="196"/>
      <c r="U694" s="283"/>
      <c r="V694" s="283"/>
      <c r="W694" s="196"/>
      <c r="X694" s="24"/>
      <c r="Y694" s="283"/>
      <c r="Z694" s="24"/>
      <c r="AA694" s="24"/>
      <c r="AB694" s="24"/>
      <c r="AC694" s="24"/>
      <c r="AD694" s="283"/>
      <c r="AE694" s="283"/>
      <c r="AF694" s="283"/>
      <c r="AG694" s="283"/>
      <c r="AH694" s="205" t="s">
        <v>115</v>
      </c>
      <c r="AI694" s="205" t="s">
        <v>1913</v>
      </c>
      <c r="AJ694" s="205" t="s">
        <v>1914</v>
      </c>
      <c r="AK694" s="24"/>
      <c r="AL694" s="24"/>
      <c r="AM694" s="24"/>
    </row>
    <row r="695" spans="1:39" ht="12.75" customHeight="1">
      <c r="A695" s="22">
        <v>693</v>
      </c>
      <c r="B695" s="24" t="s">
        <v>405</v>
      </c>
      <c r="C695" s="24" t="s">
        <v>180</v>
      </c>
      <c r="D695" s="24" t="s">
        <v>1376</v>
      </c>
      <c r="E695" s="24" t="s">
        <v>2057</v>
      </c>
      <c r="F695" s="24">
        <v>1</v>
      </c>
      <c r="G695" s="24" t="s">
        <v>1767</v>
      </c>
      <c r="H695" s="24"/>
      <c r="I695" s="24"/>
      <c r="J695" s="283"/>
      <c r="K695" s="196"/>
      <c r="L695" s="196"/>
      <c r="M695" s="196"/>
      <c r="N695" s="196"/>
      <c r="O695" s="196" t="s">
        <v>405</v>
      </c>
      <c r="P695" s="196"/>
      <c r="Q695" s="196"/>
      <c r="R695" s="24"/>
      <c r="S695" s="283"/>
      <c r="T695" s="196"/>
      <c r="U695" s="283"/>
      <c r="V695" s="283"/>
      <c r="W695" s="196"/>
      <c r="X695" s="24"/>
      <c r="Y695" s="283"/>
      <c r="Z695" s="24"/>
      <c r="AA695" s="24"/>
      <c r="AB695" s="24"/>
      <c r="AC695" s="24"/>
      <c r="AD695" s="283"/>
      <c r="AE695" s="283"/>
      <c r="AF695" s="283"/>
      <c r="AG695" s="283"/>
      <c r="AH695" s="205" t="s">
        <v>115</v>
      </c>
      <c r="AI695" s="205" t="s">
        <v>406</v>
      </c>
      <c r="AJ695" s="205" t="s">
        <v>407</v>
      </c>
      <c r="AK695" s="24"/>
      <c r="AL695" s="24"/>
      <c r="AM695" s="24"/>
    </row>
    <row r="696" spans="1:39" ht="14.25" customHeight="1">
      <c r="A696" s="22">
        <v>694</v>
      </c>
      <c r="B696" s="24" t="s">
        <v>2067</v>
      </c>
      <c r="C696" s="24" t="s">
        <v>96</v>
      </c>
      <c r="D696" s="24" t="s">
        <v>1787</v>
      </c>
      <c r="E696" s="24" t="s">
        <v>2057</v>
      </c>
      <c r="F696" s="24">
        <v>1</v>
      </c>
      <c r="G696" s="24" t="s">
        <v>1767</v>
      </c>
      <c r="H696" s="24"/>
      <c r="I696" s="24"/>
      <c r="J696" s="283"/>
      <c r="K696" s="196" t="s">
        <v>409</v>
      </c>
      <c r="L696" s="196" t="s">
        <v>2068</v>
      </c>
      <c r="M696" s="196" t="s">
        <v>2069</v>
      </c>
      <c r="N696" s="196" t="s">
        <v>111</v>
      </c>
      <c r="O696" s="196"/>
      <c r="P696" s="196"/>
      <c r="Q696" s="196"/>
      <c r="R696" s="24"/>
      <c r="S696" s="283"/>
      <c r="T696" s="196" t="s">
        <v>208</v>
      </c>
      <c r="U696" s="283"/>
      <c r="V696" s="283"/>
      <c r="W696" s="196" t="s">
        <v>115</v>
      </c>
      <c r="X696" s="24"/>
      <c r="Y696" s="283"/>
      <c r="Z696" s="24"/>
      <c r="AA696" s="24"/>
      <c r="AB696" s="24"/>
      <c r="AC696" s="24"/>
      <c r="AD696" s="283"/>
      <c r="AE696" s="283"/>
      <c r="AF696" s="283"/>
      <c r="AG696" s="283"/>
      <c r="AH696" s="205" t="s">
        <v>2060</v>
      </c>
      <c r="AI696" s="205" t="s">
        <v>1800</v>
      </c>
      <c r="AJ696" s="205" t="s">
        <v>1801</v>
      </c>
      <c r="AK696" s="24"/>
      <c r="AL696" s="24"/>
      <c r="AM696" s="24"/>
    </row>
    <row r="697" spans="1:39" ht="12.75" customHeight="1">
      <c r="A697" s="22">
        <v>695</v>
      </c>
      <c r="B697" s="24" t="s">
        <v>2070</v>
      </c>
      <c r="C697" s="24" t="s">
        <v>96</v>
      </c>
      <c r="D697" s="24" t="s">
        <v>1787</v>
      </c>
      <c r="E697" s="24" t="s">
        <v>2057</v>
      </c>
      <c r="F697" s="24">
        <v>1</v>
      </c>
      <c r="G697" s="24" t="s">
        <v>1767</v>
      </c>
      <c r="H697" s="24"/>
      <c r="I697" s="24"/>
      <c r="J697" s="283"/>
      <c r="K697" s="309" t="s">
        <v>2070</v>
      </c>
      <c r="L697" s="309" t="s">
        <v>2071</v>
      </c>
      <c r="M697" s="204" t="s">
        <v>2072</v>
      </c>
      <c r="N697" s="204" t="s">
        <v>140</v>
      </c>
      <c r="O697" s="196"/>
      <c r="P697" s="196"/>
      <c r="Q697" s="196"/>
      <c r="R697" s="24"/>
      <c r="S697" s="283"/>
      <c r="T697" s="309" t="s">
        <v>113</v>
      </c>
      <c r="U697" s="283"/>
      <c r="V697" s="283"/>
      <c r="W697" s="204" t="s">
        <v>115</v>
      </c>
      <c r="X697" s="24"/>
      <c r="Y697" s="283"/>
      <c r="Z697" s="24"/>
      <c r="AA697" s="24"/>
      <c r="AB697" s="24"/>
      <c r="AC697" s="24"/>
      <c r="AD697" s="283"/>
      <c r="AE697" s="283"/>
      <c r="AF697" s="283"/>
      <c r="AG697" s="283"/>
      <c r="AH697" s="205" t="s">
        <v>2060</v>
      </c>
      <c r="AI697" s="205" t="s">
        <v>1804</v>
      </c>
      <c r="AJ697" s="205" t="s">
        <v>1805</v>
      </c>
      <c r="AK697" s="24"/>
      <c r="AL697" s="24"/>
      <c r="AM697" s="24"/>
    </row>
    <row r="698" spans="1:39" ht="12.75" customHeight="1">
      <c r="A698" s="22">
        <v>696</v>
      </c>
      <c r="B698" s="24" t="s">
        <v>2073</v>
      </c>
      <c r="C698" s="24" t="s">
        <v>96</v>
      </c>
      <c r="D698" s="24" t="s">
        <v>1787</v>
      </c>
      <c r="E698" s="24" t="s">
        <v>2057</v>
      </c>
      <c r="F698" s="24">
        <v>1</v>
      </c>
      <c r="G698" s="24" t="s">
        <v>1767</v>
      </c>
      <c r="H698" s="24"/>
      <c r="I698" s="24"/>
      <c r="J698" s="283"/>
      <c r="K698" s="196" t="s">
        <v>2073</v>
      </c>
      <c r="L698" s="204" t="s">
        <v>2074</v>
      </c>
      <c r="M698" s="196" t="s">
        <v>2075</v>
      </c>
      <c r="N698" s="196" t="s">
        <v>238</v>
      </c>
      <c r="O698" s="196"/>
      <c r="P698" s="196"/>
      <c r="Q698" s="196"/>
      <c r="R698" s="24"/>
      <c r="S698" s="283"/>
      <c r="T698" s="196" t="s">
        <v>113</v>
      </c>
      <c r="U698" s="283"/>
      <c r="V698" s="283"/>
      <c r="W698" s="196" t="s">
        <v>115</v>
      </c>
      <c r="X698" s="24"/>
      <c r="Y698" s="283"/>
      <c r="Z698" s="24"/>
      <c r="AA698" s="24"/>
      <c r="AB698" s="24"/>
      <c r="AC698" s="24"/>
      <c r="AD698" s="283"/>
      <c r="AE698" s="283"/>
      <c r="AF698" s="283"/>
      <c r="AG698" s="283"/>
      <c r="AH698" s="205" t="s">
        <v>115</v>
      </c>
      <c r="AI698" s="205" t="s">
        <v>2076</v>
      </c>
      <c r="AJ698" s="205" t="s">
        <v>2077</v>
      </c>
      <c r="AK698" s="24"/>
      <c r="AL698" s="24"/>
      <c r="AM698" s="24"/>
    </row>
    <row r="699" spans="1:39" ht="12.75" customHeight="1">
      <c r="A699" s="22">
        <v>697</v>
      </c>
      <c r="B699" s="24" t="s">
        <v>2078</v>
      </c>
      <c r="C699" s="24" t="s">
        <v>180</v>
      </c>
      <c r="D699" s="24" t="s">
        <v>2073</v>
      </c>
      <c r="E699" s="24" t="s">
        <v>2057</v>
      </c>
      <c r="F699" s="24">
        <v>1</v>
      </c>
      <c r="G699" s="24" t="s">
        <v>1767</v>
      </c>
      <c r="H699" s="24"/>
      <c r="I699" s="24"/>
      <c r="J699" s="283"/>
      <c r="K699" s="196"/>
      <c r="L699" s="196"/>
      <c r="M699" s="196"/>
      <c r="N699" s="196"/>
      <c r="O699" s="196" t="s">
        <v>2078</v>
      </c>
      <c r="P699" s="196"/>
      <c r="Q699" s="196"/>
      <c r="R699" s="24"/>
      <c r="S699" s="283"/>
      <c r="T699" s="196"/>
      <c r="U699" s="283"/>
      <c r="V699" s="283"/>
      <c r="W699" s="196"/>
      <c r="X699" s="24"/>
      <c r="Y699" s="283"/>
      <c r="Z699" s="24"/>
      <c r="AA699" s="24"/>
      <c r="AB699" s="24"/>
      <c r="AC699" s="24"/>
      <c r="AD699" s="283"/>
      <c r="AE699" s="283"/>
      <c r="AF699" s="283"/>
      <c r="AG699" s="283"/>
      <c r="AH699" s="205" t="s">
        <v>115</v>
      </c>
      <c r="AI699" s="205" t="s">
        <v>2079</v>
      </c>
      <c r="AJ699" s="205" t="s">
        <v>2080</v>
      </c>
      <c r="AK699" s="24"/>
      <c r="AL699" s="24"/>
      <c r="AM699" s="24"/>
    </row>
    <row r="700" spans="1:39" ht="12.75" customHeight="1">
      <c r="A700" s="22">
        <v>698</v>
      </c>
      <c r="B700" s="24" t="s">
        <v>2081</v>
      </c>
      <c r="C700" s="24" t="s">
        <v>180</v>
      </c>
      <c r="D700" s="24" t="s">
        <v>2073</v>
      </c>
      <c r="E700" s="24" t="s">
        <v>2057</v>
      </c>
      <c r="F700" s="24">
        <v>1</v>
      </c>
      <c r="G700" s="24" t="s">
        <v>1767</v>
      </c>
      <c r="H700" s="24"/>
      <c r="I700" s="24"/>
      <c r="J700" s="283"/>
      <c r="K700" s="196"/>
      <c r="L700" s="196"/>
      <c r="M700" s="196"/>
      <c r="N700" s="196"/>
      <c r="O700" s="196" t="s">
        <v>2081</v>
      </c>
      <c r="P700" s="196"/>
      <c r="Q700" s="196"/>
      <c r="R700" s="24"/>
      <c r="S700" s="283"/>
      <c r="T700" s="196"/>
      <c r="U700" s="283"/>
      <c r="V700" s="283"/>
      <c r="W700" s="196"/>
      <c r="X700" s="24"/>
      <c r="Y700" s="283"/>
      <c r="Z700" s="24"/>
      <c r="AA700" s="24"/>
      <c r="AB700" s="24"/>
      <c r="AC700" s="24"/>
      <c r="AD700" s="283"/>
      <c r="AE700" s="283"/>
      <c r="AF700" s="283"/>
      <c r="AG700" s="283"/>
      <c r="AH700" s="205" t="s">
        <v>115</v>
      </c>
      <c r="AI700" s="205" t="s">
        <v>2082</v>
      </c>
      <c r="AJ700" s="205" t="s">
        <v>2083</v>
      </c>
      <c r="AK700" s="24"/>
      <c r="AL700" s="24"/>
      <c r="AM700" s="24"/>
    </row>
    <row r="701" spans="1:39" ht="12.75" customHeight="1">
      <c r="A701" s="22">
        <v>699</v>
      </c>
      <c r="B701" s="24" t="s">
        <v>2084</v>
      </c>
      <c r="C701" s="24" t="s">
        <v>180</v>
      </c>
      <c r="D701" s="24" t="s">
        <v>2073</v>
      </c>
      <c r="E701" s="24" t="s">
        <v>2057</v>
      </c>
      <c r="F701" s="24">
        <v>1</v>
      </c>
      <c r="G701" s="24" t="s">
        <v>1767</v>
      </c>
      <c r="H701" s="24"/>
      <c r="I701" s="24"/>
      <c r="J701" s="283"/>
      <c r="K701" s="196"/>
      <c r="L701" s="196"/>
      <c r="M701" s="196"/>
      <c r="N701" s="196"/>
      <c r="O701" s="196" t="s">
        <v>2084</v>
      </c>
      <c r="P701" s="196"/>
      <c r="Q701" s="196"/>
      <c r="R701" s="24"/>
      <c r="S701" s="283"/>
      <c r="T701" s="196"/>
      <c r="U701" s="283"/>
      <c r="V701" s="283"/>
      <c r="W701" s="196"/>
      <c r="X701" s="24"/>
      <c r="Y701" s="283"/>
      <c r="Z701" s="24"/>
      <c r="AA701" s="24"/>
      <c r="AB701" s="24"/>
      <c r="AC701" s="24"/>
      <c r="AD701" s="283"/>
      <c r="AE701" s="283"/>
      <c r="AF701" s="283"/>
      <c r="AG701" s="283"/>
      <c r="AH701" s="205" t="s">
        <v>115</v>
      </c>
      <c r="AI701" s="205" t="s">
        <v>2085</v>
      </c>
      <c r="AJ701" s="205" t="s">
        <v>2086</v>
      </c>
      <c r="AK701" s="24"/>
      <c r="AL701" s="24"/>
      <c r="AM701" s="24"/>
    </row>
    <row r="702" spans="1:39" ht="12.75" customHeight="1">
      <c r="A702" s="22">
        <v>700</v>
      </c>
      <c r="B702" s="24" t="s">
        <v>2087</v>
      </c>
      <c r="C702" s="24" t="s">
        <v>96</v>
      </c>
      <c r="D702" s="24" t="s">
        <v>1787</v>
      </c>
      <c r="E702" s="24" t="s">
        <v>2057</v>
      </c>
      <c r="F702" s="24">
        <v>1</v>
      </c>
      <c r="G702" s="24" t="s">
        <v>1767</v>
      </c>
      <c r="H702" s="24"/>
      <c r="I702" s="24"/>
      <c r="J702" s="283"/>
      <c r="K702" s="224" t="s">
        <v>2087</v>
      </c>
      <c r="L702" s="224" t="s">
        <v>2088</v>
      </c>
      <c r="M702" s="224" t="s">
        <v>2089</v>
      </c>
      <c r="N702" s="224" t="s">
        <v>202</v>
      </c>
      <c r="O702" s="224"/>
      <c r="P702" s="164"/>
      <c r="Q702" s="164"/>
      <c r="R702" s="24"/>
      <c r="S702" s="283"/>
      <c r="T702" s="224" t="s">
        <v>113</v>
      </c>
      <c r="U702" s="283"/>
      <c r="V702" s="283"/>
      <c r="W702" s="164" t="s">
        <v>115</v>
      </c>
      <c r="X702" s="24"/>
      <c r="Y702" s="283"/>
      <c r="Z702" s="24"/>
      <c r="AA702" s="24"/>
      <c r="AB702" s="24"/>
      <c r="AC702" s="24"/>
      <c r="AD702" s="283"/>
      <c r="AE702" s="283"/>
      <c r="AF702" s="283"/>
      <c r="AG702" s="283"/>
      <c r="AH702" s="205" t="s">
        <v>115</v>
      </c>
      <c r="AI702" s="205" t="s">
        <v>2079</v>
      </c>
      <c r="AJ702" s="205" t="s">
        <v>2080</v>
      </c>
      <c r="AK702" s="24"/>
      <c r="AL702" s="24"/>
      <c r="AM702" s="24"/>
    </row>
    <row r="703" spans="1:39" ht="12.75" customHeight="1">
      <c r="A703" s="22">
        <v>701</v>
      </c>
      <c r="B703" s="24" t="s">
        <v>1122</v>
      </c>
      <c r="C703" s="24" t="s">
        <v>180</v>
      </c>
      <c r="D703" s="24" t="s">
        <v>2087</v>
      </c>
      <c r="E703" s="24" t="s">
        <v>2057</v>
      </c>
      <c r="F703" s="24">
        <v>1</v>
      </c>
      <c r="G703" s="24" t="s">
        <v>1767</v>
      </c>
      <c r="H703" s="24"/>
      <c r="I703" s="24"/>
      <c r="J703" s="283"/>
      <c r="K703" s="224"/>
      <c r="L703" s="224"/>
      <c r="M703" s="224"/>
      <c r="N703" s="224"/>
      <c r="O703" s="224" t="s">
        <v>1122</v>
      </c>
      <c r="P703" s="164"/>
      <c r="Q703" s="164"/>
      <c r="R703" s="24"/>
      <c r="S703" s="283"/>
      <c r="T703" s="224"/>
      <c r="U703" s="283"/>
      <c r="V703" s="283"/>
      <c r="W703" s="164"/>
      <c r="X703" s="24"/>
      <c r="Y703" s="283"/>
      <c r="Z703" s="24"/>
      <c r="AA703" s="24"/>
      <c r="AB703" s="24"/>
      <c r="AC703" s="24"/>
      <c r="AD703" s="283"/>
      <c r="AE703" s="283"/>
      <c r="AF703" s="283"/>
      <c r="AG703" s="283"/>
      <c r="AH703" s="205" t="s">
        <v>115</v>
      </c>
      <c r="AI703" s="285" t="s">
        <v>1897</v>
      </c>
      <c r="AJ703" s="285" t="s">
        <v>1125</v>
      </c>
      <c r="AK703" s="24"/>
      <c r="AL703" s="24"/>
      <c r="AM703" s="24"/>
    </row>
    <row r="704" spans="1:39" ht="12.75" customHeight="1">
      <c r="A704" s="22">
        <v>702</v>
      </c>
      <c r="B704" s="24" t="s">
        <v>1126</v>
      </c>
      <c r="C704" s="24" t="s">
        <v>180</v>
      </c>
      <c r="D704" s="24" t="s">
        <v>2087</v>
      </c>
      <c r="E704" s="24" t="s">
        <v>2057</v>
      </c>
      <c r="F704" s="24">
        <v>1</v>
      </c>
      <c r="G704" s="24" t="s">
        <v>1767</v>
      </c>
      <c r="H704" s="24"/>
      <c r="I704" s="24"/>
      <c r="J704" s="283"/>
      <c r="K704" s="224"/>
      <c r="L704" s="224"/>
      <c r="M704" s="224"/>
      <c r="N704" s="224"/>
      <c r="O704" s="224" t="s">
        <v>1126</v>
      </c>
      <c r="P704" s="164"/>
      <c r="Q704" s="164"/>
      <c r="R704" s="24"/>
      <c r="S704" s="283"/>
      <c r="T704" s="224"/>
      <c r="U704" s="283"/>
      <c r="V704" s="283"/>
      <c r="W704" s="164"/>
      <c r="X704" s="24"/>
      <c r="Y704" s="283"/>
      <c r="Z704" s="24"/>
      <c r="AA704" s="24"/>
      <c r="AB704" s="24"/>
      <c r="AC704" s="24"/>
      <c r="AD704" s="283"/>
      <c r="AE704" s="283"/>
      <c r="AF704" s="283"/>
      <c r="AG704" s="283"/>
      <c r="AH704" s="205" t="s">
        <v>115</v>
      </c>
      <c r="AI704" s="285" t="s">
        <v>1128</v>
      </c>
      <c r="AJ704" s="285" t="s">
        <v>1129</v>
      </c>
      <c r="AK704" s="24"/>
      <c r="AL704" s="24"/>
      <c r="AM704" s="24"/>
    </row>
    <row r="705" spans="1:39" ht="12.75" customHeight="1">
      <c r="A705" s="22">
        <v>703</v>
      </c>
      <c r="B705" s="24" t="s">
        <v>2090</v>
      </c>
      <c r="C705" s="24" t="s">
        <v>96</v>
      </c>
      <c r="D705" s="24" t="s">
        <v>1787</v>
      </c>
      <c r="E705" s="24" t="s">
        <v>2057</v>
      </c>
      <c r="F705" s="24">
        <v>1</v>
      </c>
      <c r="G705" s="24" t="s">
        <v>1767</v>
      </c>
      <c r="H705" s="24"/>
      <c r="I705" s="24"/>
      <c r="J705" s="164"/>
      <c r="K705" s="224" t="s">
        <v>2090</v>
      </c>
      <c r="L705" s="224" t="s">
        <v>2091</v>
      </c>
      <c r="M705" s="224" t="s">
        <v>2092</v>
      </c>
      <c r="N705" s="224" t="s">
        <v>202</v>
      </c>
      <c r="O705" s="224"/>
      <c r="P705" s="164"/>
      <c r="Q705" s="164"/>
      <c r="R705" s="24"/>
      <c r="S705" s="164"/>
      <c r="T705" s="224" t="s">
        <v>113</v>
      </c>
      <c r="U705" s="164"/>
      <c r="V705" s="164"/>
      <c r="W705" s="164" t="s">
        <v>115</v>
      </c>
      <c r="X705" s="24"/>
      <c r="Y705" s="164"/>
      <c r="Z705" s="24"/>
      <c r="AA705" s="24"/>
      <c r="AB705" s="24"/>
      <c r="AC705" s="24"/>
      <c r="AD705" s="164"/>
      <c r="AE705" s="164"/>
      <c r="AF705" s="164"/>
      <c r="AG705" s="164"/>
      <c r="AH705" s="205" t="s">
        <v>2060</v>
      </c>
      <c r="AI705" s="205" t="s">
        <v>2082</v>
      </c>
      <c r="AJ705" s="205" t="s">
        <v>2083</v>
      </c>
      <c r="AK705" s="24"/>
      <c r="AL705" s="24"/>
      <c r="AM705" s="24"/>
    </row>
    <row r="706" spans="1:39" ht="12.75" customHeight="1">
      <c r="A706" s="22">
        <v>704</v>
      </c>
      <c r="B706" s="24" t="s">
        <v>1122</v>
      </c>
      <c r="C706" s="24" t="s">
        <v>180</v>
      </c>
      <c r="D706" s="24" t="s">
        <v>2090</v>
      </c>
      <c r="E706" s="24" t="s">
        <v>2057</v>
      </c>
      <c r="F706" s="24">
        <v>1</v>
      </c>
      <c r="G706" s="24" t="s">
        <v>1767</v>
      </c>
      <c r="H706" s="24"/>
      <c r="I706" s="24"/>
      <c r="J706" s="283"/>
      <c r="K706" s="224"/>
      <c r="L706" s="224"/>
      <c r="M706" s="224"/>
      <c r="N706" s="224"/>
      <c r="O706" s="224" t="s">
        <v>1122</v>
      </c>
      <c r="P706" s="164"/>
      <c r="Q706" s="164"/>
      <c r="R706" s="24"/>
      <c r="S706" s="283"/>
      <c r="T706" s="224"/>
      <c r="U706" s="283"/>
      <c r="V706" s="283"/>
      <c r="W706" s="164"/>
      <c r="X706" s="24"/>
      <c r="Y706" s="283"/>
      <c r="Z706" s="24"/>
      <c r="AA706" s="24"/>
      <c r="AB706" s="24"/>
      <c r="AC706" s="24"/>
      <c r="AD706" s="283"/>
      <c r="AE706" s="283"/>
      <c r="AF706" s="283"/>
      <c r="AG706" s="283"/>
      <c r="AH706" s="205" t="s">
        <v>115</v>
      </c>
      <c r="AI706" s="285" t="s">
        <v>1897</v>
      </c>
      <c r="AJ706" s="285" t="s">
        <v>1125</v>
      </c>
      <c r="AK706" s="24"/>
      <c r="AL706" s="24"/>
      <c r="AM706" s="24"/>
    </row>
    <row r="707" spans="1:39" ht="12.75" customHeight="1">
      <c r="A707" s="22">
        <v>705</v>
      </c>
      <c r="B707" s="24" t="s">
        <v>1126</v>
      </c>
      <c r="C707" s="24" t="s">
        <v>180</v>
      </c>
      <c r="D707" s="24" t="s">
        <v>2090</v>
      </c>
      <c r="E707" s="24" t="s">
        <v>2057</v>
      </c>
      <c r="F707" s="24">
        <v>1</v>
      </c>
      <c r="G707" s="24" t="s">
        <v>1767</v>
      </c>
      <c r="H707" s="24"/>
      <c r="I707" s="24"/>
      <c r="J707" s="283"/>
      <c r="K707" s="224"/>
      <c r="L707" s="224"/>
      <c r="M707" s="224"/>
      <c r="N707" s="224"/>
      <c r="O707" s="224" t="s">
        <v>1126</v>
      </c>
      <c r="P707" s="164"/>
      <c r="Q707" s="164"/>
      <c r="R707" s="24"/>
      <c r="S707" s="283"/>
      <c r="T707" s="224"/>
      <c r="U707" s="283"/>
      <c r="V707" s="283"/>
      <c r="W707" s="164"/>
      <c r="X707" s="24"/>
      <c r="Y707" s="283"/>
      <c r="Z707" s="24"/>
      <c r="AA707" s="24"/>
      <c r="AB707" s="24"/>
      <c r="AC707" s="24"/>
      <c r="AD707" s="283"/>
      <c r="AE707" s="283"/>
      <c r="AF707" s="283"/>
      <c r="AG707" s="283"/>
      <c r="AH707" s="205" t="s">
        <v>115</v>
      </c>
      <c r="AI707" s="285" t="s">
        <v>1128</v>
      </c>
      <c r="AJ707" s="285" t="s">
        <v>1129</v>
      </c>
      <c r="AK707" s="24"/>
      <c r="AL707" s="24"/>
      <c r="AM707" s="24"/>
    </row>
    <row r="708" spans="1:39" ht="12.75" customHeight="1">
      <c r="A708" s="22">
        <v>706</v>
      </c>
      <c r="B708" s="24" t="s">
        <v>2093</v>
      </c>
      <c r="C708" s="24" t="s">
        <v>96</v>
      </c>
      <c r="D708" s="24" t="s">
        <v>1787</v>
      </c>
      <c r="E708" s="24" t="s">
        <v>2057</v>
      </c>
      <c r="F708" s="24">
        <v>1</v>
      </c>
      <c r="G708" s="24" t="s">
        <v>1767</v>
      </c>
      <c r="H708" s="24"/>
      <c r="I708" s="24"/>
      <c r="J708" s="283"/>
      <c r="K708" s="224" t="s">
        <v>2093</v>
      </c>
      <c r="L708" s="224" t="s">
        <v>2094</v>
      </c>
      <c r="M708" s="224" t="s">
        <v>2095</v>
      </c>
      <c r="N708" s="224" t="s">
        <v>202</v>
      </c>
      <c r="O708" s="224"/>
      <c r="P708" s="164"/>
      <c r="Q708" s="164"/>
      <c r="R708" s="24"/>
      <c r="S708" s="283"/>
      <c r="T708" s="224" t="s">
        <v>113</v>
      </c>
      <c r="U708" s="283"/>
      <c r="V708" s="283"/>
      <c r="W708" s="164" t="s">
        <v>115</v>
      </c>
      <c r="X708" s="24"/>
      <c r="Y708" s="283"/>
      <c r="Z708" s="24"/>
      <c r="AA708" s="24"/>
      <c r="AB708" s="24"/>
      <c r="AC708" s="24"/>
      <c r="AD708" s="283"/>
      <c r="AE708" s="283"/>
      <c r="AF708" s="283"/>
      <c r="AG708" s="283"/>
      <c r="AH708" s="285" t="s">
        <v>115</v>
      </c>
      <c r="AI708" s="205" t="s">
        <v>2085</v>
      </c>
      <c r="AJ708" s="285" t="s">
        <v>2086</v>
      </c>
      <c r="AK708" s="24"/>
      <c r="AL708" s="24"/>
      <c r="AM708" s="24"/>
    </row>
    <row r="709" spans="1:39" ht="12.75" customHeight="1">
      <c r="A709" s="22">
        <v>707</v>
      </c>
      <c r="B709" s="24" t="s">
        <v>1122</v>
      </c>
      <c r="C709" s="24" t="s">
        <v>180</v>
      </c>
      <c r="D709" s="24" t="s">
        <v>2093</v>
      </c>
      <c r="E709" s="24" t="s">
        <v>2057</v>
      </c>
      <c r="F709" s="24">
        <v>1</v>
      </c>
      <c r="G709" s="24" t="s">
        <v>1767</v>
      </c>
      <c r="H709" s="24"/>
      <c r="I709" s="24"/>
      <c r="J709" s="283"/>
      <c r="K709" s="224"/>
      <c r="L709" s="224"/>
      <c r="M709" s="224"/>
      <c r="N709" s="224"/>
      <c r="O709" s="224" t="s">
        <v>1122</v>
      </c>
      <c r="P709" s="164"/>
      <c r="Q709" s="164"/>
      <c r="R709" s="24"/>
      <c r="S709" s="283"/>
      <c r="T709" s="224"/>
      <c r="U709" s="283"/>
      <c r="V709" s="283"/>
      <c r="W709" s="164"/>
      <c r="X709" s="24"/>
      <c r="Y709" s="283"/>
      <c r="Z709" s="24"/>
      <c r="AA709" s="24"/>
      <c r="AB709" s="24"/>
      <c r="AC709" s="24"/>
      <c r="AD709" s="283"/>
      <c r="AE709" s="283"/>
      <c r="AF709" s="283"/>
      <c r="AG709" s="283"/>
      <c r="AH709" s="205" t="s">
        <v>115</v>
      </c>
      <c r="AI709" s="285" t="s">
        <v>1897</v>
      </c>
      <c r="AJ709" s="285" t="s">
        <v>1125</v>
      </c>
      <c r="AK709" s="24"/>
      <c r="AL709" s="24"/>
      <c r="AM709" s="24"/>
    </row>
    <row r="710" spans="1:39" ht="12.75" customHeight="1">
      <c r="A710" s="22">
        <v>708</v>
      </c>
      <c r="B710" s="24" t="s">
        <v>1126</v>
      </c>
      <c r="C710" s="24" t="s">
        <v>180</v>
      </c>
      <c r="D710" s="24" t="s">
        <v>2093</v>
      </c>
      <c r="E710" s="24" t="s">
        <v>2057</v>
      </c>
      <c r="F710" s="24">
        <v>1</v>
      </c>
      <c r="G710" s="24" t="s">
        <v>1767</v>
      </c>
      <c r="H710" s="24"/>
      <c r="I710" s="24"/>
      <c r="J710" s="283"/>
      <c r="K710" s="224"/>
      <c r="L710" s="224"/>
      <c r="M710" s="224"/>
      <c r="N710" s="224"/>
      <c r="O710" s="224" t="s">
        <v>1126</v>
      </c>
      <c r="P710" s="164"/>
      <c r="Q710" s="164"/>
      <c r="R710" s="24"/>
      <c r="S710" s="283"/>
      <c r="T710" s="224"/>
      <c r="U710" s="283"/>
      <c r="V710" s="283"/>
      <c r="W710" s="164"/>
      <c r="X710" s="24"/>
      <c r="Y710" s="283"/>
      <c r="Z710" s="24"/>
      <c r="AA710" s="24"/>
      <c r="AB710" s="24"/>
      <c r="AC710" s="24"/>
      <c r="AD710" s="283"/>
      <c r="AE710" s="283"/>
      <c r="AF710" s="283"/>
      <c r="AG710" s="283"/>
      <c r="AH710" s="205" t="s">
        <v>115</v>
      </c>
      <c r="AI710" s="285" t="s">
        <v>1128</v>
      </c>
      <c r="AJ710" s="285" t="s">
        <v>1129</v>
      </c>
      <c r="AK710" s="24"/>
      <c r="AL710" s="24"/>
      <c r="AM710" s="24"/>
    </row>
    <row r="711" spans="1:39" ht="12.75" customHeight="1">
      <c r="A711" s="22">
        <v>709</v>
      </c>
      <c r="B711" s="24" t="s">
        <v>2096</v>
      </c>
      <c r="C711" s="24" t="s">
        <v>65</v>
      </c>
      <c r="D711" s="24" t="s">
        <v>1787</v>
      </c>
      <c r="E711" s="24" t="s">
        <v>2057</v>
      </c>
      <c r="F711" s="24">
        <v>1</v>
      </c>
      <c r="G711" s="24" t="s">
        <v>1767</v>
      </c>
      <c r="H711" s="24"/>
      <c r="I711" s="24"/>
      <c r="J711" s="283"/>
      <c r="K711" s="297" t="s">
        <v>2097</v>
      </c>
      <c r="L711" s="297" t="s">
        <v>2096</v>
      </c>
      <c r="M711" s="297" t="s">
        <v>2098</v>
      </c>
      <c r="N711" s="297" t="s">
        <v>65</v>
      </c>
      <c r="O711" s="225"/>
      <c r="P711" s="297" t="s">
        <v>2099</v>
      </c>
      <c r="Q711" s="225"/>
      <c r="R711" s="24"/>
      <c r="S711" s="283"/>
      <c r="T711" s="297" t="s">
        <v>115</v>
      </c>
      <c r="U711" s="283"/>
      <c r="V711" s="283"/>
      <c r="W711" s="297" t="s">
        <v>115</v>
      </c>
      <c r="X711" s="24"/>
      <c r="Y711" s="283"/>
      <c r="Z711" s="24"/>
      <c r="AA711" s="24"/>
      <c r="AB711" s="24"/>
      <c r="AC711" s="24"/>
      <c r="AD711" s="283"/>
      <c r="AE711" s="283"/>
      <c r="AF711" s="283"/>
      <c r="AG711" s="283"/>
      <c r="AH711" s="205" t="s">
        <v>115</v>
      </c>
      <c r="AI711" s="205" t="s">
        <v>2100</v>
      </c>
      <c r="AJ711" s="285" t="s">
        <v>2101</v>
      </c>
      <c r="AK711" s="24"/>
      <c r="AL711" s="24"/>
      <c r="AM711" s="24"/>
    </row>
    <row r="712" spans="1:39" ht="12.75" customHeight="1">
      <c r="A712" s="22">
        <v>710</v>
      </c>
      <c r="B712" s="24" t="s">
        <v>2102</v>
      </c>
      <c r="C712" s="24" t="s">
        <v>96</v>
      </c>
      <c r="D712" s="24" t="s">
        <v>1787</v>
      </c>
      <c r="E712" s="24" t="s">
        <v>2103</v>
      </c>
      <c r="F712" s="24">
        <v>1</v>
      </c>
      <c r="G712" s="24" t="s">
        <v>1767</v>
      </c>
      <c r="H712" s="24"/>
      <c r="I712" s="24"/>
      <c r="J712" s="283"/>
      <c r="K712" s="224" t="s">
        <v>2102</v>
      </c>
      <c r="L712" s="224" t="s">
        <v>2104</v>
      </c>
      <c r="M712" s="224" t="s">
        <v>2105</v>
      </c>
      <c r="N712" s="224" t="s">
        <v>202</v>
      </c>
      <c r="O712" s="224"/>
      <c r="P712" s="164"/>
      <c r="Q712" s="164"/>
      <c r="R712" s="24"/>
      <c r="S712" s="283"/>
      <c r="T712" s="224" t="s">
        <v>113</v>
      </c>
      <c r="U712" s="283"/>
      <c r="V712" s="283"/>
      <c r="W712" s="164" t="s">
        <v>2106</v>
      </c>
      <c r="X712" s="24"/>
      <c r="Y712" s="283"/>
      <c r="Z712" s="24"/>
      <c r="AA712" s="24"/>
      <c r="AB712" s="24"/>
      <c r="AC712" s="24"/>
      <c r="AD712" s="283"/>
      <c r="AE712" s="283"/>
      <c r="AF712" s="283"/>
      <c r="AG712" s="283"/>
      <c r="AH712" s="285" t="s">
        <v>2107</v>
      </c>
      <c r="AI712" s="205" t="s">
        <v>1773</v>
      </c>
      <c r="AJ712" s="285" t="s">
        <v>1774</v>
      </c>
      <c r="AK712" s="24"/>
      <c r="AL712" s="24"/>
      <c r="AM712" s="24"/>
    </row>
    <row r="713" spans="1:39" ht="12.75" customHeight="1">
      <c r="A713" s="22">
        <v>711</v>
      </c>
      <c r="B713" s="24" t="s">
        <v>1775</v>
      </c>
      <c r="C713" s="24" t="s">
        <v>180</v>
      </c>
      <c r="D713" s="24" t="s">
        <v>2102</v>
      </c>
      <c r="E713" s="24" t="s">
        <v>2103</v>
      </c>
      <c r="F713" s="24">
        <v>1</v>
      </c>
      <c r="G713" s="24" t="s">
        <v>1767</v>
      </c>
      <c r="H713" s="24"/>
      <c r="I713" s="24"/>
      <c r="J713" s="283"/>
      <c r="K713" s="224"/>
      <c r="L713" s="224"/>
      <c r="M713" s="224"/>
      <c r="N713" s="224"/>
      <c r="O713" s="224" t="s">
        <v>1775</v>
      </c>
      <c r="P713" s="224"/>
      <c r="Q713" s="224"/>
      <c r="R713" s="24"/>
      <c r="S713" s="283"/>
      <c r="T713" s="224"/>
      <c r="U713" s="283"/>
      <c r="V713" s="283"/>
      <c r="W713" s="164"/>
      <c r="X713" s="24"/>
      <c r="Y713" s="283"/>
      <c r="Z713" s="24"/>
      <c r="AA713" s="24"/>
      <c r="AB713" s="24"/>
      <c r="AC713" s="24"/>
      <c r="AD713" s="283"/>
      <c r="AE713" s="283"/>
      <c r="AF713" s="283"/>
      <c r="AG713" s="283"/>
      <c r="AH713" s="285" t="s">
        <v>115</v>
      </c>
      <c r="AI713" s="285" t="s">
        <v>1777</v>
      </c>
      <c r="AJ713" s="285" t="s">
        <v>1778</v>
      </c>
      <c r="AK713" s="24"/>
      <c r="AL713" s="24"/>
      <c r="AM713" s="24"/>
    </row>
    <row r="714" spans="1:39" ht="12.75" customHeight="1">
      <c r="A714" s="22">
        <v>712</v>
      </c>
      <c r="B714" s="24" t="s">
        <v>1779</v>
      </c>
      <c r="C714" s="24" t="s">
        <v>180</v>
      </c>
      <c r="D714" s="24" t="s">
        <v>2102</v>
      </c>
      <c r="E714" s="24" t="s">
        <v>2103</v>
      </c>
      <c r="F714" s="24">
        <v>1</v>
      </c>
      <c r="G714" s="24" t="s">
        <v>1767</v>
      </c>
      <c r="H714" s="24"/>
      <c r="I714" s="24"/>
      <c r="J714" s="283"/>
      <c r="K714" s="224"/>
      <c r="L714" s="224"/>
      <c r="M714" s="224"/>
      <c r="N714" s="224"/>
      <c r="O714" s="204" t="s">
        <v>1779</v>
      </c>
      <c r="P714" s="224"/>
      <c r="Q714" s="224"/>
      <c r="R714" s="24"/>
      <c r="S714" s="283"/>
      <c r="T714" s="224"/>
      <c r="U714" s="283"/>
      <c r="V714" s="283"/>
      <c r="W714" s="164"/>
      <c r="X714" s="24"/>
      <c r="Y714" s="283"/>
      <c r="Z714" s="24"/>
      <c r="AA714" s="24"/>
      <c r="AB714" s="24"/>
      <c r="AC714" s="24"/>
      <c r="AD714" s="283"/>
      <c r="AE714" s="283"/>
      <c r="AF714" s="283"/>
      <c r="AG714" s="283"/>
      <c r="AH714" s="285" t="s">
        <v>115</v>
      </c>
      <c r="AI714" s="285" t="s">
        <v>1781</v>
      </c>
      <c r="AJ714" s="285" t="s">
        <v>1782</v>
      </c>
      <c r="AK714" s="24"/>
      <c r="AL714" s="24"/>
      <c r="AM714" s="24"/>
    </row>
    <row r="715" spans="1:39" ht="12.75" customHeight="1">
      <c r="A715" s="22">
        <v>713</v>
      </c>
      <c r="B715" s="24" t="s">
        <v>1783</v>
      </c>
      <c r="C715" s="24" t="s">
        <v>180</v>
      </c>
      <c r="D715" s="24" t="s">
        <v>2102</v>
      </c>
      <c r="E715" s="24" t="s">
        <v>2103</v>
      </c>
      <c r="F715" s="24">
        <v>1</v>
      </c>
      <c r="G715" s="24" t="s">
        <v>1767</v>
      </c>
      <c r="H715" s="24"/>
      <c r="I715" s="24"/>
      <c r="J715" s="283"/>
      <c r="K715" s="224"/>
      <c r="L715" s="224"/>
      <c r="M715" s="224"/>
      <c r="N715" s="224"/>
      <c r="O715" s="204" t="s">
        <v>1783</v>
      </c>
      <c r="P715" s="224"/>
      <c r="Q715" s="224"/>
      <c r="R715" s="24"/>
      <c r="S715" s="283"/>
      <c r="T715" s="224"/>
      <c r="U715" s="283"/>
      <c r="V715" s="283"/>
      <c r="W715" s="164"/>
      <c r="X715" s="24"/>
      <c r="Y715" s="283"/>
      <c r="Z715" s="24"/>
      <c r="AA715" s="24"/>
      <c r="AB715" s="24"/>
      <c r="AC715" s="24"/>
      <c r="AD715" s="283"/>
      <c r="AE715" s="283"/>
      <c r="AF715" s="283"/>
      <c r="AG715" s="283"/>
      <c r="AH715" s="285" t="s">
        <v>115</v>
      </c>
      <c r="AI715" s="285" t="s">
        <v>1784</v>
      </c>
      <c r="AJ715" s="205" t="s">
        <v>1785</v>
      </c>
      <c r="AK715" s="24"/>
      <c r="AL715" s="24"/>
      <c r="AM715" s="24"/>
    </row>
    <row r="716" spans="1:39" ht="12.75" customHeight="1">
      <c r="A716" s="22">
        <v>714</v>
      </c>
      <c r="B716" s="24" t="s">
        <v>1468</v>
      </c>
      <c r="C716" s="24" t="s">
        <v>180</v>
      </c>
      <c r="D716" s="24" t="s">
        <v>2102</v>
      </c>
      <c r="E716" s="24" t="s">
        <v>2103</v>
      </c>
      <c r="F716" s="24">
        <v>1</v>
      </c>
      <c r="G716" s="24" t="s">
        <v>1767</v>
      </c>
      <c r="H716" s="24"/>
      <c r="I716" s="24"/>
      <c r="J716" s="283"/>
      <c r="K716" s="224"/>
      <c r="L716" s="224"/>
      <c r="M716" s="224"/>
      <c r="N716" s="224"/>
      <c r="O716" s="204" t="s">
        <v>1468</v>
      </c>
      <c r="P716" s="224"/>
      <c r="Q716" s="224"/>
      <c r="R716" s="24"/>
      <c r="S716" s="283"/>
      <c r="T716" s="224"/>
      <c r="U716" s="283"/>
      <c r="V716" s="283"/>
      <c r="W716" s="164"/>
      <c r="X716" s="24"/>
      <c r="Y716" s="283"/>
      <c r="Z716" s="24"/>
      <c r="AA716" s="24"/>
      <c r="AB716" s="24"/>
      <c r="AC716" s="24"/>
      <c r="AD716" s="283"/>
      <c r="AE716" s="283"/>
      <c r="AF716" s="283"/>
      <c r="AG716" s="283"/>
      <c r="AH716" s="285" t="s">
        <v>115</v>
      </c>
      <c r="AI716" s="285" t="s">
        <v>1469</v>
      </c>
      <c r="AJ716" s="205" t="s">
        <v>1470</v>
      </c>
      <c r="AK716" s="24"/>
      <c r="AL716" s="24"/>
      <c r="AM716" s="24"/>
    </row>
    <row r="717" spans="1:39" ht="12.75" customHeight="1">
      <c r="A717" s="22">
        <v>715</v>
      </c>
      <c r="B717" s="24" t="s">
        <v>2108</v>
      </c>
      <c r="C717" s="24" t="s">
        <v>96</v>
      </c>
      <c r="D717" s="24" t="s">
        <v>1787</v>
      </c>
      <c r="E717" s="24" t="s">
        <v>2103</v>
      </c>
      <c r="F717" s="24">
        <v>1</v>
      </c>
      <c r="G717" s="24" t="s">
        <v>1767</v>
      </c>
      <c r="H717" s="24"/>
      <c r="I717" s="24"/>
      <c r="J717" s="283"/>
      <c r="K717" s="224" t="s">
        <v>1376</v>
      </c>
      <c r="L717" s="224" t="s">
        <v>2109</v>
      </c>
      <c r="M717" s="224" t="s">
        <v>2110</v>
      </c>
      <c r="N717" s="224" t="s">
        <v>238</v>
      </c>
      <c r="O717" s="224"/>
      <c r="P717" s="224"/>
      <c r="Q717" s="224"/>
      <c r="R717" s="24"/>
      <c r="S717" s="283"/>
      <c r="T717" s="224" t="s">
        <v>113</v>
      </c>
      <c r="U717" s="283"/>
      <c r="V717" s="283"/>
      <c r="W717" s="164" t="s">
        <v>115</v>
      </c>
      <c r="X717" s="24"/>
      <c r="Y717" s="283"/>
      <c r="Z717" s="24"/>
      <c r="AA717" s="24"/>
      <c r="AB717" s="24"/>
      <c r="AC717" s="24"/>
      <c r="AD717" s="283"/>
      <c r="AE717" s="283"/>
      <c r="AF717" s="283"/>
      <c r="AG717" s="283"/>
      <c r="AH717" s="285" t="s">
        <v>2107</v>
      </c>
      <c r="AI717" s="285" t="s">
        <v>1791</v>
      </c>
      <c r="AJ717" s="285" t="s">
        <v>1792</v>
      </c>
      <c r="AK717" s="24"/>
      <c r="AL717" s="24"/>
      <c r="AM717" s="24"/>
    </row>
    <row r="718" spans="1:39" ht="12.75" customHeight="1">
      <c r="A718" s="22">
        <v>716</v>
      </c>
      <c r="B718" s="24" t="s">
        <v>1909</v>
      </c>
      <c r="C718" s="24" t="s">
        <v>180</v>
      </c>
      <c r="D718" s="24" t="s">
        <v>1376</v>
      </c>
      <c r="E718" s="24" t="s">
        <v>2103</v>
      </c>
      <c r="F718" s="24">
        <v>1</v>
      </c>
      <c r="G718" s="24" t="s">
        <v>1767</v>
      </c>
      <c r="H718" s="24"/>
      <c r="I718" s="24"/>
      <c r="J718" s="283"/>
      <c r="K718" s="224"/>
      <c r="L718" s="224"/>
      <c r="M718" s="224"/>
      <c r="N718" s="224"/>
      <c r="O718" s="204" t="s">
        <v>1909</v>
      </c>
      <c r="P718" s="224"/>
      <c r="Q718" s="224"/>
      <c r="R718" s="24"/>
      <c r="S718" s="283"/>
      <c r="T718" s="224"/>
      <c r="U718" s="283"/>
      <c r="V718" s="283"/>
      <c r="W718" s="164"/>
      <c r="X718" s="24"/>
      <c r="Y718" s="283"/>
      <c r="Z718" s="24"/>
      <c r="AA718" s="24"/>
      <c r="AB718" s="24"/>
      <c r="AC718" s="24"/>
      <c r="AD718" s="283"/>
      <c r="AE718" s="283"/>
      <c r="AF718" s="283"/>
      <c r="AG718" s="283"/>
      <c r="AH718" s="285" t="s">
        <v>115</v>
      </c>
      <c r="AI718" s="205" t="s">
        <v>1910</v>
      </c>
      <c r="AJ718" s="205" t="s">
        <v>1911</v>
      </c>
      <c r="AK718" s="24"/>
      <c r="AL718" s="24"/>
      <c r="AM718" s="24"/>
    </row>
    <row r="719" spans="1:39" ht="12.75" customHeight="1">
      <c r="A719" s="22">
        <v>717</v>
      </c>
      <c r="B719" s="24" t="s">
        <v>1912</v>
      </c>
      <c r="C719" s="24" t="s">
        <v>180</v>
      </c>
      <c r="D719" s="24" t="s">
        <v>1376</v>
      </c>
      <c r="E719" s="24" t="s">
        <v>2103</v>
      </c>
      <c r="F719" s="24">
        <v>1</v>
      </c>
      <c r="G719" s="24" t="s">
        <v>1767</v>
      </c>
      <c r="H719" s="24"/>
      <c r="I719" s="24"/>
      <c r="J719" s="283"/>
      <c r="K719" s="224"/>
      <c r="L719" s="224"/>
      <c r="M719" s="224"/>
      <c r="N719" s="224"/>
      <c r="O719" s="196" t="s">
        <v>1912</v>
      </c>
      <c r="P719" s="224"/>
      <c r="Q719" s="224"/>
      <c r="R719" s="24"/>
      <c r="S719" s="283"/>
      <c r="T719" s="224"/>
      <c r="U719" s="283"/>
      <c r="V719" s="283"/>
      <c r="W719" s="164"/>
      <c r="X719" s="24"/>
      <c r="Y719" s="283"/>
      <c r="Z719" s="24"/>
      <c r="AA719" s="24"/>
      <c r="AB719" s="24"/>
      <c r="AC719" s="24"/>
      <c r="AD719" s="283"/>
      <c r="AE719" s="283"/>
      <c r="AF719" s="283"/>
      <c r="AG719" s="283"/>
      <c r="AH719" s="285" t="s">
        <v>115</v>
      </c>
      <c r="AI719" s="205" t="s">
        <v>1913</v>
      </c>
      <c r="AJ719" s="205" t="s">
        <v>1914</v>
      </c>
      <c r="AK719" s="24"/>
      <c r="AL719" s="24"/>
      <c r="AM719" s="24"/>
    </row>
    <row r="720" spans="1:39" ht="12.75" customHeight="1">
      <c r="A720" s="22">
        <v>718</v>
      </c>
      <c r="B720" s="24" t="s">
        <v>405</v>
      </c>
      <c r="C720" s="24" t="s">
        <v>180</v>
      </c>
      <c r="D720" s="24" t="s">
        <v>1376</v>
      </c>
      <c r="E720" s="24" t="s">
        <v>2103</v>
      </c>
      <c r="F720" s="24">
        <v>1</v>
      </c>
      <c r="G720" s="24" t="s">
        <v>1767</v>
      </c>
      <c r="H720" s="24"/>
      <c r="I720" s="24"/>
      <c r="J720" s="283"/>
      <c r="K720" s="224"/>
      <c r="L720" s="224"/>
      <c r="M720" s="224"/>
      <c r="N720" s="224"/>
      <c r="O720" s="196" t="s">
        <v>405</v>
      </c>
      <c r="P720" s="224"/>
      <c r="Q720" s="224"/>
      <c r="R720" s="24"/>
      <c r="S720" s="283"/>
      <c r="T720" s="224"/>
      <c r="U720" s="283"/>
      <c r="V720" s="283"/>
      <c r="W720" s="164"/>
      <c r="X720" s="24"/>
      <c r="Y720" s="283"/>
      <c r="Z720" s="24"/>
      <c r="AA720" s="24"/>
      <c r="AB720" s="24"/>
      <c r="AC720" s="24"/>
      <c r="AD720" s="283"/>
      <c r="AE720" s="283"/>
      <c r="AF720" s="283"/>
      <c r="AG720" s="283"/>
      <c r="AH720" s="285" t="s">
        <v>115</v>
      </c>
      <c r="AI720" s="285" t="s">
        <v>406</v>
      </c>
      <c r="AJ720" s="285" t="s">
        <v>407</v>
      </c>
      <c r="AK720" s="24"/>
      <c r="AL720" s="24"/>
      <c r="AM720" s="24"/>
    </row>
    <row r="721" spans="1:39" ht="12.75" customHeight="1">
      <c r="A721" s="22">
        <v>719</v>
      </c>
      <c r="B721" s="24" t="s">
        <v>2111</v>
      </c>
      <c r="C721" s="24" t="s">
        <v>96</v>
      </c>
      <c r="D721" s="24" t="s">
        <v>1787</v>
      </c>
      <c r="E721" s="24" t="s">
        <v>2103</v>
      </c>
      <c r="F721" s="24">
        <v>1</v>
      </c>
      <c r="G721" s="24" t="s">
        <v>1767</v>
      </c>
      <c r="H721" s="24"/>
      <c r="I721" s="24"/>
      <c r="J721" s="283"/>
      <c r="K721" s="224" t="s">
        <v>409</v>
      </c>
      <c r="L721" s="224" t="s">
        <v>2112</v>
      </c>
      <c r="M721" s="224" t="s">
        <v>2113</v>
      </c>
      <c r="N721" s="224" t="s">
        <v>111</v>
      </c>
      <c r="O721" s="224"/>
      <c r="P721" s="224"/>
      <c r="Q721" s="224"/>
      <c r="R721" s="24"/>
      <c r="S721" s="283"/>
      <c r="T721" s="224" t="s">
        <v>208</v>
      </c>
      <c r="U721" s="283"/>
      <c r="V721" s="283"/>
      <c r="W721" s="164" t="s">
        <v>115</v>
      </c>
      <c r="X721" s="24"/>
      <c r="Y721" s="283"/>
      <c r="Z721" s="24"/>
      <c r="AA721" s="24"/>
      <c r="AB721" s="24"/>
      <c r="AC721" s="24"/>
      <c r="AD721" s="283"/>
      <c r="AE721" s="283"/>
      <c r="AF721" s="283"/>
      <c r="AG721" s="283"/>
      <c r="AH721" s="285" t="s">
        <v>2107</v>
      </c>
      <c r="AI721" s="205" t="s">
        <v>1800</v>
      </c>
      <c r="AJ721" s="205" t="s">
        <v>1801</v>
      </c>
      <c r="AK721" s="24"/>
      <c r="AL721" s="24"/>
      <c r="AM721" s="24"/>
    </row>
    <row r="722" spans="1:39" ht="12.75" customHeight="1">
      <c r="A722" s="22">
        <v>720</v>
      </c>
      <c r="B722" s="24" t="s">
        <v>2114</v>
      </c>
      <c r="C722" s="24" t="s">
        <v>96</v>
      </c>
      <c r="D722" s="24" t="s">
        <v>1787</v>
      </c>
      <c r="E722" s="24" t="s">
        <v>2103</v>
      </c>
      <c r="F722" s="24">
        <v>1</v>
      </c>
      <c r="G722" s="24" t="s">
        <v>1767</v>
      </c>
      <c r="H722" s="24"/>
      <c r="I722" s="24"/>
      <c r="J722" s="283"/>
      <c r="K722" s="309" t="s">
        <v>2114</v>
      </c>
      <c r="L722" s="309" t="s">
        <v>2115</v>
      </c>
      <c r="M722" s="204" t="s">
        <v>2116</v>
      </c>
      <c r="N722" s="204" t="s">
        <v>140</v>
      </c>
      <c r="O722" s="196"/>
      <c r="P722" s="196"/>
      <c r="Q722" s="196"/>
      <c r="R722" s="24"/>
      <c r="S722" s="283"/>
      <c r="T722" s="309" t="s">
        <v>113</v>
      </c>
      <c r="U722" s="283"/>
      <c r="V722" s="283"/>
      <c r="W722" s="204" t="s">
        <v>115</v>
      </c>
      <c r="X722" s="24"/>
      <c r="Y722" s="283"/>
      <c r="Z722" s="24"/>
      <c r="AA722" s="24"/>
      <c r="AB722" s="24"/>
      <c r="AC722" s="24"/>
      <c r="AD722" s="283"/>
      <c r="AE722" s="283"/>
      <c r="AF722" s="283"/>
      <c r="AG722" s="283"/>
      <c r="AH722" s="205" t="s">
        <v>2107</v>
      </c>
      <c r="AI722" s="205" t="s">
        <v>1804</v>
      </c>
      <c r="AJ722" s="205" t="s">
        <v>1805</v>
      </c>
      <c r="AK722" s="24"/>
      <c r="AL722" s="24"/>
      <c r="AM722" s="24"/>
    </row>
    <row r="723" spans="1:39" ht="12.75" customHeight="1">
      <c r="A723" s="22">
        <v>721</v>
      </c>
      <c r="B723" s="24" t="s">
        <v>2117</v>
      </c>
      <c r="C723" s="24" t="s">
        <v>96</v>
      </c>
      <c r="D723" s="24" t="s">
        <v>1787</v>
      </c>
      <c r="E723" s="24" t="s">
        <v>2103</v>
      </c>
      <c r="F723" s="24">
        <v>1</v>
      </c>
      <c r="G723" s="24" t="s">
        <v>1767</v>
      </c>
      <c r="H723" s="24"/>
      <c r="I723" s="24"/>
      <c r="J723" s="283"/>
      <c r="K723" s="224" t="s">
        <v>2117</v>
      </c>
      <c r="L723" s="224" t="s">
        <v>2119</v>
      </c>
      <c r="M723" s="224" t="s">
        <v>2120</v>
      </c>
      <c r="N723" s="224" t="s">
        <v>238</v>
      </c>
      <c r="O723" s="224"/>
      <c r="P723" s="224"/>
      <c r="Q723" s="224"/>
      <c r="R723" s="24"/>
      <c r="S723" s="283"/>
      <c r="T723" s="224" t="s">
        <v>113</v>
      </c>
      <c r="U723" s="283"/>
      <c r="V723" s="283"/>
      <c r="W723" s="164" t="s">
        <v>115</v>
      </c>
      <c r="X723" s="24"/>
      <c r="Y723" s="283"/>
      <c r="Z723" s="24"/>
      <c r="AA723" s="24"/>
      <c r="AB723" s="24"/>
      <c r="AC723" s="24"/>
      <c r="AD723" s="283"/>
      <c r="AE723" s="283"/>
      <c r="AF723" s="283"/>
      <c r="AG723" s="283"/>
      <c r="AH723" s="285" t="s">
        <v>115</v>
      </c>
      <c r="AI723" s="285" t="s">
        <v>2121</v>
      </c>
      <c r="AJ723" s="285" t="s">
        <v>2122</v>
      </c>
      <c r="AK723" s="24"/>
      <c r="AL723" s="24"/>
      <c r="AM723" s="24"/>
    </row>
    <row r="724" spans="1:39" ht="12.75" customHeight="1">
      <c r="A724" s="22">
        <v>722</v>
      </c>
      <c r="B724" s="24" t="s">
        <v>2123</v>
      </c>
      <c r="C724" s="24" t="s">
        <v>180</v>
      </c>
      <c r="D724" s="24" t="s">
        <v>2117</v>
      </c>
      <c r="E724" s="24" t="s">
        <v>2103</v>
      </c>
      <c r="F724" s="24">
        <v>1</v>
      </c>
      <c r="G724" s="24" t="s">
        <v>1767</v>
      </c>
      <c r="H724" s="24"/>
      <c r="I724" s="24"/>
      <c r="J724" s="283"/>
      <c r="K724" s="224"/>
      <c r="L724" s="224"/>
      <c r="M724" s="224"/>
      <c r="N724" s="224"/>
      <c r="O724" s="224" t="s">
        <v>2123</v>
      </c>
      <c r="P724" s="164"/>
      <c r="Q724" s="164"/>
      <c r="R724" s="24"/>
      <c r="S724" s="283"/>
      <c r="T724" s="224"/>
      <c r="U724" s="283"/>
      <c r="V724" s="283"/>
      <c r="W724" s="164"/>
      <c r="X724" s="24"/>
      <c r="Y724" s="283"/>
      <c r="Z724" s="24"/>
      <c r="AA724" s="24"/>
      <c r="AB724" s="24"/>
      <c r="AC724" s="24"/>
      <c r="AD724" s="283"/>
      <c r="AE724" s="283"/>
      <c r="AF724" s="283"/>
      <c r="AG724" s="283"/>
      <c r="AH724" s="285" t="s">
        <v>115</v>
      </c>
      <c r="AI724" s="285" t="s">
        <v>2124</v>
      </c>
      <c r="AJ724" s="285" t="s">
        <v>2125</v>
      </c>
      <c r="AK724" s="24"/>
      <c r="AL724" s="24"/>
      <c r="AM724" s="24"/>
    </row>
    <row r="725" spans="1:39" ht="12.75" customHeight="1">
      <c r="A725" s="22">
        <v>723</v>
      </c>
      <c r="B725" s="24" t="s">
        <v>2126</v>
      </c>
      <c r="C725" s="24" t="s">
        <v>180</v>
      </c>
      <c r="D725" s="24" t="s">
        <v>2117</v>
      </c>
      <c r="E725" s="24" t="s">
        <v>2103</v>
      </c>
      <c r="F725" s="24">
        <v>1</v>
      </c>
      <c r="G725" s="24" t="s">
        <v>1767</v>
      </c>
      <c r="H725" s="24"/>
      <c r="I725" s="24"/>
      <c r="J725" s="283"/>
      <c r="K725" s="224"/>
      <c r="L725" s="224"/>
      <c r="M725" s="224"/>
      <c r="N725" s="224"/>
      <c r="O725" s="224" t="s">
        <v>2126</v>
      </c>
      <c r="P725" s="164"/>
      <c r="Q725" s="164"/>
      <c r="R725" s="24"/>
      <c r="S725" s="283"/>
      <c r="T725" s="224"/>
      <c r="U725" s="283"/>
      <c r="V725" s="283"/>
      <c r="W725" s="164"/>
      <c r="X725" s="24"/>
      <c r="Y725" s="283"/>
      <c r="Z725" s="24"/>
      <c r="AA725" s="24"/>
      <c r="AB725" s="24"/>
      <c r="AC725" s="24"/>
      <c r="AD725" s="283"/>
      <c r="AE725" s="283"/>
      <c r="AF725" s="283"/>
      <c r="AG725" s="283"/>
      <c r="AH725" s="285" t="s">
        <v>115</v>
      </c>
      <c r="AI725" s="205" t="s">
        <v>2127</v>
      </c>
      <c r="AJ725" s="285" t="s">
        <v>2128</v>
      </c>
      <c r="AK725" s="24"/>
      <c r="AL725" s="24"/>
      <c r="AM725" s="24"/>
    </row>
    <row r="726" spans="1:39" ht="12.75" customHeight="1">
      <c r="A726" s="22">
        <v>724</v>
      </c>
      <c r="B726" s="24" t="s">
        <v>2129</v>
      </c>
      <c r="C726" s="24" t="s">
        <v>180</v>
      </c>
      <c r="D726" s="24" t="s">
        <v>2117</v>
      </c>
      <c r="E726" s="24" t="s">
        <v>2103</v>
      </c>
      <c r="F726" s="24">
        <v>1</v>
      </c>
      <c r="G726" s="24" t="s">
        <v>1767</v>
      </c>
      <c r="H726" s="24"/>
      <c r="I726" s="24"/>
      <c r="J726" s="283"/>
      <c r="K726" s="224"/>
      <c r="L726" s="224"/>
      <c r="M726" s="224"/>
      <c r="N726" s="224"/>
      <c r="O726" s="224" t="s">
        <v>2129</v>
      </c>
      <c r="P726" s="164"/>
      <c r="Q726" s="164"/>
      <c r="R726" s="24"/>
      <c r="S726" s="283"/>
      <c r="T726" s="224"/>
      <c r="U726" s="283"/>
      <c r="V726" s="283"/>
      <c r="W726" s="164"/>
      <c r="X726" s="24"/>
      <c r="Y726" s="283"/>
      <c r="Z726" s="24"/>
      <c r="AA726" s="24"/>
      <c r="AB726" s="24"/>
      <c r="AC726" s="24"/>
      <c r="AD726" s="283"/>
      <c r="AE726" s="283"/>
      <c r="AF726" s="283"/>
      <c r="AG726" s="283"/>
      <c r="AH726" s="285" t="s">
        <v>115</v>
      </c>
      <c r="AI726" s="205" t="s">
        <v>2131</v>
      </c>
      <c r="AJ726" s="285" t="s">
        <v>2132</v>
      </c>
      <c r="AK726" s="24"/>
      <c r="AL726" s="24"/>
      <c r="AM726" s="24"/>
    </row>
    <row r="727" spans="1:39" ht="12.75" customHeight="1">
      <c r="A727" s="22">
        <v>725</v>
      </c>
      <c r="B727" s="24" t="s">
        <v>2123</v>
      </c>
      <c r="C727" s="24" t="s">
        <v>96</v>
      </c>
      <c r="D727" s="24" t="s">
        <v>1787</v>
      </c>
      <c r="E727" s="24" t="s">
        <v>2103</v>
      </c>
      <c r="F727" s="24">
        <v>1</v>
      </c>
      <c r="G727" s="24" t="s">
        <v>1767</v>
      </c>
      <c r="H727" s="24"/>
      <c r="I727" s="24"/>
      <c r="J727" s="283"/>
      <c r="K727" s="224" t="s">
        <v>2123</v>
      </c>
      <c r="L727" s="224" t="s">
        <v>2133</v>
      </c>
      <c r="M727" s="224" t="s">
        <v>2134</v>
      </c>
      <c r="N727" s="224" t="s">
        <v>202</v>
      </c>
      <c r="O727" s="224"/>
      <c r="P727" s="164"/>
      <c r="Q727" s="164"/>
      <c r="R727" s="24"/>
      <c r="S727" s="283"/>
      <c r="T727" s="224" t="s">
        <v>113</v>
      </c>
      <c r="U727" s="283"/>
      <c r="V727" s="283"/>
      <c r="W727" s="164" t="s">
        <v>115</v>
      </c>
      <c r="X727" s="24"/>
      <c r="Y727" s="283"/>
      <c r="Z727" s="24"/>
      <c r="AA727" s="24"/>
      <c r="AB727" s="24"/>
      <c r="AC727" s="24"/>
      <c r="AD727" s="283"/>
      <c r="AE727" s="283"/>
      <c r="AF727" s="283"/>
      <c r="AG727" s="283"/>
      <c r="AH727" s="285" t="s">
        <v>115</v>
      </c>
      <c r="AI727" s="285" t="s">
        <v>2124</v>
      </c>
      <c r="AJ727" s="285" t="s">
        <v>2125</v>
      </c>
      <c r="AK727" s="24"/>
      <c r="AL727" s="24"/>
      <c r="AM727" s="24"/>
    </row>
    <row r="728" spans="1:39" ht="12.75" customHeight="1">
      <c r="A728" s="22">
        <v>726</v>
      </c>
      <c r="B728" s="24" t="s">
        <v>2135</v>
      </c>
      <c r="C728" s="24" t="s">
        <v>180</v>
      </c>
      <c r="D728" s="24" t="s">
        <v>2123</v>
      </c>
      <c r="E728" s="24" t="s">
        <v>2103</v>
      </c>
      <c r="F728" s="24">
        <v>1</v>
      </c>
      <c r="G728" s="24" t="s">
        <v>1767</v>
      </c>
      <c r="H728" s="24"/>
      <c r="I728" s="24"/>
      <c r="J728" s="283"/>
      <c r="K728" s="224"/>
      <c r="L728" s="224"/>
      <c r="M728" s="224"/>
      <c r="N728" s="224"/>
      <c r="O728" s="224" t="s">
        <v>2135</v>
      </c>
      <c r="P728" s="164"/>
      <c r="Q728" s="164"/>
      <c r="R728" s="24"/>
      <c r="S728" s="283"/>
      <c r="T728" s="224"/>
      <c r="U728" s="283"/>
      <c r="V728" s="283"/>
      <c r="W728" s="164"/>
      <c r="X728" s="24"/>
      <c r="Y728" s="283"/>
      <c r="Z728" s="24"/>
      <c r="AA728" s="24"/>
      <c r="AB728" s="24"/>
      <c r="AC728" s="24"/>
      <c r="AD728" s="283"/>
      <c r="AE728" s="283"/>
      <c r="AF728" s="283"/>
      <c r="AG728" s="283"/>
      <c r="AH728" s="285" t="s">
        <v>115</v>
      </c>
      <c r="AI728" s="205" t="s">
        <v>2136</v>
      </c>
      <c r="AJ728" s="285" t="s">
        <v>2137</v>
      </c>
      <c r="AK728" s="24"/>
      <c r="AL728" s="24"/>
      <c r="AM728" s="24"/>
    </row>
    <row r="729" spans="1:39" ht="12.75" customHeight="1">
      <c r="A729" s="22">
        <v>727</v>
      </c>
      <c r="B729" s="24" t="s">
        <v>2138</v>
      </c>
      <c r="C729" s="24" t="s">
        <v>180</v>
      </c>
      <c r="D729" s="24" t="s">
        <v>2123</v>
      </c>
      <c r="E729" s="24" t="s">
        <v>2103</v>
      </c>
      <c r="F729" s="24">
        <v>1</v>
      </c>
      <c r="G729" s="24" t="s">
        <v>1767</v>
      </c>
      <c r="H729" s="24"/>
      <c r="I729" s="24"/>
      <c r="J729" s="283"/>
      <c r="K729" s="224"/>
      <c r="L729" s="224"/>
      <c r="M729" s="224"/>
      <c r="N729" s="224"/>
      <c r="O729" s="224" t="s">
        <v>2138</v>
      </c>
      <c r="P729" s="164"/>
      <c r="Q729" s="164"/>
      <c r="R729" s="24"/>
      <c r="S729" s="283"/>
      <c r="T729" s="224"/>
      <c r="U729" s="283"/>
      <c r="V729" s="283"/>
      <c r="W729" s="164"/>
      <c r="X729" s="24"/>
      <c r="Y729" s="283"/>
      <c r="Z729" s="24"/>
      <c r="AA729" s="24"/>
      <c r="AB729" s="24"/>
      <c r="AC729" s="24"/>
      <c r="AD729" s="283"/>
      <c r="AE729" s="283"/>
      <c r="AF729" s="283"/>
      <c r="AG729" s="283"/>
      <c r="AH729" s="285" t="s">
        <v>115</v>
      </c>
      <c r="AI729" s="205" t="s">
        <v>2139</v>
      </c>
      <c r="AJ729" s="285" t="s">
        <v>2140</v>
      </c>
      <c r="AK729" s="24"/>
      <c r="AL729" s="24"/>
      <c r="AM729" s="24"/>
    </row>
    <row r="730" spans="1:39" ht="12.75" customHeight="1">
      <c r="A730" s="22">
        <v>728</v>
      </c>
      <c r="B730" s="24" t="s">
        <v>1126</v>
      </c>
      <c r="C730" s="24" t="s">
        <v>180</v>
      </c>
      <c r="D730" s="24" t="s">
        <v>2123</v>
      </c>
      <c r="E730" s="24" t="s">
        <v>2103</v>
      </c>
      <c r="F730" s="24">
        <v>1</v>
      </c>
      <c r="G730" s="24" t="s">
        <v>1767</v>
      </c>
      <c r="H730" s="24"/>
      <c r="I730" s="24"/>
      <c r="J730" s="283"/>
      <c r="K730" s="224"/>
      <c r="L730" s="224"/>
      <c r="M730" s="224"/>
      <c r="N730" s="224"/>
      <c r="O730" s="224" t="s">
        <v>1126</v>
      </c>
      <c r="P730" s="164"/>
      <c r="Q730" s="164"/>
      <c r="R730" s="24"/>
      <c r="S730" s="283"/>
      <c r="T730" s="224"/>
      <c r="U730" s="283"/>
      <c r="V730" s="283"/>
      <c r="W730" s="164"/>
      <c r="X730" s="24"/>
      <c r="Y730" s="283"/>
      <c r="Z730" s="24"/>
      <c r="AA730" s="24"/>
      <c r="AB730" s="24"/>
      <c r="AC730" s="24"/>
      <c r="AD730" s="283"/>
      <c r="AE730" s="283"/>
      <c r="AF730" s="283"/>
      <c r="AG730" s="283"/>
      <c r="AH730" s="285" t="s">
        <v>115</v>
      </c>
      <c r="AI730" s="285" t="s">
        <v>2141</v>
      </c>
      <c r="AJ730" s="285" t="s">
        <v>2142</v>
      </c>
      <c r="AK730" s="24"/>
      <c r="AL730" s="24"/>
      <c r="AM730" s="24"/>
    </row>
    <row r="731" spans="1:39" ht="12.75" customHeight="1">
      <c r="A731" s="22">
        <v>729</v>
      </c>
      <c r="B731" s="24" t="s">
        <v>2144</v>
      </c>
      <c r="C731" s="24" t="s">
        <v>96</v>
      </c>
      <c r="D731" s="24" t="s">
        <v>1787</v>
      </c>
      <c r="E731" s="24" t="s">
        <v>2103</v>
      </c>
      <c r="F731" s="24">
        <v>1</v>
      </c>
      <c r="G731" s="24" t="s">
        <v>1767</v>
      </c>
      <c r="H731" s="24"/>
      <c r="I731" s="24"/>
      <c r="J731" s="283"/>
      <c r="K731" s="224" t="s">
        <v>2144</v>
      </c>
      <c r="L731" s="224" t="s">
        <v>2145</v>
      </c>
      <c r="M731" s="224" t="s">
        <v>2146</v>
      </c>
      <c r="N731" s="224" t="s">
        <v>202</v>
      </c>
      <c r="O731" s="224"/>
      <c r="P731" s="164"/>
      <c r="Q731" s="164"/>
      <c r="R731" s="24"/>
      <c r="S731" s="283"/>
      <c r="T731" s="224" t="s">
        <v>113</v>
      </c>
      <c r="U731" s="283"/>
      <c r="V731" s="283"/>
      <c r="W731" s="164" t="s">
        <v>115</v>
      </c>
      <c r="X731" s="24"/>
      <c r="Y731" s="283"/>
      <c r="Z731" s="24"/>
      <c r="AA731" s="24"/>
      <c r="AB731" s="24"/>
      <c r="AC731" s="24"/>
      <c r="AD731" s="283"/>
      <c r="AE731" s="283"/>
      <c r="AF731" s="283"/>
      <c r="AG731" s="283"/>
      <c r="AH731" s="285" t="s">
        <v>115</v>
      </c>
      <c r="AI731" s="205" t="s">
        <v>2127</v>
      </c>
      <c r="AJ731" s="285" t="s">
        <v>2128</v>
      </c>
      <c r="AK731" s="24"/>
      <c r="AL731" s="24"/>
      <c r="AM731" s="24"/>
    </row>
    <row r="732" spans="1:39" ht="12.75" customHeight="1">
      <c r="A732" s="22">
        <v>730</v>
      </c>
      <c r="B732" s="24" t="s">
        <v>1122</v>
      </c>
      <c r="C732" s="24" t="s">
        <v>180</v>
      </c>
      <c r="D732" s="24" t="s">
        <v>2144</v>
      </c>
      <c r="E732" s="24" t="s">
        <v>2103</v>
      </c>
      <c r="F732" s="24">
        <v>1</v>
      </c>
      <c r="G732" s="24" t="s">
        <v>1767</v>
      </c>
      <c r="H732" s="24"/>
      <c r="I732" s="24"/>
      <c r="J732" s="283"/>
      <c r="K732" s="196"/>
      <c r="L732" s="224"/>
      <c r="M732" s="224"/>
      <c r="N732" s="224"/>
      <c r="O732" s="224" t="s">
        <v>1122</v>
      </c>
      <c r="P732" s="224"/>
      <c r="Q732" s="164"/>
      <c r="R732" s="24"/>
      <c r="S732" s="283"/>
      <c r="T732" s="224"/>
      <c r="U732" s="283"/>
      <c r="V732" s="283"/>
      <c r="W732" s="164"/>
      <c r="X732" s="24"/>
      <c r="Y732" s="283"/>
      <c r="Z732" s="24"/>
      <c r="AA732" s="24"/>
      <c r="AB732" s="24"/>
      <c r="AC732" s="24"/>
      <c r="AD732" s="283"/>
      <c r="AE732" s="283"/>
      <c r="AF732" s="283"/>
      <c r="AG732" s="283"/>
      <c r="AH732" s="285" t="s">
        <v>115</v>
      </c>
      <c r="AI732" s="285" t="s">
        <v>1897</v>
      </c>
      <c r="AJ732" s="285" t="s">
        <v>1125</v>
      </c>
      <c r="AK732" s="24"/>
      <c r="AL732" s="24"/>
      <c r="AM732" s="24"/>
    </row>
    <row r="733" spans="1:39" ht="12.75" customHeight="1">
      <c r="A733" s="22">
        <v>731</v>
      </c>
      <c r="B733" s="24" t="s">
        <v>1126</v>
      </c>
      <c r="C733" s="24" t="s">
        <v>180</v>
      </c>
      <c r="D733" s="24" t="s">
        <v>2144</v>
      </c>
      <c r="E733" s="24" t="s">
        <v>2103</v>
      </c>
      <c r="F733" s="24">
        <v>1</v>
      </c>
      <c r="G733" s="24" t="s">
        <v>1767</v>
      </c>
      <c r="H733" s="24"/>
      <c r="I733" s="24"/>
      <c r="J733" s="283"/>
      <c r="K733" s="196"/>
      <c r="L733" s="224"/>
      <c r="M733" s="224"/>
      <c r="N733" s="224"/>
      <c r="O733" s="224" t="s">
        <v>1126</v>
      </c>
      <c r="P733" s="224"/>
      <c r="Q733" s="164"/>
      <c r="R733" s="24"/>
      <c r="S733" s="283"/>
      <c r="T733" s="224"/>
      <c r="U733" s="283"/>
      <c r="V733" s="283"/>
      <c r="W733" s="164"/>
      <c r="X733" s="24"/>
      <c r="Y733" s="283"/>
      <c r="Z733" s="24"/>
      <c r="AA733" s="24"/>
      <c r="AB733" s="24"/>
      <c r="AC733" s="24"/>
      <c r="AD733" s="283"/>
      <c r="AE733" s="283"/>
      <c r="AF733" s="283"/>
      <c r="AG733" s="283"/>
      <c r="AH733" s="285" t="s">
        <v>115</v>
      </c>
      <c r="AI733" s="285" t="s">
        <v>1128</v>
      </c>
      <c r="AJ733" s="285" t="s">
        <v>1129</v>
      </c>
      <c r="AK733" s="24"/>
      <c r="AL733" s="24"/>
      <c r="AM733" s="24"/>
    </row>
    <row r="734" spans="1:39" ht="12.75" customHeight="1">
      <c r="A734" s="22">
        <v>732</v>
      </c>
      <c r="B734" s="24" t="s">
        <v>2147</v>
      </c>
      <c r="C734" s="24" t="s">
        <v>96</v>
      </c>
      <c r="D734" s="24" t="s">
        <v>1787</v>
      </c>
      <c r="E734" s="24" t="s">
        <v>2103</v>
      </c>
      <c r="F734" s="24">
        <v>1</v>
      </c>
      <c r="G734" s="24" t="s">
        <v>1767</v>
      </c>
      <c r="H734" s="24"/>
      <c r="I734" s="24"/>
      <c r="J734" s="283"/>
      <c r="K734" s="196" t="s">
        <v>2147</v>
      </c>
      <c r="L734" s="224" t="s">
        <v>2148</v>
      </c>
      <c r="M734" s="224" t="s">
        <v>2149</v>
      </c>
      <c r="N734" s="224" t="s">
        <v>202</v>
      </c>
      <c r="O734" s="224"/>
      <c r="P734" s="224"/>
      <c r="Q734" s="164"/>
      <c r="R734" s="24"/>
      <c r="S734" s="283"/>
      <c r="T734" s="224" t="s">
        <v>113</v>
      </c>
      <c r="U734" s="283"/>
      <c r="V734" s="283"/>
      <c r="W734" s="164" t="s">
        <v>115</v>
      </c>
      <c r="X734" s="24"/>
      <c r="Y734" s="283"/>
      <c r="Z734" s="24"/>
      <c r="AA734" s="24"/>
      <c r="AB734" s="24"/>
      <c r="AC734" s="24"/>
      <c r="AD734" s="283"/>
      <c r="AE734" s="283"/>
      <c r="AF734" s="283"/>
      <c r="AG734" s="283"/>
      <c r="AH734" s="285" t="s">
        <v>115</v>
      </c>
      <c r="AI734" s="205" t="s">
        <v>2150</v>
      </c>
      <c r="AJ734" s="285" t="s">
        <v>2151</v>
      </c>
      <c r="AK734" s="24"/>
      <c r="AL734" s="24"/>
      <c r="AM734" s="24"/>
    </row>
    <row r="735" spans="1:39" ht="12.75" customHeight="1">
      <c r="A735" s="22">
        <v>733</v>
      </c>
      <c r="B735" s="24" t="s">
        <v>423</v>
      </c>
      <c r="C735" s="24" t="s">
        <v>180</v>
      </c>
      <c r="D735" s="24" t="s">
        <v>2147</v>
      </c>
      <c r="E735" s="24" t="s">
        <v>2103</v>
      </c>
      <c r="F735" s="24">
        <v>1</v>
      </c>
      <c r="G735" s="24" t="s">
        <v>1767</v>
      </c>
      <c r="H735" s="24"/>
      <c r="I735" s="24"/>
      <c r="J735" s="283"/>
      <c r="K735" s="196"/>
      <c r="L735" s="224"/>
      <c r="M735" s="224"/>
      <c r="N735" s="224"/>
      <c r="O735" s="224" t="s">
        <v>423</v>
      </c>
      <c r="P735" s="224"/>
      <c r="Q735" s="164"/>
      <c r="R735" s="24"/>
      <c r="S735" s="283"/>
      <c r="T735" s="224"/>
      <c r="U735" s="283"/>
      <c r="V735" s="283"/>
      <c r="W735" s="164"/>
      <c r="X735" s="24"/>
      <c r="Y735" s="283"/>
      <c r="Z735" s="24"/>
      <c r="AA735" s="24"/>
      <c r="AB735" s="24"/>
      <c r="AC735" s="24"/>
      <c r="AD735" s="283"/>
      <c r="AE735" s="283"/>
      <c r="AF735" s="283"/>
      <c r="AG735" s="283"/>
      <c r="AH735" s="285" t="s">
        <v>115</v>
      </c>
      <c r="AI735" s="205" t="s">
        <v>424</v>
      </c>
      <c r="AJ735" s="285" t="s">
        <v>425</v>
      </c>
      <c r="AK735" s="24"/>
      <c r="AL735" s="24"/>
      <c r="AM735" s="24"/>
    </row>
    <row r="736" spans="1:39" ht="12.75" customHeight="1">
      <c r="A736" s="22">
        <v>734</v>
      </c>
      <c r="B736" s="24" t="s">
        <v>1421</v>
      </c>
      <c r="C736" s="24" t="s">
        <v>180</v>
      </c>
      <c r="D736" s="24" t="s">
        <v>2147</v>
      </c>
      <c r="E736" s="24" t="s">
        <v>2103</v>
      </c>
      <c r="F736" s="24">
        <v>1</v>
      </c>
      <c r="G736" s="24" t="s">
        <v>1767</v>
      </c>
      <c r="H736" s="24"/>
      <c r="I736" s="24"/>
      <c r="J736" s="283"/>
      <c r="K736" s="196"/>
      <c r="L736" s="224"/>
      <c r="M736" s="224"/>
      <c r="N736" s="224"/>
      <c r="O736" s="347" t="s">
        <v>1421</v>
      </c>
      <c r="P736" s="224"/>
      <c r="Q736" s="164"/>
      <c r="R736" s="24"/>
      <c r="S736" s="283"/>
      <c r="T736" s="224"/>
      <c r="U736" s="283"/>
      <c r="V736" s="283"/>
      <c r="W736" s="164"/>
      <c r="X736" s="24"/>
      <c r="Y736" s="283"/>
      <c r="Z736" s="24"/>
      <c r="AA736" s="24"/>
      <c r="AB736" s="24"/>
      <c r="AC736" s="24"/>
      <c r="AD736" s="283"/>
      <c r="AE736" s="283"/>
      <c r="AF736" s="283"/>
      <c r="AG736" s="283"/>
      <c r="AH736" s="285" t="s">
        <v>115</v>
      </c>
      <c r="AI736" s="285" t="s">
        <v>1422</v>
      </c>
      <c r="AJ736" s="205" t="s">
        <v>1423</v>
      </c>
      <c r="AK736" s="24"/>
      <c r="AL736" s="24"/>
      <c r="AM736" s="24"/>
    </row>
    <row r="737" spans="1:39" ht="12.75" customHeight="1">
      <c r="A737" s="22">
        <v>735</v>
      </c>
      <c r="B737" s="24" t="s">
        <v>1424</v>
      </c>
      <c r="C737" s="24" t="s">
        <v>180</v>
      </c>
      <c r="D737" s="24" t="s">
        <v>2147</v>
      </c>
      <c r="E737" s="24" t="s">
        <v>2103</v>
      </c>
      <c r="F737" s="24">
        <v>1</v>
      </c>
      <c r="G737" s="24" t="s">
        <v>1767</v>
      </c>
      <c r="H737" s="24"/>
      <c r="I737" s="24"/>
      <c r="J737" s="283"/>
      <c r="K737" s="196"/>
      <c r="L737" s="224"/>
      <c r="M737" s="224"/>
      <c r="N737" s="224"/>
      <c r="O737" s="347" t="s">
        <v>1424</v>
      </c>
      <c r="P737" s="224"/>
      <c r="Q737" s="164"/>
      <c r="R737" s="24"/>
      <c r="S737" s="283"/>
      <c r="T737" s="224"/>
      <c r="U737" s="283"/>
      <c r="V737" s="283"/>
      <c r="W737" s="164"/>
      <c r="X737" s="24"/>
      <c r="Y737" s="283"/>
      <c r="Z737" s="24"/>
      <c r="AA737" s="24"/>
      <c r="AB737" s="24"/>
      <c r="AC737" s="24"/>
      <c r="AD737" s="283"/>
      <c r="AE737" s="283"/>
      <c r="AF737" s="283"/>
      <c r="AG737" s="283"/>
      <c r="AH737" s="285" t="s">
        <v>115</v>
      </c>
      <c r="AI737" s="285" t="s">
        <v>1425</v>
      </c>
      <c r="AJ737" s="285" t="s">
        <v>1426</v>
      </c>
      <c r="AK737" s="24"/>
      <c r="AL737" s="24"/>
      <c r="AM737" s="24"/>
    </row>
    <row r="738" spans="1:39" ht="12.75" customHeight="1">
      <c r="A738" s="22">
        <v>736</v>
      </c>
      <c r="B738" s="24" t="s">
        <v>1427</v>
      </c>
      <c r="C738" s="24" t="s">
        <v>180</v>
      </c>
      <c r="D738" s="24" t="s">
        <v>2147</v>
      </c>
      <c r="E738" s="24" t="s">
        <v>2103</v>
      </c>
      <c r="F738" s="24">
        <v>1</v>
      </c>
      <c r="G738" s="24" t="s">
        <v>1767</v>
      </c>
      <c r="H738" s="24"/>
      <c r="I738" s="24"/>
      <c r="J738" s="283"/>
      <c r="K738" s="196"/>
      <c r="L738" s="224"/>
      <c r="M738" s="224"/>
      <c r="N738" s="224"/>
      <c r="O738" s="347" t="s">
        <v>1427</v>
      </c>
      <c r="P738" s="224"/>
      <c r="Q738" s="164"/>
      <c r="R738" s="24"/>
      <c r="S738" s="283"/>
      <c r="T738" s="224"/>
      <c r="U738" s="283"/>
      <c r="V738" s="283"/>
      <c r="W738" s="164"/>
      <c r="X738" s="24"/>
      <c r="Y738" s="283"/>
      <c r="Z738" s="24"/>
      <c r="AA738" s="24"/>
      <c r="AB738" s="24"/>
      <c r="AC738" s="24"/>
      <c r="AD738" s="283"/>
      <c r="AE738" s="283"/>
      <c r="AF738" s="283"/>
      <c r="AG738" s="283"/>
      <c r="AH738" s="285" t="s">
        <v>115</v>
      </c>
      <c r="AI738" s="285" t="s">
        <v>1428</v>
      </c>
      <c r="AJ738" s="285" t="s">
        <v>1429</v>
      </c>
      <c r="AK738" s="24"/>
      <c r="AL738" s="24"/>
      <c r="AM738" s="24"/>
    </row>
    <row r="739" spans="1:39" ht="12.75" customHeight="1">
      <c r="A739" s="22">
        <v>737</v>
      </c>
      <c r="B739" s="24" t="s">
        <v>1430</v>
      </c>
      <c r="C739" s="24" t="s">
        <v>180</v>
      </c>
      <c r="D739" s="24" t="s">
        <v>2147</v>
      </c>
      <c r="E739" s="24" t="s">
        <v>2103</v>
      </c>
      <c r="F739" s="24">
        <v>1</v>
      </c>
      <c r="G739" s="24" t="s">
        <v>1767</v>
      </c>
      <c r="H739" s="24"/>
      <c r="I739" s="24"/>
      <c r="J739" s="283"/>
      <c r="K739" s="196"/>
      <c r="L739" s="224"/>
      <c r="M739" s="224"/>
      <c r="N739" s="224"/>
      <c r="O739" s="347" t="s">
        <v>1430</v>
      </c>
      <c r="P739" s="224"/>
      <c r="Q739" s="164"/>
      <c r="R739" s="24"/>
      <c r="S739" s="283"/>
      <c r="T739" s="224"/>
      <c r="U739" s="283"/>
      <c r="V739" s="283"/>
      <c r="W739" s="164"/>
      <c r="X739" s="24"/>
      <c r="Y739" s="283"/>
      <c r="Z739" s="24"/>
      <c r="AA739" s="24"/>
      <c r="AB739" s="24"/>
      <c r="AC739" s="24"/>
      <c r="AD739" s="283"/>
      <c r="AE739" s="283"/>
      <c r="AF739" s="283"/>
      <c r="AG739" s="283"/>
      <c r="AH739" s="285" t="s">
        <v>115</v>
      </c>
      <c r="AI739" s="285" t="s">
        <v>1431</v>
      </c>
      <c r="AJ739" s="285" t="s">
        <v>1432</v>
      </c>
      <c r="AK739" s="24"/>
      <c r="AL739" s="24"/>
      <c r="AM739" s="24"/>
    </row>
    <row r="740" spans="1:39" ht="12.75" customHeight="1">
      <c r="A740" s="22">
        <v>738</v>
      </c>
      <c r="B740" s="24" t="s">
        <v>2153</v>
      </c>
      <c r="C740" s="24" t="s">
        <v>96</v>
      </c>
      <c r="D740" s="24" t="s">
        <v>1787</v>
      </c>
      <c r="E740" s="24" t="s">
        <v>2103</v>
      </c>
      <c r="F740" s="24">
        <v>1</v>
      </c>
      <c r="G740" s="24" t="s">
        <v>1767</v>
      </c>
      <c r="H740" s="24"/>
      <c r="I740" s="24"/>
      <c r="J740" s="283"/>
      <c r="K740" s="196" t="s">
        <v>2153</v>
      </c>
      <c r="L740" s="224" t="s">
        <v>2154</v>
      </c>
      <c r="M740" s="224" t="s">
        <v>2155</v>
      </c>
      <c r="N740" s="224" t="s">
        <v>202</v>
      </c>
      <c r="O740" s="224"/>
      <c r="P740" s="224"/>
      <c r="Q740" s="164"/>
      <c r="R740" s="24"/>
      <c r="S740" s="283"/>
      <c r="T740" s="224" t="s">
        <v>113</v>
      </c>
      <c r="U740" s="283"/>
      <c r="V740" s="283"/>
      <c r="W740" s="164" t="s">
        <v>115</v>
      </c>
      <c r="X740" s="24"/>
      <c r="Y740" s="283"/>
      <c r="Z740" s="24"/>
      <c r="AA740" s="24"/>
      <c r="AB740" s="24"/>
      <c r="AC740" s="24"/>
      <c r="AD740" s="283"/>
      <c r="AE740" s="283"/>
      <c r="AF740" s="283"/>
      <c r="AG740" s="283"/>
      <c r="AH740" s="285" t="s">
        <v>115</v>
      </c>
      <c r="AI740" s="205" t="s">
        <v>2156</v>
      </c>
      <c r="AJ740" s="285" t="s">
        <v>2157</v>
      </c>
      <c r="AK740" s="24"/>
      <c r="AL740" s="24"/>
      <c r="AM740" s="24"/>
    </row>
    <row r="741" spans="1:39" ht="12.75" customHeight="1">
      <c r="A741" s="22">
        <v>739</v>
      </c>
      <c r="B741" s="24" t="s">
        <v>423</v>
      </c>
      <c r="C741" s="24" t="s">
        <v>180</v>
      </c>
      <c r="D741" s="24" t="s">
        <v>2153</v>
      </c>
      <c r="E741" s="24" t="s">
        <v>2103</v>
      </c>
      <c r="F741" s="24">
        <v>1</v>
      </c>
      <c r="G741" s="24" t="s">
        <v>1767</v>
      </c>
      <c r="H741" s="24"/>
      <c r="I741" s="24"/>
      <c r="J741" s="283"/>
      <c r="K741" s="196"/>
      <c r="L741" s="224"/>
      <c r="M741" s="224"/>
      <c r="N741" s="224"/>
      <c r="O741" s="224" t="s">
        <v>423</v>
      </c>
      <c r="P741" s="224"/>
      <c r="Q741" s="164"/>
      <c r="R741" s="24"/>
      <c r="S741" s="283"/>
      <c r="T741" s="224"/>
      <c r="U741" s="283"/>
      <c r="V741" s="283"/>
      <c r="W741" s="164"/>
      <c r="X741" s="24"/>
      <c r="Y741" s="283"/>
      <c r="Z741" s="24"/>
      <c r="AA741" s="24"/>
      <c r="AB741" s="24"/>
      <c r="AC741" s="24"/>
      <c r="AD741" s="283"/>
      <c r="AE741" s="283"/>
      <c r="AF741" s="283"/>
      <c r="AG741" s="283"/>
      <c r="AH741" s="285" t="s">
        <v>115</v>
      </c>
      <c r="AI741" s="205" t="s">
        <v>424</v>
      </c>
      <c r="AJ741" s="285" t="s">
        <v>425</v>
      </c>
      <c r="AK741" s="24"/>
      <c r="AL741" s="24"/>
      <c r="AM741" s="24"/>
    </row>
    <row r="742" spans="1:39" ht="12.75" customHeight="1">
      <c r="A742" s="22">
        <v>740</v>
      </c>
      <c r="B742" s="24" t="s">
        <v>1421</v>
      </c>
      <c r="C742" s="24" t="s">
        <v>180</v>
      </c>
      <c r="D742" s="24" t="s">
        <v>2153</v>
      </c>
      <c r="E742" s="24" t="s">
        <v>2103</v>
      </c>
      <c r="F742" s="24">
        <v>1</v>
      </c>
      <c r="G742" s="24" t="s">
        <v>1767</v>
      </c>
      <c r="H742" s="24"/>
      <c r="I742" s="24"/>
      <c r="J742" s="283"/>
      <c r="K742" s="196"/>
      <c r="L742" s="224"/>
      <c r="M742" s="224"/>
      <c r="N742" s="224"/>
      <c r="O742" s="347" t="s">
        <v>1421</v>
      </c>
      <c r="P742" s="224"/>
      <c r="Q742" s="164"/>
      <c r="R742" s="24"/>
      <c r="S742" s="283"/>
      <c r="T742" s="224"/>
      <c r="U742" s="283"/>
      <c r="V742" s="283"/>
      <c r="W742" s="164"/>
      <c r="X742" s="24"/>
      <c r="Y742" s="283"/>
      <c r="Z742" s="24"/>
      <c r="AA742" s="24"/>
      <c r="AB742" s="24"/>
      <c r="AC742" s="24"/>
      <c r="AD742" s="283"/>
      <c r="AE742" s="283"/>
      <c r="AF742" s="283"/>
      <c r="AG742" s="283"/>
      <c r="AH742" s="285" t="s">
        <v>115</v>
      </c>
      <c r="AI742" s="285" t="s">
        <v>1422</v>
      </c>
      <c r="AJ742" s="205" t="s">
        <v>1423</v>
      </c>
      <c r="AK742" s="24"/>
      <c r="AL742" s="24"/>
      <c r="AM742" s="24"/>
    </row>
    <row r="743" spans="1:39" ht="12.75" customHeight="1">
      <c r="A743" s="22">
        <v>741</v>
      </c>
      <c r="B743" s="24" t="s">
        <v>1424</v>
      </c>
      <c r="C743" s="24" t="s">
        <v>180</v>
      </c>
      <c r="D743" s="24" t="s">
        <v>2153</v>
      </c>
      <c r="E743" s="24" t="s">
        <v>2103</v>
      </c>
      <c r="F743" s="24">
        <v>1</v>
      </c>
      <c r="G743" s="24" t="s">
        <v>1767</v>
      </c>
      <c r="H743" s="24"/>
      <c r="I743" s="24"/>
      <c r="J743" s="283"/>
      <c r="K743" s="196"/>
      <c r="L743" s="224"/>
      <c r="M743" s="224"/>
      <c r="N743" s="224"/>
      <c r="O743" s="347" t="s">
        <v>1424</v>
      </c>
      <c r="P743" s="224"/>
      <c r="Q743" s="164"/>
      <c r="R743" s="24"/>
      <c r="S743" s="283"/>
      <c r="T743" s="224"/>
      <c r="U743" s="283"/>
      <c r="V743" s="283"/>
      <c r="W743" s="164"/>
      <c r="X743" s="24"/>
      <c r="Y743" s="283"/>
      <c r="Z743" s="24"/>
      <c r="AA743" s="24"/>
      <c r="AB743" s="24"/>
      <c r="AC743" s="24"/>
      <c r="AD743" s="283"/>
      <c r="AE743" s="283"/>
      <c r="AF743" s="283"/>
      <c r="AG743" s="283"/>
      <c r="AH743" s="285" t="s">
        <v>115</v>
      </c>
      <c r="AI743" s="285" t="s">
        <v>1425</v>
      </c>
      <c r="AJ743" s="285" t="s">
        <v>1426</v>
      </c>
      <c r="AK743" s="24"/>
      <c r="AL743" s="24"/>
      <c r="AM743" s="24"/>
    </row>
    <row r="744" spans="1:39" ht="12.75" customHeight="1">
      <c r="A744" s="22">
        <v>742</v>
      </c>
      <c r="B744" s="24" t="s">
        <v>1427</v>
      </c>
      <c r="C744" s="24" t="s">
        <v>180</v>
      </c>
      <c r="D744" s="24" t="s">
        <v>2153</v>
      </c>
      <c r="E744" s="24" t="s">
        <v>2103</v>
      </c>
      <c r="F744" s="24">
        <v>1</v>
      </c>
      <c r="G744" s="24" t="s">
        <v>1767</v>
      </c>
      <c r="H744" s="24"/>
      <c r="I744" s="24"/>
      <c r="J744" s="283"/>
      <c r="K744" s="196"/>
      <c r="L744" s="224"/>
      <c r="M744" s="224"/>
      <c r="N744" s="224"/>
      <c r="O744" s="347" t="s">
        <v>1427</v>
      </c>
      <c r="P744" s="224"/>
      <c r="Q744" s="164"/>
      <c r="R744" s="24"/>
      <c r="S744" s="283"/>
      <c r="T744" s="224"/>
      <c r="U744" s="283"/>
      <c r="V744" s="283"/>
      <c r="W744" s="164"/>
      <c r="X744" s="24"/>
      <c r="Y744" s="283"/>
      <c r="Z744" s="24"/>
      <c r="AA744" s="24"/>
      <c r="AB744" s="24"/>
      <c r="AC744" s="24"/>
      <c r="AD744" s="283"/>
      <c r="AE744" s="283"/>
      <c r="AF744" s="283"/>
      <c r="AG744" s="283"/>
      <c r="AH744" s="285" t="s">
        <v>115</v>
      </c>
      <c r="AI744" s="285" t="s">
        <v>1428</v>
      </c>
      <c r="AJ744" s="285" t="s">
        <v>1429</v>
      </c>
      <c r="AK744" s="24"/>
      <c r="AL744" s="24"/>
      <c r="AM744" s="24"/>
    </row>
    <row r="745" spans="1:39" ht="12.75" customHeight="1">
      <c r="A745" s="22">
        <v>743</v>
      </c>
      <c r="B745" s="24" t="s">
        <v>1430</v>
      </c>
      <c r="C745" s="24" t="s">
        <v>180</v>
      </c>
      <c r="D745" s="24" t="s">
        <v>2153</v>
      </c>
      <c r="E745" s="24" t="s">
        <v>2103</v>
      </c>
      <c r="F745" s="24">
        <v>1</v>
      </c>
      <c r="G745" s="24" t="s">
        <v>1767</v>
      </c>
      <c r="H745" s="24"/>
      <c r="I745" s="24"/>
      <c r="J745" s="283"/>
      <c r="K745" s="196"/>
      <c r="L745" s="224"/>
      <c r="M745" s="224"/>
      <c r="N745" s="224"/>
      <c r="O745" s="347" t="s">
        <v>1430</v>
      </c>
      <c r="P745" s="224"/>
      <c r="Q745" s="164"/>
      <c r="R745" s="24"/>
      <c r="S745" s="283"/>
      <c r="T745" s="224"/>
      <c r="U745" s="283"/>
      <c r="V745" s="283"/>
      <c r="W745" s="164"/>
      <c r="X745" s="24"/>
      <c r="Y745" s="283"/>
      <c r="Z745" s="24"/>
      <c r="AA745" s="24"/>
      <c r="AB745" s="24"/>
      <c r="AC745" s="24"/>
      <c r="AD745" s="283"/>
      <c r="AE745" s="283"/>
      <c r="AF745" s="283"/>
      <c r="AG745" s="283"/>
      <c r="AH745" s="285" t="s">
        <v>115</v>
      </c>
      <c r="AI745" s="285" t="s">
        <v>1431</v>
      </c>
      <c r="AJ745" s="285" t="s">
        <v>1432</v>
      </c>
      <c r="AK745" s="24"/>
      <c r="AL745" s="24"/>
      <c r="AM745" s="24"/>
    </row>
    <row r="746" spans="1:39" ht="12.75" customHeight="1">
      <c r="A746" s="22">
        <v>744</v>
      </c>
      <c r="B746" s="24" t="s">
        <v>2158</v>
      </c>
      <c r="C746" s="24" t="s">
        <v>96</v>
      </c>
      <c r="D746" s="24" t="s">
        <v>1787</v>
      </c>
      <c r="E746" s="24" t="s">
        <v>2103</v>
      </c>
      <c r="F746" s="24">
        <v>1</v>
      </c>
      <c r="G746" s="24" t="s">
        <v>1767</v>
      </c>
      <c r="H746" s="24"/>
      <c r="I746" s="24"/>
      <c r="J746" s="283"/>
      <c r="K746" s="196" t="s">
        <v>1416</v>
      </c>
      <c r="L746" s="224" t="s">
        <v>1417</v>
      </c>
      <c r="M746" s="224" t="s">
        <v>2160</v>
      </c>
      <c r="N746" s="224" t="s">
        <v>202</v>
      </c>
      <c r="O746" s="224"/>
      <c r="P746" s="224"/>
      <c r="Q746" s="164"/>
      <c r="R746" s="24"/>
      <c r="S746" s="283"/>
      <c r="T746" s="224" t="s">
        <v>113</v>
      </c>
      <c r="U746" s="283"/>
      <c r="V746" s="283"/>
      <c r="W746" s="164" t="s">
        <v>115</v>
      </c>
      <c r="X746" s="24"/>
      <c r="Y746" s="283"/>
      <c r="Z746" s="24"/>
      <c r="AA746" s="24"/>
      <c r="AB746" s="24"/>
      <c r="AC746" s="24"/>
      <c r="AD746" s="283"/>
      <c r="AE746" s="283"/>
      <c r="AF746" s="283"/>
      <c r="AG746" s="283"/>
      <c r="AH746" s="285" t="s">
        <v>2161</v>
      </c>
      <c r="AI746" s="205" t="s">
        <v>1419</v>
      </c>
      <c r="AJ746" s="285" t="s">
        <v>1420</v>
      </c>
      <c r="AK746" s="24"/>
      <c r="AL746" s="24"/>
      <c r="AM746" s="24"/>
    </row>
    <row r="747" spans="1:39" ht="12.75" customHeight="1">
      <c r="A747" s="22">
        <v>745</v>
      </c>
      <c r="B747" s="24" t="s">
        <v>423</v>
      </c>
      <c r="C747" s="24" t="s">
        <v>180</v>
      </c>
      <c r="D747" s="24" t="s">
        <v>1416</v>
      </c>
      <c r="E747" s="24" t="s">
        <v>2103</v>
      </c>
      <c r="F747" s="24">
        <v>1</v>
      </c>
      <c r="G747" s="24" t="s">
        <v>1767</v>
      </c>
      <c r="H747" s="24"/>
      <c r="I747" s="24"/>
      <c r="J747" s="283"/>
      <c r="K747" s="196"/>
      <c r="L747" s="224"/>
      <c r="M747" s="224"/>
      <c r="N747" s="224"/>
      <c r="O747" s="224" t="s">
        <v>423</v>
      </c>
      <c r="P747" s="224"/>
      <c r="Q747" s="164"/>
      <c r="R747" s="24"/>
      <c r="S747" s="283"/>
      <c r="T747" s="224"/>
      <c r="U747" s="283"/>
      <c r="V747" s="283"/>
      <c r="W747" s="164"/>
      <c r="X747" s="24"/>
      <c r="Y747" s="283"/>
      <c r="Z747" s="24"/>
      <c r="AA747" s="24"/>
      <c r="AB747" s="24"/>
      <c r="AC747" s="24"/>
      <c r="AD747" s="283"/>
      <c r="AE747" s="283"/>
      <c r="AF747" s="283"/>
      <c r="AG747" s="283"/>
      <c r="AH747" s="285" t="s">
        <v>115</v>
      </c>
      <c r="AI747" s="205" t="s">
        <v>424</v>
      </c>
      <c r="AJ747" s="285" t="s">
        <v>425</v>
      </c>
      <c r="AK747" s="24"/>
      <c r="AL747" s="24"/>
      <c r="AM747" s="24"/>
    </row>
    <row r="748" spans="1:39" ht="12.75" customHeight="1">
      <c r="A748" s="22">
        <v>746</v>
      </c>
      <c r="B748" s="24" t="s">
        <v>1421</v>
      </c>
      <c r="C748" s="24" t="s">
        <v>180</v>
      </c>
      <c r="D748" s="24" t="s">
        <v>1416</v>
      </c>
      <c r="E748" s="24" t="s">
        <v>2103</v>
      </c>
      <c r="F748" s="24">
        <v>1</v>
      </c>
      <c r="G748" s="24" t="s">
        <v>1767</v>
      </c>
      <c r="H748" s="24"/>
      <c r="I748" s="24"/>
      <c r="J748" s="283"/>
      <c r="K748" s="196"/>
      <c r="L748" s="224"/>
      <c r="M748" s="224"/>
      <c r="N748" s="224"/>
      <c r="O748" s="347" t="s">
        <v>1421</v>
      </c>
      <c r="P748" s="224"/>
      <c r="Q748" s="164"/>
      <c r="R748" s="24"/>
      <c r="S748" s="283"/>
      <c r="T748" s="224"/>
      <c r="U748" s="283"/>
      <c r="V748" s="283"/>
      <c r="W748" s="164"/>
      <c r="X748" s="24"/>
      <c r="Y748" s="283"/>
      <c r="Z748" s="24"/>
      <c r="AA748" s="24"/>
      <c r="AB748" s="24"/>
      <c r="AC748" s="24"/>
      <c r="AD748" s="283"/>
      <c r="AE748" s="283"/>
      <c r="AF748" s="283"/>
      <c r="AG748" s="283"/>
      <c r="AH748" s="285" t="s">
        <v>115</v>
      </c>
      <c r="AI748" s="285" t="s">
        <v>1422</v>
      </c>
      <c r="AJ748" s="205" t="s">
        <v>1423</v>
      </c>
      <c r="AK748" s="24"/>
      <c r="AL748" s="24"/>
      <c r="AM748" s="24"/>
    </row>
    <row r="749" spans="1:39" ht="12.75" customHeight="1">
      <c r="A749" s="22">
        <v>747</v>
      </c>
      <c r="B749" s="24" t="s">
        <v>1424</v>
      </c>
      <c r="C749" s="24" t="s">
        <v>180</v>
      </c>
      <c r="D749" s="24" t="s">
        <v>1416</v>
      </c>
      <c r="E749" s="24" t="s">
        <v>2103</v>
      </c>
      <c r="F749" s="24">
        <v>1</v>
      </c>
      <c r="G749" s="24" t="s">
        <v>1767</v>
      </c>
      <c r="H749" s="24"/>
      <c r="I749" s="24"/>
      <c r="J749" s="283"/>
      <c r="K749" s="196"/>
      <c r="L749" s="224"/>
      <c r="M749" s="224"/>
      <c r="N749" s="224"/>
      <c r="O749" s="347" t="s">
        <v>1424</v>
      </c>
      <c r="P749" s="224"/>
      <c r="Q749" s="164"/>
      <c r="R749" s="24"/>
      <c r="S749" s="283"/>
      <c r="T749" s="224"/>
      <c r="U749" s="283"/>
      <c r="V749" s="283"/>
      <c r="W749" s="164"/>
      <c r="X749" s="24"/>
      <c r="Y749" s="283"/>
      <c r="Z749" s="24"/>
      <c r="AA749" s="24"/>
      <c r="AB749" s="24"/>
      <c r="AC749" s="24"/>
      <c r="AD749" s="283"/>
      <c r="AE749" s="283"/>
      <c r="AF749" s="283"/>
      <c r="AG749" s="283"/>
      <c r="AH749" s="285" t="s">
        <v>115</v>
      </c>
      <c r="AI749" s="285" t="s">
        <v>1425</v>
      </c>
      <c r="AJ749" s="285" t="s">
        <v>1426</v>
      </c>
      <c r="AK749" s="24"/>
      <c r="AL749" s="24"/>
      <c r="AM749" s="24"/>
    </row>
    <row r="750" spans="1:39" ht="12.75" customHeight="1">
      <c r="A750" s="22">
        <v>748</v>
      </c>
      <c r="B750" s="24" t="s">
        <v>1427</v>
      </c>
      <c r="C750" s="24" t="s">
        <v>180</v>
      </c>
      <c r="D750" s="24" t="s">
        <v>1416</v>
      </c>
      <c r="E750" s="24" t="s">
        <v>2103</v>
      </c>
      <c r="F750" s="24">
        <v>1</v>
      </c>
      <c r="G750" s="24" t="s">
        <v>1767</v>
      </c>
      <c r="H750" s="24"/>
      <c r="I750" s="24"/>
      <c r="J750" s="283"/>
      <c r="K750" s="196"/>
      <c r="L750" s="224"/>
      <c r="M750" s="224"/>
      <c r="N750" s="224"/>
      <c r="O750" s="347" t="s">
        <v>1427</v>
      </c>
      <c r="P750" s="224"/>
      <c r="Q750" s="164"/>
      <c r="R750" s="24"/>
      <c r="S750" s="283"/>
      <c r="T750" s="224"/>
      <c r="U750" s="283"/>
      <c r="V750" s="283"/>
      <c r="W750" s="164"/>
      <c r="X750" s="24"/>
      <c r="Y750" s="283"/>
      <c r="Z750" s="24"/>
      <c r="AA750" s="24"/>
      <c r="AB750" s="24"/>
      <c r="AC750" s="24"/>
      <c r="AD750" s="283"/>
      <c r="AE750" s="283"/>
      <c r="AF750" s="283"/>
      <c r="AG750" s="283"/>
      <c r="AH750" s="285" t="s">
        <v>115</v>
      </c>
      <c r="AI750" s="285" t="s">
        <v>1428</v>
      </c>
      <c r="AJ750" s="285" t="s">
        <v>1429</v>
      </c>
      <c r="AK750" s="24"/>
      <c r="AL750" s="24"/>
      <c r="AM750" s="24"/>
    </row>
    <row r="751" spans="1:39" ht="12.75" customHeight="1">
      <c r="A751" s="22">
        <v>749</v>
      </c>
      <c r="B751" s="24" t="str">
        <f>"++++"</f>
        <v>++++</v>
      </c>
      <c r="C751" s="24" t="s">
        <v>180</v>
      </c>
      <c r="D751" s="24" t="s">
        <v>1416</v>
      </c>
      <c r="E751" s="24" t="s">
        <v>2103</v>
      </c>
      <c r="F751" s="24">
        <v>1</v>
      </c>
      <c r="G751" s="24" t="s">
        <v>1767</v>
      </c>
      <c r="H751" s="24"/>
      <c r="I751" s="24"/>
      <c r="J751" s="164"/>
      <c r="K751" s="164"/>
      <c r="L751" s="164"/>
      <c r="M751" s="164"/>
      <c r="N751" s="164"/>
      <c r="O751" s="164"/>
      <c r="P751" s="164"/>
      <c r="Q751" s="164"/>
      <c r="R751" s="24"/>
      <c r="S751" s="164"/>
      <c r="T751" s="164"/>
      <c r="U751" s="164"/>
      <c r="V751" s="164"/>
      <c r="W751" s="164"/>
      <c r="X751" s="24"/>
      <c r="Y751" s="164"/>
      <c r="Z751" s="24"/>
      <c r="AA751" s="24"/>
      <c r="AB751" s="24"/>
      <c r="AC751" s="24"/>
      <c r="AD751" s="164"/>
      <c r="AE751" s="164"/>
      <c r="AF751" s="164"/>
      <c r="AG751" s="164"/>
      <c r="AH751" s="285" t="s">
        <v>115</v>
      </c>
      <c r="AI751" s="285" t="s">
        <v>1431</v>
      </c>
      <c r="AJ751" s="285" t="s">
        <v>1432</v>
      </c>
      <c r="AK751" s="24"/>
      <c r="AL751" s="24"/>
      <c r="AM751" s="24"/>
    </row>
    <row r="752" spans="1:39" ht="12.75" customHeight="1">
      <c r="A752" s="22">
        <v>750</v>
      </c>
      <c r="B752" s="24" t="s">
        <v>2164</v>
      </c>
      <c r="C752" s="24" t="s">
        <v>96</v>
      </c>
      <c r="D752" s="24" t="s">
        <v>1787</v>
      </c>
      <c r="E752" s="24" t="s">
        <v>2103</v>
      </c>
      <c r="F752" s="24">
        <v>1</v>
      </c>
      <c r="G752" s="24" t="s">
        <v>1767</v>
      </c>
      <c r="H752" s="24"/>
      <c r="I752" s="24"/>
      <c r="J752" s="283"/>
      <c r="K752" s="196" t="s">
        <v>2164</v>
      </c>
      <c r="L752" s="224" t="s">
        <v>2165</v>
      </c>
      <c r="M752" s="224" t="s">
        <v>2166</v>
      </c>
      <c r="N752" s="224" t="s">
        <v>202</v>
      </c>
      <c r="O752" s="224"/>
      <c r="P752" s="224"/>
      <c r="Q752" s="164"/>
      <c r="R752" s="24"/>
      <c r="S752" s="283"/>
      <c r="T752" s="224" t="s">
        <v>113</v>
      </c>
      <c r="U752" s="283"/>
      <c r="V752" s="283"/>
      <c r="W752" s="164" t="s">
        <v>115</v>
      </c>
      <c r="X752" s="24"/>
      <c r="Y752" s="283"/>
      <c r="Z752" s="24"/>
      <c r="AA752" s="24"/>
      <c r="AB752" s="24"/>
      <c r="AC752" s="24"/>
      <c r="AD752" s="283"/>
      <c r="AE752" s="283"/>
      <c r="AF752" s="283"/>
      <c r="AG752" s="283"/>
      <c r="AH752" s="285" t="s">
        <v>115</v>
      </c>
      <c r="AI752" s="205" t="s">
        <v>2167</v>
      </c>
      <c r="AJ752" s="285" t="s">
        <v>2168</v>
      </c>
      <c r="AK752" s="24"/>
      <c r="AL752" s="24"/>
      <c r="AM752" s="24"/>
    </row>
    <row r="753" spans="1:39" ht="12.75" customHeight="1">
      <c r="A753" s="22">
        <v>751</v>
      </c>
      <c r="B753" s="24" t="s">
        <v>423</v>
      </c>
      <c r="C753" s="24" t="s">
        <v>180</v>
      </c>
      <c r="D753" s="24" t="s">
        <v>2164</v>
      </c>
      <c r="E753" s="24" t="s">
        <v>2103</v>
      </c>
      <c r="F753" s="24">
        <v>1</v>
      </c>
      <c r="G753" s="24" t="s">
        <v>1767</v>
      </c>
      <c r="H753" s="24"/>
      <c r="I753" s="24"/>
      <c r="J753" s="283"/>
      <c r="K753" s="224"/>
      <c r="L753" s="224"/>
      <c r="M753" s="224"/>
      <c r="N753" s="224"/>
      <c r="O753" s="224" t="s">
        <v>423</v>
      </c>
      <c r="P753" s="224"/>
      <c r="Q753" s="224"/>
      <c r="R753" s="24"/>
      <c r="S753" s="283"/>
      <c r="T753" s="224"/>
      <c r="U753" s="283"/>
      <c r="V753" s="283"/>
      <c r="W753" s="164"/>
      <c r="X753" s="24"/>
      <c r="Y753" s="283"/>
      <c r="Z753" s="24"/>
      <c r="AA753" s="24"/>
      <c r="AB753" s="24"/>
      <c r="AC753" s="24"/>
      <c r="AD753" s="283"/>
      <c r="AE753" s="283"/>
      <c r="AF753" s="283"/>
      <c r="AG753" s="283"/>
      <c r="AH753" s="285" t="s">
        <v>115</v>
      </c>
      <c r="AI753" s="205" t="s">
        <v>424</v>
      </c>
      <c r="AJ753" s="285" t="s">
        <v>425</v>
      </c>
      <c r="AK753" s="24"/>
      <c r="AL753" s="24"/>
      <c r="AM753" s="24"/>
    </row>
    <row r="754" spans="1:39" ht="12.75" customHeight="1">
      <c r="A754" s="22">
        <v>752</v>
      </c>
      <c r="B754" s="24" t="s">
        <v>1421</v>
      </c>
      <c r="C754" s="24" t="s">
        <v>180</v>
      </c>
      <c r="D754" s="24" t="s">
        <v>2164</v>
      </c>
      <c r="E754" s="24" t="s">
        <v>2103</v>
      </c>
      <c r="F754" s="24">
        <v>1</v>
      </c>
      <c r="G754" s="24" t="s">
        <v>1767</v>
      </c>
      <c r="H754" s="24"/>
      <c r="I754" s="24"/>
      <c r="J754" s="283"/>
      <c r="K754" s="224"/>
      <c r="L754" s="224"/>
      <c r="M754" s="224"/>
      <c r="N754" s="224"/>
      <c r="O754" s="347" t="s">
        <v>1421</v>
      </c>
      <c r="P754" s="224"/>
      <c r="Q754" s="224"/>
      <c r="R754" s="24"/>
      <c r="S754" s="283"/>
      <c r="T754" s="224"/>
      <c r="U754" s="283"/>
      <c r="V754" s="283"/>
      <c r="W754" s="164"/>
      <c r="X754" s="24"/>
      <c r="Y754" s="283"/>
      <c r="Z754" s="24"/>
      <c r="AA754" s="24"/>
      <c r="AB754" s="24"/>
      <c r="AC754" s="24"/>
      <c r="AD754" s="283"/>
      <c r="AE754" s="283"/>
      <c r="AF754" s="283"/>
      <c r="AG754" s="283"/>
      <c r="AH754" s="285" t="s">
        <v>115</v>
      </c>
      <c r="AI754" s="285" t="s">
        <v>1422</v>
      </c>
      <c r="AJ754" s="205" t="s">
        <v>1423</v>
      </c>
      <c r="AK754" s="24"/>
      <c r="AL754" s="24"/>
      <c r="AM754" s="24"/>
    </row>
    <row r="755" spans="1:39" ht="12.75" customHeight="1">
      <c r="A755" s="22">
        <v>753</v>
      </c>
      <c r="B755" s="24" t="s">
        <v>1424</v>
      </c>
      <c r="C755" s="24" t="s">
        <v>180</v>
      </c>
      <c r="D755" s="24" t="s">
        <v>2164</v>
      </c>
      <c r="E755" s="24" t="s">
        <v>2103</v>
      </c>
      <c r="F755" s="24">
        <v>1</v>
      </c>
      <c r="G755" s="24" t="s">
        <v>1767</v>
      </c>
      <c r="H755" s="24"/>
      <c r="I755" s="24"/>
      <c r="J755" s="283"/>
      <c r="K755" s="224"/>
      <c r="L755" s="224"/>
      <c r="M755" s="224"/>
      <c r="N755" s="224"/>
      <c r="O755" s="347" t="s">
        <v>1424</v>
      </c>
      <c r="P755" s="224"/>
      <c r="Q755" s="224"/>
      <c r="R755" s="24"/>
      <c r="S755" s="283"/>
      <c r="T755" s="224"/>
      <c r="U755" s="283"/>
      <c r="V755" s="283"/>
      <c r="W755" s="164"/>
      <c r="X755" s="24"/>
      <c r="Y755" s="283"/>
      <c r="Z755" s="24"/>
      <c r="AA755" s="24"/>
      <c r="AB755" s="24"/>
      <c r="AC755" s="24"/>
      <c r="AD755" s="283"/>
      <c r="AE755" s="283"/>
      <c r="AF755" s="283"/>
      <c r="AG755" s="283"/>
      <c r="AH755" s="285" t="s">
        <v>115</v>
      </c>
      <c r="AI755" s="285" t="s">
        <v>1425</v>
      </c>
      <c r="AJ755" s="285" t="s">
        <v>1426</v>
      </c>
      <c r="AK755" s="24"/>
      <c r="AL755" s="24"/>
      <c r="AM755" s="24"/>
    </row>
    <row r="756" spans="1:39" ht="12.75" customHeight="1">
      <c r="A756" s="22">
        <v>754</v>
      </c>
      <c r="B756" s="24" t="s">
        <v>1427</v>
      </c>
      <c r="C756" s="24" t="s">
        <v>180</v>
      </c>
      <c r="D756" s="24" t="s">
        <v>2164</v>
      </c>
      <c r="E756" s="24" t="s">
        <v>2103</v>
      </c>
      <c r="F756" s="24">
        <v>1</v>
      </c>
      <c r="G756" s="24" t="s">
        <v>1767</v>
      </c>
      <c r="H756" s="24"/>
      <c r="I756" s="24"/>
      <c r="J756" s="283"/>
      <c r="K756" s="224"/>
      <c r="L756" s="224"/>
      <c r="M756" s="224"/>
      <c r="N756" s="224"/>
      <c r="O756" s="347" t="s">
        <v>1427</v>
      </c>
      <c r="P756" s="224"/>
      <c r="Q756" s="224"/>
      <c r="R756" s="24"/>
      <c r="S756" s="283"/>
      <c r="T756" s="224"/>
      <c r="U756" s="283"/>
      <c r="V756" s="283"/>
      <c r="W756" s="164"/>
      <c r="X756" s="24"/>
      <c r="Y756" s="283"/>
      <c r="Z756" s="24"/>
      <c r="AA756" s="24"/>
      <c r="AB756" s="24"/>
      <c r="AC756" s="24"/>
      <c r="AD756" s="283"/>
      <c r="AE756" s="283"/>
      <c r="AF756" s="283"/>
      <c r="AG756" s="283"/>
      <c r="AH756" s="285" t="s">
        <v>115</v>
      </c>
      <c r="AI756" s="285" t="s">
        <v>1428</v>
      </c>
      <c r="AJ756" s="285" t="s">
        <v>1429</v>
      </c>
      <c r="AK756" s="24"/>
      <c r="AL756" s="24"/>
      <c r="AM756" s="24"/>
    </row>
    <row r="757" spans="1:39" ht="12.75" customHeight="1">
      <c r="A757" s="22">
        <v>755</v>
      </c>
      <c r="B757" s="24" t="s">
        <v>1430</v>
      </c>
      <c r="C757" s="24" t="s">
        <v>180</v>
      </c>
      <c r="D757" s="24" t="s">
        <v>2164</v>
      </c>
      <c r="E757" s="24" t="s">
        <v>2103</v>
      </c>
      <c r="F757" s="24">
        <v>1</v>
      </c>
      <c r="G757" s="24" t="s">
        <v>1767</v>
      </c>
      <c r="H757" s="24"/>
      <c r="I757" s="24"/>
      <c r="J757" s="283"/>
      <c r="K757" s="224"/>
      <c r="L757" s="224"/>
      <c r="M757" s="224"/>
      <c r="N757" s="224"/>
      <c r="O757" s="347" t="s">
        <v>1430</v>
      </c>
      <c r="P757" s="224"/>
      <c r="Q757" s="224"/>
      <c r="R757" s="24"/>
      <c r="S757" s="283"/>
      <c r="T757" s="224"/>
      <c r="U757" s="283"/>
      <c r="V757" s="283"/>
      <c r="W757" s="164"/>
      <c r="X757" s="24"/>
      <c r="Y757" s="283"/>
      <c r="Z757" s="24"/>
      <c r="AA757" s="24"/>
      <c r="AB757" s="24"/>
      <c r="AC757" s="24"/>
      <c r="AD757" s="283"/>
      <c r="AE757" s="283"/>
      <c r="AF757" s="283"/>
      <c r="AG757" s="283"/>
      <c r="AH757" s="285" t="s">
        <v>115</v>
      </c>
      <c r="AI757" s="285" t="s">
        <v>1431</v>
      </c>
      <c r="AJ757" s="285" t="s">
        <v>1432</v>
      </c>
      <c r="AK757" s="24"/>
      <c r="AL757" s="24"/>
      <c r="AM757" s="24"/>
    </row>
    <row r="758" spans="1:39" ht="12.75" customHeight="1">
      <c r="A758" s="22">
        <v>756</v>
      </c>
      <c r="B758" s="24" t="s">
        <v>2170</v>
      </c>
      <c r="C758" s="24" t="s">
        <v>65</v>
      </c>
      <c r="D758" s="24" t="s">
        <v>1787</v>
      </c>
      <c r="E758" s="24" t="s">
        <v>2103</v>
      </c>
      <c r="F758" s="24">
        <v>1</v>
      </c>
      <c r="G758" s="24" t="s">
        <v>1767</v>
      </c>
      <c r="H758" s="24"/>
      <c r="I758" s="24"/>
      <c r="J758" s="283"/>
      <c r="K758" s="297" t="s">
        <v>2171</v>
      </c>
      <c r="L758" s="297" t="s">
        <v>2170</v>
      </c>
      <c r="M758" s="297" t="s">
        <v>2172</v>
      </c>
      <c r="N758" s="297" t="s">
        <v>65</v>
      </c>
      <c r="O758" s="225"/>
      <c r="P758" s="297" t="s">
        <v>2173</v>
      </c>
      <c r="Q758" s="225"/>
      <c r="R758" s="24"/>
      <c r="S758" s="283"/>
      <c r="T758" s="297" t="s">
        <v>115</v>
      </c>
      <c r="U758" s="283"/>
      <c r="V758" s="283"/>
      <c r="W758" s="234" t="s">
        <v>115</v>
      </c>
      <c r="X758" s="24"/>
      <c r="Y758" s="283"/>
      <c r="Z758" s="24"/>
      <c r="AA758" s="24"/>
      <c r="AB758" s="24"/>
      <c r="AC758" s="24"/>
      <c r="AD758" s="283"/>
      <c r="AE758" s="283"/>
      <c r="AF758" s="283"/>
      <c r="AG758" s="283"/>
      <c r="AH758" s="285" t="s">
        <v>115</v>
      </c>
      <c r="AI758" s="205" t="s">
        <v>2174</v>
      </c>
      <c r="AJ758" s="285" t="s">
        <v>2175</v>
      </c>
      <c r="AK758" s="24"/>
      <c r="AL758" s="24"/>
      <c r="AM758" s="24"/>
    </row>
    <row r="759" spans="1:39" ht="12.75" customHeight="1">
      <c r="A759" s="22">
        <v>757</v>
      </c>
      <c r="B759" s="24" t="s">
        <v>2176</v>
      </c>
      <c r="C759" s="24" t="s">
        <v>96</v>
      </c>
      <c r="D759" s="24" t="s">
        <v>1787</v>
      </c>
      <c r="E759" s="24" t="s">
        <v>2177</v>
      </c>
      <c r="F759" s="24">
        <v>1</v>
      </c>
      <c r="G759" s="24" t="s">
        <v>1767</v>
      </c>
      <c r="H759" s="24"/>
      <c r="I759" s="24"/>
      <c r="J759" s="283"/>
      <c r="K759" s="224" t="s">
        <v>2176</v>
      </c>
      <c r="L759" s="224" t="s">
        <v>2178</v>
      </c>
      <c r="M759" s="224" t="s">
        <v>2179</v>
      </c>
      <c r="N759" s="224" t="s">
        <v>202</v>
      </c>
      <c r="O759" s="224"/>
      <c r="P759" s="164"/>
      <c r="Q759" s="164"/>
      <c r="R759" s="24"/>
      <c r="S759" s="283"/>
      <c r="T759" s="224" t="s">
        <v>113</v>
      </c>
      <c r="U759" s="283"/>
      <c r="V759" s="283"/>
      <c r="W759" s="164" t="s">
        <v>2180</v>
      </c>
      <c r="X759" s="24"/>
      <c r="Y759" s="283"/>
      <c r="Z759" s="24"/>
      <c r="AA759" s="24"/>
      <c r="AB759" s="24"/>
      <c r="AC759" s="24"/>
      <c r="AD759" s="283"/>
      <c r="AE759" s="283"/>
      <c r="AF759" s="283"/>
      <c r="AG759" s="283"/>
      <c r="AH759" s="285" t="s">
        <v>2181</v>
      </c>
      <c r="AI759" s="205" t="s">
        <v>1773</v>
      </c>
      <c r="AJ759" s="285" t="s">
        <v>1774</v>
      </c>
      <c r="AK759" s="24"/>
      <c r="AL759" s="24"/>
      <c r="AM759" s="24"/>
    </row>
    <row r="760" spans="1:39" ht="12.75" customHeight="1">
      <c r="A760" s="22">
        <v>758</v>
      </c>
      <c r="B760" s="24" t="s">
        <v>1775</v>
      </c>
      <c r="C760" s="24" t="s">
        <v>180</v>
      </c>
      <c r="D760" s="24" t="s">
        <v>2176</v>
      </c>
      <c r="E760" s="24" t="s">
        <v>2177</v>
      </c>
      <c r="F760" s="24">
        <v>1</v>
      </c>
      <c r="G760" s="24" t="s">
        <v>1767</v>
      </c>
      <c r="H760" s="24"/>
      <c r="I760" s="24"/>
      <c r="J760" s="283"/>
      <c r="K760" s="309"/>
      <c r="L760" s="309"/>
      <c r="M760" s="204"/>
      <c r="N760" s="204"/>
      <c r="O760" s="204" t="s">
        <v>1775</v>
      </c>
      <c r="P760" s="196"/>
      <c r="Q760" s="196"/>
      <c r="R760" s="24"/>
      <c r="S760" s="283"/>
      <c r="T760" s="309"/>
      <c r="U760" s="283"/>
      <c r="V760" s="283"/>
      <c r="W760" s="204"/>
      <c r="X760" s="24"/>
      <c r="Y760" s="283"/>
      <c r="Z760" s="24"/>
      <c r="AA760" s="24"/>
      <c r="AB760" s="24"/>
      <c r="AC760" s="24"/>
      <c r="AD760" s="283"/>
      <c r="AE760" s="283"/>
      <c r="AF760" s="283"/>
      <c r="AG760" s="283"/>
      <c r="AH760" s="205" t="s">
        <v>115</v>
      </c>
      <c r="AI760" s="205" t="s">
        <v>1777</v>
      </c>
      <c r="AJ760" s="205" t="s">
        <v>1778</v>
      </c>
      <c r="AK760" s="24"/>
      <c r="AL760" s="24"/>
      <c r="AM760" s="24"/>
    </row>
    <row r="761" spans="1:39" ht="12.75" customHeight="1">
      <c r="A761" s="22">
        <v>759</v>
      </c>
      <c r="B761" s="24" t="s">
        <v>1779</v>
      </c>
      <c r="C761" s="24" t="s">
        <v>180</v>
      </c>
      <c r="D761" s="24" t="s">
        <v>2176</v>
      </c>
      <c r="E761" s="24" t="s">
        <v>2177</v>
      </c>
      <c r="F761" s="24">
        <v>1</v>
      </c>
      <c r="G761" s="24" t="s">
        <v>1767</v>
      </c>
      <c r="H761" s="24"/>
      <c r="I761" s="24"/>
      <c r="J761" s="283"/>
      <c r="K761" s="309"/>
      <c r="L761" s="309"/>
      <c r="M761" s="204"/>
      <c r="N761" s="204"/>
      <c r="O761" s="204" t="s">
        <v>1779</v>
      </c>
      <c r="P761" s="196"/>
      <c r="Q761" s="196"/>
      <c r="R761" s="24"/>
      <c r="S761" s="283"/>
      <c r="T761" s="309"/>
      <c r="U761" s="283"/>
      <c r="V761" s="283"/>
      <c r="W761" s="204"/>
      <c r="X761" s="24"/>
      <c r="Y761" s="283"/>
      <c r="Z761" s="24"/>
      <c r="AA761" s="24"/>
      <c r="AB761" s="24"/>
      <c r="AC761" s="24"/>
      <c r="AD761" s="283"/>
      <c r="AE761" s="283"/>
      <c r="AF761" s="283"/>
      <c r="AG761" s="283"/>
      <c r="AH761" s="205" t="s">
        <v>115</v>
      </c>
      <c r="AI761" s="205" t="s">
        <v>1781</v>
      </c>
      <c r="AJ761" s="205" t="s">
        <v>1782</v>
      </c>
      <c r="AK761" s="24"/>
      <c r="AL761" s="24"/>
      <c r="AM761" s="24"/>
    </row>
    <row r="762" spans="1:39" ht="12.75" customHeight="1">
      <c r="A762" s="22">
        <v>760</v>
      </c>
      <c r="B762" s="24" t="s">
        <v>1783</v>
      </c>
      <c r="C762" s="24" t="s">
        <v>180</v>
      </c>
      <c r="D762" s="24" t="s">
        <v>2176</v>
      </c>
      <c r="E762" s="24" t="s">
        <v>2177</v>
      </c>
      <c r="F762" s="24">
        <v>1</v>
      </c>
      <c r="G762" s="24" t="s">
        <v>1767</v>
      </c>
      <c r="H762" s="24"/>
      <c r="I762" s="24"/>
      <c r="J762" s="283"/>
      <c r="K762" s="309"/>
      <c r="L762" s="309"/>
      <c r="M762" s="204"/>
      <c r="N762" s="204"/>
      <c r="O762" s="204" t="s">
        <v>1783</v>
      </c>
      <c r="P762" s="196"/>
      <c r="Q762" s="196"/>
      <c r="R762" s="24"/>
      <c r="S762" s="283"/>
      <c r="T762" s="309"/>
      <c r="U762" s="283"/>
      <c r="V762" s="283"/>
      <c r="W762" s="204"/>
      <c r="X762" s="24"/>
      <c r="Y762" s="283"/>
      <c r="Z762" s="24"/>
      <c r="AA762" s="24"/>
      <c r="AB762" s="24"/>
      <c r="AC762" s="24"/>
      <c r="AD762" s="283"/>
      <c r="AE762" s="283"/>
      <c r="AF762" s="283"/>
      <c r="AG762" s="283"/>
      <c r="AH762" s="205" t="s">
        <v>115</v>
      </c>
      <c r="AI762" s="205" t="s">
        <v>1784</v>
      </c>
      <c r="AJ762" s="205" t="s">
        <v>1785</v>
      </c>
      <c r="AK762" s="24"/>
      <c r="AL762" s="24"/>
      <c r="AM762" s="24"/>
    </row>
    <row r="763" spans="1:39" ht="12.75" customHeight="1">
      <c r="A763" s="22">
        <v>761</v>
      </c>
      <c r="B763" s="24" t="s">
        <v>1468</v>
      </c>
      <c r="C763" s="24" t="s">
        <v>180</v>
      </c>
      <c r="D763" s="24" t="s">
        <v>2176</v>
      </c>
      <c r="E763" s="24" t="s">
        <v>2177</v>
      </c>
      <c r="F763" s="24">
        <v>1</v>
      </c>
      <c r="G763" s="24" t="s">
        <v>1767</v>
      </c>
      <c r="H763" s="24"/>
      <c r="I763" s="24"/>
      <c r="J763" s="283"/>
      <c r="K763" s="309"/>
      <c r="L763" s="309"/>
      <c r="M763" s="204"/>
      <c r="N763" s="204"/>
      <c r="O763" s="204" t="s">
        <v>1468</v>
      </c>
      <c r="P763" s="196"/>
      <c r="Q763" s="196"/>
      <c r="R763" s="24"/>
      <c r="S763" s="283"/>
      <c r="T763" s="309"/>
      <c r="U763" s="283"/>
      <c r="V763" s="283"/>
      <c r="W763" s="204"/>
      <c r="X763" s="24"/>
      <c r="Y763" s="283"/>
      <c r="Z763" s="24"/>
      <c r="AA763" s="24"/>
      <c r="AB763" s="24"/>
      <c r="AC763" s="24"/>
      <c r="AD763" s="283"/>
      <c r="AE763" s="283"/>
      <c r="AF763" s="283"/>
      <c r="AG763" s="283"/>
      <c r="AH763" s="205" t="s">
        <v>115</v>
      </c>
      <c r="AI763" s="205" t="s">
        <v>1469</v>
      </c>
      <c r="AJ763" s="205" t="s">
        <v>1470</v>
      </c>
      <c r="AK763" s="24"/>
      <c r="AL763" s="24"/>
      <c r="AM763" s="24"/>
    </row>
    <row r="764" spans="1:39" ht="12.75" customHeight="1">
      <c r="A764" s="22">
        <v>762</v>
      </c>
      <c r="B764" s="24" t="s">
        <v>2182</v>
      </c>
      <c r="C764" s="24" t="s">
        <v>96</v>
      </c>
      <c r="D764" s="24" t="s">
        <v>1787</v>
      </c>
      <c r="E764" s="24" t="s">
        <v>2177</v>
      </c>
      <c r="F764" s="24">
        <v>1</v>
      </c>
      <c r="G764" s="24" t="s">
        <v>1767</v>
      </c>
      <c r="H764" s="24"/>
      <c r="I764" s="24"/>
      <c r="J764" s="164"/>
      <c r="K764" s="309" t="s">
        <v>2182</v>
      </c>
      <c r="L764" s="309" t="s">
        <v>2183</v>
      </c>
      <c r="M764" s="204" t="s">
        <v>2184</v>
      </c>
      <c r="N764" s="204" t="s">
        <v>140</v>
      </c>
      <c r="O764" s="196"/>
      <c r="P764" s="196"/>
      <c r="Q764" s="196"/>
      <c r="R764" s="24"/>
      <c r="S764" s="164"/>
      <c r="T764" s="309" t="s">
        <v>113</v>
      </c>
      <c r="U764" s="164"/>
      <c r="V764" s="164"/>
      <c r="W764" s="204" t="s">
        <v>115</v>
      </c>
      <c r="X764" s="24"/>
      <c r="Y764" s="164"/>
      <c r="Z764" s="24"/>
      <c r="AA764" s="24"/>
      <c r="AB764" s="24"/>
      <c r="AC764" s="24"/>
      <c r="AD764" s="164"/>
      <c r="AE764" s="164"/>
      <c r="AF764" s="164"/>
      <c r="AG764" s="164"/>
      <c r="AH764" s="205" t="s">
        <v>2181</v>
      </c>
      <c r="AI764" s="205" t="s">
        <v>1804</v>
      </c>
      <c r="AJ764" s="205" t="s">
        <v>1805</v>
      </c>
      <c r="AK764" s="24"/>
      <c r="AL764" s="24"/>
      <c r="AM764" s="24"/>
    </row>
    <row r="765" spans="1:39" ht="12.75" customHeight="1">
      <c r="A765" s="22">
        <v>763</v>
      </c>
      <c r="B765" s="24" t="s">
        <v>2185</v>
      </c>
      <c r="C765" s="24" t="s">
        <v>96</v>
      </c>
      <c r="D765" s="24" t="s">
        <v>1787</v>
      </c>
      <c r="E765" s="24" t="s">
        <v>2177</v>
      </c>
      <c r="F765" s="24">
        <v>1</v>
      </c>
      <c r="G765" s="24" t="s">
        <v>1767</v>
      </c>
      <c r="H765" s="24"/>
      <c r="I765" s="24"/>
      <c r="J765" s="283"/>
      <c r="K765" s="224" t="s">
        <v>2185</v>
      </c>
      <c r="L765" s="224" t="s">
        <v>2186</v>
      </c>
      <c r="M765" s="224" t="s">
        <v>2187</v>
      </c>
      <c r="N765" s="224" t="s">
        <v>202</v>
      </c>
      <c r="O765" s="196"/>
      <c r="P765" s="164"/>
      <c r="Q765" s="164"/>
      <c r="R765" s="24"/>
      <c r="S765" s="283"/>
      <c r="T765" s="224" t="s">
        <v>113</v>
      </c>
      <c r="U765" s="283"/>
      <c r="V765" s="283"/>
      <c r="W765" s="196" t="s">
        <v>115</v>
      </c>
      <c r="X765" s="24"/>
      <c r="Y765" s="283"/>
      <c r="Z765" s="24"/>
      <c r="AA765" s="24"/>
      <c r="AB765" s="24"/>
      <c r="AC765" s="24"/>
      <c r="AD765" s="283"/>
      <c r="AE765" s="283"/>
      <c r="AF765" s="283"/>
      <c r="AG765" s="283"/>
      <c r="AH765" s="285" t="s">
        <v>115</v>
      </c>
      <c r="AI765" s="285" t="s">
        <v>2188</v>
      </c>
      <c r="AJ765" s="285" t="s">
        <v>2189</v>
      </c>
      <c r="AK765" s="24"/>
      <c r="AL765" s="24"/>
      <c r="AM765" s="24"/>
    </row>
    <row r="766" spans="1:39" ht="12.75" customHeight="1">
      <c r="A766" s="22">
        <v>764</v>
      </c>
      <c r="B766" s="24" t="s">
        <v>2190</v>
      </c>
      <c r="C766" s="24" t="s">
        <v>180</v>
      </c>
      <c r="D766" s="24" t="s">
        <v>2185</v>
      </c>
      <c r="E766" s="24" t="s">
        <v>2177</v>
      </c>
      <c r="F766" s="24">
        <v>1</v>
      </c>
      <c r="G766" s="24" t="s">
        <v>1767</v>
      </c>
      <c r="H766" s="24"/>
      <c r="I766" s="24"/>
      <c r="J766" s="283"/>
      <c r="K766" s="224"/>
      <c r="L766" s="224"/>
      <c r="M766" s="224"/>
      <c r="N766" s="224"/>
      <c r="O766" s="196" t="s">
        <v>2190</v>
      </c>
      <c r="P766" s="196"/>
      <c r="Q766" s="204"/>
      <c r="R766" s="24"/>
      <c r="S766" s="283"/>
      <c r="T766" s="224"/>
      <c r="U766" s="283"/>
      <c r="V766" s="283"/>
      <c r="W766" s="196"/>
      <c r="X766" s="24"/>
      <c r="Y766" s="283"/>
      <c r="Z766" s="24"/>
      <c r="AA766" s="24"/>
      <c r="AB766" s="24"/>
      <c r="AC766" s="24"/>
      <c r="AD766" s="283"/>
      <c r="AE766" s="283"/>
      <c r="AF766" s="283"/>
      <c r="AG766" s="283"/>
      <c r="AH766" s="285" t="s">
        <v>115</v>
      </c>
      <c r="AI766" s="205" t="s">
        <v>2191</v>
      </c>
      <c r="AJ766" s="285" t="s">
        <v>2192</v>
      </c>
      <c r="AK766" s="24"/>
      <c r="AL766" s="24"/>
      <c r="AM766" s="24"/>
    </row>
    <row r="767" spans="1:39" ht="12.75" customHeight="1">
      <c r="A767" s="22">
        <v>765</v>
      </c>
      <c r="B767" s="24" t="s">
        <v>2193</v>
      </c>
      <c r="C767" s="24" t="s">
        <v>180</v>
      </c>
      <c r="D767" s="24" t="s">
        <v>2185</v>
      </c>
      <c r="E767" s="24" t="s">
        <v>2177</v>
      </c>
      <c r="F767" s="24">
        <v>1</v>
      </c>
      <c r="G767" s="24" t="s">
        <v>1767</v>
      </c>
      <c r="H767" s="24"/>
      <c r="I767" s="24"/>
      <c r="J767" s="283"/>
      <c r="K767" s="224"/>
      <c r="L767" s="224"/>
      <c r="M767" s="224"/>
      <c r="N767" s="224"/>
      <c r="O767" s="204" t="s">
        <v>2193</v>
      </c>
      <c r="P767" s="196"/>
      <c r="Q767" s="204"/>
      <c r="R767" s="24"/>
      <c r="S767" s="283"/>
      <c r="T767" s="224"/>
      <c r="U767" s="283"/>
      <c r="V767" s="283"/>
      <c r="W767" s="196"/>
      <c r="X767" s="24"/>
      <c r="Y767" s="283"/>
      <c r="Z767" s="24"/>
      <c r="AA767" s="24"/>
      <c r="AB767" s="24"/>
      <c r="AC767" s="24"/>
      <c r="AD767" s="283"/>
      <c r="AE767" s="283"/>
      <c r="AF767" s="283"/>
      <c r="AG767" s="283"/>
      <c r="AH767" s="285" t="s">
        <v>115</v>
      </c>
      <c r="AI767" s="205" t="s">
        <v>2194</v>
      </c>
      <c r="AJ767" s="285" t="s">
        <v>2195</v>
      </c>
      <c r="AK767" s="24"/>
      <c r="AL767" s="24"/>
      <c r="AM767" s="24"/>
    </row>
    <row r="768" spans="1:39" ht="12.75" customHeight="1">
      <c r="A768" s="22">
        <v>766</v>
      </c>
      <c r="B768" s="24" t="s">
        <v>2196</v>
      </c>
      <c r="C768" s="24" t="s">
        <v>180</v>
      </c>
      <c r="D768" s="24" t="s">
        <v>2185</v>
      </c>
      <c r="E768" s="24" t="s">
        <v>2177</v>
      </c>
      <c r="F768" s="24">
        <v>1</v>
      </c>
      <c r="G768" s="24" t="s">
        <v>1767</v>
      </c>
      <c r="H768" s="24"/>
      <c r="I768" s="24"/>
      <c r="J768" s="283"/>
      <c r="K768" s="224"/>
      <c r="L768" s="224"/>
      <c r="M768" s="224"/>
      <c r="N768" s="224"/>
      <c r="O768" s="204" t="s">
        <v>2196</v>
      </c>
      <c r="P768" s="196"/>
      <c r="Q768" s="204"/>
      <c r="R768" s="24"/>
      <c r="S768" s="283"/>
      <c r="T768" s="224"/>
      <c r="U768" s="283"/>
      <c r="V768" s="283"/>
      <c r="W768" s="196"/>
      <c r="X768" s="24"/>
      <c r="Y768" s="283"/>
      <c r="Z768" s="24"/>
      <c r="AA768" s="24"/>
      <c r="AB768" s="24"/>
      <c r="AC768" s="24"/>
      <c r="AD768" s="283"/>
      <c r="AE768" s="283"/>
      <c r="AF768" s="283"/>
      <c r="AG768" s="283"/>
      <c r="AH768" s="285" t="s">
        <v>115</v>
      </c>
      <c r="AI768" s="205" t="s">
        <v>2197</v>
      </c>
      <c r="AJ768" s="285" t="s">
        <v>2198</v>
      </c>
      <c r="AK768" s="24"/>
      <c r="AL768" s="24"/>
      <c r="AM768" s="24"/>
    </row>
    <row r="769" spans="1:39" ht="12.75" customHeight="1">
      <c r="A769" s="22">
        <v>767</v>
      </c>
      <c r="B769" s="24" t="s">
        <v>2199</v>
      </c>
      <c r="C769" s="24" t="s">
        <v>96</v>
      </c>
      <c r="D769" s="24" t="s">
        <v>1787</v>
      </c>
      <c r="E769" s="24" t="s">
        <v>2177</v>
      </c>
      <c r="F769" s="24">
        <v>1</v>
      </c>
      <c r="G769" s="24" t="s">
        <v>1767</v>
      </c>
      <c r="H769" s="24"/>
      <c r="I769" s="24"/>
      <c r="J769" s="283"/>
      <c r="K769" s="224" t="s">
        <v>2199</v>
      </c>
      <c r="L769" s="224" t="s">
        <v>2200</v>
      </c>
      <c r="M769" s="224" t="s">
        <v>2201</v>
      </c>
      <c r="N769" s="224" t="s">
        <v>168</v>
      </c>
      <c r="O769" s="196"/>
      <c r="P769" s="196"/>
      <c r="Q769" s="204"/>
      <c r="R769" s="204" t="s">
        <v>2202</v>
      </c>
      <c r="S769" s="283"/>
      <c r="T769" s="224" t="s">
        <v>113</v>
      </c>
      <c r="U769" s="283"/>
      <c r="V769" s="283"/>
      <c r="W769" s="196" t="s">
        <v>115</v>
      </c>
      <c r="X769" s="24"/>
      <c r="Y769" s="283"/>
      <c r="Z769" s="24"/>
      <c r="AA769" s="24"/>
      <c r="AB769" s="24"/>
      <c r="AC769" s="24"/>
      <c r="AD769" s="283"/>
      <c r="AE769" s="283"/>
      <c r="AF769" s="283"/>
      <c r="AG769" s="283"/>
      <c r="AH769" s="285" t="s">
        <v>115</v>
      </c>
      <c r="AI769" s="205" t="s">
        <v>2191</v>
      </c>
      <c r="AJ769" s="285" t="s">
        <v>2192</v>
      </c>
      <c r="AK769" s="24"/>
      <c r="AL769" s="24"/>
      <c r="AM769" s="24"/>
    </row>
    <row r="770" spans="1:39" ht="12.75" customHeight="1">
      <c r="A770" s="22">
        <v>768</v>
      </c>
      <c r="B770" s="24" t="s">
        <v>2203</v>
      </c>
      <c r="C770" s="24" t="s">
        <v>96</v>
      </c>
      <c r="D770" s="24" t="s">
        <v>1787</v>
      </c>
      <c r="E770" s="24" t="s">
        <v>2177</v>
      </c>
      <c r="F770" s="24">
        <v>1</v>
      </c>
      <c r="G770" s="24" t="s">
        <v>1767</v>
      </c>
      <c r="H770" s="24"/>
      <c r="I770" s="24"/>
      <c r="J770" s="283"/>
      <c r="K770" s="224" t="s">
        <v>2203</v>
      </c>
      <c r="L770" s="224" t="s">
        <v>2204</v>
      </c>
      <c r="M770" s="224" t="s">
        <v>2205</v>
      </c>
      <c r="N770" s="224" t="s">
        <v>168</v>
      </c>
      <c r="O770" s="164"/>
      <c r="P770" s="164"/>
      <c r="Q770" s="224"/>
      <c r="R770" s="224" t="s">
        <v>2202</v>
      </c>
      <c r="S770" s="283"/>
      <c r="T770" s="224" t="s">
        <v>113</v>
      </c>
      <c r="U770" s="283"/>
      <c r="V770" s="283"/>
      <c r="W770" s="196" t="s">
        <v>115</v>
      </c>
      <c r="X770" s="24"/>
      <c r="Y770" s="283"/>
      <c r="Z770" s="24"/>
      <c r="AA770" s="24"/>
      <c r="AB770" s="24"/>
      <c r="AC770" s="24"/>
      <c r="AD770" s="283"/>
      <c r="AE770" s="283"/>
      <c r="AF770" s="283"/>
      <c r="AG770" s="283"/>
      <c r="AH770" s="285" t="s">
        <v>115</v>
      </c>
      <c r="AI770" s="205" t="s">
        <v>2194</v>
      </c>
      <c r="AJ770" s="285" t="s">
        <v>2195</v>
      </c>
      <c r="AK770" s="24"/>
      <c r="AL770" s="24"/>
      <c r="AM770" s="24"/>
    </row>
    <row r="771" spans="1:39" ht="12.75" customHeight="1">
      <c r="A771" s="22">
        <v>769</v>
      </c>
      <c r="B771" s="24" t="s">
        <v>2206</v>
      </c>
      <c r="C771" s="24" t="s">
        <v>96</v>
      </c>
      <c r="D771" s="24" t="s">
        <v>1787</v>
      </c>
      <c r="E771" s="24" t="s">
        <v>2177</v>
      </c>
      <c r="F771" s="24">
        <v>1</v>
      </c>
      <c r="G771" s="24" t="s">
        <v>1767</v>
      </c>
      <c r="H771" s="24"/>
      <c r="I771" s="24"/>
      <c r="J771" s="283"/>
      <c r="K771" s="204" t="s">
        <v>2206</v>
      </c>
      <c r="L771" s="204" t="s">
        <v>2207</v>
      </c>
      <c r="M771" s="204" t="s">
        <v>2208</v>
      </c>
      <c r="N771" s="204" t="s">
        <v>168</v>
      </c>
      <c r="O771" s="196"/>
      <c r="P771" s="196"/>
      <c r="Q771" s="204"/>
      <c r="R771" s="204" t="s">
        <v>2202</v>
      </c>
      <c r="S771" s="283"/>
      <c r="T771" s="204" t="s">
        <v>113</v>
      </c>
      <c r="U771" s="283"/>
      <c r="V771" s="283"/>
      <c r="W771" s="196" t="s">
        <v>115</v>
      </c>
      <c r="X771" s="24"/>
      <c r="Y771" s="283"/>
      <c r="Z771" s="24"/>
      <c r="AA771" s="24"/>
      <c r="AB771" s="24"/>
      <c r="AC771" s="24"/>
      <c r="AD771" s="283"/>
      <c r="AE771" s="283"/>
      <c r="AF771" s="283"/>
      <c r="AG771" s="283"/>
      <c r="AH771" s="285" t="s">
        <v>115</v>
      </c>
      <c r="AI771" s="205" t="s">
        <v>2209</v>
      </c>
      <c r="AJ771" s="285" t="s">
        <v>2210</v>
      </c>
      <c r="AK771" s="24"/>
      <c r="AL771" s="24"/>
      <c r="AM771" s="24"/>
    </row>
    <row r="772" spans="1:39" ht="12.75" customHeight="1">
      <c r="A772" s="22">
        <v>770</v>
      </c>
      <c r="B772" s="24" t="s">
        <v>2211</v>
      </c>
      <c r="C772" s="24" t="s">
        <v>96</v>
      </c>
      <c r="D772" s="24" t="s">
        <v>1787</v>
      </c>
      <c r="E772" s="24" t="s">
        <v>2177</v>
      </c>
      <c r="F772" s="24">
        <v>1</v>
      </c>
      <c r="G772" s="24" t="s">
        <v>1767</v>
      </c>
      <c r="H772" s="24"/>
      <c r="I772" s="24"/>
      <c r="J772" s="283"/>
      <c r="K772" s="204" t="s">
        <v>2211</v>
      </c>
      <c r="L772" s="204" t="s">
        <v>2212</v>
      </c>
      <c r="M772" s="204" t="s">
        <v>2213</v>
      </c>
      <c r="N772" s="204" t="s">
        <v>168</v>
      </c>
      <c r="O772" s="196"/>
      <c r="P772" s="196"/>
      <c r="Q772" s="204"/>
      <c r="R772" s="204" t="s">
        <v>2202</v>
      </c>
      <c r="S772" s="283"/>
      <c r="T772" s="204" t="s">
        <v>113</v>
      </c>
      <c r="U772" s="283"/>
      <c r="V772" s="283"/>
      <c r="W772" s="196" t="s">
        <v>115</v>
      </c>
      <c r="X772" s="24"/>
      <c r="Y772" s="283"/>
      <c r="Z772" s="24"/>
      <c r="AA772" s="24"/>
      <c r="AB772" s="24"/>
      <c r="AC772" s="24"/>
      <c r="AD772" s="283"/>
      <c r="AE772" s="283"/>
      <c r="AF772" s="283"/>
      <c r="AG772" s="283"/>
      <c r="AH772" s="285" t="s">
        <v>115</v>
      </c>
      <c r="AI772" s="205" t="s">
        <v>2214</v>
      </c>
      <c r="AJ772" s="285" t="s">
        <v>2215</v>
      </c>
      <c r="AK772" s="24"/>
      <c r="AL772" s="24"/>
      <c r="AM772" s="24"/>
    </row>
    <row r="773" spans="1:39" ht="12.75" customHeight="1">
      <c r="A773" s="22">
        <v>771</v>
      </c>
      <c r="B773" s="24" t="s">
        <v>2216</v>
      </c>
      <c r="C773" s="24" t="s">
        <v>96</v>
      </c>
      <c r="D773" s="24" t="s">
        <v>1787</v>
      </c>
      <c r="E773" s="24" t="s">
        <v>2177</v>
      </c>
      <c r="F773" s="24">
        <v>1</v>
      </c>
      <c r="G773" s="24" t="s">
        <v>1767</v>
      </c>
      <c r="H773" s="24"/>
      <c r="I773" s="24"/>
      <c r="J773" s="283"/>
      <c r="K773" s="204" t="s">
        <v>2216</v>
      </c>
      <c r="L773" s="204" t="s">
        <v>2217</v>
      </c>
      <c r="M773" s="204" t="s">
        <v>2218</v>
      </c>
      <c r="N773" s="204" t="s">
        <v>168</v>
      </c>
      <c r="O773" s="196"/>
      <c r="P773" s="204"/>
      <c r="Q773" s="204"/>
      <c r="R773" s="204" t="s">
        <v>2202</v>
      </c>
      <c r="S773" s="283"/>
      <c r="T773" s="204" t="s">
        <v>113</v>
      </c>
      <c r="U773" s="283"/>
      <c r="V773" s="283"/>
      <c r="W773" s="196" t="s">
        <v>115</v>
      </c>
      <c r="X773" s="24"/>
      <c r="Y773" s="283"/>
      <c r="Z773" s="24"/>
      <c r="AA773" s="24"/>
      <c r="AB773" s="24"/>
      <c r="AC773" s="24"/>
      <c r="AD773" s="283"/>
      <c r="AE773" s="283"/>
      <c r="AF773" s="283"/>
      <c r="AG773" s="283"/>
      <c r="AH773" s="285" t="s">
        <v>115</v>
      </c>
      <c r="AI773" s="205" t="s">
        <v>2197</v>
      </c>
      <c r="AJ773" s="285" t="s">
        <v>2198</v>
      </c>
      <c r="AK773" s="24"/>
      <c r="AL773" s="24"/>
      <c r="AM773" s="24"/>
    </row>
    <row r="774" spans="1:39" ht="12.75" customHeight="1">
      <c r="A774" s="22">
        <v>772</v>
      </c>
      <c r="B774" s="24" t="s">
        <v>2219</v>
      </c>
      <c r="C774" s="24" t="s">
        <v>65</v>
      </c>
      <c r="D774" s="24" t="s">
        <v>1787</v>
      </c>
      <c r="E774" s="24" t="s">
        <v>2177</v>
      </c>
      <c r="F774" s="24">
        <v>1</v>
      </c>
      <c r="G774" s="24" t="s">
        <v>1767</v>
      </c>
      <c r="H774" s="24"/>
      <c r="I774" s="24"/>
      <c r="J774" s="283"/>
      <c r="K774" s="234" t="s">
        <v>2220</v>
      </c>
      <c r="L774" s="234" t="s">
        <v>2219</v>
      </c>
      <c r="M774" s="234" t="s">
        <v>2221</v>
      </c>
      <c r="N774" s="234" t="s">
        <v>65</v>
      </c>
      <c r="O774" s="249"/>
      <c r="P774" s="234" t="s">
        <v>2222</v>
      </c>
      <c r="Q774" s="249"/>
      <c r="R774" s="24"/>
      <c r="S774" s="283"/>
      <c r="T774" s="234" t="s">
        <v>115</v>
      </c>
      <c r="U774" s="283"/>
      <c r="V774" s="283"/>
      <c r="W774" s="249" t="s">
        <v>115</v>
      </c>
      <c r="X774" s="24"/>
      <c r="Y774" s="283"/>
      <c r="Z774" s="24"/>
      <c r="AA774" s="24"/>
      <c r="AB774" s="24"/>
      <c r="AC774" s="24"/>
      <c r="AD774" s="283"/>
      <c r="AE774" s="283"/>
      <c r="AF774" s="283"/>
      <c r="AG774" s="283"/>
      <c r="AH774" s="285" t="s">
        <v>115</v>
      </c>
      <c r="AI774" s="205" t="s">
        <v>2223</v>
      </c>
      <c r="AJ774" s="285" t="s">
        <v>2224</v>
      </c>
      <c r="AK774" s="24"/>
      <c r="AL774" s="24"/>
      <c r="AM774" s="24"/>
    </row>
    <row r="775" spans="1:39" ht="12.75" customHeight="1">
      <c r="A775" s="22">
        <v>773</v>
      </c>
      <c r="B775" s="24" t="s">
        <v>2225</v>
      </c>
      <c r="C775" s="24" t="s">
        <v>65</v>
      </c>
      <c r="D775" s="24" t="s">
        <v>1787</v>
      </c>
      <c r="E775" s="24" t="s">
        <v>2177</v>
      </c>
      <c r="F775" s="24">
        <v>1</v>
      </c>
      <c r="G775" s="24" t="s">
        <v>1767</v>
      </c>
      <c r="H775" s="24"/>
      <c r="I775" s="24"/>
      <c r="J775" s="283"/>
      <c r="K775" s="234" t="s">
        <v>2226</v>
      </c>
      <c r="L775" s="234" t="s">
        <v>2225</v>
      </c>
      <c r="M775" s="234" t="s">
        <v>2227</v>
      </c>
      <c r="N775" s="234" t="s">
        <v>65</v>
      </c>
      <c r="O775" s="249"/>
      <c r="P775" s="234" t="s">
        <v>2228</v>
      </c>
      <c r="Q775" s="249"/>
      <c r="R775" s="24"/>
      <c r="S775" s="283"/>
      <c r="T775" s="234" t="s">
        <v>115</v>
      </c>
      <c r="U775" s="283"/>
      <c r="V775" s="283"/>
      <c r="W775" s="249" t="s">
        <v>115</v>
      </c>
      <c r="X775" s="24"/>
      <c r="Y775" s="283"/>
      <c r="Z775" s="24"/>
      <c r="AA775" s="24"/>
      <c r="AB775" s="24"/>
      <c r="AC775" s="24"/>
      <c r="AD775" s="283"/>
      <c r="AE775" s="283"/>
      <c r="AF775" s="283"/>
      <c r="AG775" s="283"/>
      <c r="AH775" s="285" t="s">
        <v>115</v>
      </c>
      <c r="AI775" s="205" t="s">
        <v>2229</v>
      </c>
      <c r="AJ775" s="285" t="s">
        <v>2230</v>
      </c>
      <c r="AK775" s="24"/>
      <c r="AL775" s="24"/>
      <c r="AM775" s="24"/>
    </row>
    <row r="776" spans="1:39" ht="12.75" customHeight="1">
      <c r="A776" s="22">
        <v>774</v>
      </c>
      <c r="B776" s="24" t="s">
        <v>2231</v>
      </c>
      <c r="C776" s="24" t="s">
        <v>96</v>
      </c>
      <c r="D776" s="24" t="s">
        <v>1787</v>
      </c>
      <c r="E776" s="24" t="s">
        <v>2232</v>
      </c>
      <c r="F776" s="24">
        <v>1</v>
      </c>
      <c r="G776" s="24" t="s">
        <v>1767</v>
      </c>
      <c r="H776" s="24"/>
      <c r="I776" s="24"/>
      <c r="J776" s="283"/>
      <c r="K776" s="224" t="s">
        <v>2231</v>
      </c>
      <c r="L776" s="224" t="s">
        <v>2233</v>
      </c>
      <c r="M776" s="224" t="s">
        <v>2234</v>
      </c>
      <c r="N776" s="224" t="s">
        <v>202</v>
      </c>
      <c r="O776" s="224"/>
      <c r="P776" s="164"/>
      <c r="Q776" s="224"/>
      <c r="R776" s="24"/>
      <c r="S776" s="283"/>
      <c r="T776" s="224" t="s">
        <v>113</v>
      </c>
      <c r="U776" s="283"/>
      <c r="V776" s="283"/>
      <c r="W776" s="224" t="s">
        <v>2235</v>
      </c>
      <c r="X776" s="24"/>
      <c r="Y776" s="283"/>
      <c r="Z776" s="24"/>
      <c r="AA776" s="24"/>
      <c r="AB776" s="24"/>
      <c r="AC776" s="24"/>
      <c r="AD776" s="283"/>
      <c r="AE776" s="283"/>
      <c r="AF776" s="283"/>
      <c r="AG776" s="283"/>
      <c r="AH776" s="285" t="s">
        <v>2236</v>
      </c>
      <c r="AI776" s="205" t="s">
        <v>1773</v>
      </c>
      <c r="AJ776" s="285" t="s">
        <v>1774</v>
      </c>
      <c r="AK776" s="24"/>
      <c r="AL776" s="24"/>
      <c r="AM776" s="24"/>
    </row>
    <row r="777" spans="1:39" ht="12.75" customHeight="1">
      <c r="A777" s="22">
        <v>775</v>
      </c>
      <c r="B777" s="24" t="s">
        <v>1775</v>
      </c>
      <c r="C777" s="24" t="s">
        <v>180</v>
      </c>
      <c r="D777" s="24" t="s">
        <v>2231</v>
      </c>
      <c r="E777" s="24" t="s">
        <v>2232</v>
      </c>
      <c r="F777" s="24">
        <v>1</v>
      </c>
      <c r="G777" s="24" t="s">
        <v>1767</v>
      </c>
      <c r="H777" s="24"/>
      <c r="I777" s="24"/>
      <c r="J777" s="283"/>
      <c r="K777" s="224"/>
      <c r="L777" s="224"/>
      <c r="M777" s="224"/>
      <c r="N777" s="224"/>
      <c r="O777" s="204" t="s">
        <v>1775</v>
      </c>
      <c r="P777" s="164"/>
      <c r="Q777" s="224"/>
      <c r="R777" s="24"/>
      <c r="S777" s="283"/>
      <c r="T777" s="224"/>
      <c r="U777" s="283"/>
      <c r="V777" s="283"/>
      <c r="W777" s="164"/>
      <c r="X777" s="24"/>
      <c r="Y777" s="283"/>
      <c r="Z777" s="24"/>
      <c r="AA777" s="24"/>
      <c r="AB777" s="24"/>
      <c r="AC777" s="24"/>
      <c r="AD777" s="283"/>
      <c r="AE777" s="283"/>
      <c r="AF777" s="283"/>
      <c r="AG777" s="283"/>
      <c r="AH777" s="285" t="s">
        <v>115</v>
      </c>
      <c r="AI777" s="285" t="s">
        <v>1777</v>
      </c>
      <c r="AJ777" s="285" t="s">
        <v>1778</v>
      </c>
      <c r="AK777" s="24"/>
      <c r="AL777" s="24"/>
      <c r="AM777" s="24"/>
    </row>
    <row r="778" spans="1:39" ht="12.75" customHeight="1">
      <c r="A778" s="22">
        <v>776</v>
      </c>
      <c r="B778" s="24" t="s">
        <v>1779</v>
      </c>
      <c r="C778" s="24" t="s">
        <v>180</v>
      </c>
      <c r="D778" s="24" t="s">
        <v>2231</v>
      </c>
      <c r="E778" s="24" t="s">
        <v>2232</v>
      </c>
      <c r="F778" s="24">
        <v>1</v>
      </c>
      <c r="G778" s="24" t="s">
        <v>1767</v>
      </c>
      <c r="H778" s="24"/>
      <c r="I778" s="24"/>
      <c r="J778" s="283"/>
      <c r="K778" s="224"/>
      <c r="L778" s="224"/>
      <c r="M778" s="224"/>
      <c r="N778" s="224"/>
      <c r="O778" s="204" t="s">
        <v>1779</v>
      </c>
      <c r="P778" s="164"/>
      <c r="Q778" s="224"/>
      <c r="R778" s="24"/>
      <c r="S778" s="283"/>
      <c r="T778" s="224"/>
      <c r="U778" s="283"/>
      <c r="V778" s="283"/>
      <c r="W778" s="164"/>
      <c r="X778" s="24"/>
      <c r="Y778" s="283"/>
      <c r="Z778" s="24"/>
      <c r="AA778" s="24"/>
      <c r="AB778" s="24"/>
      <c r="AC778" s="24"/>
      <c r="AD778" s="283"/>
      <c r="AE778" s="283"/>
      <c r="AF778" s="283"/>
      <c r="AG778" s="283"/>
      <c r="AH778" s="285" t="s">
        <v>115</v>
      </c>
      <c r="AI778" s="285" t="s">
        <v>1781</v>
      </c>
      <c r="AJ778" s="285" t="s">
        <v>1782</v>
      </c>
      <c r="AK778" s="24"/>
      <c r="AL778" s="24"/>
      <c r="AM778" s="24"/>
    </row>
    <row r="779" spans="1:39" ht="12.75" customHeight="1">
      <c r="A779" s="22">
        <v>777</v>
      </c>
      <c r="B779" s="24" t="s">
        <v>1783</v>
      </c>
      <c r="C779" s="24" t="s">
        <v>180</v>
      </c>
      <c r="D779" s="24" t="s">
        <v>2231</v>
      </c>
      <c r="E779" s="24" t="s">
        <v>2232</v>
      </c>
      <c r="F779" s="24">
        <v>1</v>
      </c>
      <c r="G779" s="24" t="s">
        <v>1767</v>
      </c>
      <c r="H779" s="24"/>
      <c r="I779" s="24"/>
      <c r="J779" s="283"/>
      <c r="K779" s="224"/>
      <c r="L779" s="224"/>
      <c r="M779" s="224"/>
      <c r="N779" s="224"/>
      <c r="O779" s="204" t="s">
        <v>1783</v>
      </c>
      <c r="P779" s="164"/>
      <c r="Q779" s="224"/>
      <c r="R779" s="24"/>
      <c r="S779" s="283"/>
      <c r="T779" s="224"/>
      <c r="U779" s="283"/>
      <c r="V779" s="283"/>
      <c r="W779" s="164"/>
      <c r="X779" s="24"/>
      <c r="Y779" s="283"/>
      <c r="Z779" s="24"/>
      <c r="AA779" s="24"/>
      <c r="AB779" s="24"/>
      <c r="AC779" s="24"/>
      <c r="AD779" s="283"/>
      <c r="AE779" s="283"/>
      <c r="AF779" s="283"/>
      <c r="AG779" s="283"/>
      <c r="AH779" s="285" t="s">
        <v>115</v>
      </c>
      <c r="AI779" s="285" t="s">
        <v>1784</v>
      </c>
      <c r="AJ779" s="205" t="s">
        <v>1785</v>
      </c>
      <c r="AK779" s="24"/>
      <c r="AL779" s="24"/>
      <c r="AM779" s="24"/>
    </row>
    <row r="780" spans="1:39" ht="12.75" customHeight="1">
      <c r="A780" s="22">
        <v>778</v>
      </c>
      <c r="B780" s="24" t="s">
        <v>1468</v>
      </c>
      <c r="C780" s="24" t="s">
        <v>180</v>
      </c>
      <c r="D780" s="24" t="s">
        <v>2231</v>
      </c>
      <c r="E780" s="24" t="s">
        <v>2232</v>
      </c>
      <c r="F780" s="24">
        <v>1</v>
      </c>
      <c r="G780" s="24" t="s">
        <v>1767</v>
      </c>
      <c r="H780" s="24"/>
      <c r="I780" s="24"/>
      <c r="J780" s="283"/>
      <c r="K780" s="224"/>
      <c r="L780" s="224"/>
      <c r="M780" s="224"/>
      <c r="N780" s="224"/>
      <c r="O780" s="204" t="s">
        <v>1468</v>
      </c>
      <c r="P780" s="164"/>
      <c r="Q780" s="224"/>
      <c r="R780" s="24"/>
      <c r="S780" s="283"/>
      <c r="T780" s="224"/>
      <c r="U780" s="283"/>
      <c r="V780" s="283"/>
      <c r="W780" s="164"/>
      <c r="X780" s="24"/>
      <c r="Y780" s="283"/>
      <c r="Z780" s="24"/>
      <c r="AA780" s="24"/>
      <c r="AB780" s="24"/>
      <c r="AC780" s="24"/>
      <c r="AD780" s="283"/>
      <c r="AE780" s="283"/>
      <c r="AF780" s="283"/>
      <c r="AG780" s="283"/>
      <c r="AH780" s="285" t="s">
        <v>115</v>
      </c>
      <c r="AI780" s="285" t="s">
        <v>1469</v>
      </c>
      <c r="AJ780" s="205" t="s">
        <v>1470</v>
      </c>
      <c r="AK780" s="24"/>
      <c r="AL780" s="24"/>
      <c r="AM780" s="24"/>
    </row>
    <row r="781" spans="1:39" ht="12.75" customHeight="1">
      <c r="A781" s="22">
        <v>779</v>
      </c>
      <c r="B781" s="24" t="s">
        <v>2239</v>
      </c>
      <c r="C781" s="24" t="s">
        <v>96</v>
      </c>
      <c r="D781" s="24" t="s">
        <v>1787</v>
      </c>
      <c r="E781" s="24" t="s">
        <v>2232</v>
      </c>
      <c r="F781" s="24">
        <v>1</v>
      </c>
      <c r="G781" s="24" t="s">
        <v>1767</v>
      </c>
      <c r="H781" s="24"/>
      <c r="I781" s="24"/>
      <c r="J781" s="283"/>
      <c r="K781" s="224" t="s">
        <v>1376</v>
      </c>
      <c r="L781" s="224" t="s">
        <v>2240</v>
      </c>
      <c r="M781" s="224" t="s">
        <v>2241</v>
      </c>
      <c r="N781" s="224" t="s">
        <v>238</v>
      </c>
      <c r="O781" s="224"/>
      <c r="P781" s="164"/>
      <c r="Q781" s="224"/>
      <c r="R781" s="24"/>
      <c r="S781" s="283"/>
      <c r="T781" s="224" t="s">
        <v>113</v>
      </c>
      <c r="U781" s="283"/>
      <c r="V781" s="283"/>
      <c r="W781" s="164" t="s">
        <v>115</v>
      </c>
      <c r="X781" s="24"/>
      <c r="Y781" s="283"/>
      <c r="Z781" s="24"/>
      <c r="AA781" s="24"/>
      <c r="AB781" s="24"/>
      <c r="AC781" s="24"/>
      <c r="AD781" s="283"/>
      <c r="AE781" s="283"/>
      <c r="AF781" s="283"/>
      <c r="AG781" s="283"/>
      <c r="AH781" s="285" t="s">
        <v>2236</v>
      </c>
      <c r="AI781" s="205" t="s">
        <v>1791</v>
      </c>
      <c r="AJ781" s="285" t="s">
        <v>1792</v>
      </c>
      <c r="AK781" s="24"/>
      <c r="AL781" s="24"/>
      <c r="AM781" s="24"/>
    </row>
    <row r="782" spans="1:39" ht="12.75" customHeight="1">
      <c r="A782" s="22">
        <v>780</v>
      </c>
      <c r="B782" s="24" t="s">
        <v>2243</v>
      </c>
      <c r="C782" s="24" t="s">
        <v>180</v>
      </c>
      <c r="D782" s="24" t="s">
        <v>1376</v>
      </c>
      <c r="E782" s="24" t="s">
        <v>2232</v>
      </c>
      <c r="F782" s="24">
        <v>1</v>
      </c>
      <c r="G782" s="24" t="s">
        <v>1767</v>
      </c>
      <c r="H782" s="24"/>
      <c r="I782" s="24"/>
      <c r="J782" s="283"/>
      <c r="K782" s="196"/>
      <c r="L782" s="196"/>
      <c r="M782" s="196"/>
      <c r="N782" s="196"/>
      <c r="O782" s="204" t="s">
        <v>2243</v>
      </c>
      <c r="P782" s="196"/>
      <c r="Q782" s="196"/>
      <c r="R782" s="24"/>
      <c r="S782" s="283"/>
      <c r="T782" s="196"/>
      <c r="U782" s="283"/>
      <c r="V782" s="283"/>
      <c r="W782" s="196"/>
      <c r="X782" s="24"/>
      <c r="Y782" s="283"/>
      <c r="Z782" s="24"/>
      <c r="AA782" s="24"/>
      <c r="AB782" s="24"/>
      <c r="AC782" s="24"/>
      <c r="AD782" s="283"/>
      <c r="AE782" s="283"/>
      <c r="AF782" s="283"/>
      <c r="AG782" s="283"/>
      <c r="AH782" s="205" t="s">
        <v>115</v>
      </c>
      <c r="AI782" s="205" t="s">
        <v>1910</v>
      </c>
      <c r="AJ782" s="205" t="s">
        <v>1911</v>
      </c>
      <c r="AK782" s="24"/>
      <c r="AL782" s="24"/>
      <c r="AM782" s="24"/>
    </row>
    <row r="783" spans="1:39" ht="12.75" customHeight="1">
      <c r="A783" s="22">
        <v>781</v>
      </c>
      <c r="B783" s="24" t="s">
        <v>2244</v>
      </c>
      <c r="C783" s="24" t="s">
        <v>180</v>
      </c>
      <c r="D783" s="24" t="s">
        <v>1376</v>
      </c>
      <c r="E783" s="24" t="s">
        <v>2232</v>
      </c>
      <c r="F783" s="24">
        <v>1</v>
      </c>
      <c r="G783" s="24" t="s">
        <v>1767</v>
      </c>
      <c r="H783" s="24"/>
      <c r="I783" s="24"/>
      <c r="J783" s="283"/>
      <c r="K783" s="196"/>
      <c r="L783" s="196"/>
      <c r="M783" s="196"/>
      <c r="N783" s="196"/>
      <c r="O783" s="196" t="s">
        <v>2244</v>
      </c>
      <c r="P783" s="196"/>
      <c r="Q783" s="196"/>
      <c r="R783" s="24"/>
      <c r="S783" s="283"/>
      <c r="T783" s="196"/>
      <c r="U783" s="283"/>
      <c r="V783" s="283"/>
      <c r="W783" s="196"/>
      <c r="X783" s="24"/>
      <c r="Y783" s="283"/>
      <c r="Z783" s="24"/>
      <c r="AA783" s="24"/>
      <c r="AB783" s="24"/>
      <c r="AC783" s="24"/>
      <c r="AD783" s="283"/>
      <c r="AE783" s="283"/>
      <c r="AF783" s="283"/>
      <c r="AG783" s="283"/>
      <c r="AH783" s="205" t="s">
        <v>115</v>
      </c>
      <c r="AI783" s="205" t="s">
        <v>1913</v>
      </c>
      <c r="AJ783" s="205" t="s">
        <v>1914</v>
      </c>
      <c r="AK783" s="24"/>
      <c r="AL783" s="24"/>
      <c r="AM783" s="24"/>
    </row>
    <row r="784" spans="1:39" ht="12.75" customHeight="1">
      <c r="A784" s="22">
        <v>782</v>
      </c>
      <c r="B784" s="24" t="s">
        <v>1387</v>
      </c>
      <c r="C784" s="24" t="s">
        <v>180</v>
      </c>
      <c r="D784" s="24" t="s">
        <v>1376</v>
      </c>
      <c r="E784" s="24" t="s">
        <v>2232</v>
      </c>
      <c r="F784" s="24">
        <v>1</v>
      </c>
      <c r="G784" s="24" t="s">
        <v>1767</v>
      </c>
      <c r="H784" s="24"/>
      <c r="I784" s="24"/>
      <c r="J784" s="164"/>
      <c r="K784" s="164"/>
      <c r="L784" s="164"/>
      <c r="M784" s="164"/>
      <c r="N784" s="164"/>
      <c r="O784" s="164" t="s">
        <v>1387</v>
      </c>
      <c r="P784" s="164"/>
      <c r="Q784" s="164"/>
      <c r="R784" s="24"/>
      <c r="S784" s="164"/>
      <c r="T784" s="164"/>
      <c r="U784" s="164"/>
      <c r="V784" s="164"/>
      <c r="W784" s="164"/>
      <c r="X784" s="24"/>
      <c r="Y784" s="164"/>
      <c r="Z784" s="24"/>
      <c r="AA784" s="24"/>
      <c r="AB784" s="24"/>
      <c r="AC784" s="24"/>
      <c r="AD784" s="164"/>
      <c r="AE784" s="164"/>
      <c r="AF784" s="164"/>
      <c r="AG784" s="164"/>
      <c r="AH784" s="285" t="s">
        <v>115</v>
      </c>
      <c r="AI784" s="285" t="s">
        <v>406</v>
      </c>
      <c r="AJ784" s="285" t="s">
        <v>407</v>
      </c>
      <c r="AK784" s="24"/>
      <c r="AL784" s="24"/>
      <c r="AM784" s="24"/>
    </row>
    <row r="785" spans="1:39" ht="12.75" customHeight="1">
      <c r="A785" s="22">
        <v>783</v>
      </c>
      <c r="B785" s="24" t="s">
        <v>2246</v>
      </c>
      <c r="C785" s="24" t="s">
        <v>96</v>
      </c>
      <c r="D785" s="24" t="s">
        <v>1787</v>
      </c>
      <c r="E785" s="24" t="s">
        <v>2232</v>
      </c>
      <c r="F785" s="24">
        <v>1</v>
      </c>
      <c r="G785" s="24" t="s">
        <v>1767</v>
      </c>
      <c r="H785" s="24"/>
      <c r="I785" s="24"/>
      <c r="J785" s="283"/>
      <c r="K785" s="196" t="s">
        <v>2246</v>
      </c>
      <c r="L785" s="196" t="s">
        <v>2247</v>
      </c>
      <c r="M785" s="196" t="s">
        <v>2248</v>
      </c>
      <c r="N785" s="196" t="s">
        <v>111</v>
      </c>
      <c r="O785" s="196"/>
      <c r="P785" s="196"/>
      <c r="Q785" s="196"/>
      <c r="R785" s="24"/>
      <c r="S785" s="283"/>
      <c r="T785" s="196" t="s">
        <v>208</v>
      </c>
      <c r="U785" s="283"/>
      <c r="V785" s="283"/>
      <c r="W785" s="196" t="s">
        <v>115</v>
      </c>
      <c r="X785" s="24"/>
      <c r="Y785" s="283"/>
      <c r="Z785" s="24"/>
      <c r="AA785" s="24"/>
      <c r="AB785" s="24"/>
      <c r="AC785" s="24"/>
      <c r="AD785" s="283"/>
      <c r="AE785" s="283"/>
      <c r="AF785" s="283"/>
      <c r="AG785" s="283"/>
      <c r="AH785" s="205" t="s">
        <v>2236</v>
      </c>
      <c r="AI785" s="205" t="s">
        <v>1800</v>
      </c>
      <c r="AJ785" s="205" t="s">
        <v>1801</v>
      </c>
      <c r="AK785" s="24"/>
      <c r="AL785" s="24"/>
      <c r="AM785" s="24"/>
    </row>
    <row r="786" spans="1:39" ht="12.75" customHeight="1">
      <c r="A786" s="22">
        <v>784</v>
      </c>
      <c r="B786" s="24" t="s">
        <v>2250</v>
      </c>
      <c r="C786" s="24" t="s">
        <v>96</v>
      </c>
      <c r="D786" s="24" t="s">
        <v>1787</v>
      </c>
      <c r="E786" s="24" t="s">
        <v>2232</v>
      </c>
      <c r="F786" s="24">
        <v>1</v>
      </c>
      <c r="G786" s="24" t="s">
        <v>1767</v>
      </c>
      <c r="H786" s="24"/>
      <c r="I786" s="24"/>
      <c r="J786" s="283"/>
      <c r="K786" s="204" t="s">
        <v>2250</v>
      </c>
      <c r="L786" s="309" t="s">
        <v>2251</v>
      </c>
      <c r="M786" s="204" t="s">
        <v>2252</v>
      </c>
      <c r="N786" s="204" t="s">
        <v>140</v>
      </c>
      <c r="O786" s="196"/>
      <c r="P786" s="196"/>
      <c r="Q786" s="196"/>
      <c r="R786" s="24"/>
      <c r="S786" s="283"/>
      <c r="T786" s="309" t="s">
        <v>113</v>
      </c>
      <c r="U786" s="283"/>
      <c r="V786" s="283"/>
      <c r="W786" s="204" t="s">
        <v>115</v>
      </c>
      <c r="X786" s="24"/>
      <c r="Y786" s="283"/>
      <c r="Z786" s="24"/>
      <c r="AA786" s="24"/>
      <c r="AB786" s="24"/>
      <c r="AC786" s="24"/>
      <c r="AD786" s="283"/>
      <c r="AE786" s="283"/>
      <c r="AF786" s="283"/>
      <c r="AG786" s="283"/>
      <c r="AH786" s="205" t="s">
        <v>2236</v>
      </c>
      <c r="AI786" s="205" t="s">
        <v>1804</v>
      </c>
      <c r="AJ786" s="205" t="s">
        <v>1805</v>
      </c>
      <c r="AK786" s="24"/>
      <c r="AL786" s="24"/>
      <c r="AM786" s="24"/>
    </row>
    <row r="787" spans="1:39" ht="12.75" customHeight="1">
      <c r="A787" s="22">
        <v>785</v>
      </c>
      <c r="B787" s="24" t="s">
        <v>2253</v>
      </c>
      <c r="C787" s="24" t="s">
        <v>96</v>
      </c>
      <c r="D787" s="24" t="s">
        <v>1787</v>
      </c>
      <c r="E787" s="24" t="s">
        <v>2232</v>
      </c>
      <c r="F787" s="24">
        <v>1</v>
      </c>
      <c r="G787" s="24" t="s">
        <v>1767</v>
      </c>
      <c r="H787" s="24"/>
      <c r="I787" s="24"/>
      <c r="J787" s="283"/>
      <c r="K787" s="196" t="s">
        <v>2253</v>
      </c>
      <c r="L787" s="196" t="s">
        <v>2254</v>
      </c>
      <c r="M787" s="196" t="s">
        <v>2255</v>
      </c>
      <c r="N787" s="196" t="s">
        <v>202</v>
      </c>
      <c r="O787" s="196"/>
      <c r="P787" s="196"/>
      <c r="Q787" s="196"/>
      <c r="R787" s="24"/>
      <c r="S787" s="283"/>
      <c r="T787" s="196" t="s">
        <v>113</v>
      </c>
      <c r="U787" s="283"/>
      <c r="V787" s="283"/>
      <c r="W787" s="196" t="s">
        <v>115</v>
      </c>
      <c r="X787" s="24"/>
      <c r="Y787" s="283"/>
      <c r="Z787" s="24"/>
      <c r="AA787" s="24"/>
      <c r="AB787" s="24"/>
      <c r="AC787" s="24"/>
      <c r="AD787" s="283"/>
      <c r="AE787" s="283"/>
      <c r="AF787" s="283"/>
      <c r="AG787" s="283"/>
      <c r="AH787" s="205" t="s">
        <v>115</v>
      </c>
      <c r="AI787" s="205" t="s">
        <v>2257</v>
      </c>
      <c r="AJ787" s="205" t="s">
        <v>2258</v>
      </c>
      <c r="AK787" s="24"/>
      <c r="AL787" s="24"/>
      <c r="AM787" s="24"/>
    </row>
    <row r="788" spans="1:39" ht="12.75" customHeight="1">
      <c r="A788" s="22">
        <v>786</v>
      </c>
      <c r="B788" s="24" t="s">
        <v>2259</v>
      </c>
      <c r="C788" s="24" t="s">
        <v>180</v>
      </c>
      <c r="D788" s="24" t="s">
        <v>2253</v>
      </c>
      <c r="E788" s="24" t="s">
        <v>2232</v>
      </c>
      <c r="F788" s="24">
        <v>1</v>
      </c>
      <c r="G788" s="24" t="s">
        <v>1767</v>
      </c>
      <c r="H788" s="24"/>
      <c r="I788" s="24"/>
      <c r="J788" s="283"/>
      <c r="K788" s="196"/>
      <c r="L788" s="196"/>
      <c r="M788" s="196"/>
      <c r="N788" s="196"/>
      <c r="O788" s="196" t="s">
        <v>2259</v>
      </c>
      <c r="P788" s="196"/>
      <c r="Q788" s="196"/>
      <c r="R788" s="24"/>
      <c r="S788" s="283"/>
      <c r="T788" s="196"/>
      <c r="U788" s="283"/>
      <c r="V788" s="283"/>
      <c r="W788" s="196"/>
      <c r="X788" s="24"/>
      <c r="Y788" s="283"/>
      <c r="Z788" s="24"/>
      <c r="AA788" s="24"/>
      <c r="AB788" s="24"/>
      <c r="AC788" s="24"/>
      <c r="AD788" s="283"/>
      <c r="AE788" s="283"/>
      <c r="AF788" s="283"/>
      <c r="AG788" s="283"/>
      <c r="AH788" s="205" t="s">
        <v>115</v>
      </c>
      <c r="AI788" s="205" t="s">
        <v>2260</v>
      </c>
      <c r="AJ788" s="205" t="s">
        <v>2261</v>
      </c>
      <c r="AK788" s="24"/>
      <c r="AL788" s="24"/>
      <c r="AM788" s="24"/>
    </row>
    <row r="789" spans="1:39" ht="12.75" customHeight="1">
      <c r="A789" s="22">
        <v>787</v>
      </c>
      <c r="B789" s="24" t="s">
        <v>2262</v>
      </c>
      <c r="C789" s="24" t="s">
        <v>180</v>
      </c>
      <c r="D789" s="24" t="s">
        <v>2253</v>
      </c>
      <c r="E789" s="24" t="s">
        <v>2232</v>
      </c>
      <c r="F789" s="24">
        <v>1</v>
      </c>
      <c r="G789" s="24" t="s">
        <v>1767</v>
      </c>
      <c r="H789" s="24"/>
      <c r="I789" s="24"/>
      <c r="J789" s="283"/>
      <c r="K789" s="196"/>
      <c r="L789" s="196"/>
      <c r="M789" s="196"/>
      <c r="N789" s="196"/>
      <c r="O789" s="196" t="s">
        <v>2262</v>
      </c>
      <c r="P789" s="196"/>
      <c r="Q789" s="196"/>
      <c r="R789" s="24"/>
      <c r="S789" s="283"/>
      <c r="T789" s="196"/>
      <c r="U789" s="283"/>
      <c r="V789" s="283"/>
      <c r="W789" s="196"/>
      <c r="X789" s="24"/>
      <c r="Y789" s="283"/>
      <c r="Z789" s="24"/>
      <c r="AA789" s="24"/>
      <c r="AB789" s="24"/>
      <c r="AC789" s="24"/>
      <c r="AD789" s="283"/>
      <c r="AE789" s="283"/>
      <c r="AF789" s="283"/>
      <c r="AG789" s="283"/>
      <c r="AH789" s="205" t="s">
        <v>115</v>
      </c>
      <c r="AI789" s="205" t="s">
        <v>2264</v>
      </c>
      <c r="AJ789" s="205" t="s">
        <v>2265</v>
      </c>
      <c r="AK789" s="24"/>
      <c r="AL789" s="24"/>
      <c r="AM789" s="24"/>
    </row>
    <row r="790" spans="1:39" ht="12.75" customHeight="1">
      <c r="A790" s="22">
        <v>788</v>
      </c>
      <c r="B790" s="24" t="s">
        <v>2266</v>
      </c>
      <c r="C790" s="24" t="s">
        <v>180</v>
      </c>
      <c r="D790" s="24" t="s">
        <v>2253</v>
      </c>
      <c r="E790" s="24" t="s">
        <v>2232</v>
      </c>
      <c r="F790" s="24">
        <v>1</v>
      </c>
      <c r="G790" s="24" t="s">
        <v>1767</v>
      </c>
      <c r="H790" s="24"/>
      <c r="I790" s="24"/>
      <c r="J790" s="283"/>
      <c r="K790" s="196"/>
      <c r="L790" s="196"/>
      <c r="M790" s="196"/>
      <c r="N790" s="196"/>
      <c r="O790" s="196" t="s">
        <v>2266</v>
      </c>
      <c r="P790" s="196"/>
      <c r="Q790" s="196"/>
      <c r="R790" s="24"/>
      <c r="S790" s="283"/>
      <c r="T790" s="196"/>
      <c r="U790" s="283"/>
      <c r="V790" s="283"/>
      <c r="W790" s="196"/>
      <c r="X790" s="24"/>
      <c r="Y790" s="283"/>
      <c r="Z790" s="24"/>
      <c r="AA790" s="24"/>
      <c r="AB790" s="24"/>
      <c r="AC790" s="24"/>
      <c r="AD790" s="283"/>
      <c r="AE790" s="283"/>
      <c r="AF790" s="283"/>
      <c r="AG790" s="283"/>
      <c r="AH790" s="205" t="s">
        <v>115</v>
      </c>
      <c r="AI790" s="205" t="s">
        <v>2267</v>
      </c>
      <c r="AJ790" s="205" t="s">
        <v>2268</v>
      </c>
      <c r="AK790" s="24"/>
      <c r="AL790" s="24"/>
      <c r="AM790" s="24"/>
    </row>
    <row r="791" spans="1:39" ht="12.75" customHeight="1">
      <c r="A791" s="22">
        <v>789</v>
      </c>
      <c r="B791" s="24" t="s">
        <v>2269</v>
      </c>
      <c r="C791" s="24" t="s">
        <v>96</v>
      </c>
      <c r="D791" s="24" t="s">
        <v>1787</v>
      </c>
      <c r="E791" s="24" t="s">
        <v>2232</v>
      </c>
      <c r="F791" s="24">
        <v>1</v>
      </c>
      <c r="G791" s="24" t="s">
        <v>1767</v>
      </c>
      <c r="H791" s="24"/>
      <c r="I791" s="24"/>
      <c r="J791" s="283"/>
      <c r="K791" s="224" t="s">
        <v>2269</v>
      </c>
      <c r="L791" s="224" t="s">
        <v>2270</v>
      </c>
      <c r="M791" s="224" t="s">
        <v>2271</v>
      </c>
      <c r="N791" s="224" t="s">
        <v>1318</v>
      </c>
      <c r="O791" s="164"/>
      <c r="P791" s="164"/>
      <c r="Q791" s="24"/>
      <c r="R791" s="224" t="s">
        <v>2272</v>
      </c>
      <c r="S791" s="283"/>
      <c r="T791" s="224" t="s">
        <v>113</v>
      </c>
      <c r="U791" s="283"/>
      <c r="V791" s="283"/>
      <c r="W791" s="164" t="s">
        <v>115</v>
      </c>
      <c r="X791" s="24"/>
      <c r="Y791" s="283"/>
      <c r="Z791" s="24"/>
      <c r="AA791" s="24"/>
      <c r="AB791" s="24"/>
      <c r="AC791" s="24"/>
      <c r="AD791" s="283"/>
      <c r="AE791" s="283"/>
      <c r="AF791" s="283"/>
      <c r="AG791" s="283"/>
      <c r="AH791" s="285" t="s">
        <v>2273</v>
      </c>
      <c r="AI791" s="205" t="s">
        <v>2274</v>
      </c>
      <c r="AJ791" s="285" t="s">
        <v>2275</v>
      </c>
      <c r="AK791" s="24"/>
      <c r="AL791" s="24"/>
      <c r="AM791" s="24"/>
    </row>
    <row r="792" spans="1:39" ht="12.75" customHeight="1">
      <c r="A792" s="22">
        <v>790</v>
      </c>
      <c r="B792" s="24" t="s">
        <v>2276</v>
      </c>
      <c r="C792" s="24" t="s">
        <v>96</v>
      </c>
      <c r="D792" s="24" t="s">
        <v>1787</v>
      </c>
      <c r="E792" s="24" t="s">
        <v>2232</v>
      </c>
      <c r="F792" s="24">
        <v>1</v>
      </c>
      <c r="G792" s="24" t="s">
        <v>1767</v>
      </c>
      <c r="H792" s="24"/>
      <c r="I792" s="24"/>
      <c r="J792" s="283"/>
      <c r="K792" s="224" t="s">
        <v>2276</v>
      </c>
      <c r="L792" s="224" t="s">
        <v>2277</v>
      </c>
      <c r="M792" s="224" t="s">
        <v>2278</v>
      </c>
      <c r="N792" s="224" t="s">
        <v>1318</v>
      </c>
      <c r="O792" s="164"/>
      <c r="P792" s="224"/>
      <c r="Q792" s="24"/>
      <c r="R792" s="224" t="s">
        <v>2272</v>
      </c>
      <c r="S792" s="283"/>
      <c r="T792" s="224" t="s">
        <v>113</v>
      </c>
      <c r="U792" s="283"/>
      <c r="V792" s="283"/>
      <c r="W792" s="164" t="s">
        <v>115</v>
      </c>
      <c r="X792" s="24"/>
      <c r="Y792" s="283"/>
      <c r="Z792" s="24"/>
      <c r="AA792" s="24"/>
      <c r="AB792" s="24"/>
      <c r="AC792" s="24"/>
      <c r="AD792" s="283"/>
      <c r="AE792" s="283"/>
      <c r="AF792" s="283"/>
      <c r="AG792" s="283"/>
      <c r="AH792" s="285" t="s">
        <v>115</v>
      </c>
      <c r="AI792" s="205" t="s">
        <v>2264</v>
      </c>
      <c r="AJ792" s="205" t="s">
        <v>2265</v>
      </c>
      <c r="AK792" s="24"/>
      <c r="AL792" s="24"/>
      <c r="AM792" s="24"/>
    </row>
    <row r="793" spans="1:39" ht="12.75" customHeight="1">
      <c r="A793" s="22">
        <v>791</v>
      </c>
      <c r="B793" s="24" t="s">
        <v>2279</v>
      </c>
      <c r="C793" s="24" t="s">
        <v>96</v>
      </c>
      <c r="D793" s="24" t="s">
        <v>1787</v>
      </c>
      <c r="E793" s="24" t="s">
        <v>2232</v>
      </c>
      <c r="F793" s="24">
        <v>1</v>
      </c>
      <c r="G793" s="24" t="s">
        <v>1767</v>
      </c>
      <c r="H793" s="24"/>
      <c r="I793" s="24"/>
      <c r="J793" s="283"/>
      <c r="K793" s="224" t="s">
        <v>2279</v>
      </c>
      <c r="L793" s="224" t="s">
        <v>2280</v>
      </c>
      <c r="M793" s="224" t="s">
        <v>2281</v>
      </c>
      <c r="N793" s="224" t="s">
        <v>168</v>
      </c>
      <c r="O793" s="164"/>
      <c r="P793" s="224"/>
      <c r="Q793" s="24"/>
      <c r="R793" s="224" t="s">
        <v>2272</v>
      </c>
      <c r="S793" s="283"/>
      <c r="T793" s="224" t="s">
        <v>113</v>
      </c>
      <c r="U793" s="283"/>
      <c r="V793" s="283"/>
      <c r="W793" s="164" t="s">
        <v>115</v>
      </c>
      <c r="X793" s="24"/>
      <c r="Y793" s="283"/>
      <c r="Z793" s="24"/>
      <c r="AA793" s="24"/>
      <c r="AB793" s="24"/>
      <c r="AC793" s="24"/>
      <c r="AD793" s="283"/>
      <c r="AE793" s="283"/>
      <c r="AF793" s="283"/>
      <c r="AG793" s="283"/>
      <c r="AH793" s="285" t="s">
        <v>115</v>
      </c>
      <c r="AI793" s="205" t="s">
        <v>2267</v>
      </c>
      <c r="AJ793" s="205" t="s">
        <v>2268</v>
      </c>
      <c r="AK793" s="24"/>
      <c r="AL793" s="24"/>
      <c r="AM793" s="24"/>
    </row>
    <row r="794" spans="1:39" ht="12.75" customHeight="1">
      <c r="A794" s="22">
        <v>792</v>
      </c>
      <c r="B794" s="24" t="s">
        <v>2282</v>
      </c>
      <c r="C794" s="24" t="s">
        <v>65</v>
      </c>
      <c r="D794" s="24" t="s">
        <v>1787</v>
      </c>
      <c r="E794" s="24" t="s">
        <v>2232</v>
      </c>
      <c r="F794" s="24">
        <v>1</v>
      </c>
      <c r="G794" s="24" t="s">
        <v>1767</v>
      </c>
      <c r="H794" s="24"/>
      <c r="I794" s="24"/>
      <c r="J794" s="283"/>
      <c r="K794" s="224" t="s">
        <v>115</v>
      </c>
      <c r="L794" s="224" t="s">
        <v>2282</v>
      </c>
      <c r="M794" s="224" t="s">
        <v>2283</v>
      </c>
      <c r="N794" s="224" t="s">
        <v>65</v>
      </c>
      <c r="O794" s="164"/>
      <c r="P794" s="224" t="s">
        <v>2284</v>
      </c>
      <c r="Q794" s="224"/>
      <c r="R794" s="24"/>
      <c r="S794" s="283"/>
      <c r="T794" s="224" t="s">
        <v>115</v>
      </c>
      <c r="U794" s="283"/>
      <c r="V794" s="283"/>
      <c r="W794" s="164" t="s">
        <v>115</v>
      </c>
      <c r="X794" s="24"/>
      <c r="Y794" s="283"/>
      <c r="Z794" s="24"/>
      <c r="AA794" s="24"/>
      <c r="AB794" s="24"/>
      <c r="AC794" s="24"/>
      <c r="AD794" s="283"/>
      <c r="AE794" s="283"/>
      <c r="AF794" s="283"/>
      <c r="AG794" s="283"/>
      <c r="AH794" s="285" t="s">
        <v>115</v>
      </c>
      <c r="AI794" s="285" t="s">
        <v>115</v>
      </c>
      <c r="AJ794" s="285" t="s">
        <v>115</v>
      </c>
      <c r="AK794" s="24"/>
      <c r="AL794" s="24"/>
      <c r="AM794" s="24"/>
    </row>
    <row r="795" spans="1:39" ht="12.75" customHeight="1">
      <c r="A795" s="22">
        <v>793</v>
      </c>
      <c r="B795" s="24" t="s">
        <v>2285</v>
      </c>
      <c r="C795" s="24" t="s">
        <v>65</v>
      </c>
      <c r="D795" s="24" t="s">
        <v>1787</v>
      </c>
      <c r="E795" s="24" t="s">
        <v>2232</v>
      </c>
      <c r="F795" s="24">
        <v>1</v>
      </c>
      <c r="G795" s="24" t="s">
        <v>1767</v>
      </c>
      <c r="H795" s="24"/>
      <c r="I795" s="24"/>
      <c r="J795" s="283"/>
      <c r="K795" s="297" t="s">
        <v>2286</v>
      </c>
      <c r="L795" s="297" t="s">
        <v>2285</v>
      </c>
      <c r="M795" s="297" t="s">
        <v>2287</v>
      </c>
      <c r="N795" s="297" t="s">
        <v>65</v>
      </c>
      <c r="O795" s="297"/>
      <c r="P795" s="297" t="s">
        <v>2288</v>
      </c>
      <c r="Q795" s="164"/>
      <c r="R795" s="24"/>
      <c r="S795" s="283"/>
      <c r="T795" s="298" t="s">
        <v>115</v>
      </c>
      <c r="U795" s="283"/>
      <c r="V795" s="283"/>
      <c r="W795" s="298" t="s">
        <v>115</v>
      </c>
      <c r="X795" s="24"/>
      <c r="Y795" s="283"/>
      <c r="Z795" s="24"/>
      <c r="AA795" s="24"/>
      <c r="AB795" s="24"/>
      <c r="AC795" s="24"/>
      <c r="AD795" s="283"/>
      <c r="AE795" s="283"/>
      <c r="AF795" s="283"/>
      <c r="AG795" s="283"/>
      <c r="AH795" s="285" t="s">
        <v>115</v>
      </c>
      <c r="AI795" s="285" t="s">
        <v>2289</v>
      </c>
      <c r="AJ795" s="285" t="s">
        <v>2290</v>
      </c>
      <c r="AK795" s="24"/>
      <c r="AL795" s="24"/>
      <c r="AM795" s="24"/>
    </row>
    <row r="796" spans="1:39" ht="12.75" customHeight="1">
      <c r="A796" s="22">
        <v>794</v>
      </c>
      <c r="B796" s="24" t="s">
        <v>2291</v>
      </c>
      <c r="C796" s="24" t="s">
        <v>96</v>
      </c>
      <c r="D796" s="24" t="s">
        <v>1787</v>
      </c>
      <c r="E796" s="24" t="s">
        <v>2232</v>
      </c>
      <c r="F796" s="24">
        <v>1</v>
      </c>
      <c r="G796" s="24" t="s">
        <v>1767</v>
      </c>
      <c r="H796" s="24"/>
      <c r="I796" s="24"/>
      <c r="J796" s="283"/>
      <c r="K796" s="224" t="s">
        <v>2291</v>
      </c>
      <c r="L796" s="224" t="s">
        <v>2292</v>
      </c>
      <c r="M796" s="224" t="s">
        <v>2293</v>
      </c>
      <c r="N796" s="224" t="s">
        <v>1318</v>
      </c>
      <c r="O796" s="164"/>
      <c r="P796" s="164"/>
      <c r="Q796" s="164"/>
      <c r="R796" s="24"/>
      <c r="S796" s="283"/>
      <c r="T796" s="224" t="s">
        <v>208</v>
      </c>
      <c r="U796" s="283"/>
      <c r="V796" s="283"/>
      <c r="W796" s="164" t="s">
        <v>115</v>
      </c>
      <c r="X796" s="24"/>
      <c r="Y796" s="283"/>
      <c r="Z796" s="24"/>
      <c r="AA796" s="24"/>
      <c r="AB796" s="24"/>
      <c r="AC796" s="24"/>
      <c r="AD796" s="283"/>
      <c r="AE796" s="283"/>
      <c r="AF796" s="283"/>
      <c r="AG796" s="283"/>
      <c r="AH796" s="285" t="s">
        <v>115</v>
      </c>
      <c r="AI796" s="285" t="s">
        <v>2294</v>
      </c>
      <c r="AJ796" s="285" t="s">
        <v>2295</v>
      </c>
      <c r="AK796" s="24"/>
      <c r="AL796" s="24"/>
      <c r="AM796" s="24"/>
    </row>
    <row r="797" spans="1:39" ht="12.75" customHeight="1">
      <c r="A797" s="22">
        <v>795</v>
      </c>
      <c r="B797" s="24" t="s">
        <v>2296</v>
      </c>
      <c r="C797" s="24" t="s">
        <v>96</v>
      </c>
      <c r="D797" s="24" t="s">
        <v>1787</v>
      </c>
      <c r="E797" s="24" t="s">
        <v>2232</v>
      </c>
      <c r="F797" s="24">
        <v>1</v>
      </c>
      <c r="G797" s="24" t="s">
        <v>1767</v>
      </c>
      <c r="H797" s="24"/>
      <c r="I797" s="24"/>
      <c r="J797" s="283"/>
      <c r="K797" s="352" t="s">
        <v>2296</v>
      </c>
      <c r="L797" s="224" t="s">
        <v>2297</v>
      </c>
      <c r="M797" s="224" t="s">
        <v>2298</v>
      </c>
      <c r="N797" s="224" t="s">
        <v>168</v>
      </c>
      <c r="O797" s="164"/>
      <c r="P797" s="164"/>
      <c r="Q797" s="164"/>
      <c r="R797" s="24"/>
      <c r="S797" s="283"/>
      <c r="T797" s="224" t="s">
        <v>208</v>
      </c>
      <c r="U797" s="283"/>
      <c r="V797" s="283"/>
      <c r="W797" s="164" t="s">
        <v>115</v>
      </c>
      <c r="X797" s="24"/>
      <c r="Y797" s="283"/>
      <c r="Z797" s="24"/>
      <c r="AA797" s="24"/>
      <c r="AB797" s="24"/>
      <c r="AC797" s="24"/>
      <c r="AD797" s="283"/>
      <c r="AE797" s="283"/>
      <c r="AF797" s="283"/>
      <c r="AG797" s="283"/>
      <c r="AH797" s="285" t="s">
        <v>115</v>
      </c>
      <c r="AI797" s="285" t="s">
        <v>2299</v>
      </c>
      <c r="AJ797" s="285" t="s">
        <v>2300</v>
      </c>
      <c r="AK797" s="24"/>
      <c r="AL797" s="24"/>
      <c r="AM797" s="24"/>
    </row>
    <row r="798" spans="1:39" ht="12.75" customHeight="1">
      <c r="A798" s="22">
        <v>796</v>
      </c>
      <c r="B798" s="24" t="s">
        <v>2301</v>
      </c>
      <c r="C798" s="24" t="s">
        <v>96</v>
      </c>
      <c r="D798" s="24" t="s">
        <v>1787</v>
      </c>
      <c r="E798" s="24" t="s">
        <v>2232</v>
      </c>
      <c r="F798" s="24">
        <v>1</v>
      </c>
      <c r="G798" s="24" t="s">
        <v>1767</v>
      </c>
      <c r="H798" s="24"/>
      <c r="I798" s="24"/>
      <c r="J798" s="283"/>
      <c r="K798" s="352" t="s">
        <v>2301</v>
      </c>
      <c r="L798" s="224" t="s">
        <v>2302</v>
      </c>
      <c r="M798" s="224" t="s">
        <v>2303</v>
      </c>
      <c r="N798" s="224" t="s">
        <v>168</v>
      </c>
      <c r="O798" s="164"/>
      <c r="P798" s="164"/>
      <c r="Q798" s="164"/>
      <c r="R798" s="24"/>
      <c r="S798" s="283"/>
      <c r="T798" s="224" t="s">
        <v>208</v>
      </c>
      <c r="U798" s="283"/>
      <c r="V798" s="283"/>
      <c r="W798" s="164" t="s">
        <v>115</v>
      </c>
      <c r="X798" s="24"/>
      <c r="Y798" s="283"/>
      <c r="Z798" s="24"/>
      <c r="AA798" s="24"/>
      <c r="AB798" s="24"/>
      <c r="AC798" s="24"/>
      <c r="AD798" s="283"/>
      <c r="AE798" s="283"/>
      <c r="AF798" s="283"/>
      <c r="AG798" s="283"/>
      <c r="AH798" s="285" t="s">
        <v>115</v>
      </c>
      <c r="AI798" s="285" t="s">
        <v>2304</v>
      </c>
      <c r="AJ798" s="285" t="s">
        <v>2305</v>
      </c>
      <c r="AK798" s="24"/>
      <c r="AL798" s="24"/>
      <c r="AM798" s="24"/>
    </row>
    <row r="799" spans="1:39" ht="12.75" customHeight="1">
      <c r="A799" s="22">
        <v>797</v>
      </c>
      <c r="B799" s="24" t="s">
        <v>2306</v>
      </c>
      <c r="C799" s="24" t="s">
        <v>96</v>
      </c>
      <c r="D799" s="24" t="s">
        <v>1787</v>
      </c>
      <c r="E799" s="24" t="s">
        <v>2307</v>
      </c>
      <c r="F799" s="24">
        <v>1</v>
      </c>
      <c r="G799" s="24" t="s">
        <v>1767</v>
      </c>
      <c r="H799" s="24"/>
      <c r="I799" s="24"/>
      <c r="J799" s="283"/>
      <c r="K799" s="224" t="s">
        <v>2306</v>
      </c>
      <c r="L799" s="224" t="s">
        <v>2308</v>
      </c>
      <c r="M799" s="224" t="s">
        <v>2309</v>
      </c>
      <c r="N799" s="224" t="s">
        <v>202</v>
      </c>
      <c r="O799" s="224"/>
      <c r="P799" s="164"/>
      <c r="Q799" s="164"/>
      <c r="R799" s="24"/>
      <c r="S799" s="283"/>
      <c r="T799" s="224" t="s">
        <v>113</v>
      </c>
      <c r="U799" s="283"/>
      <c r="V799" s="283"/>
      <c r="W799" s="164" t="s">
        <v>226</v>
      </c>
      <c r="X799" s="24"/>
      <c r="Y799" s="283"/>
      <c r="Z799" s="24"/>
      <c r="AA799" s="24"/>
      <c r="AB799" s="24"/>
      <c r="AC799" s="24"/>
      <c r="AD799" s="283"/>
      <c r="AE799" s="283"/>
      <c r="AF799" s="283"/>
      <c r="AG799" s="283"/>
      <c r="AH799" s="285" t="s">
        <v>2310</v>
      </c>
      <c r="AI799" s="205" t="s">
        <v>1773</v>
      </c>
      <c r="AJ799" s="285" t="s">
        <v>1774</v>
      </c>
      <c r="AK799" s="24"/>
      <c r="AL799" s="24"/>
      <c r="AM799" s="24"/>
    </row>
    <row r="800" spans="1:39" ht="12.75" customHeight="1">
      <c r="A800" s="22">
        <v>798</v>
      </c>
      <c r="B800" s="24" t="s">
        <v>1775</v>
      </c>
      <c r="C800" s="24" t="s">
        <v>180</v>
      </c>
      <c r="D800" s="24" t="s">
        <v>2306</v>
      </c>
      <c r="E800" s="24" t="s">
        <v>2307</v>
      </c>
      <c r="F800" s="24">
        <v>1</v>
      </c>
      <c r="G800" s="24" t="s">
        <v>1767</v>
      </c>
      <c r="H800" s="24"/>
      <c r="I800" s="24"/>
      <c r="J800" s="283"/>
      <c r="K800" s="224"/>
      <c r="L800" s="224"/>
      <c r="M800" s="224"/>
      <c r="N800" s="164"/>
      <c r="O800" s="204" t="s">
        <v>1775</v>
      </c>
      <c r="P800" s="164"/>
      <c r="Q800" s="164"/>
      <c r="R800" s="24"/>
      <c r="S800" s="283"/>
      <c r="T800" s="224"/>
      <c r="U800" s="283"/>
      <c r="V800" s="283"/>
      <c r="W800" s="164"/>
      <c r="X800" s="24"/>
      <c r="Y800" s="283"/>
      <c r="Z800" s="24"/>
      <c r="AA800" s="24"/>
      <c r="AB800" s="24"/>
      <c r="AC800" s="24"/>
      <c r="AD800" s="283"/>
      <c r="AE800" s="283"/>
      <c r="AF800" s="283"/>
      <c r="AG800" s="283"/>
      <c r="AH800" s="285" t="s">
        <v>115</v>
      </c>
      <c r="AI800" s="285" t="s">
        <v>1777</v>
      </c>
      <c r="AJ800" s="285" t="s">
        <v>1778</v>
      </c>
      <c r="AK800" s="24"/>
      <c r="AL800" s="24"/>
      <c r="AM800" s="24"/>
    </row>
    <row r="801" spans="1:39" ht="12.75" customHeight="1">
      <c r="A801" s="22">
        <v>799</v>
      </c>
      <c r="B801" s="24" t="s">
        <v>1779</v>
      </c>
      <c r="C801" s="24" t="s">
        <v>180</v>
      </c>
      <c r="D801" s="24" t="s">
        <v>2306</v>
      </c>
      <c r="E801" s="24" t="s">
        <v>2307</v>
      </c>
      <c r="F801" s="24">
        <v>1</v>
      </c>
      <c r="G801" s="24" t="s">
        <v>1767</v>
      </c>
      <c r="H801" s="24"/>
      <c r="I801" s="24"/>
      <c r="J801" s="164"/>
      <c r="K801" s="224"/>
      <c r="L801" s="224"/>
      <c r="M801" s="224"/>
      <c r="N801" s="164"/>
      <c r="O801" s="204" t="s">
        <v>1779</v>
      </c>
      <c r="P801" s="164"/>
      <c r="Q801" s="164"/>
      <c r="R801" s="24"/>
      <c r="S801" s="164"/>
      <c r="T801" s="224"/>
      <c r="U801" s="164"/>
      <c r="V801" s="164"/>
      <c r="W801" s="164"/>
      <c r="X801" s="24"/>
      <c r="Y801" s="164"/>
      <c r="Z801" s="24"/>
      <c r="AA801" s="24"/>
      <c r="AB801" s="24"/>
      <c r="AC801" s="24"/>
      <c r="AD801" s="164"/>
      <c r="AE801" s="164"/>
      <c r="AF801" s="164"/>
      <c r="AG801" s="164"/>
      <c r="AH801" s="285" t="s">
        <v>115</v>
      </c>
      <c r="AI801" s="285" t="s">
        <v>1781</v>
      </c>
      <c r="AJ801" s="285" t="s">
        <v>1782</v>
      </c>
      <c r="AK801" s="24"/>
      <c r="AL801" s="24"/>
      <c r="AM801" s="24"/>
    </row>
    <row r="802" spans="1:39" ht="12.75" customHeight="1">
      <c r="A802" s="22">
        <v>800</v>
      </c>
      <c r="B802" s="24" t="s">
        <v>1783</v>
      </c>
      <c r="C802" s="24" t="s">
        <v>180</v>
      </c>
      <c r="D802" s="24" t="s">
        <v>2306</v>
      </c>
      <c r="E802" s="24" t="s">
        <v>2307</v>
      </c>
      <c r="F802" s="24">
        <v>1</v>
      </c>
      <c r="G802" s="24" t="s">
        <v>1767</v>
      </c>
      <c r="H802" s="24"/>
      <c r="I802" s="24"/>
      <c r="J802" s="283"/>
      <c r="K802" s="224"/>
      <c r="L802" s="224"/>
      <c r="M802" s="224"/>
      <c r="N802" s="164"/>
      <c r="O802" s="204" t="s">
        <v>1783</v>
      </c>
      <c r="P802" s="164"/>
      <c r="Q802" s="164"/>
      <c r="R802" s="24"/>
      <c r="S802" s="283"/>
      <c r="T802" s="224"/>
      <c r="U802" s="283"/>
      <c r="V802" s="283"/>
      <c r="W802" s="164"/>
      <c r="X802" s="24"/>
      <c r="Y802" s="283"/>
      <c r="Z802" s="24"/>
      <c r="AA802" s="24"/>
      <c r="AB802" s="24"/>
      <c r="AC802" s="24"/>
      <c r="AD802" s="283"/>
      <c r="AE802" s="283"/>
      <c r="AF802" s="283"/>
      <c r="AG802" s="283"/>
      <c r="AH802" s="285" t="s">
        <v>115</v>
      </c>
      <c r="AI802" s="285" t="s">
        <v>1784</v>
      </c>
      <c r="AJ802" s="205" t="s">
        <v>1785</v>
      </c>
      <c r="AK802" s="24"/>
      <c r="AL802" s="24"/>
      <c r="AM802" s="24"/>
    </row>
    <row r="803" spans="1:39" ht="12.75" customHeight="1">
      <c r="A803" s="22">
        <v>801</v>
      </c>
      <c r="B803" s="24" t="s">
        <v>1468</v>
      </c>
      <c r="C803" s="24" t="s">
        <v>180</v>
      </c>
      <c r="D803" s="24" t="s">
        <v>2306</v>
      </c>
      <c r="E803" s="24" t="s">
        <v>2307</v>
      </c>
      <c r="F803" s="24">
        <v>1</v>
      </c>
      <c r="G803" s="24" t="s">
        <v>1767</v>
      </c>
      <c r="H803" s="24"/>
      <c r="I803" s="24"/>
      <c r="J803" s="283"/>
      <c r="K803" s="224"/>
      <c r="L803" s="224"/>
      <c r="M803" s="224"/>
      <c r="N803" s="164"/>
      <c r="O803" s="204" t="s">
        <v>1468</v>
      </c>
      <c r="P803" s="164"/>
      <c r="Q803" s="164"/>
      <c r="R803" s="24"/>
      <c r="S803" s="283"/>
      <c r="T803" s="224"/>
      <c r="U803" s="283"/>
      <c r="V803" s="283"/>
      <c r="W803" s="164"/>
      <c r="X803" s="24"/>
      <c r="Y803" s="283"/>
      <c r="Z803" s="24"/>
      <c r="AA803" s="24"/>
      <c r="AB803" s="24"/>
      <c r="AC803" s="24"/>
      <c r="AD803" s="283"/>
      <c r="AE803" s="283"/>
      <c r="AF803" s="283"/>
      <c r="AG803" s="283"/>
      <c r="AH803" s="285" t="s">
        <v>115</v>
      </c>
      <c r="AI803" s="285" t="s">
        <v>1469</v>
      </c>
      <c r="AJ803" s="205" t="s">
        <v>1470</v>
      </c>
      <c r="AK803" s="24"/>
      <c r="AL803" s="24"/>
      <c r="AM803" s="24"/>
    </row>
    <row r="804" spans="1:39" ht="38.25" customHeight="1">
      <c r="A804" s="22">
        <v>802</v>
      </c>
      <c r="B804" s="24" t="s">
        <v>2311</v>
      </c>
      <c r="C804" s="24" t="s">
        <v>96</v>
      </c>
      <c r="D804" s="24" t="s">
        <v>1787</v>
      </c>
      <c r="E804" s="24" t="s">
        <v>2307</v>
      </c>
      <c r="F804" s="24">
        <v>1</v>
      </c>
      <c r="G804" s="24" t="s">
        <v>1767</v>
      </c>
      <c r="H804" s="24"/>
      <c r="I804" s="24"/>
      <c r="J804" s="283"/>
      <c r="K804" s="224" t="s">
        <v>1376</v>
      </c>
      <c r="L804" s="224" t="s">
        <v>2312</v>
      </c>
      <c r="M804" s="224" t="s">
        <v>2313</v>
      </c>
      <c r="N804" s="164" t="s">
        <v>238</v>
      </c>
      <c r="O804" s="164"/>
      <c r="P804" s="164"/>
      <c r="Q804" s="164"/>
      <c r="R804" s="24"/>
      <c r="S804" s="283"/>
      <c r="T804" s="224" t="s">
        <v>113</v>
      </c>
      <c r="U804" s="283"/>
      <c r="V804" s="283"/>
      <c r="W804" s="164" t="s">
        <v>115</v>
      </c>
      <c r="X804" s="24"/>
      <c r="Y804" s="283"/>
      <c r="Z804" s="24"/>
      <c r="AA804" s="24"/>
      <c r="AB804" s="24"/>
      <c r="AC804" s="24"/>
      <c r="AD804" s="283"/>
      <c r="AE804" s="283"/>
      <c r="AF804" s="283"/>
      <c r="AG804" s="283"/>
      <c r="AH804" s="285" t="s">
        <v>2310</v>
      </c>
      <c r="AI804" s="205" t="s">
        <v>1791</v>
      </c>
      <c r="AJ804" s="285" t="s">
        <v>1792</v>
      </c>
      <c r="AK804" s="24"/>
      <c r="AL804" s="24"/>
      <c r="AM804" s="24"/>
    </row>
    <row r="805" spans="1:39" ht="25.5" customHeight="1">
      <c r="A805" s="22">
        <v>803</v>
      </c>
      <c r="B805" s="24" t="s">
        <v>2314</v>
      </c>
      <c r="C805" s="24" t="s">
        <v>180</v>
      </c>
      <c r="D805" s="24" t="s">
        <v>1376</v>
      </c>
      <c r="E805" s="24" t="s">
        <v>2307</v>
      </c>
      <c r="F805" s="24">
        <v>1</v>
      </c>
      <c r="G805" s="24" t="s">
        <v>1767</v>
      </c>
      <c r="H805" s="24"/>
      <c r="I805" s="24"/>
      <c r="J805" s="283"/>
      <c r="K805" s="196"/>
      <c r="L805" s="196"/>
      <c r="M805" s="196"/>
      <c r="N805" s="196"/>
      <c r="O805" s="204" t="s">
        <v>2314</v>
      </c>
      <c r="P805" s="196"/>
      <c r="Q805" s="196"/>
      <c r="R805" s="24"/>
      <c r="S805" s="283"/>
      <c r="T805" s="196"/>
      <c r="U805" s="283"/>
      <c r="V805" s="283"/>
      <c r="W805" s="196"/>
      <c r="X805" s="24"/>
      <c r="Y805" s="283"/>
      <c r="Z805" s="24"/>
      <c r="AA805" s="24"/>
      <c r="AB805" s="24"/>
      <c r="AC805" s="24"/>
      <c r="AD805" s="283"/>
      <c r="AE805" s="283"/>
      <c r="AF805" s="283"/>
      <c r="AG805" s="283"/>
      <c r="AH805" s="205" t="s">
        <v>115</v>
      </c>
      <c r="AI805" s="205" t="s">
        <v>2315</v>
      </c>
      <c r="AJ805" s="205" t="s">
        <v>2316</v>
      </c>
      <c r="AK805" s="24"/>
      <c r="AL805" s="24"/>
      <c r="AM805" s="24"/>
    </row>
    <row r="806" spans="1:39" ht="12.75" customHeight="1">
      <c r="A806" s="22">
        <v>804</v>
      </c>
      <c r="B806" s="24" t="s">
        <v>2317</v>
      </c>
      <c r="C806" s="24" t="s">
        <v>180</v>
      </c>
      <c r="D806" s="24" t="s">
        <v>1376</v>
      </c>
      <c r="E806" s="24" t="s">
        <v>2307</v>
      </c>
      <c r="F806" s="24">
        <v>1</v>
      </c>
      <c r="G806" s="24" t="s">
        <v>1767</v>
      </c>
      <c r="H806" s="24"/>
      <c r="I806" s="24"/>
      <c r="J806" s="283"/>
      <c r="K806" s="196"/>
      <c r="L806" s="196"/>
      <c r="M806" s="196"/>
      <c r="N806" s="196"/>
      <c r="O806" s="196" t="s">
        <v>2317</v>
      </c>
      <c r="P806" s="196"/>
      <c r="Q806" s="196"/>
      <c r="R806" s="24"/>
      <c r="S806" s="283"/>
      <c r="T806" s="196"/>
      <c r="U806" s="283"/>
      <c r="V806" s="283"/>
      <c r="W806" s="196"/>
      <c r="X806" s="24"/>
      <c r="Y806" s="283"/>
      <c r="Z806" s="24"/>
      <c r="AA806" s="24"/>
      <c r="AB806" s="24"/>
      <c r="AC806" s="24"/>
      <c r="AD806" s="283"/>
      <c r="AE806" s="283"/>
      <c r="AF806" s="283"/>
      <c r="AG806" s="283"/>
      <c r="AH806" s="205" t="s">
        <v>115</v>
      </c>
      <c r="AI806" s="205" t="s">
        <v>2318</v>
      </c>
      <c r="AJ806" s="205" t="s">
        <v>2319</v>
      </c>
      <c r="AK806" s="24"/>
      <c r="AL806" s="24"/>
      <c r="AM806" s="24"/>
    </row>
    <row r="807" spans="1:39" ht="12.75" customHeight="1">
      <c r="A807" s="22">
        <v>805</v>
      </c>
      <c r="B807" s="24" t="s">
        <v>2320</v>
      </c>
      <c r="C807" s="24" t="s">
        <v>180</v>
      </c>
      <c r="D807" s="24" t="s">
        <v>1376</v>
      </c>
      <c r="E807" s="24" t="s">
        <v>2307</v>
      </c>
      <c r="F807" s="24">
        <v>1</v>
      </c>
      <c r="G807" s="24" t="s">
        <v>1767</v>
      </c>
      <c r="H807" s="24"/>
      <c r="I807" s="24"/>
      <c r="J807" s="283"/>
      <c r="K807" s="196"/>
      <c r="L807" s="196"/>
      <c r="M807" s="196"/>
      <c r="N807" s="196"/>
      <c r="O807" s="196" t="s">
        <v>2320</v>
      </c>
      <c r="P807" s="196"/>
      <c r="Q807" s="196"/>
      <c r="R807" s="24"/>
      <c r="S807" s="283"/>
      <c r="T807" s="196"/>
      <c r="U807" s="283"/>
      <c r="V807" s="283"/>
      <c r="W807" s="196"/>
      <c r="X807" s="24"/>
      <c r="Y807" s="283"/>
      <c r="Z807" s="24"/>
      <c r="AA807" s="24"/>
      <c r="AB807" s="24"/>
      <c r="AC807" s="24"/>
      <c r="AD807" s="283"/>
      <c r="AE807" s="283"/>
      <c r="AF807" s="283"/>
      <c r="AG807" s="283"/>
      <c r="AH807" s="205" t="s">
        <v>115</v>
      </c>
      <c r="AI807" s="205" t="s">
        <v>2321</v>
      </c>
      <c r="AJ807" s="205" t="s">
        <v>2322</v>
      </c>
      <c r="AK807" s="24"/>
      <c r="AL807" s="24"/>
      <c r="AM807" s="24"/>
    </row>
    <row r="808" spans="1:39" ht="12.75" customHeight="1">
      <c r="A808" s="22">
        <v>806</v>
      </c>
      <c r="B808" s="24" t="s">
        <v>2323</v>
      </c>
      <c r="C808" s="24" t="s">
        <v>180</v>
      </c>
      <c r="D808" s="24" t="s">
        <v>1376</v>
      </c>
      <c r="E808" s="24" t="s">
        <v>2307</v>
      </c>
      <c r="F808" s="24">
        <v>1</v>
      </c>
      <c r="G808" s="24" t="s">
        <v>1767</v>
      </c>
      <c r="H808" s="24"/>
      <c r="I808" s="24"/>
      <c r="J808" s="283"/>
      <c r="K808" s="196"/>
      <c r="L808" s="196"/>
      <c r="M808" s="196"/>
      <c r="N808" s="196"/>
      <c r="O808" s="196" t="s">
        <v>2323</v>
      </c>
      <c r="P808" s="196"/>
      <c r="Q808" s="196"/>
      <c r="R808" s="24"/>
      <c r="S808" s="283"/>
      <c r="T808" s="196"/>
      <c r="U808" s="283"/>
      <c r="V808" s="283"/>
      <c r="W808" s="196"/>
      <c r="X808" s="24"/>
      <c r="Y808" s="283"/>
      <c r="Z808" s="24"/>
      <c r="AA808" s="24"/>
      <c r="AB808" s="24"/>
      <c r="AC808" s="24"/>
      <c r="AD808" s="283"/>
      <c r="AE808" s="283"/>
      <c r="AF808" s="283"/>
      <c r="AG808" s="283"/>
      <c r="AH808" s="205" t="s">
        <v>115</v>
      </c>
      <c r="AI808" s="205" t="s">
        <v>2325</v>
      </c>
      <c r="AJ808" s="205" t="s">
        <v>2326</v>
      </c>
      <c r="AK808" s="24"/>
      <c r="AL808" s="24"/>
      <c r="AM808" s="24"/>
    </row>
    <row r="809" spans="1:39" ht="12.75" customHeight="1">
      <c r="A809" s="22">
        <v>807</v>
      </c>
      <c r="B809" s="24" t="s">
        <v>2327</v>
      </c>
      <c r="C809" s="24" t="s">
        <v>180</v>
      </c>
      <c r="D809" s="24" t="s">
        <v>1376</v>
      </c>
      <c r="E809" s="24" t="s">
        <v>2307</v>
      </c>
      <c r="F809" s="24">
        <v>1</v>
      </c>
      <c r="G809" s="24" t="s">
        <v>1767</v>
      </c>
      <c r="H809" s="24"/>
      <c r="I809" s="24"/>
      <c r="J809" s="283"/>
      <c r="K809" s="196"/>
      <c r="L809" s="196"/>
      <c r="M809" s="196"/>
      <c r="N809" s="196"/>
      <c r="O809" s="196" t="s">
        <v>2327</v>
      </c>
      <c r="P809" s="196"/>
      <c r="Q809" s="196"/>
      <c r="R809" s="24"/>
      <c r="S809" s="283"/>
      <c r="T809" s="196"/>
      <c r="U809" s="283"/>
      <c r="V809" s="283"/>
      <c r="W809" s="196"/>
      <c r="X809" s="24"/>
      <c r="Y809" s="283"/>
      <c r="Z809" s="24"/>
      <c r="AA809" s="24"/>
      <c r="AB809" s="24"/>
      <c r="AC809" s="24"/>
      <c r="AD809" s="283"/>
      <c r="AE809" s="283"/>
      <c r="AF809" s="283"/>
      <c r="AG809" s="283"/>
      <c r="AH809" s="205" t="s">
        <v>115</v>
      </c>
      <c r="AI809" s="205" t="s">
        <v>1910</v>
      </c>
      <c r="AJ809" s="205" t="s">
        <v>1911</v>
      </c>
      <c r="AK809" s="24"/>
      <c r="AL809" s="24"/>
      <c r="AM809" s="24"/>
    </row>
    <row r="810" spans="1:39" ht="12.75" customHeight="1">
      <c r="A810" s="22">
        <v>808</v>
      </c>
      <c r="B810" s="24" t="s">
        <v>2328</v>
      </c>
      <c r="C810" s="24" t="s">
        <v>180</v>
      </c>
      <c r="D810" s="24" t="s">
        <v>1376</v>
      </c>
      <c r="E810" s="24" t="s">
        <v>2307</v>
      </c>
      <c r="F810" s="24">
        <v>1</v>
      </c>
      <c r="G810" s="24" t="s">
        <v>1767</v>
      </c>
      <c r="H810" s="24"/>
      <c r="I810" s="24"/>
      <c r="J810" s="283"/>
      <c r="K810" s="196"/>
      <c r="L810" s="196"/>
      <c r="M810" s="196"/>
      <c r="N810" s="196"/>
      <c r="O810" s="196" t="s">
        <v>2328</v>
      </c>
      <c r="P810" s="196"/>
      <c r="Q810" s="196"/>
      <c r="R810" s="24"/>
      <c r="S810" s="283"/>
      <c r="T810" s="196"/>
      <c r="U810" s="283"/>
      <c r="V810" s="283"/>
      <c r="W810" s="196"/>
      <c r="X810" s="24"/>
      <c r="Y810" s="283"/>
      <c r="Z810" s="24"/>
      <c r="AA810" s="24"/>
      <c r="AB810" s="24"/>
      <c r="AC810" s="24"/>
      <c r="AD810" s="283"/>
      <c r="AE810" s="283"/>
      <c r="AF810" s="283"/>
      <c r="AG810" s="283"/>
      <c r="AH810" s="205" t="s">
        <v>115</v>
      </c>
      <c r="AI810" s="205" t="s">
        <v>2329</v>
      </c>
      <c r="AJ810" s="205" t="s">
        <v>1386</v>
      </c>
      <c r="AK810" s="24"/>
      <c r="AL810" s="24"/>
      <c r="AM810" s="24"/>
    </row>
    <row r="811" spans="1:39" ht="14.25" customHeight="1">
      <c r="A811" s="22">
        <v>809</v>
      </c>
      <c r="B811" s="24" t="s">
        <v>2330</v>
      </c>
      <c r="C811" s="24" t="s">
        <v>180</v>
      </c>
      <c r="D811" s="24" t="s">
        <v>1376</v>
      </c>
      <c r="E811" s="24" t="s">
        <v>2307</v>
      </c>
      <c r="F811" s="24">
        <v>1</v>
      </c>
      <c r="G811" s="24" t="s">
        <v>1767</v>
      </c>
      <c r="H811" s="24"/>
      <c r="I811" s="24"/>
      <c r="J811" s="283"/>
      <c r="K811" s="196"/>
      <c r="L811" s="196"/>
      <c r="M811" s="196"/>
      <c r="N811" s="196"/>
      <c r="O811" s="196" t="s">
        <v>2330</v>
      </c>
      <c r="P811" s="196"/>
      <c r="Q811" s="196"/>
      <c r="R811" s="24"/>
      <c r="S811" s="283"/>
      <c r="T811" s="196"/>
      <c r="U811" s="283"/>
      <c r="V811" s="283"/>
      <c r="W811" s="196"/>
      <c r="X811" s="24"/>
      <c r="Y811" s="283"/>
      <c r="Z811" s="24"/>
      <c r="AA811" s="24"/>
      <c r="AB811" s="24"/>
      <c r="AC811" s="24"/>
      <c r="AD811" s="283"/>
      <c r="AE811" s="283"/>
      <c r="AF811" s="283"/>
      <c r="AG811" s="283"/>
      <c r="AH811" s="205" t="s">
        <v>115</v>
      </c>
      <c r="AI811" s="205" t="s">
        <v>2332</v>
      </c>
      <c r="AJ811" s="205" t="s">
        <v>2333</v>
      </c>
      <c r="AK811" s="24"/>
      <c r="AL811" s="24"/>
      <c r="AM811" s="24"/>
    </row>
    <row r="812" spans="1:39" ht="12.75" customHeight="1">
      <c r="A812" s="22">
        <v>810</v>
      </c>
      <c r="B812" s="24" t="s">
        <v>405</v>
      </c>
      <c r="C812" s="24" t="s">
        <v>180</v>
      </c>
      <c r="D812" s="24" t="s">
        <v>1376</v>
      </c>
      <c r="E812" s="24" t="s">
        <v>2307</v>
      </c>
      <c r="F812" s="24">
        <v>1</v>
      </c>
      <c r="G812" s="24" t="s">
        <v>1767</v>
      </c>
      <c r="H812" s="24"/>
      <c r="I812" s="24"/>
      <c r="J812" s="283"/>
      <c r="K812" s="196"/>
      <c r="L812" s="196"/>
      <c r="M812" s="196"/>
      <c r="N812" s="196"/>
      <c r="O812" s="196" t="s">
        <v>405</v>
      </c>
      <c r="P812" s="196"/>
      <c r="Q812" s="196"/>
      <c r="R812" s="24"/>
      <c r="S812" s="283"/>
      <c r="T812" s="196"/>
      <c r="U812" s="283"/>
      <c r="V812" s="283"/>
      <c r="W812" s="196"/>
      <c r="X812" s="24"/>
      <c r="Y812" s="283"/>
      <c r="Z812" s="24"/>
      <c r="AA812" s="24"/>
      <c r="AB812" s="24"/>
      <c r="AC812" s="24"/>
      <c r="AD812" s="283"/>
      <c r="AE812" s="283"/>
      <c r="AF812" s="283"/>
      <c r="AG812" s="283"/>
      <c r="AH812" s="205" t="s">
        <v>115</v>
      </c>
      <c r="AI812" s="205" t="s">
        <v>406</v>
      </c>
      <c r="AJ812" s="205" t="s">
        <v>407</v>
      </c>
      <c r="AK812" s="24"/>
      <c r="AL812" s="24"/>
      <c r="AM812" s="24"/>
    </row>
    <row r="813" spans="1:39" ht="12.75" customHeight="1">
      <c r="A813" s="22">
        <v>811</v>
      </c>
      <c r="B813" s="24" t="s">
        <v>2334</v>
      </c>
      <c r="C813" s="24" t="s">
        <v>96</v>
      </c>
      <c r="D813" s="24" t="s">
        <v>1787</v>
      </c>
      <c r="E813" s="24" t="s">
        <v>2307</v>
      </c>
      <c r="F813" s="24">
        <v>1</v>
      </c>
      <c r="G813" s="24" t="s">
        <v>1767</v>
      </c>
      <c r="H813" s="24"/>
      <c r="I813" s="24"/>
      <c r="J813" s="283"/>
      <c r="K813" s="196" t="s">
        <v>409</v>
      </c>
      <c r="L813" s="196" t="s">
        <v>2335</v>
      </c>
      <c r="M813" s="196" t="s">
        <v>2336</v>
      </c>
      <c r="N813" s="196" t="s">
        <v>111</v>
      </c>
      <c r="O813" s="196"/>
      <c r="P813" s="196"/>
      <c r="Q813" s="196"/>
      <c r="R813" s="24"/>
      <c r="S813" s="283"/>
      <c r="T813" s="196" t="s">
        <v>208</v>
      </c>
      <c r="U813" s="283"/>
      <c r="V813" s="283"/>
      <c r="W813" s="196" t="s">
        <v>115</v>
      </c>
      <c r="X813" s="24"/>
      <c r="Y813" s="283"/>
      <c r="Z813" s="24"/>
      <c r="AA813" s="24"/>
      <c r="AB813" s="24"/>
      <c r="AC813" s="24"/>
      <c r="AD813" s="283"/>
      <c r="AE813" s="283"/>
      <c r="AF813" s="283"/>
      <c r="AG813" s="283"/>
      <c r="AH813" s="205" t="s">
        <v>2310</v>
      </c>
      <c r="AI813" s="205" t="s">
        <v>1800</v>
      </c>
      <c r="AJ813" s="205" t="s">
        <v>1801</v>
      </c>
      <c r="AK813" s="24"/>
      <c r="AL813" s="24"/>
      <c r="AM813" s="24"/>
    </row>
    <row r="814" spans="1:39" ht="25.5" customHeight="1">
      <c r="A814" s="22">
        <v>812</v>
      </c>
      <c r="B814" s="24" t="s">
        <v>2338</v>
      </c>
      <c r="C814" s="24" t="s">
        <v>96</v>
      </c>
      <c r="D814" s="24" t="s">
        <v>1787</v>
      </c>
      <c r="E814" s="24" t="s">
        <v>2307</v>
      </c>
      <c r="F814" s="24">
        <v>1</v>
      </c>
      <c r="G814" s="24" t="s">
        <v>1767</v>
      </c>
      <c r="H814" s="24"/>
      <c r="I814" s="24"/>
      <c r="J814" s="283"/>
      <c r="K814" s="196" t="s">
        <v>2338</v>
      </c>
      <c r="L814" s="196" t="s">
        <v>2339</v>
      </c>
      <c r="M814" s="204" t="s">
        <v>2340</v>
      </c>
      <c r="N814" s="196" t="s">
        <v>140</v>
      </c>
      <c r="O814" s="196"/>
      <c r="P814" s="196"/>
      <c r="Q814" s="196"/>
      <c r="R814" s="24"/>
      <c r="S814" s="283"/>
      <c r="T814" s="196" t="s">
        <v>113</v>
      </c>
      <c r="U814" s="283"/>
      <c r="V814" s="283"/>
      <c r="W814" s="196" t="s">
        <v>115</v>
      </c>
      <c r="X814" s="24"/>
      <c r="Y814" s="283"/>
      <c r="Z814" s="24"/>
      <c r="AA814" s="24"/>
      <c r="AB814" s="24"/>
      <c r="AC814" s="24"/>
      <c r="AD814" s="283"/>
      <c r="AE814" s="283"/>
      <c r="AF814" s="283"/>
      <c r="AG814" s="283"/>
      <c r="AH814" s="205" t="s">
        <v>2310</v>
      </c>
      <c r="AI814" s="205" t="s">
        <v>1804</v>
      </c>
      <c r="AJ814" s="205" t="s">
        <v>1805</v>
      </c>
      <c r="AK814" s="24"/>
      <c r="AL814" s="24"/>
      <c r="AM814" s="24"/>
    </row>
    <row r="815" spans="1:39" ht="12.75" customHeight="1">
      <c r="A815" s="22">
        <v>813</v>
      </c>
      <c r="B815" s="24" t="s">
        <v>2341</v>
      </c>
      <c r="C815" s="24" t="s">
        <v>96</v>
      </c>
      <c r="D815" s="24" t="s">
        <v>1787</v>
      </c>
      <c r="E815" s="24" t="s">
        <v>2307</v>
      </c>
      <c r="F815" s="24">
        <v>1</v>
      </c>
      <c r="G815" s="24" t="s">
        <v>1767</v>
      </c>
      <c r="H815" s="24"/>
      <c r="I815" s="24"/>
      <c r="J815" s="283"/>
      <c r="K815" s="224" t="s">
        <v>1926</v>
      </c>
      <c r="L815" s="224" t="s">
        <v>2342</v>
      </c>
      <c r="M815" s="224" t="s">
        <v>2343</v>
      </c>
      <c r="N815" s="224" t="s">
        <v>202</v>
      </c>
      <c r="O815" s="224"/>
      <c r="P815" s="164"/>
      <c r="Q815" s="164"/>
      <c r="R815" s="24"/>
      <c r="S815" s="283"/>
      <c r="T815" s="224" t="s">
        <v>113</v>
      </c>
      <c r="U815" s="283"/>
      <c r="V815" s="283"/>
      <c r="W815" s="196" t="s">
        <v>115</v>
      </c>
      <c r="X815" s="24"/>
      <c r="Y815" s="283"/>
      <c r="Z815" s="24"/>
      <c r="AA815" s="24"/>
      <c r="AB815" s="24"/>
      <c r="AC815" s="24"/>
      <c r="AD815" s="283"/>
      <c r="AE815" s="283"/>
      <c r="AF815" s="283"/>
      <c r="AG815" s="283"/>
      <c r="AH815" s="285" t="s">
        <v>115</v>
      </c>
      <c r="AI815" s="205" t="s">
        <v>2344</v>
      </c>
      <c r="AJ815" s="205" t="s">
        <v>2345</v>
      </c>
      <c r="AK815" s="24"/>
      <c r="AL815" s="24"/>
      <c r="AM815" s="24"/>
    </row>
    <row r="816" spans="1:39" ht="14.25" customHeight="1">
      <c r="A816" s="22">
        <v>814</v>
      </c>
      <c r="B816" s="24" t="s">
        <v>1122</v>
      </c>
      <c r="C816" s="24" t="s">
        <v>180</v>
      </c>
      <c r="D816" s="24" t="s">
        <v>1926</v>
      </c>
      <c r="E816" s="24" t="s">
        <v>2307</v>
      </c>
      <c r="F816" s="24">
        <v>1</v>
      </c>
      <c r="G816" s="24" t="s">
        <v>1767</v>
      </c>
      <c r="H816" s="24"/>
      <c r="I816" s="24"/>
      <c r="J816" s="283"/>
      <c r="K816" s="164"/>
      <c r="L816" s="164"/>
      <c r="M816" s="164"/>
      <c r="N816" s="164"/>
      <c r="O816" s="224" t="s">
        <v>1122</v>
      </c>
      <c r="P816" s="164"/>
      <c r="Q816" s="164"/>
      <c r="R816" s="24"/>
      <c r="S816" s="283"/>
      <c r="T816" s="164"/>
      <c r="U816" s="283"/>
      <c r="V816" s="283"/>
      <c r="W816" s="164"/>
      <c r="X816" s="24"/>
      <c r="Y816" s="283"/>
      <c r="Z816" s="24"/>
      <c r="AA816" s="24"/>
      <c r="AB816" s="24"/>
      <c r="AC816" s="24"/>
      <c r="AD816" s="283"/>
      <c r="AE816" s="283"/>
      <c r="AF816" s="283"/>
      <c r="AG816" s="283"/>
      <c r="AH816" s="285" t="s">
        <v>115</v>
      </c>
      <c r="AI816" s="205" t="s">
        <v>1897</v>
      </c>
      <c r="AJ816" s="205" t="s">
        <v>1125</v>
      </c>
      <c r="AK816" s="24"/>
      <c r="AL816" s="24"/>
      <c r="AM816" s="24"/>
    </row>
    <row r="817" spans="1:41" ht="12.75" customHeight="1">
      <c r="A817" s="22">
        <v>815</v>
      </c>
      <c r="B817" s="24" t="s">
        <v>1126</v>
      </c>
      <c r="C817" s="24" t="s">
        <v>180</v>
      </c>
      <c r="D817" s="24" t="s">
        <v>1926</v>
      </c>
      <c r="E817" s="24" t="s">
        <v>2307</v>
      </c>
      <c r="F817" s="24">
        <v>1</v>
      </c>
      <c r="G817" s="24" t="s">
        <v>1767</v>
      </c>
      <c r="H817" s="24"/>
      <c r="I817" s="24"/>
      <c r="J817" s="283"/>
      <c r="K817" s="164"/>
      <c r="L817" s="164"/>
      <c r="M817" s="164"/>
      <c r="N817" s="164"/>
      <c r="O817" s="297" t="s">
        <v>1126</v>
      </c>
      <c r="P817" s="164"/>
      <c r="Q817" s="164"/>
      <c r="R817" s="24"/>
      <c r="S817" s="283"/>
      <c r="T817" s="164"/>
      <c r="U817" s="283"/>
      <c r="V817" s="283"/>
      <c r="W817" s="164"/>
      <c r="X817" s="24"/>
      <c r="Y817" s="283"/>
      <c r="Z817" s="24"/>
      <c r="AA817" s="24"/>
      <c r="AB817" s="24"/>
      <c r="AC817" s="24"/>
      <c r="AD817" s="283"/>
      <c r="AE817" s="283"/>
      <c r="AF817" s="283"/>
      <c r="AG817" s="283"/>
      <c r="AH817" s="285" t="s">
        <v>115</v>
      </c>
      <c r="AI817" s="205" t="s">
        <v>1128</v>
      </c>
      <c r="AJ817" s="205" t="s">
        <v>1129</v>
      </c>
      <c r="AK817" s="24"/>
      <c r="AL817" s="24"/>
      <c r="AM817" s="24"/>
    </row>
    <row r="818" spans="1:41" ht="12.75" customHeight="1">
      <c r="A818" s="22">
        <v>816</v>
      </c>
      <c r="B818" s="24" t="s">
        <v>1932</v>
      </c>
      <c r="C818" s="24" t="s">
        <v>180</v>
      </c>
      <c r="D818" s="24" t="s">
        <v>1926</v>
      </c>
      <c r="E818" s="24" t="s">
        <v>2307</v>
      </c>
      <c r="F818" s="24">
        <v>1</v>
      </c>
      <c r="G818" s="24" t="s">
        <v>1767</v>
      </c>
      <c r="H818" s="24"/>
      <c r="I818" s="24"/>
      <c r="J818" s="283"/>
      <c r="K818" s="164"/>
      <c r="L818" s="164"/>
      <c r="M818" s="164"/>
      <c r="N818" s="164"/>
      <c r="O818" s="297" t="s">
        <v>1932</v>
      </c>
      <c r="P818" s="164"/>
      <c r="Q818" s="164"/>
      <c r="R818" s="24"/>
      <c r="S818" s="283"/>
      <c r="T818" s="164"/>
      <c r="U818" s="283"/>
      <c r="V818" s="283"/>
      <c r="W818" s="164"/>
      <c r="X818" s="24"/>
      <c r="Y818" s="283"/>
      <c r="Z818" s="24"/>
      <c r="AA818" s="24"/>
      <c r="AB818" s="24"/>
      <c r="AC818" s="24"/>
      <c r="AD818" s="283"/>
      <c r="AE818" s="283"/>
      <c r="AF818" s="283"/>
      <c r="AG818" s="283"/>
      <c r="AH818" s="285" t="s">
        <v>115</v>
      </c>
      <c r="AI818" s="205" t="s">
        <v>1934</v>
      </c>
      <c r="AJ818" s="285" t="s">
        <v>1935</v>
      </c>
      <c r="AK818" s="24"/>
      <c r="AL818" s="24"/>
      <c r="AM818" s="24"/>
    </row>
    <row r="819" spans="1:41" ht="12.75" customHeight="1">
      <c r="A819" s="22">
        <v>817</v>
      </c>
      <c r="B819" s="24" t="s">
        <v>2347</v>
      </c>
      <c r="C819" s="24" t="s">
        <v>180</v>
      </c>
      <c r="D819" s="24" t="s">
        <v>1926</v>
      </c>
      <c r="E819" s="24" t="s">
        <v>2307</v>
      </c>
      <c r="F819" s="24">
        <v>1</v>
      </c>
      <c r="G819" s="24" t="s">
        <v>1767</v>
      </c>
      <c r="H819" s="24"/>
      <c r="I819" s="24"/>
      <c r="J819" s="283"/>
      <c r="K819" s="164"/>
      <c r="L819" s="164"/>
      <c r="M819" s="164"/>
      <c r="N819" s="164"/>
      <c r="O819" s="297" t="s">
        <v>2347</v>
      </c>
      <c r="P819" s="164"/>
      <c r="Q819" s="164"/>
      <c r="R819" s="24"/>
      <c r="S819" s="283"/>
      <c r="T819" s="164"/>
      <c r="U819" s="283"/>
      <c r="V819" s="283"/>
      <c r="W819" s="164"/>
      <c r="X819" s="24"/>
      <c r="Y819" s="283"/>
      <c r="Z819" s="24"/>
      <c r="AA819" s="24"/>
      <c r="AB819" s="24"/>
      <c r="AC819" s="24"/>
      <c r="AD819" s="283"/>
      <c r="AE819" s="283"/>
      <c r="AF819" s="283"/>
      <c r="AG819" s="283"/>
      <c r="AH819" s="285" t="s">
        <v>115</v>
      </c>
      <c r="AI819" s="205" t="s">
        <v>2349</v>
      </c>
      <c r="AJ819" s="285" t="s">
        <v>946</v>
      </c>
      <c r="AK819" s="24"/>
      <c r="AL819" s="24"/>
      <c r="AM819" s="24"/>
    </row>
    <row r="820" spans="1:41" ht="12.75" customHeight="1">
      <c r="A820" s="22">
        <v>818</v>
      </c>
      <c r="B820" s="24" t="s">
        <v>2350</v>
      </c>
      <c r="C820" s="24" t="s">
        <v>96</v>
      </c>
      <c r="D820" s="24" t="s">
        <v>1787</v>
      </c>
      <c r="E820" s="24" t="s">
        <v>2351</v>
      </c>
      <c r="F820" s="24">
        <v>1</v>
      </c>
      <c r="G820" s="24" t="s">
        <v>1767</v>
      </c>
      <c r="H820" s="24"/>
      <c r="I820" s="24"/>
      <c r="J820" s="283"/>
      <c r="K820" s="224" t="s">
        <v>2350</v>
      </c>
      <c r="L820" s="224" t="s">
        <v>2352</v>
      </c>
      <c r="M820" s="224" t="s">
        <v>2353</v>
      </c>
      <c r="N820" s="224" t="s">
        <v>202</v>
      </c>
      <c r="O820" s="164"/>
      <c r="P820" s="164"/>
      <c r="Q820" s="164"/>
      <c r="R820" s="24"/>
      <c r="S820" s="283"/>
      <c r="T820" s="224" t="s">
        <v>208</v>
      </c>
      <c r="U820" s="283"/>
      <c r="V820" s="283"/>
      <c r="W820" s="164" t="s">
        <v>2354</v>
      </c>
      <c r="X820" s="24"/>
      <c r="Y820" s="283"/>
      <c r="Z820" s="24"/>
      <c r="AA820" s="24"/>
      <c r="AB820" s="24"/>
      <c r="AC820" s="24"/>
      <c r="AD820" s="283"/>
      <c r="AE820" s="283"/>
      <c r="AF820" s="283"/>
      <c r="AG820" s="283"/>
      <c r="AH820" s="285" t="s">
        <v>2355</v>
      </c>
      <c r="AI820" s="205" t="s">
        <v>1773</v>
      </c>
      <c r="AJ820" s="285" t="s">
        <v>1774</v>
      </c>
      <c r="AK820" s="24"/>
      <c r="AL820" s="24"/>
      <c r="AM820" s="24"/>
    </row>
    <row r="821" spans="1:41" ht="12.75" customHeight="1">
      <c r="A821" s="22">
        <v>819</v>
      </c>
      <c r="B821" s="24" t="s">
        <v>1775</v>
      </c>
      <c r="C821" s="24" t="s">
        <v>180</v>
      </c>
      <c r="D821" s="24" t="s">
        <v>2350</v>
      </c>
      <c r="E821" s="24" t="s">
        <v>2351</v>
      </c>
      <c r="F821" s="24">
        <v>1</v>
      </c>
      <c r="G821" s="24" t="s">
        <v>1767</v>
      </c>
      <c r="H821" s="24"/>
      <c r="I821" s="24"/>
      <c r="J821" s="283"/>
      <c r="K821" s="224"/>
      <c r="L821" s="224"/>
      <c r="M821" s="224"/>
      <c r="N821" s="224"/>
      <c r="O821" s="164" t="s">
        <v>1775</v>
      </c>
      <c r="P821" s="164"/>
      <c r="Q821" s="164"/>
      <c r="R821" s="24"/>
      <c r="S821" s="283"/>
      <c r="T821" s="224"/>
      <c r="U821" s="283"/>
      <c r="V821" s="283"/>
      <c r="W821" s="164"/>
      <c r="X821" s="24"/>
      <c r="Y821" s="283"/>
      <c r="Z821" s="24"/>
      <c r="AA821" s="24"/>
      <c r="AB821" s="24"/>
      <c r="AC821" s="24"/>
      <c r="AD821" s="283"/>
      <c r="AE821" s="283"/>
      <c r="AF821" s="283"/>
      <c r="AG821" s="283"/>
      <c r="AH821" s="285" t="s">
        <v>115</v>
      </c>
      <c r="AI821" s="285" t="s">
        <v>1777</v>
      </c>
      <c r="AJ821" s="285" t="s">
        <v>1778</v>
      </c>
      <c r="AK821" s="24"/>
      <c r="AL821" s="24"/>
      <c r="AM821" s="24"/>
    </row>
    <row r="822" spans="1:41" ht="12.75" customHeight="1">
      <c r="A822" s="22">
        <v>820</v>
      </c>
      <c r="B822" s="24" t="s">
        <v>1779</v>
      </c>
      <c r="C822" s="24" t="s">
        <v>180</v>
      </c>
      <c r="D822" s="24" t="s">
        <v>2350</v>
      </c>
      <c r="E822" s="24" t="s">
        <v>2351</v>
      </c>
      <c r="F822" s="24">
        <v>1</v>
      </c>
      <c r="G822" s="24" t="s">
        <v>1767</v>
      </c>
      <c r="H822" s="24"/>
      <c r="I822" s="24"/>
      <c r="J822" s="283"/>
      <c r="K822" s="224"/>
      <c r="L822" s="224"/>
      <c r="M822" s="224"/>
      <c r="N822" s="224"/>
      <c r="O822" s="224" t="s">
        <v>1779</v>
      </c>
      <c r="P822" s="164"/>
      <c r="Q822" s="164"/>
      <c r="R822" s="24"/>
      <c r="S822" s="283"/>
      <c r="T822" s="224"/>
      <c r="U822" s="283"/>
      <c r="V822" s="283"/>
      <c r="W822" s="164"/>
      <c r="X822" s="24"/>
      <c r="Y822" s="283"/>
      <c r="Z822" s="24"/>
      <c r="AA822" s="24"/>
      <c r="AB822" s="24"/>
      <c r="AC822" s="24"/>
      <c r="AD822" s="283"/>
      <c r="AE822" s="283"/>
      <c r="AF822" s="283"/>
      <c r="AG822" s="283"/>
      <c r="AH822" s="285" t="s">
        <v>115</v>
      </c>
      <c r="AI822" s="285" t="s">
        <v>1781</v>
      </c>
      <c r="AJ822" s="285" t="s">
        <v>1782</v>
      </c>
      <c r="AK822" s="24"/>
      <c r="AL822" s="24"/>
      <c r="AM822" s="24"/>
    </row>
    <row r="823" spans="1:41" ht="12.75" customHeight="1">
      <c r="A823" s="22">
        <v>821</v>
      </c>
      <c r="B823" s="24" t="s">
        <v>2356</v>
      </c>
      <c r="C823" s="24" t="s">
        <v>96</v>
      </c>
      <c r="D823" s="24" t="s">
        <v>1787</v>
      </c>
      <c r="E823" s="24" t="s">
        <v>2351</v>
      </c>
      <c r="F823" s="24">
        <v>1</v>
      </c>
      <c r="G823" s="24" t="s">
        <v>1767</v>
      </c>
      <c r="H823" s="24"/>
      <c r="I823" s="24"/>
      <c r="J823" s="283"/>
      <c r="K823" s="224" t="s">
        <v>2356</v>
      </c>
      <c r="L823" s="224" t="s">
        <v>2357</v>
      </c>
      <c r="M823" s="224" t="s">
        <v>2358</v>
      </c>
      <c r="N823" s="224" t="s">
        <v>111</v>
      </c>
      <c r="O823" s="224"/>
      <c r="P823" s="164"/>
      <c r="Q823" s="164"/>
      <c r="R823" s="24"/>
      <c r="S823" s="283"/>
      <c r="T823" s="224" t="s">
        <v>208</v>
      </c>
      <c r="U823" s="283"/>
      <c r="V823" s="283"/>
      <c r="W823" s="164" t="s">
        <v>115</v>
      </c>
      <c r="X823" s="24"/>
      <c r="Y823" s="283"/>
      <c r="Z823" s="24"/>
      <c r="AA823" s="24"/>
      <c r="AB823" s="24"/>
      <c r="AC823" s="24"/>
      <c r="AD823" s="283"/>
      <c r="AE823" s="283"/>
      <c r="AF823" s="283"/>
      <c r="AG823" s="283"/>
      <c r="AH823" s="285" t="s">
        <v>115</v>
      </c>
      <c r="AI823" s="205" t="s">
        <v>2360</v>
      </c>
      <c r="AJ823" s="285" t="s">
        <v>2361</v>
      </c>
      <c r="AK823" s="24"/>
      <c r="AL823" s="24"/>
      <c r="AM823" s="24"/>
    </row>
    <row r="824" spans="1:41" ht="12.75" customHeight="1">
      <c r="A824" s="22">
        <v>822</v>
      </c>
      <c r="B824" s="24" t="s">
        <v>2362</v>
      </c>
      <c r="C824" s="24" t="s">
        <v>96</v>
      </c>
      <c r="D824" s="24" t="s">
        <v>1787</v>
      </c>
      <c r="E824" s="24" t="s">
        <v>2351</v>
      </c>
      <c r="F824" s="24">
        <v>1</v>
      </c>
      <c r="G824" s="24" t="s">
        <v>1767</v>
      </c>
      <c r="H824" s="24"/>
      <c r="I824" s="24"/>
      <c r="J824" s="283"/>
      <c r="K824" s="224" t="s">
        <v>2362</v>
      </c>
      <c r="L824" s="224" t="s">
        <v>2363</v>
      </c>
      <c r="M824" s="224" t="s">
        <v>2364</v>
      </c>
      <c r="N824" s="224" t="s">
        <v>140</v>
      </c>
      <c r="O824" s="164"/>
      <c r="P824" s="164"/>
      <c r="Q824" s="164"/>
      <c r="R824" s="24"/>
      <c r="S824" s="283"/>
      <c r="T824" s="224" t="s">
        <v>208</v>
      </c>
      <c r="U824" s="283"/>
      <c r="V824" s="283"/>
      <c r="W824" s="164" t="s">
        <v>115</v>
      </c>
      <c r="X824" s="24"/>
      <c r="Y824" s="283"/>
      <c r="Z824" s="24"/>
      <c r="AA824" s="24"/>
      <c r="AB824" s="24"/>
      <c r="AC824" s="24"/>
      <c r="AD824" s="283"/>
      <c r="AE824" s="283"/>
      <c r="AF824" s="283"/>
      <c r="AG824" s="283"/>
      <c r="AH824" s="285" t="s">
        <v>2355</v>
      </c>
      <c r="AI824" s="205" t="s">
        <v>1804</v>
      </c>
      <c r="AJ824" s="285" t="s">
        <v>1805</v>
      </c>
      <c r="AK824" s="24"/>
      <c r="AL824" s="24"/>
      <c r="AM824" s="24"/>
    </row>
    <row r="825" spans="1:41" ht="12.75" customHeight="1">
      <c r="A825" s="22">
        <v>823</v>
      </c>
      <c r="B825" s="24" t="s">
        <v>2365</v>
      </c>
      <c r="C825" s="24" t="s">
        <v>96</v>
      </c>
      <c r="D825" s="24" t="s">
        <v>1787</v>
      </c>
      <c r="E825" s="24" t="s">
        <v>2351</v>
      </c>
      <c r="F825" s="24">
        <v>1</v>
      </c>
      <c r="G825" s="24" t="s">
        <v>1767</v>
      </c>
      <c r="H825" s="24"/>
      <c r="I825" s="24"/>
      <c r="J825" s="283"/>
      <c r="K825" s="224" t="s">
        <v>2365</v>
      </c>
      <c r="L825" s="224" t="s">
        <v>2366</v>
      </c>
      <c r="M825" s="224" t="s">
        <v>2367</v>
      </c>
      <c r="N825" s="224" t="s">
        <v>111</v>
      </c>
      <c r="O825" s="164"/>
      <c r="P825" s="164"/>
      <c r="Q825" s="164"/>
      <c r="R825" s="24"/>
      <c r="S825" s="283"/>
      <c r="T825" s="224" t="s">
        <v>208</v>
      </c>
      <c r="U825" s="283"/>
      <c r="V825" s="283"/>
      <c r="W825" s="164" t="s">
        <v>115</v>
      </c>
      <c r="X825" s="24"/>
      <c r="Y825" s="283"/>
      <c r="Z825" s="24"/>
      <c r="AA825" s="24"/>
      <c r="AB825" s="24"/>
      <c r="AC825" s="24"/>
      <c r="AD825" s="283"/>
      <c r="AE825" s="283"/>
      <c r="AF825" s="283"/>
      <c r="AG825" s="283"/>
      <c r="AH825" s="285" t="s">
        <v>2355</v>
      </c>
      <c r="AI825" s="205" t="s">
        <v>2368</v>
      </c>
      <c r="AJ825" s="285" t="s">
        <v>2369</v>
      </c>
      <c r="AK825" s="24"/>
      <c r="AL825" s="24"/>
      <c r="AM825" s="24"/>
      <c r="AN825" s="225"/>
      <c r="AO825" s="225"/>
    </row>
    <row r="826" spans="1:41" ht="12.75" customHeight="1">
      <c r="A826" s="22">
        <v>824</v>
      </c>
      <c r="B826" s="24" t="s">
        <v>2370</v>
      </c>
      <c r="C826" s="24" t="s">
        <v>96</v>
      </c>
      <c r="D826" s="24" t="s">
        <v>1787</v>
      </c>
      <c r="E826" s="24" t="s">
        <v>2371</v>
      </c>
      <c r="F826" s="24">
        <v>1</v>
      </c>
      <c r="G826" s="24" t="s">
        <v>2372</v>
      </c>
      <c r="H826" s="24"/>
      <c r="I826" s="24"/>
      <c r="J826" s="283"/>
      <c r="K826" s="297" t="s">
        <v>2370</v>
      </c>
      <c r="L826" s="297" t="s">
        <v>2373</v>
      </c>
      <c r="M826" s="297" t="s">
        <v>2374</v>
      </c>
      <c r="N826" s="297" t="s">
        <v>202</v>
      </c>
      <c r="O826" s="164"/>
      <c r="P826" s="164"/>
      <c r="Q826" s="164"/>
      <c r="R826" s="164"/>
      <c r="S826" s="283"/>
      <c r="T826" s="297" t="s">
        <v>113</v>
      </c>
      <c r="U826" s="283"/>
      <c r="V826" s="283"/>
      <c r="W826" s="204" t="s">
        <v>2375</v>
      </c>
      <c r="X826" s="225"/>
      <c r="Y826" s="283"/>
      <c r="Z826" s="283"/>
      <c r="AA826" s="283"/>
      <c r="AB826" s="283"/>
      <c r="AC826" s="283"/>
      <c r="AD826" s="283"/>
      <c r="AE826" s="283"/>
      <c r="AF826" s="283"/>
      <c r="AG826" s="283"/>
      <c r="AH826" s="285" t="s">
        <v>115</v>
      </c>
      <c r="AI826" s="285" t="s">
        <v>2376</v>
      </c>
      <c r="AJ826" s="285" t="s">
        <v>2377</v>
      </c>
      <c r="AK826" s="225"/>
      <c r="AL826" s="225"/>
      <c r="AM826" s="24"/>
    </row>
    <row r="827" spans="1:41" ht="12.75" customHeight="1">
      <c r="A827" s="22">
        <v>825</v>
      </c>
      <c r="B827" s="24" t="s">
        <v>113</v>
      </c>
      <c r="C827" s="24" t="s">
        <v>180</v>
      </c>
      <c r="D827" s="24" t="s">
        <v>2370</v>
      </c>
      <c r="E827" s="24" t="s">
        <v>2371</v>
      </c>
      <c r="F827" s="24">
        <v>1</v>
      </c>
      <c r="G827" s="24" t="s">
        <v>2372</v>
      </c>
      <c r="H827" s="24"/>
      <c r="I827" s="24"/>
      <c r="J827" s="283"/>
      <c r="K827" s="297"/>
      <c r="L827" s="297"/>
      <c r="M827" s="297"/>
      <c r="N827" s="297"/>
      <c r="O827" s="164" t="s">
        <v>113</v>
      </c>
      <c r="P827" s="164"/>
      <c r="Q827" s="164"/>
      <c r="R827" s="164"/>
      <c r="S827" s="283"/>
      <c r="T827" s="297"/>
      <c r="U827" s="283"/>
      <c r="V827" s="283"/>
      <c r="W827" s="204"/>
      <c r="X827" s="225"/>
      <c r="Y827" s="283"/>
      <c r="Z827" s="283"/>
      <c r="AA827" s="283"/>
      <c r="AB827" s="283"/>
      <c r="AC827" s="283"/>
      <c r="AD827" s="283"/>
      <c r="AE827" s="283"/>
      <c r="AF827" s="283"/>
      <c r="AG827" s="283"/>
      <c r="AH827" s="285" t="s">
        <v>115</v>
      </c>
      <c r="AI827" s="285" t="s">
        <v>206</v>
      </c>
      <c r="AJ827" s="285" t="s">
        <v>207</v>
      </c>
      <c r="AK827" s="225"/>
      <c r="AL827" s="225"/>
      <c r="AM827" s="24"/>
    </row>
    <row r="828" spans="1:41" ht="12.75" customHeight="1">
      <c r="A828" s="22">
        <v>826</v>
      </c>
      <c r="B828" s="24" t="s">
        <v>208</v>
      </c>
      <c r="C828" s="24" t="s">
        <v>180</v>
      </c>
      <c r="D828" s="24" t="s">
        <v>2370</v>
      </c>
      <c r="E828" s="24" t="s">
        <v>2371</v>
      </c>
      <c r="F828" s="24">
        <v>1</v>
      </c>
      <c r="G828" s="24" t="s">
        <v>2372</v>
      </c>
      <c r="H828" s="24"/>
      <c r="I828" s="24"/>
      <c r="J828" s="283"/>
      <c r="K828" s="164"/>
      <c r="L828" s="297"/>
      <c r="M828" s="164"/>
      <c r="N828" s="297"/>
      <c r="O828" s="224" t="s">
        <v>208</v>
      </c>
      <c r="P828" s="164"/>
      <c r="Q828" s="164"/>
      <c r="R828" s="164"/>
      <c r="S828" s="283"/>
      <c r="T828" s="164"/>
      <c r="U828" s="283"/>
      <c r="V828" s="283"/>
      <c r="W828" s="164"/>
      <c r="X828" s="225"/>
      <c r="Y828" s="283"/>
      <c r="Z828" s="283"/>
      <c r="AA828" s="283"/>
      <c r="AB828" s="283"/>
      <c r="AC828" s="283"/>
      <c r="AD828" s="283"/>
      <c r="AE828" s="283"/>
      <c r="AF828" s="283"/>
      <c r="AG828" s="283"/>
      <c r="AH828" s="285" t="s">
        <v>115</v>
      </c>
      <c r="AI828" s="285" t="s">
        <v>209</v>
      </c>
      <c r="AJ828" s="285" t="s">
        <v>210</v>
      </c>
      <c r="AK828" s="225"/>
      <c r="AL828" s="225"/>
      <c r="AM828" s="24"/>
    </row>
    <row r="829" spans="1:41" ht="12.75" customHeight="1">
      <c r="A829" s="22">
        <v>827</v>
      </c>
      <c r="B829" s="24" t="s">
        <v>2378</v>
      </c>
      <c r="C829" s="24" t="s">
        <v>96</v>
      </c>
      <c r="D829" s="24" t="s">
        <v>1787</v>
      </c>
      <c r="E829" s="24" t="s">
        <v>2371</v>
      </c>
      <c r="F829" s="24">
        <v>1</v>
      </c>
      <c r="G829" s="24" t="s">
        <v>2372</v>
      </c>
      <c r="H829" s="24"/>
      <c r="I829" s="24"/>
      <c r="J829" s="283"/>
      <c r="K829" s="164" t="s">
        <v>1376</v>
      </c>
      <c r="L829" s="297" t="s">
        <v>2379</v>
      </c>
      <c r="M829" s="164" t="s">
        <v>2380</v>
      </c>
      <c r="N829" s="297" t="s">
        <v>238</v>
      </c>
      <c r="O829" s="224"/>
      <c r="P829" s="164"/>
      <c r="Q829" s="164"/>
      <c r="R829" s="164"/>
      <c r="S829" s="283"/>
      <c r="T829" s="164" t="s">
        <v>113</v>
      </c>
      <c r="U829" s="283"/>
      <c r="V829" s="283"/>
      <c r="W829" s="164" t="s">
        <v>115</v>
      </c>
      <c r="X829" s="225"/>
      <c r="Y829" s="283"/>
      <c r="Z829" s="283"/>
      <c r="AA829" s="283"/>
      <c r="AB829" s="283"/>
      <c r="AC829" s="283"/>
      <c r="AD829" s="283"/>
      <c r="AE829" s="283"/>
      <c r="AF829" s="283"/>
      <c r="AG829" s="283"/>
      <c r="AH829" s="285" t="s">
        <v>115</v>
      </c>
      <c r="AI829" s="285" t="s">
        <v>2381</v>
      </c>
      <c r="AJ829" s="285" t="s">
        <v>2382</v>
      </c>
      <c r="AK829" s="225"/>
      <c r="AL829" s="225"/>
      <c r="AM829" s="24"/>
    </row>
    <row r="830" spans="1:41" ht="12.75" customHeight="1">
      <c r="A830" s="22">
        <v>828</v>
      </c>
      <c r="B830" s="24" t="s">
        <v>2383</v>
      </c>
      <c r="C830" s="24" t="s">
        <v>180</v>
      </c>
      <c r="D830" s="24" t="s">
        <v>2378</v>
      </c>
      <c r="E830" s="24" t="s">
        <v>2371</v>
      </c>
      <c r="F830" s="24">
        <v>1</v>
      </c>
      <c r="G830" s="24" t="s">
        <v>2372</v>
      </c>
      <c r="H830" s="24"/>
      <c r="I830" s="24"/>
      <c r="J830" s="283"/>
      <c r="K830" s="164"/>
      <c r="L830" s="297"/>
      <c r="M830" s="164"/>
      <c r="N830" s="297"/>
      <c r="O830" s="224" t="s">
        <v>2383</v>
      </c>
      <c r="P830" s="164"/>
      <c r="Q830" s="164"/>
      <c r="R830" s="164"/>
      <c r="S830" s="283"/>
      <c r="T830" s="164"/>
      <c r="U830" s="283"/>
      <c r="V830" s="283"/>
      <c r="W830" s="164"/>
      <c r="X830" s="225"/>
      <c r="Y830" s="283"/>
      <c r="Z830" s="283"/>
      <c r="AA830" s="283"/>
      <c r="AB830" s="283"/>
      <c r="AC830" s="283"/>
      <c r="AD830" s="283"/>
      <c r="AE830" s="283"/>
      <c r="AF830" s="283"/>
      <c r="AG830" s="283"/>
      <c r="AH830" s="285" t="s">
        <v>115</v>
      </c>
      <c r="AI830" s="285" t="s">
        <v>2384</v>
      </c>
      <c r="AJ830" s="285" t="s">
        <v>2385</v>
      </c>
      <c r="AK830" s="225"/>
      <c r="AL830" s="225"/>
      <c r="AM830" s="24"/>
    </row>
    <row r="831" spans="1:41" ht="12.75" customHeight="1">
      <c r="A831" s="22">
        <v>829</v>
      </c>
      <c r="B831" s="24" t="s">
        <v>2386</v>
      </c>
      <c r="C831" s="24" t="s">
        <v>180</v>
      </c>
      <c r="D831" s="24" t="s">
        <v>2378</v>
      </c>
      <c r="E831" s="24" t="s">
        <v>2371</v>
      </c>
      <c r="F831" s="24">
        <v>1</v>
      </c>
      <c r="G831" s="24" t="s">
        <v>2372</v>
      </c>
      <c r="H831" s="24"/>
      <c r="I831" s="24"/>
      <c r="J831" s="283"/>
      <c r="K831" s="196"/>
      <c r="L831" s="297"/>
      <c r="M831" s="164"/>
      <c r="N831" s="297"/>
      <c r="O831" s="224" t="s">
        <v>2386</v>
      </c>
      <c r="P831" s="164"/>
      <c r="Q831" s="164"/>
      <c r="R831" s="164"/>
      <c r="S831" s="283"/>
      <c r="T831" s="164"/>
      <c r="U831" s="283"/>
      <c r="V831" s="283"/>
      <c r="W831" s="164"/>
      <c r="X831" s="225"/>
      <c r="Y831" s="283"/>
      <c r="Z831" s="283"/>
      <c r="AA831" s="283"/>
      <c r="AB831" s="283"/>
      <c r="AC831" s="283"/>
      <c r="AD831" s="283"/>
      <c r="AE831" s="283"/>
      <c r="AF831" s="283"/>
      <c r="AG831" s="283"/>
      <c r="AH831" s="285" t="s">
        <v>115</v>
      </c>
      <c r="AI831" s="285" t="s">
        <v>2387</v>
      </c>
      <c r="AJ831" s="285" t="s">
        <v>2388</v>
      </c>
      <c r="AK831" s="225"/>
      <c r="AL831" s="225"/>
      <c r="AM831" s="24"/>
    </row>
    <row r="832" spans="1:41" ht="12.75" customHeight="1">
      <c r="A832" s="22">
        <v>830</v>
      </c>
      <c r="B832" s="24" t="s">
        <v>405</v>
      </c>
      <c r="C832" s="24" t="s">
        <v>180</v>
      </c>
      <c r="D832" s="24" t="s">
        <v>2378</v>
      </c>
      <c r="E832" s="24" t="s">
        <v>2371</v>
      </c>
      <c r="F832" s="24">
        <v>1</v>
      </c>
      <c r="G832" s="24" t="s">
        <v>2372</v>
      </c>
      <c r="H832" s="24"/>
      <c r="I832" s="24"/>
      <c r="J832" s="283"/>
      <c r="K832" s="196"/>
      <c r="L832" s="297"/>
      <c r="M832" s="164"/>
      <c r="N832" s="297"/>
      <c r="O832" s="224" t="s">
        <v>405</v>
      </c>
      <c r="P832" s="164"/>
      <c r="Q832" s="164"/>
      <c r="R832" s="164"/>
      <c r="S832" s="283"/>
      <c r="T832" s="164"/>
      <c r="U832" s="283"/>
      <c r="V832" s="283"/>
      <c r="W832" s="164"/>
      <c r="X832" s="225"/>
      <c r="Y832" s="283"/>
      <c r="Z832" s="283"/>
      <c r="AA832" s="283"/>
      <c r="AB832" s="283"/>
      <c r="AC832" s="283"/>
      <c r="AD832" s="283"/>
      <c r="AE832" s="283"/>
      <c r="AF832" s="283"/>
      <c r="AG832" s="283"/>
      <c r="AH832" s="285" t="s">
        <v>115</v>
      </c>
      <c r="AI832" s="205" t="s">
        <v>406</v>
      </c>
      <c r="AJ832" s="205" t="s">
        <v>407</v>
      </c>
      <c r="AK832" s="225"/>
      <c r="AL832" s="225"/>
      <c r="AM832" s="24"/>
    </row>
    <row r="833" spans="1:39" ht="12.75" customHeight="1">
      <c r="A833" s="22">
        <v>831</v>
      </c>
      <c r="B833" s="24" t="s">
        <v>2389</v>
      </c>
      <c r="C833" s="24" t="s">
        <v>96</v>
      </c>
      <c r="D833" s="24" t="s">
        <v>1787</v>
      </c>
      <c r="E833" s="24" t="s">
        <v>2371</v>
      </c>
      <c r="F833" s="24">
        <v>1</v>
      </c>
      <c r="G833" s="24" t="s">
        <v>2372</v>
      </c>
      <c r="H833" s="24"/>
      <c r="I833" s="24"/>
      <c r="J833" s="283"/>
      <c r="K833" s="196" t="s">
        <v>409</v>
      </c>
      <c r="L833" s="297" t="s">
        <v>2390</v>
      </c>
      <c r="M833" s="164" t="s">
        <v>2391</v>
      </c>
      <c r="N833" s="297" t="s">
        <v>111</v>
      </c>
      <c r="O833" s="224"/>
      <c r="P833" s="164"/>
      <c r="Q833" s="164"/>
      <c r="R833" s="164"/>
      <c r="S833" s="283"/>
      <c r="T833" s="164" t="s">
        <v>208</v>
      </c>
      <c r="U833" s="283"/>
      <c r="V833" s="283"/>
      <c r="W833" s="164" t="s">
        <v>115</v>
      </c>
      <c r="X833" s="225"/>
      <c r="Y833" s="283"/>
      <c r="Z833" s="283"/>
      <c r="AA833" s="283"/>
      <c r="AB833" s="283"/>
      <c r="AC833" s="283"/>
      <c r="AD833" s="283"/>
      <c r="AE833" s="283"/>
      <c r="AF833" s="283"/>
      <c r="AG833" s="283"/>
      <c r="AH833" s="285" t="s">
        <v>2392</v>
      </c>
      <c r="AI833" s="223" t="s">
        <v>415</v>
      </c>
      <c r="AJ833" s="205" t="s">
        <v>416</v>
      </c>
      <c r="AK833" s="225"/>
      <c r="AL833" s="225"/>
      <c r="AM833" s="24"/>
    </row>
    <row r="834" spans="1:39" ht="12.75" customHeight="1">
      <c r="A834" s="22">
        <v>832</v>
      </c>
      <c r="B834" s="24" t="s">
        <v>2393</v>
      </c>
      <c r="C834" s="24" t="s">
        <v>96</v>
      </c>
      <c r="D834" s="24" t="s">
        <v>1787</v>
      </c>
      <c r="E834" s="24" t="s">
        <v>2394</v>
      </c>
      <c r="F834" s="24">
        <v>1</v>
      </c>
      <c r="G834" s="24" t="s">
        <v>2372</v>
      </c>
      <c r="H834" s="24"/>
      <c r="I834" s="24"/>
      <c r="J834" s="283"/>
      <c r="K834" s="224" t="s">
        <v>2393</v>
      </c>
      <c r="L834" s="297" t="s">
        <v>2395</v>
      </c>
      <c r="M834" s="204" t="s">
        <v>2396</v>
      </c>
      <c r="N834" s="297" t="s">
        <v>202</v>
      </c>
      <c r="O834" s="196"/>
      <c r="P834" s="164"/>
      <c r="Q834" s="164"/>
      <c r="R834" s="164"/>
      <c r="S834" s="283"/>
      <c r="T834" s="297" t="s">
        <v>113</v>
      </c>
      <c r="U834" s="283"/>
      <c r="V834" s="283"/>
      <c r="W834" s="204" t="s">
        <v>2375</v>
      </c>
      <c r="X834" s="225"/>
      <c r="Y834" s="283"/>
      <c r="Z834" s="283"/>
      <c r="AA834" s="283"/>
      <c r="AB834" s="283"/>
      <c r="AC834" s="283"/>
      <c r="AD834" s="283"/>
      <c r="AE834" s="283"/>
      <c r="AF834" s="283"/>
      <c r="AG834" s="283"/>
      <c r="AH834" s="285" t="s">
        <v>2397</v>
      </c>
      <c r="AI834" s="353" t="s">
        <v>2398</v>
      </c>
      <c r="AJ834" s="285" t="s">
        <v>2399</v>
      </c>
      <c r="AK834" s="225"/>
      <c r="AL834" s="225"/>
      <c r="AM834" s="24"/>
    </row>
    <row r="835" spans="1:39" ht="12.75" customHeight="1">
      <c r="A835" s="22">
        <v>833</v>
      </c>
      <c r="B835" s="24" t="s">
        <v>1673</v>
      </c>
      <c r="C835" s="24" t="s">
        <v>180</v>
      </c>
      <c r="D835" s="24" t="s">
        <v>2393</v>
      </c>
      <c r="E835" s="24" t="s">
        <v>2394</v>
      </c>
      <c r="F835" s="24">
        <v>1</v>
      </c>
      <c r="G835" s="24" t="s">
        <v>2372</v>
      </c>
      <c r="H835" s="24"/>
      <c r="I835" s="24"/>
      <c r="J835" s="283"/>
      <c r="K835" s="164"/>
      <c r="L835" s="164"/>
      <c r="M835" s="164"/>
      <c r="N835" s="164"/>
      <c r="O835" s="196" t="s">
        <v>1673</v>
      </c>
      <c r="P835" s="164"/>
      <c r="Q835" s="164"/>
      <c r="R835" s="164"/>
      <c r="S835" s="283"/>
      <c r="T835" s="164"/>
      <c r="U835" s="283"/>
      <c r="V835" s="283"/>
      <c r="W835" s="164"/>
      <c r="X835" s="225"/>
      <c r="Y835" s="283"/>
      <c r="Z835" s="283"/>
      <c r="AA835" s="283"/>
      <c r="AB835" s="283"/>
      <c r="AC835" s="283"/>
      <c r="AD835" s="283"/>
      <c r="AE835" s="283"/>
      <c r="AF835" s="283"/>
      <c r="AG835" s="283"/>
      <c r="AH835" s="285" t="s">
        <v>115</v>
      </c>
      <c r="AI835" s="353" t="s">
        <v>942</v>
      </c>
      <c r="AJ835" s="205" t="s">
        <v>943</v>
      </c>
      <c r="AK835" s="225"/>
      <c r="AL835" s="225"/>
      <c r="AM835" s="24"/>
    </row>
    <row r="836" spans="1:39" ht="12.75" customHeight="1">
      <c r="A836" s="22">
        <v>834</v>
      </c>
      <c r="B836" s="24" t="s">
        <v>1468</v>
      </c>
      <c r="C836" s="24" t="s">
        <v>180</v>
      </c>
      <c r="D836" s="24" t="s">
        <v>2393</v>
      </c>
      <c r="E836" s="24" t="s">
        <v>2394</v>
      </c>
      <c r="F836" s="24">
        <v>1</v>
      </c>
      <c r="G836" s="24" t="s">
        <v>2372</v>
      </c>
      <c r="H836" s="24"/>
      <c r="I836" s="24"/>
      <c r="J836" s="283"/>
      <c r="K836" s="164"/>
      <c r="L836" s="164"/>
      <c r="M836" s="164"/>
      <c r="N836" s="164"/>
      <c r="O836" s="224" t="s">
        <v>1468</v>
      </c>
      <c r="P836" s="164"/>
      <c r="Q836" s="164"/>
      <c r="R836" s="164"/>
      <c r="S836" s="283"/>
      <c r="T836" s="164"/>
      <c r="U836" s="283"/>
      <c r="V836" s="283"/>
      <c r="W836" s="164"/>
      <c r="X836" s="225"/>
      <c r="Y836" s="283"/>
      <c r="Z836" s="283"/>
      <c r="AA836" s="283"/>
      <c r="AB836" s="283"/>
      <c r="AC836" s="283"/>
      <c r="AD836" s="283"/>
      <c r="AE836" s="283"/>
      <c r="AF836" s="283"/>
      <c r="AG836" s="283"/>
      <c r="AH836" s="285" t="s">
        <v>115</v>
      </c>
      <c r="AI836" s="353" t="s">
        <v>1469</v>
      </c>
      <c r="AJ836" s="205" t="s">
        <v>1470</v>
      </c>
      <c r="AK836" s="225"/>
      <c r="AL836" s="225"/>
      <c r="AM836" s="24"/>
    </row>
    <row r="837" spans="1:39" ht="12.75" customHeight="1">
      <c r="A837" s="22">
        <v>835</v>
      </c>
      <c r="B837" s="24" t="s">
        <v>2400</v>
      </c>
      <c r="C837" s="24" t="s">
        <v>96</v>
      </c>
      <c r="D837" s="24" t="s">
        <v>1787</v>
      </c>
      <c r="E837" s="24" t="s">
        <v>2394</v>
      </c>
      <c r="F837" s="24">
        <v>1</v>
      </c>
      <c r="G837" s="24" t="s">
        <v>2372</v>
      </c>
      <c r="H837" s="24"/>
      <c r="I837" s="24"/>
      <c r="J837" s="283"/>
      <c r="K837" s="164" t="s">
        <v>1376</v>
      </c>
      <c r="L837" s="164" t="s">
        <v>2401</v>
      </c>
      <c r="M837" s="164" t="s">
        <v>2402</v>
      </c>
      <c r="N837" s="164" t="s">
        <v>238</v>
      </c>
      <c r="O837" s="224"/>
      <c r="P837" s="164"/>
      <c r="Q837" s="164"/>
      <c r="R837" s="164"/>
      <c r="S837" s="283"/>
      <c r="T837" s="164" t="s">
        <v>208</v>
      </c>
      <c r="U837" s="283"/>
      <c r="V837" s="283"/>
      <c r="W837" s="164" t="s">
        <v>115</v>
      </c>
      <c r="X837" s="225"/>
      <c r="Y837" s="283"/>
      <c r="Z837" s="283"/>
      <c r="AA837" s="283"/>
      <c r="AB837" s="283"/>
      <c r="AC837" s="283"/>
      <c r="AD837" s="283"/>
      <c r="AE837" s="283"/>
      <c r="AF837" s="283"/>
      <c r="AG837" s="283"/>
      <c r="AH837" s="285" t="s">
        <v>2397</v>
      </c>
      <c r="AI837" s="353" t="s">
        <v>2403</v>
      </c>
      <c r="AJ837" s="285" t="s">
        <v>2404</v>
      </c>
      <c r="AK837" s="225"/>
      <c r="AL837" s="225"/>
      <c r="AM837" s="24"/>
    </row>
    <row r="838" spans="1:39" ht="12.75" customHeight="1">
      <c r="A838" s="22">
        <v>836</v>
      </c>
      <c r="B838" s="24" t="s">
        <v>2405</v>
      </c>
      <c r="C838" s="24" t="s">
        <v>180</v>
      </c>
      <c r="D838" s="24" t="s">
        <v>2400</v>
      </c>
      <c r="E838" s="24" t="s">
        <v>2394</v>
      </c>
      <c r="F838" s="24">
        <v>1</v>
      </c>
      <c r="G838" s="24" t="s">
        <v>2372</v>
      </c>
      <c r="H838" s="24"/>
      <c r="I838" s="24"/>
      <c r="J838" s="283"/>
      <c r="K838" s="196"/>
      <c r="L838" s="196"/>
      <c r="M838" s="196"/>
      <c r="N838" s="196"/>
      <c r="O838" s="204" t="s">
        <v>2405</v>
      </c>
      <c r="P838" s="196"/>
      <c r="Q838" s="196"/>
      <c r="R838" s="196"/>
      <c r="S838" s="283"/>
      <c r="T838" s="196"/>
      <c r="U838" s="283"/>
      <c r="V838" s="283"/>
      <c r="W838" s="196"/>
      <c r="X838" s="225"/>
      <c r="Y838" s="283"/>
      <c r="Z838" s="283"/>
      <c r="AA838" s="283"/>
      <c r="AB838" s="283"/>
      <c r="AC838" s="283"/>
      <c r="AD838" s="283"/>
      <c r="AE838" s="283"/>
      <c r="AF838" s="283"/>
      <c r="AG838" s="283"/>
      <c r="AH838" s="205" t="s">
        <v>115</v>
      </c>
      <c r="AI838" s="223" t="s">
        <v>2406</v>
      </c>
      <c r="AJ838" s="205" t="s">
        <v>2407</v>
      </c>
      <c r="AK838" s="225"/>
      <c r="AL838" s="225"/>
      <c r="AM838" s="24"/>
    </row>
    <row r="839" spans="1:39" ht="12.75" customHeight="1">
      <c r="A839" s="22">
        <v>837</v>
      </c>
      <c r="B839" s="24" t="s">
        <v>405</v>
      </c>
      <c r="C839" s="24" t="s">
        <v>180</v>
      </c>
      <c r="D839" s="24" t="s">
        <v>2400</v>
      </c>
      <c r="E839" s="24" t="s">
        <v>2394</v>
      </c>
      <c r="F839" s="24">
        <v>1</v>
      </c>
      <c r="G839" s="24" t="s">
        <v>2372</v>
      </c>
      <c r="H839" s="24"/>
      <c r="I839" s="24"/>
      <c r="J839" s="283"/>
      <c r="K839" s="196"/>
      <c r="L839" s="196"/>
      <c r="M839" s="196"/>
      <c r="N839" s="196"/>
      <c r="O839" s="204" t="s">
        <v>405</v>
      </c>
      <c r="P839" s="196"/>
      <c r="Q839" s="196"/>
      <c r="R839" s="196"/>
      <c r="S839" s="283"/>
      <c r="T839" s="196"/>
      <c r="U839" s="283"/>
      <c r="V839" s="283"/>
      <c r="W839" s="196"/>
      <c r="X839" s="225"/>
      <c r="Y839" s="283"/>
      <c r="Z839" s="283"/>
      <c r="AA839" s="283"/>
      <c r="AB839" s="283"/>
      <c r="AC839" s="283"/>
      <c r="AD839" s="283"/>
      <c r="AE839" s="283"/>
      <c r="AF839" s="283"/>
      <c r="AG839" s="283"/>
      <c r="AH839" s="205" t="s">
        <v>115</v>
      </c>
      <c r="AI839" s="223" t="s">
        <v>406</v>
      </c>
      <c r="AJ839" s="205" t="s">
        <v>407</v>
      </c>
      <c r="AK839" s="225"/>
      <c r="AL839" s="225"/>
      <c r="AM839" s="24"/>
    </row>
    <row r="840" spans="1:39" ht="12.75" customHeight="1">
      <c r="A840" s="22">
        <v>838</v>
      </c>
      <c r="B840" s="24" t="s">
        <v>2408</v>
      </c>
      <c r="C840" s="24" t="s">
        <v>96</v>
      </c>
      <c r="D840" s="24" t="s">
        <v>1787</v>
      </c>
      <c r="E840" s="24" t="s">
        <v>2394</v>
      </c>
      <c r="F840" s="24">
        <v>1</v>
      </c>
      <c r="G840" s="24" t="s">
        <v>2372</v>
      </c>
      <c r="H840" s="24"/>
      <c r="I840" s="24"/>
      <c r="J840" s="283"/>
      <c r="K840" s="196" t="s">
        <v>409</v>
      </c>
      <c r="L840" s="196" t="s">
        <v>2409</v>
      </c>
      <c r="M840" s="196" t="s">
        <v>2410</v>
      </c>
      <c r="N840" s="196" t="s">
        <v>111</v>
      </c>
      <c r="O840" s="196"/>
      <c r="P840" s="196"/>
      <c r="Q840" s="196"/>
      <c r="R840" s="196"/>
      <c r="S840" s="283"/>
      <c r="T840" s="196" t="s">
        <v>208</v>
      </c>
      <c r="U840" s="283"/>
      <c r="V840" s="283"/>
      <c r="W840" s="196" t="s">
        <v>115</v>
      </c>
      <c r="X840" s="225"/>
      <c r="Y840" s="283"/>
      <c r="Z840" s="283"/>
      <c r="AA840" s="283"/>
      <c r="AB840" s="283"/>
      <c r="AC840" s="283"/>
      <c r="AD840" s="283"/>
      <c r="AE840" s="283"/>
      <c r="AF840" s="283"/>
      <c r="AG840" s="283"/>
      <c r="AH840" s="205" t="s">
        <v>2397</v>
      </c>
      <c r="AI840" s="223" t="s">
        <v>2411</v>
      </c>
      <c r="AJ840" s="205" t="s">
        <v>2412</v>
      </c>
      <c r="AK840" s="225"/>
      <c r="AL840" s="225"/>
      <c r="AM840" s="24"/>
    </row>
    <row r="841" spans="1:39" ht="12.75" customHeight="1">
      <c r="A841" s="22">
        <v>839</v>
      </c>
      <c r="B841" s="24" t="s">
        <v>2413</v>
      </c>
      <c r="C841" s="24" t="s">
        <v>96</v>
      </c>
      <c r="D841" s="24" t="s">
        <v>1787</v>
      </c>
      <c r="E841" s="24" t="s">
        <v>2394</v>
      </c>
      <c r="F841" s="24">
        <v>1</v>
      </c>
      <c r="G841" s="24" t="s">
        <v>2372</v>
      </c>
      <c r="H841" s="24"/>
      <c r="I841" s="24"/>
      <c r="J841" s="283"/>
      <c r="K841" s="224" t="s">
        <v>2413</v>
      </c>
      <c r="L841" s="164" t="s">
        <v>2414</v>
      </c>
      <c r="M841" s="204" t="s">
        <v>2415</v>
      </c>
      <c r="N841" s="297" t="s">
        <v>202</v>
      </c>
      <c r="O841" s="196"/>
      <c r="P841" s="164"/>
      <c r="Q841" s="164"/>
      <c r="R841" s="164"/>
      <c r="S841" s="283"/>
      <c r="T841" s="164" t="s">
        <v>113</v>
      </c>
      <c r="U841" s="283"/>
      <c r="V841" s="283"/>
      <c r="W841" s="204" t="s">
        <v>2375</v>
      </c>
      <c r="X841" s="225"/>
      <c r="Y841" s="283"/>
      <c r="Z841" s="283"/>
      <c r="AA841" s="283"/>
      <c r="AB841" s="283"/>
      <c r="AC841" s="283"/>
      <c r="AD841" s="283"/>
      <c r="AE841" s="283"/>
      <c r="AF841" s="283"/>
      <c r="AG841" s="283"/>
      <c r="AH841" s="285" t="s">
        <v>2416</v>
      </c>
      <c r="AI841" s="353" t="s">
        <v>2398</v>
      </c>
      <c r="AJ841" s="285" t="s">
        <v>2399</v>
      </c>
      <c r="AK841" s="225"/>
      <c r="AL841" s="225"/>
      <c r="AM841" s="24"/>
    </row>
    <row r="842" spans="1:39" ht="12.75" customHeight="1">
      <c r="A842" s="22">
        <v>840</v>
      </c>
      <c r="B842" s="24" t="s">
        <v>1673</v>
      </c>
      <c r="C842" s="24" t="s">
        <v>180</v>
      </c>
      <c r="D842" s="24" t="s">
        <v>2413</v>
      </c>
      <c r="E842" s="24" t="s">
        <v>2394</v>
      </c>
      <c r="F842" s="24">
        <v>1</v>
      </c>
      <c r="G842" s="24" t="s">
        <v>2372</v>
      </c>
      <c r="H842" s="24"/>
      <c r="I842" s="24"/>
      <c r="J842" s="283"/>
      <c r="K842" s="164"/>
      <c r="L842" s="164"/>
      <c r="M842" s="164"/>
      <c r="N842" s="164"/>
      <c r="O842" s="196" t="s">
        <v>1673</v>
      </c>
      <c r="P842" s="164"/>
      <c r="Q842" s="164"/>
      <c r="R842" s="164"/>
      <c r="S842" s="283"/>
      <c r="T842" s="164"/>
      <c r="U842" s="283"/>
      <c r="V842" s="283"/>
      <c r="W842" s="164"/>
      <c r="X842" s="225"/>
      <c r="Y842" s="283"/>
      <c r="Z842" s="283"/>
      <c r="AA842" s="283"/>
      <c r="AB842" s="283"/>
      <c r="AC842" s="283"/>
      <c r="AD842" s="283"/>
      <c r="AE842" s="283"/>
      <c r="AF842" s="283"/>
      <c r="AG842" s="283"/>
      <c r="AH842" s="285" t="s">
        <v>115</v>
      </c>
      <c r="AI842" s="353" t="s">
        <v>942</v>
      </c>
      <c r="AJ842" s="205" t="s">
        <v>943</v>
      </c>
      <c r="AK842" s="225"/>
      <c r="AL842" s="225"/>
      <c r="AM842" s="24"/>
    </row>
    <row r="843" spans="1:39" ht="12.75" customHeight="1">
      <c r="A843" s="22">
        <v>841</v>
      </c>
      <c r="B843" s="24" t="s">
        <v>1468</v>
      </c>
      <c r="C843" s="24" t="s">
        <v>180</v>
      </c>
      <c r="D843" s="24" t="s">
        <v>2413</v>
      </c>
      <c r="E843" s="24" t="s">
        <v>2394</v>
      </c>
      <c r="F843" s="24">
        <v>1</v>
      </c>
      <c r="G843" s="24" t="s">
        <v>2372</v>
      </c>
      <c r="H843" s="24"/>
      <c r="I843" s="24"/>
      <c r="J843" s="283"/>
      <c r="K843" s="164"/>
      <c r="L843" s="164"/>
      <c r="M843" s="164"/>
      <c r="N843" s="164"/>
      <c r="O843" s="224" t="s">
        <v>1468</v>
      </c>
      <c r="P843" s="164"/>
      <c r="Q843" s="164"/>
      <c r="R843" s="164"/>
      <c r="S843" s="283"/>
      <c r="T843" s="164"/>
      <c r="U843" s="283"/>
      <c r="V843" s="283"/>
      <c r="W843" s="164"/>
      <c r="X843" s="225"/>
      <c r="Y843" s="283"/>
      <c r="Z843" s="283"/>
      <c r="AA843" s="283"/>
      <c r="AB843" s="283"/>
      <c r="AC843" s="283"/>
      <c r="AD843" s="283"/>
      <c r="AE843" s="283"/>
      <c r="AF843" s="283"/>
      <c r="AG843" s="283"/>
      <c r="AH843" s="285" t="s">
        <v>115</v>
      </c>
      <c r="AI843" s="353" t="s">
        <v>1469</v>
      </c>
      <c r="AJ843" s="205" t="s">
        <v>1470</v>
      </c>
      <c r="AK843" s="225"/>
      <c r="AL843" s="225"/>
      <c r="AM843" s="24"/>
    </row>
    <row r="844" spans="1:39" ht="12.75" customHeight="1">
      <c r="A844" s="22">
        <v>842</v>
      </c>
      <c r="B844" s="24" t="s">
        <v>2417</v>
      </c>
      <c r="C844" s="24" t="s">
        <v>96</v>
      </c>
      <c r="D844" s="24" t="s">
        <v>1787</v>
      </c>
      <c r="E844" s="24" t="s">
        <v>2394</v>
      </c>
      <c r="F844" s="24">
        <v>1</v>
      </c>
      <c r="G844" s="24" t="s">
        <v>2372</v>
      </c>
      <c r="H844" s="24"/>
      <c r="I844" s="24"/>
      <c r="J844" s="283"/>
      <c r="K844" s="164" t="s">
        <v>1376</v>
      </c>
      <c r="L844" s="164" t="s">
        <v>2418</v>
      </c>
      <c r="M844" s="164" t="s">
        <v>2419</v>
      </c>
      <c r="N844" s="164" t="s">
        <v>238</v>
      </c>
      <c r="O844" s="224"/>
      <c r="P844" s="164"/>
      <c r="Q844" s="164"/>
      <c r="R844" s="164"/>
      <c r="S844" s="283"/>
      <c r="T844" s="164" t="s">
        <v>208</v>
      </c>
      <c r="U844" s="283"/>
      <c r="V844" s="283"/>
      <c r="W844" s="164" t="s">
        <v>115</v>
      </c>
      <c r="X844" s="225"/>
      <c r="Y844" s="283"/>
      <c r="Z844" s="283"/>
      <c r="AA844" s="283"/>
      <c r="AB844" s="283"/>
      <c r="AC844" s="283"/>
      <c r="AD844" s="283"/>
      <c r="AE844" s="283"/>
      <c r="AF844" s="283"/>
      <c r="AG844" s="283"/>
      <c r="AH844" s="285" t="s">
        <v>2416</v>
      </c>
      <c r="AI844" s="353" t="s">
        <v>2403</v>
      </c>
      <c r="AJ844" s="285" t="s">
        <v>2404</v>
      </c>
      <c r="AK844" s="225"/>
      <c r="AL844" s="225"/>
      <c r="AM844" s="24"/>
    </row>
    <row r="845" spans="1:39" ht="12.75" customHeight="1">
      <c r="A845" s="22">
        <v>843</v>
      </c>
      <c r="B845" s="24" t="s">
        <v>2405</v>
      </c>
      <c r="C845" s="24" t="s">
        <v>180</v>
      </c>
      <c r="D845" s="24" t="s">
        <v>2417</v>
      </c>
      <c r="E845" s="24" t="s">
        <v>2394</v>
      </c>
      <c r="F845" s="24">
        <v>1</v>
      </c>
      <c r="G845" s="24" t="s">
        <v>2372</v>
      </c>
      <c r="H845" s="24"/>
      <c r="I845" s="24"/>
      <c r="J845" s="283"/>
      <c r="K845" s="196"/>
      <c r="L845" s="196"/>
      <c r="M845" s="196"/>
      <c r="N845" s="196"/>
      <c r="O845" s="204" t="s">
        <v>2405</v>
      </c>
      <c r="P845" s="196"/>
      <c r="Q845" s="196"/>
      <c r="R845" s="196"/>
      <c r="S845" s="283"/>
      <c r="T845" s="196"/>
      <c r="U845" s="283"/>
      <c r="V845" s="283"/>
      <c r="W845" s="196"/>
      <c r="X845" s="225"/>
      <c r="Y845" s="283"/>
      <c r="Z845" s="283"/>
      <c r="AA845" s="283"/>
      <c r="AB845" s="283"/>
      <c r="AC845" s="283"/>
      <c r="AD845" s="283"/>
      <c r="AE845" s="283"/>
      <c r="AF845" s="283"/>
      <c r="AG845" s="283"/>
      <c r="AH845" s="205" t="s">
        <v>115</v>
      </c>
      <c r="AI845" s="223" t="s">
        <v>2406</v>
      </c>
      <c r="AJ845" s="205" t="s">
        <v>2407</v>
      </c>
      <c r="AK845" s="225"/>
      <c r="AL845" s="225"/>
      <c r="AM845" s="24"/>
    </row>
    <row r="846" spans="1:39" ht="12.75" customHeight="1">
      <c r="A846" s="22">
        <v>844</v>
      </c>
      <c r="B846" s="24" t="s">
        <v>405</v>
      </c>
      <c r="C846" s="24" t="s">
        <v>180</v>
      </c>
      <c r="D846" s="24" t="s">
        <v>2417</v>
      </c>
      <c r="E846" s="24" t="s">
        <v>2394</v>
      </c>
      <c r="F846" s="24">
        <v>1</v>
      </c>
      <c r="G846" s="24" t="s">
        <v>2372</v>
      </c>
      <c r="H846" s="24"/>
      <c r="I846" s="24"/>
      <c r="J846" s="283"/>
      <c r="K846" s="196"/>
      <c r="L846" s="196"/>
      <c r="M846" s="196"/>
      <c r="N846" s="196"/>
      <c r="O846" s="204" t="s">
        <v>405</v>
      </c>
      <c r="P846" s="196"/>
      <c r="Q846" s="196"/>
      <c r="R846" s="196"/>
      <c r="S846" s="283"/>
      <c r="T846" s="196"/>
      <c r="U846" s="283"/>
      <c r="V846" s="283"/>
      <c r="W846" s="196"/>
      <c r="X846" s="225"/>
      <c r="Y846" s="283"/>
      <c r="Z846" s="283"/>
      <c r="AA846" s="283"/>
      <c r="AB846" s="283"/>
      <c r="AC846" s="283"/>
      <c r="AD846" s="283"/>
      <c r="AE846" s="283"/>
      <c r="AF846" s="283"/>
      <c r="AG846" s="283"/>
      <c r="AH846" s="205" t="s">
        <v>115</v>
      </c>
      <c r="AI846" s="223" t="s">
        <v>406</v>
      </c>
      <c r="AJ846" s="205" t="s">
        <v>407</v>
      </c>
      <c r="AK846" s="225"/>
      <c r="AL846" s="225"/>
      <c r="AM846" s="24"/>
    </row>
    <row r="847" spans="1:39" ht="12.75" customHeight="1">
      <c r="A847" s="22">
        <v>845</v>
      </c>
      <c r="B847" s="24" t="s">
        <v>2420</v>
      </c>
      <c r="C847" s="24" t="s">
        <v>96</v>
      </c>
      <c r="D847" s="24" t="s">
        <v>1787</v>
      </c>
      <c r="E847" s="24" t="s">
        <v>2394</v>
      </c>
      <c r="F847" s="24">
        <v>1</v>
      </c>
      <c r="G847" s="24" t="s">
        <v>2372</v>
      </c>
      <c r="H847" s="24"/>
      <c r="I847" s="24"/>
      <c r="J847" s="283"/>
      <c r="K847" s="196" t="s">
        <v>409</v>
      </c>
      <c r="L847" s="196" t="s">
        <v>2421</v>
      </c>
      <c r="M847" s="196" t="s">
        <v>2410</v>
      </c>
      <c r="N847" s="196" t="s">
        <v>111</v>
      </c>
      <c r="O847" s="196"/>
      <c r="P847" s="196"/>
      <c r="Q847" s="196"/>
      <c r="R847" s="196"/>
      <c r="S847" s="283"/>
      <c r="T847" s="196" t="s">
        <v>208</v>
      </c>
      <c r="U847" s="283"/>
      <c r="V847" s="283"/>
      <c r="W847" s="196" t="s">
        <v>115</v>
      </c>
      <c r="X847" s="225"/>
      <c r="Y847" s="283"/>
      <c r="Z847" s="283"/>
      <c r="AA847" s="283"/>
      <c r="AB847" s="283"/>
      <c r="AC847" s="283"/>
      <c r="AD847" s="283"/>
      <c r="AE847" s="283"/>
      <c r="AF847" s="283"/>
      <c r="AG847" s="283"/>
      <c r="AH847" s="205" t="s">
        <v>2416</v>
      </c>
      <c r="AI847" s="223" t="s">
        <v>2411</v>
      </c>
      <c r="AJ847" s="205" t="s">
        <v>2412</v>
      </c>
      <c r="AK847" s="225"/>
      <c r="AL847" s="225"/>
      <c r="AM847" s="24"/>
    </row>
    <row r="848" spans="1:39" ht="12.75" customHeight="1">
      <c r="A848" s="22">
        <v>846</v>
      </c>
      <c r="B848" s="24" t="s">
        <v>2422</v>
      </c>
      <c r="C848" s="24" t="s">
        <v>96</v>
      </c>
      <c r="D848" s="24" t="s">
        <v>1787</v>
      </c>
      <c r="E848" s="24" t="s">
        <v>2394</v>
      </c>
      <c r="F848" s="24">
        <v>1</v>
      </c>
      <c r="G848" s="24" t="s">
        <v>2372</v>
      </c>
      <c r="H848" s="24"/>
      <c r="I848" s="24"/>
      <c r="J848" s="283"/>
      <c r="K848" s="224" t="s">
        <v>2422</v>
      </c>
      <c r="L848" s="164" t="s">
        <v>2423</v>
      </c>
      <c r="M848" s="204" t="s">
        <v>2424</v>
      </c>
      <c r="N848" s="297" t="s">
        <v>202</v>
      </c>
      <c r="O848" s="196"/>
      <c r="P848" s="164"/>
      <c r="Q848" s="164"/>
      <c r="R848" s="164"/>
      <c r="S848" s="283"/>
      <c r="T848" s="164" t="s">
        <v>113</v>
      </c>
      <c r="U848" s="283"/>
      <c r="V848" s="283"/>
      <c r="W848" s="204" t="s">
        <v>2375</v>
      </c>
      <c r="X848" s="225"/>
      <c r="Y848" s="283"/>
      <c r="Z848" s="283"/>
      <c r="AA848" s="283"/>
      <c r="AB848" s="283"/>
      <c r="AC848" s="283"/>
      <c r="AD848" s="283"/>
      <c r="AE848" s="283"/>
      <c r="AF848" s="283"/>
      <c r="AG848" s="283"/>
      <c r="AH848" s="285" t="s">
        <v>2425</v>
      </c>
      <c r="AI848" s="353" t="s">
        <v>2398</v>
      </c>
      <c r="AJ848" s="285" t="s">
        <v>2399</v>
      </c>
      <c r="AK848" s="225"/>
      <c r="AL848" s="225"/>
      <c r="AM848" s="24"/>
    </row>
    <row r="849" spans="1:39" ht="12.75" customHeight="1">
      <c r="A849" s="22">
        <v>847</v>
      </c>
      <c r="B849" s="24" t="s">
        <v>1673</v>
      </c>
      <c r="C849" s="24" t="s">
        <v>180</v>
      </c>
      <c r="D849" s="24" t="s">
        <v>2422</v>
      </c>
      <c r="E849" s="24" t="s">
        <v>2394</v>
      </c>
      <c r="F849" s="24">
        <v>1</v>
      </c>
      <c r="G849" s="24" t="s">
        <v>2372</v>
      </c>
      <c r="H849" s="24"/>
      <c r="I849" s="24"/>
      <c r="J849" s="283"/>
      <c r="K849" s="164"/>
      <c r="L849" s="164"/>
      <c r="M849" s="164"/>
      <c r="N849" s="164"/>
      <c r="O849" s="196" t="s">
        <v>1673</v>
      </c>
      <c r="P849" s="164"/>
      <c r="Q849" s="164"/>
      <c r="R849" s="164"/>
      <c r="S849" s="283"/>
      <c r="T849" s="164"/>
      <c r="U849" s="283"/>
      <c r="V849" s="283"/>
      <c r="W849" s="196"/>
      <c r="X849" s="225"/>
      <c r="Y849" s="283"/>
      <c r="Z849" s="283"/>
      <c r="AA849" s="283"/>
      <c r="AB849" s="283"/>
      <c r="AC849" s="283"/>
      <c r="AD849" s="283"/>
      <c r="AE849" s="283"/>
      <c r="AF849" s="283"/>
      <c r="AG849" s="283"/>
      <c r="AH849" s="285" t="s">
        <v>115</v>
      </c>
      <c r="AI849" s="353" t="s">
        <v>942</v>
      </c>
      <c r="AJ849" s="205" t="s">
        <v>943</v>
      </c>
      <c r="AK849" s="225"/>
      <c r="AL849" s="225"/>
      <c r="AM849" s="24"/>
    </row>
    <row r="850" spans="1:39" ht="12.75" customHeight="1">
      <c r="A850" s="22">
        <v>848</v>
      </c>
      <c r="B850" s="24" t="s">
        <v>1468</v>
      </c>
      <c r="C850" s="24" t="s">
        <v>180</v>
      </c>
      <c r="D850" s="24" t="s">
        <v>2422</v>
      </c>
      <c r="E850" s="24" t="s">
        <v>2394</v>
      </c>
      <c r="F850" s="24">
        <v>1</v>
      </c>
      <c r="G850" s="24" t="s">
        <v>2372</v>
      </c>
      <c r="H850" s="24"/>
      <c r="I850" s="24"/>
      <c r="J850" s="283"/>
      <c r="K850" s="164"/>
      <c r="L850" s="164"/>
      <c r="M850" s="164"/>
      <c r="N850" s="164"/>
      <c r="O850" s="224" t="s">
        <v>1468</v>
      </c>
      <c r="P850" s="164"/>
      <c r="Q850" s="164"/>
      <c r="R850" s="164"/>
      <c r="S850" s="283"/>
      <c r="T850" s="164"/>
      <c r="U850" s="283"/>
      <c r="V850" s="283"/>
      <c r="W850" s="196"/>
      <c r="X850" s="225"/>
      <c r="Y850" s="283"/>
      <c r="Z850" s="283"/>
      <c r="AA850" s="283"/>
      <c r="AB850" s="283"/>
      <c r="AC850" s="283"/>
      <c r="AD850" s="283"/>
      <c r="AE850" s="283"/>
      <c r="AF850" s="283"/>
      <c r="AG850" s="283"/>
      <c r="AH850" s="285" t="s">
        <v>115</v>
      </c>
      <c r="AI850" s="353" t="s">
        <v>1469</v>
      </c>
      <c r="AJ850" s="205" t="s">
        <v>1470</v>
      </c>
      <c r="AK850" s="225"/>
      <c r="AL850" s="225"/>
      <c r="AM850" s="24"/>
    </row>
    <row r="851" spans="1:39" ht="12.75" customHeight="1">
      <c r="A851" s="22">
        <v>849</v>
      </c>
      <c r="B851" s="24" t="s">
        <v>2427</v>
      </c>
      <c r="C851" s="24" t="s">
        <v>96</v>
      </c>
      <c r="D851" s="24" t="s">
        <v>1787</v>
      </c>
      <c r="E851" s="24" t="s">
        <v>2394</v>
      </c>
      <c r="F851" s="24">
        <v>1</v>
      </c>
      <c r="G851" s="24" t="s">
        <v>2372</v>
      </c>
      <c r="H851" s="24"/>
      <c r="I851" s="24"/>
      <c r="J851" s="283"/>
      <c r="K851" s="164" t="s">
        <v>1376</v>
      </c>
      <c r="L851" s="164" t="s">
        <v>2428</v>
      </c>
      <c r="M851" s="164" t="s">
        <v>2429</v>
      </c>
      <c r="N851" s="164" t="s">
        <v>238</v>
      </c>
      <c r="O851" s="224"/>
      <c r="P851" s="164"/>
      <c r="Q851" s="164"/>
      <c r="R851" s="164"/>
      <c r="S851" s="283"/>
      <c r="T851" s="164" t="s">
        <v>208</v>
      </c>
      <c r="U851" s="283"/>
      <c r="V851" s="283"/>
      <c r="W851" s="196" t="s">
        <v>115</v>
      </c>
      <c r="X851" s="225"/>
      <c r="Y851" s="283"/>
      <c r="Z851" s="283"/>
      <c r="AA851" s="283"/>
      <c r="AB851" s="283"/>
      <c r="AC851" s="283"/>
      <c r="AD851" s="283"/>
      <c r="AE851" s="283"/>
      <c r="AF851" s="283"/>
      <c r="AG851" s="283"/>
      <c r="AH851" s="285" t="s">
        <v>2425</v>
      </c>
      <c r="AI851" s="353" t="s">
        <v>2403</v>
      </c>
      <c r="AJ851" s="285" t="s">
        <v>2404</v>
      </c>
      <c r="AK851" s="225"/>
      <c r="AL851" s="225"/>
      <c r="AM851" s="24"/>
    </row>
    <row r="852" spans="1:39" ht="12.75" customHeight="1">
      <c r="A852" s="22">
        <v>850</v>
      </c>
      <c r="B852" s="24" t="s">
        <v>2405</v>
      </c>
      <c r="C852" s="24" t="s">
        <v>180</v>
      </c>
      <c r="D852" s="24" t="s">
        <v>2427</v>
      </c>
      <c r="E852" s="24" t="s">
        <v>2394</v>
      </c>
      <c r="F852" s="24">
        <v>1</v>
      </c>
      <c r="G852" s="24" t="s">
        <v>2372</v>
      </c>
      <c r="H852" s="24"/>
      <c r="I852" s="24"/>
      <c r="J852" s="283"/>
      <c r="K852" s="196"/>
      <c r="L852" s="196"/>
      <c r="M852" s="196"/>
      <c r="N852" s="196"/>
      <c r="O852" s="204" t="s">
        <v>2405</v>
      </c>
      <c r="P852" s="196"/>
      <c r="Q852" s="196"/>
      <c r="R852" s="196"/>
      <c r="S852" s="283"/>
      <c r="T852" s="196"/>
      <c r="U852" s="283"/>
      <c r="V852" s="283"/>
      <c r="W852" s="196"/>
      <c r="X852" s="225"/>
      <c r="Y852" s="283"/>
      <c r="Z852" s="283"/>
      <c r="AA852" s="283"/>
      <c r="AB852" s="283"/>
      <c r="AC852" s="283"/>
      <c r="AD852" s="283"/>
      <c r="AE852" s="283"/>
      <c r="AF852" s="283"/>
      <c r="AG852" s="283"/>
      <c r="AH852" s="285" t="s">
        <v>115</v>
      </c>
      <c r="AI852" s="223" t="s">
        <v>2406</v>
      </c>
      <c r="AJ852" s="205" t="s">
        <v>2407</v>
      </c>
      <c r="AK852" s="225"/>
      <c r="AL852" s="225"/>
      <c r="AM852" s="24"/>
    </row>
    <row r="853" spans="1:39" ht="12.75" customHeight="1">
      <c r="A853" s="22">
        <v>851</v>
      </c>
      <c r="B853" s="24" t="s">
        <v>405</v>
      </c>
      <c r="C853" s="24" t="s">
        <v>180</v>
      </c>
      <c r="D853" s="24" t="s">
        <v>2427</v>
      </c>
      <c r="E853" s="24" t="s">
        <v>2394</v>
      </c>
      <c r="F853" s="24">
        <v>1</v>
      </c>
      <c r="G853" s="24" t="s">
        <v>2372</v>
      </c>
      <c r="H853" s="24"/>
      <c r="I853" s="24"/>
      <c r="J853" s="283"/>
      <c r="K853" s="196"/>
      <c r="L853" s="196"/>
      <c r="M853" s="196"/>
      <c r="N853" s="196"/>
      <c r="O853" s="204" t="s">
        <v>405</v>
      </c>
      <c r="P853" s="196"/>
      <c r="Q853" s="196"/>
      <c r="R853" s="196"/>
      <c r="S853" s="283"/>
      <c r="T853" s="196"/>
      <c r="U853" s="283"/>
      <c r="V853" s="283"/>
      <c r="W853" s="196"/>
      <c r="X853" s="225"/>
      <c r="Y853" s="283"/>
      <c r="Z853" s="283"/>
      <c r="AA853" s="283"/>
      <c r="AB853" s="283"/>
      <c r="AC853" s="283"/>
      <c r="AD853" s="283"/>
      <c r="AE853" s="283"/>
      <c r="AF853" s="283"/>
      <c r="AG853" s="283"/>
      <c r="AH853" s="285" t="s">
        <v>115</v>
      </c>
      <c r="AI853" s="223" t="s">
        <v>406</v>
      </c>
      <c r="AJ853" s="205" t="s">
        <v>407</v>
      </c>
      <c r="AK853" s="225"/>
      <c r="AL853" s="225"/>
      <c r="AM853" s="24"/>
    </row>
    <row r="854" spans="1:39" ht="12.75" customHeight="1">
      <c r="A854" s="22">
        <v>852</v>
      </c>
      <c r="B854" s="24" t="s">
        <v>2431</v>
      </c>
      <c r="C854" s="24" t="s">
        <v>96</v>
      </c>
      <c r="D854" s="24" t="s">
        <v>1787</v>
      </c>
      <c r="E854" s="24" t="s">
        <v>2394</v>
      </c>
      <c r="F854" s="24">
        <v>1</v>
      </c>
      <c r="G854" s="24" t="s">
        <v>2372</v>
      </c>
      <c r="H854" s="24"/>
      <c r="I854" s="24"/>
      <c r="J854" s="283"/>
      <c r="K854" s="196" t="s">
        <v>409</v>
      </c>
      <c r="L854" s="196" t="s">
        <v>2432</v>
      </c>
      <c r="M854" s="196" t="s">
        <v>2410</v>
      </c>
      <c r="N854" s="196" t="s">
        <v>111</v>
      </c>
      <c r="O854" s="196"/>
      <c r="P854" s="196"/>
      <c r="Q854" s="196"/>
      <c r="R854" s="196"/>
      <c r="S854" s="283"/>
      <c r="T854" s="196" t="s">
        <v>208</v>
      </c>
      <c r="U854" s="283"/>
      <c r="V854" s="283"/>
      <c r="W854" s="196" t="s">
        <v>115</v>
      </c>
      <c r="X854" s="225"/>
      <c r="Y854" s="283"/>
      <c r="Z854" s="283"/>
      <c r="AA854" s="283"/>
      <c r="AB854" s="283"/>
      <c r="AC854" s="283"/>
      <c r="AD854" s="283"/>
      <c r="AE854" s="283"/>
      <c r="AF854" s="283"/>
      <c r="AG854" s="283"/>
      <c r="AH854" s="205" t="s">
        <v>2425</v>
      </c>
      <c r="AI854" s="223" t="s">
        <v>2411</v>
      </c>
      <c r="AJ854" s="205" t="s">
        <v>2412</v>
      </c>
      <c r="AK854" s="225"/>
      <c r="AL854" s="225"/>
      <c r="AM854" s="24"/>
    </row>
    <row r="855" spans="1:39" ht="12.75" customHeight="1">
      <c r="A855" s="22">
        <v>853</v>
      </c>
      <c r="B855" s="24" t="s">
        <v>2434</v>
      </c>
      <c r="C855" s="24" t="s">
        <v>96</v>
      </c>
      <c r="D855" s="24" t="s">
        <v>1787</v>
      </c>
      <c r="E855" s="24" t="s">
        <v>2394</v>
      </c>
      <c r="F855" s="24">
        <v>1</v>
      </c>
      <c r="G855" s="24" t="s">
        <v>2372</v>
      </c>
      <c r="H855" s="24"/>
      <c r="I855" s="24"/>
      <c r="J855" s="283"/>
      <c r="K855" s="224" t="s">
        <v>2434</v>
      </c>
      <c r="L855" s="164" t="s">
        <v>2435</v>
      </c>
      <c r="M855" s="204" t="s">
        <v>2436</v>
      </c>
      <c r="N855" s="297" t="s">
        <v>202</v>
      </c>
      <c r="O855" s="196"/>
      <c r="P855" s="164"/>
      <c r="Q855" s="164"/>
      <c r="R855" s="164"/>
      <c r="S855" s="283"/>
      <c r="T855" s="164" t="s">
        <v>1459</v>
      </c>
      <c r="U855" s="283"/>
      <c r="V855" s="283"/>
      <c r="W855" s="204" t="s">
        <v>2375</v>
      </c>
      <c r="X855" s="225"/>
      <c r="Y855" s="283"/>
      <c r="Z855" s="283"/>
      <c r="AA855" s="283"/>
      <c r="AB855" s="283"/>
      <c r="AC855" s="283"/>
      <c r="AD855" s="283"/>
      <c r="AE855" s="283"/>
      <c r="AF855" s="283"/>
      <c r="AG855" s="283"/>
      <c r="AH855" s="285" t="s">
        <v>2437</v>
      </c>
      <c r="AI855" s="353" t="s">
        <v>2398</v>
      </c>
      <c r="AJ855" s="285" t="s">
        <v>2399</v>
      </c>
      <c r="AK855" s="225"/>
      <c r="AL855" s="225"/>
      <c r="AM855" s="24"/>
    </row>
    <row r="856" spans="1:39" ht="12.75" customHeight="1">
      <c r="A856" s="22">
        <v>854</v>
      </c>
      <c r="B856" s="24" t="s">
        <v>1673</v>
      </c>
      <c r="C856" s="24" t="s">
        <v>180</v>
      </c>
      <c r="D856" s="24" t="s">
        <v>2434</v>
      </c>
      <c r="E856" s="24" t="s">
        <v>2394</v>
      </c>
      <c r="F856" s="24">
        <v>1</v>
      </c>
      <c r="G856" s="24" t="s">
        <v>2372</v>
      </c>
      <c r="H856" s="24"/>
      <c r="I856" s="24"/>
      <c r="J856" s="283"/>
      <c r="K856" s="164"/>
      <c r="L856" s="164"/>
      <c r="M856" s="164"/>
      <c r="N856" s="164"/>
      <c r="O856" s="196" t="s">
        <v>1673</v>
      </c>
      <c r="P856" s="164"/>
      <c r="Q856" s="164"/>
      <c r="R856" s="164"/>
      <c r="S856" s="283"/>
      <c r="T856" s="164"/>
      <c r="U856" s="283"/>
      <c r="V856" s="283"/>
      <c r="W856" s="196"/>
      <c r="X856" s="225"/>
      <c r="Y856" s="283"/>
      <c r="Z856" s="283"/>
      <c r="AA856" s="283"/>
      <c r="AB856" s="283"/>
      <c r="AC856" s="283"/>
      <c r="AD856" s="283"/>
      <c r="AE856" s="283"/>
      <c r="AF856" s="283"/>
      <c r="AG856" s="283"/>
      <c r="AH856" s="285" t="s">
        <v>115</v>
      </c>
      <c r="AI856" s="353" t="s">
        <v>942</v>
      </c>
      <c r="AJ856" s="205" t="s">
        <v>943</v>
      </c>
      <c r="AK856" s="225"/>
      <c r="AL856" s="225"/>
      <c r="AM856" s="24"/>
    </row>
    <row r="857" spans="1:39" ht="12.75" customHeight="1">
      <c r="A857" s="22">
        <v>855</v>
      </c>
      <c r="B857" s="24" t="s">
        <v>1468</v>
      </c>
      <c r="C857" s="24" t="s">
        <v>180</v>
      </c>
      <c r="D857" s="24" t="s">
        <v>2434</v>
      </c>
      <c r="E857" s="24" t="s">
        <v>2394</v>
      </c>
      <c r="F857" s="24">
        <v>1</v>
      </c>
      <c r="G857" s="24" t="s">
        <v>2372</v>
      </c>
      <c r="H857" s="24"/>
      <c r="I857" s="24"/>
      <c r="J857" s="283"/>
      <c r="K857" s="164"/>
      <c r="L857" s="164"/>
      <c r="M857" s="164"/>
      <c r="N857" s="164"/>
      <c r="O857" s="224" t="s">
        <v>1468</v>
      </c>
      <c r="P857" s="164"/>
      <c r="Q857" s="164"/>
      <c r="R857" s="164"/>
      <c r="S857" s="283"/>
      <c r="T857" s="164"/>
      <c r="U857" s="283"/>
      <c r="V857" s="283"/>
      <c r="W857" s="196"/>
      <c r="X857" s="225"/>
      <c r="Y857" s="283"/>
      <c r="Z857" s="283"/>
      <c r="AA857" s="283"/>
      <c r="AB857" s="283"/>
      <c r="AC857" s="283"/>
      <c r="AD857" s="283"/>
      <c r="AE857" s="283"/>
      <c r="AF857" s="283"/>
      <c r="AG857" s="283"/>
      <c r="AH857" s="285" t="s">
        <v>115</v>
      </c>
      <c r="AI857" s="353" t="s">
        <v>1469</v>
      </c>
      <c r="AJ857" s="205" t="s">
        <v>1470</v>
      </c>
      <c r="AK857" s="225"/>
      <c r="AL857" s="225"/>
      <c r="AM857" s="24"/>
    </row>
    <row r="858" spans="1:39" ht="12.75" customHeight="1">
      <c r="A858" s="22">
        <v>856</v>
      </c>
      <c r="B858" s="24" t="s">
        <v>2438</v>
      </c>
      <c r="C858" s="24" t="s">
        <v>96</v>
      </c>
      <c r="D858" s="24" t="s">
        <v>1787</v>
      </c>
      <c r="E858" s="24" t="s">
        <v>2394</v>
      </c>
      <c r="F858" s="24">
        <v>1</v>
      </c>
      <c r="G858" s="24" t="s">
        <v>2372</v>
      </c>
      <c r="H858" s="24"/>
      <c r="I858" s="24"/>
      <c r="J858" s="283"/>
      <c r="K858" s="164" t="s">
        <v>1376</v>
      </c>
      <c r="L858" s="164" t="s">
        <v>2440</v>
      </c>
      <c r="M858" s="164" t="s">
        <v>2441</v>
      </c>
      <c r="N858" s="164" t="s">
        <v>238</v>
      </c>
      <c r="O858" s="224"/>
      <c r="P858" s="164"/>
      <c r="Q858" s="164"/>
      <c r="R858" s="164"/>
      <c r="S858" s="283"/>
      <c r="T858" s="164" t="s">
        <v>208</v>
      </c>
      <c r="U858" s="283"/>
      <c r="V858" s="283"/>
      <c r="W858" s="196" t="s">
        <v>115</v>
      </c>
      <c r="X858" s="225"/>
      <c r="Y858" s="283"/>
      <c r="Z858" s="283"/>
      <c r="AA858" s="283"/>
      <c r="AB858" s="283"/>
      <c r="AC858" s="283"/>
      <c r="AD858" s="283"/>
      <c r="AE858" s="283"/>
      <c r="AF858" s="283"/>
      <c r="AG858" s="283"/>
      <c r="AH858" s="285" t="s">
        <v>2437</v>
      </c>
      <c r="AI858" s="353" t="s">
        <v>2403</v>
      </c>
      <c r="AJ858" s="285" t="s">
        <v>2404</v>
      </c>
      <c r="AK858" s="225"/>
      <c r="AL858" s="225"/>
      <c r="AM858" s="24"/>
    </row>
    <row r="859" spans="1:39" ht="12.75" customHeight="1">
      <c r="A859" s="22">
        <v>857</v>
      </c>
      <c r="B859" s="24" t="s">
        <v>2405</v>
      </c>
      <c r="C859" s="24" t="s">
        <v>180</v>
      </c>
      <c r="D859" s="24" t="s">
        <v>2438</v>
      </c>
      <c r="E859" s="24" t="s">
        <v>2394</v>
      </c>
      <c r="F859" s="24">
        <v>1</v>
      </c>
      <c r="G859" s="24" t="s">
        <v>2372</v>
      </c>
      <c r="H859" s="24"/>
      <c r="I859" s="24"/>
      <c r="J859" s="283"/>
      <c r="K859" s="196"/>
      <c r="L859" s="196"/>
      <c r="M859" s="196"/>
      <c r="N859" s="196"/>
      <c r="O859" s="224" t="s">
        <v>2405</v>
      </c>
      <c r="P859" s="196"/>
      <c r="Q859" s="196"/>
      <c r="R859" s="196"/>
      <c r="S859" s="283"/>
      <c r="T859" s="196"/>
      <c r="U859" s="283"/>
      <c r="V859" s="283"/>
      <c r="W859" s="196"/>
      <c r="X859" s="225"/>
      <c r="Y859" s="283"/>
      <c r="Z859" s="283"/>
      <c r="AA859" s="283"/>
      <c r="AB859" s="283"/>
      <c r="AC859" s="283"/>
      <c r="AD859" s="283"/>
      <c r="AE859" s="283"/>
      <c r="AF859" s="283"/>
      <c r="AG859" s="283"/>
      <c r="AH859" s="285" t="s">
        <v>115</v>
      </c>
      <c r="AI859" s="223" t="s">
        <v>2406</v>
      </c>
      <c r="AJ859" s="205" t="s">
        <v>2407</v>
      </c>
      <c r="AK859" s="225"/>
      <c r="AL859" s="225"/>
      <c r="AM859" s="24"/>
    </row>
    <row r="860" spans="1:39" ht="12.75" customHeight="1">
      <c r="A860" s="22">
        <v>858</v>
      </c>
      <c r="B860" s="24" t="s">
        <v>405</v>
      </c>
      <c r="C860" s="24" t="s">
        <v>180</v>
      </c>
      <c r="D860" s="24" t="s">
        <v>2438</v>
      </c>
      <c r="E860" s="24" t="s">
        <v>2394</v>
      </c>
      <c r="F860" s="24">
        <v>1</v>
      </c>
      <c r="G860" s="24" t="s">
        <v>2372</v>
      </c>
      <c r="H860" s="24"/>
      <c r="I860" s="24"/>
      <c r="J860" s="283"/>
      <c r="K860" s="196"/>
      <c r="L860" s="196"/>
      <c r="M860" s="196"/>
      <c r="N860" s="196"/>
      <c r="O860" s="204" t="s">
        <v>405</v>
      </c>
      <c r="P860" s="196"/>
      <c r="Q860" s="196"/>
      <c r="R860" s="196"/>
      <c r="S860" s="283"/>
      <c r="T860" s="196"/>
      <c r="U860" s="283"/>
      <c r="V860" s="283"/>
      <c r="W860" s="196"/>
      <c r="X860" s="225"/>
      <c r="Y860" s="283"/>
      <c r="Z860" s="283"/>
      <c r="AA860" s="283"/>
      <c r="AB860" s="283"/>
      <c r="AC860" s="283"/>
      <c r="AD860" s="283"/>
      <c r="AE860" s="283"/>
      <c r="AF860" s="283"/>
      <c r="AG860" s="283"/>
      <c r="AH860" s="285" t="s">
        <v>115</v>
      </c>
      <c r="AI860" s="223" t="s">
        <v>406</v>
      </c>
      <c r="AJ860" s="205" t="s">
        <v>407</v>
      </c>
      <c r="AK860" s="225"/>
      <c r="AL860" s="225"/>
      <c r="AM860" s="24"/>
    </row>
    <row r="861" spans="1:39" ht="12.75" customHeight="1">
      <c r="A861" s="22">
        <v>859</v>
      </c>
      <c r="B861" s="24" t="s">
        <v>2442</v>
      </c>
      <c r="C861" s="24" t="s">
        <v>96</v>
      </c>
      <c r="D861" s="24" t="s">
        <v>1787</v>
      </c>
      <c r="E861" s="24" t="s">
        <v>2394</v>
      </c>
      <c r="F861" s="24">
        <v>1</v>
      </c>
      <c r="G861" s="24" t="s">
        <v>2372</v>
      </c>
      <c r="H861" s="24"/>
      <c r="I861" s="24"/>
      <c r="J861" s="283"/>
      <c r="K861" s="196" t="s">
        <v>409</v>
      </c>
      <c r="L861" s="196" t="s">
        <v>2443</v>
      </c>
      <c r="M861" s="196" t="s">
        <v>2410</v>
      </c>
      <c r="N861" s="196" t="s">
        <v>111</v>
      </c>
      <c r="O861" s="196"/>
      <c r="P861" s="196"/>
      <c r="Q861" s="196"/>
      <c r="R861" s="196"/>
      <c r="S861" s="283"/>
      <c r="T861" s="196" t="s">
        <v>208</v>
      </c>
      <c r="U861" s="283"/>
      <c r="V861" s="283"/>
      <c r="W861" s="196" t="s">
        <v>115</v>
      </c>
      <c r="X861" s="225"/>
      <c r="Y861" s="283"/>
      <c r="Z861" s="283"/>
      <c r="AA861" s="283"/>
      <c r="AB861" s="283"/>
      <c r="AC861" s="283"/>
      <c r="AD861" s="283"/>
      <c r="AE861" s="283"/>
      <c r="AF861" s="283"/>
      <c r="AG861" s="283"/>
      <c r="AH861" s="205" t="s">
        <v>2437</v>
      </c>
      <c r="AI861" s="223" t="s">
        <v>2411</v>
      </c>
      <c r="AJ861" s="205" t="s">
        <v>2412</v>
      </c>
      <c r="AK861" s="225"/>
      <c r="AL861" s="225"/>
      <c r="AM861" s="24"/>
    </row>
    <row r="862" spans="1:39" ht="12.75" customHeight="1">
      <c r="A862" s="22">
        <v>860</v>
      </c>
      <c r="B862" s="24" t="s">
        <v>2444</v>
      </c>
      <c r="C862" s="24" t="s">
        <v>96</v>
      </c>
      <c r="D862" s="24" t="s">
        <v>1787</v>
      </c>
      <c r="E862" s="24" t="s">
        <v>2394</v>
      </c>
      <c r="F862" s="24">
        <v>1</v>
      </c>
      <c r="G862" s="24" t="s">
        <v>2372</v>
      </c>
      <c r="H862" s="24"/>
      <c r="I862" s="24"/>
      <c r="J862" s="283"/>
      <c r="K862" s="224" t="s">
        <v>2444</v>
      </c>
      <c r="L862" s="164" t="s">
        <v>2445</v>
      </c>
      <c r="M862" s="164" t="s">
        <v>2446</v>
      </c>
      <c r="N862" s="297" t="s">
        <v>202</v>
      </c>
      <c r="O862" s="196"/>
      <c r="P862" s="164"/>
      <c r="Q862" s="164"/>
      <c r="R862" s="164"/>
      <c r="S862" s="283"/>
      <c r="T862" s="164" t="s">
        <v>113</v>
      </c>
      <c r="U862" s="283"/>
      <c r="V862" s="283"/>
      <c r="W862" s="204" t="s">
        <v>2375</v>
      </c>
      <c r="X862" s="225"/>
      <c r="Y862" s="283"/>
      <c r="Z862" s="283"/>
      <c r="AA862" s="283"/>
      <c r="AB862" s="283"/>
      <c r="AC862" s="283"/>
      <c r="AD862" s="283"/>
      <c r="AE862" s="283"/>
      <c r="AF862" s="283"/>
      <c r="AG862" s="283"/>
      <c r="AH862" s="285" t="s">
        <v>2447</v>
      </c>
      <c r="AI862" s="353" t="s">
        <v>2398</v>
      </c>
      <c r="AJ862" s="285" t="s">
        <v>2399</v>
      </c>
      <c r="AK862" s="225"/>
      <c r="AL862" s="225"/>
      <c r="AM862" s="24"/>
    </row>
    <row r="863" spans="1:39" ht="12.75" customHeight="1">
      <c r="A863" s="22">
        <v>861</v>
      </c>
      <c r="B863" s="24" t="s">
        <v>1673</v>
      </c>
      <c r="C863" s="24" t="s">
        <v>180</v>
      </c>
      <c r="D863" s="24" t="s">
        <v>2444</v>
      </c>
      <c r="E863" s="24" t="s">
        <v>2394</v>
      </c>
      <c r="F863" s="24">
        <v>1</v>
      </c>
      <c r="G863" s="24" t="s">
        <v>2372</v>
      </c>
      <c r="H863" s="24"/>
      <c r="I863" s="24"/>
      <c r="J863" s="283"/>
      <c r="K863" s="164"/>
      <c r="L863" s="164"/>
      <c r="M863" s="164"/>
      <c r="N863" s="164"/>
      <c r="O863" s="196" t="s">
        <v>1673</v>
      </c>
      <c r="P863" s="164"/>
      <c r="Q863" s="164"/>
      <c r="R863" s="164"/>
      <c r="S863" s="283"/>
      <c r="T863" s="164"/>
      <c r="U863" s="283"/>
      <c r="V863" s="283"/>
      <c r="W863" s="164"/>
      <c r="X863" s="225"/>
      <c r="Y863" s="283"/>
      <c r="Z863" s="283"/>
      <c r="AA863" s="283"/>
      <c r="AB863" s="283"/>
      <c r="AC863" s="283"/>
      <c r="AD863" s="283"/>
      <c r="AE863" s="283"/>
      <c r="AF863" s="283"/>
      <c r="AG863" s="283"/>
      <c r="AH863" s="285" t="s">
        <v>115</v>
      </c>
      <c r="AI863" s="353" t="s">
        <v>942</v>
      </c>
      <c r="AJ863" s="205" t="s">
        <v>943</v>
      </c>
      <c r="AK863" s="225"/>
      <c r="AL863" s="225"/>
      <c r="AM863" s="24"/>
    </row>
    <row r="864" spans="1:39" ht="12.75" customHeight="1">
      <c r="A864" s="22">
        <v>862</v>
      </c>
      <c r="B864" s="24" t="s">
        <v>1468</v>
      </c>
      <c r="C864" s="24" t="s">
        <v>180</v>
      </c>
      <c r="D864" s="24" t="s">
        <v>2444</v>
      </c>
      <c r="E864" s="24" t="s">
        <v>2394</v>
      </c>
      <c r="F864" s="24">
        <v>1</v>
      </c>
      <c r="G864" s="24" t="s">
        <v>2372</v>
      </c>
      <c r="H864" s="24"/>
      <c r="I864" s="24"/>
      <c r="J864" s="283"/>
      <c r="K864" s="164"/>
      <c r="L864" s="164"/>
      <c r="M864" s="164"/>
      <c r="N864" s="164"/>
      <c r="O864" s="224" t="s">
        <v>1468</v>
      </c>
      <c r="P864" s="164"/>
      <c r="Q864" s="164"/>
      <c r="R864" s="164"/>
      <c r="S864" s="283"/>
      <c r="T864" s="164"/>
      <c r="U864" s="283"/>
      <c r="V864" s="283"/>
      <c r="W864" s="164"/>
      <c r="X864" s="225"/>
      <c r="Y864" s="283"/>
      <c r="Z864" s="283"/>
      <c r="AA864" s="283"/>
      <c r="AB864" s="283"/>
      <c r="AC864" s="283"/>
      <c r="AD864" s="283"/>
      <c r="AE864" s="283"/>
      <c r="AF864" s="283"/>
      <c r="AG864" s="283"/>
      <c r="AH864" s="285" t="s">
        <v>115</v>
      </c>
      <c r="AI864" s="353" t="s">
        <v>1469</v>
      </c>
      <c r="AJ864" s="205" t="s">
        <v>1470</v>
      </c>
      <c r="AK864" s="225"/>
      <c r="AL864" s="225"/>
      <c r="AM864" s="24"/>
    </row>
    <row r="865" spans="1:39" ht="12.75" customHeight="1">
      <c r="A865" s="22">
        <v>863</v>
      </c>
      <c r="B865" s="24" t="s">
        <v>2448</v>
      </c>
      <c r="C865" s="24" t="s">
        <v>96</v>
      </c>
      <c r="D865" s="24" t="s">
        <v>1787</v>
      </c>
      <c r="E865" s="24" t="s">
        <v>2394</v>
      </c>
      <c r="F865" s="24">
        <v>1</v>
      </c>
      <c r="G865" s="24" t="s">
        <v>2372</v>
      </c>
      <c r="H865" s="24"/>
      <c r="I865" s="24"/>
      <c r="J865" s="283"/>
      <c r="K865" s="164" t="s">
        <v>1376</v>
      </c>
      <c r="L865" s="164" t="s">
        <v>2449</v>
      </c>
      <c r="M865" s="164" t="s">
        <v>2450</v>
      </c>
      <c r="N865" s="164" t="s">
        <v>238</v>
      </c>
      <c r="O865" s="224"/>
      <c r="P865" s="164"/>
      <c r="Q865" s="164"/>
      <c r="R865" s="164"/>
      <c r="S865" s="283"/>
      <c r="T865" s="164" t="s">
        <v>208</v>
      </c>
      <c r="U865" s="283"/>
      <c r="V865" s="283"/>
      <c r="W865" s="164" t="s">
        <v>115</v>
      </c>
      <c r="X865" s="225"/>
      <c r="Y865" s="283"/>
      <c r="Z865" s="283"/>
      <c r="AA865" s="283"/>
      <c r="AB865" s="283"/>
      <c r="AC865" s="283"/>
      <c r="AD865" s="283"/>
      <c r="AE865" s="283"/>
      <c r="AF865" s="283"/>
      <c r="AG865" s="283"/>
      <c r="AH865" s="285" t="s">
        <v>2447</v>
      </c>
      <c r="AI865" s="353" t="s">
        <v>2403</v>
      </c>
      <c r="AJ865" s="285" t="s">
        <v>2404</v>
      </c>
      <c r="AK865" s="225"/>
      <c r="AL865" s="225"/>
      <c r="AM865" s="24"/>
    </row>
    <row r="866" spans="1:39" ht="12.75" customHeight="1">
      <c r="A866" s="22">
        <v>864</v>
      </c>
      <c r="B866" s="24" t="s">
        <v>2405</v>
      </c>
      <c r="C866" s="24" t="s">
        <v>180</v>
      </c>
      <c r="D866" s="24" t="s">
        <v>2448</v>
      </c>
      <c r="E866" s="24" t="s">
        <v>2394</v>
      </c>
      <c r="F866" s="24">
        <v>1</v>
      </c>
      <c r="G866" s="24" t="s">
        <v>2372</v>
      </c>
      <c r="H866" s="24"/>
      <c r="I866" s="24"/>
      <c r="J866" s="283"/>
      <c r="K866" s="196"/>
      <c r="L866" s="196"/>
      <c r="M866" s="196"/>
      <c r="N866" s="196"/>
      <c r="O866" s="204" t="s">
        <v>2405</v>
      </c>
      <c r="P866" s="196"/>
      <c r="Q866" s="196"/>
      <c r="R866" s="196"/>
      <c r="S866" s="283"/>
      <c r="T866" s="196"/>
      <c r="U866" s="283"/>
      <c r="V866" s="283"/>
      <c r="W866" s="196"/>
      <c r="X866" s="225"/>
      <c r="Y866" s="283"/>
      <c r="Z866" s="283"/>
      <c r="AA866" s="283"/>
      <c r="AB866" s="283"/>
      <c r="AC866" s="283"/>
      <c r="AD866" s="283"/>
      <c r="AE866" s="283"/>
      <c r="AF866" s="283"/>
      <c r="AG866" s="283"/>
      <c r="AH866" s="205" t="s">
        <v>115</v>
      </c>
      <c r="AI866" s="223" t="s">
        <v>2406</v>
      </c>
      <c r="AJ866" s="205" t="s">
        <v>2407</v>
      </c>
      <c r="AK866" s="225"/>
      <c r="AL866" s="225"/>
      <c r="AM866" s="24"/>
    </row>
    <row r="867" spans="1:39" ht="12.75" customHeight="1">
      <c r="A867" s="22">
        <v>865</v>
      </c>
      <c r="B867" s="24" t="s">
        <v>405</v>
      </c>
      <c r="C867" s="24" t="s">
        <v>180</v>
      </c>
      <c r="D867" s="24" t="s">
        <v>2448</v>
      </c>
      <c r="E867" s="24" t="s">
        <v>2394</v>
      </c>
      <c r="F867" s="24">
        <v>1</v>
      </c>
      <c r="G867" s="24" t="s">
        <v>2372</v>
      </c>
      <c r="H867" s="24"/>
      <c r="I867" s="24"/>
      <c r="J867" s="283"/>
      <c r="K867" s="196"/>
      <c r="L867" s="196"/>
      <c r="M867" s="196"/>
      <c r="N867" s="196"/>
      <c r="O867" s="204" t="s">
        <v>405</v>
      </c>
      <c r="P867" s="196"/>
      <c r="Q867" s="196"/>
      <c r="R867" s="196"/>
      <c r="S867" s="283"/>
      <c r="T867" s="196"/>
      <c r="U867" s="283"/>
      <c r="V867" s="283"/>
      <c r="W867" s="196"/>
      <c r="X867" s="225"/>
      <c r="Y867" s="283"/>
      <c r="Z867" s="283"/>
      <c r="AA867" s="283"/>
      <c r="AB867" s="283"/>
      <c r="AC867" s="283"/>
      <c r="AD867" s="283"/>
      <c r="AE867" s="283"/>
      <c r="AF867" s="283"/>
      <c r="AG867" s="283"/>
      <c r="AH867" s="205" t="s">
        <v>115</v>
      </c>
      <c r="AI867" s="223" t="s">
        <v>406</v>
      </c>
      <c r="AJ867" s="205" t="s">
        <v>407</v>
      </c>
      <c r="AK867" s="225"/>
      <c r="AL867" s="225"/>
      <c r="AM867" s="24"/>
    </row>
    <row r="868" spans="1:39" ht="12.75" customHeight="1">
      <c r="A868" s="22">
        <v>866</v>
      </c>
      <c r="B868" s="24" t="s">
        <v>2451</v>
      </c>
      <c r="C868" s="24" t="s">
        <v>96</v>
      </c>
      <c r="D868" s="24" t="s">
        <v>1787</v>
      </c>
      <c r="E868" s="24" t="s">
        <v>2394</v>
      </c>
      <c r="F868" s="24">
        <v>1</v>
      </c>
      <c r="G868" s="24" t="s">
        <v>2372</v>
      </c>
      <c r="H868" s="24"/>
      <c r="I868" s="24"/>
      <c r="J868" s="283"/>
      <c r="K868" s="196" t="s">
        <v>409</v>
      </c>
      <c r="L868" s="196" t="s">
        <v>2452</v>
      </c>
      <c r="M868" s="196" t="s">
        <v>2410</v>
      </c>
      <c r="N868" s="196" t="s">
        <v>111</v>
      </c>
      <c r="O868" s="196"/>
      <c r="P868" s="196"/>
      <c r="Q868" s="196"/>
      <c r="R868" s="196"/>
      <c r="S868" s="283"/>
      <c r="T868" s="196" t="s">
        <v>208</v>
      </c>
      <c r="U868" s="283"/>
      <c r="V868" s="283"/>
      <c r="W868" s="196" t="s">
        <v>115</v>
      </c>
      <c r="X868" s="225"/>
      <c r="Y868" s="283"/>
      <c r="Z868" s="283"/>
      <c r="AA868" s="283"/>
      <c r="AB868" s="283"/>
      <c r="AC868" s="283"/>
      <c r="AD868" s="283"/>
      <c r="AE868" s="283"/>
      <c r="AF868" s="283"/>
      <c r="AG868" s="283"/>
      <c r="AH868" s="205" t="s">
        <v>2447</v>
      </c>
      <c r="AI868" s="223" t="s">
        <v>2411</v>
      </c>
      <c r="AJ868" s="205" t="s">
        <v>2412</v>
      </c>
      <c r="AK868" s="225"/>
      <c r="AL868" s="225"/>
      <c r="AM868" s="24"/>
    </row>
    <row r="869" spans="1:39" ht="12.75" customHeight="1">
      <c r="A869" s="22">
        <v>867</v>
      </c>
      <c r="B869" s="24" t="s">
        <v>2453</v>
      </c>
      <c r="C869" s="24" t="s">
        <v>96</v>
      </c>
      <c r="D869" s="24" t="s">
        <v>1787</v>
      </c>
      <c r="E869" s="24" t="s">
        <v>2454</v>
      </c>
      <c r="F869" s="24">
        <v>1</v>
      </c>
      <c r="G869" s="24" t="s">
        <v>2372</v>
      </c>
      <c r="H869" s="24"/>
      <c r="I869" s="24"/>
      <c r="J869" s="283"/>
      <c r="K869" s="234" t="s">
        <v>2453</v>
      </c>
      <c r="L869" s="204" t="s">
        <v>2455</v>
      </c>
      <c r="M869" s="204" t="s">
        <v>2456</v>
      </c>
      <c r="N869" s="234" t="s">
        <v>202</v>
      </c>
      <c r="O869" s="196"/>
      <c r="P869" s="196"/>
      <c r="Q869" s="196"/>
      <c r="R869" s="164"/>
      <c r="S869" s="283"/>
      <c r="T869" s="204" t="s">
        <v>113</v>
      </c>
      <c r="U869" s="283"/>
      <c r="V869" s="283"/>
      <c r="W869" s="204" t="s">
        <v>2375</v>
      </c>
      <c r="X869" s="225"/>
      <c r="Y869" s="283"/>
      <c r="Z869" s="283"/>
      <c r="AA869" s="283"/>
      <c r="AB869" s="283"/>
      <c r="AC869" s="283"/>
      <c r="AD869" s="283"/>
      <c r="AE869" s="283"/>
      <c r="AF869" s="283"/>
      <c r="AG869" s="283"/>
      <c r="AH869" s="285" t="s">
        <v>2457</v>
      </c>
      <c r="AI869" s="353" t="s">
        <v>2398</v>
      </c>
      <c r="AJ869" s="285" t="s">
        <v>2399</v>
      </c>
      <c r="AK869" s="225"/>
      <c r="AL869" s="225"/>
      <c r="AM869" s="24"/>
    </row>
    <row r="870" spans="1:39" ht="12.75" customHeight="1">
      <c r="A870" s="22">
        <v>868</v>
      </c>
      <c r="B870" s="24" t="s">
        <v>1673</v>
      </c>
      <c r="C870" s="24" t="s">
        <v>180</v>
      </c>
      <c r="D870" s="24" t="s">
        <v>2453</v>
      </c>
      <c r="E870" s="24" t="s">
        <v>2454</v>
      </c>
      <c r="F870" s="24">
        <v>1</v>
      </c>
      <c r="G870" s="24" t="s">
        <v>2372</v>
      </c>
      <c r="H870" s="24"/>
      <c r="I870" s="24"/>
      <c r="J870" s="283"/>
      <c r="K870" s="234"/>
      <c r="L870" s="204"/>
      <c r="M870" s="164"/>
      <c r="N870" s="234"/>
      <c r="O870" s="196" t="s">
        <v>1673</v>
      </c>
      <c r="P870" s="196"/>
      <c r="Q870" s="196"/>
      <c r="R870" s="164"/>
      <c r="S870" s="283"/>
      <c r="T870" s="204"/>
      <c r="U870" s="283"/>
      <c r="V870" s="283"/>
      <c r="W870" s="164"/>
      <c r="X870" s="225"/>
      <c r="Y870" s="283"/>
      <c r="Z870" s="283"/>
      <c r="AA870" s="283"/>
      <c r="AB870" s="283"/>
      <c r="AC870" s="283"/>
      <c r="AD870" s="283"/>
      <c r="AE870" s="283"/>
      <c r="AF870" s="283"/>
      <c r="AG870" s="283"/>
      <c r="AH870" s="285" t="s">
        <v>115</v>
      </c>
      <c r="AI870" s="353" t="s">
        <v>942</v>
      </c>
      <c r="AJ870" s="205" t="s">
        <v>943</v>
      </c>
      <c r="AK870" s="225"/>
      <c r="AL870" s="225"/>
      <c r="AM870" s="24"/>
    </row>
    <row r="871" spans="1:39" ht="12.75" customHeight="1">
      <c r="A871" s="22">
        <v>869</v>
      </c>
      <c r="B871" s="24" t="s">
        <v>1468</v>
      </c>
      <c r="C871" s="24" t="s">
        <v>180</v>
      </c>
      <c r="D871" s="24" t="s">
        <v>2453</v>
      </c>
      <c r="E871" s="24" t="s">
        <v>2454</v>
      </c>
      <c r="F871" s="24">
        <v>1</v>
      </c>
      <c r="G871" s="24" t="s">
        <v>2372</v>
      </c>
      <c r="H871" s="24"/>
      <c r="I871" s="24"/>
      <c r="J871" s="283"/>
      <c r="K871" s="234"/>
      <c r="L871" s="204"/>
      <c r="M871" s="164"/>
      <c r="N871" s="234"/>
      <c r="O871" s="224" t="s">
        <v>1468</v>
      </c>
      <c r="P871" s="196"/>
      <c r="Q871" s="196"/>
      <c r="R871" s="164"/>
      <c r="S871" s="283"/>
      <c r="T871" s="204"/>
      <c r="U871" s="283"/>
      <c r="V871" s="283"/>
      <c r="W871" s="164"/>
      <c r="X871" s="225"/>
      <c r="Y871" s="283"/>
      <c r="Z871" s="283"/>
      <c r="AA871" s="283"/>
      <c r="AB871" s="283"/>
      <c r="AC871" s="283"/>
      <c r="AD871" s="283"/>
      <c r="AE871" s="283"/>
      <c r="AF871" s="283"/>
      <c r="AG871" s="283"/>
      <c r="AH871" s="285" t="s">
        <v>115</v>
      </c>
      <c r="AI871" s="353" t="s">
        <v>1469</v>
      </c>
      <c r="AJ871" s="205" t="s">
        <v>1470</v>
      </c>
      <c r="AK871" s="225"/>
      <c r="AL871" s="225"/>
      <c r="AM871" s="24"/>
    </row>
    <row r="872" spans="1:39" ht="12.75" customHeight="1">
      <c r="A872" s="22">
        <v>870</v>
      </c>
      <c r="B872" s="24" t="s">
        <v>2458</v>
      </c>
      <c r="C872" s="24" t="s">
        <v>96</v>
      </c>
      <c r="D872" s="24" t="s">
        <v>1787</v>
      </c>
      <c r="E872" s="24" t="s">
        <v>2454</v>
      </c>
      <c r="F872" s="24">
        <v>1</v>
      </c>
      <c r="G872" s="24" t="s">
        <v>2372</v>
      </c>
      <c r="H872" s="24"/>
      <c r="I872" s="24"/>
      <c r="J872" s="283"/>
      <c r="K872" s="234" t="s">
        <v>1376</v>
      </c>
      <c r="L872" s="204" t="s">
        <v>2459</v>
      </c>
      <c r="M872" s="164" t="s">
        <v>2460</v>
      </c>
      <c r="N872" s="234" t="s">
        <v>202</v>
      </c>
      <c r="O872" s="224"/>
      <c r="P872" s="196"/>
      <c r="Q872" s="196"/>
      <c r="R872" s="164"/>
      <c r="S872" s="283"/>
      <c r="T872" s="204" t="s">
        <v>208</v>
      </c>
      <c r="U872" s="283"/>
      <c r="V872" s="283"/>
      <c r="W872" s="164" t="s">
        <v>115</v>
      </c>
      <c r="X872" s="225"/>
      <c r="Y872" s="283"/>
      <c r="Z872" s="283"/>
      <c r="AA872" s="283"/>
      <c r="AB872" s="283"/>
      <c r="AC872" s="283"/>
      <c r="AD872" s="283"/>
      <c r="AE872" s="283"/>
      <c r="AF872" s="283"/>
      <c r="AG872" s="283"/>
      <c r="AH872" s="285" t="s">
        <v>2457</v>
      </c>
      <c r="AI872" s="353" t="s">
        <v>2403</v>
      </c>
      <c r="AJ872" s="285" t="s">
        <v>2404</v>
      </c>
      <c r="AK872" s="225"/>
      <c r="AL872" s="225"/>
      <c r="AM872" s="24"/>
    </row>
    <row r="873" spans="1:39" ht="12.75" customHeight="1">
      <c r="A873" s="22">
        <v>871</v>
      </c>
      <c r="B873" s="24" t="s">
        <v>2405</v>
      </c>
      <c r="C873" s="24" t="s">
        <v>180</v>
      </c>
      <c r="D873" s="24" t="s">
        <v>2458</v>
      </c>
      <c r="E873" s="24" t="s">
        <v>2454</v>
      </c>
      <c r="F873" s="24">
        <v>1</v>
      </c>
      <c r="G873" s="24" t="s">
        <v>2372</v>
      </c>
      <c r="H873" s="24"/>
      <c r="I873" s="24"/>
      <c r="J873" s="283"/>
      <c r="K873" s="234"/>
      <c r="L873" s="204"/>
      <c r="M873" s="164"/>
      <c r="N873" s="234"/>
      <c r="O873" s="204" t="s">
        <v>2405</v>
      </c>
      <c r="P873" s="196"/>
      <c r="Q873" s="196"/>
      <c r="R873" s="164"/>
      <c r="S873" s="283"/>
      <c r="T873" s="204"/>
      <c r="U873" s="283"/>
      <c r="V873" s="283"/>
      <c r="W873" s="196"/>
      <c r="X873" s="225"/>
      <c r="Y873" s="283"/>
      <c r="Z873" s="283"/>
      <c r="AA873" s="283"/>
      <c r="AB873" s="283"/>
      <c r="AC873" s="283"/>
      <c r="AD873" s="283"/>
      <c r="AE873" s="283"/>
      <c r="AF873" s="283"/>
      <c r="AG873" s="283"/>
      <c r="AH873" s="205" t="s">
        <v>115</v>
      </c>
      <c r="AI873" s="223" t="s">
        <v>2406</v>
      </c>
      <c r="AJ873" s="205" t="s">
        <v>2407</v>
      </c>
      <c r="AK873" s="225"/>
      <c r="AL873" s="225"/>
      <c r="AM873" s="24"/>
    </row>
    <row r="874" spans="1:39" ht="12.75" customHeight="1">
      <c r="A874" s="22">
        <v>872</v>
      </c>
      <c r="B874" s="24" t="s">
        <v>405</v>
      </c>
      <c r="C874" s="24" t="s">
        <v>180</v>
      </c>
      <c r="D874" s="24" t="s">
        <v>2458</v>
      </c>
      <c r="E874" s="24" t="s">
        <v>2454</v>
      </c>
      <c r="F874" s="24">
        <v>1</v>
      </c>
      <c r="G874" s="24" t="s">
        <v>2372</v>
      </c>
      <c r="H874" s="24"/>
      <c r="I874" s="24"/>
      <c r="J874" s="283"/>
      <c r="K874" s="234"/>
      <c r="L874" s="204"/>
      <c r="M874" s="164"/>
      <c r="N874" s="234"/>
      <c r="O874" s="204" t="s">
        <v>405</v>
      </c>
      <c r="P874" s="196"/>
      <c r="Q874" s="196"/>
      <c r="R874" s="164"/>
      <c r="S874" s="283"/>
      <c r="T874" s="204"/>
      <c r="U874" s="283"/>
      <c r="V874" s="283"/>
      <c r="W874" s="196"/>
      <c r="X874" s="225"/>
      <c r="Y874" s="283"/>
      <c r="Z874" s="283"/>
      <c r="AA874" s="283"/>
      <c r="AB874" s="283"/>
      <c r="AC874" s="283"/>
      <c r="AD874" s="283"/>
      <c r="AE874" s="283"/>
      <c r="AF874" s="283"/>
      <c r="AG874" s="283"/>
      <c r="AH874" s="205" t="s">
        <v>115</v>
      </c>
      <c r="AI874" s="223" t="s">
        <v>406</v>
      </c>
      <c r="AJ874" s="205" t="s">
        <v>407</v>
      </c>
      <c r="AK874" s="225"/>
      <c r="AL874" s="225"/>
      <c r="AM874" s="24"/>
    </row>
    <row r="875" spans="1:39" ht="12.75" customHeight="1">
      <c r="A875" s="22">
        <v>873</v>
      </c>
      <c r="B875" s="24" t="s">
        <v>2461</v>
      </c>
      <c r="C875" s="24" t="s">
        <v>96</v>
      </c>
      <c r="D875" s="24" t="s">
        <v>1787</v>
      </c>
      <c r="E875" s="24" t="s">
        <v>2454</v>
      </c>
      <c r="F875" s="24">
        <v>1</v>
      </c>
      <c r="G875" s="24" t="s">
        <v>2372</v>
      </c>
      <c r="H875" s="24"/>
      <c r="I875" s="24"/>
      <c r="J875" s="283"/>
      <c r="K875" s="234" t="s">
        <v>409</v>
      </c>
      <c r="L875" s="204" t="s">
        <v>2462</v>
      </c>
      <c r="M875" s="164" t="s">
        <v>2410</v>
      </c>
      <c r="N875" s="234" t="s">
        <v>111</v>
      </c>
      <c r="O875" s="196"/>
      <c r="P875" s="196"/>
      <c r="Q875" s="196"/>
      <c r="R875" s="164"/>
      <c r="S875" s="283"/>
      <c r="T875" s="204" t="s">
        <v>208</v>
      </c>
      <c r="U875" s="283"/>
      <c r="V875" s="283"/>
      <c r="W875" s="196" t="s">
        <v>115</v>
      </c>
      <c r="X875" s="225"/>
      <c r="Y875" s="283"/>
      <c r="Z875" s="283"/>
      <c r="AA875" s="283"/>
      <c r="AB875" s="283"/>
      <c r="AC875" s="283"/>
      <c r="AD875" s="283"/>
      <c r="AE875" s="283"/>
      <c r="AF875" s="283"/>
      <c r="AG875" s="283"/>
      <c r="AH875" s="205" t="s">
        <v>2457</v>
      </c>
      <c r="AI875" s="223" t="s">
        <v>2411</v>
      </c>
      <c r="AJ875" s="205" t="s">
        <v>2412</v>
      </c>
      <c r="AK875" s="225"/>
      <c r="AL875" s="225"/>
      <c r="AM875" s="24"/>
    </row>
    <row r="876" spans="1:39" ht="12.75" customHeight="1">
      <c r="A876" s="22">
        <v>874</v>
      </c>
      <c r="B876" s="24" t="s">
        <v>2463</v>
      </c>
      <c r="C876" s="24" t="s">
        <v>96</v>
      </c>
      <c r="D876" s="24" t="s">
        <v>1787</v>
      </c>
      <c r="E876" s="24" t="s">
        <v>2454</v>
      </c>
      <c r="F876" s="24">
        <v>1</v>
      </c>
      <c r="G876" s="24" t="s">
        <v>2372</v>
      </c>
      <c r="H876" s="24"/>
      <c r="I876" s="24"/>
      <c r="J876" s="283"/>
      <c r="K876" s="234" t="s">
        <v>2463</v>
      </c>
      <c r="L876" s="234" t="s">
        <v>2464</v>
      </c>
      <c r="M876" s="204" t="s">
        <v>2465</v>
      </c>
      <c r="N876" s="234" t="s">
        <v>202</v>
      </c>
      <c r="O876" s="196"/>
      <c r="P876" s="196"/>
      <c r="Q876" s="196"/>
      <c r="R876" s="164"/>
      <c r="S876" s="283"/>
      <c r="T876" s="234" t="s">
        <v>208</v>
      </c>
      <c r="U876" s="283"/>
      <c r="V876" s="283"/>
      <c r="W876" s="204" t="s">
        <v>2375</v>
      </c>
      <c r="X876" s="225"/>
      <c r="Y876" s="283"/>
      <c r="Z876" s="283"/>
      <c r="AA876" s="283"/>
      <c r="AB876" s="283"/>
      <c r="AC876" s="283"/>
      <c r="AD876" s="283"/>
      <c r="AE876" s="283"/>
      <c r="AF876" s="283"/>
      <c r="AG876" s="283"/>
      <c r="AH876" s="285" t="s">
        <v>2466</v>
      </c>
      <c r="AI876" s="353" t="s">
        <v>2398</v>
      </c>
      <c r="AJ876" s="285" t="s">
        <v>2399</v>
      </c>
      <c r="AK876" s="225"/>
      <c r="AL876" s="225"/>
      <c r="AM876" s="24"/>
    </row>
    <row r="877" spans="1:39" ht="12.75" customHeight="1">
      <c r="A877" s="22">
        <v>875</v>
      </c>
      <c r="B877" s="24" t="s">
        <v>1673</v>
      </c>
      <c r="C877" s="24" t="s">
        <v>180</v>
      </c>
      <c r="D877" s="24" t="s">
        <v>2463</v>
      </c>
      <c r="E877" s="24" t="s">
        <v>2454</v>
      </c>
      <c r="F877" s="24">
        <v>1</v>
      </c>
      <c r="G877" s="24" t="s">
        <v>2372</v>
      </c>
      <c r="H877" s="24"/>
      <c r="I877" s="24"/>
      <c r="J877" s="283"/>
      <c r="K877" s="234"/>
      <c r="L877" s="234"/>
      <c r="M877" s="164"/>
      <c r="N877" s="234"/>
      <c r="O877" s="196" t="s">
        <v>1673</v>
      </c>
      <c r="P877" s="196"/>
      <c r="Q877" s="196"/>
      <c r="R877" s="164"/>
      <c r="S877" s="283"/>
      <c r="T877" s="204"/>
      <c r="U877" s="283"/>
      <c r="V877" s="283"/>
      <c r="W877" s="196"/>
      <c r="X877" s="225"/>
      <c r="Y877" s="283"/>
      <c r="Z877" s="283"/>
      <c r="AA877" s="283"/>
      <c r="AB877" s="283"/>
      <c r="AC877" s="283"/>
      <c r="AD877" s="283"/>
      <c r="AE877" s="283"/>
      <c r="AF877" s="283"/>
      <c r="AG877" s="283"/>
      <c r="AH877" s="285" t="s">
        <v>115</v>
      </c>
      <c r="AI877" s="353" t="s">
        <v>942</v>
      </c>
      <c r="AJ877" s="205" t="s">
        <v>943</v>
      </c>
      <c r="AK877" s="225"/>
      <c r="AL877" s="225"/>
      <c r="AM877" s="24"/>
    </row>
    <row r="878" spans="1:39" ht="12.75" customHeight="1">
      <c r="A878" s="22">
        <v>876</v>
      </c>
      <c r="B878" s="24" t="s">
        <v>1468</v>
      </c>
      <c r="C878" s="24" t="s">
        <v>180</v>
      </c>
      <c r="D878" s="24" t="s">
        <v>2463</v>
      </c>
      <c r="E878" s="24" t="s">
        <v>2454</v>
      </c>
      <c r="F878" s="24">
        <v>1</v>
      </c>
      <c r="G878" s="24" t="s">
        <v>2372</v>
      </c>
      <c r="H878" s="24"/>
      <c r="I878" s="24"/>
      <c r="J878" s="283"/>
      <c r="K878" s="234"/>
      <c r="L878" s="234"/>
      <c r="M878" s="164"/>
      <c r="N878" s="234"/>
      <c r="O878" s="196" t="s">
        <v>1468</v>
      </c>
      <c r="P878" s="196"/>
      <c r="Q878" s="196"/>
      <c r="R878" s="164"/>
      <c r="S878" s="283"/>
      <c r="T878" s="204"/>
      <c r="U878" s="283"/>
      <c r="V878" s="283"/>
      <c r="W878" s="196"/>
      <c r="X878" s="225"/>
      <c r="Y878" s="283"/>
      <c r="Z878" s="283"/>
      <c r="AA878" s="283"/>
      <c r="AB878" s="283"/>
      <c r="AC878" s="283"/>
      <c r="AD878" s="283"/>
      <c r="AE878" s="283"/>
      <c r="AF878" s="283"/>
      <c r="AG878" s="283"/>
      <c r="AH878" s="285" t="s">
        <v>115</v>
      </c>
      <c r="AI878" s="353" t="s">
        <v>1469</v>
      </c>
      <c r="AJ878" s="205" t="s">
        <v>1470</v>
      </c>
      <c r="AK878" s="225"/>
      <c r="AL878" s="225"/>
      <c r="AM878" s="24"/>
    </row>
    <row r="879" spans="1:39" ht="12.75" customHeight="1">
      <c r="A879" s="22">
        <v>877</v>
      </c>
      <c r="B879" s="24" t="s">
        <v>2468</v>
      </c>
      <c r="C879" s="24" t="s">
        <v>96</v>
      </c>
      <c r="D879" s="24" t="s">
        <v>1787</v>
      </c>
      <c r="E879" s="24" t="s">
        <v>2454</v>
      </c>
      <c r="F879" s="24">
        <v>1</v>
      </c>
      <c r="G879" s="24" t="s">
        <v>2372</v>
      </c>
      <c r="H879" s="24"/>
      <c r="I879" s="24"/>
      <c r="J879" s="283"/>
      <c r="K879" s="234" t="s">
        <v>1376</v>
      </c>
      <c r="L879" s="234" t="s">
        <v>2469</v>
      </c>
      <c r="M879" s="164" t="s">
        <v>2470</v>
      </c>
      <c r="N879" s="234" t="s">
        <v>202</v>
      </c>
      <c r="O879" s="224"/>
      <c r="P879" s="196"/>
      <c r="Q879" s="196"/>
      <c r="R879" s="164"/>
      <c r="S879" s="283"/>
      <c r="T879" s="204" t="s">
        <v>208</v>
      </c>
      <c r="U879" s="283"/>
      <c r="V879" s="283"/>
      <c r="W879" s="196" t="s">
        <v>115</v>
      </c>
      <c r="X879" s="225"/>
      <c r="Y879" s="283"/>
      <c r="Z879" s="283"/>
      <c r="AA879" s="283"/>
      <c r="AB879" s="283"/>
      <c r="AC879" s="283"/>
      <c r="AD879" s="283"/>
      <c r="AE879" s="283"/>
      <c r="AF879" s="283"/>
      <c r="AG879" s="283"/>
      <c r="AH879" s="285" t="s">
        <v>2466</v>
      </c>
      <c r="AI879" s="353" t="s">
        <v>2403</v>
      </c>
      <c r="AJ879" s="285" t="s">
        <v>2404</v>
      </c>
      <c r="AK879" s="225"/>
      <c r="AL879" s="225"/>
      <c r="AM879" s="24"/>
    </row>
    <row r="880" spans="1:39" ht="12.75" customHeight="1">
      <c r="A880" s="22">
        <v>878</v>
      </c>
      <c r="B880" s="24" t="s">
        <v>2405</v>
      </c>
      <c r="C880" s="24" t="s">
        <v>180</v>
      </c>
      <c r="D880" s="24" t="s">
        <v>2468</v>
      </c>
      <c r="E880" s="24" t="s">
        <v>2454</v>
      </c>
      <c r="F880" s="24">
        <v>1</v>
      </c>
      <c r="G880" s="24" t="s">
        <v>2372</v>
      </c>
      <c r="H880" s="24"/>
      <c r="I880" s="24"/>
      <c r="J880" s="283"/>
      <c r="K880" s="234"/>
      <c r="L880" s="234"/>
      <c r="M880" s="164"/>
      <c r="N880" s="234"/>
      <c r="O880" s="204" t="s">
        <v>2405</v>
      </c>
      <c r="P880" s="196"/>
      <c r="Q880" s="196"/>
      <c r="R880" s="196"/>
      <c r="S880" s="283"/>
      <c r="T880" s="204"/>
      <c r="U880" s="283"/>
      <c r="V880" s="283"/>
      <c r="W880" s="196"/>
      <c r="X880" s="225"/>
      <c r="Y880" s="283"/>
      <c r="Z880" s="283"/>
      <c r="AA880" s="283"/>
      <c r="AB880" s="283"/>
      <c r="AC880" s="283"/>
      <c r="AD880" s="283"/>
      <c r="AE880" s="283"/>
      <c r="AF880" s="283"/>
      <c r="AG880" s="283"/>
      <c r="AH880" s="205" t="s">
        <v>115</v>
      </c>
      <c r="AI880" s="223" t="s">
        <v>2406</v>
      </c>
      <c r="AJ880" s="205" t="s">
        <v>2407</v>
      </c>
      <c r="AK880" s="225"/>
      <c r="AL880" s="225"/>
      <c r="AM880" s="24"/>
    </row>
    <row r="881" spans="1:39" ht="12.75" customHeight="1">
      <c r="A881" s="22">
        <v>879</v>
      </c>
      <c r="B881" s="24" t="s">
        <v>405</v>
      </c>
      <c r="C881" s="24" t="s">
        <v>180</v>
      </c>
      <c r="D881" s="24" t="s">
        <v>2468</v>
      </c>
      <c r="E881" s="24" t="s">
        <v>2454</v>
      </c>
      <c r="F881" s="24">
        <v>1</v>
      </c>
      <c r="G881" s="24" t="s">
        <v>2372</v>
      </c>
      <c r="H881" s="24"/>
      <c r="I881" s="24"/>
      <c r="J881" s="283"/>
      <c r="K881" s="234"/>
      <c r="L881" s="234"/>
      <c r="M881" s="164"/>
      <c r="N881" s="234"/>
      <c r="O881" s="204" t="s">
        <v>405</v>
      </c>
      <c r="P881" s="196"/>
      <c r="Q881" s="196"/>
      <c r="R881" s="196"/>
      <c r="S881" s="283"/>
      <c r="T881" s="204"/>
      <c r="U881" s="283"/>
      <c r="V881" s="283"/>
      <c r="W881" s="196"/>
      <c r="X881" s="225"/>
      <c r="Y881" s="283"/>
      <c r="Z881" s="283"/>
      <c r="AA881" s="283"/>
      <c r="AB881" s="283"/>
      <c r="AC881" s="283"/>
      <c r="AD881" s="283"/>
      <c r="AE881" s="283"/>
      <c r="AF881" s="283"/>
      <c r="AG881" s="283"/>
      <c r="AH881" s="205" t="s">
        <v>115</v>
      </c>
      <c r="AI881" s="223" t="s">
        <v>406</v>
      </c>
      <c r="AJ881" s="205" t="s">
        <v>407</v>
      </c>
      <c r="AK881" s="225"/>
      <c r="AL881" s="225"/>
      <c r="AM881" s="24"/>
    </row>
    <row r="882" spans="1:39" ht="12.75" customHeight="1">
      <c r="A882" s="22">
        <v>880</v>
      </c>
      <c r="B882" s="24" t="s">
        <v>2471</v>
      </c>
      <c r="C882" s="24" t="s">
        <v>96</v>
      </c>
      <c r="D882" s="24" t="s">
        <v>1787</v>
      </c>
      <c r="E882" s="24" t="s">
        <v>2454</v>
      </c>
      <c r="F882" s="24">
        <v>1</v>
      </c>
      <c r="G882" s="24" t="s">
        <v>2372</v>
      </c>
      <c r="H882" s="24"/>
      <c r="I882" s="24"/>
      <c r="J882" s="283"/>
      <c r="K882" s="234" t="s">
        <v>409</v>
      </c>
      <c r="L882" s="234" t="s">
        <v>2472</v>
      </c>
      <c r="M882" s="164" t="s">
        <v>2410</v>
      </c>
      <c r="N882" s="234" t="s">
        <v>111</v>
      </c>
      <c r="O882" s="196"/>
      <c r="P882" s="196"/>
      <c r="Q882" s="196"/>
      <c r="R882" s="164"/>
      <c r="S882" s="283"/>
      <c r="T882" s="204" t="s">
        <v>208</v>
      </c>
      <c r="U882" s="283"/>
      <c r="V882" s="283"/>
      <c r="W882" s="196" t="s">
        <v>115</v>
      </c>
      <c r="X882" s="225"/>
      <c r="Y882" s="283"/>
      <c r="Z882" s="283"/>
      <c r="AA882" s="283"/>
      <c r="AB882" s="283"/>
      <c r="AC882" s="283"/>
      <c r="AD882" s="283"/>
      <c r="AE882" s="283"/>
      <c r="AF882" s="283"/>
      <c r="AG882" s="283"/>
      <c r="AH882" s="205" t="s">
        <v>2466</v>
      </c>
      <c r="AI882" s="223" t="s">
        <v>2411</v>
      </c>
      <c r="AJ882" s="205" t="s">
        <v>2412</v>
      </c>
      <c r="AK882" s="225"/>
      <c r="AL882" s="225"/>
      <c r="AM882" s="24"/>
    </row>
    <row r="883" spans="1:39" ht="12.75" customHeight="1">
      <c r="A883" s="22">
        <v>881</v>
      </c>
      <c r="B883" s="24" t="s">
        <v>2474</v>
      </c>
      <c r="C883" s="24" t="s">
        <v>96</v>
      </c>
      <c r="D883" s="24" t="s">
        <v>1787</v>
      </c>
      <c r="E883" s="24" t="s">
        <v>2454</v>
      </c>
      <c r="F883" s="24">
        <v>1</v>
      </c>
      <c r="G883" s="24" t="s">
        <v>2372</v>
      </c>
      <c r="H883" s="24"/>
      <c r="I883" s="24"/>
      <c r="J883" s="283"/>
      <c r="K883" s="234" t="s">
        <v>2474</v>
      </c>
      <c r="L883" s="234" t="s">
        <v>2475</v>
      </c>
      <c r="M883" s="204" t="s">
        <v>2476</v>
      </c>
      <c r="N883" s="234" t="s">
        <v>202</v>
      </c>
      <c r="O883" s="196"/>
      <c r="P883" s="196"/>
      <c r="Q883" s="196"/>
      <c r="R883" s="164"/>
      <c r="S883" s="283"/>
      <c r="T883" s="204" t="s">
        <v>113</v>
      </c>
      <c r="U883" s="283"/>
      <c r="V883" s="283"/>
      <c r="W883" s="204" t="s">
        <v>2375</v>
      </c>
      <c r="X883" s="225"/>
      <c r="Y883" s="283"/>
      <c r="Z883" s="283"/>
      <c r="AA883" s="283"/>
      <c r="AB883" s="283"/>
      <c r="AC883" s="283"/>
      <c r="AD883" s="283"/>
      <c r="AE883" s="283"/>
      <c r="AF883" s="283"/>
      <c r="AG883" s="283"/>
      <c r="AH883" s="285" t="s">
        <v>2477</v>
      </c>
      <c r="AI883" s="353" t="s">
        <v>2398</v>
      </c>
      <c r="AJ883" s="285" t="s">
        <v>2399</v>
      </c>
      <c r="AK883" s="225"/>
      <c r="AL883" s="225"/>
      <c r="AM883" s="24"/>
    </row>
    <row r="884" spans="1:39" ht="12.75" customHeight="1">
      <c r="A884" s="22">
        <v>882</v>
      </c>
      <c r="B884" s="24" t="s">
        <v>1673</v>
      </c>
      <c r="C884" s="24" t="s">
        <v>180</v>
      </c>
      <c r="D884" s="24" t="s">
        <v>2474</v>
      </c>
      <c r="E884" s="24" t="s">
        <v>2454</v>
      </c>
      <c r="F884" s="24">
        <v>1</v>
      </c>
      <c r="G884" s="24" t="s">
        <v>2372</v>
      </c>
      <c r="H884" s="24"/>
      <c r="I884" s="24"/>
      <c r="J884" s="283"/>
      <c r="K884" s="234"/>
      <c r="L884" s="234"/>
      <c r="M884" s="164"/>
      <c r="N884" s="234"/>
      <c r="O884" s="196" t="s">
        <v>1673</v>
      </c>
      <c r="P884" s="196"/>
      <c r="Q884" s="196"/>
      <c r="R884" s="164"/>
      <c r="S884" s="283"/>
      <c r="T884" s="204"/>
      <c r="U884" s="283"/>
      <c r="V884" s="283"/>
      <c r="W884" s="196"/>
      <c r="X884" s="225"/>
      <c r="Y884" s="283"/>
      <c r="Z884" s="283"/>
      <c r="AA884" s="283"/>
      <c r="AB884" s="283"/>
      <c r="AC884" s="283"/>
      <c r="AD884" s="283"/>
      <c r="AE884" s="283"/>
      <c r="AF884" s="283"/>
      <c r="AG884" s="283"/>
      <c r="AH884" s="285" t="s">
        <v>115</v>
      </c>
      <c r="AI884" s="353" t="s">
        <v>942</v>
      </c>
      <c r="AJ884" s="205" t="s">
        <v>943</v>
      </c>
      <c r="AK884" s="225"/>
      <c r="AL884" s="225"/>
      <c r="AM884" s="24"/>
    </row>
    <row r="885" spans="1:39" ht="12.75" customHeight="1">
      <c r="A885" s="22">
        <v>883</v>
      </c>
      <c r="B885" s="24" t="s">
        <v>1468</v>
      </c>
      <c r="C885" s="24" t="s">
        <v>180</v>
      </c>
      <c r="D885" s="24" t="s">
        <v>2474</v>
      </c>
      <c r="E885" s="24" t="s">
        <v>2454</v>
      </c>
      <c r="F885" s="24">
        <v>1</v>
      </c>
      <c r="G885" s="24" t="s">
        <v>2372</v>
      </c>
      <c r="H885" s="24"/>
      <c r="I885" s="24"/>
      <c r="J885" s="283"/>
      <c r="K885" s="234"/>
      <c r="L885" s="234"/>
      <c r="M885" s="164"/>
      <c r="N885" s="234"/>
      <c r="O885" s="224" t="s">
        <v>1468</v>
      </c>
      <c r="P885" s="196"/>
      <c r="Q885" s="196"/>
      <c r="R885" s="164"/>
      <c r="S885" s="283"/>
      <c r="T885" s="204"/>
      <c r="U885" s="283"/>
      <c r="V885" s="283"/>
      <c r="W885" s="196"/>
      <c r="X885" s="225"/>
      <c r="Y885" s="283"/>
      <c r="Z885" s="283"/>
      <c r="AA885" s="283"/>
      <c r="AB885" s="283"/>
      <c r="AC885" s="283"/>
      <c r="AD885" s="283"/>
      <c r="AE885" s="283"/>
      <c r="AF885" s="283"/>
      <c r="AG885" s="283"/>
      <c r="AH885" s="285" t="s">
        <v>115</v>
      </c>
      <c r="AI885" s="353" t="s">
        <v>1469</v>
      </c>
      <c r="AJ885" s="205" t="s">
        <v>1470</v>
      </c>
      <c r="AK885" s="225"/>
      <c r="AL885" s="225"/>
      <c r="AM885" s="24"/>
    </row>
    <row r="886" spans="1:39" ht="12.75" customHeight="1">
      <c r="A886" s="22">
        <v>884</v>
      </c>
      <c r="B886" s="24" t="s">
        <v>2479</v>
      </c>
      <c r="C886" s="24" t="s">
        <v>96</v>
      </c>
      <c r="D886" s="24" t="s">
        <v>1787</v>
      </c>
      <c r="E886" s="24" t="s">
        <v>2454</v>
      </c>
      <c r="F886" s="24">
        <v>1</v>
      </c>
      <c r="G886" s="24" t="s">
        <v>2372</v>
      </c>
      <c r="H886" s="24"/>
      <c r="I886" s="24"/>
      <c r="J886" s="283"/>
      <c r="K886" s="234" t="s">
        <v>1376</v>
      </c>
      <c r="L886" s="234" t="s">
        <v>2480</v>
      </c>
      <c r="M886" s="164" t="s">
        <v>2481</v>
      </c>
      <c r="N886" s="234" t="s">
        <v>202</v>
      </c>
      <c r="O886" s="224"/>
      <c r="P886" s="196"/>
      <c r="Q886" s="196"/>
      <c r="R886" s="164"/>
      <c r="S886" s="283"/>
      <c r="T886" s="204" t="s">
        <v>208</v>
      </c>
      <c r="U886" s="283"/>
      <c r="V886" s="283"/>
      <c r="W886" s="196" t="s">
        <v>115</v>
      </c>
      <c r="X886" s="225"/>
      <c r="Y886" s="283"/>
      <c r="Z886" s="283"/>
      <c r="AA886" s="283"/>
      <c r="AB886" s="283"/>
      <c r="AC886" s="283"/>
      <c r="AD886" s="283"/>
      <c r="AE886" s="283"/>
      <c r="AF886" s="283"/>
      <c r="AG886" s="283"/>
      <c r="AH886" s="285" t="s">
        <v>2477</v>
      </c>
      <c r="AI886" s="353" t="s">
        <v>2403</v>
      </c>
      <c r="AJ886" s="285" t="s">
        <v>2404</v>
      </c>
      <c r="AK886" s="225"/>
      <c r="AL886" s="225"/>
      <c r="AM886" s="24"/>
    </row>
    <row r="887" spans="1:39" ht="12.75" customHeight="1">
      <c r="A887" s="22">
        <v>885</v>
      </c>
      <c r="B887" s="24" t="s">
        <v>2405</v>
      </c>
      <c r="C887" s="24" t="s">
        <v>180</v>
      </c>
      <c r="D887" s="24" t="s">
        <v>2479</v>
      </c>
      <c r="E887" s="24" t="s">
        <v>2454</v>
      </c>
      <c r="F887" s="24">
        <v>1</v>
      </c>
      <c r="G887" s="24" t="s">
        <v>2372</v>
      </c>
      <c r="H887" s="24"/>
      <c r="I887" s="24"/>
      <c r="J887" s="283"/>
      <c r="K887" s="234"/>
      <c r="L887" s="234"/>
      <c r="M887" s="164"/>
      <c r="N887" s="234"/>
      <c r="O887" s="204" t="s">
        <v>2405</v>
      </c>
      <c r="P887" s="196"/>
      <c r="Q887" s="196"/>
      <c r="R887" s="164"/>
      <c r="S887" s="283"/>
      <c r="T887" s="204"/>
      <c r="U887" s="283"/>
      <c r="V887" s="283"/>
      <c r="W887" s="196"/>
      <c r="X887" s="225"/>
      <c r="Y887" s="283"/>
      <c r="Z887" s="283"/>
      <c r="AA887" s="283"/>
      <c r="AB887" s="283"/>
      <c r="AC887" s="283"/>
      <c r="AD887" s="283"/>
      <c r="AE887" s="283"/>
      <c r="AF887" s="283"/>
      <c r="AG887" s="283"/>
      <c r="AH887" s="205" t="s">
        <v>115</v>
      </c>
      <c r="AI887" s="223" t="s">
        <v>2406</v>
      </c>
      <c r="AJ887" s="205" t="s">
        <v>2407</v>
      </c>
      <c r="AK887" s="225"/>
      <c r="AL887" s="225"/>
      <c r="AM887" s="24"/>
    </row>
    <row r="888" spans="1:39" ht="12.75" customHeight="1">
      <c r="A888" s="22">
        <v>886</v>
      </c>
      <c r="B888" s="24" t="s">
        <v>405</v>
      </c>
      <c r="C888" s="24" t="s">
        <v>180</v>
      </c>
      <c r="D888" s="24" t="s">
        <v>2479</v>
      </c>
      <c r="E888" s="24" t="s">
        <v>2454</v>
      </c>
      <c r="F888" s="24">
        <v>1</v>
      </c>
      <c r="G888" s="24" t="s">
        <v>2372</v>
      </c>
      <c r="H888" s="24"/>
      <c r="I888" s="24"/>
      <c r="J888" s="283"/>
      <c r="K888" s="234"/>
      <c r="L888" s="234"/>
      <c r="M888" s="164"/>
      <c r="N888" s="234"/>
      <c r="O888" s="204" t="s">
        <v>405</v>
      </c>
      <c r="P888" s="196"/>
      <c r="Q888" s="196"/>
      <c r="R888" s="164"/>
      <c r="S888" s="283"/>
      <c r="T888" s="204"/>
      <c r="U888" s="283"/>
      <c r="V888" s="283"/>
      <c r="W888" s="196"/>
      <c r="X888" s="225"/>
      <c r="Y888" s="283"/>
      <c r="Z888" s="283"/>
      <c r="AA888" s="283"/>
      <c r="AB888" s="283"/>
      <c r="AC888" s="283"/>
      <c r="AD888" s="283"/>
      <c r="AE888" s="283"/>
      <c r="AF888" s="283"/>
      <c r="AG888" s="283"/>
      <c r="AH888" s="205" t="s">
        <v>115</v>
      </c>
      <c r="AI888" s="223" t="s">
        <v>406</v>
      </c>
      <c r="AJ888" s="205" t="s">
        <v>407</v>
      </c>
      <c r="AK888" s="225"/>
      <c r="AL888" s="225"/>
      <c r="AM888" s="24"/>
    </row>
    <row r="889" spans="1:39" ht="12.75" customHeight="1">
      <c r="A889" s="22">
        <v>887</v>
      </c>
      <c r="B889" s="24" t="s">
        <v>2483</v>
      </c>
      <c r="C889" s="24" t="s">
        <v>96</v>
      </c>
      <c r="D889" s="24" t="s">
        <v>1787</v>
      </c>
      <c r="E889" s="24" t="s">
        <v>2454</v>
      </c>
      <c r="F889" s="24">
        <v>1</v>
      </c>
      <c r="G889" s="24" t="s">
        <v>2372</v>
      </c>
      <c r="H889" s="24"/>
      <c r="I889" s="24"/>
      <c r="J889" s="283"/>
      <c r="K889" s="234" t="s">
        <v>409</v>
      </c>
      <c r="L889" s="234" t="s">
        <v>2484</v>
      </c>
      <c r="M889" s="164" t="s">
        <v>2410</v>
      </c>
      <c r="N889" s="234" t="s">
        <v>111</v>
      </c>
      <c r="O889" s="196"/>
      <c r="P889" s="196"/>
      <c r="Q889" s="196"/>
      <c r="R889" s="164"/>
      <c r="S889" s="283"/>
      <c r="T889" s="204" t="s">
        <v>208</v>
      </c>
      <c r="U889" s="283"/>
      <c r="V889" s="283"/>
      <c r="W889" s="196" t="s">
        <v>115</v>
      </c>
      <c r="X889" s="225"/>
      <c r="Y889" s="283"/>
      <c r="Z889" s="283"/>
      <c r="AA889" s="283"/>
      <c r="AB889" s="283"/>
      <c r="AC889" s="283"/>
      <c r="AD889" s="283"/>
      <c r="AE889" s="283"/>
      <c r="AF889" s="283"/>
      <c r="AG889" s="283"/>
      <c r="AH889" s="205" t="s">
        <v>2477</v>
      </c>
      <c r="AI889" s="223" t="s">
        <v>2411</v>
      </c>
      <c r="AJ889" s="205" t="s">
        <v>2412</v>
      </c>
      <c r="AK889" s="225"/>
      <c r="AL889" s="225"/>
      <c r="AM889" s="24"/>
    </row>
    <row r="890" spans="1:39" ht="12.75" customHeight="1">
      <c r="A890" s="22">
        <v>888</v>
      </c>
      <c r="B890" s="24" t="s">
        <v>2485</v>
      </c>
      <c r="C890" s="24" t="s">
        <v>96</v>
      </c>
      <c r="D890" s="24" t="s">
        <v>1787</v>
      </c>
      <c r="E890" s="24" t="s">
        <v>2454</v>
      </c>
      <c r="F890" s="24">
        <v>1</v>
      </c>
      <c r="G890" s="24" t="s">
        <v>2372</v>
      </c>
      <c r="H890" s="24"/>
      <c r="I890" s="24"/>
      <c r="J890" s="283"/>
      <c r="K890" s="234" t="s">
        <v>2485</v>
      </c>
      <c r="L890" s="234" t="s">
        <v>2486</v>
      </c>
      <c r="M890" s="204" t="s">
        <v>2487</v>
      </c>
      <c r="N890" s="234" t="s">
        <v>202</v>
      </c>
      <c r="O890" s="196"/>
      <c r="P890" s="196"/>
      <c r="Q890" s="196"/>
      <c r="R890" s="164"/>
      <c r="S890" s="283"/>
      <c r="T890" s="196" t="s">
        <v>208</v>
      </c>
      <c r="U890" s="283"/>
      <c r="V890" s="283"/>
      <c r="W890" s="204" t="s">
        <v>2375</v>
      </c>
      <c r="X890" s="225"/>
      <c r="Y890" s="283"/>
      <c r="Z890" s="283"/>
      <c r="AA890" s="283"/>
      <c r="AB890" s="283"/>
      <c r="AC890" s="283"/>
      <c r="AD890" s="283"/>
      <c r="AE890" s="283"/>
      <c r="AF890" s="283"/>
      <c r="AG890" s="283"/>
      <c r="AH890" s="285" t="s">
        <v>2488</v>
      </c>
      <c r="AI890" s="353" t="s">
        <v>2398</v>
      </c>
      <c r="AJ890" s="285" t="s">
        <v>2399</v>
      </c>
      <c r="AK890" s="225"/>
      <c r="AL890" s="225"/>
      <c r="AM890" s="24"/>
    </row>
    <row r="891" spans="1:39" ht="12.75" customHeight="1">
      <c r="A891" s="22">
        <v>889</v>
      </c>
      <c r="B891" s="24" t="s">
        <v>1673</v>
      </c>
      <c r="C891" s="24" t="s">
        <v>180</v>
      </c>
      <c r="D891" s="24" t="s">
        <v>2485</v>
      </c>
      <c r="E891" s="24" t="s">
        <v>2454</v>
      </c>
      <c r="F891" s="24">
        <v>1</v>
      </c>
      <c r="G891" s="24" t="s">
        <v>2372</v>
      </c>
      <c r="H891" s="24"/>
      <c r="I891" s="24"/>
      <c r="J891" s="283"/>
      <c r="K891" s="234"/>
      <c r="L891" s="234"/>
      <c r="M891" s="164"/>
      <c r="N891" s="234"/>
      <c r="O891" s="196" t="s">
        <v>1673</v>
      </c>
      <c r="P891" s="196"/>
      <c r="Q891" s="196"/>
      <c r="R891" s="164"/>
      <c r="S891" s="283"/>
      <c r="T891" s="204"/>
      <c r="U891" s="283"/>
      <c r="V891" s="283"/>
      <c r="W891" s="196"/>
      <c r="X891" s="225"/>
      <c r="Y891" s="283"/>
      <c r="Z891" s="283"/>
      <c r="AA891" s="283"/>
      <c r="AB891" s="283"/>
      <c r="AC891" s="283"/>
      <c r="AD891" s="283"/>
      <c r="AE891" s="283"/>
      <c r="AF891" s="283"/>
      <c r="AG891" s="283"/>
      <c r="AH891" s="285" t="s">
        <v>115</v>
      </c>
      <c r="AI891" s="353" t="s">
        <v>942</v>
      </c>
      <c r="AJ891" s="205" t="s">
        <v>943</v>
      </c>
      <c r="AK891" s="225"/>
      <c r="AL891" s="225"/>
      <c r="AM891" s="24"/>
    </row>
    <row r="892" spans="1:39" ht="12.75" customHeight="1">
      <c r="A892" s="22">
        <v>890</v>
      </c>
      <c r="B892" s="24" t="s">
        <v>1468</v>
      </c>
      <c r="C892" s="24" t="s">
        <v>180</v>
      </c>
      <c r="D892" s="24" t="s">
        <v>2485</v>
      </c>
      <c r="E892" s="24" t="s">
        <v>2454</v>
      </c>
      <c r="F892" s="24">
        <v>1</v>
      </c>
      <c r="G892" s="24" t="s">
        <v>2372</v>
      </c>
      <c r="H892" s="24"/>
      <c r="I892" s="24"/>
      <c r="J892" s="283"/>
      <c r="K892" s="234"/>
      <c r="L892" s="234"/>
      <c r="M892" s="164"/>
      <c r="N892" s="234"/>
      <c r="O892" s="224" t="s">
        <v>1468</v>
      </c>
      <c r="P892" s="196"/>
      <c r="Q892" s="196"/>
      <c r="R892" s="164"/>
      <c r="S892" s="283"/>
      <c r="T892" s="204"/>
      <c r="U892" s="283"/>
      <c r="V892" s="283"/>
      <c r="W892" s="196"/>
      <c r="X892" s="225"/>
      <c r="Y892" s="283"/>
      <c r="Z892" s="283"/>
      <c r="AA892" s="283"/>
      <c r="AB892" s="283"/>
      <c r="AC892" s="283"/>
      <c r="AD892" s="283"/>
      <c r="AE892" s="283"/>
      <c r="AF892" s="283"/>
      <c r="AG892" s="283"/>
      <c r="AH892" s="285" t="s">
        <v>115</v>
      </c>
      <c r="AI892" s="353" t="s">
        <v>1469</v>
      </c>
      <c r="AJ892" s="205" t="s">
        <v>1470</v>
      </c>
      <c r="AK892" s="225"/>
      <c r="AL892" s="225"/>
      <c r="AM892" s="24"/>
    </row>
    <row r="893" spans="1:39" ht="12.75" customHeight="1">
      <c r="A893" s="22">
        <v>891</v>
      </c>
      <c r="B893" s="24" t="s">
        <v>2491</v>
      </c>
      <c r="C893" s="24" t="s">
        <v>96</v>
      </c>
      <c r="D893" s="24" t="s">
        <v>1787</v>
      </c>
      <c r="E893" s="24" t="s">
        <v>2454</v>
      </c>
      <c r="F893" s="24">
        <v>1</v>
      </c>
      <c r="G893" s="24" t="s">
        <v>2372</v>
      </c>
      <c r="H893" s="24"/>
      <c r="I893" s="24"/>
      <c r="J893" s="283"/>
      <c r="K893" s="234" t="s">
        <v>1376</v>
      </c>
      <c r="L893" s="234" t="s">
        <v>2492</v>
      </c>
      <c r="M893" s="164" t="s">
        <v>2493</v>
      </c>
      <c r="N893" s="234" t="s">
        <v>202</v>
      </c>
      <c r="O893" s="224"/>
      <c r="P893" s="196"/>
      <c r="Q893" s="196"/>
      <c r="R893" s="164"/>
      <c r="S893" s="283"/>
      <c r="T893" s="204" t="s">
        <v>208</v>
      </c>
      <c r="U893" s="283"/>
      <c r="V893" s="283"/>
      <c r="W893" s="196" t="s">
        <v>115</v>
      </c>
      <c r="X893" s="225"/>
      <c r="Y893" s="283"/>
      <c r="Z893" s="283"/>
      <c r="AA893" s="283"/>
      <c r="AB893" s="283"/>
      <c r="AC893" s="283"/>
      <c r="AD893" s="283"/>
      <c r="AE893" s="283"/>
      <c r="AF893" s="283"/>
      <c r="AG893" s="283"/>
      <c r="AH893" s="285" t="s">
        <v>2488</v>
      </c>
      <c r="AI893" s="353" t="s">
        <v>2403</v>
      </c>
      <c r="AJ893" s="285" t="s">
        <v>2404</v>
      </c>
      <c r="AK893" s="225"/>
      <c r="AL893" s="225"/>
      <c r="AM893" s="24"/>
    </row>
    <row r="894" spans="1:39" ht="12.75" customHeight="1">
      <c r="A894" s="22">
        <v>892</v>
      </c>
      <c r="B894" s="24" t="s">
        <v>2405</v>
      </c>
      <c r="C894" s="24" t="s">
        <v>180</v>
      </c>
      <c r="D894" s="24" t="s">
        <v>2491</v>
      </c>
      <c r="E894" s="24" t="s">
        <v>2454</v>
      </c>
      <c r="F894" s="24">
        <v>1</v>
      </c>
      <c r="G894" s="24" t="s">
        <v>2372</v>
      </c>
      <c r="H894" s="24"/>
      <c r="I894" s="24"/>
      <c r="J894" s="283"/>
      <c r="K894" s="234"/>
      <c r="L894" s="234"/>
      <c r="M894" s="164"/>
      <c r="N894" s="234"/>
      <c r="O894" s="204" t="s">
        <v>2405</v>
      </c>
      <c r="P894" s="196"/>
      <c r="Q894" s="196"/>
      <c r="R894" s="164"/>
      <c r="S894" s="283"/>
      <c r="T894" s="204"/>
      <c r="U894" s="283"/>
      <c r="V894" s="283"/>
      <c r="W894" s="196"/>
      <c r="X894" s="225"/>
      <c r="Y894" s="283"/>
      <c r="Z894" s="283"/>
      <c r="AA894" s="283"/>
      <c r="AB894" s="283"/>
      <c r="AC894" s="283"/>
      <c r="AD894" s="283"/>
      <c r="AE894" s="283"/>
      <c r="AF894" s="283"/>
      <c r="AG894" s="283"/>
      <c r="AH894" s="205" t="s">
        <v>115</v>
      </c>
      <c r="AI894" s="223" t="s">
        <v>2406</v>
      </c>
      <c r="AJ894" s="205" t="s">
        <v>2407</v>
      </c>
      <c r="AK894" s="225"/>
      <c r="AL894" s="225"/>
      <c r="AM894" s="24"/>
    </row>
    <row r="895" spans="1:39" ht="12.75" customHeight="1">
      <c r="A895" s="22">
        <v>893</v>
      </c>
      <c r="B895" s="24" t="s">
        <v>405</v>
      </c>
      <c r="C895" s="24" t="s">
        <v>180</v>
      </c>
      <c r="D895" s="24" t="s">
        <v>2491</v>
      </c>
      <c r="E895" s="24" t="s">
        <v>2454</v>
      </c>
      <c r="F895" s="24">
        <v>1</v>
      </c>
      <c r="G895" s="24" t="s">
        <v>2372</v>
      </c>
      <c r="H895" s="24"/>
      <c r="I895" s="24"/>
      <c r="J895" s="283"/>
      <c r="K895" s="234"/>
      <c r="L895" s="234"/>
      <c r="M895" s="164"/>
      <c r="N895" s="234"/>
      <c r="O895" s="204" t="s">
        <v>405</v>
      </c>
      <c r="P895" s="196"/>
      <c r="Q895" s="196"/>
      <c r="R895" s="164"/>
      <c r="S895" s="283"/>
      <c r="T895" s="204"/>
      <c r="U895" s="283"/>
      <c r="V895" s="283"/>
      <c r="W895" s="196"/>
      <c r="X895" s="225"/>
      <c r="Y895" s="283"/>
      <c r="Z895" s="283"/>
      <c r="AA895" s="283"/>
      <c r="AB895" s="283"/>
      <c r="AC895" s="283"/>
      <c r="AD895" s="283"/>
      <c r="AE895" s="283"/>
      <c r="AF895" s="283"/>
      <c r="AG895" s="283"/>
      <c r="AH895" s="205" t="s">
        <v>115</v>
      </c>
      <c r="AI895" s="223" t="s">
        <v>406</v>
      </c>
      <c r="AJ895" s="205" t="s">
        <v>407</v>
      </c>
      <c r="AK895" s="225"/>
      <c r="AL895" s="225"/>
      <c r="AM895" s="24"/>
    </row>
    <row r="896" spans="1:39" ht="12.75" customHeight="1">
      <c r="A896" s="22">
        <v>894</v>
      </c>
      <c r="B896" s="24" t="s">
        <v>2495</v>
      </c>
      <c r="C896" s="24" t="s">
        <v>96</v>
      </c>
      <c r="D896" s="24" t="s">
        <v>1787</v>
      </c>
      <c r="E896" s="24" t="s">
        <v>2454</v>
      </c>
      <c r="F896" s="24">
        <v>1</v>
      </c>
      <c r="G896" s="24" t="s">
        <v>2372</v>
      </c>
      <c r="H896" s="24"/>
      <c r="I896" s="24"/>
      <c r="J896" s="283"/>
      <c r="K896" s="234" t="s">
        <v>409</v>
      </c>
      <c r="L896" s="234" t="s">
        <v>2496</v>
      </c>
      <c r="M896" s="164" t="s">
        <v>2410</v>
      </c>
      <c r="N896" s="234" t="s">
        <v>111</v>
      </c>
      <c r="O896" s="196"/>
      <c r="P896" s="196"/>
      <c r="Q896" s="196"/>
      <c r="R896" s="164"/>
      <c r="S896" s="283"/>
      <c r="T896" s="204" t="s">
        <v>208</v>
      </c>
      <c r="U896" s="283"/>
      <c r="V896" s="283"/>
      <c r="W896" s="196" t="s">
        <v>115</v>
      </c>
      <c r="X896" s="225"/>
      <c r="Y896" s="283"/>
      <c r="Z896" s="283"/>
      <c r="AA896" s="283"/>
      <c r="AB896" s="283"/>
      <c r="AC896" s="283"/>
      <c r="AD896" s="283"/>
      <c r="AE896" s="283"/>
      <c r="AF896" s="283"/>
      <c r="AG896" s="283"/>
      <c r="AH896" s="205" t="s">
        <v>2488</v>
      </c>
      <c r="AI896" s="223" t="s">
        <v>2411</v>
      </c>
      <c r="AJ896" s="205" t="s">
        <v>2412</v>
      </c>
      <c r="AK896" s="225"/>
      <c r="AL896" s="225"/>
      <c r="AM896" s="24"/>
    </row>
    <row r="897" spans="1:39" ht="12.75" customHeight="1">
      <c r="A897" s="22">
        <v>895</v>
      </c>
      <c r="B897" s="24" t="s">
        <v>2498</v>
      </c>
      <c r="C897" s="24" t="s">
        <v>96</v>
      </c>
      <c r="D897" s="24" t="s">
        <v>1787</v>
      </c>
      <c r="E897" s="24" t="s">
        <v>2454</v>
      </c>
      <c r="F897" s="24">
        <v>1</v>
      </c>
      <c r="G897" s="24" t="s">
        <v>2372</v>
      </c>
      <c r="H897" s="24"/>
      <c r="I897" s="24"/>
      <c r="J897" s="283"/>
      <c r="K897" s="234" t="s">
        <v>2498</v>
      </c>
      <c r="L897" s="234" t="s">
        <v>2499</v>
      </c>
      <c r="M897" s="204" t="s">
        <v>2500</v>
      </c>
      <c r="N897" s="234" t="s">
        <v>202</v>
      </c>
      <c r="O897" s="196"/>
      <c r="P897" s="196"/>
      <c r="Q897" s="196"/>
      <c r="R897" s="164"/>
      <c r="S897" s="283"/>
      <c r="T897" s="196" t="s">
        <v>113</v>
      </c>
      <c r="U897" s="283"/>
      <c r="V897" s="283"/>
      <c r="W897" s="204" t="s">
        <v>2375</v>
      </c>
      <c r="X897" s="225"/>
      <c r="Y897" s="283"/>
      <c r="Z897" s="283"/>
      <c r="AA897" s="283"/>
      <c r="AB897" s="283"/>
      <c r="AC897" s="283"/>
      <c r="AD897" s="283"/>
      <c r="AE897" s="283"/>
      <c r="AF897" s="283"/>
      <c r="AG897" s="283"/>
      <c r="AH897" s="285" t="s">
        <v>2501</v>
      </c>
      <c r="AI897" s="353" t="s">
        <v>2398</v>
      </c>
      <c r="AJ897" s="285" t="s">
        <v>2399</v>
      </c>
      <c r="AK897" s="225"/>
      <c r="AL897" s="225"/>
      <c r="AM897" s="24"/>
    </row>
    <row r="898" spans="1:39" ht="12.75" customHeight="1">
      <c r="A898" s="22">
        <v>896</v>
      </c>
      <c r="B898" s="24" t="s">
        <v>1673</v>
      </c>
      <c r="C898" s="24" t="s">
        <v>180</v>
      </c>
      <c r="D898" s="24" t="s">
        <v>2498</v>
      </c>
      <c r="E898" s="24" t="s">
        <v>2454</v>
      </c>
      <c r="F898" s="24">
        <v>1</v>
      </c>
      <c r="G898" s="24" t="s">
        <v>2372</v>
      </c>
      <c r="H898" s="24"/>
      <c r="I898" s="24"/>
      <c r="J898" s="283"/>
      <c r="K898" s="234"/>
      <c r="L898" s="234"/>
      <c r="M898" s="164"/>
      <c r="N898" s="234"/>
      <c r="O898" s="196" t="s">
        <v>1673</v>
      </c>
      <c r="P898" s="196"/>
      <c r="Q898" s="196"/>
      <c r="R898" s="164"/>
      <c r="S898" s="283"/>
      <c r="T898" s="204"/>
      <c r="U898" s="283"/>
      <c r="V898" s="283"/>
      <c r="W898" s="196"/>
      <c r="X898" s="225"/>
      <c r="Y898" s="283"/>
      <c r="Z898" s="283"/>
      <c r="AA898" s="283"/>
      <c r="AB898" s="283"/>
      <c r="AC898" s="283"/>
      <c r="AD898" s="283"/>
      <c r="AE898" s="283"/>
      <c r="AF898" s="283"/>
      <c r="AG898" s="283"/>
      <c r="AH898" s="285" t="s">
        <v>115</v>
      </c>
      <c r="AI898" s="353" t="s">
        <v>942</v>
      </c>
      <c r="AJ898" s="205" t="s">
        <v>943</v>
      </c>
      <c r="AK898" s="225"/>
      <c r="AL898" s="225"/>
      <c r="AM898" s="24"/>
    </row>
    <row r="899" spans="1:39" ht="12.75" customHeight="1">
      <c r="A899" s="22">
        <v>897</v>
      </c>
      <c r="B899" s="24" t="s">
        <v>1468</v>
      </c>
      <c r="C899" s="24" t="s">
        <v>180</v>
      </c>
      <c r="D899" s="24" t="s">
        <v>2498</v>
      </c>
      <c r="E899" s="24" t="s">
        <v>2454</v>
      </c>
      <c r="F899" s="24">
        <v>1</v>
      </c>
      <c r="G899" s="24" t="s">
        <v>2372</v>
      </c>
      <c r="H899" s="24"/>
      <c r="I899" s="24"/>
      <c r="J899" s="283"/>
      <c r="K899" s="234"/>
      <c r="L899" s="234"/>
      <c r="M899" s="164"/>
      <c r="N899" s="234"/>
      <c r="O899" s="224" t="s">
        <v>1468</v>
      </c>
      <c r="P899" s="196"/>
      <c r="Q899" s="196"/>
      <c r="R899" s="164"/>
      <c r="S899" s="283"/>
      <c r="T899" s="204"/>
      <c r="U899" s="283"/>
      <c r="V899" s="283"/>
      <c r="W899" s="196"/>
      <c r="X899" s="225"/>
      <c r="Y899" s="283"/>
      <c r="Z899" s="283"/>
      <c r="AA899" s="283"/>
      <c r="AB899" s="283"/>
      <c r="AC899" s="283"/>
      <c r="AD899" s="283"/>
      <c r="AE899" s="283"/>
      <c r="AF899" s="283"/>
      <c r="AG899" s="283"/>
      <c r="AH899" s="285" t="s">
        <v>115</v>
      </c>
      <c r="AI899" s="353" t="s">
        <v>1469</v>
      </c>
      <c r="AJ899" s="205" t="s">
        <v>1470</v>
      </c>
      <c r="AK899" s="225"/>
      <c r="AL899" s="225"/>
      <c r="AM899" s="24"/>
    </row>
    <row r="900" spans="1:39" ht="12.75" customHeight="1">
      <c r="A900" s="22">
        <v>898</v>
      </c>
      <c r="B900" s="24" t="s">
        <v>2503</v>
      </c>
      <c r="C900" s="24" t="s">
        <v>96</v>
      </c>
      <c r="D900" s="24" t="s">
        <v>1787</v>
      </c>
      <c r="E900" s="24" t="s">
        <v>2454</v>
      </c>
      <c r="F900" s="24">
        <v>1</v>
      </c>
      <c r="G900" s="24" t="s">
        <v>2372</v>
      </c>
      <c r="H900" s="24"/>
      <c r="I900" s="24"/>
      <c r="J900" s="283"/>
      <c r="K900" s="234" t="s">
        <v>1376</v>
      </c>
      <c r="L900" s="234" t="s">
        <v>2504</v>
      </c>
      <c r="M900" s="164" t="s">
        <v>2505</v>
      </c>
      <c r="N900" s="234" t="s">
        <v>202</v>
      </c>
      <c r="O900" s="224"/>
      <c r="P900" s="196"/>
      <c r="Q900" s="196"/>
      <c r="R900" s="164"/>
      <c r="S900" s="283"/>
      <c r="T900" s="204" t="s">
        <v>208</v>
      </c>
      <c r="U900" s="283"/>
      <c r="V900" s="283"/>
      <c r="W900" s="196" t="s">
        <v>115</v>
      </c>
      <c r="X900" s="225"/>
      <c r="Y900" s="283"/>
      <c r="Z900" s="283"/>
      <c r="AA900" s="283"/>
      <c r="AB900" s="283"/>
      <c r="AC900" s="283"/>
      <c r="AD900" s="283"/>
      <c r="AE900" s="283"/>
      <c r="AF900" s="283"/>
      <c r="AG900" s="283"/>
      <c r="AH900" s="285" t="s">
        <v>2501</v>
      </c>
      <c r="AI900" s="353" t="s">
        <v>2403</v>
      </c>
      <c r="AJ900" s="285" t="s">
        <v>2404</v>
      </c>
      <c r="AK900" s="225"/>
      <c r="AL900" s="225"/>
      <c r="AM900" s="24"/>
    </row>
    <row r="901" spans="1:39" ht="12.75" customHeight="1">
      <c r="A901" s="22">
        <v>899</v>
      </c>
      <c r="B901" s="24" t="s">
        <v>2405</v>
      </c>
      <c r="C901" s="24" t="s">
        <v>180</v>
      </c>
      <c r="D901" s="24" t="s">
        <v>2503</v>
      </c>
      <c r="E901" s="24" t="s">
        <v>2454</v>
      </c>
      <c r="F901" s="24">
        <v>1</v>
      </c>
      <c r="G901" s="24" t="s">
        <v>2372</v>
      </c>
      <c r="H901" s="24"/>
      <c r="I901" s="24"/>
      <c r="J901" s="283"/>
      <c r="K901" s="234"/>
      <c r="L901" s="234"/>
      <c r="M901" s="164"/>
      <c r="N901" s="234"/>
      <c r="O901" s="204" t="s">
        <v>2405</v>
      </c>
      <c r="P901" s="196"/>
      <c r="Q901" s="196"/>
      <c r="R901" s="164"/>
      <c r="S901" s="283"/>
      <c r="T901" s="204"/>
      <c r="U901" s="283"/>
      <c r="V901" s="283"/>
      <c r="W901" s="196"/>
      <c r="X901" s="225"/>
      <c r="Y901" s="283"/>
      <c r="Z901" s="283"/>
      <c r="AA901" s="283"/>
      <c r="AB901" s="283"/>
      <c r="AC901" s="283"/>
      <c r="AD901" s="283"/>
      <c r="AE901" s="283"/>
      <c r="AF901" s="283"/>
      <c r="AG901" s="283"/>
      <c r="AH901" s="205" t="s">
        <v>115</v>
      </c>
      <c r="AI901" s="223" t="s">
        <v>2406</v>
      </c>
      <c r="AJ901" s="205" t="s">
        <v>2407</v>
      </c>
      <c r="AK901" s="225"/>
      <c r="AL901" s="225"/>
      <c r="AM901" s="24"/>
    </row>
    <row r="902" spans="1:39" ht="12.75" customHeight="1">
      <c r="A902" s="22">
        <v>900</v>
      </c>
      <c r="B902" s="24" t="s">
        <v>405</v>
      </c>
      <c r="C902" s="24" t="s">
        <v>180</v>
      </c>
      <c r="D902" s="24" t="s">
        <v>2503</v>
      </c>
      <c r="E902" s="24" t="s">
        <v>2454</v>
      </c>
      <c r="F902" s="24">
        <v>1</v>
      </c>
      <c r="G902" s="24" t="s">
        <v>2372</v>
      </c>
      <c r="H902" s="24"/>
      <c r="I902" s="24"/>
      <c r="J902" s="283"/>
      <c r="K902" s="234"/>
      <c r="L902" s="234"/>
      <c r="M902" s="164"/>
      <c r="N902" s="234"/>
      <c r="O902" s="204" t="s">
        <v>405</v>
      </c>
      <c r="P902" s="196"/>
      <c r="Q902" s="196"/>
      <c r="R902" s="164"/>
      <c r="S902" s="283"/>
      <c r="T902" s="204"/>
      <c r="U902" s="283"/>
      <c r="V902" s="283"/>
      <c r="W902" s="196"/>
      <c r="X902" s="225"/>
      <c r="Y902" s="283"/>
      <c r="Z902" s="283"/>
      <c r="AA902" s="283"/>
      <c r="AB902" s="283"/>
      <c r="AC902" s="283"/>
      <c r="AD902" s="283"/>
      <c r="AE902" s="283"/>
      <c r="AF902" s="283"/>
      <c r="AG902" s="283"/>
      <c r="AH902" s="205" t="s">
        <v>115</v>
      </c>
      <c r="AI902" s="223" t="s">
        <v>406</v>
      </c>
      <c r="AJ902" s="205" t="s">
        <v>407</v>
      </c>
      <c r="AK902" s="225"/>
      <c r="AL902" s="225"/>
      <c r="AM902" s="24"/>
    </row>
    <row r="903" spans="1:39" ht="12.75" customHeight="1">
      <c r="A903" s="22">
        <v>901</v>
      </c>
      <c r="B903" s="24" t="s">
        <v>2508</v>
      </c>
      <c r="C903" s="24" t="s">
        <v>96</v>
      </c>
      <c r="D903" s="24" t="s">
        <v>1787</v>
      </c>
      <c r="E903" s="24" t="s">
        <v>2454</v>
      </c>
      <c r="F903" s="24">
        <v>1</v>
      </c>
      <c r="G903" s="24" t="s">
        <v>2372</v>
      </c>
      <c r="H903" s="24"/>
      <c r="I903" s="24"/>
      <c r="J903" s="283"/>
      <c r="K903" s="234" t="s">
        <v>409</v>
      </c>
      <c r="L903" s="234" t="s">
        <v>2509</v>
      </c>
      <c r="M903" s="164" t="s">
        <v>2410</v>
      </c>
      <c r="N903" s="234" t="s">
        <v>111</v>
      </c>
      <c r="O903" s="196"/>
      <c r="P903" s="196"/>
      <c r="Q903" s="196"/>
      <c r="R903" s="164"/>
      <c r="S903" s="283"/>
      <c r="T903" s="204" t="s">
        <v>208</v>
      </c>
      <c r="U903" s="283"/>
      <c r="V903" s="283"/>
      <c r="W903" s="196" t="s">
        <v>115</v>
      </c>
      <c r="X903" s="225"/>
      <c r="Y903" s="283"/>
      <c r="Z903" s="283"/>
      <c r="AA903" s="283"/>
      <c r="AB903" s="283"/>
      <c r="AC903" s="283"/>
      <c r="AD903" s="283"/>
      <c r="AE903" s="283"/>
      <c r="AF903" s="283"/>
      <c r="AG903" s="283"/>
      <c r="AH903" s="205" t="s">
        <v>2501</v>
      </c>
      <c r="AI903" s="223" t="s">
        <v>2411</v>
      </c>
      <c r="AJ903" s="205" t="s">
        <v>2412</v>
      </c>
      <c r="AK903" s="225"/>
      <c r="AL903" s="225"/>
      <c r="AM903" s="24"/>
    </row>
    <row r="904" spans="1:39" ht="12.75" customHeight="1">
      <c r="A904" s="22">
        <v>902</v>
      </c>
      <c r="B904" s="24" t="s">
        <v>2510</v>
      </c>
      <c r="C904" s="24" t="s">
        <v>96</v>
      </c>
      <c r="D904" s="24" t="s">
        <v>1787</v>
      </c>
      <c r="E904" s="24" t="s">
        <v>2454</v>
      </c>
      <c r="F904" s="24">
        <v>1</v>
      </c>
      <c r="G904" s="24" t="s">
        <v>2372</v>
      </c>
      <c r="H904" s="24"/>
      <c r="I904" s="24"/>
      <c r="J904" s="283"/>
      <c r="K904" s="234" t="s">
        <v>2510</v>
      </c>
      <c r="L904" s="234" t="s">
        <v>2511</v>
      </c>
      <c r="M904" s="204" t="s">
        <v>2512</v>
      </c>
      <c r="N904" s="234" t="s">
        <v>202</v>
      </c>
      <c r="O904" s="196"/>
      <c r="P904" s="196"/>
      <c r="Q904" s="196"/>
      <c r="R904" s="164"/>
      <c r="S904" s="283"/>
      <c r="T904" s="196" t="s">
        <v>208</v>
      </c>
      <c r="U904" s="283"/>
      <c r="V904" s="283"/>
      <c r="W904" s="204" t="s">
        <v>2375</v>
      </c>
      <c r="X904" s="225"/>
      <c r="Y904" s="283"/>
      <c r="Z904" s="283"/>
      <c r="AA904" s="283"/>
      <c r="AB904" s="283"/>
      <c r="AC904" s="283"/>
      <c r="AD904" s="283"/>
      <c r="AE904" s="283"/>
      <c r="AF904" s="283"/>
      <c r="AG904" s="283"/>
      <c r="AH904" s="285" t="s">
        <v>2514</v>
      </c>
      <c r="AI904" s="353" t="s">
        <v>2398</v>
      </c>
      <c r="AJ904" s="285" t="s">
        <v>2399</v>
      </c>
      <c r="AK904" s="225"/>
      <c r="AL904" s="225"/>
      <c r="AM904" s="24"/>
    </row>
    <row r="905" spans="1:39" ht="12.75" customHeight="1">
      <c r="A905" s="22">
        <v>903</v>
      </c>
      <c r="B905" s="24" t="s">
        <v>1673</v>
      </c>
      <c r="C905" s="24" t="s">
        <v>180</v>
      </c>
      <c r="D905" s="24" t="s">
        <v>2510</v>
      </c>
      <c r="E905" s="24" t="s">
        <v>2454</v>
      </c>
      <c r="F905" s="24">
        <v>1</v>
      </c>
      <c r="G905" s="24" t="s">
        <v>2372</v>
      </c>
      <c r="H905" s="24"/>
      <c r="I905" s="24"/>
      <c r="J905" s="283"/>
      <c r="K905" s="234"/>
      <c r="L905" s="234"/>
      <c r="M905" s="164"/>
      <c r="N905" s="234"/>
      <c r="O905" s="196" t="s">
        <v>1673</v>
      </c>
      <c r="P905" s="196"/>
      <c r="Q905" s="196"/>
      <c r="R905" s="164"/>
      <c r="S905" s="283"/>
      <c r="T905" s="204"/>
      <c r="U905" s="283"/>
      <c r="V905" s="283"/>
      <c r="W905" s="204"/>
      <c r="X905" s="225"/>
      <c r="Y905" s="283"/>
      <c r="Z905" s="283"/>
      <c r="AA905" s="283"/>
      <c r="AB905" s="283"/>
      <c r="AC905" s="283"/>
      <c r="AD905" s="283"/>
      <c r="AE905" s="283"/>
      <c r="AF905" s="283"/>
      <c r="AG905" s="283"/>
      <c r="AH905" s="285" t="s">
        <v>115</v>
      </c>
      <c r="AI905" s="353" t="s">
        <v>942</v>
      </c>
      <c r="AJ905" s="205" t="s">
        <v>943</v>
      </c>
      <c r="AK905" s="225"/>
      <c r="AL905" s="225"/>
      <c r="AM905" s="24"/>
    </row>
    <row r="906" spans="1:39" ht="12.75" customHeight="1">
      <c r="A906" s="22">
        <v>904</v>
      </c>
      <c r="B906" s="24" t="s">
        <v>1468</v>
      </c>
      <c r="C906" s="24" t="s">
        <v>180</v>
      </c>
      <c r="D906" s="24" t="s">
        <v>2510</v>
      </c>
      <c r="E906" s="24" t="s">
        <v>2454</v>
      </c>
      <c r="F906" s="24">
        <v>1</v>
      </c>
      <c r="G906" s="24" t="s">
        <v>2372</v>
      </c>
      <c r="H906" s="24"/>
      <c r="I906" s="24"/>
      <c r="J906" s="283"/>
      <c r="K906" s="234"/>
      <c r="L906" s="234"/>
      <c r="M906" s="164"/>
      <c r="N906" s="234"/>
      <c r="O906" s="224" t="s">
        <v>1468</v>
      </c>
      <c r="P906" s="196"/>
      <c r="Q906" s="196"/>
      <c r="R906" s="164"/>
      <c r="S906" s="283"/>
      <c r="T906" s="204"/>
      <c r="U906" s="283"/>
      <c r="V906" s="283"/>
      <c r="W906" s="204"/>
      <c r="X906" s="225"/>
      <c r="Y906" s="283"/>
      <c r="Z906" s="283"/>
      <c r="AA906" s="283"/>
      <c r="AB906" s="283"/>
      <c r="AC906" s="283"/>
      <c r="AD906" s="283"/>
      <c r="AE906" s="283"/>
      <c r="AF906" s="283"/>
      <c r="AG906" s="283"/>
      <c r="AH906" s="285" t="s">
        <v>115</v>
      </c>
      <c r="AI906" s="353" t="s">
        <v>1469</v>
      </c>
      <c r="AJ906" s="205" t="s">
        <v>1470</v>
      </c>
      <c r="AK906" s="225"/>
      <c r="AL906" s="225"/>
      <c r="AM906" s="24"/>
    </row>
    <row r="907" spans="1:39" ht="12.75" customHeight="1">
      <c r="A907" s="22">
        <v>905</v>
      </c>
      <c r="B907" s="24" t="s">
        <v>2515</v>
      </c>
      <c r="C907" s="24" t="s">
        <v>96</v>
      </c>
      <c r="D907" s="24" t="s">
        <v>1787</v>
      </c>
      <c r="E907" s="24" t="s">
        <v>2454</v>
      </c>
      <c r="F907" s="24">
        <v>1</v>
      </c>
      <c r="G907" s="24" t="s">
        <v>2372</v>
      </c>
      <c r="H907" s="24"/>
      <c r="I907" s="24"/>
      <c r="J907" s="283"/>
      <c r="K907" s="234" t="s">
        <v>1376</v>
      </c>
      <c r="L907" s="234" t="s">
        <v>2516</v>
      </c>
      <c r="M907" s="164" t="s">
        <v>2517</v>
      </c>
      <c r="N907" s="234" t="s">
        <v>202</v>
      </c>
      <c r="O907" s="224"/>
      <c r="P907" s="196"/>
      <c r="Q907" s="196"/>
      <c r="R907" s="164"/>
      <c r="S907" s="283"/>
      <c r="T907" s="204" t="s">
        <v>208</v>
      </c>
      <c r="U907" s="283"/>
      <c r="V907" s="283"/>
      <c r="W907" s="204" t="s">
        <v>115</v>
      </c>
      <c r="X907" s="225"/>
      <c r="Y907" s="283"/>
      <c r="Z907" s="283"/>
      <c r="AA907" s="283"/>
      <c r="AB907" s="283"/>
      <c r="AC907" s="283"/>
      <c r="AD907" s="283"/>
      <c r="AE907" s="283"/>
      <c r="AF907" s="283"/>
      <c r="AG907" s="283"/>
      <c r="AH907" s="285" t="s">
        <v>2514</v>
      </c>
      <c r="AI907" s="353" t="s">
        <v>2403</v>
      </c>
      <c r="AJ907" s="285" t="s">
        <v>2404</v>
      </c>
      <c r="AK907" s="225"/>
      <c r="AL907" s="225"/>
      <c r="AM907" s="24"/>
    </row>
    <row r="908" spans="1:39" ht="12.75" customHeight="1">
      <c r="A908" s="22">
        <v>906</v>
      </c>
      <c r="B908" s="24" t="s">
        <v>2405</v>
      </c>
      <c r="C908" s="24" t="s">
        <v>180</v>
      </c>
      <c r="D908" s="24" t="s">
        <v>2515</v>
      </c>
      <c r="E908" s="24" t="s">
        <v>2454</v>
      </c>
      <c r="F908" s="24">
        <v>1</v>
      </c>
      <c r="G908" s="24" t="s">
        <v>2372</v>
      </c>
      <c r="H908" s="24"/>
      <c r="I908" s="24"/>
      <c r="J908" s="283"/>
      <c r="K908" s="234"/>
      <c r="L908" s="234"/>
      <c r="M908" s="164"/>
      <c r="N908" s="234"/>
      <c r="O908" s="204" t="s">
        <v>2405</v>
      </c>
      <c r="P908" s="196"/>
      <c r="Q908" s="196"/>
      <c r="R908" s="164"/>
      <c r="S908" s="283"/>
      <c r="T908" s="204"/>
      <c r="U908" s="283"/>
      <c r="V908" s="283"/>
      <c r="W908" s="204"/>
      <c r="X908" s="225"/>
      <c r="Y908" s="283"/>
      <c r="Z908" s="283"/>
      <c r="AA908" s="283"/>
      <c r="AB908" s="283"/>
      <c r="AC908" s="283"/>
      <c r="AD908" s="283"/>
      <c r="AE908" s="283"/>
      <c r="AF908" s="283"/>
      <c r="AG908" s="283"/>
      <c r="AH908" s="205" t="s">
        <v>115</v>
      </c>
      <c r="AI908" s="223" t="s">
        <v>2406</v>
      </c>
      <c r="AJ908" s="205" t="s">
        <v>2407</v>
      </c>
      <c r="AK908" s="225"/>
      <c r="AL908" s="225"/>
      <c r="AM908" s="24"/>
    </row>
    <row r="909" spans="1:39" ht="12.75" customHeight="1">
      <c r="A909" s="22">
        <v>907</v>
      </c>
      <c r="B909" s="24" t="s">
        <v>405</v>
      </c>
      <c r="C909" s="24" t="s">
        <v>180</v>
      </c>
      <c r="D909" s="24" t="s">
        <v>2515</v>
      </c>
      <c r="E909" s="24" t="s">
        <v>2454</v>
      </c>
      <c r="F909" s="24">
        <v>1</v>
      </c>
      <c r="G909" s="24" t="s">
        <v>2372</v>
      </c>
      <c r="H909" s="24"/>
      <c r="I909" s="24"/>
      <c r="J909" s="283"/>
      <c r="K909" s="234"/>
      <c r="L909" s="234"/>
      <c r="M909" s="164"/>
      <c r="N909" s="234"/>
      <c r="O909" s="204" t="s">
        <v>405</v>
      </c>
      <c r="P909" s="196"/>
      <c r="Q909" s="196"/>
      <c r="R909" s="164"/>
      <c r="S909" s="283"/>
      <c r="T909" s="204"/>
      <c r="U909" s="283"/>
      <c r="V909" s="283"/>
      <c r="W909" s="204"/>
      <c r="X909" s="225"/>
      <c r="Y909" s="283"/>
      <c r="Z909" s="283"/>
      <c r="AA909" s="283"/>
      <c r="AB909" s="283"/>
      <c r="AC909" s="283"/>
      <c r="AD909" s="283"/>
      <c r="AE909" s="283"/>
      <c r="AF909" s="283"/>
      <c r="AG909" s="283"/>
      <c r="AH909" s="205" t="s">
        <v>115</v>
      </c>
      <c r="AI909" s="223" t="s">
        <v>406</v>
      </c>
      <c r="AJ909" s="205" t="s">
        <v>407</v>
      </c>
      <c r="AK909" s="225"/>
      <c r="AL909" s="225"/>
      <c r="AM909" s="24"/>
    </row>
    <row r="910" spans="1:39" ht="12.75" customHeight="1">
      <c r="A910" s="22">
        <v>908</v>
      </c>
      <c r="B910" s="24" t="s">
        <v>2518</v>
      </c>
      <c r="C910" s="24" t="s">
        <v>96</v>
      </c>
      <c r="D910" s="24" t="s">
        <v>1787</v>
      </c>
      <c r="E910" s="24" t="s">
        <v>2454</v>
      </c>
      <c r="F910" s="24">
        <v>1</v>
      </c>
      <c r="G910" s="24" t="s">
        <v>2372</v>
      </c>
      <c r="H910" s="24"/>
      <c r="I910" s="24"/>
      <c r="J910" s="283"/>
      <c r="K910" s="234" t="s">
        <v>409</v>
      </c>
      <c r="L910" s="234" t="s">
        <v>2519</v>
      </c>
      <c r="M910" s="164" t="s">
        <v>2410</v>
      </c>
      <c r="N910" s="234" t="s">
        <v>111</v>
      </c>
      <c r="O910" s="196"/>
      <c r="P910" s="196"/>
      <c r="Q910" s="196"/>
      <c r="R910" s="164"/>
      <c r="S910" s="283"/>
      <c r="T910" s="204" t="s">
        <v>208</v>
      </c>
      <c r="U910" s="283"/>
      <c r="V910" s="283"/>
      <c r="W910" s="204" t="s">
        <v>115</v>
      </c>
      <c r="X910" s="225"/>
      <c r="Y910" s="283"/>
      <c r="Z910" s="283"/>
      <c r="AA910" s="283"/>
      <c r="AB910" s="283"/>
      <c r="AC910" s="283"/>
      <c r="AD910" s="283"/>
      <c r="AE910" s="283"/>
      <c r="AF910" s="283"/>
      <c r="AG910" s="283"/>
      <c r="AH910" s="205" t="s">
        <v>2514</v>
      </c>
      <c r="AI910" s="223" t="s">
        <v>2411</v>
      </c>
      <c r="AJ910" s="205" t="s">
        <v>2412</v>
      </c>
      <c r="AK910" s="225"/>
      <c r="AL910" s="225"/>
      <c r="AM910" s="24"/>
    </row>
    <row r="911" spans="1:39" ht="12.75" customHeight="1">
      <c r="A911" s="22">
        <v>909</v>
      </c>
      <c r="B911" s="24" t="s">
        <v>2520</v>
      </c>
      <c r="C911" s="24" t="s">
        <v>96</v>
      </c>
      <c r="D911" s="24" t="s">
        <v>1787</v>
      </c>
      <c r="E911" s="24" t="s">
        <v>2454</v>
      </c>
      <c r="F911" s="24">
        <v>1</v>
      </c>
      <c r="G911" s="24" t="s">
        <v>2372</v>
      </c>
      <c r="H911" s="24"/>
      <c r="I911" s="24"/>
      <c r="J911" s="283"/>
      <c r="K911" s="234" t="s">
        <v>2520</v>
      </c>
      <c r="L911" s="234" t="s">
        <v>2521</v>
      </c>
      <c r="M911" s="204" t="s">
        <v>2522</v>
      </c>
      <c r="N911" s="234" t="s">
        <v>202</v>
      </c>
      <c r="O911" s="196"/>
      <c r="P911" s="196"/>
      <c r="Q911" s="196"/>
      <c r="R911" s="164"/>
      <c r="S911" s="283"/>
      <c r="T911" s="196" t="s">
        <v>113</v>
      </c>
      <c r="U911" s="283"/>
      <c r="V911" s="283"/>
      <c r="W911" s="204" t="s">
        <v>2375</v>
      </c>
      <c r="X911" s="225"/>
      <c r="Y911" s="283"/>
      <c r="Z911" s="283"/>
      <c r="AA911" s="283"/>
      <c r="AB911" s="283"/>
      <c r="AC911" s="283"/>
      <c r="AD911" s="283"/>
      <c r="AE911" s="283"/>
      <c r="AF911" s="283"/>
      <c r="AG911" s="283"/>
      <c r="AH911" s="285" t="s">
        <v>2523</v>
      </c>
      <c r="AI911" s="353" t="s">
        <v>2398</v>
      </c>
      <c r="AJ911" s="285" t="s">
        <v>2399</v>
      </c>
      <c r="AK911" s="225"/>
      <c r="AL911" s="225"/>
      <c r="AM911" s="24"/>
    </row>
    <row r="912" spans="1:39" ht="12.75" customHeight="1">
      <c r="A912" s="22">
        <v>910</v>
      </c>
      <c r="B912" s="24" t="s">
        <v>1673</v>
      </c>
      <c r="C912" s="24" t="s">
        <v>180</v>
      </c>
      <c r="D912" s="24" t="s">
        <v>2520</v>
      </c>
      <c r="E912" s="24" t="s">
        <v>2454</v>
      </c>
      <c r="F912" s="24">
        <v>1</v>
      </c>
      <c r="G912" s="24" t="s">
        <v>2372</v>
      </c>
      <c r="H912" s="24"/>
      <c r="I912" s="24"/>
      <c r="J912" s="283"/>
      <c r="K912" s="234"/>
      <c r="L912" s="234"/>
      <c r="M912" s="164"/>
      <c r="N912" s="234"/>
      <c r="O912" s="196" t="s">
        <v>1673</v>
      </c>
      <c r="P912" s="196"/>
      <c r="Q912" s="196"/>
      <c r="R912" s="164"/>
      <c r="S912" s="283"/>
      <c r="T912" s="204"/>
      <c r="U912" s="283"/>
      <c r="V912" s="283"/>
      <c r="W912" s="204"/>
      <c r="X912" s="225"/>
      <c r="Y912" s="283"/>
      <c r="Z912" s="283"/>
      <c r="AA912" s="283"/>
      <c r="AB912" s="283"/>
      <c r="AC912" s="283"/>
      <c r="AD912" s="283"/>
      <c r="AE912" s="283"/>
      <c r="AF912" s="283"/>
      <c r="AG912" s="283"/>
      <c r="AH912" s="285" t="s">
        <v>115</v>
      </c>
      <c r="AI912" s="353" t="s">
        <v>942</v>
      </c>
      <c r="AJ912" s="205" t="s">
        <v>943</v>
      </c>
      <c r="AK912" s="225"/>
      <c r="AL912" s="225"/>
      <c r="AM912" s="24"/>
    </row>
    <row r="913" spans="1:39" ht="12.75" customHeight="1">
      <c r="A913" s="22">
        <v>911</v>
      </c>
      <c r="B913" s="24" t="s">
        <v>1468</v>
      </c>
      <c r="C913" s="24" t="s">
        <v>180</v>
      </c>
      <c r="D913" s="24" t="s">
        <v>2520</v>
      </c>
      <c r="E913" s="24" t="s">
        <v>2454</v>
      </c>
      <c r="F913" s="24">
        <v>1</v>
      </c>
      <c r="G913" s="24" t="s">
        <v>2372</v>
      </c>
      <c r="H913" s="24"/>
      <c r="I913" s="24"/>
      <c r="J913" s="283"/>
      <c r="K913" s="234"/>
      <c r="L913" s="234"/>
      <c r="M913" s="164"/>
      <c r="N913" s="234"/>
      <c r="O913" s="224" t="s">
        <v>1468</v>
      </c>
      <c r="P913" s="196"/>
      <c r="Q913" s="196"/>
      <c r="R913" s="164"/>
      <c r="S913" s="283"/>
      <c r="T913" s="204"/>
      <c r="U913" s="283"/>
      <c r="V913" s="283"/>
      <c r="W913" s="204"/>
      <c r="X913" s="225"/>
      <c r="Y913" s="283"/>
      <c r="Z913" s="283"/>
      <c r="AA913" s="283"/>
      <c r="AB913" s="283"/>
      <c r="AC913" s="283"/>
      <c r="AD913" s="283"/>
      <c r="AE913" s="283"/>
      <c r="AF913" s="283"/>
      <c r="AG913" s="283"/>
      <c r="AH913" s="285" t="s">
        <v>115</v>
      </c>
      <c r="AI913" s="353" t="s">
        <v>1469</v>
      </c>
      <c r="AJ913" s="205" t="s">
        <v>1470</v>
      </c>
      <c r="AK913" s="225"/>
      <c r="AL913" s="225"/>
      <c r="AM913" s="24"/>
    </row>
    <row r="914" spans="1:39" ht="12.75" customHeight="1">
      <c r="A914" s="22">
        <v>912</v>
      </c>
      <c r="B914" s="24" t="s">
        <v>2524</v>
      </c>
      <c r="C914" s="24" t="s">
        <v>96</v>
      </c>
      <c r="D914" s="24" t="s">
        <v>1787</v>
      </c>
      <c r="E914" s="24" t="s">
        <v>2454</v>
      </c>
      <c r="F914" s="24">
        <v>1</v>
      </c>
      <c r="G914" s="24" t="s">
        <v>2372</v>
      </c>
      <c r="H914" s="24"/>
      <c r="I914" s="24"/>
      <c r="J914" s="283"/>
      <c r="K914" s="234" t="s">
        <v>1376</v>
      </c>
      <c r="L914" s="234" t="s">
        <v>2525</v>
      </c>
      <c r="M914" s="164" t="s">
        <v>2526</v>
      </c>
      <c r="N914" s="234" t="s">
        <v>202</v>
      </c>
      <c r="O914" s="224"/>
      <c r="P914" s="196"/>
      <c r="Q914" s="196"/>
      <c r="R914" s="164"/>
      <c r="S914" s="283"/>
      <c r="T914" s="204" t="s">
        <v>208</v>
      </c>
      <c r="U914" s="283"/>
      <c r="V914" s="283"/>
      <c r="W914" s="204" t="s">
        <v>115</v>
      </c>
      <c r="X914" s="225"/>
      <c r="Y914" s="283"/>
      <c r="Z914" s="283"/>
      <c r="AA914" s="283"/>
      <c r="AB914" s="283"/>
      <c r="AC914" s="283"/>
      <c r="AD914" s="283"/>
      <c r="AE914" s="283"/>
      <c r="AF914" s="283"/>
      <c r="AG914" s="283"/>
      <c r="AH914" s="285" t="s">
        <v>2523</v>
      </c>
      <c r="AI914" s="353" t="s">
        <v>2403</v>
      </c>
      <c r="AJ914" s="285" t="s">
        <v>2404</v>
      </c>
      <c r="AK914" s="225"/>
      <c r="AL914" s="225"/>
      <c r="AM914" s="24"/>
    </row>
    <row r="915" spans="1:39" ht="12.75" customHeight="1">
      <c r="A915" s="22">
        <v>913</v>
      </c>
      <c r="B915" s="24" t="s">
        <v>2405</v>
      </c>
      <c r="C915" s="24" t="s">
        <v>180</v>
      </c>
      <c r="D915" s="24" t="s">
        <v>2524</v>
      </c>
      <c r="E915" s="24" t="s">
        <v>2454</v>
      </c>
      <c r="F915" s="24">
        <v>1</v>
      </c>
      <c r="G915" s="24" t="s">
        <v>2372</v>
      </c>
      <c r="H915" s="24"/>
      <c r="I915" s="24"/>
      <c r="J915" s="283"/>
      <c r="K915" s="234"/>
      <c r="L915" s="234"/>
      <c r="M915" s="164"/>
      <c r="N915" s="234"/>
      <c r="O915" s="204" t="s">
        <v>2405</v>
      </c>
      <c r="P915" s="196"/>
      <c r="Q915" s="196"/>
      <c r="R915" s="164"/>
      <c r="S915" s="283"/>
      <c r="T915" s="204"/>
      <c r="U915" s="283"/>
      <c r="V915" s="283"/>
      <c r="W915" s="204"/>
      <c r="X915" s="225"/>
      <c r="Y915" s="283"/>
      <c r="Z915" s="283"/>
      <c r="AA915" s="283"/>
      <c r="AB915" s="283"/>
      <c r="AC915" s="283"/>
      <c r="AD915" s="283"/>
      <c r="AE915" s="283"/>
      <c r="AF915" s="283"/>
      <c r="AG915" s="283"/>
      <c r="AH915" s="205" t="s">
        <v>115</v>
      </c>
      <c r="AI915" s="223" t="s">
        <v>2406</v>
      </c>
      <c r="AJ915" s="205" t="s">
        <v>2407</v>
      </c>
      <c r="AK915" s="225"/>
      <c r="AL915" s="225"/>
      <c r="AM915" s="24"/>
    </row>
    <row r="916" spans="1:39" ht="12.75" customHeight="1">
      <c r="A916" s="22">
        <v>914</v>
      </c>
      <c r="B916" s="24" t="s">
        <v>405</v>
      </c>
      <c r="C916" s="24" t="s">
        <v>180</v>
      </c>
      <c r="D916" s="24" t="s">
        <v>2524</v>
      </c>
      <c r="E916" s="24" t="s">
        <v>2454</v>
      </c>
      <c r="F916" s="24">
        <v>1</v>
      </c>
      <c r="G916" s="24" t="s">
        <v>2372</v>
      </c>
      <c r="H916" s="24"/>
      <c r="I916" s="24"/>
      <c r="J916" s="283"/>
      <c r="K916" s="234"/>
      <c r="L916" s="234"/>
      <c r="M916" s="164"/>
      <c r="N916" s="234"/>
      <c r="O916" s="204" t="s">
        <v>405</v>
      </c>
      <c r="P916" s="196"/>
      <c r="Q916" s="196"/>
      <c r="R916" s="164"/>
      <c r="S916" s="283"/>
      <c r="T916" s="204"/>
      <c r="U916" s="283"/>
      <c r="V916" s="283"/>
      <c r="W916" s="204"/>
      <c r="X916" s="225"/>
      <c r="Y916" s="283"/>
      <c r="Z916" s="283"/>
      <c r="AA916" s="283"/>
      <c r="AB916" s="283"/>
      <c r="AC916" s="283"/>
      <c r="AD916" s="283"/>
      <c r="AE916" s="283"/>
      <c r="AF916" s="283"/>
      <c r="AG916" s="283"/>
      <c r="AH916" s="205" t="s">
        <v>115</v>
      </c>
      <c r="AI916" s="223" t="s">
        <v>406</v>
      </c>
      <c r="AJ916" s="205" t="s">
        <v>407</v>
      </c>
      <c r="AK916" s="225"/>
      <c r="AL916" s="225"/>
      <c r="AM916" s="24"/>
    </row>
    <row r="917" spans="1:39" ht="12.75" customHeight="1">
      <c r="A917" s="22">
        <v>915</v>
      </c>
      <c r="B917" s="24" t="s">
        <v>2528</v>
      </c>
      <c r="C917" s="24" t="s">
        <v>96</v>
      </c>
      <c r="D917" s="24" t="s">
        <v>1787</v>
      </c>
      <c r="E917" s="24" t="s">
        <v>2454</v>
      </c>
      <c r="F917" s="24">
        <v>1</v>
      </c>
      <c r="G917" s="24" t="s">
        <v>2372</v>
      </c>
      <c r="H917" s="24"/>
      <c r="I917" s="24"/>
      <c r="J917" s="283"/>
      <c r="K917" s="234" t="s">
        <v>409</v>
      </c>
      <c r="L917" s="234" t="s">
        <v>2529</v>
      </c>
      <c r="M917" s="164" t="s">
        <v>2410</v>
      </c>
      <c r="N917" s="234" t="s">
        <v>111</v>
      </c>
      <c r="O917" s="196"/>
      <c r="P917" s="196"/>
      <c r="Q917" s="196"/>
      <c r="R917" s="164"/>
      <c r="S917" s="283"/>
      <c r="T917" s="204" t="s">
        <v>208</v>
      </c>
      <c r="U917" s="283"/>
      <c r="V917" s="283"/>
      <c r="W917" s="204" t="s">
        <v>115</v>
      </c>
      <c r="X917" s="225"/>
      <c r="Y917" s="283"/>
      <c r="Z917" s="283"/>
      <c r="AA917" s="283"/>
      <c r="AB917" s="283"/>
      <c r="AC917" s="283"/>
      <c r="AD917" s="283"/>
      <c r="AE917" s="283"/>
      <c r="AF917" s="283"/>
      <c r="AG917" s="283"/>
      <c r="AH917" s="205" t="s">
        <v>2523</v>
      </c>
      <c r="AI917" s="223" t="s">
        <v>2411</v>
      </c>
      <c r="AJ917" s="205" t="s">
        <v>2412</v>
      </c>
      <c r="AK917" s="225"/>
      <c r="AL917" s="225"/>
      <c r="AM917" s="24"/>
    </row>
    <row r="918" spans="1:39" ht="12.75" customHeight="1">
      <c r="A918" s="22">
        <v>916</v>
      </c>
      <c r="B918" s="24" t="s">
        <v>2530</v>
      </c>
      <c r="C918" s="24" t="s">
        <v>96</v>
      </c>
      <c r="D918" s="24" t="s">
        <v>1787</v>
      </c>
      <c r="E918" s="24" t="s">
        <v>2454</v>
      </c>
      <c r="F918" s="24">
        <v>1</v>
      </c>
      <c r="G918" s="24" t="s">
        <v>2372</v>
      </c>
      <c r="H918" s="24"/>
      <c r="I918" s="24"/>
      <c r="J918" s="283"/>
      <c r="K918" s="234" t="s">
        <v>2530</v>
      </c>
      <c r="L918" s="234" t="s">
        <v>2531</v>
      </c>
      <c r="M918" s="204" t="s">
        <v>2532</v>
      </c>
      <c r="N918" s="234" t="s">
        <v>202</v>
      </c>
      <c r="O918" s="196"/>
      <c r="P918" s="196"/>
      <c r="Q918" s="196"/>
      <c r="R918" s="164"/>
      <c r="S918" s="283"/>
      <c r="T918" s="196" t="s">
        <v>208</v>
      </c>
      <c r="U918" s="283"/>
      <c r="V918" s="283"/>
      <c r="W918" s="204" t="s">
        <v>2375</v>
      </c>
      <c r="X918" s="225"/>
      <c r="Y918" s="283"/>
      <c r="Z918" s="283"/>
      <c r="AA918" s="283"/>
      <c r="AB918" s="283"/>
      <c r="AC918" s="283"/>
      <c r="AD918" s="283"/>
      <c r="AE918" s="283"/>
      <c r="AF918" s="283"/>
      <c r="AG918" s="283"/>
      <c r="AH918" s="285" t="s">
        <v>2533</v>
      </c>
      <c r="AI918" s="353" t="s">
        <v>2398</v>
      </c>
      <c r="AJ918" s="285" t="s">
        <v>2399</v>
      </c>
      <c r="AK918" s="225"/>
      <c r="AL918" s="225"/>
      <c r="AM918" s="24"/>
    </row>
    <row r="919" spans="1:39" ht="12.75" customHeight="1">
      <c r="A919" s="22">
        <v>917</v>
      </c>
      <c r="B919" s="24" t="s">
        <v>1673</v>
      </c>
      <c r="C919" s="24" t="s">
        <v>180</v>
      </c>
      <c r="D919" s="24" t="s">
        <v>2530</v>
      </c>
      <c r="E919" s="24" t="s">
        <v>2454</v>
      </c>
      <c r="F919" s="24">
        <v>1</v>
      </c>
      <c r="G919" s="24" t="s">
        <v>2372</v>
      </c>
      <c r="H919" s="24"/>
      <c r="I919" s="24"/>
      <c r="J919" s="283"/>
      <c r="K919" s="234"/>
      <c r="L919" s="234"/>
      <c r="M919" s="164"/>
      <c r="N919" s="234"/>
      <c r="O919" s="196" t="s">
        <v>1673</v>
      </c>
      <c r="P919" s="196"/>
      <c r="Q919" s="196"/>
      <c r="R919" s="164"/>
      <c r="S919" s="283"/>
      <c r="T919" s="204"/>
      <c r="U919" s="283"/>
      <c r="V919" s="283"/>
      <c r="W919" s="204"/>
      <c r="X919" s="225"/>
      <c r="Y919" s="283"/>
      <c r="Z919" s="283"/>
      <c r="AA919" s="283"/>
      <c r="AB919" s="283"/>
      <c r="AC919" s="283"/>
      <c r="AD919" s="283"/>
      <c r="AE919" s="283"/>
      <c r="AF919" s="283"/>
      <c r="AG919" s="283"/>
      <c r="AH919" s="285" t="s">
        <v>115</v>
      </c>
      <c r="AI919" s="353" t="s">
        <v>942</v>
      </c>
      <c r="AJ919" s="205" t="s">
        <v>943</v>
      </c>
      <c r="AK919" s="225"/>
      <c r="AL919" s="225"/>
      <c r="AM919" s="24"/>
    </row>
    <row r="920" spans="1:39" ht="12.75" customHeight="1">
      <c r="A920" s="22">
        <v>918</v>
      </c>
      <c r="B920" s="24" t="s">
        <v>1468</v>
      </c>
      <c r="C920" s="24" t="s">
        <v>180</v>
      </c>
      <c r="D920" s="24" t="s">
        <v>2530</v>
      </c>
      <c r="E920" s="24" t="s">
        <v>2454</v>
      </c>
      <c r="F920" s="24">
        <v>1</v>
      </c>
      <c r="G920" s="24" t="s">
        <v>2372</v>
      </c>
      <c r="H920" s="24"/>
      <c r="I920" s="24"/>
      <c r="J920" s="283"/>
      <c r="K920" s="234"/>
      <c r="L920" s="234"/>
      <c r="M920" s="164"/>
      <c r="N920" s="234"/>
      <c r="O920" s="224" t="s">
        <v>1468</v>
      </c>
      <c r="P920" s="196"/>
      <c r="Q920" s="196"/>
      <c r="R920" s="164"/>
      <c r="S920" s="283"/>
      <c r="T920" s="204"/>
      <c r="U920" s="283"/>
      <c r="V920" s="283"/>
      <c r="W920" s="204"/>
      <c r="X920" s="225"/>
      <c r="Y920" s="283"/>
      <c r="Z920" s="283"/>
      <c r="AA920" s="283"/>
      <c r="AB920" s="283"/>
      <c r="AC920" s="283"/>
      <c r="AD920" s="283"/>
      <c r="AE920" s="283"/>
      <c r="AF920" s="283"/>
      <c r="AG920" s="283"/>
      <c r="AH920" s="285" t="s">
        <v>115</v>
      </c>
      <c r="AI920" s="353" t="s">
        <v>1469</v>
      </c>
      <c r="AJ920" s="205" t="s">
        <v>1470</v>
      </c>
      <c r="AK920" s="225"/>
      <c r="AL920" s="225"/>
      <c r="AM920" s="24"/>
    </row>
    <row r="921" spans="1:39" ht="12.75" customHeight="1">
      <c r="A921" s="22">
        <v>919</v>
      </c>
      <c r="B921" s="24" t="s">
        <v>2534</v>
      </c>
      <c r="C921" s="24" t="s">
        <v>96</v>
      </c>
      <c r="D921" s="24" t="s">
        <v>1787</v>
      </c>
      <c r="E921" s="24" t="s">
        <v>2454</v>
      </c>
      <c r="F921" s="24">
        <v>1</v>
      </c>
      <c r="G921" s="24" t="s">
        <v>2372</v>
      </c>
      <c r="H921" s="24"/>
      <c r="I921" s="24"/>
      <c r="J921" s="283"/>
      <c r="K921" s="234" t="s">
        <v>1376</v>
      </c>
      <c r="L921" s="234" t="s">
        <v>2535</v>
      </c>
      <c r="M921" s="164" t="s">
        <v>2536</v>
      </c>
      <c r="N921" s="234" t="s">
        <v>202</v>
      </c>
      <c r="O921" s="224"/>
      <c r="P921" s="196"/>
      <c r="Q921" s="196"/>
      <c r="R921" s="164"/>
      <c r="S921" s="283"/>
      <c r="T921" s="204" t="s">
        <v>208</v>
      </c>
      <c r="U921" s="283"/>
      <c r="V921" s="283"/>
      <c r="W921" s="204" t="s">
        <v>115</v>
      </c>
      <c r="X921" s="225"/>
      <c r="Y921" s="283"/>
      <c r="Z921" s="283"/>
      <c r="AA921" s="283"/>
      <c r="AB921" s="283"/>
      <c r="AC921" s="283"/>
      <c r="AD921" s="283"/>
      <c r="AE921" s="283"/>
      <c r="AF921" s="283"/>
      <c r="AG921" s="283"/>
      <c r="AH921" s="285" t="s">
        <v>2533</v>
      </c>
      <c r="AI921" s="353" t="s">
        <v>2403</v>
      </c>
      <c r="AJ921" s="285" t="s">
        <v>2404</v>
      </c>
      <c r="AK921" s="225"/>
      <c r="AL921" s="225"/>
      <c r="AM921" s="24"/>
    </row>
    <row r="922" spans="1:39" ht="12.75" customHeight="1">
      <c r="A922" s="22">
        <v>920</v>
      </c>
      <c r="B922" s="24" t="s">
        <v>2405</v>
      </c>
      <c r="C922" s="24" t="s">
        <v>180</v>
      </c>
      <c r="D922" s="24" t="s">
        <v>2534</v>
      </c>
      <c r="E922" s="24" t="s">
        <v>2454</v>
      </c>
      <c r="F922" s="24">
        <v>1</v>
      </c>
      <c r="G922" s="24" t="s">
        <v>2372</v>
      </c>
      <c r="H922" s="24"/>
      <c r="I922" s="24"/>
      <c r="J922" s="283"/>
      <c r="K922" s="234"/>
      <c r="L922" s="234"/>
      <c r="M922" s="164"/>
      <c r="N922" s="234"/>
      <c r="O922" s="204" t="s">
        <v>2405</v>
      </c>
      <c r="P922" s="196"/>
      <c r="Q922" s="196"/>
      <c r="R922" s="164"/>
      <c r="S922" s="283"/>
      <c r="T922" s="204"/>
      <c r="U922" s="283"/>
      <c r="V922" s="283"/>
      <c r="W922" s="204"/>
      <c r="X922" s="225"/>
      <c r="Y922" s="283"/>
      <c r="Z922" s="283"/>
      <c r="AA922" s="283"/>
      <c r="AB922" s="283"/>
      <c r="AC922" s="283"/>
      <c r="AD922" s="283"/>
      <c r="AE922" s="283"/>
      <c r="AF922" s="283"/>
      <c r="AG922" s="283"/>
      <c r="AH922" s="205" t="s">
        <v>115</v>
      </c>
      <c r="AI922" s="223" t="s">
        <v>2406</v>
      </c>
      <c r="AJ922" s="205" t="s">
        <v>2407</v>
      </c>
      <c r="AK922" s="225"/>
      <c r="AL922" s="225"/>
      <c r="AM922" s="24"/>
    </row>
    <row r="923" spans="1:39" ht="12.75" customHeight="1">
      <c r="A923" s="22">
        <v>921</v>
      </c>
      <c r="B923" s="24" t="s">
        <v>405</v>
      </c>
      <c r="C923" s="24" t="s">
        <v>180</v>
      </c>
      <c r="D923" s="24" t="s">
        <v>2534</v>
      </c>
      <c r="E923" s="24" t="s">
        <v>2454</v>
      </c>
      <c r="F923" s="24">
        <v>1</v>
      </c>
      <c r="G923" s="24" t="s">
        <v>2372</v>
      </c>
      <c r="H923" s="24"/>
      <c r="I923" s="24"/>
      <c r="J923" s="283"/>
      <c r="K923" s="234"/>
      <c r="L923" s="234"/>
      <c r="M923" s="164"/>
      <c r="N923" s="234"/>
      <c r="O923" s="204" t="s">
        <v>405</v>
      </c>
      <c r="P923" s="196"/>
      <c r="Q923" s="196"/>
      <c r="R923" s="164"/>
      <c r="S923" s="283"/>
      <c r="T923" s="204"/>
      <c r="U923" s="283"/>
      <c r="V923" s="283"/>
      <c r="W923" s="204"/>
      <c r="X923" s="225"/>
      <c r="Y923" s="283"/>
      <c r="Z923" s="283"/>
      <c r="AA923" s="283"/>
      <c r="AB923" s="283"/>
      <c r="AC923" s="283"/>
      <c r="AD923" s="283"/>
      <c r="AE923" s="283"/>
      <c r="AF923" s="283"/>
      <c r="AG923" s="283"/>
      <c r="AH923" s="205" t="s">
        <v>115</v>
      </c>
      <c r="AI923" s="223" t="s">
        <v>406</v>
      </c>
      <c r="AJ923" s="205" t="s">
        <v>407</v>
      </c>
      <c r="AK923" s="225"/>
      <c r="AL923" s="225"/>
      <c r="AM923" s="24"/>
    </row>
    <row r="924" spans="1:39" ht="12.75" customHeight="1">
      <c r="A924" s="22">
        <v>922</v>
      </c>
      <c r="B924" s="24" t="s">
        <v>2537</v>
      </c>
      <c r="C924" s="24" t="s">
        <v>96</v>
      </c>
      <c r="D924" s="24" t="s">
        <v>1787</v>
      </c>
      <c r="E924" s="24" t="s">
        <v>2454</v>
      </c>
      <c r="F924" s="24">
        <v>1</v>
      </c>
      <c r="G924" s="24" t="s">
        <v>2372</v>
      </c>
      <c r="H924" s="24"/>
      <c r="I924" s="24"/>
      <c r="J924" s="283"/>
      <c r="K924" s="297" t="s">
        <v>409</v>
      </c>
      <c r="L924" s="234" t="s">
        <v>2538</v>
      </c>
      <c r="M924" s="164" t="s">
        <v>2410</v>
      </c>
      <c r="N924" s="234" t="s">
        <v>111</v>
      </c>
      <c r="O924" s="196"/>
      <c r="P924" s="196"/>
      <c r="Q924" s="196"/>
      <c r="R924" s="164"/>
      <c r="S924" s="283"/>
      <c r="T924" s="204" t="s">
        <v>208</v>
      </c>
      <c r="U924" s="283"/>
      <c r="V924" s="283"/>
      <c r="W924" s="204" t="s">
        <v>115</v>
      </c>
      <c r="X924" s="225"/>
      <c r="Y924" s="283"/>
      <c r="Z924" s="283"/>
      <c r="AA924" s="283"/>
      <c r="AB924" s="283"/>
      <c r="AC924" s="283"/>
      <c r="AD924" s="283"/>
      <c r="AE924" s="283"/>
      <c r="AF924" s="283"/>
      <c r="AG924" s="283"/>
      <c r="AH924" s="205" t="s">
        <v>2533</v>
      </c>
      <c r="AI924" s="223" t="s">
        <v>2411</v>
      </c>
      <c r="AJ924" s="205" t="s">
        <v>2412</v>
      </c>
      <c r="AK924" s="225"/>
      <c r="AL924" s="225"/>
      <c r="AM924" s="24"/>
    </row>
    <row r="925" spans="1:39" ht="12.75" customHeight="1">
      <c r="A925" s="22">
        <v>923</v>
      </c>
      <c r="B925" s="24" t="s">
        <v>2539</v>
      </c>
      <c r="C925" s="24" t="s">
        <v>96</v>
      </c>
      <c r="D925" s="24" t="s">
        <v>1787</v>
      </c>
      <c r="E925" s="24" t="s">
        <v>2454</v>
      </c>
      <c r="F925" s="24">
        <v>1</v>
      </c>
      <c r="G925" s="24" t="s">
        <v>2372</v>
      </c>
      <c r="H925" s="24"/>
      <c r="I925" s="24"/>
      <c r="J925" s="283"/>
      <c r="K925" s="234" t="s">
        <v>2539</v>
      </c>
      <c r="L925" s="234" t="s">
        <v>2540</v>
      </c>
      <c r="M925" s="204" t="s">
        <v>2541</v>
      </c>
      <c r="N925" s="234" t="s">
        <v>202</v>
      </c>
      <c r="O925" s="196"/>
      <c r="P925" s="196"/>
      <c r="Q925" s="196"/>
      <c r="R925" s="196"/>
      <c r="S925" s="283"/>
      <c r="T925" s="196" t="s">
        <v>113</v>
      </c>
      <c r="U925" s="283"/>
      <c r="V925" s="283"/>
      <c r="W925" s="204" t="s">
        <v>2375</v>
      </c>
      <c r="X925" s="225"/>
      <c r="Y925" s="283"/>
      <c r="Z925" s="283"/>
      <c r="AA925" s="283"/>
      <c r="AB925" s="283"/>
      <c r="AC925" s="283"/>
      <c r="AD925" s="283"/>
      <c r="AE925" s="283"/>
      <c r="AF925" s="283"/>
      <c r="AG925" s="283"/>
      <c r="AH925" s="285" t="s">
        <v>2542</v>
      </c>
      <c r="AI925" s="353" t="s">
        <v>2398</v>
      </c>
      <c r="AJ925" s="285" t="s">
        <v>2399</v>
      </c>
      <c r="AK925" s="225"/>
      <c r="AL925" s="225"/>
      <c r="AM925" s="24"/>
    </row>
    <row r="926" spans="1:39" ht="12.75" customHeight="1">
      <c r="A926" s="22">
        <v>924</v>
      </c>
      <c r="B926" s="24" t="s">
        <v>1673</v>
      </c>
      <c r="C926" s="24" t="s">
        <v>180</v>
      </c>
      <c r="D926" s="24" t="s">
        <v>2539</v>
      </c>
      <c r="E926" s="24" t="s">
        <v>2454</v>
      </c>
      <c r="F926" s="24">
        <v>1</v>
      </c>
      <c r="G926" s="24" t="s">
        <v>2372</v>
      </c>
      <c r="H926" s="24"/>
      <c r="I926" s="24"/>
      <c r="J926" s="283"/>
      <c r="K926" s="234"/>
      <c r="L926" s="234"/>
      <c r="M926" s="164"/>
      <c r="N926" s="234"/>
      <c r="O926" s="196" t="s">
        <v>1673</v>
      </c>
      <c r="P926" s="196"/>
      <c r="Q926" s="196"/>
      <c r="R926" s="164"/>
      <c r="S926" s="283"/>
      <c r="T926" s="204"/>
      <c r="U926" s="283"/>
      <c r="V926" s="283"/>
      <c r="W926" s="204"/>
      <c r="X926" s="225"/>
      <c r="Y926" s="283"/>
      <c r="Z926" s="283"/>
      <c r="AA926" s="283"/>
      <c r="AB926" s="283"/>
      <c r="AC926" s="283"/>
      <c r="AD926" s="283"/>
      <c r="AE926" s="283"/>
      <c r="AF926" s="283"/>
      <c r="AG926" s="283"/>
      <c r="AH926" s="285" t="s">
        <v>115</v>
      </c>
      <c r="AI926" s="353" t="s">
        <v>942</v>
      </c>
      <c r="AJ926" s="205" t="s">
        <v>943</v>
      </c>
      <c r="AK926" s="225"/>
      <c r="AL926" s="225"/>
      <c r="AM926" s="24"/>
    </row>
    <row r="927" spans="1:39" ht="12.75" customHeight="1">
      <c r="A927" s="22">
        <v>925</v>
      </c>
      <c r="B927" s="24" t="s">
        <v>1468</v>
      </c>
      <c r="C927" s="24" t="s">
        <v>180</v>
      </c>
      <c r="D927" s="24" t="s">
        <v>2539</v>
      </c>
      <c r="E927" s="24" t="s">
        <v>2454</v>
      </c>
      <c r="F927" s="24">
        <v>1</v>
      </c>
      <c r="G927" s="24" t="s">
        <v>2372</v>
      </c>
      <c r="H927" s="24"/>
      <c r="I927" s="24"/>
      <c r="J927" s="283"/>
      <c r="K927" s="234"/>
      <c r="L927" s="234"/>
      <c r="M927" s="164"/>
      <c r="N927" s="234"/>
      <c r="O927" s="224" t="s">
        <v>1468</v>
      </c>
      <c r="P927" s="196"/>
      <c r="Q927" s="196"/>
      <c r="R927" s="164"/>
      <c r="S927" s="283"/>
      <c r="T927" s="204"/>
      <c r="U927" s="283"/>
      <c r="V927" s="283"/>
      <c r="W927" s="204"/>
      <c r="X927" s="225"/>
      <c r="Y927" s="283"/>
      <c r="Z927" s="283"/>
      <c r="AA927" s="283"/>
      <c r="AB927" s="283"/>
      <c r="AC927" s="283"/>
      <c r="AD927" s="283"/>
      <c r="AE927" s="283"/>
      <c r="AF927" s="283"/>
      <c r="AG927" s="283"/>
      <c r="AH927" s="285" t="s">
        <v>115</v>
      </c>
      <c r="AI927" s="353" t="s">
        <v>1469</v>
      </c>
      <c r="AJ927" s="205" t="s">
        <v>1470</v>
      </c>
      <c r="AK927" s="225"/>
      <c r="AL927" s="225"/>
      <c r="AM927" s="24"/>
    </row>
    <row r="928" spans="1:39" ht="12.75" customHeight="1">
      <c r="A928" s="22">
        <v>926</v>
      </c>
      <c r="B928" s="24" t="s">
        <v>2543</v>
      </c>
      <c r="C928" s="24" t="s">
        <v>96</v>
      </c>
      <c r="D928" s="24" t="s">
        <v>1787</v>
      </c>
      <c r="E928" s="24" t="s">
        <v>2454</v>
      </c>
      <c r="F928" s="24">
        <v>1</v>
      </c>
      <c r="G928" s="24" t="s">
        <v>2372</v>
      </c>
      <c r="H928" s="24"/>
      <c r="I928" s="24"/>
      <c r="J928" s="283"/>
      <c r="K928" s="234" t="s">
        <v>1376</v>
      </c>
      <c r="L928" s="234" t="s">
        <v>2544</v>
      </c>
      <c r="M928" s="164" t="s">
        <v>2545</v>
      </c>
      <c r="N928" s="234" t="s">
        <v>202</v>
      </c>
      <c r="O928" s="224"/>
      <c r="P928" s="196"/>
      <c r="Q928" s="196"/>
      <c r="R928" s="164"/>
      <c r="S928" s="283"/>
      <c r="T928" s="204" t="s">
        <v>208</v>
      </c>
      <c r="U928" s="283"/>
      <c r="V928" s="283"/>
      <c r="W928" s="204" t="s">
        <v>115</v>
      </c>
      <c r="X928" s="225"/>
      <c r="Y928" s="283"/>
      <c r="Z928" s="283"/>
      <c r="AA928" s="283"/>
      <c r="AB928" s="283"/>
      <c r="AC928" s="283"/>
      <c r="AD928" s="283"/>
      <c r="AE928" s="283"/>
      <c r="AF928" s="283"/>
      <c r="AG928" s="283"/>
      <c r="AH928" s="285" t="s">
        <v>2542</v>
      </c>
      <c r="AI928" s="353" t="s">
        <v>2403</v>
      </c>
      <c r="AJ928" s="285" t="s">
        <v>2404</v>
      </c>
      <c r="AK928" s="225"/>
      <c r="AL928" s="225"/>
      <c r="AM928" s="24"/>
    </row>
    <row r="929" spans="1:39" ht="12.75" customHeight="1">
      <c r="A929" s="22">
        <v>927</v>
      </c>
      <c r="B929" s="24" t="s">
        <v>2405</v>
      </c>
      <c r="C929" s="24" t="s">
        <v>180</v>
      </c>
      <c r="D929" s="24" t="s">
        <v>2543</v>
      </c>
      <c r="E929" s="24" t="s">
        <v>2454</v>
      </c>
      <c r="F929" s="24">
        <v>1</v>
      </c>
      <c r="G929" s="24" t="s">
        <v>2372</v>
      </c>
      <c r="H929" s="24"/>
      <c r="I929" s="24"/>
      <c r="J929" s="283"/>
      <c r="K929" s="234"/>
      <c r="L929" s="234"/>
      <c r="M929" s="164"/>
      <c r="N929" s="234"/>
      <c r="O929" s="204" t="s">
        <v>2405</v>
      </c>
      <c r="P929" s="196"/>
      <c r="Q929" s="196"/>
      <c r="R929" s="164"/>
      <c r="S929" s="283"/>
      <c r="T929" s="204"/>
      <c r="U929" s="283"/>
      <c r="V929" s="283"/>
      <c r="W929" s="204"/>
      <c r="X929" s="225"/>
      <c r="Y929" s="283"/>
      <c r="Z929" s="283"/>
      <c r="AA929" s="283"/>
      <c r="AB929" s="283"/>
      <c r="AC929" s="283"/>
      <c r="AD929" s="283"/>
      <c r="AE929" s="283"/>
      <c r="AF929" s="283"/>
      <c r="AG929" s="283"/>
      <c r="AH929" s="205" t="s">
        <v>115</v>
      </c>
      <c r="AI929" s="223" t="s">
        <v>2406</v>
      </c>
      <c r="AJ929" s="205" t="s">
        <v>2407</v>
      </c>
      <c r="AK929" s="225"/>
      <c r="AL929" s="225"/>
      <c r="AM929" s="24"/>
    </row>
    <row r="930" spans="1:39" ht="12.75" customHeight="1">
      <c r="A930" s="22">
        <v>928</v>
      </c>
      <c r="B930" s="24" t="s">
        <v>405</v>
      </c>
      <c r="C930" s="24" t="s">
        <v>180</v>
      </c>
      <c r="D930" s="24" t="s">
        <v>2543</v>
      </c>
      <c r="E930" s="24" t="s">
        <v>2454</v>
      </c>
      <c r="F930" s="24">
        <v>1</v>
      </c>
      <c r="G930" s="24" t="s">
        <v>2372</v>
      </c>
      <c r="H930" s="24"/>
      <c r="I930" s="24"/>
      <c r="J930" s="283"/>
      <c r="K930" s="234"/>
      <c r="L930" s="234"/>
      <c r="M930" s="164"/>
      <c r="N930" s="234"/>
      <c r="O930" s="204" t="s">
        <v>405</v>
      </c>
      <c r="P930" s="196"/>
      <c r="Q930" s="196"/>
      <c r="R930" s="164"/>
      <c r="S930" s="283"/>
      <c r="T930" s="204"/>
      <c r="U930" s="283"/>
      <c r="V930" s="283"/>
      <c r="W930" s="204"/>
      <c r="X930" s="225"/>
      <c r="Y930" s="283"/>
      <c r="Z930" s="283"/>
      <c r="AA930" s="283"/>
      <c r="AB930" s="283"/>
      <c r="AC930" s="283"/>
      <c r="AD930" s="283"/>
      <c r="AE930" s="283"/>
      <c r="AF930" s="283"/>
      <c r="AG930" s="283"/>
      <c r="AH930" s="205" t="s">
        <v>115</v>
      </c>
      <c r="AI930" s="223" t="s">
        <v>406</v>
      </c>
      <c r="AJ930" s="205" t="s">
        <v>407</v>
      </c>
      <c r="AK930" s="225"/>
      <c r="AL930" s="225"/>
      <c r="AM930" s="24"/>
    </row>
    <row r="931" spans="1:39" ht="12.75" customHeight="1">
      <c r="A931" s="22">
        <v>929</v>
      </c>
      <c r="B931" s="24" t="s">
        <v>2548</v>
      </c>
      <c r="C931" s="24" t="s">
        <v>96</v>
      </c>
      <c r="D931" s="24" t="s">
        <v>1787</v>
      </c>
      <c r="E931" s="24" t="s">
        <v>2454</v>
      </c>
      <c r="F931" s="24">
        <v>1</v>
      </c>
      <c r="G931" s="24" t="s">
        <v>2372</v>
      </c>
      <c r="H931" s="24"/>
      <c r="I931" s="24"/>
      <c r="J931" s="283"/>
      <c r="K931" s="234" t="s">
        <v>409</v>
      </c>
      <c r="L931" s="234" t="s">
        <v>2549</v>
      </c>
      <c r="M931" s="164" t="s">
        <v>2410</v>
      </c>
      <c r="N931" s="234" t="s">
        <v>111</v>
      </c>
      <c r="O931" s="196"/>
      <c r="P931" s="196"/>
      <c r="Q931" s="196"/>
      <c r="R931" s="164"/>
      <c r="S931" s="283"/>
      <c r="T931" s="204" t="s">
        <v>208</v>
      </c>
      <c r="U931" s="283"/>
      <c r="V931" s="283"/>
      <c r="W931" s="204" t="s">
        <v>115</v>
      </c>
      <c r="X931" s="225"/>
      <c r="Y931" s="283"/>
      <c r="Z931" s="283"/>
      <c r="AA931" s="283"/>
      <c r="AB931" s="283"/>
      <c r="AC931" s="283"/>
      <c r="AD931" s="283"/>
      <c r="AE931" s="283"/>
      <c r="AF931" s="283"/>
      <c r="AG931" s="283"/>
      <c r="AH931" s="205" t="s">
        <v>2542</v>
      </c>
      <c r="AI931" s="223" t="s">
        <v>2411</v>
      </c>
      <c r="AJ931" s="205" t="s">
        <v>2412</v>
      </c>
      <c r="AK931" s="225"/>
      <c r="AL931" s="225"/>
      <c r="AM931" s="24"/>
    </row>
    <row r="932" spans="1:39" ht="12.75" customHeight="1">
      <c r="A932" s="22">
        <v>930</v>
      </c>
      <c r="B932" s="24" t="s">
        <v>2550</v>
      </c>
      <c r="C932" s="24" t="s">
        <v>96</v>
      </c>
      <c r="D932" s="24" t="s">
        <v>1787</v>
      </c>
      <c r="E932" s="24" t="s">
        <v>2454</v>
      </c>
      <c r="F932" s="24">
        <v>1</v>
      </c>
      <c r="G932" s="24" t="s">
        <v>2372</v>
      </c>
      <c r="H932" s="24"/>
      <c r="I932" s="24"/>
      <c r="J932" s="283"/>
      <c r="K932" s="234" t="s">
        <v>2550</v>
      </c>
      <c r="L932" s="234" t="s">
        <v>2551</v>
      </c>
      <c r="M932" s="204" t="s">
        <v>2552</v>
      </c>
      <c r="N932" s="234" t="s">
        <v>202</v>
      </c>
      <c r="O932" s="196"/>
      <c r="P932" s="196"/>
      <c r="Q932" s="196"/>
      <c r="R932" s="164"/>
      <c r="S932" s="283"/>
      <c r="T932" s="196" t="s">
        <v>113</v>
      </c>
      <c r="U932" s="283"/>
      <c r="V932" s="283"/>
      <c r="W932" s="204" t="s">
        <v>2375</v>
      </c>
      <c r="X932" s="225"/>
      <c r="Y932" s="283"/>
      <c r="Z932" s="283"/>
      <c r="AA932" s="283"/>
      <c r="AB932" s="283"/>
      <c r="AC932" s="283"/>
      <c r="AD932" s="283"/>
      <c r="AE932" s="283"/>
      <c r="AF932" s="283"/>
      <c r="AG932" s="283"/>
      <c r="AH932" s="285" t="s">
        <v>2554</v>
      </c>
      <c r="AI932" s="353" t="s">
        <v>2398</v>
      </c>
      <c r="AJ932" s="285" t="s">
        <v>2399</v>
      </c>
      <c r="AK932" s="225"/>
      <c r="AL932" s="225"/>
      <c r="AM932" s="24"/>
    </row>
    <row r="933" spans="1:39" ht="12.75" customHeight="1">
      <c r="A933" s="22">
        <v>931</v>
      </c>
      <c r="B933" s="24" t="s">
        <v>1673</v>
      </c>
      <c r="C933" s="24" t="s">
        <v>180</v>
      </c>
      <c r="D933" s="24" t="s">
        <v>2550</v>
      </c>
      <c r="E933" s="24" t="s">
        <v>2454</v>
      </c>
      <c r="F933" s="24">
        <v>1</v>
      </c>
      <c r="G933" s="24" t="s">
        <v>2372</v>
      </c>
      <c r="H933" s="24"/>
      <c r="I933" s="24"/>
      <c r="J933" s="283"/>
      <c r="K933" s="234"/>
      <c r="L933" s="234"/>
      <c r="M933" s="164"/>
      <c r="N933" s="234"/>
      <c r="O933" s="196" t="s">
        <v>1673</v>
      </c>
      <c r="P933" s="196"/>
      <c r="Q933" s="196"/>
      <c r="R933" s="164"/>
      <c r="S933" s="283"/>
      <c r="T933" s="204"/>
      <c r="U933" s="283"/>
      <c r="V933" s="283"/>
      <c r="W933" s="204"/>
      <c r="X933" s="225"/>
      <c r="Y933" s="283"/>
      <c r="Z933" s="283"/>
      <c r="AA933" s="283"/>
      <c r="AB933" s="283"/>
      <c r="AC933" s="283"/>
      <c r="AD933" s="283"/>
      <c r="AE933" s="283"/>
      <c r="AF933" s="283"/>
      <c r="AG933" s="283"/>
      <c r="AH933" s="285" t="s">
        <v>115</v>
      </c>
      <c r="AI933" s="353" t="s">
        <v>942</v>
      </c>
      <c r="AJ933" s="205" t="s">
        <v>943</v>
      </c>
      <c r="AK933" s="225"/>
      <c r="AL933" s="225"/>
      <c r="AM933" s="24"/>
    </row>
    <row r="934" spans="1:39" ht="12.75" customHeight="1">
      <c r="A934" s="22">
        <v>932</v>
      </c>
      <c r="B934" s="24" t="s">
        <v>1468</v>
      </c>
      <c r="C934" s="24" t="s">
        <v>180</v>
      </c>
      <c r="D934" s="24" t="s">
        <v>2550</v>
      </c>
      <c r="E934" s="24" t="s">
        <v>2454</v>
      </c>
      <c r="F934" s="24">
        <v>1</v>
      </c>
      <c r="G934" s="24" t="s">
        <v>2372</v>
      </c>
      <c r="H934" s="24"/>
      <c r="I934" s="24"/>
      <c r="J934" s="283"/>
      <c r="K934" s="234"/>
      <c r="L934" s="234"/>
      <c r="M934" s="164"/>
      <c r="N934" s="234"/>
      <c r="O934" s="224" t="s">
        <v>1468</v>
      </c>
      <c r="P934" s="196"/>
      <c r="Q934" s="196"/>
      <c r="R934" s="164"/>
      <c r="S934" s="283"/>
      <c r="T934" s="204"/>
      <c r="U934" s="283"/>
      <c r="V934" s="283"/>
      <c r="W934" s="204"/>
      <c r="X934" s="225"/>
      <c r="Y934" s="283"/>
      <c r="Z934" s="283"/>
      <c r="AA934" s="283"/>
      <c r="AB934" s="283"/>
      <c r="AC934" s="283"/>
      <c r="AD934" s="283"/>
      <c r="AE934" s="283"/>
      <c r="AF934" s="283"/>
      <c r="AG934" s="283"/>
      <c r="AH934" s="285" t="s">
        <v>115</v>
      </c>
      <c r="AI934" s="353" t="s">
        <v>1469</v>
      </c>
      <c r="AJ934" s="205" t="s">
        <v>1470</v>
      </c>
      <c r="AK934" s="225"/>
      <c r="AL934" s="225"/>
      <c r="AM934" s="24"/>
    </row>
    <row r="935" spans="1:39" ht="12.75" customHeight="1">
      <c r="A935" s="22">
        <v>933</v>
      </c>
      <c r="B935" s="24" t="s">
        <v>2556</v>
      </c>
      <c r="C935" s="24" t="s">
        <v>96</v>
      </c>
      <c r="D935" s="24" t="s">
        <v>1787</v>
      </c>
      <c r="E935" s="24" t="s">
        <v>2454</v>
      </c>
      <c r="F935" s="24">
        <v>1</v>
      </c>
      <c r="G935" s="24" t="s">
        <v>2372</v>
      </c>
      <c r="H935" s="24"/>
      <c r="I935" s="24"/>
      <c r="J935" s="283"/>
      <c r="K935" s="234" t="s">
        <v>1376</v>
      </c>
      <c r="L935" s="234" t="s">
        <v>2557</v>
      </c>
      <c r="M935" s="164" t="s">
        <v>2558</v>
      </c>
      <c r="N935" s="234" t="s">
        <v>202</v>
      </c>
      <c r="O935" s="224"/>
      <c r="P935" s="196"/>
      <c r="Q935" s="196"/>
      <c r="R935" s="164"/>
      <c r="S935" s="283"/>
      <c r="T935" s="204" t="s">
        <v>208</v>
      </c>
      <c r="U935" s="283"/>
      <c r="V935" s="283"/>
      <c r="W935" s="204" t="s">
        <v>115</v>
      </c>
      <c r="X935" s="225"/>
      <c r="Y935" s="283"/>
      <c r="Z935" s="283"/>
      <c r="AA935" s="283"/>
      <c r="AB935" s="283"/>
      <c r="AC935" s="283"/>
      <c r="AD935" s="283"/>
      <c r="AE935" s="283"/>
      <c r="AF935" s="283"/>
      <c r="AG935" s="283"/>
      <c r="AH935" s="285" t="s">
        <v>2554</v>
      </c>
      <c r="AI935" s="353" t="s">
        <v>2403</v>
      </c>
      <c r="AJ935" s="285" t="s">
        <v>2404</v>
      </c>
      <c r="AK935" s="225"/>
      <c r="AL935" s="225"/>
      <c r="AM935" s="24"/>
    </row>
    <row r="936" spans="1:39" ht="12.75" customHeight="1">
      <c r="A936" s="22">
        <v>934</v>
      </c>
      <c r="B936" s="24" t="s">
        <v>2405</v>
      </c>
      <c r="C936" s="24" t="s">
        <v>180</v>
      </c>
      <c r="D936" s="24" t="s">
        <v>2556</v>
      </c>
      <c r="E936" s="24" t="s">
        <v>2454</v>
      </c>
      <c r="F936" s="24">
        <v>1</v>
      </c>
      <c r="G936" s="24" t="s">
        <v>2372</v>
      </c>
      <c r="H936" s="24"/>
      <c r="I936" s="24"/>
      <c r="J936" s="283"/>
      <c r="K936" s="234"/>
      <c r="L936" s="234"/>
      <c r="M936" s="164"/>
      <c r="N936" s="234"/>
      <c r="O936" s="204" t="s">
        <v>2405</v>
      </c>
      <c r="P936" s="196"/>
      <c r="Q936" s="196"/>
      <c r="R936" s="164"/>
      <c r="S936" s="283"/>
      <c r="T936" s="204"/>
      <c r="U936" s="283"/>
      <c r="V936" s="283"/>
      <c r="W936" s="204"/>
      <c r="X936" s="225"/>
      <c r="Y936" s="283"/>
      <c r="Z936" s="283"/>
      <c r="AA936" s="283"/>
      <c r="AB936" s="283"/>
      <c r="AC936" s="283"/>
      <c r="AD936" s="283"/>
      <c r="AE936" s="283"/>
      <c r="AF936" s="283"/>
      <c r="AG936" s="283"/>
      <c r="AH936" s="205" t="s">
        <v>115</v>
      </c>
      <c r="AI936" s="223" t="s">
        <v>2406</v>
      </c>
      <c r="AJ936" s="205" t="s">
        <v>2407</v>
      </c>
      <c r="AK936" s="225"/>
      <c r="AL936" s="225"/>
      <c r="AM936" s="24"/>
    </row>
    <row r="937" spans="1:39" ht="12.75" customHeight="1">
      <c r="A937" s="22">
        <v>935</v>
      </c>
      <c r="B937" s="24" t="s">
        <v>405</v>
      </c>
      <c r="C937" s="24" t="s">
        <v>180</v>
      </c>
      <c r="D937" s="24" t="s">
        <v>2556</v>
      </c>
      <c r="E937" s="24" t="s">
        <v>2454</v>
      </c>
      <c r="F937" s="24">
        <v>1</v>
      </c>
      <c r="G937" s="24" t="s">
        <v>2372</v>
      </c>
      <c r="H937" s="24"/>
      <c r="I937" s="24"/>
      <c r="J937" s="283"/>
      <c r="K937" s="234"/>
      <c r="L937" s="234"/>
      <c r="M937" s="164"/>
      <c r="N937" s="234"/>
      <c r="O937" s="204" t="s">
        <v>405</v>
      </c>
      <c r="P937" s="196"/>
      <c r="Q937" s="196"/>
      <c r="R937" s="164"/>
      <c r="S937" s="283"/>
      <c r="T937" s="204"/>
      <c r="U937" s="283"/>
      <c r="V937" s="283"/>
      <c r="W937" s="204"/>
      <c r="X937" s="225"/>
      <c r="Y937" s="283"/>
      <c r="Z937" s="283"/>
      <c r="AA937" s="283"/>
      <c r="AB937" s="283"/>
      <c r="AC937" s="283"/>
      <c r="AD937" s="283"/>
      <c r="AE937" s="283"/>
      <c r="AF937" s="283"/>
      <c r="AG937" s="283"/>
      <c r="AH937" s="205" t="s">
        <v>115</v>
      </c>
      <c r="AI937" s="223" t="s">
        <v>406</v>
      </c>
      <c r="AJ937" s="205" t="s">
        <v>407</v>
      </c>
      <c r="AK937" s="225"/>
      <c r="AL937" s="225"/>
      <c r="AM937" s="24"/>
    </row>
    <row r="938" spans="1:39" ht="12.75" customHeight="1">
      <c r="A938" s="22">
        <v>936</v>
      </c>
      <c r="B938" s="24" t="s">
        <v>2559</v>
      </c>
      <c r="C938" s="24" t="s">
        <v>96</v>
      </c>
      <c r="D938" s="24" t="s">
        <v>1787</v>
      </c>
      <c r="E938" s="24" t="s">
        <v>2454</v>
      </c>
      <c r="F938" s="24">
        <v>1</v>
      </c>
      <c r="G938" s="24" t="s">
        <v>2372</v>
      </c>
      <c r="H938" s="24"/>
      <c r="I938" s="24"/>
      <c r="J938" s="283"/>
      <c r="K938" s="234" t="s">
        <v>409</v>
      </c>
      <c r="L938" s="234" t="s">
        <v>2560</v>
      </c>
      <c r="M938" s="164" t="s">
        <v>2410</v>
      </c>
      <c r="N938" s="234" t="s">
        <v>111</v>
      </c>
      <c r="O938" s="196"/>
      <c r="P938" s="196"/>
      <c r="Q938" s="196"/>
      <c r="R938" s="164"/>
      <c r="S938" s="283"/>
      <c r="T938" s="204" t="s">
        <v>208</v>
      </c>
      <c r="U938" s="283"/>
      <c r="V938" s="283"/>
      <c r="W938" s="204" t="s">
        <v>115</v>
      </c>
      <c r="X938" s="225"/>
      <c r="Y938" s="283"/>
      <c r="Z938" s="283"/>
      <c r="AA938" s="283"/>
      <c r="AB938" s="283"/>
      <c r="AC938" s="283"/>
      <c r="AD938" s="283"/>
      <c r="AE938" s="283"/>
      <c r="AF938" s="283"/>
      <c r="AG938" s="283"/>
      <c r="AH938" s="205" t="s">
        <v>2554</v>
      </c>
      <c r="AI938" s="223" t="s">
        <v>2411</v>
      </c>
      <c r="AJ938" s="205" t="s">
        <v>2412</v>
      </c>
      <c r="AK938" s="225"/>
      <c r="AL938" s="225"/>
      <c r="AM938" s="24"/>
    </row>
    <row r="939" spans="1:39" ht="12.75" customHeight="1">
      <c r="A939" s="22">
        <v>937</v>
      </c>
      <c r="B939" s="24" t="s">
        <v>2561</v>
      </c>
      <c r="C939" s="24" t="s">
        <v>65</v>
      </c>
      <c r="D939" s="24" t="s">
        <v>1787</v>
      </c>
      <c r="E939" s="24" t="s">
        <v>2454</v>
      </c>
      <c r="F939" s="24">
        <v>1</v>
      </c>
      <c r="G939" s="24" t="s">
        <v>2372</v>
      </c>
      <c r="H939" s="24"/>
      <c r="I939" s="24"/>
      <c r="J939" s="283"/>
      <c r="K939" s="298" t="s">
        <v>115</v>
      </c>
      <c r="L939" s="298" t="s">
        <v>2561</v>
      </c>
      <c r="M939" s="298" t="s">
        <v>2562</v>
      </c>
      <c r="N939" s="298" t="s">
        <v>65</v>
      </c>
      <c r="O939" s="164"/>
      <c r="P939" s="298" t="s">
        <v>2563</v>
      </c>
      <c r="Q939" s="298"/>
      <c r="R939" s="164"/>
      <c r="S939" s="283"/>
      <c r="T939" s="298" t="s">
        <v>115</v>
      </c>
      <c r="U939" s="283"/>
      <c r="V939" s="283"/>
      <c r="W939" s="298" t="s">
        <v>115</v>
      </c>
      <c r="X939" s="225"/>
      <c r="Y939" s="283"/>
      <c r="Z939" s="283"/>
      <c r="AA939" s="283"/>
      <c r="AB939" s="283"/>
      <c r="AC939" s="283"/>
      <c r="AD939" s="283"/>
      <c r="AE939" s="283"/>
      <c r="AF939" s="283"/>
      <c r="AG939" s="283"/>
      <c r="AH939" s="285" t="s">
        <v>115</v>
      </c>
      <c r="AI939" s="285" t="s">
        <v>115</v>
      </c>
      <c r="AJ939" s="285" t="s">
        <v>115</v>
      </c>
      <c r="AK939" s="225"/>
      <c r="AL939" s="225"/>
      <c r="AM939" s="24"/>
    </row>
    <row r="940" spans="1:39" ht="12.75" customHeight="1">
      <c r="A940" s="22">
        <v>938</v>
      </c>
      <c r="B940" s="24" t="s">
        <v>2564</v>
      </c>
      <c r="C940" s="24" t="s">
        <v>65</v>
      </c>
      <c r="D940" s="24" t="s">
        <v>1787</v>
      </c>
      <c r="E940" s="24" t="s">
        <v>2454</v>
      </c>
      <c r="F940" s="24">
        <v>1</v>
      </c>
      <c r="G940" s="24" t="s">
        <v>2372</v>
      </c>
      <c r="H940" s="24"/>
      <c r="I940" s="24"/>
      <c r="J940" s="283"/>
      <c r="K940" s="298" t="s">
        <v>115</v>
      </c>
      <c r="L940" s="298" t="s">
        <v>2564</v>
      </c>
      <c r="M940" s="298" t="s">
        <v>2565</v>
      </c>
      <c r="N940" s="298" t="s">
        <v>65</v>
      </c>
      <c r="O940" s="164"/>
      <c r="P940" s="298" t="s">
        <v>2566</v>
      </c>
      <c r="Q940" s="298"/>
      <c r="R940" s="164"/>
      <c r="S940" s="283"/>
      <c r="T940" s="298" t="s">
        <v>115</v>
      </c>
      <c r="U940" s="283"/>
      <c r="V940" s="283"/>
      <c r="W940" s="298" t="s">
        <v>115</v>
      </c>
      <c r="X940" s="225"/>
      <c r="Y940" s="283"/>
      <c r="Z940" s="283"/>
      <c r="AA940" s="283"/>
      <c r="AB940" s="283"/>
      <c r="AC940" s="283"/>
      <c r="AD940" s="283"/>
      <c r="AE940" s="283"/>
      <c r="AF940" s="283"/>
      <c r="AG940" s="283"/>
      <c r="AH940" s="285" t="s">
        <v>115</v>
      </c>
      <c r="AI940" s="285" t="s">
        <v>115</v>
      </c>
      <c r="AJ940" s="285" t="s">
        <v>115</v>
      </c>
      <c r="AK940" s="225"/>
      <c r="AL940" s="225"/>
      <c r="AM940" s="24"/>
    </row>
    <row r="941" spans="1:39" ht="12.75" customHeight="1">
      <c r="A941" s="22">
        <v>939</v>
      </c>
      <c r="B941" s="24" t="s">
        <v>2567</v>
      </c>
      <c r="C941" s="24" t="s">
        <v>65</v>
      </c>
      <c r="D941" s="24" t="s">
        <v>1787</v>
      </c>
      <c r="E941" s="24" t="s">
        <v>2454</v>
      </c>
      <c r="F941" s="24">
        <v>1</v>
      </c>
      <c r="G941" s="24" t="s">
        <v>2372</v>
      </c>
      <c r="H941" s="24"/>
      <c r="I941" s="24"/>
      <c r="J941" s="283"/>
      <c r="K941" s="298" t="s">
        <v>115</v>
      </c>
      <c r="L941" s="298" t="s">
        <v>2567</v>
      </c>
      <c r="M941" s="298" t="s">
        <v>2568</v>
      </c>
      <c r="N941" s="298" t="s">
        <v>65</v>
      </c>
      <c r="O941" s="164"/>
      <c r="P941" s="298" t="s">
        <v>2569</v>
      </c>
      <c r="Q941" s="298"/>
      <c r="R941" s="164"/>
      <c r="S941" s="283"/>
      <c r="T941" s="298" t="s">
        <v>115</v>
      </c>
      <c r="U941" s="283"/>
      <c r="V941" s="283"/>
      <c r="W941" s="298" t="s">
        <v>115</v>
      </c>
      <c r="X941" s="225"/>
      <c r="Y941" s="283"/>
      <c r="Z941" s="283"/>
      <c r="AA941" s="283"/>
      <c r="AB941" s="283"/>
      <c r="AC941" s="283"/>
      <c r="AD941" s="283"/>
      <c r="AE941" s="283"/>
      <c r="AF941" s="283"/>
      <c r="AG941" s="283"/>
      <c r="AH941" s="285" t="s">
        <v>115</v>
      </c>
      <c r="AI941" s="285" t="s">
        <v>115</v>
      </c>
      <c r="AJ941" s="285" t="s">
        <v>115</v>
      </c>
      <c r="AK941" s="225"/>
      <c r="AL941" s="225"/>
      <c r="AM941" s="24"/>
    </row>
    <row r="942" spans="1:39" ht="12.75" customHeight="1">
      <c r="A942" s="22">
        <v>940</v>
      </c>
      <c r="B942" s="24" t="s">
        <v>2570</v>
      </c>
      <c r="C942" s="24" t="s">
        <v>96</v>
      </c>
      <c r="D942" s="24" t="s">
        <v>1787</v>
      </c>
      <c r="E942" s="24" t="s">
        <v>2571</v>
      </c>
      <c r="F942" s="24">
        <v>1</v>
      </c>
      <c r="G942" s="24" t="s">
        <v>2372</v>
      </c>
      <c r="H942" s="24"/>
      <c r="I942" s="24"/>
      <c r="J942" s="283"/>
      <c r="K942" s="204" t="s">
        <v>2570</v>
      </c>
      <c r="L942" s="204" t="s">
        <v>2572</v>
      </c>
      <c r="M942" s="204" t="s">
        <v>2573</v>
      </c>
      <c r="N942" s="204" t="s">
        <v>202</v>
      </c>
      <c r="O942" s="196"/>
      <c r="P942" s="196"/>
      <c r="Q942" s="196"/>
      <c r="R942" s="196"/>
      <c r="S942" s="283"/>
      <c r="T942" s="204" t="s">
        <v>113</v>
      </c>
      <c r="U942" s="283"/>
      <c r="V942" s="283"/>
      <c r="W942" s="204" t="s">
        <v>1277</v>
      </c>
      <c r="X942" s="225"/>
      <c r="Y942" s="283"/>
      <c r="Z942" s="283"/>
      <c r="AA942" s="283"/>
      <c r="AB942" s="283"/>
      <c r="AC942" s="283"/>
      <c r="AD942" s="283"/>
      <c r="AE942" s="283"/>
      <c r="AF942" s="283"/>
      <c r="AG942" s="283"/>
      <c r="AH942" s="285" t="s">
        <v>2574</v>
      </c>
      <c r="AI942" s="357" t="s">
        <v>2398</v>
      </c>
      <c r="AJ942" s="285" t="s">
        <v>2399</v>
      </c>
      <c r="AK942" s="225"/>
      <c r="AL942" s="225"/>
      <c r="AM942" s="24"/>
    </row>
    <row r="943" spans="1:39" ht="12.75" customHeight="1">
      <c r="A943" s="22">
        <v>941</v>
      </c>
      <c r="B943" s="24" t="s">
        <v>1673</v>
      </c>
      <c r="C943" s="24" t="s">
        <v>180</v>
      </c>
      <c r="D943" s="24" t="s">
        <v>2570</v>
      </c>
      <c r="E943" s="24" t="s">
        <v>2571</v>
      </c>
      <c r="F943" s="24">
        <v>1</v>
      </c>
      <c r="G943" s="24" t="s">
        <v>2372</v>
      </c>
      <c r="H943" s="24"/>
      <c r="I943" s="24"/>
      <c r="J943" s="283"/>
      <c r="K943" s="164"/>
      <c r="L943" s="204"/>
      <c r="M943" s="164"/>
      <c r="N943" s="164"/>
      <c r="O943" s="196" t="s">
        <v>1673</v>
      </c>
      <c r="P943" s="164"/>
      <c r="Q943" s="164"/>
      <c r="R943" s="164"/>
      <c r="S943" s="283"/>
      <c r="T943" s="164"/>
      <c r="U943" s="283"/>
      <c r="V943" s="283"/>
      <c r="W943" s="204"/>
      <c r="X943" s="225"/>
      <c r="Y943" s="283"/>
      <c r="Z943" s="283"/>
      <c r="AA943" s="283"/>
      <c r="AB943" s="283"/>
      <c r="AC943" s="283"/>
      <c r="AD943" s="283"/>
      <c r="AE943" s="283"/>
      <c r="AF943" s="283"/>
      <c r="AG943" s="283"/>
      <c r="AH943" s="285" t="s">
        <v>115</v>
      </c>
      <c r="AI943" s="357" t="s">
        <v>942</v>
      </c>
      <c r="AJ943" s="205" t="s">
        <v>943</v>
      </c>
      <c r="AK943" s="225"/>
      <c r="AL943" s="225"/>
      <c r="AM943" s="24"/>
    </row>
    <row r="944" spans="1:39" ht="12.75" customHeight="1">
      <c r="A944" s="22">
        <v>942</v>
      </c>
      <c r="B944" s="24" t="s">
        <v>1468</v>
      </c>
      <c r="C944" s="24" t="s">
        <v>180</v>
      </c>
      <c r="D944" s="24" t="s">
        <v>2570</v>
      </c>
      <c r="E944" s="24" t="s">
        <v>2571</v>
      </c>
      <c r="F944" s="24">
        <v>1</v>
      </c>
      <c r="G944" s="24" t="s">
        <v>2372</v>
      </c>
      <c r="H944" s="24"/>
      <c r="I944" s="24"/>
      <c r="J944" s="283"/>
      <c r="K944" s="164"/>
      <c r="L944" s="204"/>
      <c r="M944" s="164"/>
      <c r="N944" s="164"/>
      <c r="O944" s="224" t="s">
        <v>1468</v>
      </c>
      <c r="P944" s="164"/>
      <c r="Q944" s="164"/>
      <c r="R944" s="164"/>
      <c r="S944" s="283"/>
      <c r="T944" s="164"/>
      <c r="U944" s="283"/>
      <c r="V944" s="283"/>
      <c r="W944" s="204"/>
      <c r="X944" s="225"/>
      <c r="Y944" s="283"/>
      <c r="Z944" s="283"/>
      <c r="AA944" s="283"/>
      <c r="AB944" s="283"/>
      <c r="AC944" s="283"/>
      <c r="AD944" s="283"/>
      <c r="AE944" s="283"/>
      <c r="AF944" s="283"/>
      <c r="AG944" s="283"/>
      <c r="AH944" s="285" t="s">
        <v>115</v>
      </c>
      <c r="AI944" s="357" t="s">
        <v>1469</v>
      </c>
      <c r="AJ944" s="205" t="s">
        <v>1470</v>
      </c>
      <c r="AK944" s="225"/>
      <c r="AL944" s="225"/>
      <c r="AM944" s="24"/>
    </row>
    <row r="945" spans="1:39" ht="12.75" customHeight="1">
      <c r="A945" s="22">
        <v>943</v>
      </c>
      <c r="B945" s="24" t="s">
        <v>2575</v>
      </c>
      <c r="C945" s="24" t="s">
        <v>96</v>
      </c>
      <c r="D945" s="24" t="s">
        <v>1787</v>
      </c>
      <c r="E945" s="24" t="s">
        <v>2571</v>
      </c>
      <c r="F945" s="24">
        <v>1</v>
      </c>
      <c r="G945" s="24" t="s">
        <v>2372</v>
      </c>
      <c r="H945" s="24"/>
      <c r="I945" s="24"/>
      <c r="J945" s="283"/>
      <c r="K945" s="164" t="s">
        <v>1376</v>
      </c>
      <c r="L945" s="204" t="s">
        <v>2576</v>
      </c>
      <c r="M945" s="164" t="s">
        <v>2577</v>
      </c>
      <c r="N945" s="164" t="s">
        <v>238</v>
      </c>
      <c r="O945" s="224"/>
      <c r="P945" s="164"/>
      <c r="Q945" s="164"/>
      <c r="R945" s="164"/>
      <c r="S945" s="283"/>
      <c r="T945" s="164" t="s">
        <v>113</v>
      </c>
      <c r="U945" s="283"/>
      <c r="V945" s="283"/>
      <c r="W945" s="204" t="s">
        <v>115</v>
      </c>
      <c r="X945" s="225"/>
      <c r="Y945" s="283"/>
      <c r="Z945" s="283"/>
      <c r="AA945" s="283"/>
      <c r="AB945" s="283"/>
      <c r="AC945" s="283"/>
      <c r="AD945" s="283"/>
      <c r="AE945" s="283"/>
      <c r="AF945" s="283"/>
      <c r="AG945" s="283"/>
      <c r="AH945" s="285" t="s">
        <v>2574</v>
      </c>
      <c r="AI945" s="357" t="s">
        <v>2403</v>
      </c>
      <c r="AJ945" s="285" t="s">
        <v>2404</v>
      </c>
      <c r="AK945" s="225"/>
      <c r="AL945" s="225"/>
      <c r="AM945" s="24"/>
    </row>
    <row r="946" spans="1:39" ht="12.75" customHeight="1">
      <c r="A946" s="22">
        <v>944</v>
      </c>
      <c r="B946" s="24" t="s">
        <v>2405</v>
      </c>
      <c r="C946" s="24" t="s">
        <v>180</v>
      </c>
      <c r="D946" s="24" t="s">
        <v>2575</v>
      </c>
      <c r="E946" s="24" t="s">
        <v>2571</v>
      </c>
      <c r="F946" s="24">
        <v>1</v>
      </c>
      <c r="G946" s="24" t="s">
        <v>2372</v>
      </c>
      <c r="H946" s="24"/>
      <c r="I946" s="24"/>
      <c r="J946" s="283"/>
      <c r="K946" s="196"/>
      <c r="L946" s="196"/>
      <c r="M946" s="196"/>
      <c r="N946" s="196"/>
      <c r="O946" s="224" t="s">
        <v>2405</v>
      </c>
      <c r="P946" s="196"/>
      <c r="Q946" s="196"/>
      <c r="R946" s="196"/>
      <c r="S946" s="283"/>
      <c r="T946" s="196"/>
      <c r="U946" s="283"/>
      <c r="V946" s="283"/>
      <c r="W946" s="196"/>
      <c r="X946" s="225"/>
      <c r="Y946" s="283"/>
      <c r="Z946" s="283"/>
      <c r="AA946" s="283"/>
      <c r="AB946" s="283"/>
      <c r="AC946" s="283"/>
      <c r="AD946" s="283"/>
      <c r="AE946" s="283"/>
      <c r="AF946" s="283"/>
      <c r="AG946" s="283"/>
      <c r="AH946" s="205" t="s">
        <v>115</v>
      </c>
      <c r="AI946" s="359" t="s">
        <v>2406</v>
      </c>
      <c r="AJ946" s="205" t="s">
        <v>2407</v>
      </c>
      <c r="AK946" s="225"/>
      <c r="AL946" s="225"/>
      <c r="AM946" s="24"/>
    </row>
    <row r="947" spans="1:39" ht="12.75" customHeight="1">
      <c r="A947" s="22">
        <v>945</v>
      </c>
      <c r="B947" s="24" t="s">
        <v>405</v>
      </c>
      <c r="C947" s="24" t="s">
        <v>180</v>
      </c>
      <c r="D947" s="24" t="s">
        <v>2575</v>
      </c>
      <c r="E947" s="24" t="s">
        <v>2571</v>
      </c>
      <c r="F947" s="24">
        <v>1</v>
      </c>
      <c r="G947" s="24" t="s">
        <v>2372</v>
      </c>
      <c r="H947" s="24"/>
      <c r="I947" s="24"/>
      <c r="J947" s="283"/>
      <c r="K947" s="196"/>
      <c r="L947" s="196"/>
      <c r="M947" s="196"/>
      <c r="N947" s="196"/>
      <c r="O947" s="204" t="s">
        <v>405</v>
      </c>
      <c r="P947" s="196"/>
      <c r="Q947" s="196"/>
      <c r="R947" s="196"/>
      <c r="S947" s="283"/>
      <c r="T947" s="196"/>
      <c r="U947" s="283"/>
      <c r="V947" s="283"/>
      <c r="W947" s="196"/>
      <c r="X947" s="225"/>
      <c r="Y947" s="283"/>
      <c r="Z947" s="283"/>
      <c r="AA947" s="283"/>
      <c r="AB947" s="283"/>
      <c r="AC947" s="283"/>
      <c r="AD947" s="283"/>
      <c r="AE947" s="283"/>
      <c r="AF947" s="283"/>
      <c r="AG947" s="283"/>
      <c r="AH947" s="205" t="s">
        <v>115</v>
      </c>
      <c r="AI947" s="359" t="s">
        <v>406</v>
      </c>
      <c r="AJ947" s="205" t="s">
        <v>407</v>
      </c>
      <c r="AK947" s="225"/>
      <c r="AL947" s="225"/>
      <c r="AM947" s="24"/>
    </row>
    <row r="948" spans="1:39" ht="12.75" customHeight="1">
      <c r="A948" s="22">
        <v>946</v>
      </c>
      <c r="B948" s="24" t="s">
        <v>2578</v>
      </c>
      <c r="C948" s="24" t="s">
        <v>96</v>
      </c>
      <c r="D948" s="24" t="s">
        <v>1787</v>
      </c>
      <c r="E948" s="24" t="s">
        <v>2571</v>
      </c>
      <c r="F948" s="24">
        <v>1</v>
      </c>
      <c r="G948" s="24" t="s">
        <v>2372</v>
      </c>
      <c r="H948" s="24"/>
      <c r="I948" s="24"/>
      <c r="J948" s="283"/>
      <c r="K948" s="196" t="s">
        <v>409</v>
      </c>
      <c r="L948" s="196" t="s">
        <v>2579</v>
      </c>
      <c r="M948" s="196" t="s">
        <v>2410</v>
      </c>
      <c r="N948" s="196" t="s">
        <v>111</v>
      </c>
      <c r="O948" s="196"/>
      <c r="P948" s="196"/>
      <c r="Q948" s="196"/>
      <c r="R948" s="196"/>
      <c r="S948" s="283"/>
      <c r="T948" s="196" t="s">
        <v>208</v>
      </c>
      <c r="U948" s="283"/>
      <c r="V948" s="283"/>
      <c r="W948" s="196" t="s">
        <v>115</v>
      </c>
      <c r="X948" s="225"/>
      <c r="Y948" s="283"/>
      <c r="Z948" s="283"/>
      <c r="AA948" s="283"/>
      <c r="AB948" s="283"/>
      <c r="AC948" s="283"/>
      <c r="AD948" s="283"/>
      <c r="AE948" s="283"/>
      <c r="AF948" s="283"/>
      <c r="AG948" s="283"/>
      <c r="AH948" s="205" t="s">
        <v>2574</v>
      </c>
      <c r="AI948" s="359" t="s">
        <v>2411</v>
      </c>
      <c r="AJ948" s="205" t="s">
        <v>2412</v>
      </c>
      <c r="AK948" s="225"/>
      <c r="AL948" s="225"/>
      <c r="AM948" s="24"/>
    </row>
    <row r="949" spans="1:39" ht="12.75" customHeight="1">
      <c r="A949" s="22">
        <v>947</v>
      </c>
      <c r="B949" s="24" t="s">
        <v>2580</v>
      </c>
      <c r="C949" s="24" t="s">
        <v>96</v>
      </c>
      <c r="D949" s="24" t="s">
        <v>1787</v>
      </c>
      <c r="E949" s="24" t="s">
        <v>2571</v>
      </c>
      <c r="F949" s="24">
        <v>1</v>
      </c>
      <c r="G949" s="24" t="s">
        <v>2372</v>
      </c>
      <c r="H949" s="24"/>
      <c r="I949" s="24"/>
      <c r="J949" s="283"/>
      <c r="K949" s="204" t="s">
        <v>2580</v>
      </c>
      <c r="L949" s="204" t="s">
        <v>2581</v>
      </c>
      <c r="M949" s="204" t="s">
        <v>2582</v>
      </c>
      <c r="N949" s="204" t="s">
        <v>202</v>
      </c>
      <c r="O949" s="196"/>
      <c r="P949" s="196"/>
      <c r="Q949" s="196"/>
      <c r="R949" s="196"/>
      <c r="S949" s="283"/>
      <c r="T949" s="204" t="s">
        <v>113</v>
      </c>
      <c r="U949" s="283"/>
      <c r="V949" s="283"/>
      <c r="W949" s="204" t="s">
        <v>2375</v>
      </c>
      <c r="X949" s="225"/>
      <c r="Y949" s="283"/>
      <c r="Z949" s="283"/>
      <c r="AA949" s="283"/>
      <c r="AB949" s="283"/>
      <c r="AC949" s="283"/>
      <c r="AD949" s="283"/>
      <c r="AE949" s="283"/>
      <c r="AF949" s="283"/>
      <c r="AG949" s="283"/>
      <c r="AH949" s="285" t="s">
        <v>2583</v>
      </c>
      <c r="AI949" s="357" t="s">
        <v>2398</v>
      </c>
      <c r="AJ949" s="285" t="s">
        <v>2399</v>
      </c>
      <c r="AK949" s="225"/>
      <c r="AL949" s="225"/>
      <c r="AM949" s="24"/>
    </row>
    <row r="950" spans="1:39" ht="12.75" customHeight="1">
      <c r="A950" s="22">
        <v>948</v>
      </c>
      <c r="B950" s="24" t="s">
        <v>1673</v>
      </c>
      <c r="C950" s="24" t="s">
        <v>180</v>
      </c>
      <c r="D950" s="24" t="s">
        <v>2580</v>
      </c>
      <c r="E950" s="24" t="s">
        <v>2571</v>
      </c>
      <c r="F950" s="24">
        <v>1</v>
      </c>
      <c r="G950" s="24" t="s">
        <v>2372</v>
      </c>
      <c r="H950" s="24"/>
      <c r="I950" s="24"/>
      <c r="J950" s="283"/>
      <c r="K950" s="164"/>
      <c r="L950" s="204"/>
      <c r="M950" s="164"/>
      <c r="N950" s="164"/>
      <c r="O950" s="196" t="s">
        <v>1673</v>
      </c>
      <c r="P950" s="164"/>
      <c r="Q950" s="164"/>
      <c r="R950" s="164"/>
      <c r="S950" s="283"/>
      <c r="T950" s="164"/>
      <c r="U950" s="283"/>
      <c r="V950" s="283"/>
      <c r="W950" s="204"/>
      <c r="X950" s="225"/>
      <c r="Y950" s="283"/>
      <c r="Z950" s="283"/>
      <c r="AA950" s="283"/>
      <c r="AB950" s="283"/>
      <c r="AC950" s="283"/>
      <c r="AD950" s="283"/>
      <c r="AE950" s="283"/>
      <c r="AF950" s="283"/>
      <c r="AG950" s="283"/>
      <c r="AH950" s="285" t="s">
        <v>115</v>
      </c>
      <c r="AI950" s="357" t="s">
        <v>942</v>
      </c>
      <c r="AJ950" s="205" t="s">
        <v>943</v>
      </c>
      <c r="AK950" s="225"/>
      <c r="AL950" s="225"/>
      <c r="AM950" s="24"/>
    </row>
    <row r="951" spans="1:39" ht="12.75" customHeight="1">
      <c r="A951" s="22">
        <v>949</v>
      </c>
      <c r="B951" s="24" t="s">
        <v>1468</v>
      </c>
      <c r="C951" s="24" t="s">
        <v>180</v>
      </c>
      <c r="D951" s="24" t="s">
        <v>2580</v>
      </c>
      <c r="E951" s="24" t="s">
        <v>2571</v>
      </c>
      <c r="F951" s="24">
        <v>1</v>
      </c>
      <c r="G951" s="24" t="s">
        <v>2372</v>
      </c>
      <c r="H951" s="24"/>
      <c r="I951" s="24"/>
      <c r="J951" s="283"/>
      <c r="K951" s="164"/>
      <c r="L951" s="204"/>
      <c r="M951" s="164"/>
      <c r="N951" s="164"/>
      <c r="O951" s="224" t="s">
        <v>1468</v>
      </c>
      <c r="P951" s="164"/>
      <c r="Q951" s="164"/>
      <c r="R951" s="164"/>
      <c r="S951" s="283"/>
      <c r="T951" s="164"/>
      <c r="U951" s="283"/>
      <c r="V951" s="283"/>
      <c r="W951" s="204"/>
      <c r="X951" s="225"/>
      <c r="Y951" s="283"/>
      <c r="Z951" s="283"/>
      <c r="AA951" s="283"/>
      <c r="AB951" s="283"/>
      <c r="AC951" s="283"/>
      <c r="AD951" s="283"/>
      <c r="AE951" s="283"/>
      <c r="AF951" s="283"/>
      <c r="AG951" s="283"/>
      <c r="AH951" s="285" t="s">
        <v>115</v>
      </c>
      <c r="AI951" s="357" t="s">
        <v>1469</v>
      </c>
      <c r="AJ951" s="205" t="s">
        <v>1470</v>
      </c>
      <c r="AK951" s="225"/>
      <c r="AL951" s="225"/>
      <c r="AM951" s="24"/>
    </row>
    <row r="952" spans="1:39" ht="12.75" customHeight="1">
      <c r="A952" s="22">
        <v>950</v>
      </c>
      <c r="B952" s="24" t="s">
        <v>2584</v>
      </c>
      <c r="C952" s="24" t="s">
        <v>96</v>
      </c>
      <c r="D952" s="24" t="s">
        <v>1787</v>
      </c>
      <c r="E952" s="24" t="s">
        <v>2571</v>
      </c>
      <c r="F952" s="24">
        <v>1</v>
      </c>
      <c r="G952" s="24" t="s">
        <v>2372</v>
      </c>
      <c r="H952" s="24"/>
      <c r="I952" s="24"/>
      <c r="J952" s="283"/>
      <c r="K952" s="164" t="s">
        <v>1376</v>
      </c>
      <c r="L952" s="204" t="s">
        <v>2585</v>
      </c>
      <c r="M952" s="164" t="s">
        <v>2586</v>
      </c>
      <c r="N952" s="164" t="s">
        <v>238</v>
      </c>
      <c r="O952" s="224"/>
      <c r="P952" s="164"/>
      <c r="Q952" s="164"/>
      <c r="R952" s="164"/>
      <c r="S952" s="283"/>
      <c r="T952" s="164" t="s">
        <v>113</v>
      </c>
      <c r="U952" s="283"/>
      <c r="V952" s="283"/>
      <c r="W952" s="204" t="s">
        <v>115</v>
      </c>
      <c r="X952" s="225"/>
      <c r="Y952" s="283"/>
      <c r="Z952" s="283"/>
      <c r="AA952" s="283"/>
      <c r="AB952" s="283"/>
      <c r="AC952" s="283"/>
      <c r="AD952" s="283"/>
      <c r="AE952" s="283"/>
      <c r="AF952" s="283"/>
      <c r="AG952" s="283"/>
      <c r="AH952" s="285" t="s">
        <v>2583</v>
      </c>
      <c r="AI952" s="357" t="s">
        <v>2403</v>
      </c>
      <c r="AJ952" s="285" t="s">
        <v>2404</v>
      </c>
      <c r="AK952" s="225"/>
      <c r="AL952" s="225"/>
      <c r="AM952" s="24"/>
    </row>
    <row r="953" spans="1:39" ht="12.75" customHeight="1">
      <c r="A953" s="22">
        <v>951</v>
      </c>
      <c r="B953" s="24" t="s">
        <v>2405</v>
      </c>
      <c r="C953" s="24" t="s">
        <v>180</v>
      </c>
      <c r="D953" s="24" t="s">
        <v>2584</v>
      </c>
      <c r="E953" s="24" t="s">
        <v>2571</v>
      </c>
      <c r="F953" s="24">
        <v>1</v>
      </c>
      <c r="G953" s="24" t="s">
        <v>2372</v>
      </c>
      <c r="H953" s="24"/>
      <c r="I953" s="24"/>
      <c r="J953" s="283"/>
      <c r="K953" s="164"/>
      <c r="L953" s="204"/>
      <c r="M953" s="164"/>
      <c r="N953" s="164"/>
      <c r="O953" s="204" t="s">
        <v>2405</v>
      </c>
      <c r="P953" s="164"/>
      <c r="Q953" s="164"/>
      <c r="R953" s="164"/>
      <c r="S953" s="283"/>
      <c r="T953" s="164"/>
      <c r="U953" s="283"/>
      <c r="V953" s="283"/>
      <c r="W953" s="204"/>
      <c r="X953" s="225"/>
      <c r="Y953" s="283"/>
      <c r="Z953" s="283"/>
      <c r="AA953" s="283"/>
      <c r="AB953" s="283"/>
      <c r="AC953" s="283"/>
      <c r="AD953" s="283"/>
      <c r="AE953" s="283"/>
      <c r="AF953" s="283"/>
      <c r="AG953" s="283"/>
      <c r="AH953" s="285" t="s">
        <v>115</v>
      </c>
      <c r="AI953" s="359" t="s">
        <v>2406</v>
      </c>
      <c r="AJ953" s="205" t="s">
        <v>2407</v>
      </c>
      <c r="AK953" s="225"/>
      <c r="AL953" s="225"/>
      <c r="AM953" s="24"/>
    </row>
    <row r="954" spans="1:39" ht="12.75" customHeight="1">
      <c r="A954" s="22">
        <v>952</v>
      </c>
      <c r="B954" s="24" t="s">
        <v>405</v>
      </c>
      <c r="C954" s="24" t="s">
        <v>180</v>
      </c>
      <c r="D954" s="24" t="s">
        <v>2584</v>
      </c>
      <c r="E954" s="24" t="s">
        <v>2571</v>
      </c>
      <c r="F954" s="24">
        <v>1</v>
      </c>
      <c r="G954" s="24" t="s">
        <v>2372</v>
      </c>
      <c r="H954" s="24"/>
      <c r="I954" s="24"/>
      <c r="J954" s="283"/>
      <c r="K954" s="164"/>
      <c r="L954" s="204"/>
      <c r="M954" s="164"/>
      <c r="N954" s="164"/>
      <c r="O954" s="204" t="s">
        <v>405</v>
      </c>
      <c r="P954" s="164"/>
      <c r="Q954" s="164"/>
      <c r="R954" s="164"/>
      <c r="S954" s="283"/>
      <c r="T954" s="164"/>
      <c r="U954" s="283"/>
      <c r="V954" s="283"/>
      <c r="W954" s="204"/>
      <c r="X954" s="225"/>
      <c r="Y954" s="283"/>
      <c r="Z954" s="283"/>
      <c r="AA954" s="283"/>
      <c r="AB954" s="283"/>
      <c r="AC954" s="283"/>
      <c r="AD954" s="283"/>
      <c r="AE954" s="283"/>
      <c r="AF954" s="283"/>
      <c r="AG954" s="283"/>
      <c r="AH954" s="285" t="s">
        <v>115</v>
      </c>
      <c r="AI954" s="359" t="s">
        <v>406</v>
      </c>
      <c r="AJ954" s="205" t="s">
        <v>407</v>
      </c>
      <c r="AK954" s="225"/>
      <c r="AL954" s="225"/>
      <c r="AM954" s="24"/>
    </row>
    <row r="955" spans="1:39" ht="12.75" customHeight="1">
      <c r="A955" s="22">
        <v>953</v>
      </c>
      <c r="B955" s="24" t="s">
        <v>2587</v>
      </c>
      <c r="C955" s="24" t="s">
        <v>96</v>
      </c>
      <c r="D955" s="24" t="s">
        <v>1787</v>
      </c>
      <c r="E955" s="24" t="s">
        <v>2571</v>
      </c>
      <c r="F955" s="24">
        <v>1</v>
      </c>
      <c r="G955" s="24" t="s">
        <v>2372</v>
      </c>
      <c r="H955" s="24"/>
      <c r="I955" s="24"/>
      <c r="J955" s="283"/>
      <c r="K955" s="196" t="s">
        <v>409</v>
      </c>
      <c r="L955" s="196" t="s">
        <v>2588</v>
      </c>
      <c r="M955" s="196" t="s">
        <v>2410</v>
      </c>
      <c r="N955" s="196" t="s">
        <v>111</v>
      </c>
      <c r="O955" s="196"/>
      <c r="P955" s="196"/>
      <c r="Q955" s="196"/>
      <c r="R955" s="196"/>
      <c r="S955" s="283"/>
      <c r="T955" s="196" t="s">
        <v>208</v>
      </c>
      <c r="U955" s="283"/>
      <c r="V955" s="283"/>
      <c r="W955" s="204" t="s">
        <v>115</v>
      </c>
      <c r="X955" s="225"/>
      <c r="Y955" s="283"/>
      <c r="Z955" s="283"/>
      <c r="AA955" s="283"/>
      <c r="AB955" s="283"/>
      <c r="AC955" s="283"/>
      <c r="AD955" s="283"/>
      <c r="AE955" s="283"/>
      <c r="AF955" s="283"/>
      <c r="AG955" s="283"/>
      <c r="AH955" s="205" t="s">
        <v>2583</v>
      </c>
      <c r="AI955" s="359" t="s">
        <v>2411</v>
      </c>
      <c r="AJ955" s="205" t="s">
        <v>2412</v>
      </c>
      <c r="AK955" s="225"/>
      <c r="AL955" s="225"/>
      <c r="AM955" s="24"/>
    </row>
    <row r="956" spans="1:39" ht="12.75" customHeight="1">
      <c r="A956" s="22">
        <v>954</v>
      </c>
      <c r="B956" s="24" t="s">
        <v>2589</v>
      </c>
      <c r="C956" s="24" t="s">
        <v>96</v>
      </c>
      <c r="D956" s="24" t="s">
        <v>1787</v>
      </c>
      <c r="E956" s="24" t="s">
        <v>2571</v>
      </c>
      <c r="F956" s="24">
        <v>1</v>
      </c>
      <c r="G956" s="24" t="s">
        <v>2372</v>
      </c>
      <c r="H956" s="24"/>
      <c r="I956" s="24"/>
      <c r="J956" s="283"/>
      <c r="K956" s="204" t="s">
        <v>2589</v>
      </c>
      <c r="L956" s="204" t="s">
        <v>2590</v>
      </c>
      <c r="M956" s="204" t="s">
        <v>2591</v>
      </c>
      <c r="N956" s="204" t="s">
        <v>202</v>
      </c>
      <c r="O956" s="196"/>
      <c r="P956" s="196"/>
      <c r="Q956" s="196"/>
      <c r="R956" s="196"/>
      <c r="S956" s="283"/>
      <c r="T956" s="204" t="s">
        <v>113</v>
      </c>
      <c r="U956" s="283"/>
      <c r="V956" s="283"/>
      <c r="W956" s="204" t="s">
        <v>2375</v>
      </c>
      <c r="X956" s="225"/>
      <c r="Y956" s="283"/>
      <c r="Z956" s="283"/>
      <c r="AA956" s="283"/>
      <c r="AB956" s="283"/>
      <c r="AC956" s="283"/>
      <c r="AD956" s="283"/>
      <c r="AE956" s="283"/>
      <c r="AF956" s="283"/>
      <c r="AG956" s="283"/>
      <c r="AH956" s="285" t="s">
        <v>2592</v>
      </c>
      <c r="AI956" s="357" t="s">
        <v>2398</v>
      </c>
      <c r="AJ956" s="285" t="s">
        <v>2399</v>
      </c>
      <c r="AK956" s="225"/>
      <c r="AL956" s="225"/>
      <c r="AM956" s="24"/>
    </row>
    <row r="957" spans="1:39" ht="12.75" customHeight="1">
      <c r="A957" s="22">
        <v>955</v>
      </c>
      <c r="B957" s="24" t="s">
        <v>1673</v>
      </c>
      <c r="C957" s="24" t="s">
        <v>180</v>
      </c>
      <c r="D957" s="24" t="s">
        <v>2589</v>
      </c>
      <c r="E957" s="24" t="s">
        <v>2571</v>
      </c>
      <c r="F957" s="24">
        <v>1</v>
      </c>
      <c r="G957" s="24" t="s">
        <v>2372</v>
      </c>
      <c r="H957" s="24"/>
      <c r="I957" s="24"/>
      <c r="J957" s="283"/>
      <c r="K957" s="204"/>
      <c r="L957" s="204"/>
      <c r="M957" s="204"/>
      <c r="N957" s="204"/>
      <c r="O957" s="196" t="s">
        <v>1673</v>
      </c>
      <c r="P957" s="196"/>
      <c r="Q957" s="196"/>
      <c r="R957" s="196"/>
      <c r="S957" s="283"/>
      <c r="T957" s="204"/>
      <c r="U957" s="283"/>
      <c r="V957" s="283"/>
      <c r="W957" s="204"/>
      <c r="X957" s="225"/>
      <c r="Y957" s="283"/>
      <c r="Z957" s="283"/>
      <c r="AA957" s="283"/>
      <c r="AB957" s="283"/>
      <c r="AC957" s="283"/>
      <c r="AD957" s="283"/>
      <c r="AE957" s="283"/>
      <c r="AF957" s="283"/>
      <c r="AG957" s="283"/>
      <c r="AH957" s="285" t="s">
        <v>115</v>
      </c>
      <c r="AI957" s="357" t="s">
        <v>942</v>
      </c>
      <c r="AJ957" s="205" t="s">
        <v>943</v>
      </c>
      <c r="AK957" s="225"/>
      <c r="AL957" s="225"/>
      <c r="AM957" s="24"/>
    </row>
    <row r="958" spans="1:39" ht="12.75" customHeight="1">
      <c r="A958" s="22">
        <v>956</v>
      </c>
      <c r="B958" s="24" t="s">
        <v>1468</v>
      </c>
      <c r="C958" s="24" t="s">
        <v>180</v>
      </c>
      <c r="D958" s="24" t="s">
        <v>2589</v>
      </c>
      <c r="E958" s="24" t="s">
        <v>2571</v>
      </c>
      <c r="F958" s="24">
        <v>1</v>
      </c>
      <c r="G958" s="24" t="s">
        <v>2372</v>
      </c>
      <c r="H958" s="24"/>
      <c r="I958" s="24"/>
      <c r="J958" s="283"/>
      <c r="K958" s="204"/>
      <c r="L958" s="204"/>
      <c r="M958" s="204"/>
      <c r="N958" s="204"/>
      <c r="O958" s="224" t="s">
        <v>1468</v>
      </c>
      <c r="P958" s="196"/>
      <c r="Q958" s="196"/>
      <c r="R958" s="196"/>
      <c r="S958" s="283"/>
      <c r="T958" s="204"/>
      <c r="U958" s="283"/>
      <c r="V958" s="283"/>
      <c r="W958" s="204"/>
      <c r="X958" s="225"/>
      <c r="Y958" s="283"/>
      <c r="Z958" s="283"/>
      <c r="AA958" s="283"/>
      <c r="AB958" s="283"/>
      <c r="AC958" s="283"/>
      <c r="AD958" s="283"/>
      <c r="AE958" s="283"/>
      <c r="AF958" s="283"/>
      <c r="AG958" s="283"/>
      <c r="AH958" s="285" t="s">
        <v>115</v>
      </c>
      <c r="AI958" s="357" t="s">
        <v>1469</v>
      </c>
      <c r="AJ958" s="205" t="s">
        <v>1470</v>
      </c>
      <c r="AK958" s="225"/>
      <c r="AL958" s="225"/>
      <c r="AM958" s="24"/>
    </row>
    <row r="959" spans="1:39" ht="12.75" customHeight="1">
      <c r="A959" s="22">
        <v>957</v>
      </c>
      <c r="B959" s="24" t="s">
        <v>2593</v>
      </c>
      <c r="C959" s="24" t="s">
        <v>96</v>
      </c>
      <c r="D959" s="24" t="s">
        <v>1787</v>
      </c>
      <c r="E959" s="24" t="s">
        <v>2571</v>
      </c>
      <c r="F959" s="24">
        <v>1</v>
      </c>
      <c r="G959" s="24" t="s">
        <v>2372</v>
      </c>
      <c r="H959" s="24"/>
      <c r="I959" s="24"/>
      <c r="J959" s="283"/>
      <c r="K959" s="164" t="s">
        <v>1376</v>
      </c>
      <c r="L959" s="204" t="s">
        <v>2594</v>
      </c>
      <c r="M959" s="164" t="s">
        <v>2595</v>
      </c>
      <c r="N959" s="164" t="s">
        <v>238</v>
      </c>
      <c r="O959" s="224"/>
      <c r="P959" s="164"/>
      <c r="Q959" s="164"/>
      <c r="R959" s="164"/>
      <c r="S959" s="283"/>
      <c r="T959" s="164" t="s">
        <v>113</v>
      </c>
      <c r="U959" s="283"/>
      <c r="V959" s="283"/>
      <c r="W959" s="204" t="s">
        <v>115</v>
      </c>
      <c r="X959" s="225"/>
      <c r="Y959" s="283"/>
      <c r="Z959" s="283"/>
      <c r="AA959" s="283"/>
      <c r="AB959" s="283"/>
      <c r="AC959" s="283"/>
      <c r="AD959" s="283"/>
      <c r="AE959" s="283"/>
      <c r="AF959" s="283"/>
      <c r="AG959" s="283"/>
      <c r="AH959" s="285" t="s">
        <v>2592</v>
      </c>
      <c r="AI959" s="357" t="s">
        <v>2403</v>
      </c>
      <c r="AJ959" s="285" t="s">
        <v>2404</v>
      </c>
      <c r="AK959" s="225"/>
      <c r="AL959" s="225"/>
      <c r="AM959" s="24"/>
    </row>
    <row r="960" spans="1:39" ht="12.75" customHeight="1">
      <c r="A960" s="22">
        <v>958</v>
      </c>
      <c r="B960" s="24" t="s">
        <v>2405</v>
      </c>
      <c r="C960" s="24" t="s">
        <v>180</v>
      </c>
      <c r="D960" s="24" t="s">
        <v>2593</v>
      </c>
      <c r="E960" s="24" t="s">
        <v>2571</v>
      </c>
      <c r="F960" s="24">
        <v>1</v>
      </c>
      <c r="G960" s="24" t="s">
        <v>2372</v>
      </c>
      <c r="H960" s="24"/>
      <c r="I960" s="24"/>
      <c r="J960" s="283"/>
      <c r="K960" s="164"/>
      <c r="L960" s="204"/>
      <c r="M960" s="164"/>
      <c r="N960" s="164"/>
      <c r="O960" s="204" t="s">
        <v>2405</v>
      </c>
      <c r="P960" s="164"/>
      <c r="Q960" s="164"/>
      <c r="R960" s="164"/>
      <c r="S960" s="283"/>
      <c r="T960" s="164"/>
      <c r="U960" s="283"/>
      <c r="V960" s="283"/>
      <c r="W960" s="204"/>
      <c r="X960" s="225"/>
      <c r="Y960" s="283"/>
      <c r="Z960" s="283"/>
      <c r="AA960" s="283"/>
      <c r="AB960" s="283"/>
      <c r="AC960" s="283"/>
      <c r="AD960" s="283"/>
      <c r="AE960" s="283"/>
      <c r="AF960" s="283"/>
      <c r="AG960" s="283"/>
      <c r="AH960" s="285" t="s">
        <v>115</v>
      </c>
      <c r="AI960" s="359" t="s">
        <v>2406</v>
      </c>
      <c r="AJ960" s="205" t="s">
        <v>2407</v>
      </c>
      <c r="AK960" s="225"/>
      <c r="AL960" s="225"/>
      <c r="AM960" s="24"/>
    </row>
    <row r="961" spans="1:39" ht="12.75" customHeight="1">
      <c r="A961" s="22">
        <v>959</v>
      </c>
      <c r="B961" s="24" t="s">
        <v>405</v>
      </c>
      <c r="C961" s="24" t="s">
        <v>180</v>
      </c>
      <c r="D961" s="24" t="s">
        <v>2593</v>
      </c>
      <c r="E961" s="24" t="s">
        <v>2571</v>
      </c>
      <c r="F961" s="24">
        <v>1</v>
      </c>
      <c r="G961" s="24" t="s">
        <v>2372</v>
      </c>
      <c r="H961" s="24"/>
      <c r="I961" s="24"/>
      <c r="J961" s="283"/>
      <c r="K961" s="164"/>
      <c r="L961" s="204"/>
      <c r="M961" s="164"/>
      <c r="N961" s="164"/>
      <c r="O961" s="204" t="s">
        <v>405</v>
      </c>
      <c r="P961" s="164"/>
      <c r="Q961" s="164"/>
      <c r="R961" s="164"/>
      <c r="S961" s="283"/>
      <c r="T961" s="164"/>
      <c r="U961" s="283"/>
      <c r="V961" s="283"/>
      <c r="W961" s="204"/>
      <c r="X961" s="225"/>
      <c r="Y961" s="283"/>
      <c r="Z961" s="283"/>
      <c r="AA961" s="283"/>
      <c r="AB961" s="283"/>
      <c r="AC961" s="283"/>
      <c r="AD961" s="283"/>
      <c r="AE961" s="283"/>
      <c r="AF961" s="283"/>
      <c r="AG961" s="283"/>
      <c r="AH961" s="285" t="s">
        <v>115</v>
      </c>
      <c r="AI961" s="359" t="s">
        <v>406</v>
      </c>
      <c r="AJ961" s="205" t="s">
        <v>407</v>
      </c>
      <c r="AK961" s="225"/>
      <c r="AL961" s="225"/>
      <c r="AM961" s="24"/>
    </row>
    <row r="962" spans="1:39" ht="12.75" customHeight="1">
      <c r="A962" s="22">
        <v>960</v>
      </c>
      <c r="B962" s="24" t="s">
        <v>2596</v>
      </c>
      <c r="C962" s="24" t="s">
        <v>96</v>
      </c>
      <c r="D962" s="24" t="s">
        <v>1787</v>
      </c>
      <c r="E962" s="24" t="s">
        <v>2571</v>
      </c>
      <c r="F962" s="24">
        <v>1</v>
      </c>
      <c r="G962" s="24" t="s">
        <v>2372</v>
      </c>
      <c r="H962" s="24"/>
      <c r="I962" s="24"/>
      <c r="J962" s="283"/>
      <c r="K962" s="196" t="s">
        <v>409</v>
      </c>
      <c r="L962" s="196" t="s">
        <v>2597</v>
      </c>
      <c r="M962" s="196" t="s">
        <v>2410</v>
      </c>
      <c r="N962" s="196" t="s">
        <v>111</v>
      </c>
      <c r="O962" s="196"/>
      <c r="P962" s="196"/>
      <c r="Q962" s="196"/>
      <c r="R962" s="196"/>
      <c r="S962" s="283"/>
      <c r="T962" s="196" t="s">
        <v>208</v>
      </c>
      <c r="U962" s="283"/>
      <c r="V962" s="283"/>
      <c r="W962" s="204" t="s">
        <v>115</v>
      </c>
      <c r="X962" s="225"/>
      <c r="Y962" s="283"/>
      <c r="Z962" s="283"/>
      <c r="AA962" s="283"/>
      <c r="AB962" s="283"/>
      <c r="AC962" s="283"/>
      <c r="AD962" s="283"/>
      <c r="AE962" s="283"/>
      <c r="AF962" s="283"/>
      <c r="AG962" s="283"/>
      <c r="AH962" s="205" t="s">
        <v>2592</v>
      </c>
      <c r="AI962" s="359" t="s">
        <v>2411</v>
      </c>
      <c r="AJ962" s="205" t="s">
        <v>2412</v>
      </c>
      <c r="AK962" s="225"/>
      <c r="AL962" s="225"/>
      <c r="AM962" s="24"/>
    </row>
    <row r="963" spans="1:39" ht="12.75" customHeight="1">
      <c r="A963" s="22">
        <v>961</v>
      </c>
      <c r="B963" s="24" t="s">
        <v>2598</v>
      </c>
      <c r="C963" s="24" t="s">
        <v>96</v>
      </c>
      <c r="D963" s="24" t="s">
        <v>1787</v>
      </c>
      <c r="E963" s="24" t="s">
        <v>2599</v>
      </c>
      <c r="F963" s="24">
        <v>1</v>
      </c>
      <c r="G963" s="24" t="s">
        <v>2372</v>
      </c>
      <c r="H963" s="24"/>
      <c r="I963" s="24"/>
      <c r="J963" s="283"/>
      <c r="K963" s="164" t="s">
        <v>2598</v>
      </c>
      <c r="L963" s="164" t="s">
        <v>2600</v>
      </c>
      <c r="M963" s="164"/>
      <c r="N963" s="204" t="s">
        <v>202</v>
      </c>
      <c r="O963" s="196"/>
      <c r="P963" s="164"/>
      <c r="Q963" s="164"/>
      <c r="R963" s="164"/>
      <c r="S963" s="283"/>
      <c r="T963" s="164" t="s">
        <v>208</v>
      </c>
      <c r="U963" s="283"/>
      <c r="V963" s="283"/>
      <c r="W963" s="204" t="s">
        <v>2375</v>
      </c>
      <c r="X963" s="225"/>
      <c r="Y963" s="283"/>
      <c r="Z963" s="283"/>
      <c r="AA963" s="283"/>
      <c r="AB963" s="283"/>
      <c r="AC963" s="283"/>
      <c r="AD963" s="283"/>
      <c r="AE963" s="283"/>
      <c r="AF963" s="283"/>
      <c r="AG963" s="283"/>
      <c r="AH963" s="285" t="s">
        <v>2601</v>
      </c>
      <c r="AI963" s="357" t="s">
        <v>2398</v>
      </c>
      <c r="AJ963" s="285" t="s">
        <v>2399</v>
      </c>
      <c r="AK963" s="225"/>
      <c r="AL963" s="225"/>
      <c r="AM963" s="24"/>
    </row>
    <row r="964" spans="1:39" ht="12.75" customHeight="1">
      <c r="A964" s="22">
        <v>962</v>
      </c>
      <c r="B964" s="24" t="s">
        <v>1673</v>
      </c>
      <c r="C964" s="24" t="s">
        <v>180</v>
      </c>
      <c r="D964" s="24" t="s">
        <v>2598</v>
      </c>
      <c r="E964" s="24" t="s">
        <v>2599</v>
      </c>
      <c r="F964" s="24">
        <v>1</v>
      </c>
      <c r="G964" s="24" t="s">
        <v>2372</v>
      </c>
      <c r="H964" s="24"/>
      <c r="I964" s="24"/>
      <c r="J964" s="283"/>
      <c r="K964" s="164"/>
      <c r="L964" s="164"/>
      <c r="M964" s="164"/>
      <c r="N964" s="204"/>
      <c r="O964" s="196" t="s">
        <v>1673</v>
      </c>
      <c r="P964" s="164"/>
      <c r="Q964" s="164"/>
      <c r="R964" s="164"/>
      <c r="S964" s="283"/>
      <c r="T964" s="164"/>
      <c r="U964" s="283"/>
      <c r="V964" s="283"/>
      <c r="W964" s="204"/>
      <c r="X964" s="225"/>
      <c r="Y964" s="283"/>
      <c r="Z964" s="283"/>
      <c r="AA964" s="283"/>
      <c r="AB964" s="283"/>
      <c r="AC964" s="283"/>
      <c r="AD964" s="283"/>
      <c r="AE964" s="283"/>
      <c r="AF964" s="283"/>
      <c r="AG964" s="283"/>
      <c r="AH964" s="285" t="s">
        <v>115</v>
      </c>
      <c r="AI964" s="357" t="s">
        <v>942</v>
      </c>
      <c r="AJ964" s="205" t="s">
        <v>943</v>
      </c>
      <c r="AK964" s="225"/>
      <c r="AL964" s="225"/>
      <c r="AM964" s="24"/>
    </row>
    <row r="965" spans="1:39" ht="12.75" customHeight="1">
      <c r="A965" s="22">
        <v>963</v>
      </c>
      <c r="B965" s="24" t="s">
        <v>1468</v>
      </c>
      <c r="C965" s="24" t="s">
        <v>180</v>
      </c>
      <c r="D965" s="24" t="s">
        <v>2598</v>
      </c>
      <c r="E965" s="24" t="s">
        <v>2599</v>
      </c>
      <c r="F965" s="24">
        <v>1</v>
      </c>
      <c r="G965" s="24" t="s">
        <v>2372</v>
      </c>
      <c r="H965" s="24"/>
      <c r="I965" s="24"/>
      <c r="J965" s="283"/>
      <c r="K965" s="164"/>
      <c r="L965" s="164"/>
      <c r="M965" s="164"/>
      <c r="N965" s="204"/>
      <c r="O965" s="196" t="s">
        <v>1468</v>
      </c>
      <c r="P965" s="164"/>
      <c r="Q965" s="164"/>
      <c r="R965" s="164"/>
      <c r="S965" s="283"/>
      <c r="T965" s="164"/>
      <c r="U965" s="283"/>
      <c r="V965" s="283"/>
      <c r="W965" s="204"/>
      <c r="X965" s="225"/>
      <c r="Y965" s="283"/>
      <c r="Z965" s="283"/>
      <c r="AA965" s="283"/>
      <c r="AB965" s="283"/>
      <c r="AC965" s="283"/>
      <c r="AD965" s="283"/>
      <c r="AE965" s="283"/>
      <c r="AF965" s="283"/>
      <c r="AG965" s="283"/>
      <c r="AH965" s="285" t="s">
        <v>115</v>
      </c>
      <c r="AI965" s="357" t="s">
        <v>1469</v>
      </c>
      <c r="AJ965" s="205" t="s">
        <v>1470</v>
      </c>
      <c r="AK965" s="225"/>
      <c r="AL965" s="225"/>
      <c r="AM965" s="24"/>
    </row>
    <row r="966" spans="1:39" ht="12.75" customHeight="1">
      <c r="A966" s="22">
        <v>964</v>
      </c>
      <c r="B966" s="24" t="s">
        <v>1942</v>
      </c>
      <c r="C966" s="24" t="s">
        <v>96</v>
      </c>
      <c r="D966" s="24" t="s">
        <v>1787</v>
      </c>
      <c r="E966" s="24" t="s">
        <v>2602</v>
      </c>
      <c r="F966" s="24">
        <v>1</v>
      </c>
      <c r="G966" s="24" t="s">
        <v>2372</v>
      </c>
      <c r="H966" s="24"/>
      <c r="I966" s="24"/>
      <c r="J966" s="283"/>
      <c r="K966" s="164" t="s">
        <v>1942</v>
      </c>
      <c r="L966" s="164" t="s">
        <v>2603</v>
      </c>
      <c r="M966" s="164"/>
      <c r="N966" s="164" t="s">
        <v>202</v>
      </c>
      <c r="O966" s="224"/>
      <c r="P966" s="164"/>
      <c r="Q966" s="164"/>
      <c r="R966" s="164"/>
      <c r="S966" s="283"/>
      <c r="T966" s="164" t="s">
        <v>208</v>
      </c>
      <c r="U966" s="283"/>
      <c r="V966" s="283"/>
      <c r="W966" s="224" t="s">
        <v>2375</v>
      </c>
      <c r="X966" s="225"/>
      <c r="Y966" s="283"/>
      <c r="Z966" s="283"/>
      <c r="AA966" s="283"/>
      <c r="AB966" s="283"/>
      <c r="AC966" s="283"/>
      <c r="AD966" s="283"/>
      <c r="AE966" s="283"/>
      <c r="AF966" s="283"/>
      <c r="AG966" s="283"/>
      <c r="AH966" s="285" t="s">
        <v>2604</v>
      </c>
      <c r="AI966" s="357" t="s">
        <v>2398</v>
      </c>
      <c r="AJ966" s="285" t="s">
        <v>2399</v>
      </c>
      <c r="AK966" s="225"/>
      <c r="AL966" s="225"/>
      <c r="AM966" s="24"/>
    </row>
    <row r="967" spans="1:39" ht="12.75" customHeight="1">
      <c r="A967" s="22">
        <v>965</v>
      </c>
      <c r="B967" s="24" t="s">
        <v>1673</v>
      </c>
      <c r="C967" s="24" t="s">
        <v>180</v>
      </c>
      <c r="D967" s="24" t="s">
        <v>1942</v>
      </c>
      <c r="E967" s="24" t="s">
        <v>2602</v>
      </c>
      <c r="F967" s="24">
        <v>1</v>
      </c>
      <c r="G967" s="24" t="s">
        <v>2372</v>
      </c>
      <c r="H967" s="24"/>
      <c r="I967" s="24"/>
      <c r="J967" s="283"/>
      <c r="K967" s="164"/>
      <c r="L967" s="164"/>
      <c r="M967" s="164"/>
      <c r="N967" s="164"/>
      <c r="O967" s="224" t="s">
        <v>1673</v>
      </c>
      <c r="P967" s="164"/>
      <c r="Q967" s="164"/>
      <c r="R967" s="164"/>
      <c r="S967" s="283"/>
      <c r="T967" s="164"/>
      <c r="U967" s="283"/>
      <c r="V967" s="283"/>
      <c r="W967" s="164"/>
      <c r="X967" s="225"/>
      <c r="Y967" s="283"/>
      <c r="Z967" s="283"/>
      <c r="AA967" s="283"/>
      <c r="AB967" s="283"/>
      <c r="AC967" s="283"/>
      <c r="AD967" s="283"/>
      <c r="AE967" s="283"/>
      <c r="AF967" s="283"/>
      <c r="AG967" s="283"/>
      <c r="AH967" s="285" t="s">
        <v>115</v>
      </c>
      <c r="AI967" s="357" t="s">
        <v>942</v>
      </c>
      <c r="AJ967" s="285" t="s">
        <v>943</v>
      </c>
      <c r="AK967" s="225"/>
      <c r="AL967" s="225"/>
      <c r="AM967" s="24"/>
    </row>
    <row r="968" spans="1:39" ht="12.75" customHeight="1">
      <c r="A968" s="22">
        <v>966</v>
      </c>
      <c r="B968" s="24" t="s">
        <v>1468</v>
      </c>
      <c r="C968" s="24" t="s">
        <v>180</v>
      </c>
      <c r="D968" s="24" t="s">
        <v>1942</v>
      </c>
      <c r="E968" s="24" t="s">
        <v>2602</v>
      </c>
      <c r="F968" s="24">
        <v>1</v>
      </c>
      <c r="G968" s="24" t="s">
        <v>2372</v>
      </c>
      <c r="H968" s="24"/>
      <c r="I968" s="24"/>
      <c r="J968" s="283"/>
      <c r="K968" s="164"/>
      <c r="L968" s="164"/>
      <c r="M968" s="164"/>
      <c r="N968" s="164"/>
      <c r="O968" s="224" t="s">
        <v>1468</v>
      </c>
      <c r="P968" s="164"/>
      <c r="Q968" s="164"/>
      <c r="R968" s="164"/>
      <c r="S968" s="283"/>
      <c r="T968" s="164"/>
      <c r="U968" s="283"/>
      <c r="V968" s="283"/>
      <c r="W968" s="164"/>
      <c r="X968" s="225"/>
      <c r="Y968" s="283"/>
      <c r="Z968" s="283"/>
      <c r="AA968" s="283"/>
      <c r="AB968" s="283"/>
      <c r="AC968" s="283"/>
      <c r="AD968" s="283"/>
      <c r="AE968" s="283"/>
      <c r="AF968" s="283"/>
      <c r="AG968" s="283"/>
      <c r="AH968" s="285" t="s">
        <v>115</v>
      </c>
      <c r="AI968" s="357" t="s">
        <v>1469</v>
      </c>
      <c r="AJ968" s="285" t="s">
        <v>1470</v>
      </c>
      <c r="AK968" s="225"/>
      <c r="AL968" s="225"/>
      <c r="AM968" s="24"/>
    </row>
    <row r="969" spans="1:39" ht="12.75" customHeight="1">
      <c r="A969" s="22">
        <v>967</v>
      </c>
      <c r="B969" s="24" t="s">
        <v>2605</v>
      </c>
      <c r="C969" s="24" t="s">
        <v>96</v>
      </c>
      <c r="D969" s="24" t="s">
        <v>1787</v>
      </c>
      <c r="E969" s="24" t="s">
        <v>2606</v>
      </c>
      <c r="F969" s="24">
        <v>1</v>
      </c>
      <c r="G969" s="24" t="s">
        <v>2372</v>
      </c>
      <c r="H969" s="24"/>
      <c r="I969" s="24"/>
      <c r="J969" s="283"/>
      <c r="K969" s="164" t="s">
        <v>2605</v>
      </c>
      <c r="L969" s="164" t="s">
        <v>2607</v>
      </c>
      <c r="M969" s="164"/>
      <c r="N969" s="164" t="s">
        <v>202</v>
      </c>
      <c r="O969" s="196"/>
      <c r="P969" s="164"/>
      <c r="Q969" s="164"/>
      <c r="R969" s="164"/>
      <c r="S969" s="283"/>
      <c r="T969" s="164" t="s">
        <v>208</v>
      </c>
      <c r="U969" s="283"/>
      <c r="V969" s="283"/>
      <c r="W969" s="204" t="s">
        <v>2375</v>
      </c>
      <c r="X969" s="225"/>
      <c r="Y969" s="283"/>
      <c r="Z969" s="283"/>
      <c r="AA969" s="283"/>
      <c r="AB969" s="283"/>
      <c r="AC969" s="283"/>
      <c r="AD969" s="283"/>
      <c r="AE969" s="283"/>
      <c r="AF969" s="283"/>
      <c r="AG969" s="283"/>
      <c r="AH969" s="285" t="s">
        <v>2608</v>
      </c>
      <c r="AI969" s="357" t="s">
        <v>2398</v>
      </c>
      <c r="AJ969" s="285" t="s">
        <v>2399</v>
      </c>
      <c r="AK969" s="225"/>
      <c r="AL969" s="225"/>
      <c r="AM969" s="24"/>
    </row>
    <row r="970" spans="1:39" ht="12.75" customHeight="1">
      <c r="A970" s="22">
        <v>968</v>
      </c>
      <c r="B970" s="24" t="s">
        <v>1673</v>
      </c>
      <c r="C970" s="24" t="s">
        <v>180</v>
      </c>
      <c r="D970" s="24" t="s">
        <v>2605</v>
      </c>
      <c r="E970" s="24" t="s">
        <v>2606</v>
      </c>
      <c r="F970" s="24">
        <v>1</v>
      </c>
      <c r="G970" s="24" t="s">
        <v>2372</v>
      </c>
      <c r="H970" s="24"/>
      <c r="I970" s="24"/>
      <c r="J970" s="283"/>
      <c r="K970" s="164"/>
      <c r="L970" s="164"/>
      <c r="M970" s="164"/>
      <c r="N970" s="164"/>
      <c r="O970" s="196" t="s">
        <v>1673</v>
      </c>
      <c r="P970" s="164"/>
      <c r="Q970" s="164"/>
      <c r="R970" s="164"/>
      <c r="S970" s="283"/>
      <c r="T970" s="164"/>
      <c r="U970" s="283"/>
      <c r="V970" s="283"/>
      <c r="W970" s="204"/>
      <c r="X970" s="225"/>
      <c r="Y970" s="283"/>
      <c r="Z970" s="283"/>
      <c r="AA970" s="283"/>
      <c r="AB970" s="283"/>
      <c r="AC970" s="283"/>
      <c r="AD970" s="283"/>
      <c r="AE970" s="283"/>
      <c r="AF970" s="283"/>
      <c r="AG970" s="283"/>
      <c r="AH970" s="285" t="s">
        <v>115</v>
      </c>
      <c r="AI970" s="357" t="s">
        <v>942</v>
      </c>
      <c r="AJ970" s="205" t="s">
        <v>943</v>
      </c>
      <c r="AK970" s="225"/>
      <c r="AL970" s="225"/>
      <c r="AM970" s="24"/>
    </row>
    <row r="971" spans="1:39" ht="12.75" customHeight="1">
      <c r="A971" s="22">
        <v>969</v>
      </c>
      <c r="B971" s="24" t="s">
        <v>1468</v>
      </c>
      <c r="C971" s="24" t="s">
        <v>180</v>
      </c>
      <c r="D971" s="24" t="s">
        <v>2605</v>
      </c>
      <c r="E971" s="24" t="s">
        <v>2606</v>
      </c>
      <c r="F971" s="24">
        <v>1</v>
      </c>
      <c r="G971" s="24" t="s">
        <v>2372</v>
      </c>
      <c r="H971" s="24"/>
      <c r="I971" s="24"/>
      <c r="J971" s="283"/>
      <c r="K971" s="164"/>
      <c r="L971" s="164"/>
      <c r="M971" s="164"/>
      <c r="N971" s="164"/>
      <c r="O971" s="196" t="s">
        <v>1468</v>
      </c>
      <c r="P971" s="164"/>
      <c r="Q971" s="164"/>
      <c r="R971" s="164"/>
      <c r="S971" s="283"/>
      <c r="T971" s="164"/>
      <c r="U971" s="283"/>
      <c r="V971" s="283"/>
      <c r="W971" s="204"/>
      <c r="X971" s="225"/>
      <c r="Y971" s="283"/>
      <c r="Z971" s="283"/>
      <c r="AA971" s="283"/>
      <c r="AB971" s="283"/>
      <c r="AC971" s="283"/>
      <c r="AD971" s="283"/>
      <c r="AE971" s="283"/>
      <c r="AF971" s="283"/>
      <c r="AG971" s="283"/>
      <c r="AH971" s="285" t="s">
        <v>115</v>
      </c>
      <c r="AI971" s="357" t="s">
        <v>1469</v>
      </c>
      <c r="AJ971" s="205" t="s">
        <v>1470</v>
      </c>
      <c r="AK971" s="225"/>
      <c r="AL971" s="225"/>
      <c r="AM971" s="24"/>
    </row>
    <row r="972" spans="1:39" ht="12.75" customHeight="1">
      <c r="A972" s="22">
        <v>970</v>
      </c>
      <c r="B972" s="24" t="s">
        <v>2609</v>
      </c>
      <c r="C972" s="24" t="s">
        <v>96</v>
      </c>
      <c r="D972" s="24" t="s">
        <v>1787</v>
      </c>
      <c r="E972" s="24" t="s">
        <v>2610</v>
      </c>
      <c r="F972" s="24">
        <v>1</v>
      </c>
      <c r="G972" s="24" t="s">
        <v>2372</v>
      </c>
      <c r="H972" s="24"/>
      <c r="I972" s="24"/>
      <c r="J972" s="283"/>
      <c r="K972" s="164" t="s">
        <v>2609</v>
      </c>
      <c r="L972" s="164" t="s">
        <v>2611</v>
      </c>
      <c r="M972" s="164"/>
      <c r="N972" s="164" t="s">
        <v>202</v>
      </c>
      <c r="O972" s="196"/>
      <c r="P972" s="164"/>
      <c r="Q972" s="164"/>
      <c r="R972" s="164"/>
      <c r="S972" s="283"/>
      <c r="T972" s="164" t="s">
        <v>208</v>
      </c>
      <c r="U972" s="283"/>
      <c r="V972" s="283"/>
      <c r="W972" s="224" t="s">
        <v>2375</v>
      </c>
      <c r="X972" s="225"/>
      <c r="Y972" s="283"/>
      <c r="Z972" s="283"/>
      <c r="AA972" s="283"/>
      <c r="AB972" s="283"/>
      <c r="AC972" s="283"/>
      <c r="AD972" s="283"/>
      <c r="AE972" s="283"/>
      <c r="AF972" s="283"/>
      <c r="AG972" s="283"/>
      <c r="AH972" s="285" t="s">
        <v>2612</v>
      </c>
      <c r="AI972" s="357" t="s">
        <v>2398</v>
      </c>
      <c r="AJ972" s="285" t="s">
        <v>2399</v>
      </c>
      <c r="AK972" s="225"/>
      <c r="AL972" s="225"/>
      <c r="AM972" s="24"/>
    </row>
    <row r="973" spans="1:39" ht="12.75" customHeight="1">
      <c r="A973" s="22">
        <v>971</v>
      </c>
      <c r="B973" s="24" t="s">
        <v>1673</v>
      </c>
      <c r="C973" s="24" t="s">
        <v>180</v>
      </c>
      <c r="D973" s="24" t="s">
        <v>2609</v>
      </c>
      <c r="E973" s="24" t="s">
        <v>2610</v>
      </c>
      <c r="F973" s="24">
        <v>1</v>
      </c>
      <c r="G973" s="24" t="s">
        <v>2372</v>
      </c>
      <c r="H973" s="24"/>
      <c r="I973" s="24"/>
      <c r="J973" s="283"/>
      <c r="K973" s="164"/>
      <c r="L973" s="164"/>
      <c r="M973" s="164"/>
      <c r="N973" s="164"/>
      <c r="O973" s="196" t="s">
        <v>1673</v>
      </c>
      <c r="P973" s="164"/>
      <c r="Q973" s="164"/>
      <c r="R973" s="164"/>
      <c r="S973" s="283"/>
      <c r="T973" s="164"/>
      <c r="U973" s="283"/>
      <c r="V973" s="283"/>
      <c r="W973" s="204"/>
      <c r="X973" s="225"/>
      <c r="Y973" s="283"/>
      <c r="Z973" s="283"/>
      <c r="AA973" s="283"/>
      <c r="AB973" s="283"/>
      <c r="AC973" s="283"/>
      <c r="AD973" s="283"/>
      <c r="AE973" s="283"/>
      <c r="AF973" s="283"/>
      <c r="AG973" s="283"/>
      <c r="AH973" s="285" t="s">
        <v>115</v>
      </c>
      <c r="AI973" s="357" t="s">
        <v>942</v>
      </c>
      <c r="AJ973" s="205" t="s">
        <v>943</v>
      </c>
      <c r="AK973" s="225"/>
      <c r="AL973" s="225"/>
      <c r="AM973" s="24"/>
    </row>
    <row r="974" spans="1:39" ht="12.75" customHeight="1">
      <c r="A974" s="22">
        <v>972</v>
      </c>
      <c r="B974" s="24" t="s">
        <v>1468</v>
      </c>
      <c r="C974" s="24" t="s">
        <v>180</v>
      </c>
      <c r="D974" s="24" t="s">
        <v>2609</v>
      </c>
      <c r="E974" s="24" t="s">
        <v>2610</v>
      </c>
      <c r="F974" s="24">
        <v>1</v>
      </c>
      <c r="G974" s="24" t="s">
        <v>2372</v>
      </c>
      <c r="H974" s="24"/>
      <c r="I974" s="24"/>
      <c r="J974" s="283"/>
      <c r="K974" s="164"/>
      <c r="L974" s="164"/>
      <c r="M974" s="164"/>
      <c r="N974" s="164"/>
      <c r="O974" s="196" t="s">
        <v>1468</v>
      </c>
      <c r="P974" s="164"/>
      <c r="Q974" s="164"/>
      <c r="R974" s="164"/>
      <c r="S974" s="283"/>
      <c r="T974" s="164"/>
      <c r="U974" s="283"/>
      <c r="V974" s="283"/>
      <c r="W974" s="204"/>
      <c r="X974" s="225"/>
      <c r="Y974" s="283"/>
      <c r="Z974" s="283"/>
      <c r="AA974" s="283"/>
      <c r="AB974" s="283"/>
      <c r="AC974" s="283"/>
      <c r="AD974" s="283"/>
      <c r="AE974" s="283"/>
      <c r="AF974" s="283"/>
      <c r="AG974" s="283"/>
      <c r="AH974" s="285" t="s">
        <v>115</v>
      </c>
      <c r="AI974" s="357" t="s">
        <v>1469</v>
      </c>
      <c r="AJ974" s="205" t="s">
        <v>1470</v>
      </c>
      <c r="AK974" s="225"/>
      <c r="AL974" s="225"/>
      <c r="AM974" s="24"/>
    </row>
    <row r="975" spans="1:39" ht="12.75" customHeight="1">
      <c r="A975" s="22">
        <v>973</v>
      </c>
      <c r="B975" s="24" t="s">
        <v>2613</v>
      </c>
      <c r="C975" s="24" t="s">
        <v>96</v>
      </c>
      <c r="D975" s="24" t="s">
        <v>1787</v>
      </c>
      <c r="E975" s="24" t="s">
        <v>2614</v>
      </c>
      <c r="F975" s="24">
        <v>1</v>
      </c>
      <c r="G975" s="24" t="s">
        <v>2372</v>
      </c>
      <c r="H975" s="24"/>
      <c r="I975" s="24"/>
      <c r="J975" s="283"/>
      <c r="K975" s="224" t="s">
        <v>2613</v>
      </c>
      <c r="L975" s="164" t="s">
        <v>2615</v>
      </c>
      <c r="M975" s="164"/>
      <c r="N975" s="164" t="s">
        <v>202</v>
      </c>
      <c r="O975" s="196"/>
      <c r="P975" s="164"/>
      <c r="Q975" s="164"/>
      <c r="R975" s="164"/>
      <c r="S975" s="283"/>
      <c r="T975" s="164" t="s">
        <v>208</v>
      </c>
      <c r="U975" s="283"/>
      <c r="V975" s="283"/>
      <c r="W975" s="204" t="s">
        <v>2375</v>
      </c>
      <c r="X975" s="225"/>
      <c r="Y975" s="283"/>
      <c r="Z975" s="283"/>
      <c r="AA975" s="283"/>
      <c r="AB975" s="283"/>
      <c r="AC975" s="283"/>
      <c r="AD975" s="283"/>
      <c r="AE975" s="283"/>
      <c r="AF975" s="283"/>
      <c r="AG975" s="283"/>
      <c r="AH975" s="285" t="s">
        <v>2617</v>
      </c>
      <c r="AI975" s="357" t="s">
        <v>2398</v>
      </c>
      <c r="AJ975" s="285" t="s">
        <v>2399</v>
      </c>
      <c r="AK975" s="225"/>
      <c r="AL975" s="225"/>
      <c r="AM975" s="24"/>
    </row>
    <row r="976" spans="1:39" ht="12.75" customHeight="1">
      <c r="A976" s="22">
        <v>974</v>
      </c>
      <c r="B976" s="24" t="s">
        <v>1673</v>
      </c>
      <c r="C976" s="24" t="s">
        <v>180</v>
      </c>
      <c r="D976" s="24" t="s">
        <v>2613</v>
      </c>
      <c r="E976" s="24" t="s">
        <v>2614</v>
      </c>
      <c r="F976" s="24">
        <v>1</v>
      </c>
      <c r="G976" s="24" t="s">
        <v>2372</v>
      </c>
      <c r="H976" s="24"/>
      <c r="I976" s="24"/>
      <c r="J976" s="283"/>
      <c r="K976" s="224"/>
      <c r="L976" s="164"/>
      <c r="M976" s="164"/>
      <c r="N976" s="164"/>
      <c r="O976" s="196" t="s">
        <v>1673</v>
      </c>
      <c r="P976" s="164"/>
      <c r="Q976" s="164"/>
      <c r="R976" s="164"/>
      <c r="S976" s="283"/>
      <c r="T976" s="164"/>
      <c r="U976" s="283"/>
      <c r="V976" s="283"/>
      <c r="W976" s="204"/>
      <c r="X976" s="225"/>
      <c r="Y976" s="283"/>
      <c r="Z976" s="283"/>
      <c r="AA976" s="283"/>
      <c r="AB976" s="283"/>
      <c r="AC976" s="283"/>
      <c r="AD976" s="283"/>
      <c r="AE976" s="283"/>
      <c r="AF976" s="283"/>
      <c r="AG976" s="283"/>
      <c r="AH976" s="285" t="s">
        <v>115</v>
      </c>
      <c r="AI976" s="357" t="s">
        <v>942</v>
      </c>
      <c r="AJ976" s="205" t="s">
        <v>943</v>
      </c>
      <c r="AK976" s="225"/>
      <c r="AL976" s="225"/>
      <c r="AM976" s="24"/>
    </row>
    <row r="977" spans="1:39" ht="12.75" customHeight="1">
      <c r="A977" s="22">
        <v>975</v>
      </c>
      <c r="B977" s="24" t="s">
        <v>1468</v>
      </c>
      <c r="C977" s="24" t="s">
        <v>180</v>
      </c>
      <c r="D977" s="24" t="s">
        <v>2613</v>
      </c>
      <c r="E977" s="24" t="s">
        <v>2614</v>
      </c>
      <c r="F977" s="24">
        <v>1</v>
      </c>
      <c r="G977" s="24" t="s">
        <v>2372</v>
      </c>
      <c r="H977" s="24"/>
      <c r="I977" s="24"/>
      <c r="J977" s="283"/>
      <c r="K977" s="224"/>
      <c r="L977" s="164"/>
      <c r="M977" s="164"/>
      <c r="N977" s="164"/>
      <c r="O977" s="196" t="s">
        <v>1468</v>
      </c>
      <c r="P977" s="164"/>
      <c r="Q977" s="164"/>
      <c r="R977" s="164"/>
      <c r="S977" s="283"/>
      <c r="T977" s="164"/>
      <c r="U977" s="283"/>
      <c r="V977" s="283"/>
      <c r="W977" s="204"/>
      <c r="X977" s="225"/>
      <c r="Y977" s="283"/>
      <c r="Z977" s="283"/>
      <c r="AA977" s="283"/>
      <c r="AB977" s="283"/>
      <c r="AC977" s="283"/>
      <c r="AD977" s="283"/>
      <c r="AE977" s="283"/>
      <c r="AF977" s="283"/>
      <c r="AG977" s="283"/>
      <c r="AH977" s="285" t="s">
        <v>115</v>
      </c>
      <c r="AI977" s="357" t="s">
        <v>1469</v>
      </c>
      <c r="AJ977" s="205" t="s">
        <v>1470</v>
      </c>
      <c r="AK977" s="225"/>
      <c r="AL977" s="225"/>
      <c r="AM977" s="24"/>
    </row>
    <row r="978" spans="1:39" ht="12.75" customHeight="1">
      <c r="A978" s="22">
        <v>976</v>
      </c>
      <c r="B978" s="24" t="s">
        <v>2618</v>
      </c>
      <c r="C978" s="24" t="s">
        <v>96</v>
      </c>
      <c r="D978" s="24" t="s">
        <v>1787</v>
      </c>
      <c r="E978" s="24" t="s">
        <v>2614</v>
      </c>
      <c r="F978" s="24">
        <v>1</v>
      </c>
      <c r="G978" s="24" t="s">
        <v>2372</v>
      </c>
      <c r="H978" s="24"/>
      <c r="I978" s="24"/>
      <c r="J978" s="283"/>
      <c r="K978" s="224" t="s">
        <v>2618</v>
      </c>
      <c r="L978" s="164" t="s">
        <v>2620</v>
      </c>
      <c r="M978" s="164"/>
      <c r="N978" s="164" t="s">
        <v>202</v>
      </c>
      <c r="O978" s="196"/>
      <c r="P978" s="164"/>
      <c r="Q978" s="164"/>
      <c r="R978" s="164"/>
      <c r="S978" s="283"/>
      <c r="T978" s="164" t="s">
        <v>208</v>
      </c>
      <c r="U978" s="283"/>
      <c r="V978" s="283"/>
      <c r="W978" s="204" t="s">
        <v>2375</v>
      </c>
      <c r="X978" s="225"/>
      <c r="Y978" s="283"/>
      <c r="Z978" s="283"/>
      <c r="AA978" s="283"/>
      <c r="AB978" s="283"/>
      <c r="AC978" s="283"/>
      <c r="AD978" s="283"/>
      <c r="AE978" s="283"/>
      <c r="AF978" s="283"/>
      <c r="AG978" s="283"/>
      <c r="AH978" s="285" t="s">
        <v>2621</v>
      </c>
      <c r="AI978" s="357" t="s">
        <v>2398</v>
      </c>
      <c r="AJ978" s="285" t="s">
        <v>2399</v>
      </c>
      <c r="AK978" s="225"/>
      <c r="AL978" s="225"/>
      <c r="AM978" s="24"/>
    </row>
    <row r="979" spans="1:39" ht="12.75" customHeight="1">
      <c r="A979" s="22">
        <v>977</v>
      </c>
      <c r="B979" s="24" t="s">
        <v>1673</v>
      </c>
      <c r="C979" s="24" t="s">
        <v>180</v>
      </c>
      <c r="D979" s="24" t="s">
        <v>2618</v>
      </c>
      <c r="E979" s="24" t="s">
        <v>2614</v>
      </c>
      <c r="F979" s="24">
        <v>1</v>
      </c>
      <c r="G979" s="24" t="s">
        <v>2372</v>
      </c>
      <c r="H979" s="24"/>
      <c r="I979" s="24"/>
      <c r="J979" s="283"/>
      <c r="K979" s="224"/>
      <c r="L979" s="164"/>
      <c r="M979" s="164"/>
      <c r="N979" s="164"/>
      <c r="O979" s="196" t="s">
        <v>1673</v>
      </c>
      <c r="P979" s="164"/>
      <c r="Q979" s="164"/>
      <c r="R979" s="164"/>
      <c r="S979" s="283"/>
      <c r="T979" s="164"/>
      <c r="U979" s="283"/>
      <c r="V979" s="283"/>
      <c r="W979" s="204"/>
      <c r="X979" s="225"/>
      <c r="Y979" s="283"/>
      <c r="Z979" s="283"/>
      <c r="AA979" s="283"/>
      <c r="AB979" s="283"/>
      <c r="AC979" s="283"/>
      <c r="AD979" s="283"/>
      <c r="AE979" s="283"/>
      <c r="AF979" s="283"/>
      <c r="AG979" s="283"/>
      <c r="AH979" s="285" t="s">
        <v>115</v>
      </c>
      <c r="AI979" s="357" t="s">
        <v>942</v>
      </c>
      <c r="AJ979" s="205" t="s">
        <v>943</v>
      </c>
      <c r="AK979" s="225"/>
      <c r="AL979" s="225"/>
      <c r="AM979" s="24"/>
    </row>
    <row r="980" spans="1:39" ht="12.75" customHeight="1">
      <c r="A980" s="22">
        <v>978</v>
      </c>
      <c r="B980" s="24" t="s">
        <v>1468</v>
      </c>
      <c r="C980" s="24" t="s">
        <v>180</v>
      </c>
      <c r="D980" s="24" t="s">
        <v>2618</v>
      </c>
      <c r="E980" s="24" t="s">
        <v>2614</v>
      </c>
      <c r="F980" s="24">
        <v>1</v>
      </c>
      <c r="G980" s="24" t="s">
        <v>2372</v>
      </c>
      <c r="H980" s="24"/>
      <c r="I980" s="24"/>
      <c r="J980" s="283"/>
      <c r="K980" s="224"/>
      <c r="L980" s="164"/>
      <c r="M980" s="164"/>
      <c r="N980" s="164"/>
      <c r="O980" s="196" t="s">
        <v>1468</v>
      </c>
      <c r="P980" s="164"/>
      <c r="Q980" s="164"/>
      <c r="R980" s="164"/>
      <c r="S980" s="283"/>
      <c r="T980" s="164"/>
      <c r="U980" s="283"/>
      <c r="V980" s="283"/>
      <c r="W980" s="204"/>
      <c r="X980" s="225"/>
      <c r="Y980" s="283"/>
      <c r="Z980" s="283"/>
      <c r="AA980" s="283"/>
      <c r="AB980" s="283"/>
      <c r="AC980" s="283"/>
      <c r="AD980" s="283"/>
      <c r="AE980" s="283"/>
      <c r="AF980" s="283"/>
      <c r="AG980" s="283"/>
      <c r="AH980" s="285" t="s">
        <v>115</v>
      </c>
      <c r="AI980" s="357" t="s">
        <v>1469</v>
      </c>
      <c r="AJ980" s="205" t="s">
        <v>1470</v>
      </c>
      <c r="AK980" s="225"/>
      <c r="AL980" s="225"/>
      <c r="AM980" s="24"/>
    </row>
    <row r="981" spans="1:39" ht="12.75" customHeight="1">
      <c r="A981" s="22">
        <v>979</v>
      </c>
      <c r="B981" s="24" t="s">
        <v>2622</v>
      </c>
      <c r="C981" s="24" t="s">
        <v>65</v>
      </c>
      <c r="D981" s="24" t="s">
        <v>1787</v>
      </c>
      <c r="E981" s="24" t="s">
        <v>2614</v>
      </c>
      <c r="F981" s="24">
        <v>1</v>
      </c>
      <c r="G981" s="24" t="s">
        <v>2372</v>
      </c>
      <c r="H981" s="24"/>
      <c r="I981" s="24"/>
      <c r="J981" s="283"/>
      <c r="K981" s="298" t="s">
        <v>115</v>
      </c>
      <c r="L981" s="298" t="s">
        <v>2622</v>
      </c>
      <c r="M981" s="298" t="s">
        <v>2623</v>
      </c>
      <c r="N981" s="298" t="s">
        <v>65</v>
      </c>
      <c r="O981" s="164"/>
      <c r="P981" s="298" t="s">
        <v>2624</v>
      </c>
      <c r="Q981" s="298"/>
      <c r="R981" s="164"/>
      <c r="S981" s="283"/>
      <c r="T981" s="298" t="s">
        <v>115</v>
      </c>
      <c r="U981" s="283"/>
      <c r="V981" s="283"/>
      <c r="W981" s="298" t="s">
        <v>115</v>
      </c>
      <c r="X981" s="225"/>
      <c r="Y981" s="283"/>
      <c r="Z981" s="283"/>
      <c r="AA981" s="283"/>
      <c r="AB981" s="283"/>
      <c r="AC981" s="283"/>
      <c r="AD981" s="283"/>
      <c r="AE981" s="283"/>
      <c r="AF981" s="283"/>
      <c r="AG981" s="283"/>
      <c r="AH981" s="285" t="s">
        <v>115</v>
      </c>
      <c r="AI981" s="285" t="s">
        <v>115</v>
      </c>
      <c r="AJ981" s="285" t="s">
        <v>115</v>
      </c>
      <c r="AK981" s="225"/>
      <c r="AL981" s="225"/>
      <c r="AM981" s="24"/>
    </row>
    <row r="982" spans="1:39" ht="12.75" customHeight="1">
      <c r="A982" s="22">
        <v>980</v>
      </c>
      <c r="B982" s="24" t="s">
        <v>2626</v>
      </c>
      <c r="C982" s="24" t="s">
        <v>96</v>
      </c>
      <c r="D982" s="24" t="s">
        <v>1787</v>
      </c>
      <c r="E982" s="24" t="s">
        <v>2627</v>
      </c>
      <c r="F982" s="24">
        <v>1</v>
      </c>
      <c r="G982" s="24" t="s">
        <v>2372</v>
      </c>
      <c r="H982" s="24"/>
      <c r="I982" s="24"/>
      <c r="J982" s="283"/>
      <c r="K982" s="234" t="s">
        <v>2626</v>
      </c>
      <c r="L982" s="164" t="s">
        <v>2628</v>
      </c>
      <c r="M982" s="164"/>
      <c r="N982" s="164" t="s">
        <v>202</v>
      </c>
      <c r="O982" s="196"/>
      <c r="P982" s="164"/>
      <c r="Q982" s="164"/>
      <c r="R982" s="164"/>
      <c r="S982" s="283"/>
      <c r="T982" s="164" t="s">
        <v>113</v>
      </c>
      <c r="U982" s="283"/>
      <c r="V982" s="283"/>
      <c r="W982" s="204" t="s">
        <v>2375</v>
      </c>
      <c r="X982" s="225"/>
      <c r="Y982" s="283"/>
      <c r="Z982" s="283"/>
      <c r="AA982" s="283"/>
      <c r="AB982" s="283"/>
      <c r="AC982" s="283"/>
      <c r="AD982" s="283"/>
      <c r="AE982" s="283"/>
      <c r="AF982" s="283"/>
      <c r="AG982" s="283"/>
      <c r="AH982" s="285" t="s">
        <v>2629</v>
      </c>
      <c r="AI982" s="357" t="s">
        <v>2630</v>
      </c>
      <c r="AJ982" s="285" t="s">
        <v>2631</v>
      </c>
      <c r="AK982" s="225"/>
      <c r="AL982" s="225"/>
      <c r="AM982" s="24"/>
    </row>
    <row r="983" spans="1:39" ht="12.75" customHeight="1">
      <c r="A983" s="22">
        <v>981</v>
      </c>
      <c r="B983" s="24" t="s">
        <v>1673</v>
      </c>
      <c r="C983" s="24" t="s">
        <v>180</v>
      </c>
      <c r="D983" s="24" t="s">
        <v>2626</v>
      </c>
      <c r="E983" s="24" t="s">
        <v>2627</v>
      </c>
      <c r="F983" s="24">
        <v>1</v>
      </c>
      <c r="G983" s="24" t="s">
        <v>2372</v>
      </c>
      <c r="H983" s="24"/>
      <c r="I983" s="24"/>
      <c r="J983" s="283"/>
      <c r="K983" s="164"/>
      <c r="L983" s="164"/>
      <c r="M983" s="164"/>
      <c r="N983" s="164"/>
      <c r="O983" s="196" t="s">
        <v>1673</v>
      </c>
      <c r="P983" s="164"/>
      <c r="Q983" s="164"/>
      <c r="R983" s="164"/>
      <c r="S983" s="283"/>
      <c r="T983" s="164"/>
      <c r="U983" s="283"/>
      <c r="V983" s="283"/>
      <c r="W983" s="164"/>
      <c r="X983" s="225"/>
      <c r="Y983" s="283"/>
      <c r="Z983" s="283"/>
      <c r="AA983" s="283"/>
      <c r="AB983" s="283"/>
      <c r="AC983" s="283"/>
      <c r="AD983" s="283"/>
      <c r="AE983" s="283"/>
      <c r="AF983" s="283"/>
      <c r="AG983" s="283"/>
      <c r="AH983" s="285" t="s">
        <v>115</v>
      </c>
      <c r="AI983" s="357" t="s">
        <v>942</v>
      </c>
      <c r="AJ983" s="205" t="s">
        <v>943</v>
      </c>
      <c r="AK983" s="225"/>
      <c r="AL983" s="225"/>
      <c r="AM983" s="24"/>
    </row>
    <row r="984" spans="1:39" ht="12.75" customHeight="1">
      <c r="A984" s="22">
        <v>982</v>
      </c>
      <c r="B984" s="24" t="s">
        <v>1468</v>
      </c>
      <c r="C984" s="24" t="s">
        <v>180</v>
      </c>
      <c r="D984" s="24" t="s">
        <v>2626</v>
      </c>
      <c r="E984" s="24" t="s">
        <v>2627</v>
      </c>
      <c r="F984" s="24">
        <v>1</v>
      </c>
      <c r="G984" s="24" t="s">
        <v>2372</v>
      </c>
      <c r="H984" s="24"/>
      <c r="I984" s="24"/>
      <c r="J984" s="283"/>
      <c r="K984" s="164"/>
      <c r="L984" s="164"/>
      <c r="M984" s="164"/>
      <c r="N984" s="164"/>
      <c r="O984" s="196" t="s">
        <v>1468</v>
      </c>
      <c r="P984" s="164"/>
      <c r="Q984" s="164"/>
      <c r="R984" s="164"/>
      <c r="S984" s="283"/>
      <c r="T984" s="164"/>
      <c r="U984" s="283"/>
      <c r="V984" s="283"/>
      <c r="W984" s="164"/>
      <c r="X984" s="225"/>
      <c r="Y984" s="283"/>
      <c r="Z984" s="283"/>
      <c r="AA984" s="283"/>
      <c r="AB984" s="283"/>
      <c r="AC984" s="283"/>
      <c r="AD984" s="283"/>
      <c r="AE984" s="283"/>
      <c r="AF984" s="283"/>
      <c r="AG984" s="283"/>
      <c r="AH984" s="285" t="s">
        <v>115</v>
      </c>
      <c r="AI984" s="357" t="s">
        <v>1469</v>
      </c>
      <c r="AJ984" s="205" t="s">
        <v>1470</v>
      </c>
      <c r="AK984" s="225"/>
      <c r="AL984" s="225"/>
      <c r="AM984" s="24"/>
    </row>
    <row r="985" spans="1:39" ht="12.75" customHeight="1">
      <c r="A985" s="22">
        <v>983</v>
      </c>
      <c r="B985" s="24" t="s">
        <v>2632</v>
      </c>
      <c r="C985" s="24" t="s">
        <v>96</v>
      </c>
      <c r="D985" s="24" t="s">
        <v>1787</v>
      </c>
      <c r="E985" s="24" t="s">
        <v>2627</v>
      </c>
      <c r="F985" s="24">
        <v>1</v>
      </c>
      <c r="G985" s="24" t="s">
        <v>2372</v>
      </c>
      <c r="H985" s="24"/>
      <c r="I985" s="24"/>
      <c r="J985" s="283"/>
      <c r="K985" s="164" t="s">
        <v>1376</v>
      </c>
      <c r="L985" s="164" t="s">
        <v>2633</v>
      </c>
      <c r="M985" s="164" t="s">
        <v>2634</v>
      </c>
      <c r="N985" s="164" t="s">
        <v>202</v>
      </c>
      <c r="O985" s="224"/>
      <c r="P985" s="164"/>
      <c r="Q985" s="164"/>
      <c r="R985" s="164"/>
      <c r="S985" s="283"/>
      <c r="T985" s="164" t="s">
        <v>113</v>
      </c>
      <c r="U985" s="283"/>
      <c r="V985" s="283"/>
      <c r="W985" s="164" t="s">
        <v>115</v>
      </c>
      <c r="X985" s="225"/>
      <c r="Y985" s="283"/>
      <c r="Z985" s="283"/>
      <c r="AA985" s="283"/>
      <c r="AB985" s="283"/>
      <c r="AC985" s="283"/>
      <c r="AD985" s="283"/>
      <c r="AE985" s="283"/>
      <c r="AF985" s="283"/>
      <c r="AG985" s="283"/>
      <c r="AH985" s="285" t="s">
        <v>2629</v>
      </c>
      <c r="AI985" s="357" t="s">
        <v>2635</v>
      </c>
      <c r="AJ985" s="285" t="s">
        <v>2636</v>
      </c>
      <c r="AK985" s="225"/>
      <c r="AL985" s="225"/>
      <c r="AM985" s="24"/>
    </row>
    <row r="986" spans="1:39" ht="12.75" customHeight="1">
      <c r="A986" s="22">
        <v>984</v>
      </c>
      <c r="B986" s="24" t="s">
        <v>1909</v>
      </c>
      <c r="C986" s="24" t="s">
        <v>180</v>
      </c>
      <c r="D986" s="24" t="s">
        <v>2632</v>
      </c>
      <c r="E986" s="24" t="s">
        <v>2627</v>
      </c>
      <c r="F986" s="24">
        <v>1</v>
      </c>
      <c r="G986" s="24" t="s">
        <v>2372</v>
      </c>
      <c r="H986" s="24"/>
      <c r="I986" s="24"/>
      <c r="J986" s="283"/>
      <c r="K986" s="196"/>
      <c r="L986" s="164"/>
      <c r="M986" s="196"/>
      <c r="N986" s="196"/>
      <c r="O986" s="224" t="s">
        <v>1909</v>
      </c>
      <c r="P986" s="196"/>
      <c r="Q986" s="196"/>
      <c r="R986" s="196"/>
      <c r="S986" s="283"/>
      <c r="T986" s="196"/>
      <c r="U986" s="283"/>
      <c r="V986" s="283"/>
      <c r="W986" s="196"/>
      <c r="X986" s="225"/>
      <c r="Y986" s="283"/>
      <c r="Z986" s="283"/>
      <c r="AA986" s="283"/>
      <c r="AB986" s="283"/>
      <c r="AC986" s="283"/>
      <c r="AD986" s="283"/>
      <c r="AE986" s="283"/>
      <c r="AF986" s="283"/>
      <c r="AG986" s="283"/>
      <c r="AH986" s="285" t="s">
        <v>115</v>
      </c>
      <c r="AI986" s="359" t="s">
        <v>2637</v>
      </c>
      <c r="AJ986" s="205" t="s">
        <v>2638</v>
      </c>
      <c r="AK986" s="225"/>
      <c r="AL986" s="225"/>
      <c r="AM986" s="24"/>
    </row>
    <row r="987" spans="1:39" ht="12.75" customHeight="1">
      <c r="A987" s="22">
        <v>985</v>
      </c>
      <c r="B987" s="24" t="s">
        <v>405</v>
      </c>
      <c r="C987" s="24" t="s">
        <v>180</v>
      </c>
      <c r="D987" s="24" t="s">
        <v>2632</v>
      </c>
      <c r="E987" s="24" t="s">
        <v>2627</v>
      </c>
      <c r="F987" s="24">
        <v>1</v>
      </c>
      <c r="G987" s="24" t="s">
        <v>2372</v>
      </c>
      <c r="H987" s="24"/>
      <c r="I987" s="24"/>
      <c r="J987" s="283"/>
      <c r="K987" s="196"/>
      <c r="L987" s="164"/>
      <c r="M987" s="196"/>
      <c r="N987" s="196"/>
      <c r="O987" s="204" t="s">
        <v>405</v>
      </c>
      <c r="P987" s="196"/>
      <c r="Q987" s="196"/>
      <c r="R987" s="196"/>
      <c r="S987" s="283"/>
      <c r="T987" s="196"/>
      <c r="U987" s="283"/>
      <c r="V987" s="283"/>
      <c r="W987" s="196"/>
      <c r="X987" s="225"/>
      <c r="Y987" s="283"/>
      <c r="Z987" s="283"/>
      <c r="AA987" s="283"/>
      <c r="AB987" s="283"/>
      <c r="AC987" s="283"/>
      <c r="AD987" s="283"/>
      <c r="AE987" s="283"/>
      <c r="AF987" s="283"/>
      <c r="AG987" s="283"/>
      <c r="AH987" s="285" t="s">
        <v>115</v>
      </c>
      <c r="AI987" s="359" t="s">
        <v>406</v>
      </c>
      <c r="AJ987" s="205" t="s">
        <v>407</v>
      </c>
      <c r="AK987" s="225"/>
      <c r="AL987" s="225"/>
      <c r="AM987" s="24"/>
    </row>
    <row r="988" spans="1:39" ht="12.75" customHeight="1">
      <c r="A988" s="22">
        <v>986</v>
      </c>
      <c r="B988" s="24" t="s">
        <v>2639</v>
      </c>
      <c r="C988" s="24" t="s">
        <v>96</v>
      </c>
      <c r="D988" s="24" t="s">
        <v>1787</v>
      </c>
      <c r="E988" s="24" t="s">
        <v>2627</v>
      </c>
      <c r="F988" s="24">
        <v>1</v>
      </c>
      <c r="G988" s="24" t="s">
        <v>2372</v>
      </c>
      <c r="H988" s="24"/>
      <c r="I988" s="24"/>
      <c r="J988" s="283"/>
      <c r="K988" s="196" t="s">
        <v>409</v>
      </c>
      <c r="L988" s="164" t="s">
        <v>2640</v>
      </c>
      <c r="M988" s="196" t="s">
        <v>2641</v>
      </c>
      <c r="N988" s="196" t="s">
        <v>111</v>
      </c>
      <c r="O988" s="196"/>
      <c r="P988" s="196"/>
      <c r="Q988" s="196"/>
      <c r="R988" s="196"/>
      <c r="S988" s="283"/>
      <c r="T988" s="196" t="s">
        <v>208</v>
      </c>
      <c r="U988" s="283"/>
      <c r="V988" s="283"/>
      <c r="W988" s="196" t="s">
        <v>115</v>
      </c>
      <c r="X988" s="225"/>
      <c r="Y988" s="283"/>
      <c r="Z988" s="283"/>
      <c r="AA988" s="283"/>
      <c r="AB988" s="283"/>
      <c r="AC988" s="283"/>
      <c r="AD988" s="283"/>
      <c r="AE988" s="283"/>
      <c r="AF988" s="283"/>
      <c r="AG988" s="283"/>
      <c r="AH988" s="285" t="s">
        <v>2629</v>
      </c>
      <c r="AI988" s="357" t="s">
        <v>2642</v>
      </c>
      <c r="AJ988" s="285" t="s">
        <v>2643</v>
      </c>
      <c r="AK988" s="225"/>
      <c r="AL988" s="225"/>
      <c r="AM988" s="24"/>
    </row>
    <row r="989" spans="1:39" ht="12.75" customHeight="1">
      <c r="A989" s="22">
        <v>987</v>
      </c>
      <c r="B989" s="24" t="s">
        <v>2644</v>
      </c>
      <c r="C989" s="24" t="s">
        <v>65</v>
      </c>
      <c r="D989" s="24" t="s">
        <v>1787</v>
      </c>
      <c r="E989" s="24" t="s">
        <v>2627</v>
      </c>
      <c r="F989" s="24">
        <v>1</v>
      </c>
      <c r="G989" s="24" t="s">
        <v>2372</v>
      </c>
      <c r="H989" s="24"/>
      <c r="I989" s="24"/>
      <c r="J989" s="283"/>
      <c r="K989" s="238" t="s">
        <v>115</v>
      </c>
      <c r="L989" s="238" t="s">
        <v>2644</v>
      </c>
      <c r="M989" s="238" t="s">
        <v>2645</v>
      </c>
      <c r="N989" s="238" t="s">
        <v>65</v>
      </c>
      <c r="O989" s="196"/>
      <c r="P989" s="238" t="s">
        <v>2646</v>
      </c>
      <c r="Q989" s="238"/>
      <c r="R989" s="196"/>
      <c r="S989" s="283"/>
      <c r="T989" s="238" t="s">
        <v>115</v>
      </c>
      <c r="U989" s="283"/>
      <c r="V989" s="283"/>
      <c r="W989" s="238" t="s">
        <v>115</v>
      </c>
      <c r="X989" s="225"/>
      <c r="Y989" s="283"/>
      <c r="Z989" s="283"/>
      <c r="AA989" s="283"/>
      <c r="AB989" s="283"/>
      <c r="AC989" s="283"/>
      <c r="AD989" s="283"/>
      <c r="AE989" s="283"/>
      <c r="AF989" s="283"/>
      <c r="AG989" s="283"/>
      <c r="AH989" s="285" t="s">
        <v>115</v>
      </c>
      <c r="AI989" s="285" t="s">
        <v>115</v>
      </c>
      <c r="AJ989" s="285" t="s">
        <v>115</v>
      </c>
      <c r="AK989" s="225"/>
      <c r="AL989" s="225"/>
      <c r="AM989" s="24"/>
    </row>
    <row r="990" spans="1:39" ht="12.75" customHeight="1">
      <c r="A990" s="22">
        <v>988</v>
      </c>
      <c r="B990" s="24" t="s">
        <v>2647</v>
      </c>
      <c r="C990" s="24" t="s">
        <v>96</v>
      </c>
      <c r="D990" s="24" t="s">
        <v>1787</v>
      </c>
      <c r="E990" s="24" t="s">
        <v>2648</v>
      </c>
      <c r="F990" s="24">
        <v>1</v>
      </c>
      <c r="G990" s="24" t="s">
        <v>2372</v>
      </c>
      <c r="H990" s="24"/>
      <c r="I990" s="24"/>
      <c r="J990" s="283"/>
      <c r="K990" s="224" t="s">
        <v>2647</v>
      </c>
      <c r="L990" s="164" t="s">
        <v>2649</v>
      </c>
      <c r="M990" s="164"/>
      <c r="N990" s="164" t="s">
        <v>202</v>
      </c>
      <c r="O990" s="196"/>
      <c r="P990" s="164"/>
      <c r="Q990" s="164"/>
      <c r="R990" s="164"/>
      <c r="S990" s="283"/>
      <c r="T990" s="164" t="s">
        <v>208</v>
      </c>
      <c r="U990" s="283"/>
      <c r="V990" s="283"/>
      <c r="W990" s="204" t="s">
        <v>2375</v>
      </c>
      <c r="X990" s="225"/>
      <c r="Y990" s="283"/>
      <c r="Z990" s="283"/>
      <c r="AA990" s="283"/>
      <c r="AB990" s="283"/>
      <c r="AC990" s="283"/>
      <c r="AD990" s="283"/>
      <c r="AE990" s="283"/>
      <c r="AF990" s="283"/>
      <c r="AG990" s="283"/>
      <c r="AH990" s="285" t="s">
        <v>2650</v>
      </c>
      <c r="AI990" s="357" t="s">
        <v>2398</v>
      </c>
      <c r="AJ990" s="285" t="s">
        <v>2399</v>
      </c>
      <c r="AK990" s="225"/>
      <c r="AL990" s="225"/>
      <c r="AM990" s="24"/>
    </row>
    <row r="991" spans="1:39" ht="12.75" customHeight="1">
      <c r="A991" s="22">
        <v>989</v>
      </c>
      <c r="B991" s="24" t="s">
        <v>1673</v>
      </c>
      <c r="C991" s="24" t="s">
        <v>180</v>
      </c>
      <c r="D991" s="24" t="s">
        <v>2647</v>
      </c>
      <c r="E991" s="24" t="s">
        <v>2648</v>
      </c>
      <c r="F991" s="24">
        <v>1</v>
      </c>
      <c r="G991" s="24" t="s">
        <v>2372</v>
      </c>
      <c r="H991" s="24"/>
      <c r="I991" s="24"/>
      <c r="J991" s="283"/>
      <c r="K991" s="224"/>
      <c r="L991" s="164"/>
      <c r="M991" s="164"/>
      <c r="N991" s="164"/>
      <c r="O991" s="196" t="s">
        <v>1673</v>
      </c>
      <c r="P991" s="164"/>
      <c r="Q991" s="164"/>
      <c r="R991" s="164"/>
      <c r="S991" s="283"/>
      <c r="T991" s="164"/>
      <c r="U991" s="283"/>
      <c r="V991" s="283"/>
      <c r="W991" s="204"/>
      <c r="X991" s="225"/>
      <c r="Y991" s="283"/>
      <c r="Z991" s="283"/>
      <c r="AA991" s="283"/>
      <c r="AB991" s="283"/>
      <c r="AC991" s="283"/>
      <c r="AD991" s="283"/>
      <c r="AE991" s="283"/>
      <c r="AF991" s="283"/>
      <c r="AG991" s="283"/>
      <c r="AH991" s="285" t="s">
        <v>115</v>
      </c>
      <c r="AI991" s="357" t="s">
        <v>942</v>
      </c>
      <c r="AJ991" s="205" t="s">
        <v>943</v>
      </c>
      <c r="AK991" s="225"/>
      <c r="AL991" s="225"/>
      <c r="AM991" s="24"/>
    </row>
    <row r="992" spans="1:39" ht="12.75" customHeight="1">
      <c r="A992" s="22">
        <v>990</v>
      </c>
      <c r="B992" s="24" t="s">
        <v>1468</v>
      </c>
      <c r="C992" s="24" t="s">
        <v>180</v>
      </c>
      <c r="D992" s="24" t="s">
        <v>2647</v>
      </c>
      <c r="E992" s="24" t="s">
        <v>2648</v>
      </c>
      <c r="F992" s="24">
        <v>1</v>
      </c>
      <c r="G992" s="24" t="s">
        <v>2372</v>
      </c>
      <c r="H992" s="24"/>
      <c r="I992" s="24"/>
      <c r="J992" s="283"/>
      <c r="K992" s="224"/>
      <c r="L992" s="164"/>
      <c r="M992" s="164"/>
      <c r="N992" s="164"/>
      <c r="O992" s="196" t="s">
        <v>1468</v>
      </c>
      <c r="P992" s="164"/>
      <c r="Q992" s="164"/>
      <c r="R992" s="164"/>
      <c r="S992" s="283"/>
      <c r="T992" s="164"/>
      <c r="U992" s="283"/>
      <c r="V992" s="283"/>
      <c r="W992" s="204"/>
      <c r="X992" s="225"/>
      <c r="Y992" s="283"/>
      <c r="Z992" s="283"/>
      <c r="AA992" s="283"/>
      <c r="AB992" s="283"/>
      <c r="AC992" s="283"/>
      <c r="AD992" s="283"/>
      <c r="AE992" s="283"/>
      <c r="AF992" s="283"/>
      <c r="AG992" s="283"/>
      <c r="AH992" s="285" t="s">
        <v>115</v>
      </c>
      <c r="AI992" s="357" t="s">
        <v>1469</v>
      </c>
      <c r="AJ992" s="205" t="s">
        <v>1470</v>
      </c>
      <c r="AK992" s="225"/>
      <c r="AL992" s="225"/>
      <c r="AM992" s="24"/>
    </row>
    <row r="993" spans="1:39" ht="12.75" customHeight="1">
      <c r="A993" s="22">
        <v>991</v>
      </c>
      <c r="B993" s="24" t="s">
        <v>2652</v>
      </c>
      <c r="C993" s="24" t="s">
        <v>96</v>
      </c>
      <c r="D993" s="24" t="s">
        <v>1787</v>
      </c>
      <c r="E993" s="24" t="s">
        <v>2653</v>
      </c>
      <c r="F993" s="24">
        <v>1</v>
      </c>
      <c r="G993" s="24" t="s">
        <v>2372</v>
      </c>
      <c r="H993" s="24"/>
      <c r="I993" s="24"/>
      <c r="J993" s="283"/>
      <c r="K993" s="224" t="s">
        <v>2652</v>
      </c>
      <c r="L993" s="164" t="s">
        <v>2654</v>
      </c>
      <c r="M993" s="164"/>
      <c r="N993" s="164" t="s">
        <v>202</v>
      </c>
      <c r="O993" s="196"/>
      <c r="P993" s="164"/>
      <c r="Q993" s="164"/>
      <c r="R993" s="164"/>
      <c r="S993" s="283"/>
      <c r="T993" s="164" t="s">
        <v>113</v>
      </c>
      <c r="U993" s="283"/>
      <c r="V993" s="283"/>
      <c r="W993" s="164" t="s">
        <v>2656</v>
      </c>
      <c r="X993" s="225"/>
      <c r="Y993" s="283"/>
      <c r="Z993" s="283"/>
      <c r="AA993" s="283"/>
      <c r="AB993" s="283"/>
      <c r="AC993" s="283"/>
      <c r="AD993" s="283"/>
      <c r="AE993" s="283"/>
      <c r="AF993" s="283"/>
      <c r="AG993" s="283"/>
      <c r="AH993" s="285" t="s">
        <v>2657</v>
      </c>
      <c r="AI993" s="357" t="s">
        <v>2630</v>
      </c>
      <c r="AJ993" s="285" t="s">
        <v>2631</v>
      </c>
      <c r="AK993" s="225"/>
      <c r="AL993" s="225"/>
      <c r="AM993" s="24"/>
    </row>
    <row r="994" spans="1:39" ht="12.75" customHeight="1">
      <c r="A994" s="22">
        <v>992</v>
      </c>
      <c r="B994" s="24" t="s">
        <v>1673</v>
      </c>
      <c r="C994" s="24" t="s">
        <v>180</v>
      </c>
      <c r="D994" s="24" t="s">
        <v>2652</v>
      </c>
      <c r="E994" s="24" t="s">
        <v>2653</v>
      </c>
      <c r="F994" s="24">
        <v>1</v>
      </c>
      <c r="G994" s="24" t="s">
        <v>2372</v>
      </c>
      <c r="H994" s="24"/>
      <c r="I994" s="24"/>
      <c r="J994" s="283"/>
      <c r="K994" s="164"/>
      <c r="L994" s="164"/>
      <c r="M994" s="164"/>
      <c r="N994" s="164"/>
      <c r="O994" s="196" t="s">
        <v>1673</v>
      </c>
      <c r="P994" s="164"/>
      <c r="Q994" s="164"/>
      <c r="R994" s="164"/>
      <c r="S994" s="283"/>
      <c r="T994" s="164"/>
      <c r="U994" s="283"/>
      <c r="V994" s="283"/>
      <c r="W994" s="164"/>
      <c r="X994" s="225"/>
      <c r="Y994" s="283"/>
      <c r="Z994" s="283"/>
      <c r="AA994" s="283"/>
      <c r="AB994" s="283"/>
      <c r="AC994" s="283"/>
      <c r="AD994" s="283"/>
      <c r="AE994" s="283"/>
      <c r="AF994" s="283"/>
      <c r="AG994" s="283"/>
      <c r="AH994" s="285" t="s">
        <v>115</v>
      </c>
      <c r="AI994" s="357" t="s">
        <v>942</v>
      </c>
      <c r="AJ994" s="205" t="s">
        <v>943</v>
      </c>
      <c r="AK994" s="225"/>
      <c r="AL994" s="225"/>
      <c r="AM994" s="24"/>
    </row>
    <row r="995" spans="1:39" ht="12.75" customHeight="1">
      <c r="A995" s="22">
        <v>993</v>
      </c>
      <c r="B995" s="24" t="s">
        <v>1468</v>
      </c>
      <c r="C995" s="24" t="s">
        <v>180</v>
      </c>
      <c r="D995" s="24" t="s">
        <v>2652</v>
      </c>
      <c r="E995" s="24" t="s">
        <v>2653</v>
      </c>
      <c r="F995" s="24">
        <v>1</v>
      </c>
      <c r="G995" s="24" t="s">
        <v>2372</v>
      </c>
      <c r="H995" s="24"/>
      <c r="I995" s="24"/>
      <c r="J995" s="283"/>
      <c r="K995" s="164"/>
      <c r="L995" s="164"/>
      <c r="M995" s="164"/>
      <c r="N995" s="164"/>
      <c r="O995" s="196" t="s">
        <v>1468</v>
      </c>
      <c r="P995" s="164"/>
      <c r="Q995" s="164"/>
      <c r="R995" s="164"/>
      <c r="S995" s="283"/>
      <c r="T995" s="164"/>
      <c r="U995" s="283"/>
      <c r="V995" s="283"/>
      <c r="W995" s="164"/>
      <c r="X995" s="225"/>
      <c r="Y995" s="283"/>
      <c r="Z995" s="283"/>
      <c r="AA995" s="283"/>
      <c r="AB995" s="283"/>
      <c r="AC995" s="283"/>
      <c r="AD995" s="283"/>
      <c r="AE995" s="283"/>
      <c r="AF995" s="283"/>
      <c r="AG995" s="283"/>
      <c r="AH995" s="285" t="s">
        <v>115</v>
      </c>
      <c r="AI995" s="357" t="s">
        <v>1469</v>
      </c>
      <c r="AJ995" s="205" t="s">
        <v>1470</v>
      </c>
      <c r="AK995" s="225"/>
      <c r="AL995" s="225"/>
      <c r="AM995" s="24"/>
    </row>
    <row r="996" spans="1:39" ht="12.75" customHeight="1">
      <c r="A996" s="22">
        <v>994</v>
      </c>
      <c r="B996" s="24" t="s">
        <v>2658</v>
      </c>
      <c r="C996" s="24" t="s">
        <v>96</v>
      </c>
      <c r="D996" s="24" t="s">
        <v>1787</v>
      </c>
      <c r="E996" s="24" t="s">
        <v>2653</v>
      </c>
      <c r="F996" s="24">
        <v>1</v>
      </c>
      <c r="G996" s="24" t="s">
        <v>2372</v>
      </c>
      <c r="H996" s="24"/>
      <c r="I996" s="24"/>
      <c r="J996" s="283"/>
      <c r="K996" s="164" t="s">
        <v>1376</v>
      </c>
      <c r="L996" s="164" t="s">
        <v>2659</v>
      </c>
      <c r="M996" s="164" t="s">
        <v>2660</v>
      </c>
      <c r="N996" s="164" t="s">
        <v>238</v>
      </c>
      <c r="O996" s="224"/>
      <c r="P996" s="164"/>
      <c r="Q996" s="164"/>
      <c r="R996" s="164"/>
      <c r="S996" s="283"/>
      <c r="T996" s="164" t="s">
        <v>113</v>
      </c>
      <c r="U996" s="283"/>
      <c r="V996" s="283"/>
      <c r="W996" s="164" t="s">
        <v>115</v>
      </c>
      <c r="X996" s="225"/>
      <c r="Y996" s="283"/>
      <c r="Z996" s="283"/>
      <c r="AA996" s="283"/>
      <c r="AB996" s="283"/>
      <c r="AC996" s="283"/>
      <c r="AD996" s="283"/>
      <c r="AE996" s="283"/>
      <c r="AF996" s="283"/>
      <c r="AG996" s="283"/>
      <c r="AH996" s="285" t="s">
        <v>2657</v>
      </c>
      <c r="AI996" s="357" t="s">
        <v>2635</v>
      </c>
      <c r="AJ996" s="285" t="s">
        <v>2636</v>
      </c>
      <c r="AK996" s="225"/>
      <c r="AL996" s="225"/>
      <c r="AM996" s="24"/>
    </row>
    <row r="997" spans="1:39" ht="12.75" customHeight="1">
      <c r="A997" s="22">
        <v>995</v>
      </c>
      <c r="B997" s="24" t="s">
        <v>2405</v>
      </c>
      <c r="C997" s="24" t="s">
        <v>180</v>
      </c>
      <c r="D997" s="24" t="s">
        <v>2658</v>
      </c>
      <c r="E997" s="24" t="s">
        <v>2653</v>
      </c>
      <c r="F997" s="24">
        <v>1</v>
      </c>
      <c r="G997" s="24" t="s">
        <v>2372</v>
      </c>
      <c r="H997" s="24"/>
      <c r="I997" s="24"/>
      <c r="J997" s="283"/>
      <c r="K997" s="196"/>
      <c r="L997" s="164"/>
      <c r="M997" s="196"/>
      <c r="N997" s="196"/>
      <c r="O997" s="224" t="s">
        <v>2405</v>
      </c>
      <c r="P997" s="196"/>
      <c r="Q997" s="196"/>
      <c r="R997" s="196"/>
      <c r="S997" s="283"/>
      <c r="T997" s="196"/>
      <c r="U997" s="283"/>
      <c r="V997" s="283"/>
      <c r="W997" s="196"/>
      <c r="X997" s="225"/>
      <c r="Y997" s="283"/>
      <c r="Z997" s="283"/>
      <c r="AA997" s="283"/>
      <c r="AB997" s="283"/>
      <c r="AC997" s="283"/>
      <c r="AD997" s="283"/>
      <c r="AE997" s="283"/>
      <c r="AF997" s="283"/>
      <c r="AG997" s="283"/>
      <c r="AH997" s="285" t="s">
        <v>115</v>
      </c>
      <c r="AI997" s="359" t="s">
        <v>2406</v>
      </c>
      <c r="AJ997" s="205" t="s">
        <v>2407</v>
      </c>
      <c r="AK997" s="225"/>
      <c r="AL997" s="225"/>
      <c r="AM997" s="24"/>
    </row>
    <row r="998" spans="1:39" ht="12.75" customHeight="1">
      <c r="A998" s="22">
        <v>996</v>
      </c>
      <c r="B998" s="24" t="s">
        <v>2662</v>
      </c>
      <c r="C998" s="24" t="s">
        <v>180</v>
      </c>
      <c r="D998" s="24" t="s">
        <v>2658</v>
      </c>
      <c r="E998" s="24" t="s">
        <v>2653</v>
      </c>
      <c r="F998" s="24">
        <v>1</v>
      </c>
      <c r="G998" s="24" t="s">
        <v>2372</v>
      </c>
      <c r="H998" s="24"/>
      <c r="I998" s="24"/>
      <c r="J998" s="283"/>
      <c r="K998" s="196"/>
      <c r="L998" s="164"/>
      <c r="M998" s="196"/>
      <c r="N998" s="196"/>
      <c r="O998" s="204" t="s">
        <v>2662</v>
      </c>
      <c r="P998" s="196"/>
      <c r="Q998" s="196"/>
      <c r="R998" s="196"/>
      <c r="S998" s="283"/>
      <c r="T998" s="196"/>
      <c r="U998" s="283"/>
      <c r="V998" s="283"/>
      <c r="W998" s="196"/>
      <c r="X998" s="225"/>
      <c r="Y998" s="283"/>
      <c r="Z998" s="283"/>
      <c r="AA998" s="283"/>
      <c r="AB998" s="283"/>
      <c r="AC998" s="283"/>
      <c r="AD998" s="283"/>
      <c r="AE998" s="283"/>
      <c r="AF998" s="283"/>
      <c r="AG998" s="283"/>
      <c r="AH998" s="285" t="s">
        <v>115</v>
      </c>
      <c r="AI998" s="359" t="s">
        <v>1166</v>
      </c>
      <c r="AJ998" s="205" t="s">
        <v>1167</v>
      </c>
      <c r="AK998" s="225"/>
      <c r="AL998" s="225"/>
      <c r="AM998" s="24"/>
    </row>
    <row r="999" spans="1:39" ht="12.75" customHeight="1">
      <c r="A999" s="22">
        <v>997</v>
      </c>
      <c r="B999" s="24" t="s">
        <v>405</v>
      </c>
      <c r="C999" s="24" t="s">
        <v>180</v>
      </c>
      <c r="D999" s="24" t="s">
        <v>2658</v>
      </c>
      <c r="E999" s="24" t="s">
        <v>2653</v>
      </c>
      <c r="F999" s="24">
        <v>1</v>
      </c>
      <c r="G999" s="24" t="s">
        <v>2372</v>
      </c>
      <c r="H999" s="24"/>
      <c r="I999" s="24"/>
      <c r="J999" s="283"/>
      <c r="K999" s="196"/>
      <c r="L999" s="164"/>
      <c r="M999" s="196"/>
      <c r="N999" s="196"/>
      <c r="O999" s="204" t="s">
        <v>405</v>
      </c>
      <c r="P999" s="196"/>
      <c r="Q999" s="196"/>
      <c r="R999" s="196"/>
      <c r="S999" s="283"/>
      <c r="T999" s="196"/>
      <c r="U999" s="283"/>
      <c r="V999" s="283"/>
      <c r="W999" s="196"/>
      <c r="X999" s="225"/>
      <c r="Y999" s="283"/>
      <c r="Z999" s="283"/>
      <c r="AA999" s="283"/>
      <c r="AB999" s="283"/>
      <c r="AC999" s="283"/>
      <c r="AD999" s="283"/>
      <c r="AE999" s="283"/>
      <c r="AF999" s="283"/>
      <c r="AG999" s="283"/>
      <c r="AH999" s="285" t="s">
        <v>115</v>
      </c>
      <c r="AI999" s="359" t="s">
        <v>406</v>
      </c>
      <c r="AJ999" s="205" t="s">
        <v>407</v>
      </c>
      <c r="AK999" s="225"/>
      <c r="AL999" s="225"/>
      <c r="AM999" s="24"/>
    </row>
    <row r="1000" spans="1:39" ht="12.75" customHeight="1">
      <c r="A1000" s="22">
        <v>998</v>
      </c>
      <c r="B1000" s="24" t="s">
        <v>2663</v>
      </c>
      <c r="C1000" s="24" t="s">
        <v>96</v>
      </c>
      <c r="D1000" s="24" t="s">
        <v>1787</v>
      </c>
      <c r="E1000" s="24" t="s">
        <v>2653</v>
      </c>
      <c r="F1000" s="24">
        <v>1</v>
      </c>
      <c r="G1000" s="24" t="s">
        <v>2372</v>
      </c>
      <c r="H1000" s="24"/>
      <c r="I1000" s="24"/>
      <c r="J1000" s="283"/>
      <c r="K1000" s="196" t="s">
        <v>409</v>
      </c>
      <c r="L1000" s="164" t="s">
        <v>2664</v>
      </c>
      <c r="M1000" s="196" t="s">
        <v>2641</v>
      </c>
      <c r="N1000" s="196" t="s">
        <v>111</v>
      </c>
      <c r="O1000" s="196"/>
      <c r="P1000" s="196"/>
      <c r="Q1000" s="196"/>
      <c r="R1000" s="196"/>
      <c r="S1000" s="283"/>
      <c r="T1000" s="196" t="s">
        <v>208</v>
      </c>
      <c r="U1000" s="283"/>
      <c r="V1000" s="283"/>
      <c r="W1000" s="196" t="s">
        <v>115</v>
      </c>
      <c r="X1000" s="225"/>
      <c r="Y1000" s="283"/>
      <c r="Z1000" s="283"/>
      <c r="AA1000" s="283"/>
      <c r="AB1000" s="283"/>
      <c r="AC1000" s="283"/>
      <c r="AD1000" s="283"/>
      <c r="AE1000" s="283"/>
      <c r="AF1000" s="283"/>
      <c r="AG1000" s="283"/>
      <c r="AH1000" s="285" t="s">
        <v>2657</v>
      </c>
      <c r="AI1000" s="357" t="s">
        <v>2642</v>
      </c>
      <c r="AJ1000" s="285" t="s">
        <v>2643</v>
      </c>
      <c r="AK1000" s="225"/>
      <c r="AL1000" s="225"/>
      <c r="AM1000" s="24"/>
    </row>
    <row r="1001" spans="1:39" ht="12.75" customHeight="1">
      <c r="A1001" s="22">
        <v>999</v>
      </c>
      <c r="B1001" s="24" t="s">
        <v>2665</v>
      </c>
      <c r="C1001" s="24" t="s">
        <v>65</v>
      </c>
      <c r="D1001" s="24" t="s">
        <v>1787</v>
      </c>
      <c r="E1001" s="24" t="s">
        <v>2653</v>
      </c>
      <c r="F1001" s="24">
        <v>1</v>
      </c>
      <c r="G1001" s="24" t="s">
        <v>2372</v>
      </c>
      <c r="H1001" s="24"/>
      <c r="I1001" s="24"/>
      <c r="J1001" s="283"/>
      <c r="K1001" s="298" t="s">
        <v>115</v>
      </c>
      <c r="L1001" s="298" t="s">
        <v>2665</v>
      </c>
      <c r="M1001" s="298" t="s">
        <v>2666</v>
      </c>
      <c r="N1001" s="298" t="s">
        <v>65</v>
      </c>
      <c r="O1001" s="164"/>
      <c r="P1001" s="298" t="s">
        <v>2667</v>
      </c>
      <c r="Q1001" s="298"/>
      <c r="R1001" s="164"/>
      <c r="S1001" s="283"/>
      <c r="T1001" s="298" t="s">
        <v>115</v>
      </c>
      <c r="U1001" s="283"/>
      <c r="V1001" s="283"/>
      <c r="W1001" s="298" t="s">
        <v>115</v>
      </c>
      <c r="X1001" s="225"/>
      <c r="Y1001" s="283"/>
      <c r="Z1001" s="283"/>
      <c r="AA1001" s="283"/>
      <c r="AB1001" s="283"/>
      <c r="AC1001" s="283"/>
      <c r="AD1001" s="283"/>
      <c r="AE1001" s="283"/>
      <c r="AF1001" s="283"/>
      <c r="AG1001" s="283"/>
      <c r="AH1001" s="285" t="s">
        <v>115</v>
      </c>
      <c r="AI1001" s="285" t="s">
        <v>115</v>
      </c>
      <c r="AJ1001" s="285" t="s">
        <v>115</v>
      </c>
      <c r="AK1001" s="225"/>
      <c r="AL1001" s="225"/>
      <c r="AM1001" s="24"/>
    </row>
    <row r="1002" spans="1:39" ht="12.75" customHeight="1">
      <c r="A1002" s="22">
        <v>1000</v>
      </c>
      <c r="B1002" s="24" t="s">
        <v>2668</v>
      </c>
      <c r="C1002" s="24" t="s">
        <v>96</v>
      </c>
      <c r="D1002" s="24" t="s">
        <v>1787</v>
      </c>
      <c r="E1002" s="24" t="s">
        <v>2669</v>
      </c>
      <c r="F1002" s="24">
        <v>1</v>
      </c>
      <c r="G1002" s="24" t="s">
        <v>2372</v>
      </c>
      <c r="H1002" s="24"/>
      <c r="I1002" s="24"/>
      <c r="J1002" s="283"/>
      <c r="K1002" s="297" t="s">
        <v>2668</v>
      </c>
      <c r="L1002" s="297" t="s">
        <v>2670</v>
      </c>
      <c r="M1002" s="297"/>
      <c r="N1002" s="297" t="s">
        <v>202</v>
      </c>
      <c r="O1002" s="164"/>
      <c r="P1002" s="164"/>
      <c r="Q1002" s="164"/>
      <c r="R1002" s="164"/>
      <c r="S1002" s="283"/>
      <c r="T1002" s="297" t="s">
        <v>208</v>
      </c>
      <c r="U1002" s="283"/>
      <c r="V1002" s="283"/>
      <c r="W1002" s="204" t="s">
        <v>2375</v>
      </c>
      <c r="X1002" s="225"/>
      <c r="Y1002" s="283"/>
      <c r="Z1002" s="283"/>
      <c r="AA1002" s="283"/>
      <c r="AB1002" s="283"/>
      <c r="AC1002" s="283"/>
      <c r="AD1002" s="283"/>
      <c r="AE1002" s="283"/>
      <c r="AF1002" s="283"/>
      <c r="AG1002" s="283"/>
      <c r="AH1002" s="285" t="s">
        <v>2671</v>
      </c>
      <c r="AI1002" s="357" t="s">
        <v>2398</v>
      </c>
      <c r="AJ1002" s="285" t="s">
        <v>2399</v>
      </c>
      <c r="AK1002" s="225"/>
      <c r="AL1002" s="225"/>
      <c r="AM1002" s="24"/>
    </row>
    <row r="1003" spans="1:39" ht="12.75" customHeight="1">
      <c r="A1003" s="22">
        <v>1001</v>
      </c>
      <c r="B1003" s="24" t="s">
        <v>1673</v>
      </c>
      <c r="C1003" s="24" t="s">
        <v>180</v>
      </c>
      <c r="D1003" s="24" t="s">
        <v>2668</v>
      </c>
      <c r="E1003" s="24" t="s">
        <v>2669</v>
      </c>
      <c r="F1003" s="24">
        <v>1</v>
      </c>
      <c r="G1003" s="24" t="s">
        <v>2372</v>
      </c>
      <c r="H1003" s="24"/>
      <c r="I1003" s="24"/>
      <c r="J1003" s="283"/>
      <c r="K1003" s="297"/>
      <c r="L1003" s="297"/>
      <c r="M1003" s="297"/>
      <c r="N1003" s="297"/>
      <c r="O1003" s="164" t="s">
        <v>1673</v>
      </c>
      <c r="P1003" s="164"/>
      <c r="Q1003" s="164"/>
      <c r="R1003" s="164"/>
      <c r="S1003" s="283"/>
      <c r="T1003" s="297"/>
      <c r="U1003" s="283"/>
      <c r="V1003" s="283"/>
      <c r="W1003" s="204"/>
      <c r="X1003" s="225"/>
      <c r="Y1003" s="283"/>
      <c r="Z1003" s="283"/>
      <c r="AA1003" s="283"/>
      <c r="AB1003" s="283"/>
      <c r="AC1003" s="283"/>
      <c r="AD1003" s="283"/>
      <c r="AE1003" s="283"/>
      <c r="AF1003" s="283"/>
      <c r="AG1003" s="283"/>
      <c r="AH1003" s="285" t="s">
        <v>115</v>
      </c>
      <c r="AI1003" s="357" t="s">
        <v>942</v>
      </c>
      <c r="AJ1003" s="205" t="s">
        <v>943</v>
      </c>
      <c r="AK1003" s="225"/>
      <c r="AL1003" s="225"/>
      <c r="AM1003" s="24"/>
    </row>
    <row r="1004" spans="1:39" ht="12.75" customHeight="1">
      <c r="A1004" s="22">
        <v>1002</v>
      </c>
      <c r="B1004" s="24" t="s">
        <v>1468</v>
      </c>
      <c r="C1004" s="24" t="s">
        <v>180</v>
      </c>
      <c r="D1004" s="24" t="s">
        <v>2668</v>
      </c>
      <c r="E1004" s="24" t="s">
        <v>2669</v>
      </c>
      <c r="F1004" s="24">
        <v>1</v>
      </c>
      <c r="G1004" s="24" t="s">
        <v>2372</v>
      </c>
      <c r="H1004" s="24"/>
      <c r="I1004" s="24"/>
      <c r="J1004" s="283"/>
      <c r="K1004" s="297"/>
      <c r="L1004" s="297"/>
      <c r="M1004" s="297"/>
      <c r="N1004" s="297"/>
      <c r="O1004" s="164" t="s">
        <v>1468</v>
      </c>
      <c r="P1004" s="164"/>
      <c r="Q1004" s="164"/>
      <c r="R1004" s="164"/>
      <c r="S1004" s="283"/>
      <c r="T1004" s="297"/>
      <c r="U1004" s="283"/>
      <c r="V1004" s="283"/>
      <c r="W1004" s="204"/>
      <c r="X1004" s="225"/>
      <c r="Y1004" s="283"/>
      <c r="Z1004" s="283"/>
      <c r="AA1004" s="283"/>
      <c r="AB1004" s="283"/>
      <c r="AC1004" s="283"/>
      <c r="AD1004" s="283"/>
      <c r="AE1004" s="283"/>
      <c r="AF1004" s="283"/>
      <c r="AG1004" s="283"/>
      <c r="AH1004" s="285" t="s">
        <v>115</v>
      </c>
      <c r="AI1004" s="357" t="s">
        <v>1469</v>
      </c>
      <c r="AJ1004" s="205" t="s">
        <v>1470</v>
      </c>
      <c r="AK1004" s="225"/>
      <c r="AL1004" s="225"/>
      <c r="AM1004" s="24"/>
    </row>
    <row r="1005" spans="1:39" ht="12.75" customHeight="1">
      <c r="A1005" s="22">
        <v>1003</v>
      </c>
      <c r="B1005" s="24" t="s">
        <v>2672</v>
      </c>
      <c r="C1005" s="24" t="s">
        <v>96</v>
      </c>
      <c r="D1005" s="24" t="s">
        <v>1787</v>
      </c>
      <c r="E1005" s="24" t="s">
        <v>2673</v>
      </c>
      <c r="F1005" s="24">
        <v>1</v>
      </c>
      <c r="G1005" s="24" t="s">
        <v>2372</v>
      </c>
      <c r="H1005" s="24"/>
      <c r="I1005" s="24"/>
      <c r="J1005" s="283"/>
      <c r="K1005" s="224" t="s">
        <v>2672</v>
      </c>
      <c r="L1005" s="164" t="s">
        <v>2674</v>
      </c>
      <c r="M1005" s="164"/>
      <c r="N1005" s="164" t="s">
        <v>202</v>
      </c>
      <c r="O1005" s="164"/>
      <c r="P1005" s="164"/>
      <c r="Q1005" s="164"/>
      <c r="R1005" s="164"/>
      <c r="S1005" s="283"/>
      <c r="T1005" s="164" t="s">
        <v>113</v>
      </c>
      <c r="U1005" s="283"/>
      <c r="V1005" s="283"/>
      <c r="W1005" s="164" t="s">
        <v>2675</v>
      </c>
      <c r="X1005" s="225"/>
      <c r="Y1005" s="283"/>
      <c r="Z1005" s="283"/>
      <c r="AA1005" s="283"/>
      <c r="AB1005" s="283"/>
      <c r="AC1005" s="283"/>
      <c r="AD1005" s="283"/>
      <c r="AE1005" s="283"/>
      <c r="AF1005" s="283"/>
      <c r="AG1005" s="283"/>
      <c r="AH1005" s="285" t="s">
        <v>2676</v>
      </c>
      <c r="AI1005" s="285" t="s">
        <v>2630</v>
      </c>
      <c r="AJ1005" s="285" t="s">
        <v>2631</v>
      </c>
      <c r="AK1005" s="225"/>
      <c r="AL1005" s="225"/>
      <c r="AM1005" s="24"/>
    </row>
    <row r="1006" spans="1:39" ht="12.75" customHeight="1">
      <c r="A1006" s="22">
        <v>1004</v>
      </c>
      <c r="B1006" s="24" t="s">
        <v>1673</v>
      </c>
      <c r="C1006" s="24" t="s">
        <v>180</v>
      </c>
      <c r="D1006" s="24" t="s">
        <v>2672</v>
      </c>
      <c r="E1006" s="24" t="s">
        <v>2673</v>
      </c>
      <c r="F1006" s="24">
        <v>1</v>
      </c>
      <c r="G1006" s="24" t="s">
        <v>2372</v>
      </c>
      <c r="H1006" s="24"/>
      <c r="I1006" s="24"/>
      <c r="J1006" s="283"/>
      <c r="K1006" s="164"/>
      <c r="L1006" s="164"/>
      <c r="M1006" s="164"/>
      <c r="N1006" s="164"/>
      <c r="O1006" s="164" t="s">
        <v>1673</v>
      </c>
      <c r="P1006" s="164"/>
      <c r="Q1006" s="164"/>
      <c r="R1006" s="164"/>
      <c r="S1006" s="283"/>
      <c r="T1006" s="164"/>
      <c r="U1006" s="283"/>
      <c r="V1006" s="283"/>
      <c r="W1006" s="164"/>
      <c r="X1006" s="225"/>
      <c r="Y1006" s="283"/>
      <c r="Z1006" s="283"/>
      <c r="AA1006" s="283"/>
      <c r="AB1006" s="283"/>
      <c r="AC1006" s="283"/>
      <c r="AD1006" s="283"/>
      <c r="AE1006" s="283"/>
      <c r="AF1006" s="283"/>
      <c r="AG1006" s="283"/>
      <c r="AH1006" s="285" t="s">
        <v>115</v>
      </c>
      <c r="AI1006" s="285" t="s">
        <v>942</v>
      </c>
      <c r="AJ1006" s="205" t="s">
        <v>943</v>
      </c>
      <c r="AK1006" s="225"/>
      <c r="AL1006" s="225"/>
      <c r="AM1006" s="24"/>
    </row>
    <row r="1007" spans="1:39" ht="12.75" customHeight="1">
      <c r="A1007" s="22">
        <v>1005</v>
      </c>
      <c r="B1007" s="24" t="s">
        <v>1468</v>
      </c>
      <c r="C1007" s="24" t="s">
        <v>180</v>
      </c>
      <c r="D1007" s="24" t="s">
        <v>2672</v>
      </c>
      <c r="E1007" s="24" t="s">
        <v>2673</v>
      </c>
      <c r="F1007" s="24">
        <v>1</v>
      </c>
      <c r="G1007" s="24" t="s">
        <v>2372</v>
      </c>
      <c r="H1007" s="24"/>
      <c r="I1007" s="24"/>
      <c r="J1007" s="283"/>
      <c r="K1007" s="164"/>
      <c r="L1007" s="164"/>
      <c r="M1007" s="164"/>
      <c r="N1007" s="164"/>
      <c r="O1007" s="164" t="s">
        <v>1468</v>
      </c>
      <c r="P1007" s="164"/>
      <c r="Q1007" s="164"/>
      <c r="R1007" s="164"/>
      <c r="S1007" s="283"/>
      <c r="T1007" s="164"/>
      <c r="U1007" s="283"/>
      <c r="V1007" s="283"/>
      <c r="W1007" s="164"/>
      <c r="X1007" s="225"/>
      <c r="Y1007" s="283"/>
      <c r="Z1007" s="283"/>
      <c r="AA1007" s="283"/>
      <c r="AB1007" s="283"/>
      <c r="AC1007" s="283"/>
      <c r="AD1007" s="283"/>
      <c r="AE1007" s="283"/>
      <c r="AF1007" s="283"/>
      <c r="AG1007" s="283"/>
      <c r="AH1007" s="285" t="s">
        <v>115</v>
      </c>
      <c r="AI1007" s="285" t="s">
        <v>1469</v>
      </c>
      <c r="AJ1007" s="205" t="s">
        <v>1470</v>
      </c>
      <c r="AK1007" s="225"/>
      <c r="AL1007" s="225"/>
      <c r="AM1007" s="24"/>
    </row>
    <row r="1008" spans="1:39" ht="12.75" customHeight="1">
      <c r="A1008" s="22">
        <v>1006</v>
      </c>
      <c r="B1008" s="24" t="s">
        <v>2678</v>
      </c>
      <c r="C1008" s="24" t="s">
        <v>96</v>
      </c>
      <c r="D1008" s="24" t="s">
        <v>1787</v>
      </c>
      <c r="E1008" s="24" t="s">
        <v>2673</v>
      </c>
      <c r="F1008" s="24">
        <v>1</v>
      </c>
      <c r="G1008" s="24" t="s">
        <v>2372</v>
      </c>
      <c r="H1008" s="24"/>
      <c r="I1008" s="24"/>
      <c r="J1008" s="283"/>
      <c r="K1008" s="164" t="s">
        <v>1376</v>
      </c>
      <c r="L1008" s="164" t="s">
        <v>2679</v>
      </c>
      <c r="M1008" s="164" t="s">
        <v>2680</v>
      </c>
      <c r="N1008" s="164" t="s">
        <v>202</v>
      </c>
      <c r="O1008" s="224"/>
      <c r="P1008" s="164"/>
      <c r="Q1008" s="164"/>
      <c r="R1008" s="164"/>
      <c r="S1008" s="283"/>
      <c r="T1008" s="164" t="s">
        <v>113</v>
      </c>
      <c r="U1008" s="283"/>
      <c r="V1008" s="283"/>
      <c r="W1008" s="164" t="s">
        <v>115</v>
      </c>
      <c r="X1008" s="225"/>
      <c r="Y1008" s="283"/>
      <c r="Z1008" s="283"/>
      <c r="AA1008" s="283"/>
      <c r="AB1008" s="283"/>
      <c r="AC1008" s="283"/>
      <c r="AD1008" s="283"/>
      <c r="AE1008" s="283"/>
      <c r="AF1008" s="283"/>
      <c r="AG1008" s="283"/>
      <c r="AH1008" s="285" t="s">
        <v>2676</v>
      </c>
      <c r="AI1008" s="285" t="s">
        <v>2635</v>
      </c>
      <c r="AJ1008" s="285" t="s">
        <v>2636</v>
      </c>
      <c r="AK1008" s="225"/>
      <c r="AL1008" s="225"/>
      <c r="AM1008" s="24"/>
    </row>
    <row r="1009" spans="1:39" ht="12.75" customHeight="1">
      <c r="A1009" s="22">
        <v>1007</v>
      </c>
      <c r="B1009" s="24" t="s">
        <v>2681</v>
      </c>
      <c r="C1009" s="24" t="s">
        <v>180</v>
      </c>
      <c r="D1009" s="24" t="s">
        <v>2678</v>
      </c>
      <c r="E1009" s="24" t="s">
        <v>2673</v>
      </c>
      <c r="F1009" s="24">
        <v>1</v>
      </c>
      <c r="G1009" s="24" t="s">
        <v>2372</v>
      </c>
      <c r="H1009" s="24"/>
      <c r="I1009" s="24"/>
      <c r="J1009" s="283"/>
      <c r="K1009" s="196"/>
      <c r="L1009" s="164"/>
      <c r="M1009" s="196"/>
      <c r="N1009" s="196"/>
      <c r="O1009" s="224" t="s">
        <v>2681</v>
      </c>
      <c r="P1009" s="196"/>
      <c r="Q1009" s="196"/>
      <c r="R1009" s="196"/>
      <c r="S1009" s="283"/>
      <c r="T1009" s="196"/>
      <c r="U1009" s="283"/>
      <c r="V1009" s="283"/>
      <c r="W1009" s="196"/>
      <c r="X1009" s="225"/>
      <c r="Y1009" s="283"/>
      <c r="Z1009" s="283"/>
      <c r="AA1009" s="283"/>
      <c r="AB1009" s="283"/>
      <c r="AC1009" s="283"/>
      <c r="AD1009" s="283"/>
      <c r="AE1009" s="283"/>
      <c r="AF1009" s="283"/>
      <c r="AG1009" s="283"/>
      <c r="AH1009" s="285" t="s">
        <v>115</v>
      </c>
      <c r="AI1009" s="205" t="s">
        <v>2637</v>
      </c>
      <c r="AJ1009" s="205" t="s">
        <v>2638</v>
      </c>
      <c r="AK1009" s="225"/>
      <c r="AL1009" s="225"/>
      <c r="AM1009" s="24"/>
    </row>
    <row r="1010" spans="1:39" ht="12.75" customHeight="1">
      <c r="A1010" s="22">
        <v>1008</v>
      </c>
      <c r="B1010" s="24" t="s">
        <v>2682</v>
      </c>
      <c r="C1010" s="24" t="s">
        <v>180</v>
      </c>
      <c r="D1010" s="24" t="s">
        <v>2678</v>
      </c>
      <c r="E1010" s="24" t="s">
        <v>2673</v>
      </c>
      <c r="F1010" s="24">
        <v>1</v>
      </c>
      <c r="G1010" s="24" t="s">
        <v>2372</v>
      </c>
      <c r="H1010" s="24"/>
      <c r="I1010" s="24"/>
      <c r="J1010" s="283"/>
      <c r="K1010" s="196"/>
      <c r="L1010" s="164"/>
      <c r="M1010" s="196"/>
      <c r="N1010" s="196"/>
      <c r="O1010" s="204" t="s">
        <v>2682</v>
      </c>
      <c r="P1010" s="196"/>
      <c r="Q1010" s="196"/>
      <c r="R1010" s="196"/>
      <c r="S1010" s="283"/>
      <c r="T1010" s="196"/>
      <c r="U1010" s="283"/>
      <c r="V1010" s="283"/>
      <c r="W1010" s="196"/>
      <c r="X1010" s="225"/>
      <c r="Y1010" s="283"/>
      <c r="Z1010" s="283"/>
      <c r="AA1010" s="283"/>
      <c r="AB1010" s="283"/>
      <c r="AC1010" s="283"/>
      <c r="AD1010" s="283"/>
      <c r="AE1010" s="283"/>
      <c r="AF1010" s="283"/>
      <c r="AG1010" s="283"/>
      <c r="AH1010" s="285" t="s">
        <v>115</v>
      </c>
      <c r="AI1010" s="205" t="s">
        <v>1166</v>
      </c>
      <c r="AJ1010" s="205" t="s">
        <v>1167</v>
      </c>
      <c r="AK1010" s="225"/>
      <c r="AL1010" s="225"/>
      <c r="AM1010" s="24"/>
    </row>
    <row r="1011" spans="1:39" ht="12.75" customHeight="1">
      <c r="A1011" s="22">
        <v>1009</v>
      </c>
      <c r="B1011" s="24" t="s">
        <v>2684</v>
      </c>
      <c r="C1011" s="24" t="s">
        <v>180</v>
      </c>
      <c r="D1011" s="24" t="s">
        <v>2678</v>
      </c>
      <c r="E1011" s="24" t="s">
        <v>2673</v>
      </c>
      <c r="F1011" s="24">
        <v>1</v>
      </c>
      <c r="G1011" s="24" t="s">
        <v>2372</v>
      </c>
      <c r="H1011" s="24"/>
      <c r="I1011" s="24"/>
      <c r="J1011" s="283"/>
      <c r="K1011" s="196"/>
      <c r="L1011" s="164"/>
      <c r="M1011" s="196"/>
      <c r="N1011" s="196"/>
      <c r="O1011" s="204" t="s">
        <v>2684</v>
      </c>
      <c r="P1011" s="196"/>
      <c r="Q1011" s="196"/>
      <c r="R1011" s="196"/>
      <c r="S1011" s="283"/>
      <c r="T1011" s="196"/>
      <c r="U1011" s="283"/>
      <c r="V1011" s="283"/>
      <c r="W1011" s="196"/>
      <c r="X1011" s="225"/>
      <c r="Y1011" s="283"/>
      <c r="Z1011" s="283"/>
      <c r="AA1011" s="283"/>
      <c r="AB1011" s="283"/>
      <c r="AC1011" s="283"/>
      <c r="AD1011" s="283"/>
      <c r="AE1011" s="283"/>
      <c r="AF1011" s="283"/>
      <c r="AG1011" s="283"/>
      <c r="AH1011" s="285" t="s">
        <v>115</v>
      </c>
      <c r="AI1011" s="205" t="s">
        <v>2685</v>
      </c>
      <c r="AJ1011" s="205" t="s">
        <v>2686</v>
      </c>
      <c r="AK1011" s="225"/>
      <c r="AL1011" s="225"/>
      <c r="AM1011" s="24"/>
    </row>
    <row r="1012" spans="1:39" ht="12.75" customHeight="1">
      <c r="A1012" s="22">
        <v>1010</v>
      </c>
      <c r="B1012" s="24" t="s">
        <v>405</v>
      </c>
      <c r="C1012" s="24" t="s">
        <v>180</v>
      </c>
      <c r="D1012" s="24" t="s">
        <v>2678</v>
      </c>
      <c r="E1012" s="24" t="s">
        <v>2673</v>
      </c>
      <c r="F1012" s="24">
        <v>1</v>
      </c>
      <c r="G1012" s="24" t="s">
        <v>2372</v>
      </c>
      <c r="H1012" s="24"/>
      <c r="I1012" s="24"/>
      <c r="J1012" s="283"/>
      <c r="K1012" s="196"/>
      <c r="L1012" s="164"/>
      <c r="M1012" s="196"/>
      <c r="N1012" s="196"/>
      <c r="O1012" s="204" t="s">
        <v>405</v>
      </c>
      <c r="P1012" s="196"/>
      <c r="Q1012" s="196"/>
      <c r="R1012" s="196"/>
      <c r="S1012" s="283"/>
      <c r="T1012" s="196"/>
      <c r="U1012" s="283"/>
      <c r="V1012" s="283"/>
      <c r="W1012" s="196"/>
      <c r="X1012" s="225"/>
      <c r="Y1012" s="283"/>
      <c r="Z1012" s="283"/>
      <c r="AA1012" s="283"/>
      <c r="AB1012" s="283"/>
      <c r="AC1012" s="283"/>
      <c r="AD1012" s="283"/>
      <c r="AE1012" s="283"/>
      <c r="AF1012" s="283"/>
      <c r="AG1012" s="283"/>
      <c r="AH1012" s="285" t="s">
        <v>115</v>
      </c>
      <c r="AI1012" s="205" t="s">
        <v>406</v>
      </c>
      <c r="AJ1012" s="205" t="s">
        <v>407</v>
      </c>
      <c r="AK1012" s="225"/>
      <c r="AL1012" s="225"/>
      <c r="AM1012" s="24"/>
    </row>
    <row r="1013" spans="1:39" ht="12.75" customHeight="1">
      <c r="A1013" s="22">
        <v>1011</v>
      </c>
      <c r="B1013" s="24" t="s">
        <v>2687</v>
      </c>
      <c r="C1013" s="24" t="s">
        <v>96</v>
      </c>
      <c r="D1013" s="24" t="s">
        <v>1787</v>
      </c>
      <c r="E1013" s="24" t="s">
        <v>2673</v>
      </c>
      <c r="F1013" s="24">
        <v>1</v>
      </c>
      <c r="G1013" s="24" t="s">
        <v>2372</v>
      </c>
      <c r="H1013" s="24"/>
      <c r="I1013" s="24"/>
      <c r="J1013" s="283"/>
      <c r="K1013" s="196" t="s">
        <v>409</v>
      </c>
      <c r="L1013" s="164" t="s">
        <v>2688</v>
      </c>
      <c r="M1013" s="196" t="s">
        <v>2689</v>
      </c>
      <c r="N1013" s="196" t="s">
        <v>111</v>
      </c>
      <c r="O1013" s="196"/>
      <c r="P1013" s="196"/>
      <c r="Q1013" s="196"/>
      <c r="R1013" s="196"/>
      <c r="S1013" s="283"/>
      <c r="T1013" s="196" t="s">
        <v>208</v>
      </c>
      <c r="U1013" s="283"/>
      <c r="V1013" s="283"/>
      <c r="W1013" s="196" t="s">
        <v>115</v>
      </c>
      <c r="X1013" s="225"/>
      <c r="Y1013" s="283"/>
      <c r="Z1013" s="283"/>
      <c r="AA1013" s="283"/>
      <c r="AB1013" s="283"/>
      <c r="AC1013" s="283"/>
      <c r="AD1013" s="283"/>
      <c r="AE1013" s="283"/>
      <c r="AF1013" s="283"/>
      <c r="AG1013" s="283"/>
      <c r="AH1013" s="285" t="s">
        <v>2676</v>
      </c>
      <c r="AI1013" s="285" t="s">
        <v>2642</v>
      </c>
      <c r="AJ1013" s="285" t="s">
        <v>2643</v>
      </c>
      <c r="AK1013" s="225"/>
      <c r="AL1013" s="225"/>
      <c r="AM1013" s="24"/>
    </row>
    <row r="1014" spans="1:39" ht="12.75" customHeight="1">
      <c r="A1014" s="22">
        <v>1012</v>
      </c>
      <c r="B1014" s="24" t="s">
        <v>2690</v>
      </c>
      <c r="C1014" s="24" t="s">
        <v>96</v>
      </c>
      <c r="D1014" s="24" t="s">
        <v>1787</v>
      </c>
      <c r="E1014" s="24" t="s">
        <v>2673</v>
      </c>
      <c r="F1014" s="24">
        <v>1</v>
      </c>
      <c r="G1014" s="24" t="s">
        <v>2372</v>
      </c>
      <c r="H1014" s="24"/>
      <c r="I1014" s="24"/>
      <c r="J1014" s="283"/>
      <c r="K1014" s="204" t="s">
        <v>2690</v>
      </c>
      <c r="L1014" s="164" t="s">
        <v>2691</v>
      </c>
      <c r="M1014" s="164"/>
      <c r="N1014" s="164" t="s">
        <v>202</v>
      </c>
      <c r="O1014" s="164"/>
      <c r="P1014" s="164"/>
      <c r="Q1014" s="164"/>
      <c r="R1014" s="164"/>
      <c r="S1014" s="283"/>
      <c r="T1014" s="164" t="s">
        <v>113</v>
      </c>
      <c r="U1014" s="283"/>
      <c r="V1014" s="283"/>
      <c r="W1014" s="234" t="s">
        <v>2675</v>
      </c>
      <c r="X1014" s="225"/>
      <c r="Y1014" s="283"/>
      <c r="Z1014" s="283"/>
      <c r="AA1014" s="283"/>
      <c r="AB1014" s="283"/>
      <c r="AC1014" s="283"/>
      <c r="AD1014" s="283"/>
      <c r="AE1014" s="283"/>
      <c r="AF1014" s="283"/>
      <c r="AG1014" s="283"/>
      <c r="AH1014" s="285" t="s">
        <v>2676</v>
      </c>
      <c r="AI1014" s="285" t="s">
        <v>2630</v>
      </c>
      <c r="AJ1014" s="285" t="s">
        <v>2631</v>
      </c>
      <c r="AK1014" s="225"/>
      <c r="AL1014" s="225"/>
      <c r="AM1014" s="24"/>
    </row>
    <row r="1015" spans="1:39" ht="12.75" customHeight="1">
      <c r="A1015" s="22">
        <v>1013</v>
      </c>
      <c r="B1015" s="24" t="s">
        <v>1673</v>
      </c>
      <c r="C1015" s="24" t="s">
        <v>180</v>
      </c>
      <c r="D1015" s="24" t="s">
        <v>2690</v>
      </c>
      <c r="E1015" s="24" t="s">
        <v>2673</v>
      </c>
      <c r="F1015" s="24">
        <v>1</v>
      </c>
      <c r="G1015" s="24" t="s">
        <v>2372</v>
      </c>
      <c r="H1015" s="24"/>
      <c r="I1015" s="24"/>
      <c r="J1015" s="283"/>
      <c r="K1015" s="164"/>
      <c r="L1015" s="164"/>
      <c r="M1015" s="164"/>
      <c r="N1015" s="164"/>
      <c r="O1015" s="164" t="s">
        <v>1673</v>
      </c>
      <c r="P1015" s="164"/>
      <c r="Q1015" s="164"/>
      <c r="R1015" s="164"/>
      <c r="S1015" s="283"/>
      <c r="T1015" s="164"/>
      <c r="U1015" s="283"/>
      <c r="V1015" s="283"/>
      <c r="W1015" s="196"/>
      <c r="X1015" s="225"/>
      <c r="Y1015" s="283"/>
      <c r="Z1015" s="283"/>
      <c r="AA1015" s="283"/>
      <c r="AB1015" s="283"/>
      <c r="AC1015" s="283"/>
      <c r="AD1015" s="283"/>
      <c r="AE1015" s="283"/>
      <c r="AF1015" s="283"/>
      <c r="AG1015" s="283"/>
      <c r="AH1015" s="285" t="s">
        <v>115</v>
      </c>
      <c r="AI1015" s="285" t="s">
        <v>942</v>
      </c>
      <c r="AJ1015" s="205" t="s">
        <v>943</v>
      </c>
      <c r="AK1015" s="225"/>
      <c r="AL1015" s="225"/>
      <c r="AM1015" s="24"/>
    </row>
    <row r="1016" spans="1:39" ht="12.75" customHeight="1">
      <c r="A1016" s="22">
        <v>1014</v>
      </c>
      <c r="B1016" s="24" t="s">
        <v>1468</v>
      </c>
      <c r="C1016" s="24" t="s">
        <v>180</v>
      </c>
      <c r="D1016" s="24" t="s">
        <v>2690</v>
      </c>
      <c r="E1016" s="24" t="s">
        <v>2673</v>
      </c>
      <c r="F1016" s="24">
        <v>1</v>
      </c>
      <c r="G1016" s="24" t="s">
        <v>2372</v>
      </c>
      <c r="H1016" s="24"/>
      <c r="I1016" s="24"/>
      <c r="J1016" s="283"/>
      <c r="K1016" s="164"/>
      <c r="L1016" s="164"/>
      <c r="M1016" s="164"/>
      <c r="N1016" s="164"/>
      <c r="O1016" s="164" t="s">
        <v>1468</v>
      </c>
      <c r="P1016" s="164"/>
      <c r="Q1016" s="164"/>
      <c r="R1016" s="164"/>
      <c r="S1016" s="283"/>
      <c r="T1016" s="164"/>
      <c r="U1016" s="283"/>
      <c r="V1016" s="283"/>
      <c r="W1016" s="196"/>
      <c r="X1016" s="225"/>
      <c r="Y1016" s="283"/>
      <c r="Z1016" s="283"/>
      <c r="AA1016" s="283"/>
      <c r="AB1016" s="283"/>
      <c r="AC1016" s="283"/>
      <c r="AD1016" s="283"/>
      <c r="AE1016" s="283"/>
      <c r="AF1016" s="283"/>
      <c r="AG1016" s="283"/>
      <c r="AH1016" s="285" t="s">
        <v>115</v>
      </c>
      <c r="AI1016" s="285" t="s">
        <v>1469</v>
      </c>
      <c r="AJ1016" s="205" t="s">
        <v>1470</v>
      </c>
      <c r="AK1016" s="225"/>
      <c r="AL1016" s="225"/>
      <c r="AM1016" s="24"/>
    </row>
    <row r="1017" spans="1:39" ht="12.75" customHeight="1">
      <c r="A1017" s="22">
        <v>1015</v>
      </c>
      <c r="B1017" s="24" t="s">
        <v>2692</v>
      </c>
      <c r="C1017" s="24" t="s">
        <v>96</v>
      </c>
      <c r="D1017" s="24" t="s">
        <v>1787</v>
      </c>
      <c r="E1017" s="24" t="s">
        <v>2673</v>
      </c>
      <c r="F1017" s="24">
        <v>1</v>
      </c>
      <c r="G1017" s="24" t="s">
        <v>2372</v>
      </c>
      <c r="H1017" s="24"/>
      <c r="I1017" s="24"/>
      <c r="J1017" s="283"/>
      <c r="K1017" s="164" t="s">
        <v>1376</v>
      </c>
      <c r="L1017" s="164" t="s">
        <v>2693</v>
      </c>
      <c r="M1017" s="164" t="s">
        <v>2694</v>
      </c>
      <c r="N1017" s="164" t="s">
        <v>202</v>
      </c>
      <c r="O1017" s="224"/>
      <c r="P1017" s="164"/>
      <c r="Q1017" s="164"/>
      <c r="R1017" s="164"/>
      <c r="S1017" s="283"/>
      <c r="T1017" s="164" t="s">
        <v>113</v>
      </c>
      <c r="U1017" s="283"/>
      <c r="V1017" s="283"/>
      <c r="W1017" s="196" t="s">
        <v>115</v>
      </c>
      <c r="X1017" s="225"/>
      <c r="Y1017" s="283"/>
      <c r="Z1017" s="283"/>
      <c r="AA1017" s="283"/>
      <c r="AB1017" s="283"/>
      <c r="AC1017" s="283"/>
      <c r="AD1017" s="283"/>
      <c r="AE1017" s="283"/>
      <c r="AF1017" s="283"/>
      <c r="AG1017" s="283"/>
      <c r="AH1017" s="285" t="s">
        <v>2676</v>
      </c>
      <c r="AI1017" s="285" t="s">
        <v>2635</v>
      </c>
      <c r="AJ1017" s="285" t="s">
        <v>2636</v>
      </c>
      <c r="AK1017" s="225"/>
      <c r="AL1017" s="225"/>
      <c r="AM1017" s="24"/>
    </row>
    <row r="1018" spans="1:39" ht="12.75" customHeight="1">
      <c r="A1018" s="22">
        <v>1016</v>
      </c>
      <c r="B1018" s="24" t="s">
        <v>2681</v>
      </c>
      <c r="C1018" s="24" t="s">
        <v>180</v>
      </c>
      <c r="D1018" s="24" t="s">
        <v>2692</v>
      </c>
      <c r="E1018" s="24" t="s">
        <v>2673</v>
      </c>
      <c r="F1018" s="24">
        <v>1</v>
      </c>
      <c r="G1018" s="24" t="s">
        <v>2372</v>
      </c>
      <c r="H1018" s="24"/>
      <c r="I1018" s="24"/>
      <c r="J1018" s="283"/>
      <c r="K1018" s="196"/>
      <c r="L1018" s="164"/>
      <c r="M1018" s="196"/>
      <c r="N1018" s="196"/>
      <c r="O1018" s="224" t="s">
        <v>2681</v>
      </c>
      <c r="P1018" s="196"/>
      <c r="Q1018" s="196"/>
      <c r="R1018" s="196"/>
      <c r="S1018" s="283"/>
      <c r="T1018" s="196"/>
      <c r="U1018" s="283"/>
      <c r="V1018" s="283"/>
      <c r="W1018" s="196"/>
      <c r="X1018" s="225"/>
      <c r="Y1018" s="283"/>
      <c r="Z1018" s="283"/>
      <c r="AA1018" s="283"/>
      <c r="AB1018" s="283"/>
      <c r="AC1018" s="283"/>
      <c r="AD1018" s="283"/>
      <c r="AE1018" s="283"/>
      <c r="AF1018" s="283"/>
      <c r="AG1018" s="283"/>
      <c r="AH1018" s="285" t="s">
        <v>115</v>
      </c>
      <c r="AI1018" s="205" t="s">
        <v>2637</v>
      </c>
      <c r="AJ1018" s="205" t="s">
        <v>2638</v>
      </c>
      <c r="AK1018" s="225"/>
      <c r="AL1018" s="225"/>
      <c r="AM1018" s="24"/>
    </row>
    <row r="1019" spans="1:39" ht="12.75" customHeight="1">
      <c r="A1019" s="22">
        <v>1017</v>
      </c>
      <c r="B1019" s="24" t="s">
        <v>2682</v>
      </c>
      <c r="C1019" s="24" t="s">
        <v>180</v>
      </c>
      <c r="D1019" s="24" t="s">
        <v>2692</v>
      </c>
      <c r="E1019" s="24" t="s">
        <v>2673</v>
      </c>
      <c r="F1019" s="24">
        <v>1</v>
      </c>
      <c r="G1019" s="24" t="s">
        <v>2372</v>
      </c>
      <c r="H1019" s="24"/>
      <c r="I1019" s="24"/>
      <c r="J1019" s="283"/>
      <c r="K1019" s="196"/>
      <c r="L1019" s="164"/>
      <c r="M1019" s="196"/>
      <c r="N1019" s="196"/>
      <c r="O1019" s="204" t="s">
        <v>2682</v>
      </c>
      <c r="P1019" s="196"/>
      <c r="Q1019" s="196"/>
      <c r="R1019" s="196"/>
      <c r="S1019" s="283"/>
      <c r="T1019" s="196"/>
      <c r="U1019" s="283"/>
      <c r="V1019" s="283"/>
      <c r="W1019" s="196"/>
      <c r="X1019" s="225"/>
      <c r="Y1019" s="283"/>
      <c r="Z1019" s="283"/>
      <c r="AA1019" s="283"/>
      <c r="AB1019" s="283"/>
      <c r="AC1019" s="283"/>
      <c r="AD1019" s="283"/>
      <c r="AE1019" s="283"/>
      <c r="AF1019" s="283"/>
      <c r="AG1019" s="283"/>
      <c r="AH1019" s="285" t="s">
        <v>115</v>
      </c>
      <c r="AI1019" s="205" t="s">
        <v>1166</v>
      </c>
      <c r="AJ1019" s="205" t="s">
        <v>1167</v>
      </c>
      <c r="AK1019" s="225"/>
      <c r="AL1019" s="225"/>
      <c r="AM1019" s="24"/>
    </row>
    <row r="1020" spans="1:39" ht="12.75" customHeight="1">
      <c r="A1020" s="22">
        <v>1018</v>
      </c>
      <c r="B1020" s="24" t="s">
        <v>2684</v>
      </c>
      <c r="C1020" s="24" t="s">
        <v>180</v>
      </c>
      <c r="D1020" s="24" t="s">
        <v>2692</v>
      </c>
      <c r="E1020" s="24" t="s">
        <v>2673</v>
      </c>
      <c r="F1020" s="24">
        <v>1</v>
      </c>
      <c r="G1020" s="24" t="s">
        <v>2372</v>
      </c>
      <c r="H1020" s="24"/>
      <c r="I1020" s="24"/>
      <c r="J1020" s="283"/>
      <c r="K1020" s="196"/>
      <c r="L1020" s="164"/>
      <c r="M1020" s="196"/>
      <c r="N1020" s="196"/>
      <c r="O1020" s="204" t="s">
        <v>2684</v>
      </c>
      <c r="P1020" s="196"/>
      <c r="Q1020" s="196"/>
      <c r="R1020" s="196"/>
      <c r="S1020" s="283"/>
      <c r="T1020" s="196"/>
      <c r="U1020" s="283"/>
      <c r="V1020" s="283"/>
      <c r="W1020" s="196"/>
      <c r="X1020" s="225"/>
      <c r="Y1020" s="283"/>
      <c r="Z1020" s="283"/>
      <c r="AA1020" s="283"/>
      <c r="AB1020" s="283"/>
      <c r="AC1020" s="283"/>
      <c r="AD1020" s="283"/>
      <c r="AE1020" s="283"/>
      <c r="AF1020" s="283"/>
      <c r="AG1020" s="283"/>
      <c r="AH1020" s="285" t="s">
        <v>115</v>
      </c>
      <c r="AI1020" s="205" t="s">
        <v>2685</v>
      </c>
      <c r="AJ1020" s="205" t="s">
        <v>2686</v>
      </c>
      <c r="AK1020" s="225"/>
      <c r="AL1020" s="225"/>
      <c r="AM1020" s="24"/>
    </row>
    <row r="1021" spans="1:39" ht="12.75" customHeight="1">
      <c r="A1021" s="22">
        <v>1019</v>
      </c>
      <c r="B1021" s="24" t="s">
        <v>405</v>
      </c>
      <c r="C1021" s="24" t="s">
        <v>180</v>
      </c>
      <c r="D1021" s="24" t="s">
        <v>2692</v>
      </c>
      <c r="E1021" s="24" t="s">
        <v>2673</v>
      </c>
      <c r="F1021" s="24">
        <v>1</v>
      </c>
      <c r="G1021" s="24" t="s">
        <v>2372</v>
      </c>
      <c r="H1021" s="24"/>
      <c r="I1021" s="24"/>
      <c r="J1021" s="283"/>
      <c r="K1021" s="196"/>
      <c r="L1021" s="164"/>
      <c r="M1021" s="196"/>
      <c r="N1021" s="196"/>
      <c r="O1021" s="204" t="s">
        <v>405</v>
      </c>
      <c r="P1021" s="196"/>
      <c r="Q1021" s="196"/>
      <c r="R1021" s="196"/>
      <c r="S1021" s="283"/>
      <c r="T1021" s="196"/>
      <c r="U1021" s="283"/>
      <c r="V1021" s="283"/>
      <c r="W1021" s="196"/>
      <c r="X1021" s="225"/>
      <c r="Y1021" s="283"/>
      <c r="Z1021" s="283"/>
      <c r="AA1021" s="283"/>
      <c r="AB1021" s="283"/>
      <c r="AC1021" s="283"/>
      <c r="AD1021" s="283"/>
      <c r="AE1021" s="283"/>
      <c r="AF1021" s="283"/>
      <c r="AG1021" s="283"/>
      <c r="AH1021" s="285" t="s">
        <v>115</v>
      </c>
      <c r="AI1021" s="205" t="s">
        <v>406</v>
      </c>
      <c r="AJ1021" s="205" t="s">
        <v>407</v>
      </c>
      <c r="AK1021" s="225"/>
      <c r="AL1021" s="225"/>
      <c r="AM1021" s="24"/>
    </row>
    <row r="1022" spans="1:39" ht="12.75" customHeight="1">
      <c r="A1022" s="22">
        <v>1020</v>
      </c>
      <c r="B1022" s="24" t="s">
        <v>2695</v>
      </c>
      <c r="C1022" s="24" t="s">
        <v>96</v>
      </c>
      <c r="D1022" s="24" t="s">
        <v>1787</v>
      </c>
      <c r="E1022" s="24" t="s">
        <v>2673</v>
      </c>
      <c r="F1022" s="24">
        <v>1</v>
      </c>
      <c r="G1022" s="24" t="s">
        <v>2372</v>
      </c>
      <c r="H1022" s="24"/>
      <c r="I1022" s="24"/>
      <c r="J1022" s="283"/>
      <c r="K1022" s="196" t="s">
        <v>409</v>
      </c>
      <c r="L1022" s="164" t="s">
        <v>2696</v>
      </c>
      <c r="M1022" s="196" t="s">
        <v>2697</v>
      </c>
      <c r="N1022" s="196" t="s">
        <v>111</v>
      </c>
      <c r="O1022" s="196"/>
      <c r="P1022" s="196"/>
      <c r="Q1022" s="196"/>
      <c r="R1022" s="196"/>
      <c r="S1022" s="283"/>
      <c r="T1022" s="196" t="s">
        <v>208</v>
      </c>
      <c r="U1022" s="283"/>
      <c r="V1022" s="283"/>
      <c r="W1022" s="196" t="s">
        <v>115</v>
      </c>
      <c r="X1022" s="225"/>
      <c r="Y1022" s="283"/>
      <c r="Z1022" s="283"/>
      <c r="AA1022" s="283"/>
      <c r="AB1022" s="283"/>
      <c r="AC1022" s="283"/>
      <c r="AD1022" s="283"/>
      <c r="AE1022" s="283"/>
      <c r="AF1022" s="283"/>
      <c r="AG1022" s="283"/>
      <c r="AH1022" s="285" t="s">
        <v>2676</v>
      </c>
      <c r="AI1022" s="285" t="s">
        <v>2642</v>
      </c>
      <c r="AJ1022" s="285" t="s">
        <v>2643</v>
      </c>
      <c r="AK1022" s="225"/>
      <c r="AL1022" s="225"/>
      <c r="AM1022" s="24"/>
    </row>
    <row r="1023" spans="1:39" ht="12.75" customHeight="1">
      <c r="A1023" s="22">
        <v>1021</v>
      </c>
      <c r="B1023" s="24" t="s">
        <v>2698</v>
      </c>
      <c r="C1023" s="24" t="s">
        <v>65</v>
      </c>
      <c r="D1023" s="24" t="s">
        <v>1787</v>
      </c>
      <c r="E1023" s="24" t="s">
        <v>2673</v>
      </c>
      <c r="F1023" s="24">
        <v>1</v>
      </c>
      <c r="G1023" s="24" t="s">
        <v>2372</v>
      </c>
      <c r="H1023" s="24"/>
      <c r="I1023" s="24"/>
      <c r="J1023" s="283"/>
      <c r="K1023" s="298" t="s">
        <v>115</v>
      </c>
      <c r="L1023" s="298" t="s">
        <v>2698</v>
      </c>
      <c r="M1023" s="298" t="s">
        <v>2699</v>
      </c>
      <c r="N1023" s="298" t="s">
        <v>65</v>
      </c>
      <c r="O1023" s="164"/>
      <c r="P1023" s="298" t="s">
        <v>2700</v>
      </c>
      <c r="Q1023" s="298"/>
      <c r="R1023" s="164"/>
      <c r="S1023" s="283"/>
      <c r="T1023" s="298" t="s">
        <v>115</v>
      </c>
      <c r="U1023" s="283"/>
      <c r="V1023" s="283"/>
      <c r="W1023" s="298" t="s">
        <v>115</v>
      </c>
      <c r="X1023" s="225"/>
      <c r="Y1023" s="283"/>
      <c r="Z1023" s="283"/>
      <c r="AA1023" s="283"/>
      <c r="AB1023" s="283"/>
      <c r="AC1023" s="283"/>
      <c r="AD1023" s="283"/>
      <c r="AE1023" s="283"/>
      <c r="AF1023" s="283"/>
      <c r="AG1023" s="283"/>
      <c r="AH1023" s="285" t="s">
        <v>115</v>
      </c>
      <c r="AI1023" s="285" t="s">
        <v>115</v>
      </c>
      <c r="AJ1023" s="285" t="s">
        <v>115</v>
      </c>
      <c r="AK1023" s="225"/>
      <c r="AL1023" s="225"/>
      <c r="AM1023" s="24"/>
    </row>
    <row r="1024" spans="1:39" ht="12.75" customHeight="1">
      <c r="A1024" s="22">
        <v>1022</v>
      </c>
      <c r="B1024" s="24" t="s">
        <v>2702</v>
      </c>
      <c r="C1024" s="24" t="s">
        <v>96</v>
      </c>
      <c r="D1024" s="24" t="s">
        <v>1787</v>
      </c>
      <c r="E1024" s="24" t="s">
        <v>2703</v>
      </c>
      <c r="F1024" s="24">
        <v>1</v>
      </c>
      <c r="G1024" s="24" t="s">
        <v>2372</v>
      </c>
      <c r="H1024" s="24"/>
      <c r="I1024" s="24"/>
      <c r="J1024" s="283"/>
      <c r="K1024" s="164" t="s">
        <v>2702</v>
      </c>
      <c r="L1024" s="164" t="s">
        <v>2704</v>
      </c>
      <c r="M1024" s="164"/>
      <c r="N1024" s="164" t="s">
        <v>202</v>
      </c>
      <c r="O1024" s="164"/>
      <c r="P1024" s="164"/>
      <c r="Q1024" s="164"/>
      <c r="R1024" s="164"/>
      <c r="S1024" s="283"/>
      <c r="T1024" s="164" t="s">
        <v>208</v>
      </c>
      <c r="U1024" s="283"/>
      <c r="V1024" s="283"/>
      <c r="W1024" s="204" t="s">
        <v>2375</v>
      </c>
      <c r="X1024" s="225"/>
      <c r="Y1024" s="283"/>
      <c r="Z1024" s="283"/>
      <c r="AA1024" s="283"/>
      <c r="AB1024" s="283"/>
      <c r="AC1024" s="283"/>
      <c r="AD1024" s="283"/>
      <c r="AE1024" s="283"/>
      <c r="AF1024" s="283"/>
      <c r="AG1024" s="283"/>
      <c r="AH1024" s="285" t="s">
        <v>2705</v>
      </c>
      <c r="AI1024" s="357" t="s">
        <v>2398</v>
      </c>
      <c r="AJ1024" s="285" t="s">
        <v>2399</v>
      </c>
      <c r="AK1024" s="225"/>
      <c r="AL1024" s="225"/>
      <c r="AM1024" s="24"/>
    </row>
    <row r="1025" spans="1:39" ht="12.75" customHeight="1">
      <c r="A1025" s="22">
        <v>1023</v>
      </c>
      <c r="B1025" s="24" t="s">
        <v>1673</v>
      </c>
      <c r="C1025" s="24" t="s">
        <v>180</v>
      </c>
      <c r="D1025" s="24" t="s">
        <v>2702</v>
      </c>
      <c r="E1025" s="24" t="s">
        <v>2703</v>
      </c>
      <c r="F1025" s="24">
        <v>1</v>
      </c>
      <c r="G1025" s="24" t="s">
        <v>2372</v>
      </c>
      <c r="H1025" s="24"/>
      <c r="I1025" s="24"/>
      <c r="J1025" s="283"/>
      <c r="K1025" s="164"/>
      <c r="L1025" s="164"/>
      <c r="M1025" s="164"/>
      <c r="N1025" s="164"/>
      <c r="O1025" s="164" t="s">
        <v>1673</v>
      </c>
      <c r="P1025" s="164"/>
      <c r="Q1025" s="164"/>
      <c r="R1025" s="164"/>
      <c r="S1025" s="283"/>
      <c r="T1025" s="164"/>
      <c r="U1025" s="283"/>
      <c r="V1025" s="283"/>
      <c r="W1025" s="204"/>
      <c r="X1025" s="225"/>
      <c r="Y1025" s="283"/>
      <c r="Z1025" s="283"/>
      <c r="AA1025" s="283"/>
      <c r="AB1025" s="283"/>
      <c r="AC1025" s="283"/>
      <c r="AD1025" s="283"/>
      <c r="AE1025" s="283"/>
      <c r="AF1025" s="283"/>
      <c r="AG1025" s="283"/>
      <c r="AH1025" s="285" t="s">
        <v>115</v>
      </c>
      <c r="AI1025" s="357" t="s">
        <v>942</v>
      </c>
      <c r="AJ1025" s="205" t="s">
        <v>943</v>
      </c>
      <c r="AK1025" s="225"/>
      <c r="AL1025" s="225"/>
      <c r="AM1025" s="24"/>
    </row>
    <row r="1026" spans="1:39" ht="12.75" customHeight="1">
      <c r="A1026" s="22">
        <v>1024</v>
      </c>
      <c r="B1026" s="24" t="s">
        <v>1468</v>
      </c>
      <c r="C1026" s="24" t="s">
        <v>180</v>
      </c>
      <c r="D1026" s="24" t="s">
        <v>2702</v>
      </c>
      <c r="E1026" s="24" t="s">
        <v>2703</v>
      </c>
      <c r="F1026" s="24">
        <v>1</v>
      </c>
      <c r="G1026" s="24" t="s">
        <v>2372</v>
      </c>
      <c r="H1026" s="24"/>
      <c r="I1026" s="24"/>
      <c r="J1026" s="283"/>
      <c r="K1026" s="164"/>
      <c r="L1026" s="164"/>
      <c r="M1026" s="164"/>
      <c r="N1026" s="164"/>
      <c r="O1026" s="164" t="s">
        <v>1468</v>
      </c>
      <c r="P1026" s="164"/>
      <c r="Q1026" s="164"/>
      <c r="R1026" s="164"/>
      <c r="S1026" s="283"/>
      <c r="T1026" s="164"/>
      <c r="U1026" s="283"/>
      <c r="V1026" s="283"/>
      <c r="W1026" s="204"/>
      <c r="X1026" s="225"/>
      <c r="Y1026" s="283"/>
      <c r="Z1026" s="283"/>
      <c r="AA1026" s="283"/>
      <c r="AB1026" s="283"/>
      <c r="AC1026" s="283"/>
      <c r="AD1026" s="283"/>
      <c r="AE1026" s="283"/>
      <c r="AF1026" s="283"/>
      <c r="AG1026" s="283"/>
      <c r="AH1026" s="285" t="s">
        <v>115</v>
      </c>
      <c r="AI1026" s="359" t="s">
        <v>1469</v>
      </c>
      <c r="AJ1026" s="205" t="s">
        <v>1470</v>
      </c>
      <c r="AK1026" s="225"/>
      <c r="AL1026" s="225"/>
      <c r="AM1026" s="24"/>
    </row>
    <row r="1027" spans="1:39" ht="12.75" customHeight="1">
      <c r="A1027" s="22">
        <v>1025</v>
      </c>
      <c r="B1027" s="24" t="s">
        <v>2706</v>
      </c>
      <c r="C1027" s="24" t="s">
        <v>96</v>
      </c>
      <c r="D1027" s="24" t="s">
        <v>1787</v>
      </c>
      <c r="E1027" s="24" t="s">
        <v>2707</v>
      </c>
      <c r="F1027" s="24">
        <v>1</v>
      </c>
      <c r="G1027" s="24" t="s">
        <v>2372</v>
      </c>
      <c r="H1027" s="24"/>
      <c r="I1027" s="24"/>
      <c r="J1027" s="283"/>
      <c r="K1027" s="164" t="s">
        <v>2706</v>
      </c>
      <c r="L1027" s="164" t="s">
        <v>2708</v>
      </c>
      <c r="M1027" s="164"/>
      <c r="N1027" s="164" t="s">
        <v>202</v>
      </c>
      <c r="O1027" s="164"/>
      <c r="P1027" s="164"/>
      <c r="Q1027" s="164"/>
      <c r="R1027" s="164"/>
      <c r="S1027" s="283"/>
      <c r="T1027" s="164" t="s">
        <v>113</v>
      </c>
      <c r="U1027" s="283"/>
      <c r="V1027" s="283"/>
      <c r="W1027" s="204" t="s">
        <v>2375</v>
      </c>
      <c r="X1027" s="225"/>
      <c r="Y1027" s="283"/>
      <c r="Z1027" s="283"/>
      <c r="AA1027" s="283"/>
      <c r="AB1027" s="283"/>
      <c r="AC1027" s="283"/>
      <c r="AD1027" s="283"/>
      <c r="AE1027" s="283"/>
      <c r="AF1027" s="283"/>
      <c r="AG1027" s="283"/>
      <c r="AH1027" s="285" t="s">
        <v>2709</v>
      </c>
      <c r="AI1027" s="359" t="s">
        <v>2398</v>
      </c>
      <c r="AJ1027" s="205" t="s">
        <v>2399</v>
      </c>
      <c r="AK1027" s="225"/>
      <c r="AL1027" s="225"/>
      <c r="AM1027" s="24"/>
    </row>
    <row r="1028" spans="1:39" ht="12.75" customHeight="1">
      <c r="A1028" s="22">
        <v>1026</v>
      </c>
      <c r="B1028" s="24" t="s">
        <v>1673</v>
      </c>
      <c r="C1028" s="24" t="s">
        <v>180</v>
      </c>
      <c r="D1028" s="24" t="s">
        <v>2706</v>
      </c>
      <c r="E1028" s="24" t="s">
        <v>2707</v>
      </c>
      <c r="F1028" s="24">
        <v>1</v>
      </c>
      <c r="G1028" s="24" t="s">
        <v>2372</v>
      </c>
      <c r="H1028" s="24"/>
      <c r="I1028" s="24"/>
      <c r="J1028" s="283"/>
      <c r="K1028" s="164"/>
      <c r="L1028" s="164"/>
      <c r="M1028" s="164"/>
      <c r="N1028" s="164"/>
      <c r="O1028" s="164" t="s">
        <v>1673</v>
      </c>
      <c r="P1028" s="164"/>
      <c r="Q1028" s="164"/>
      <c r="R1028" s="164"/>
      <c r="S1028" s="283"/>
      <c r="T1028" s="164"/>
      <c r="U1028" s="283"/>
      <c r="V1028" s="283"/>
      <c r="W1028" s="164"/>
      <c r="X1028" s="225"/>
      <c r="Y1028" s="283"/>
      <c r="Z1028" s="283"/>
      <c r="AA1028" s="283"/>
      <c r="AB1028" s="283"/>
      <c r="AC1028" s="283"/>
      <c r="AD1028" s="283"/>
      <c r="AE1028" s="283"/>
      <c r="AF1028" s="283"/>
      <c r="AG1028" s="283"/>
      <c r="AH1028" s="285" t="s">
        <v>115</v>
      </c>
      <c r="AI1028" s="359" t="s">
        <v>942</v>
      </c>
      <c r="AJ1028" s="205" t="s">
        <v>943</v>
      </c>
      <c r="AK1028" s="225"/>
      <c r="AL1028" s="225"/>
      <c r="AM1028" s="24"/>
    </row>
    <row r="1029" spans="1:39" ht="12.75" customHeight="1">
      <c r="A1029" s="22">
        <v>1027</v>
      </c>
      <c r="B1029" s="24" t="s">
        <v>1468</v>
      </c>
      <c r="C1029" s="24" t="s">
        <v>180</v>
      </c>
      <c r="D1029" s="24" t="s">
        <v>2706</v>
      </c>
      <c r="E1029" s="24" t="s">
        <v>2707</v>
      </c>
      <c r="F1029" s="24">
        <v>1</v>
      </c>
      <c r="G1029" s="24" t="s">
        <v>2372</v>
      </c>
      <c r="H1029" s="24"/>
      <c r="I1029" s="24"/>
      <c r="J1029" s="283"/>
      <c r="K1029" s="164"/>
      <c r="L1029" s="164"/>
      <c r="M1029" s="164"/>
      <c r="N1029" s="164"/>
      <c r="O1029" s="164" t="s">
        <v>1468</v>
      </c>
      <c r="P1029" s="164"/>
      <c r="Q1029" s="164"/>
      <c r="R1029" s="164"/>
      <c r="S1029" s="283"/>
      <c r="T1029" s="164"/>
      <c r="U1029" s="283"/>
      <c r="V1029" s="283"/>
      <c r="W1029" s="164"/>
      <c r="X1029" s="225"/>
      <c r="Y1029" s="283"/>
      <c r="Z1029" s="283"/>
      <c r="AA1029" s="283"/>
      <c r="AB1029" s="283"/>
      <c r="AC1029" s="283"/>
      <c r="AD1029" s="283"/>
      <c r="AE1029" s="283"/>
      <c r="AF1029" s="283"/>
      <c r="AG1029" s="283"/>
      <c r="AH1029" s="285" t="s">
        <v>115</v>
      </c>
      <c r="AI1029" s="359" t="s">
        <v>1469</v>
      </c>
      <c r="AJ1029" s="205" t="s">
        <v>1470</v>
      </c>
      <c r="AK1029" s="225"/>
      <c r="AL1029" s="225"/>
      <c r="AM1029" s="24"/>
    </row>
    <row r="1030" spans="1:39" ht="12.75" customHeight="1">
      <c r="A1030" s="22">
        <v>1028</v>
      </c>
      <c r="B1030" s="24" t="s">
        <v>2710</v>
      </c>
      <c r="C1030" s="24" t="s">
        <v>96</v>
      </c>
      <c r="D1030" s="24" t="s">
        <v>1787</v>
      </c>
      <c r="E1030" s="24" t="s">
        <v>2707</v>
      </c>
      <c r="F1030" s="24">
        <v>1</v>
      </c>
      <c r="G1030" s="24" t="s">
        <v>2372</v>
      </c>
      <c r="H1030" s="24"/>
      <c r="I1030" s="24"/>
      <c r="J1030" s="283"/>
      <c r="K1030" s="164" t="s">
        <v>1376</v>
      </c>
      <c r="L1030" s="164" t="s">
        <v>2711</v>
      </c>
      <c r="M1030" s="164" t="s">
        <v>2634</v>
      </c>
      <c r="N1030" s="164" t="s">
        <v>238</v>
      </c>
      <c r="O1030" s="224"/>
      <c r="P1030" s="164"/>
      <c r="Q1030" s="164"/>
      <c r="R1030" s="164"/>
      <c r="S1030" s="283"/>
      <c r="T1030" s="164" t="s">
        <v>113</v>
      </c>
      <c r="U1030" s="283"/>
      <c r="V1030" s="283"/>
      <c r="W1030" s="164" t="s">
        <v>115</v>
      </c>
      <c r="X1030" s="225"/>
      <c r="Y1030" s="283"/>
      <c r="Z1030" s="283"/>
      <c r="AA1030" s="283"/>
      <c r="AB1030" s="283"/>
      <c r="AC1030" s="283"/>
      <c r="AD1030" s="283"/>
      <c r="AE1030" s="283"/>
      <c r="AF1030" s="283"/>
      <c r="AG1030" s="283"/>
      <c r="AH1030" s="285" t="s">
        <v>115</v>
      </c>
      <c r="AI1030" s="359" t="s">
        <v>2712</v>
      </c>
      <c r="AJ1030" s="205" t="s">
        <v>2713</v>
      </c>
      <c r="AK1030" s="225"/>
      <c r="AL1030" s="225"/>
      <c r="AM1030" s="24"/>
    </row>
    <row r="1031" spans="1:39" ht="12.75" customHeight="1">
      <c r="A1031" s="22">
        <v>1029</v>
      </c>
      <c r="B1031" s="24" t="s">
        <v>2405</v>
      </c>
      <c r="C1031" s="24" t="s">
        <v>180</v>
      </c>
      <c r="D1031" s="24" t="s">
        <v>2710</v>
      </c>
      <c r="E1031" s="24" t="s">
        <v>2707</v>
      </c>
      <c r="F1031" s="24">
        <v>1</v>
      </c>
      <c r="G1031" s="24" t="s">
        <v>2372</v>
      </c>
      <c r="H1031" s="24"/>
      <c r="I1031" s="24"/>
      <c r="J1031" s="283"/>
      <c r="K1031" s="196"/>
      <c r="L1031" s="164"/>
      <c r="M1031" s="196"/>
      <c r="N1031" s="196"/>
      <c r="O1031" s="224" t="s">
        <v>2405</v>
      </c>
      <c r="P1031" s="196"/>
      <c r="Q1031" s="196"/>
      <c r="R1031" s="196"/>
      <c r="S1031" s="283"/>
      <c r="T1031" s="196"/>
      <c r="U1031" s="283"/>
      <c r="V1031" s="283"/>
      <c r="W1031" s="196"/>
      <c r="X1031" s="225"/>
      <c r="Y1031" s="283"/>
      <c r="Z1031" s="283"/>
      <c r="AA1031" s="283"/>
      <c r="AB1031" s="283"/>
      <c r="AC1031" s="283"/>
      <c r="AD1031" s="283"/>
      <c r="AE1031" s="283"/>
      <c r="AF1031" s="283"/>
      <c r="AG1031" s="283"/>
      <c r="AH1031" s="285" t="s">
        <v>115</v>
      </c>
      <c r="AI1031" s="359" t="s">
        <v>2406</v>
      </c>
      <c r="AJ1031" s="205" t="s">
        <v>2407</v>
      </c>
      <c r="AK1031" s="225"/>
      <c r="AL1031" s="225"/>
      <c r="AM1031" s="24"/>
    </row>
    <row r="1032" spans="1:39" ht="12.75" customHeight="1">
      <c r="A1032" s="22">
        <v>1030</v>
      </c>
      <c r="B1032" s="24" t="s">
        <v>2714</v>
      </c>
      <c r="C1032" s="24" t="s">
        <v>180</v>
      </c>
      <c r="D1032" s="24" t="s">
        <v>2710</v>
      </c>
      <c r="E1032" s="24" t="s">
        <v>2707</v>
      </c>
      <c r="F1032" s="24">
        <v>1</v>
      </c>
      <c r="G1032" s="24" t="s">
        <v>2372</v>
      </c>
      <c r="H1032" s="24"/>
      <c r="I1032" s="24"/>
      <c r="J1032" s="283"/>
      <c r="K1032" s="196"/>
      <c r="L1032" s="164"/>
      <c r="M1032" s="196"/>
      <c r="N1032" s="196"/>
      <c r="O1032" s="204" t="s">
        <v>2714</v>
      </c>
      <c r="P1032" s="196"/>
      <c r="Q1032" s="196"/>
      <c r="R1032" s="196"/>
      <c r="S1032" s="283"/>
      <c r="T1032" s="196"/>
      <c r="U1032" s="283"/>
      <c r="V1032" s="283"/>
      <c r="W1032" s="196"/>
      <c r="X1032" s="225"/>
      <c r="Y1032" s="283"/>
      <c r="Z1032" s="283"/>
      <c r="AA1032" s="283"/>
      <c r="AB1032" s="283"/>
      <c r="AC1032" s="283"/>
      <c r="AD1032" s="283"/>
      <c r="AE1032" s="283"/>
      <c r="AF1032" s="283"/>
      <c r="AG1032" s="283"/>
      <c r="AH1032" s="285" t="s">
        <v>115</v>
      </c>
      <c r="AI1032" s="359" t="s">
        <v>2637</v>
      </c>
      <c r="AJ1032" s="205" t="s">
        <v>2638</v>
      </c>
      <c r="AK1032" s="225"/>
      <c r="AL1032" s="225"/>
      <c r="AM1032" s="24"/>
    </row>
    <row r="1033" spans="1:39" ht="12.75" customHeight="1">
      <c r="A1033" s="22">
        <v>1031</v>
      </c>
      <c r="B1033" s="24" t="s">
        <v>2715</v>
      </c>
      <c r="C1033" s="24" t="s">
        <v>180</v>
      </c>
      <c r="D1033" s="24" t="s">
        <v>2710</v>
      </c>
      <c r="E1033" s="24" t="s">
        <v>2707</v>
      </c>
      <c r="F1033" s="24">
        <v>1</v>
      </c>
      <c r="G1033" s="24" t="s">
        <v>2372</v>
      </c>
      <c r="H1033" s="24"/>
      <c r="I1033" s="24"/>
      <c r="J1033" s="283"/>
      <c r="K1033" s="196"/>
      <c r="L1033" s="164"/>
      <c r="M1033" s="196"/>
      <c r="N1033" s="196"/>
      <c r="O1033" s="204" t="s">
        <v>2715</v>
      </c>
      <c r="P1033" s="196"/>
      <c r="Q1033" s="196"/>
      <c r="R1033" s="196"/>
      <c r="S1033" s="283"/>
      <c r="T1033" s="196"/>
      <c r="U1033" s="283"/>
      <c r="V1033" s="283"/>
      <c r="W1033" s="196"/>
      <c r="X1033" s="225"/>
      <c r="Y1033" s="283"/>
      <c r="Z1033" s="283"/>
      <c r="AA1033" s="283"/>
      <c r="AB1033" s="283"/>
      <c r="AC1033" s="283"/>
      <c r="AD1033" s="283"/>
      <c r="AE1033" s="283"/>
      <c r="AF1033" s="283"/>
      <c r="AG1033" s="283"/>
      <c r="AH1033" s="285" t="s">
        <v>115</v>
      </c>
      <c r="AI1033" s="359" t="s">
        <v>2716</v>
      </c>
      <c r="AJ1033" s="205" t="s">
        <v>2717</v>
      </c>
      <c r="AK1033" s="225"/>
      <c r="AL1033" s="225"/>
      <c r="AM1033" s="24"/>
    </row>
    <row r="1034" spans="1:39" ht="12.75" customHeight="1">
      <c r="A1034" s="22">
        <v>1032</v>
      </c>
      <c r="B1034" s="24" t="s">
        <v>405</v>
      </c>
      <c r="C1034" s="24" t="s">
        <v>180</v>
      </c>
      <c r="D1034" s="24" t="s">
        <v>2710</v>
      </c>
      <c r="E1034" s="24" t="s">
        <v>2707</v>
      </c>
      <c r="F1034" s="24">
        <v>1</v>
      </c>
      <c r="G1034" s="24" t="s">
        <v>2372</v>
      </c>
      <c r="H1034" s="24"/>
      <c r="I1034" s="24"/>
      <c r="J1034" s="283"/>
      <c r="K1034" s="196"/>
      <c r="L1034" s="164"/>
      <c r="M1034" s="196"/>
      <c r="N1034" s="196"/>
      <c r="O1034" s="204" t="s">
        <v>405</v>
      </c>
      <c r="P1034" s="196"/>
      <c r="Q1034" s="196"/>
      <c r="R1034" s="196"/>
      <c r="S1034" s="283"/>
      <c r="T1034" s="196"/>
      <c r="U1034" s="283"/>
      <c r="V1034" s="283"/>
      <c r="W1034" s="196"/>
      <c r="X1034" s="225"/>
      <c r="Y1034" s="283"/>
      <c r="Z1034" s="283"/>
      <c r="AA1034" s="283"/>
      <c r="AB1034" s="283"/>
      <c r="AC1034" s="283"/>
      <c r="AD1034" s="283"/>
      <c r="AE1034" s="283"/>
      <c r="AF1034" s="283"/>
      <c r="AG1034" s="283"/>
      <c r="AH1034" s="285" t="s">
        <v>115</v>
      </c>
      <c r="AI1034" s="359" t="s">
        <v>406</v>
      </c>
      <c r="AJ1034" s="205" t="s">
        <v>407</v>
      </c>
      <c r="AK1034" s="225"/>
      <c r="AL1034" s="225"/>
      <c r="AM1034" s="24"/>
    </row>
    <row r="1035" spans="1:39" ht="12.75" customHeight="1">
      <c r="A1035" s="22">
        <v>1033</v>
      </c>
      <c r="B1035" s="24" t="s">
        <v>2718</v>
      </c>
      <c r="C1035" s="24" t="s">
        <v>96</v>
      </c>
      <c r="D1035" s="24" t="s">
        <v>1787</v>
      </c>
      <c r="E1035" s="24" t="s">
        <v>2707</v>
      </c>
      <c r="F1035" s="24">
        <v>1</v>
      </c>
      <c r="G1035" s="24" t="s">
        <v>2372</v>
      </c>
      <c r="H1035" s="24"/>
      <c r="I1035" s="24"/>
      <c r="J1035" s="283"/>
      <c r="K1035" s="196" t="s">
        <v>409</v>
      </c>
      <c r="L1035" s="164" t="s">
        <v>2719</v>
      </c>
      <c r="M1035" s="196" t="s">
        <v>2720</v>
      </c>
      <c r="N1035" s="196" t="s">
        <v>111</v>
      </c>
      <c r="O1035" s="196"/>
      <c r="P1035" s="196"/>
      <c r="Q1035" s="196"/>
      <c r="R1035" s="196"/>
      <c r="S1035" s="283"/>
      <c r="T1035" s="196" t="s">
        <v>208</v>
      </c>
      <c r="U1035" s="283"/>
      <c r="V1035" s="283"/>
      <c r="W1035" s="196" t="s">
        <v>115</v>
      </c>
      <c r="X1035" s="225"/>
      <c r="Y1035" s="283"/>
      <c r="Z1035" s="283"/>
      <c r="AA1035" s="283"/>
      <c r="AB1035" s="283"/>
      <c r="AC1035" s="283"/>
      <c r="AD1035" s="283"/>
      <c r="AE1035" s="283"/>
      <c r="AF1035" s="283"/>
      <c r="AG1035" s="283"/>
      <c r="AH1035" s="205" t="s">
        <v>2721</v>
      </c>
      <c r="AI1035" s="359" t="s">
        <v>415</v>
      </c>
      <c r="AJ1035" s="205" t="s">
        <v>416</v>
      </c>
      <c r="AK1035" s="225"/>
      <c r="AL1035" s="225"/>
      <c r="AM1035" s="24"/>
    </row>
    <row r="1036" spans="1:39" ht="12.75" customHeight="1">
      <c r="A1036" s="22">
        <v>1034</v>
      </c>
      <c r="B1036" s="24" t="s">
        <v>2722</v>
      </c>
      <c r="C1036" s="24" t="s">
        <v>65</v>
      </c>
      <c r="D1036" s="24" t="s">
        <v>1787</v>
      </c>
      <c r="E1036" s="24" t="s">
        <v>2707</v>
      </c>
      <c r="F1036" s="24">
        <v>1</v>
      </c>
      <c r="G1036" s="24" t="s">
        <v>2372</v>
      </c>
      <c r="H1036" s="24"/>
      <c r="I1036" s="24"/>
      <c r="J1036" s="283"/>
      <c r="K1036" s="298" t="s">
        <v>115</v>
      </c>
      <c r="L1036" s="298" t="s">
        <v>2722</v>
      </c>
      <c r="M1036" s="298" t="s">
        <v>2723</v>
      </c>
      <c r="N1036" s="298" t="s">
        <v>65</v>
      </c>
      <c r="O1036" s="164"/>
      <c r="P1036" s="298" t="s">
        <v>2724</v>
      </c>
      <c r="Q1036" s="298"/>
      <c r="R1036" s="164"/>
      <c r="S1036" s="283"/>
      <c r="T1036" s="298" t="s">
        <v>115</v>
      </c>
      <c r="U1036" s="283"/>
      <c r="V1036" s="283"/>
      <c r="W1036" s="298" t="s">
        <v>115</v>
      </c>
      <c r="X1036" s="225"/>
      <c r="Y1036" s="283"/>
      <c r="Z1036" s="283"/>
      <c r="AA1036" s="283"/>
      <c r="AB1036" s="283"/>
      <c r="AC1036" s="283"/>
      <c r="AD1036" s="283"/>
      <c r="AE1036" s="283"/>
      <c r="AF1036" s="283"/>
      <c r="AG1036" s="283"/>
      <c r="AH1036" s="285" t="s">
        <v>115</v>
      </c>
      <c r="AI1036" s="285" t="s">
        <v>115</v>
      </c>
      <c r="AJ1036" s="285" t="s">
        <v>115</v>
      </c>
      <c r="AK1036" s="225"/>
      <c r="AL1036" s="225"/>
      <c r="AM1036" s="24"/>
    </row>
    <row r="1037" spans="1:39" ht="12.75" customHeight="1">
      <c r="A1037" s="22">
        <v>1035</v>
      </c>
      <c r="B1037" s="24" t="s">
        <v>2725</v>
      </c>
      <c r="C1037" s="24" t="s">
        <v>96</v>
      </c>
      <c r="D1037" s="24" t="s">
        <v>1787</v>
      </c>
      <c r="E1037" s="24" t="s">
        <v>2726</v>
      </c>
      <c r="F1037" s="24">
        <v>1</v>
      </c>
      <c r="G1037" s="24" t="s">
        <v>2372</v>
      </c>
      <c r="H1037" s="24"/>
      <c r="I1037" s="24"/>
      <c r="J1037" s="283"/>
      <c r="K1037" s="164">
        <v>0</v>
      </c>
      <c r="L1037" s="164" t="s">
        <v>2727</v>
      </c>
      <c r="M1037" s="164"/>
      <c r="N1037" s="196" t="s">
        <v>202</v>
      </c>
      <c r="O1037" s="164"/>
      <c r="P1037" s="164"/>
      <c r="Q1037" s="164"/>
      <c r="R1037" s="164"/>
      <c r="S1037" s="283"/>
      <c r="T1037" s="164" t="s">
        <v>208</v>
      </c>
      <c r="U1037" s="283"/>
      <c r="V1037" s="283"/>
      <c r="W1037" s="204" t="s">
        <v>2375</v>
      </c>
      <c r="X1037" s="225"/>
      <c r="Y1037" s="283"/>
      <c r="Z1037" s="283"/>
      <c r="AA1037" s="283"/>
      <c r="AB1037" s="283"/>
      <c r="AC1037" s="283"/>
      <c r="AD1037" s="283"/>
      <c r="AE1037" s="283"/>
      <c r="AF1037" s="283"/>
      <c r="AG1037" s="283"/>
      <c r="AH1037" s="285" t="s">
        <v>2728</v>
      </c>
      <c r="AI1037" s="357" t="s">
        <v>2398</v>
      </c>
      <c r="AJ1037" s="285" t="s">
        <v>2399</v>
      </c>
      <c r="AK1037" s="225"/>
      <c r="AL1037" s="225"/>
      <c r="AM1037" s="24"/>
    </row>
    <row r="1038" spans="1:39" ht="12.75" customHeight="1">
      <c r="A1038" s="22">
        <v>1036</v>
      </c>
      <c r="B1038" s="24" t="s">
        <v>1673</v>
      </c>
      <c r="C1038" s="24" t="s">
        <v>180</v>
      </c>
      <c r="D1038" s="24" t="s">
        <v>2725</v>
      </c>
      <c r="E1038" s="24" t="s">
        <v>2726</v>
      </c>
      <c r="F1038" s="24">
        <v>1</v>
      </c>
      <c r="G1038" s="24" t="s">
        <v>2372</v>
      </c>
      <c r="H1038" s="24"/>
      <c r="I1038" s="24"/>
      <c r="J1038" s="283"/>
      <c r="K1038" s="164"/>
      <c r="L1038" s="164"/>
      <c r="M1038" s="164"/>
      <c r="N1038" s="196"/>
      <c r="O1038" s="164" t="s">
        <v>1673</v>
      </c>
      <c r="P1038" s="164"/>
      <c r="Q1038" s="164"/>
      <c r="R1038" s="164"/>
      <c r="S1038" s="283"/>
      <c r="T1038" s="164"/>
      <c r="U1038" s="283"/>
      <c r="V1038" s="283"/>
      <c r="W1038" s="204"/>
      <c r="X1038" s="225"/>
      <c r="Y1038" s="283"/>
      <c r="Z1038" s="283"/>
      <c r="AA1038" s="283"/>
      <c r="AB1038" s="283"/>
      <c r="AC1038" s="283"/>
      <c r="AD1038" s="283"/>
      <c r="AE1038" s="283"/>
      <c r="AF1038" s="283"/>
      <c r="AG1038" s="283"/>
      <c r="AH1038" s="285" t="s">
        <v>115</v>
      </c>
      <c r="AI1038" s="357" t="s">
        <v>942</v>
      </c>
      <c r="AJ1038" s="205" t="s">
        <v>943</v>
      </c>
      <c r="AK1038" s="225"/>
      <c r="AL1038" s="225"/>
      <c r="AM1038" s="24"/>
    </row>
    <row r="1039" spans="1:39" ht="12.75" customHeight="1">
      <c r="A1039" s="22">
        <v>1037</v>
      </c>
      <c r="B1039" s="24" t="s">
        <v>1468</v>
      </c>
      <c r="C1039" s="24" t="s">
        <v>180</v>
      </c>
      <c r="D1039" s="24" t="s">
        <v>2725</v>
      </c>
      <c r="E1039" s="24" t="s">
        <v>2726</v>
      </c>
      <c r="F1039" s="24">
        <v>1</v>
      </c>
      <c r="G1039" s="24" t="s">
        <v>2372</v>
      </c>
      <c r="H1039" s="24"/>
      <c r="I1039" s="24"/>
      <c r="J1039" s="283"/>
      <c r="K1039" s="164"/>
      <c r="L1039" s="164"/>
      <c r="M1039" s="164"/>
      <c r="N1039" s="196"/>
      <c r="O1039" s="164" t="s">
        <v>1468</v>
      </c>
      <c r="P1039" s="164"/>
      <c r="Q1039" s="164"/>
      <c r="R1039" s="164"/>
      <c r="S1039" s="283"/>
      <c r="T1039" s="164"/>
      <c r="U1039" s="283"/>
      <c r="V1039" s="283"/>
      <c r="W1039" s="204"/>
      <c r="X1039" s="225"/>
      <c r="Y1039" s="283"/>
      <c r="Z1039" s="283"/>
      <c r="AA1039" s="283"/>
      <c r="AB1039" s="283"/>
      <c r="AC1039" s="283"/>
      <c r="AD1039" s="283"/>
      <c r="AE1039" s="283"/>
      <c r="AF1039" s="283"/>
      <c r="AG1039" s="283"/>
      <c r="AH1039" s="285" t="s">
        <v>115</v>
      </c>
      <c r="AI1039" s="357" t="s">
        <v>1469</v>
      </c>
      <c r="AJ1039" s="205" t="s">
        <v>1470</v>
      </c>
      <c r="AK1039" s="225"/>
      <c r="AL1039" s="225"/>
      <c r="AM1039" s="24"/>
    </row>
    <row r="1040" spans="1:39" ht="12.75" customHeight="1">
      <c r="A1040" s="22">
        <v>1038</v>
      </c>
      <c r="B1040" s="24" t="s">
        <v>2729</v>
      </c>
      <c r="C1040" s="24" t="s">
        <v>96</v>
      </c>
      <c r="D1040" s="24" t="s">
        <v>1787</v>
      </c>
      <c r="E1040" s="24" t="s">
        <v>2730</v>
      </c>
      <c r="F1040" s="24">
        <v>1</v>
      </c>
      <c r="G1040" s="24" t="s">
        <v>2372</v>
      </c>
      <c r="H1040" s="24"/>
      <c r="I1040" s="24"/>
      <c r="J1040" s="283"/>
      <c r="K1040" s="204" t="s">
        <v>2729</v>
      </c>
      <c r="L1040" s="196" t="s">
        <v>2731</v>
      </c>
      <c r="M1040" s="196"/>
      <c r="N1040" s="196" t="s">
        <v>202</v>
      </c>
      <c r="O1040" s="164"/>
      <c r="P1040" s="196"/>
      <c r="Q1040" s="196"/>
      <c r="R1040" s="196"/>
      <c r="S1040" s="283"/>
      <c r="T1040" s="196" t="s">
        <v>208</v>
      </c>
      <c r="U1040" s="283"/>
      <c r="V1040" s="283"/>
      <c r="W1040" s="296" t="s">
        <v>1277</v>
      </c>
      <c r="X1040" s="225"/>
      <c r="Y1040" s="283"/>
      <c r="Z1040" s="283"/>
      <c r="AA1040" s="283"/>
      <c r="AB1040" s="283"/>
      <c r="AC1040" s="283"/>
      <c r="AD1040" s="283"/>
      <c r="AE1040" s="283"/>
      <c r="AF1040" s="283"/>
      <c r="AG1040" s="283"/>
      <c r="AH1040" s="285" t="s">
        <v>2732</v>
      </c>
      <c r="AI1040" s="357" t="s">
        <v>2398</v>
      </c>
      <c r="AJ1040" s="285" t="s">
        <v>2399</v>
      </c>
      <c r="AK1040" s="225"/>
      <c r="AL1040" s="225"/>
      <c r="AM1040" s="24"/>
    </row>
    <row r="1041" spans="1:39" ht="12.75" customHeight="1">
      <c r="A1041" s="22">
        <v>1039</v>
      </c>
      <c r="B1041" s="24" t="s">
        <v>1673</v>
      </c>
      <c r="C1041" s="24" t="s">
        <v>180</v>
      </c>
      <c r="D1041" s="24" t="s">
        <v>2729</v>
      </c>
      <c r="E1041" s="24" t="s">
        <v>2730</v>
      </c>
      <c r="F1041" s="24">
        <v>1</v>
      </c>
      <c r="G1041" s="24" t="s">
        <v>2372</v>
      </c>
      <c r="H1041" s="24"/>
      <c r="I1041" s="24"/>
      <c r="J1041" s="283"/>
      <c r="K1041" s="204"/>
      <c r="L1041" s="164"/>
      <c r="M1041" s="164"/>
      <c r="N1041" s="164"/>
      <c r="O1041" s="164" t="s">
        <v>1673</v>
      </c>
      <c r="P1041" s="164"/>
      <c r="Q1041" s="164"/>
      <c r="R1041" s="164"/>
      <c r="S1041" s="283"/>
      <c r="T1041" s="164"/>
      <c r="U1041" s="283"/>
      <c r="V1041" s="283"/>
      <c r="W1041" s="296"/>
      <c r="X1041" s="225"/>
      <c r="Y1041" s="283"/>
      <c r="Z1041" s="283"/>
      <c r="AA1041" s="283"/>
      <c r="AB1041" s="283"/>
      <c r="AC1041" s="283"/>
      <c r="AD1041" s="283"/>
      <c r="AE1041" s="283"/>
      <c r="AF1041" s="283"/>
      <c r="AG1041" s="283"/>
      <c r="AH1041" s="285" t="s">
        <v>115</v>
      </c>
      <c r="AI1041" s="357" t="s">
        <v>942</v>
      </c>
      <c r="AJ1041" s="205" t="s">
        <v>943</v>
      </c>
      <c r="AK1041" s="225"/>
      <c r="AL1041" s="225"/>
      <c r="AM1041" s="24"/>
    </row>
    <row r="1042" spans="1:39" ht="12.75" customHeight="1">
      <c r="A1042" s="22">
        <v>1040</v>
      </c>
      <c r="B1042" s="24" t="s">
        <v>1468</v>
      </c>
      <c r="C1042" s="24" t="s">
        <v>180</v>
      </c>
      <c r="D1042" s="24" t="s">
        <v>2729</v>
      </c>
      <c r="E1042" s="24" t="s">
        <v>2730</v>
      </c>
      <c r="F1042" s="24">
        <v>1</v>
      </c>
      <c r="G1042" s="24" t="s">
        <v>2372</v>
      </c>
      <c r="H1042" s="24"/>
      <c r="I1042" s="24"/>
      <c r="J1042" s="283"/>
      <c r="K1042" s="204"/>
      <c r="L1042" s="164"/>
      <c r="M1042" s="164"/>
      <c r="N1042" s="164"/>
      <c r="O1042" s="164" t="s">
        <v>1468</v>
      </c>
      <c r="P1042" s="164"/>
      <c r="Q1042" s="164"/>
      <c r="R1042" s="164"/>
      <c r="S1042" s="283"/>
      <c r="T1042" s="164"/>
      <c r="U1042" s="283"/>
      <c r="V1042" s="283"/>
      <c r="W1042" s="296"/>
      <c r="X1042" s="225"/>
      <c r="Y1042" s="283"/>
      <c r="Z1042" s="283"/>
      <c r="AA1042" s="283"/>
      <c r="AB1042" s="283"/>
      <c r="AC1042" s="283"/>
      <c r="AD1042" s="283"/>
      <c r="AE1042" s="283"/>
      <c r="AF1042" s="283"/>
      <c r="AG1042" s="283"/>
      <c r="AH1042" s="285" t="s">
        <v>115</v>
      </c>
      <c r="AI1042" s="357" t="s">
        <v>1469</v>
      </c>
      <c r="AJ1042" s="205" t="s">
        <v>1470</v>
      </c>
      <c r="AK1042" s="225"/>
      <c r="AL1042" s="225"/>
      <c r="AM1042" s="24"/>
    </row>
    <row r="1043" spans="1:39" ht="12.75" customHeight="1">
      <c r="A1043" s="22">
        <v>1041</v>
      </c>
      <c r="B1043" s="24" t="s">
        <v>2733</v>
      </c>
      <c r="C1043" s="24" t="s">
        <v>96</v>
      </c>
      <c r="D1043" s="24" t="s">
        <v>1787</v>
      </c>
      <c r="E1043" s="24" t="s">
        <v>2730</v>
      </c>
      <c r="F1043" s="24">
        <v>1</v>
      </c>
      <c r="G1043" s="24" t="s">
        <v>2372</v>
      </c>
      <c r="H1043" s="24"/>
      <c r="I1043" s="24"/>
      <c r="J1043" s="283"/>
      <c r="K1043" s="204" t="s">
        <v>2733</v>
      </c>
      <c r="L1043" s="164" t="s">
        <v>2734</v>
      </c>
      <c r="M1043" s="164"/>
      <c r="N1043" s="164" t="s">
        <v>202</v>
      </c>
      <c r="O1043" s="164"/>
      <c r="P1043" s="164"/>
      <c r="Q1043" s="164"/>
      <c r="R1043" s="164"/>
      <c r="S1043" s="283"/>
      <c r="T1043" s="164" t="s">
        <v>208</v>
      </c>
      <c r="U1043" s="283"/>
      <c r="V1043" s="283"/>
      <c r="W1043" s="296" t="s">
        <v>1277</v>
      </c>
      <c r="X1043" s="225"/>
      <c r="Y1043" s="283"/>
      <c r="Z1043" s="283"/>
      <c r="AA1043" s="283"/>
      <c r="AB1043" s="283"/>
      <c r="AC1043" s="283"/>
      <c r="AD1043" s="283"/>
      <c r="AE1043" s="283"/>
      <c r="AF1043" s="283"/>
      <c r="AG1043" s="283"/>
      <c r="AH1043" s="285" t="s">
        <v>115</v>
      </c>
      <c r="AI1043" s="285" t="s">
        <v>115</v>
      </c>
      <c r="AJ1043" s="285" t="s">
        <v>115</v>
      </c>
      <c r="AK1043" s="225"/>
      <c r="AL1043" s="225"/>
      <c r="AM1043" s="24"/>
    </row>
    <row r="1044" spans="1:39" ht="12.75" customHeight="1">
      <c r="A1044" s="22">
        <v>1042</v>
      </c>
      <c r="B1044" s="24" t="s">
        <v>1673</v>
      </c>
      <c r="C1044" s="24" t="s">
        <v>180</v>
      </c>
      <c r="D1044" s="24" t="s">
        <v>2733</v>
      </c>
      <c r="E1044" s="24" t="s">
        <v>2730</v>
      </c>
      <c r="F1044" s="24">
        <v>1</v>
      </c>
      <c r="G1044" s="24" t="s">
        <v>2372</v>
      </c>
      <c r="H1044" s="24"/>
      <c r="I1044" s="24"/>
      <c r="J1044" s="283"/>
      <c r="K1044" s="204"/>
      <c r="L1044" s="164"/>
      <c r="M1044" s="164"/>
      <c r="N1044" s="164"/>
      <c r="O1044" s="164" t="s">
        <v>1673</v>
      </c>
      <c r="P1044" s="164"/>
      <c r="Q1044" s="164"/>
      <c r="R1044" s="164"/>
      <c r="S1044" s="283"/>
      <c r="T1044" s="164"/>
      <c r="U1044" s="283"/>
      <c r="V1044" s="283"/>
      <c r="W1044" s="296"/>
      <c r="X1044" s="225"/>
      <c r="Y1044" s="283"/>
      <c r="Z1044" s="283"/>
      <c r="AA1044" s="283"/>
      <c r="AB1044" s="283"/>
      <c r="AC1044" s="283"/>
      <c r="AD1044" s="283"/>
      <c r="AE1044" s="283"/>
      <c r="AF1044" s="283"/>
      <c r="AG1044" s="283"/>
      <c r="AH1044" s="285" t="s">
        <v>115</v>
      </c>
      <c r="AI1044" s="285" t="s">
        <v>115</v>
      </c>
      <c r="AJ1044" s="285" t="s">
        <v>115</v>
      </c>
      <c r="AK1044" s="225"/>
      <c r="AL1044" s="225"/>
      <c r="AM1044" s="24"/>
    </row>
    <row r="1045" spans="1:39" ht="12.75" customHeight="1">
      <c r="A1045" s="22">
        <v>1043</v>
      </c>
      <c r="B1045" s="24" t="s">
        <v>1468</v>
      </c>
      <c r="C1045" s="24" t="s">
        <v>180</v>
      </c>
      <c r="D1045" s="24" t="s">
        <v>2733</v>
      </c>
      <c r="E1045" s="24" t="s">
        <v>2730</v>
      </c>
      <c r="F1045" s="24">
        <v>1</v>
      </c>
      <c r="G1045" s="24" t="s">
        <v>2372</v>
      </c>
      <c r="H1045" s="24"/>
      <c r="I1045" s="24"/>
      <c r="J1045" s="283"/>
      <c r="K1045" s="204"/>
      <c r="L1045" s="164"/>
      <c r="M1045" s="164"/>
      <c r="N1045" s="164"/>
      <c r="O1045" s="164" t="s">
        <v>1468</v>
      </c>
      <c r="P1045" s="164"/>
      <c r="Q1045" s="164"/>
      <c r="R1045" s="164"/>
      <c r="S1045" s="283"/>
      <c r="T1045" s="164"/>
      <c r="U1045" s="283"/>
      <c r="V1045" s="283"/>
      <c r="W1045" s="296"/>
      <c r="X1045" s="225"/>
      <c r="Y1045" s="283"/>
      <c r="Z1045" s="283"/>
      <c r="AA1045" s="283"/>
      <c r="AB1045" s="283"/>
      <c r="AC1045" s="283"/>
      <c r="AD1045" s="283"/>
      <c r="AE1045" s="283"/>
      <c r="AF1045" s="283"/>
      <c r="AG1045" s="283"/>
      <c r="AH1045" s="285" t="s">
        <v>115</v>
      </c>
      <c r="AI1045" s="285" t="s">
        <v>115</v>
      </c>
      <c r="AJ1045" s="285" t="s">
        <v>115</v>
      </c>
      <c r="AK1045" s="225"/>
      <c r="AL1045" s="225"/>
      <c r="AM1045" s="24"/>
    </row>
    <row r="1046" spans="1:39" ht="12.75" customHeight="1">
      <c r="A1046" s="22">
        <v>1044</v>
      </c>
      <c r="B1046" s="24" t="s">
        <v>2735</v>
      </c>
      <c r="C1046" s="24" t="s">
        <v>96</v>
      </c>
      <c r="D1046" s="24" t="s">
        <v>1787</v>
      </c>
      <c r="E1046" s="24" t="s">
        <v>2736</v>
      </c>
      <c r="F1046" s="24">
        <v>1</v>
      </c>
      <c r="G1046" s="24" t="s">
        <v>2372</v>
      </c>
      <c r="H1046" s="24"/>
      <c r="I1046" s="24"/>
      <c r="J1046" s="283"/>
      <c r="K1046" s="224" t="s">
        <v>2735</v>
      </c>
      <c r="L1046" s="164" t="s">
        <v>2737</v>
      </c>
      <c r="M1046" s="164"/>
      <c r="N1046" s="204" t="s">
        <v>202</v>
      </c>
      <c r="O1046" s="164"/>
      <c r="P1046" s="164"/>
      <c r="Q1046" s="164"/>
      <c r="R1046" s="164"/>
      <c r="S1046" s="283"/>
      <c r="T1046" s="164" t="s">
        <v>208</v>
      </c>
      <c r="U1046" s="283"/>
      <c r="V1046" s="283"/>
      <c r="W1046" s="296" t="s">
        <v>1277</v>
      </c>
      <c r="X1046" s="225"/>
      <c r="Y1046" s="283"/>
      <c r="Z1046" s="283"/>
      <c r="AA1046" s="283"/>
      <c r="AB1046" s="283"/>
      <c r="AC1046" s="283"/>
      <c r="AD1046" s="283"/>
      <c r="AE1046" s="283"/>
      <c r="AF1046" s="283"/>
      <c r="AG1046" s="283"/>
      <c r="AH1046" s="285" t="s">
        <v>2738</v>
      </c>
      <c r="AI1046" s="357" t="s">
        <v>2398</v>
      </c>
      <c r="AJ1046" s="285" t="s">
        <v>2399</v>
      </c>
      <c r="AK1046" s="225"/>
      <c r="AL1046" s="225"/>
      <c r="AM1046" s="24"/>
    </row>
    <row r="1047" spans="1:39" ht="12.75" customHeight="1">
      <c r="A1047" s="22">
        <v>1045</v>
      </c>
      <c r="B1047" s="24" t="s">
        <v>1673</v>
      </c>
      <c r="C1047" s="24" t="s">
        <v>180</v>
      </c>
      <c r="D1047" s="24" t="s">
        <v>2735</v>
      </c>
      <c r="E1047" s="24" t="s">
        <v>2736</v>
      </c>
      <c r="F1047" s="24">
        <v>1</v>
      </c>
      <c r="G1047" s="24" t="s">
        <v>2372</v>
      </c>
      <c r="H1047" s="24"/>
      <c r="I1047" s="24"/>
      <c r="J1047" s="283"/>
      <c r="K1047" s="224"/>
      <c r="L1047" s="164"/>
      <c r="M1047" s="164"/>
      <c r="N1047" s="204"/>
      <c r="O1047" s="164" t="s">
        <v>1673</v>
      </c>
      <c r="P1047" s="164"/>
      <c r="Q1047" s="164"/>
      <c r="R1047" s="164"/>
      <c r="S1047" s="283"/>
      <c r="T1047" s="164"/>
      <c r="U1047" s="283"/>
      <c r="V1047" s="283"/>
      <c r="W1047" s="296"/>
      <c r="X1047" s="225"/>
      <c r="Y1047" s="283"/>
      <c r="Z1047" s="283"/>
      <c r="AA1047" s="283"/>
      <c r="AB1047" s="283"/>
      <c r="AC1047" s="283"/>
      <c r="AD1047" s="283"/>
      <c r="AE1047" s="283"/>
      <c r="AF1047" s="283"/>
      <c r="AG1047" s="283"/>
      <c r="AH1047" s="285" t="s">
        <v>115</v>
      </c>
      <c r="AI1047" s="357" t="s">
        <v>942</v>
      </c>
      <c r="AJ1047" s="205" t="s">
        <v>943</v>
      </c>
      <c r="AK1047" s="225"/>
      <c r="AL1047" s="225"/>
      <c r="AM1047" s="24"/>
    </row>
    <row r="1048" spans="1:39" ht="12.75" customHeight="1">
      <c r="A1048" s="22">
        <v>1046</v>
      </c>
      <c r="B1048" s="24" t="s">
        <v>1468</v>
      </c>
      <c r="C1048" s="24" t="s">
        <v>180</v>
      </c>
      <c r="D1048" s="24" t="s">
        <v>2735</v>
      </c>
      <c r="E1048" s="24" t="s">
        <v>2736</v>
      </c>
      <c r="F1048" s="24">
        <v>1</v>
      </c>
      <c r="G1048" s="24" t="s">
        <v>2372</v>
      </c>
      <c r="H1048" s="24"/>
      <c r="I1048" s="24"/>
      <c r="J1048" s="283"/>
      <c r="K1048" s="224"/>
      <c r="L1048" s="164"/>
      <c r="M1048" s="164"/>
      <c r="N1048" s="204"/>
      <c r="O1048" s="164" t="s">
        <v>1468</v>
      </c>
      <c r="P1048" s="164"/>
      <c r="Q1048" s="164"/>
      <c r="R1048" s="164"/>
      <c r="S1048" s="283"/>
      <c r="T1048" s="164"/>
      <c r="U1048" s="283"/>
      <c r="V1048" s="283"/>
      <c r="W1048" s="296"/>
      <c r="X1048" s="225"/>
      <c r="Y1048" s="283"/>
      <c r="Z1048" s="283"/>
      <c r="AA1048" s="283"/>
      <c r="AB1048" s="283"/>
      <c r="AC1048" s="283"/>
      <c r="AD1048" s="283"/>
      <c r="AE1048" s="283"/>
      <c r="AF1048" s="283"/>
      <c r="AG1048" s="283"/>
      <c r="AH1048" s="285" t="s">
        <v>115</v>
      </c>
      <c r="AI1048" s="357" t="s">
        <v>1469</v>
      </c>
      <c r="AJ1048" s="205" t="s">
        <v>1470</v>
      </c>
      <c r="AK1048" s="225"/>
      <c r="AL1048" s="225"/>
      <c r="AM1048" s="24"/>
    </row>
    <row r="1049" spans="1:39" ht="12.75" customHeight="1">
      <c r="A1049" s="22">
        <v>1047</v>
      </c>
      <c r="B1049" s="24" t="s">
        <v>2739</v>
      </c>
      <c r="C1049" s="24" t="s">
        <v>96</v>
      </c>
      <c r="D1049" s="24" t="s">
        <v>1787</v>
      </c>
      <c r="E1049" s="24" t="s">
        <v>2740</v>
      </c>
      <c r="F1049" s="24">
        <v>1</v>
      </c>
      <c r="G1049" s="24" t="s">
        <v>2372</v>
      </c>
      <c r="H1049" s="24"/>
      <c r="I1049" s="24"/>
      <c r="J1049" s="283"/>
      <c r="K1049" s="204" t="s">
        <v>2739</v>
      </c>
      <c r="L1049" s="204" t="s">
        <v>2741</v>
      </c>
      <c r="M1049" s="164"/>
      <c r="N1049" s="164" t="s">
        <v>202</v>
      </c>
      <c r="O1049" s="224"/>
      <c r="P1049" s="164"/>
      <c r="Q1049" s="164"/>
      <c r="R1049" s="164"/>
      <c r="S1049" s="283"/>
      <c r="T1049" s="164" t="s">
        <v>208</v>
      </c>
      <c r="U1049" s="283"/>
      <c r="V1049" s="283"/>
      <c r="W1049" s="204" t="s">
        <v>2742</v>
      </c>
      <c r="X1049" s="225"/>
      <c r="Y1049" s="283"/>
      <c r="Z1049" s="283"/>
      <c r="AA1049" s="283"/>
      <c r="AB1049" s="283"/>
      <c r="AC1049" s="283"/>
      <c r="AD1049" s="283"/>
      <c r="AE1049" s="283"/>
      <c r="AF1049" s="283"/>
      <c r="AG1049" s="283"/>
      <c r="AH1049" s="285" t="s">
        <v>115</v>
      </c>
      <c r="AI1049" s="285" t="s">
        <v>2743</v>
      </c>
      <c r="AJ1049" s="285" t="s">
        <v>2744</v>
      </c>
      <c r="AK1049" s="225"/>
      <c r="AL1049" s="225"/>
      <c r="AM1049" s="24"/>
    </row>
    <row r="1050" spans="1:39" ht="12.75" customHeight="1">
      <c r="A1050" s="22">
        <v>1048</v>
      </c>
      <c r="B1050" s="24" t="s">
        <v>2745</v>
      </c>
      <c r="C1050" s="24" t="s">
        <v>180</v>
      </c>
      <c r="D1050" s="24" t="s">
        <v>2739</v>
      </c>
      <c r="E1050" s="24" t="s">
        <v>2740</v>
      </c>
      <c r="F1050" s="24">
        <v>1</v>
      </c>
      <c r="G1050" s="24" t="s">
        <v>2372</v>
      </c>
      <c r="H1050" s="24"/>
      <c r="I1050" s="24"/>
      <c r="J1050" s="283"/>
      <c r="K1050" s="297"/>
      <c r="L1050" s="297"/>
      <c r="M1050" s="297"/>
      <c r="N1050" s="297"/>
      <c r="O1050" s="224" t="s">
        <v>2745</v>
      </c>
      <c r="P1050" s="164"/>
      <c r="Q1050" s="164"/>
      <c r="R1050" s="164"/>
      <c r="S1050" s="283"/>
      <c r="T1050" s="297"/>
      <c r="U1050" s="283"/>
      <c r="V1050" s="283"/>
      <c r="W1050" s="164"/>
      <c r="X1050" s="225"/>
      <c r="Y1050" s="283"/>
      <c r="Z1050" s="283"/>
      <c r="AA1050" s="283"/>
      <c r="AB1050" s="283"/>
      <c r="AC1050" s="283"/>
      <c r="AD1050" s="283"/>
      <c r="AE1050" s="283"/>
      <c r="AF1050" s="283"/>
      <c r="AG1050" s="283"/>
      <c r="AH1050" s="285" t="s">
        <v>115</v>
      </c>
      <c r="AI1050" s="205" t="s">
        <v>2746</v>
      </c>
      <c r="AJ1050" s="285" t="s">
        <v>2747</v>
      </c>
      <c r="AK1050" s="225"/>
      <c r="AL1050" s="225"/>
      <c r="AM1050" s="24"/>
    </row>
    <row r="1051" spans="1:39" ht="12.75" customHeight="1">
      <c r="A1051" s="22">
        <v>1049</v>
      </c>
      <c r="B1051" s="24" t="s">
        <v>2748</v>
      </c>
      <c r="C1051" s="24" t="s">
        <v>180</v>
      </c>
      <c r="D1051" s="24" t="s">
        <v>2739</v>
      </c>
      <c r="E1051" s="24" t="s">
        <v>2740</v>
      </c>
      <c r="F1051" s="24">
        <v>1</v>
      </c>
      <c r="G1051" s="24" t="s">
        <v>2372</v>
      </c>
      <c r="H1051" s="24"/>
      <c r="I1051" s="24"/>
      <c r="J1051" s="283"/>
      <c r="K1051" s="297"/>
      <c r="L1051" s="297"/>
      <c r="M1051" s="297"/>
      <c r="N1051" s="297"/>
      <c r="O1051" s="164" t="s">
        <v>2748</v>
      </c>
      <c r="P1051" s="164"/>
      <c r="Q1051" s="164"/>
      <c r="R1051" s="164"/>
      <c r="S1051" s="283"/>
      <c r="T1051" s="297"/>
      <c r="U1051" s="283"/>
      <c r="V1051" s="283"/>
      <c r="W1051" s="164"/>
      <c r="X1051" s="225"/>
      <c r="Y1051" s="283"/>
      <c r="Z1051" s="283"/>
      <c r="AA1051" s="283"/>
      <c r="AB1051" s="283"/>
      <c r="AC1051" s="283"/>
      <c r="AD1051" s="283"/>
      <c r="AE1051" s="283"/>
      <c r="AF1051" s="283"/>
      <c r="AG1051" s="283"/>
      <c r="AH1051" s="285" t="s">
        <v>115</v>
      </c>
      <c r="AI1051" s="205" t="s">
        <v>2749</v>
      </c>
      <c r="AJ1051" s="285" t="s">
        <v>2750</v>
      </c>
      <c r="AK1051" s="225"/>
      <c r="AL1051" s="225"/>
      <c r="AM1051" s="24"/>
    </row>
    <row r="1052" spans="1:39" ht="12.75" customHeight="1">
      <c r="A1052" s="22">
        <v>1050</v>
      </c>
      <c r="B1052" s="24" t="s">
        <v>2751</v>
      </c>
      <c r="C1052" s="24" t="s">
        <v>180</v>
      </c>
      <c r="D1052" s="24" t="s">
        <v>2739</v>
      </c>
      <c r="E1052" s="24" t="s">
        <v>2740</v>
      </c>
      <c r="F1052" s="24">
        <v>1</v>
      </c>
      <c r="G1052" s="24" t="s">
        <v>2372</v>
      </c>
      <c r="H1052" s="24"/>
      <c r="I1052" s="24"/>
      <c r="J1052" s="283"/>
      <c r="K1052" s="297"/>
      <c r="L1052" s="297"/>
      <c r="M1052" s="297"/>
      <c r="N1052" s="297"/>
      <c r="O1052" s="164" t="s">
        <v>2751</v>
      </c>
      <c r="P1052" s="164"/>
      <c r="Q1052" s="164"/>
      <c r="R1052" s="164"/>
      <c r="S1052" s="283"/>
      <c r="T1052" s="297"/>
      <c r="U1052" s="283"/>
      <c r="V1052" s="283"/>
      <c r="W1052" s="164"/>
      <c r="X1052" s="225"/>
      <c r="Y1052" s="283"/>
      <c r="Z1052" s="283"/>
      <c r="AA1052" s="283"/>
      <c r="AB1052" s="283"/>
      <c r="AC1052" s="283"/>
      <c r="AD1052" s="283"/>
      <c r="AE1052" s="283"/>
      <c r="AF1052" s="283"/>
      <c r="AG1052" s="283"/>
      <c r="AH1052" s="285" t="s">
        <v>115</v>
      </c>
      <c r="AI1052" s="205" t="s">
        <v>2752</v>
      </c>
      <c r="AJ1052" s="285" t="s">
        <v>2753</v>
      </c>
      <c r="AK1052" s="225"/>
      <c r="AL1052" s="225"/>
      <c r="AM1052" s="24"/>
    </row>
    <row r="1053" spans="1:39" ht="12.75" customHeight="1">
      <c r="A1053" s="22">
        <v>1051</v>
      </c>
      <c r="B1053" s="24" t="s">
        <v>1387</v>
      </c>
      <c r="C1053" s="24" t="s">
        <v>180</v>
      </c>
      <c r="D1053" s="24" t="s">
        <v>2739</v>
      </c>
      <c r="E1053" s="24" t="s">
        <v>2740</v>
      </c>
      <c r="F1053" s="24">
        <v>1</v>
      </c>
      <c r="G1053" s="24" t="s">
        <v>2372</v>
      </c>
      <c r="H1053" s="24"/>
      <c r="I1053" s="24"/>
      <c r="J1053" s="283"/>
      <c r="K1053" s="297"/>
      <c r="L1053" s="297"/>
      <c r="M1053" s="297"/>
      <c r="N1053" s="297"/>
      <c r="O1053" s="164" t="s">
        <v>1387</v>
      </c>
      <c r="P1053" s="164"/>
      <c r="Q1053" s="164"/>
      <c r="R1053" s="164"/>
      <c r="S1053" s="283"/>
      <c r="T1053" s="297"/>
      <c r="U1053" s="283"/>
      <c r="V1053" s="283"/>
      <c r="W1053" s="164"/>
      <c r="X1053" s="225"/>
      <c r="Y1053" s="283"/>
      <c r="Z1053" s="283"/>
      <c r="AA1053" s="283"/>
      <c r="AB1053" s="283"/>
      <c r="AC1053" s="283"/>
      <c r="AD1053" s="283"/>
      <c r="AE1053" s="283"/>
      <c r="AF1053" s="283"/>
      <c r="AG1053" s="283"/>
      <c r="AH1053" s="285" t="s">
        <v>115</v>
      </c>
      <c r="AI1053" s="205" t="s">
        <v>406</v>
      </c>
      <c r="AJ1053" s="205" t="s">
        <v>407</v>
      </c>
      <c r="AK1053" s="225"/>
      <c r="AL1053" s="225"/>
      <c r="AM1053" s="24"/>
    </row>
    <row r="1054" spans="1:39" ht="12.75" customHeight="1">
      <c r="A1054" s="22">
        <v>1052</v>
      </c>
      <c r="B1054" s="24" t="s">
        <v>2754</v>
      </c>
      <c r="C1054" s="24" t="s">
        <v>96</v>
      </c>
      <c r="D1054" s="24" t="s">
        <v>1787</v>
      </c>
      <c r="E1054" s="24" t="s">
        <v>2740</v>
      </c>
      <c r="F1054" s="24">
        <v>1</v>
      </c>
      <c r="G1054" s="24" t="s">
        <v>2372</v>
      </c>
      <c r="H1054" s="24"/>
      <c r="I1054" s="24"/>
      <c r="J1054" s="283"/>
      <c r="K1054" s="164" t="s">
        <v>2754</v>
      </c>
      <c r="L1054" s="164" t="s">
        <v>2755</v>
      </c>
      <c r="M1054" s="164"/>
      <c r="N1054" s="204" t="s">
        <v>202</v>
      </c>
      <c r="O1054" s="164"/>
      <c r="P1054" s="164"/>
      <c r="Q1054" s="164"/>
      <c r="R1054" s="164"/>
      <c r="S1054" s="283"/>
      <c r="T1054" s="164" t="s">
        <v>208</v>
      </c>
      <c r="U1054" s="283"/>
      <c r="V1054" s="283"/>
      <c r="W1054" s="164" t="s">
        <v>1277</v>
      </c>
      <c r="X1054" s="225"/>
      <c r="Y1054" s="283"/>
      <c r="Z1054" s="283"/>
      <c r="AA1054" s="283"/>
      <c r="AB1054" s="283"/>
      <c r="AC1054" s="283"/>
      <c r="AD1054" s="283"/>
      <c r="AE1054" s="283"/>
      <c r="AF1054" s="283"/>
      <c r="AG1054" s="283"/>
      <c r="AH1054" s="285" t="s">
        <v>2757</v>
      </c>
      <c r="AI1054" s="285" t="s">
        <v>2398</v>
      </c>
      <c r="AJ1054" s="285" t="s">
        <v>2399</v>
      </c>
      <c r="AK1054" s="225"/>
      <c r="AL1054" s="225"/>
      <c r="AM1054" s="24"/>
    </row>
    <row r="1055" spans="1:39" ht="12.75" customHeight="1">
      <c r="A1055" s="22">
        <v>1053</v>
      </c>
      <c r="B1055" s="24" t="s">
        <v>1673</v>
      </c>
      <c r="C1055" s="24" t="s">
        <v>180</v>
      </c>
      <c r="D1055" s="24" t="s">
        <v>2754</v>
      </c>
      <c r="E1055" s="24" t="s">
        <v>2740</v>
      </c>
      <c r="F1055" s="24">
        <v>1</v>
      </c>
      <c r="G1055" s="24" t="s">
        <v>2372</v>
      </c>
      <c r="H1055" s="24"/>
      <c r="I1055" s="24"/>
      <c r="J1055" s="283"/>
      <c r="K1055" s="297"/>
      <c r="L1055" s="297"/>
      <c r="M1055" s="297"/>
      <c r="N1055" s="234"/>
      <c r="O1055" s="164" t="s">
        <v>1673</v>
      </c>
      <c r="P1055" s="164"/>
      <c r="Q1055" s="164"/>
      <c r="R1055" s="164"/>
      <c r="S1055" s="283"/>
      <c r="T1055" s="164"/>
      <c r="U1055" s="283"/>
      <c r="V1055" s="283"/>
      <c r="W1055" s="164"/>
      <c r="X1055" s="225"/>
      <c r="Y1055" s="283"/>
      <c r="Z1055" s="283"/>
      <c r="AA1055" s="283"/>
      <c r="AB1055" s="283"/>
      <c r="AC1055" s="283"/>
      <c r="AD1055" s="283"/>
      <c r="AE1055" s="283"/>
      <c r="AF1055" s="283"/>
      <c r="AG1055" s="283"/>
      <c r="AH1055" s="285" t="s">
        <v>115</v>
      </c>
      <c r="AI1055" s="285" t="s">
        <v>942</v>
      </c>
      <c r="AJ1055" s="205" t="s">
        <v>943</v>
      </c>
      <c r="AK1055" s="225"/>
      <c r="AL1055" s="225"/>
      <c r="AM1055" s="24"/>
    </row>
    <row r="1056" spans="1:39" ht="12.75" customHeight="1">
      <c r="A1056" s="22">
        <v>1054</v>
      </c>
      <c r="B1056" s="24" t="s">
        <v>1468</v>
      </c>
      <c r="C1056" s="24" t="s">
        <v>180</v>
      </c>
      <c r="D1056" s="24" t="s">
        <v>2754</v>
      </c>
      <c r="E1056" s="24" t="s">
        <v>2740</v>
      </c>
      <c r="F1056" s="24">
        <v>1</v>
      </c>
      <c r="G1056" s="24" t="s">
        <v>2372</v>
      </c>
      <c r="H1056" s="24"/>
      <c r="I1056" s="24"/>
      <c r="J1056" s="283"/>
      <c r="K1056" s="297"/>
      <c r="L1056" s="297"/>
      <c r="M1056" s="297"/>
      <c r="N1056" s="234"/>
      <c r="O1056" s="164" t="s">
        <v>1468</v>
      </c>
      <c r="P1056" s="164"/>
      <c r="Q1056" s="164"/>
      <c r="R1056" s="164"/>
      <c r="S1056" s="283"/>
      <c r="T1056" s="164"/>
      <c r="U1056" s="283"/>
      <c r="V1056" s="283"/>
      <c r="W1056" s="164"/>
      <c r="X1056" s="225"/>
      <c r="Y1056" s="283"/>
      <c r="Z1056" s="283"/>
      <c r="AA1056" s="283"/>
      <c r="AB1056" s="283"/>
      <c r="AC1056" s="283"/>
      <c r="AD1056" s="283"/>
      <c r="AE1056" s="283"/>
      <c r="AF1056" s="283"/>
      <c r="AG1056" s="283"/>
      <c r="AH1056" s="285" t="s">
        <v>115</v>
      </c>
      <c r="AI1056" s="285" t="s">
        <v>1469</v>
      </c>
      <c r="AJ1056" s="205" t="s">
        <v>1470</v>
      </c>
      <c r="AK1056" s="225"/>
      <c r="AL1056" s="225"/>
      <c r="AM1056" s="24"/>
    </row>
    <row r="1057" spans="1:39" ht="12.75" customHeight="1">
      <c r="A1057" s="22">
        <v>1055</v>
      </c>
      <c r="B1057" s="24" t="s">
        <v>2759</v>
      </c>
      <c r="C1057" s="24" t="s">
        <v>96</v>
      </c>
      <c r="D1057" s="24" t="s">
        <v>1787</v>
      </c>
      <c r="E1057" s="24" t="s">
        <v>2740</v>
      </c>
      <c r="F1057" s="24">
        <v>1</v>
      </c>
      <c r="G1057" s="24" t="s">
        <v>2372</v>
      </c>
      <c r="H1057" s="24"/>
      <c r="I1057" s="24"/>
      <c r="J1057" s="283"/>
      <c r="K1057" s="297" t="s">
        <v>2759</v>
      </c>
      <c r="L1057" s="297" t="s">
        <v>2760</v>
      </c>
      <c r="M1057" s="297"/>
      <c r="N1057" s="234" t="s">
        <v>202</v>
      </c>
      <c r="O1057" s="164"/>
      <c r="P1057" s="164"/>
      <c r="Q1057" s="164"/>
      <c r="R1057" s="164"/>
      <c r="S1057" s="283"/>
      <c r="T1057" s="164" t="s">
        <v>208</v>
      </c>
      <c r="U1057" s="283"/>
      <c r="V1057" s="283"/>
      <c r="W1057" s="164" t="s">
        <v>1277</v>
      </c>
      <c r="X1057" s="225"/>
      <c r="Y1057" s="283"/>
      <c r="Z1057" s="283"/>
      <c r="AA1057" s="283"/>
      <c r="AB1057" s="283"/>
      <c r="AC1057" s="283"/>
      <c r="AD1057" s="283"/>
      <c r="AE1057" s="283"/>
      <c r="AF1057" s="283"/>
      <c r="AG1057" s="283"/>
      <c r="AH1057" s="285" t="s">
        <v>2761</v>
      </c>
      <c r="AI1057" s="285" t="s">
        <v>2398</v>
      </c>
      <c r="AJ1057" s="285" t="s">
        <v>2399</v>
      </c>
      <c r="AK1057" s="225"/>
      <c r="AL1057" s="225"/>
      <c r="AM1057" s="24"/>
    </row>
    <row r="1058" spans="1:39" ht="12.75" customHeight="1">
      <c r="A1058" s="22">
        <v>1056</v>
      </c>
      <c r="B1058" s="24" t="s">
        <v>1673</v>
      </c>
      <c r="C1058" s="24" t="s">
        <v>180</v>
      </c>
      <c r="D1058" s="24" t="s">
        <v>2759</v>
      </c>
      <c r="E1058" s="24" t="s">
        <v>2740</v>
      </c>
      <c r="F1058" s="24">
        <v>1</v>
      </c>
      <c r="G1058" s="24" t="s">
        <v>2372</v>
      </c>
      <c r="H1058" s="24"/>
      <c r="I1058" s="24"/>
      <c r="J1058" s="283"/>
      <c r="K1058" s="297"/>
      <c r="L1058" s="297"/>
      <c r="M1058" s="297"/>
      <c r="N1058" s="234"/>
      <c r="O1058" s="164" t="s">
        <v>1673</v>
      </c>
      <c r="P1058" s="164"/>
      <c r="Q1058" s="164"/>
      <c r="R1058" s="164"/>
      <c r="S1058" s="283"/>
      <c r="T1058" s="164"/>
      <c r="U1058" s="283"/>
      <c r="V1058" s="283"/>
      <c r="W1058" s="164"/>
      <c r="X1058" s="225"/>
      <c r="Y1058" s="283"/>
      <c r="Z1058" s="283"/>
      <c r="AA1058" s="283"/>
      <c r="AB1058" s="283"/>
      <c r="AC1058" s="283"/>
      <c r="AD1058" s="283"/>
      <c r="AE1058" s="283"/>
      <c r="AF1058" s="283"/>
      <c r="AG1058" s="283"/>
      <c r="AH1058" s="285" t="s">
        <v>115</v>
      </c>
      <c r="AI1058" s="285" t="s">
        <v>942</v>
      </c>
      <c r="AJ1058" s="205" t="s">
        <v>943</v>
      </c>
      <c r="AK1058" s="225"/>
      <c r="AL1058" s="225"/>
      <c r="AM1058" s="24"/>
    </row>
    <row r="1059" spans="1:39" ht="12.75" customHeight="1">
      <c r="A1059" s="22">
        <v>1057</v>
      </c>
      <c r="B1059" s="24" t="s">
        <v>1468</v>
      </c>
      <c r="C1059" s="24" t="s">
        <v>180</v>
      </c>
      <c r="D1059" s="24" t="s">
        <v>2759</v>
      </c>
      <c r="E1059" s="24" t="s">
        <v>2740</v>
      </c>
      <c r="F1059" s="24">
        <v>1</v>
      </c>
      <c r="G1059" s="24" t="s">
        <v>2372</v>
      </c>
      <c r="H1059" s="24"/>
      <c r="I1059" s="24"/>
      <c r="J1059" s="283"/>
      <c r="K1059" s="297"/>
      <c r="L1059" s="297"/>
      <c r="M1059" s="297"/>
      <c r="N1059" s="234"/>
      <c r="O1059" s="164" t="s">
        <v>1468</v>
      </c>
      <c r="P1059" s="164"/>
      <c r="Q1059" s="164"/>
      <c r="R1059" s="164"/>
      <c r="S1059" s="283"/>
      <c r="T1059" s="164"/>
      <c r="U1059" s="283"/>
      <c r="V1059" s="283"/>
      <c r="W1059" s="164"/>
      <c r="X1059" s="225"/>
      <c r="Y1059" s="283"/>
      <c r="Z1059" s="283"/>
      <c r="AA1059" s="283"/>
      <c r="AB1059" s="283"/>
      <c r="AC1059" s="283"/>
      <c r="AD1059" s="283"/>
      <c r="AE1059" s="283"/>
      <c r="AF1059" s="283"/>
      <c r="AG1059" s="283"/>
      <c r="AH1059" s="285" t="s">
        <v>115</v>
      </c>
      <c r="AI1059" s="285" t="s">
        <v>1469</v>
      </c>
      <c r="AJ1059" s="205" t="s">
        <v>1470</v>
      </c>
      <c r="AK1059" s="225"/>
      <c r="AL1059" s="225"/>
      <c r="AM1059" s="24"/>
    </row>
    <row r="1060" spans="1:39" ht="12.75" customHeight="1">
      <c r="A1060" s="22">
        <v>1058</v>
      </c>
      <c r="B1060" s="24" t="s">
        <v>2762</v>
      </c>
      <c r="C1060" s="24" t="s">
        <v>96</v>
      </c>
      <c r="D1060" s="24" t="s">
        <v>1787</v>
      </c>
      <c r="E1060" s="24" t="s">
        <v>2740</v>
      </c>
      <c r="F1060" s="24">
        <v>1</v>
      </c>
      <c r="G1060" s="24" t="s">
        <v>2372</v>
      </c>
      <c r="H1060" s="24"/>
      <c r="I1060" s="24"/>
      <c r="J1060" s="283"/>
      <c r="K1060" s="164" t="s">
        <v>2762</v>
      </c>
      <c r="L1060" s="164" t="s">
        <v>2763</v>
      </c>
      <c r="M1060" s="164"/>
      <c r="N1060" s="164" t="s">
        <v>202</v>
      </c>
      <c r="O1060" s="164"/>
      <c r="P1060" s="164"/>
      <c r="Q1060" s="164"/>
      <c r="R1060" s="164"/>
      <c r="S1060" s="283"/>
      <c r="T1060" s="164" t="s">
        <v>208</v>
      </c>
      <c r="U1060" s="283"/>
      <c r="V1060" s="283"/>
      <c r="W1060" s="164" t="s">
        <v>1277</v>
      </c>
      <c r="X1060" s="225"/>
      <c r="Y1060" s="283"/>
      <c r="Z1060" s="283"/>
      <c r="AA1060" s="283"/>
      <c r="AB1060" s="283"/>
      <c r="AC1060" s="283"/>
      <c r="AD1060" s="283"/>
      <c r="AE1060" s="283"/>
      <c r="AF1060" s="283"/>
      <c r="AG1060" s="283"/>
      <c r="AH1060" s="285" t="s">
        <v>2765</v>
      </c>
      <c r="AI1060" s="285" t="s">
        <v>2398</v>
      </c>
      <c r="AJ1060" s="285" t="s">
        <v>2399</v>
      </c>
      <c r="AK1060" s="225"/>
      <c r="AL1060" s="225"/>
      <c r="AM1060" s="24"/>
    </row>
    <row r="1061" spans="1:39" ht="12.75" customHeight="1">
      <c r="A1061" s="22">
        <v>1059</v>
      </c>
      <c r="B1061" s="24" t="s">
        <v>1673</v>
      </c>
      <c r="C1061" s="24" t="s">
        <v>180</v>
      </c>
      <c r="D1061" s="24" t="s">
        <v>2762</v>
      </c>
      <c r="E1061" s="24" t="s">
        <v>2740</v>
      </c>
      <c r="F1061" s="24">
        <v>1</v>
      </c>
      <c r="G1061" s="24" t="s">
        <v>2372</v>
      </c>
      <c r="H1061" s="24"/>
      <c r="I1061" s="24"/>
      <c r="J1061" s="283"/>
      <c r="K1061" s="164"/>
      <c r="L1061" s="164"/>
      <c r="M1061" s="164"/>
      <c r="N1061" s="164"/>
      <c r="O1061" s="164" t="s">
        <v>1673</v>
      </c>
      <c r="P1061" s="164"/>
      <c r="Q1061" s="164"/>
      <c r="R1061" s="164"/>
      <c r="S1061" s="283"/>
      <c r="T1061" s="164"/>
      <c r="U1061" s="283"/>
      <c r="V1061" s="283"/>
      <c r="W1061" s="164"/>
      <c r="X1061" s="225"/>
      <c r="Y1061" s="283"/>
      <c r="Z1061" s="283"/>
      <c r="AA1061" s="283"/>
      <c r="AB1061" s="283"/>
      <c r="AC1061" s="283"/>
      <c r="AD1061" s="283"/>
      <c r="AE1061" s="283"/>
      <c r="AF1061" s="283"/>
      <c r="AG1061" s="283"/>
      <c r="AH1061" s="285" t="s">
        <v>115</v>
      </c>
      <c r="AI1061" s="285" t="s">
        <v>942</v>
      </c>
      <c r="AJ1061" s="205" t="s">
        <v>943</v>
      </c>
      <c r="AK1061" s="225"/>
      <c r="AL1061" s="225"/>
      <c r="AM1061" s="24"/>
    </row>
    <row r="1062" spans="1:39" ht="12.75" customHeight="1">
      <c r="A1062" s="22">
        <v>1060</v>
      </c>
      <c r="B1062" s="24" t="s">
        <v>1468</v>
      </c>
      <c r="C1062" s="24" t="s">
        <v>180</v>
      </c>
      <c r="D1062" s="24" t="s">
        <v>2762</v>
      </c>
      <c r="E1062" s="24" t="s">
        <v>2740</v>
      </c>
      <c r="F1062" s="24">
        <v>1</v>
      </c>
      <c r="G1062" s="24" t="s">
        <v>2372</v>
      </c>
      <c r="H1062" s="24"/>
      <c r="I1062" s="24"/>
      <c r="J1062" s="283"/>
      <c r="K1062" s="164"/>
      <c r="L1062" s="164"/>
      <c r="M1062" s="164"/>
      <c r="N1062" s="164"/>
      <c r="O1062" s="164" t="s">
        <v>1468</v>
      </c>
      <c r="P1062" s="164"/>
      <c r="Q1062" s="164"/>
      <c r="R1062" s="164"/>
      <c r="S1062" s="283"/>
      <c r="T1062" s="164"/>
      <c r="U1062" s="283"/>
      <c r="V1062" s="283"/>
      <c r="W1062" s="164"/>
      <c r="X1062" s="225"/>
      <c r="Y1062" s="283"/>
      <c r="Z1062" s="283"/>
      <c r="AA1062" s="283"/>
      <c r="AB1062" s="283"/>
      <c r="AC1062" s="283"/>
      <c r="AD1062" s="283"/>
      <c r="AE1062" s="283"/>
      <c r="AF1062" s="283"/>
      <c r="AG1062" s="283"/>
      <c r="AH1062" s="285" t="s">
        <v>115</v>
      </c>
      <c r="AI1062" s="285" t="s">
        <v>1469</v>
      </c>
      <c r="AJ1062" s="205" t="s">
        <v>1470</v>
      </c>
      <c r="AK1062" s="225"/>
      <c r="AL1062" s="225"/>
      <c r="AM1062" s="24"/>
    </row>
    <row r="1063" spans="1:39" ht="12.75" customHeight="1">
      <c r="A1063" s="22">
        <v>1061</v>
      </c>
      <c r="B1063" s="24" t="s">
        <v>2767</v>
      </c>
      <c r="C1063" s="24" t="s">
        <v>96</v>
      </c>
      <c r="D1063" s="24" t="s">
        <v>1787</v>
      </c>
      <c r="E1063" s="24" t="s">
        <v>2768</v>
      </c>
      <c r="F1063" s="24">
        <v>1</v>
      </c>
      <c r="G1063" s="24" t="s">
        <v>2372</v>
      </c>
      <c r="H1063" s="24"/>
      <c r="I1063" s="24"/>
      <c r="J1063" s="283"/>
      <c r="K1063" s="164" t="s">
        <v>2767</v>
      </c>
      <c r="L1063" s="297" t="s">
        <v>2769</v>
      </c>
      <c r="M1063" s="164"/>
      <c r="N1063" s="164" t="s">
        <v>202</v>
      </c>
      <c r="O1063" s="164"/>
      <c r="P1063" s="164"/>
      <c r="Q1063" s="164"/>
      <c r="R1063" s="164"/>
      <c r="S1063" s="283"/>
      <c r="T1063" s="164" t="s">
        <v>113</v>
      </c>
      <c r="U1063" s="283"/>
      <c r="V1063" s="283"/>
      <c r="W1063" s="164" t="s">
        <v>2770</v>
      </c>
      <c r="X1063" s="225"/>
      <c r="Y1063" s="283"/>
      <c r="Z1063" s="283"/>
      <c r="AA1063" s="283"/>
      <c r="AB1063" s="283"/>
      <c r="AC1063" s="283"/>
      <c r="AD1063" s="283"/>
      <c r="AE1063" s="283"/>
      <c r="AF1063" s="283"/>
      <c r="AG1063" s="283"/>
      <c r="AH1063" s="285" t="s">
        <v>2771</v>
      </c>
      <c r="AI1063" s="285" t="s">
        <v>2398</v>
      </c>
      <c r="AJ1063" s="285" t="s">
        <v>2399</v>
      </c>
      <c r="AK1063" s="225"/>
      <c r="AL1063" s="225"/>
      <c r="AM1063" s="24"/>
    </row>
    <row r="1064" spans="1:39" ht="12.75" customHeight="1">
      <c r="A1064" s="22">
        <v>1062</v>
      </c>
      <c r="B1064" s="24" t="s">
        <v>1673</v>
      </c>
      <c r="C1064" s="24" t="s">
        <v>180</v>
      </c>
      <c r="D1064" s="24" t="s">
        <v>2767</v>
      </c>
      <c r="E1064" s="24" t="s">
        <v>2768</v>
      </c>
      <c r="F1064" s="24">
        <v>1</v>
      </c>
      <c r="G1064" s="24" t="s">
        <v>2372</v>
      </c>
      <c r="H1064" s="24"/>
      <c r="I1064" s="24"/>
      <c r="J1064" s="283"/>
      <c r="K1064" s="204"/>
      <c r="L1064" s="204"/>
      <c r="M1064" s="196"/>
      <c r="N1064" s="204"/>
      <c r="O1064" s="164" t="s">
        <v>1673</v>
      </c>
      <c r="P1064" s="196"/>
      <c r="Q1064" s="196"/>
      <c r="R1064" s="196"/>
      <c r="S1064" s="283"/>
      <c r="T1064" s="204"/>
      <c r="U1064" s="283"/>
      <c r="V1064" s="283"/>
      <c r="W1064" s="164"/>
      <c r="X1064" s="225"/>
      <c r="Y1064" s="283"/>
      <c r="Z1064" s="283"/>
      <c r="AA1064" s="283"/>
      <c r="AB1064" s="283"/>
      <c r="AC1064" s="283"/>
      <c r="AD1064" s="283"/>
      <c r="AE1064" s="283"/>
      <c r="AF1064" s="283"/>
      <c r="AG1064" s="283"/>
      <c r="AH1064" s="285" t="s">
        <v>115</v>
      </c>
      <c r="AI1064" s="285" t="s">
        <v>942</v>
      </c>
      <c r="AJ1064" s="205" t="s">
        <v>943</v>
      </c>
      <c r="AK1064" s="225"/>
      <c r="AL1064" s="225"/>
      <c r="AM1064" s="24"/>
    </row>
    <row r="1065" spans="1:39" ht="12.75" customHeight="1">
      <c r="A1065" s="22">
        <v>1063</v>
      </c>
      <c r="B1065" s="24" t="s">
        <v>1468</v>
      </c>
      <c r="C1065" s="24" t="s">
        <v>180</v>
      </c>
      <c r="D1065" s="24" t="s">
        <v>2767</v>
      </c>
      <c r="E1065" s="24" t="s">
        <v>2768</v>
      </c>
      <c r="F1065" s="24">
        <v>1</v>
      </c>
      <c r="G1065" s="24" t="s">
        <v>2372</v>
      </c>
      <c r="H1065" s="24"/>
      <c r="I1065" s="24"/>
      <c r="J1065" s="283"/>
      <c r="K1065" s="204"/>
      <c r="L1065" s="204"/>
      <c r="M1065" s="196"/>
      <c r="N1065" s="204"/>
      <c r="O1065" s="164" t="s">
        <v>1468</v>
      </c>
      <c r="P1065" s="196"/>
      <c r="Q1065" s="196"/>
      <c r="R1065" s="196"/>
      <c r="S1065" s="283"/>
      <c r="T1065" s="204"/>
      <c r="U1065" s="283"/>
      <c r="V1065" s="283"/>
      <c r="W1065" s="164"/>
      <c r="X1065" s="225"/>
      <c r="Y1065" s="283"/>
      <c r="Z1065" s="283"/>
      <c r="AA1065" s="283"/>
      <c r="AB1065" s="283"/>
      <c r="AC1065" s="283"/>
      <c r="AD1065" s="283"/>
      <c r="AE1065" s="283"/>
      <c r="AF1065" s="283"/>
      <c r="AG1065" s="283"/>
      <c r="AH1065" s="285" t="s">
        <v>115</v>
      </c>
      <c r="AI1065" s="285" t="s">
        <v>1469</v>
      </c>
      <c r="AJ1065" s="205" t="s">
        <v>1470</v>
      </c>
      <c r="AK1065" s="225"/>
      <c r="AL1065" s="225"/>
      <c r="AM1065" s="24"/>
    </row>
    <row r="1066" spans="1:39" ht="12.75" customHeight="1">
      <c r="A1066" s="22">
        <v>1064</v>
      </c>
      <c r="B1066" s="24" t="s">
        <v>2773</v>
      </c>
      <c r="C1066" s="24" t="s">
        <v>96</v>
      </c>
      <c r="D1066" s="24" t="s">
        <v>1787</v>
      </c>
      <c r="E1066" s="24" t="s">
        <v>2768</v>
      </c>
      <c r="F1066" s="24">
        <v>1</v>
      </c>
      <c r="G1066" s="24" t="s">
        <v>2372</v>
      </c>
      <c r="H1066" s="24"/>
      <c r="I1066" s="24"/>
      <c r="J1066" s="283"/>
      <c r="K1066" s="204" t="s">
        <v>2773</v>
      </c>
      <c r="L1066" s="204" t="s">
        <v>2774</v>
      </c>
      <c r="M1066" s="196"/>
      <c r="N1066" s="204" t="s">
        <v>202</v>
      </c>
      <c r="O1066" s="196"/>
      <c r="P1066" s="196"/>
      <c r="Q1066" s="196"/>
      <c r="R1066" s="196"/>
      <c r="S1066" s="283"/>
      <c r="T1066" s="204" t="s">
        <v>208</v>
      </c>
      <c r="U1066" s="283"/>
      <c r="V1066" s="283"/>
      <c r="W1066" s="164" t="s">
        <v>2770</v>
      </c>
      <c r="X1066" s="225"/>
      <c r="Y1066" s="283"/>
      <c r="Z1066" s="283"/>
      <c r="AA1066" s="283"/>
      <c r="AB1066" s="283"/>
      <c r="AC1066" s="283"/>
      <c r="AD1066" s="283"/>
      <c r="AE1066" s="283"/>
      <c r="AF1066" s="283"/>
      <c r="AG1066" s="283"/>
      <c r="AH1066" s="205" t="s">
        <v>115</v>
      </c>
      <c r="AI1066" s="205" t="s">
        <v>2776</v>
      </c>
      <c r="AJ1066" s="205" t="s">
        <v>2777</v>
      </c>
      <c r="AK1066" s="225"/>
      <c r="AL1066" s="225"/>
      <c r="AM1066" s="24"/>
    </row>
    <row r="1067" spans="1:39" ht="12.75" customHeight="1">
      <c r="A1067" s="22">
        <v>1065</v>
      </c>
      <c r="B1067" s="24" t="s">
        <v>2778</v>
      </c>
      <c r="C1067" s="24" t="s">
        <v>180</v>
      </c>
      <c r="D1067" s="24" t="s">
        <v>2773</v>
      </c>
      <c r="E1067" s="24" t="s">
        <v>2768</v>
      </c>
      <c r="F1067" s="24">
        <v>1</v>
      </c>
      <c r="G1067" s="24" t="s">
        <v>2372</v>
      </c>
      <c r="H1067" s="24"/>
      <c r="I1067" s="24"/>
      <c r="J1067" s="283"/>
      <c r="K1067" s="164"/>
      <c r="L1067" s="164"/>
      <c r="M1067" s="164"/>
      <c r="N1067" s="164"/>
      <c r="O1067" s="196" t="s">
        <v>2778</v>
      </c>
      <c r="P1067" s="164"/>
      <c r="Q1067" s="164"/>
      <c r="R1067" s="164"/>
      <c r="S1067" s="283"/>
      <c r="T1067" s="164"/>
      <c r="U1067" s="283"/>
      <c r="V1067" s="283"/>
      <c r="W1067" s="164"/>
      <c r="X1067" s="225"/>
      <c r="Y1067" s="283"/>
      <c r="Z1067" s="283"/>
      <c r="AA1067" s="283"/>
      <c r="AB1067" s="283"/>
      <c r="AC1067" s="283"/>
      <c r="AD1067" s="283"/>
      <c r="AE1067" s="283"/>
      <c r="AF1067" s="283"/>
      <c r="AG1067" s="283"/>
      <c r="AH1067" s="205" t="s">
        <v>115</v>
      </c>
      <c r="AI1067" s="205" t="s">
        <v>2779</v>
      </c>
      <c r="AJ1067" s="285" t="s">
        <v>2780</v>
      </c>
      <c r="AK1067" s="225"/>
      <c r="AL1067" s="225"/>
      <c r="AM1067" s="24"/>
    </row>
    <row r="1068" spans="1:39" ht="12.75" customHeight="1">
      <c r="A1068" s="22">
        <v>1066</v>
      </c>
      <c r="B1068" s="24" t="s">
        <v>2781</v>
      </c>
      <c r="C1068" s="24" t="s">
        <v>180</v>
      </c>
      <c r="D1068" s="24" t="s">
        <v>2773</v>
      </c>
      <c r="E1068" s="24" t="s">
        <v>2768</v>
      </c>
      <c r="F1068" s="24">
        <v>1</v>
      </c>
      <c r="G1068" s="24" t="s">
        <v>2372</v>
      </c>
      <c r="H1068" s="24"/>
      <c r="I1068" s="24"/>
      <c r="J1068" s="283"/>
      <c r="K1068" s="164"/>
      <c r="L1068" s="164"/>
      <c r="M1068" s="164"/>
      <c r="N1068" s="164"/>
      <c r="O1068" s="224" t="s">
        <v>2781</v>
      </c>
      <c r="P1068" s="164"/>
      <c r="Q1068" s="164"/>
      <c r="R1068" s="164"/>
      <c r="S1068" s="283"/>
      <c r="T1068" s="164"/>
      <c r="U1068" s="283"/>
      <c r="V1068" s="283"/>
      <c r="W1068" s="164"/>
      <c r="X1068" s="225"/>
      <c r="Y1068" s="283"/>
      <c r="Z1068" s="283"/>
      <c r="AA1068" s="283"/>
      <c r="AB1068" s="283"/>
      <c r="AC1068" s="283"/>
      <c r="AD1068" s="283"/>
      <c r="AE1068" s="283"/>
      <c r="AF1068" s="283"/>
      <c r="AG1068" s="283"/>
      <c r="AH1068" s="205" t="s">
        <v>115</v>
      </c>
      <c r="AI1068" s="205" t="s">
        <v>2783</v>
      </c>
      <c r="AJ1068" s="285" t="s">
        <v>2784</v>
      </c>
      <c r="AK1068" s="225"/>
      <c r="AL1068" s="225"/>
      <c r="AM1068" s="24"/>
    </row>
    <row r="1069" spans="1:39" ht="12.75" customHeight="1">
      <c r="A1069" s="22">
        <v>1067</v>
      </c>
      <c r="B1069" s="24" t="s">
        <v>2785</v>
      </c>
      <c r="C1069" s="24" t="s">
        <v>180</v>
      </c>
      <c r="D1069" s="24" t="s">
        <v>2773</v>
      </c>
      <c r="E1069" s="24" t="s">
        <v>2768</v>
      </c>
      <c r="F1069" s="24">
        <v>1</v>
      </c>
      <c r="G1069" s="24" t="s">
        <v>2372</v>
      </c>
      <c r="H1069" s="24"/>
      <c r="I1069" s="24"/>
      <c r="J1069" s="283"/>
      <c r="K1069" s="164"/>
      <c r="L1069" s="164"/>
      <c r="M1069" s="164"/>
      <c r="N1069" s="164"/>
      <c r="O1069" s="224" t="s">
        <v>2785</v>
      </c>
      <c r="P1069" s="164"/>
      <c r="Q1069" s="164"/>
      <c r="R1069" s="164"/>
      <c r="S1069" s="283"/>
      <c r="T1069" s="164"/>
      <c r="U1069" s="283"/>
      <c r="V1069" s="283"/>
      <c r="W1069" s="164"/>
      <c r="X1069" s="225"/>
      <c r="Y1069" s="283"/>
      <c r="Z1069" s="283"/>
      <c r="AA1069" s="283"/>
      <c r="AB1069" s="283"/>
      <c r="AC1069" s="283"/>
      <c r="AD1069" s="283"/>
      <c r="AE1069" s="283"/>
      <c r="AF1069" s="283"/>
      <c r="AG1069" s="283"/>
      <c r="AH1069" s="205" t="s">
        <v>115</v>
      </c>
      <c r="AI1069" s="205" t="s">
        <v>2786</v>
      </c>
      <c r="AJ1069" s="285" t="s">
        <v>2787</v>
      </c>
      <c r="AK1069" s="225"/>
      <c r="AL1069" s="225"/>
      <c r="AM1069" s="24"/>
    </row>
    <row r="1070" spans="1:39" ht="12.75" customHeight="1">
      <c r="A1070" s="22">
        <v>1068</v>
      </c>
      <c r="B1070" s="24" t="s">
        <v>2788</v>
      </c>
      <c r="C1070" s="24" t="s">
        <v>180</v>
      </c>
      <c r="D1070" s="24" t="s">
        <v>2773</v>
      </c>
      <c r="E1070" s="24" t="s">
        <v>2768</v>
      </c>
      <c r="F1070" s="24">
        <v>1</v>
      </c>
      <c r="G1070" s="24" t="s">
        <v>2372</v>
      </c>
      <c r="H1070" s="24"/>
      <c r="I1070" s="24"/>
      <c r="J1070" s="283"/>
      <c r="K1070" s="164"/>
      <c r="L1070" s="164"/>
      <c r="M1070" s="164"/>
      <c r="N1070" s="164"/>
      <c r="O1070" s="224" t="s">
        <v>2788</v>
      </c>
      <c r="P1070" s="164"/>
      <c r="Q1070" s="164"/>
      <c r="R1070" s="164"/>
      <c r="S1070" s="283"/>
      <c r="T1070" s="164"/>
      <c r="U1070" s="283"/>
      <c r="V1070" s="283"/>
      <c r="W1070" s="164"/>
      <c r="X1070" s="225"/>
      <c r="Y1070" s="283"/>
      <c r="Z1070" s="283"/>
      <c r="AA1070" s="283"/>
      <c r="AB1070" s="283"/>
      <c r="AC1070" s="283"/>
      <c r="AD1070" s="283"/>
      <c r="AE1070" s="283"/>
      <c r="AF1070" s="283"/>
      <c r="AG1070" s="283"/>
      <c r="AH1070" s="205" t="s">
        <v>115</v>
      </c>
      <c r="AI1070" s="205" t="s">
        <v>2790</v>
      </c>
      <c r="AJ1070" s="285" t="s">
        <v>2791</v>
      </c>
      <c r="AK1070" s="225"/>
      <c r="AL1070" s="225"/>
      <c r="AM1070" s="24"/>
    </row>
    <row r="1071" spans="1:39" ht="12.75" customHeight="1">
      <c r="A1071" s="22">
        <v>1069</v>
      </c>
      <c r="B1071" s="24" t="s">
        <v>2792</v>
      </c>
      <c r="C1071" s="24" t="s">
        <v>180</v>
      </c>
      <c r="D1071" s="24" t="s">
        <v>2773</v>
      </c>
      <c r="E1071" s="24" t="s">
        <v>2768</v>
      </c>
      <c r="F1071" s="24">
        <v>1</v>
      </c>
      <c r="G1071" s="24" t="s">
        <v>2372</v>
      </c>
      <c r="H1071" s="24"/>
      <c r="I1071" s="24"/>
      <c r="J1071" s="283"/>
      <c r="K1071" s="164"/>
      <c r="L1071" s="164"/>
      <c r="M1071" s="164"/>
      <c r="N1071" s="164"/>
      <c r="O1071" s="224" t="s">
        <v>2792</v>
      </c>
      <c r="P1071" s="164"/>
      <c r="Q1071" s="164"/>
      <c r="R1071" s="164"/>
      <c r="S1071" s="283"/>
      <c r="T1071" s="164"/>
      <c r="U1071" s="283"/>
      <c r="V1071" s="283"/>
      <c r="W1071" s="164"/>
      <c r="X1071" s="225"/>
      <c r="Y1071" s="283"/>
      <c r="Z1071" s="283"/>
      <c r="AA1071" s="283"/>
      <c r="AB1071" s="283"/>
      <c r="AC1071" s="283"/>
      <c r="AD1071" s="283"/>
      <c r="AE1071" s="283"/>
      <c r="AF1071" s="283"/>
      <c r="AG1071" s="283"/>
      <c r="AH1071" s="205" t="s">
        <v>115</v>
      </c>
      <c r="AI1071" s="285" t="s">
        <v>2793</v>
      </c>
      <c r="AJ1071" s="285" t="s">
        <v>2794</v>
      </c>
      <c r="AK1071" s="225"/>
      <c r="AL1071" s="225"/>
      <c r="AM1071" s="24"/>
    </row>
    <row r="1072" spans="1:39" ht="12.75" customHeight="1">
      <c r="A1072" s="22">
        <v>1070</v>
      </c>
      <c r="B1072" s="24" t="s">
        <v>2796</v>
      </c>
      <c r="C1072" s="24" t="s">
        <v>180</v>
      </c>
      <c r="D1072" s="24" t="s">
        <v>2773</v>
      </c>
      <c r="E1072" s="24" t="s">
        <v>2768</v>
      </c>
      <c r="F1072" s="24">
        <v>1</v>
      </c>
      <c r="G1072" s="24" t="s">
        <v>2372</v>
      </c>
      <c r="H1072" s="24"/>
      <c r="I1072" s="24"/>
      <c r="J1072" s="283"/>
      <c r="K1072" s="164"/>
      <c r="L1072" s="164"/>
      <c r="M1072" s="164"/>
      <c r="N1072" s="164"/>
      <c r="O1072" s="224" t="s">
        <v>2796</v>
      </c>
      <c r="P1072" s="164"/>
      <c r="Q1072" s="164"/>
      <c r="R1072" s="164"/>
      <c r="S1072" s="283"/>
      <c r="T1072" s="164"/>
      <c r="U1072" s="283"/>
      <c r="V1072" s="283"/>
      <c r="W1072" s="164"/>
      <c r="X1072" s="225"/>
      <c r="Y1072" s="283"/>
      <c r="Z1072" s="283"/>
      <c r="AA1072" s="283"/>
      <c r="AB1072" s="283"/>
      <c r="AC1072" s="283"/>
      <c r="AD1072" s="283"/>
      <c r="AE1072" s="283"/>
      <c r="AF1072" s="283"/>
      <c r="AG1072" s="283"/>
      <c r="AH1072" s="205" t="s">
        <v>115</v>
      </c>
      <c r="AI1072" s="205" t="s">
        <v>2797</v>
      </c>
      <c r="AJ1072" s="285" t="s">
        <v>2798</v>
      </c>
      <c r="AK1072" s="225"/>
      <c r="AL1072" s="225"/>
      <c r="AM1072" s="24"/>
    </row>
    <row r="1073" spans="1:39" ht="12.75" customHeight="1">
      <c r="A1073" s="22">
        <v>1071</v>
      </c>
      <c r="B1073" s="24" t="s">
        <v>2799</v>
      </c>
      <c r="C1073" s="24" t="s">
        <v>180</v>
      </c>
      <c r="D1073" s="24" t="s">
        <v>2773</v>
      </c>
      <c r="E1073" s="24" t="s">
        <v>2768</v>
      </c>
      <c r="F1073" s="24">
        <v>1</v>
      </c>
      <c r="G1073" s="24" t="s">
        <v>2372</v>
      </c>
      <c r="H1073" s="24"/>
      <c r="I1073" s="24"/>
      <c r="J1073" s="283"/>
      <c r="K1073" s="164"/>
      <c r="L1073" s="164"/>
      <c r="M1073" s="164"/>
      <c r="N1073" s="164"/>
      <c r="O1073" s="224" t="s">
        <v>2799</v>
      </c>
      <c r="P1073" s="164"/>
      <c r="Q1073" s="164"/>
      <c r="R1073" s="164"/>
      <c r="S1073" s="283"/>
      <c r="T1073" s="164"/>
      <c r="U1073" s="283"/>
      <c r="V1073" s="283"/>
      <c r="W1073" s="164"/>
      <c r="X1073" s="225"/>
      <c r="Y1073" s="283"/>
      <c r="Z1073" s="283"/>
      <c r="AA1073" s="283"/>
      <c r="AB1073" s="283"/>
      <c r="AC1073" s="283"/>
      <c r="AD1073" s="283"/>
      <c r="AE1073" s="283"/>
      <c r="AF1073" s="283"/>
      <c r="AG1073" s="283"/>
      <c r="AH1073" s="205" t="s">
        <v>115</v>
      </c>
      <c r="AI1073" s="285" t="s">
        <v>2800</v>
      </c>
      <c r="AJ1073" s="285" t="s">
        <v>2801</v>
      </c>
      <c r="AK1073" s="225"/>
      <c r="AL1073" s="225"/>
      <c r="AM1073" s="24"/>
    </row>
    <row r="1074" spans="1:39" ht="12.75" customHeight="1">
      <c r="A1074" s="22">
        <v>1072</v>
      </c>
      <c r="B1074" s="24" t="s">
        <v>423</v>
      </c>
      <c r="C1074" s="24" t="s">
        <v>180</v>
      </c>
      <c r="D1074" s="24" t="s">
        <v>2773</v>
      </c>
      <c r="E1074" s="24" t="s">
        <v>2768</v>
      </c>
      <c r="F1074" s="24">
        <v>1</v>
      </c>
      <c r="G1074" s="24" t="s">
        <v>2372</v>
      </c>
      <c r="H1074" s="24"/>
      <c r="I1074" s="24"/>
      <c r="J1074" s="283"/>
      <c r="K1074" s="164"/>
      <c r="L1074" s="164"/>
      <c r="M1074" s="164"/>
      <c r="N1074" s="164"/>
      <c r="O1074" s="224" t="s">
        <v>423</v>
      </c>
      <c r="P1074" s="164"/>
      <c r="Q1074" s="164"/>
      <c r="R1074" s="164"/>
      <c r="S1074" s="283"/>
      <c r="T1074" s="164"/>
      <c r="U1074" s="283"/>
      <c r="V1074" s="283"/>
      <c r="W1074" s="164"/>
      <c r="X1074" s="225"/>
      <c r="Y1074" s="283"/>
      <c r="Z1074" s="283"/>
      <c r="AA1074" s="283"/>
      <c r="AB1074" s="283"/>
      <c r="AC1074" s="283"/>
      <c r="AD1074" s="283"/>
      <c r="AE1074" s="283"/>
      <c r="AF1074" s="283"/>
      <c r="AG1074" s="283"/>
      <c r="AH1074" s="205" t="s">
        <v>115</v>
      </c>
      <c r="AI1074" s="285" t="s">
        <v>424</v>
      </c>
      <c r="AJ1074" s="285" t="s">
        <v>425</v>
      </c>
      <c r="AK1074" s="225"/>
      <c r="AL1074" s="225"/>
      <c r="AM1074" s="24"/>
    </row>
    <row r="1075" spans="1:39" ht="12.75" customHeight="1">
      <c r="A1075" s="22">
        <v>1073</v>
      </c>
      <c r="B1075" s="24" t="s">
        <v>2803</v>
      </c>
      <c r="C1075" s="24" t="s">
        <v>96</v>
      </c>
      <c r="D1075" s="24" t="s">
        <v>1787</v>
      </c>
      <c r="E1075" s="24" t="s">
        <v>2804</v>
      </c>
      <c r="F1075" s="24">
        <v>1</v>
      </c>
      <c r="G1075" s="24" t="s">
        <v>2372</v>
      </c>
      <c r="H1075" s="24"/>
      <c r="I1075" s="24"/>
      <c r="J1075" s="283"/>
      <c r="K1075" s="204" t="s">
        <v>2803</v>
      </c>
      <c r="L1075" s="204" t="s">
        <v>2805</v>
      </c>
      <c r="M1075" s="196"/>
      <c r="N1075" s="204" t="s">
        <v>202</v>
      </c>
      <c r="O1075" s="164"/>
      <c r="P1075" s="196"/>
      <c r="Q1075" s="196"/>
      <c r="R1075" s="196"/>
      <c r="S1075" s="283"/>
      <c r="T1075" s="204" t="s">
        <v>208</v>
      </c>
      <c r="U1075" s="283"/>
      <c r="V1075" s="283"/>
      <c r="W1075" s="164" t="s">
        <v>2806</v>
      </c>
      <c r="X1075" s="225"/>
      <c r="Y1075" s="283"/>
      <c r="Z1075" s="283"/>
      <c r="AA1075" s="283"/>
      <c r="AB1075" s="283"/>
      <c r="AC1075" s="283"/>
      <c r="AD1075" s="283"/>
      <c r="AE1075" s="283"/>
      <c r="AF1075" s="283"/>
      <c r="AG1075" s="283"/>
      <c r="AH1075" s="285" t="s">
        <v>2807</v>
      </c>
      <c r="AI1075" s="285" t="s">
        <v>2398</v>
      </c>
      <c r="AJ1075" s="285" t="s">
        <v>2399</v>
      </c>
      <c r="AK1075" s="225"/>
      <c r="AL1075" s="225"/>
      <c r="AM1075" s="24"/>
    </row>
    <row r="1076" spans="1:39" ht="12.75" customHeight="1">
      <c r="A1076" s="22">
        <v>1074</v>
      </c>
      <c r="B1076" s="24" t="s">
        <v>1673</v>
      </c>
      <c r="C1076" s="24" t="s">
        <v>180</v>
      </c>
      <c r="D1076" s="24" t="s">
        <v>2803</v>
      </c>
      <c r="E1076" s="24" t="s">
        <v>2804</v>
      </c>
      <c r="F1076" s="24">
        <v>1</v>
      </c>
      <c r="G1076" s="24" t="s">
        <v>2372</v>
      </c>
      <c r="H1076" s="24"/>
      <c r="I1076" s="24"/>
      <c r="J1076" s="283"/>
      <c r="K1076" s="204"/>
      <c r="L1076" s="204"/>
      <c r="M1076" s="196"/>
      <c r="N1076" s="204"/>
      <c r="O1076" s="164" t="s">
        <v>1673</v>
      </c>
      <c r="P1076" s="196"/>
      <c r="Q1076" s="196"/>
      <c r="R1076" s="196"/>
      <c r="S1076" s="283"/>
      <c r="T1076" s="204"/>
      <c r="U1076" s="283"/>
      <c r="V1076" s="283"/>
      <c r="W1076" s="164"/>
      <c r="X1076" s="225"/>
      <c r="Y1076" s="283"/>
      <c r="Z1076" s="283"/>
      <c r="AA1076" s="283"/>
      <c r="AB1076" s="283"/>
      <c r="AC1076" s="283"/>
      <c r="AD1076" s="283"/>
      <c r="AE1076" s="283"/>
      <c r="AF1076" s="283"/>
      <c r="AG1076" s="283"/>
      <c r="AH1076" s="285" t="s">
        <v>115</v>
      </c>
      <c r="AI1076" s="285" t="s">
        <v>942</v>
      </c>
      <c r="AJ1076" s="205" t="s">
        <v>943</v>
      </c>
      <c r="AK1076" s="225"/>
      <c r="AL1076" s="225"/>
      <c r="AM1076" s="24"/>
    </row>
    <row r="1077" spans="1:39" ht="12.75" customHeight="1">
      <c r="A1077" s="22">
        <v>1075</v>
      </c>
      <c r="B1077" s="24" t="s">
        <v>1468</v>
      </c>
      <c r="C1077" s="24" t="s">
        <v>180</v>
      </c>
      <c r="D1077" s="24" t="s">
        <v>2803</v>
      </c>
      <c r="E1077" s="24" t="s">
        <v>2804</v>
      </c>
      <c r="F1077" s="24">
        <v>1</v>
      </c>
      <c r="G1077" s="24" t="s">
        <v>2372</v>
      </c>
      <c r="H1077" s="24"/>
      <c r="I1077" s="24"/>
      <c r="J1077" s="283"/>
      <c r="K1077" s="204"/>
      <c r="L1077" s="204"/>
      <c r="M1077" s="196"/>
      <c r="N1077" s="204"/>
      <c r="O1077" s="164" t="s">
        <v>1468</v>
      </c>
      <c r="P1077" s="196"/>
      <c r="Q1077" s="196"/>
      <c r="R1077" s="196"/>
      <c r="S1077" s="283"/>
      <c r="T1077" s="204"/>
      <c r="U1077" s="283"/>
      <c r="V1077" s="283"/>
      <c r="W1077" s="164"/>
      <c r="X1077" s="225"/>
      <c r="Y1077" s="283"/>
      <c r="Z1077" s="283"/>
      <c r="AA1077" s="283"/>
      <c r="AB1077" s="283"/>
      <c r="AC1077" s="283"/>
      <c r="AD1077" s="283"/>
      <c r="AE1077" s="283"/>
      <c r="AF1077" s="283"/>
      <c r="AG1077" s="283"/>
      <c r="AH1077" s="285" t="s">
        <v>115</v>
      </c>
      <c r="AI1077" s="285" t="s">
        <v>1469</v>
      </c>
      <c r="AJ1077" s="205" t="s">
        <v>1470</v>
      </c>
      <c r="AK1077" s="225"/>
      <c r="AL1077" s="225"/>
      <c r="AM1077" s="24"/>
    </row>
    <row r="1078" spans="1:39" ht="12.75" customHeight="1">
      <c r="A1078" s="22">
        <v>1076</v>
      </c>
      <c r="B1078" s="24" t="s">
        <v>2809</v>
      </c>
      <c r="C1078" s="24" t="s">
        <v>96</v>
      </c>
      <c r="D1078" s="24" t="s">
        <v>1787</v>
      </c>
      <c r="E1078" s="24" t="s">
        <v>2810</v>
      </c>
      <c r="F1078" s="24">
        <v>1</v>
      </c>
      <c r="G1078" s="24" t="s">
        <v>2372</v>
      </c>
      <c r="H1078" s="24"/>
      <c r="I1078" s="24"/>
      <c r="J1078" s="283"/>
      <c r="K1078" s="204" t="s">
        <v>2809</v>
      </c>
      <c r="L1078" s="204" t="s">
        <v>2811</v>
      </c>
      <c r="M1078" s="204"/>
      <c r="N1078" s="204" t="s">
        <v>202</v>
      </c>
      <c r="O1078" s="164"/>
      <c r="P1078" s="196"/>
      <c r="Q1078" s="196"/>
      <c r="R1078" s="196"/>
      <c r="S1078" s="283"/>
      <c r="T1078" s="204" t="s">
        <v>113</v>
      </c>
      <c r="U1078" s="283"/>
      <c r="V1078" s="283"/>
      <c r="W1078" s="204" t="s">
        <v>2812</v>
      </c>
      <c r="X1078" s="225"/>
      <c r="Y1078" s="283"/>
      <c r="Z1078" s="283"/>
      <c r="AA1078" s="283"/>
      <c r="AB1078" s="283"/>
      <c r="AC1078" s="283"/>
      <c r="AD1078" s="283"/>
      <c r="AE1078" s="283"/>
      <c r="AF1078" s="283"/>
      <c r="AG1078" s="283"/>
      <c r="AH1078" s="205" t="s">
        <v>115</v>
      </c>
      <c r="AI1078" s="205" t="s">
        <v>2813</v>
      </c>
      <c r="AJ1078" s="205" t="s">
        <v>2814</v>
      </c>
      <c r="AK1078" s="225"/>
      <c r="AL1078" s="225"/>
      <c r="AM1078" s="24"/>
    </row>
    <row r="1079" spans="1:39" ht="12.75" customHeight="1">
      <c r="A1079" s="22">
        <v>1077</v>
      </c>
      <c r="B1079" s="24" t="s">
        <v>1673</v>
      </c>
      <c r="C1079" s="24" t="s">
        <v>180</v>
      </c>
      <c r="D1079" s="24" t="s">
        <v>2809</v>
      </c>
      <c r="E1079" s="24" t="s">
        <v>2810</v>
      </c>
      <c r="F1079" s="24">
        <v>1</v>
      </c>
      <c r="G1079" s="24" t="s">
        <v>2372</v>
      </c>
      <c r="H1079" s="24"/>
      <c r="I1079" s="24"/>
      <c r="J1079" s="283"/>
      <c r="K1079" s="204"/>
      <c r="L1079" s="204"/>
      <c r="M1079" s="204"/>
      <c r="N1079" s="204"/>
      <c r="O1079" s="164" t="s">
        <v>1673</v>
      </c>
      <c r="P1079" s="196"/>
      <c r="Q1079" s="196"/>
      <c r="R1079" s="196"/>
      <c r="S1079" s="283"/>
      <c r="T1079" s="204"/>
      <c r="U1079" s="283"/>
      <c r="V1079" s="283"/>
      <c r="W1079" s="204"/>
      <c r="X1079" s="225"/>
      <c r="Y1079" s="283"/>
      <c r="Z1079" s="283"/>
      <c r="AA1079" s="283"/>
      <c r="AB1079" s="283"/>
      <c r="AC1079" s="283"/>
      <c r="AD1079" s="283"/>
      <c r="AE1079" s="283"/>
      <c r="AF1079" s="283"/>
      <c r="AG1079" s="283"/>
      <c r="AH1079" s="285" t="s">
        <v>115</v>
      </c>
      <c r="AI1079" s="285" t="s">
        <v>942</v>
      </c>
      <c r="AJ1079" s="205" t="s">
        <v>943</v>
      </c>
      <c r="AK1079" s="225"/>
      <c r="AL1079" s="225"/>
      <c r="AM1079" s="24"/>
    </row>
    <row r="1080" spans="1:39" ht="12.75" customHeight="1">
      <c r="A1080" s="22">
        <v>1078</v>
      </c>
      <c r="B1080" s="24" t="s">
        <v>1468</v>
      </c>
      <c r="C1080" s="24" t="s">
        <v>180</v>
      </c>
      <c r="D1080" s="24" t="s">
        <v>2809</v>
      </c>
      <c r="E1080" s="24" t="s">
        <v>2810</v>
      </c>
      <c r="F1080" s="24">
        <v>1</v>
      </c>
      <c r="G1080" s="24" t="s">
        <v>2372</v>
      </c>
      <c r="H1080" s="24"/>
      <c r="I1080" s="24"/>
      <c r="J1080" s="283"/>
      <c r="K1080" s="204"/>
      <c r="L1080" s="204"/>
      <c r="M1080" s="204"/>
      <c r="N1080" s="204"/>
      <c r="O1080" s="164" t="s">
        <v>1468</v>
      </c>
      <c r="P1080" s="196"/>
      <c r="Q1080" s="196"/>
      <c r="R1080" s="196"/>
      <c r="S1080" s="283"/>
      <c r="T1080" s="204"/>
      <c r="U1080" s="283"/>
      <c r="V1080" s="283"/>
      <c r="W1080" s="204"/>
      <c r="X1080" s="225"/>
      <c r="Y1080" s="283"/>
      <c r="Z1080" s="283"/>
      <c r="AA1080" s="283"/>
      <c r="AB1080" s="283"/>
      <c r="AC1080" s="283"/>
      <c r="AD1080" s="283"/>
      <c r="AE1080" s="283"/>
      <c r="AF1080" s="283"/>
      <c r="AG1080" s="283"/>
      <c r="AH1080" s="285" t="s">
        <v>115</v>
      </c>
      <c r="AI1080" s="285" t="s">
        <v>1469</v>
      </c>
      <c r="AJ1080" s="205" t="s">
        <v>1470</v>
      </c>
      <c r="AK1080" s="225"/>
      <c r="AL1080" s="225"/>
      <c r="AM1080" s="24"/>
    </row>
    <row r="1081" spans="1:39" ht="12.75" customHeight="1">
      <c r="A1081" s="22">
        <v>1079</v>
      </c>
      <c r="B1081" s="24" t="s">
        <v>2816</v>
      </c>
      <c r="C1081" s="24" t="s">
        <v>96</v>
      </c>
      <c r="D1081" s="24" t="s">
        <v>1787</v>
      </c>
      <c r="E1081" s="24" t="s">
        <v>2810</v>
      </c>
      <c r="F1081" s="24">
        <v>1</v>
      </c>
      <c r="G1081" s="24" t="s">
        <v>2372</v>
      </c>
      <c r="H1081" s="24"/>
      <c r="I1081" s="24"/>
      <c r="J1081" s="283"/>
      <c r="K1081" s="204" t="s">
        <v>1376</v>
      </c>
      <c r="L1081" s="204" t="s">
        <v>2817</v>
      </c>
      <c r="M1081" s="204"/>
      <c r="N1081" s="204" t="s">
        <v>202</v>
      </c>
      <c r="O1081" s="196"/>
      <c r="P1081" s="196"/>
      <c r="Q1081" s="196"/>
      <c r="R1081" s="196"/>
      <c r="S1081" s="283"/>
      <c r="T1081" s="204" t="s">
        <v>113</v>
      </c>
      <c r="U1081" s="283"/>
      <c r="V1081" s="283"/>
      <c r="W1081" s="204" t="s">
        <v>115</v>
      </c>
      <c r="X1081" s="225"/>
      <c r="Y1081" s="283"/>
      <c r="Z1081" s="283"/>
      <c r="AA1081" s="283"/>
      <c r="AB1081" s="283"/>
      <c r="AC1081" s="283"/>
      <c r="AD1081" s="283"/>
      <c r="AE1081" s="283"/>
      <c r="AF1081" s="283"/>
      <c r="AG1081" s="283"/>
      <c r="AH1081" s="205" t="s">
        <v>115</v>
      </c>
      <c r="AI1081" s="205" t="s">
        <v>2818</v>
      </c>
      <c r="AJ1081" s="285" t="s">
        <v>2819</v>
      </c>
      <c r="AK1081" s="225"/>
      <c r="AL1081" s="225"/>
      <c r="AM1081" s="24"/>
    </row>
    <row r="1082" spans="1:39" ht="12.75" customHeight="1">
      <c r="A1082" s="22">
        <v>1080</v>
      </c>
      <c r="B1082" s="24" t="s">
        <v>2405</v>
      </c>
      <c r="C1082" s="24" t="s">
        <v>180</v>
      </c>
      <c r="D1082" s="24" t="s">
        <v>2816</v>
      </c>
      <c r="E1082" s="24" t="s">
        <v>2810</v>
      </c>
      <c r="F1082" s="24">
        <v>1</v>
      </c>
      <c r="G1082" s="24" t="s">
        <v>2372</v>
      </c>
      <c r="H1082" s="24"/>
      <c r="I1082" s="24"/>
      <c r="J1082" s="283"/>
      <c r="K1082" s="204"/>
      <c r="L1082" s="204"/>
      <c r="M1082" s="204"/>
      <c r="N1082" s="204"/>
      <c r="O1082" s="196" t="s">
        <v>2405</v>
      </c>
      <c r="P1082" s="196"/>
      <c r="Q1082" s="196"/>
      <c r="R1082" s="196"/>
      <c r="S1082" s="283"/>
      <c r="T1082" s="204"/>
      <c r="U1082" s="283"/>
      <c r="V1082" s="283"/>
      <c r="W1082" s="204"/>
      <c r="X1082" s="225"/>
      <c r="Y1082" s="283"/>
      <c r="Z1082" s="283"/>
      <c r="AA1082" s="283"/>
      <c r="AB1082" s="283"/>
      <c r="AC1082" s="283"/>
      <c r="AD1082" s="283"/>
      <c r="AE1082" s="283"/>
      <c r="AF1082" s="283"/>
      <c r="AG1082" s="283"/>
      <c r="AH1082" s="285" t="s">
        <v>115</v>
      </c>
      <c r="AI1082" s="205" t="s">
        <v>2406</v>
      </c>
      <c r="AJ1082" s="205" t="s">
        <v>2407</v>
      </c>
      <c r="AK1082" s="225"/>
      <c r="AL1082" s="225"/>
      <c r="AM1082" s="24"/>
    </row>
    <row r="1083" spans="1:39" ht="12.75" customHeight="1">
      <c r="A1083" s="22">
        <v>1081</v>
      </c>
      <c r="B1083" s="24" t="s">
        <v>405</v>
      </c>
      <c r="C1083" s="24" t="s">
        <v>180</v>
      </c>
      <c r="D1083" s="24" t="s">
        <v>2816</v>
      </c>
      <c r="E1083" s="24" t="s">
        <v>2810</v>
      </c>
      <c r="F1083" s="24">
        <v>1</v>
      </c>
      <c r="G1083" s="24" t="s">
        <v>2372</v>
      </c>
      <c r="H1083" s="24"/>
      <c r="I1083" s="24"/>
      <c r="J1083" s="283"/>
      <c r="K1083" s="204"/>
      <c r="L1083" s="204"/>
      <c r="M1083" s="204"/>
      <c r="N1083" s="204"/>
      <c r="O1083" s="196" t="s">
        <v>405</v>
      </c>
      <c r="P1083" s="196"/>
      <c r="Q1083" s="196"/>
      <c r="R1083" s="196"/>
      <c r="S1083" s="283"/>
      <c r="T1083" s="204"/>
      <c r="U1083" s="283"/>
      <c r="V1083" s="283"/>
      <c r="W1083" s="204"/>
      <c r="X1083" s="225"/>
      <c r="Y1083" s="283"/>
      <c r="Z1083" s="283"/>
      <c r="AA1083" s="283"/>
      <c r="AB1083" s="283"/>
      <c r="AC1083" s="283"/>
      <c r="AD1083" s="283"/>
      <c r="AE1083" s="283"/>
      <c r="AF1083" s="283"/>
      <c r="AG1083" s="283"/>
      <c r="AH1083" s="285" t="s">
        <v>115</v>
      </c>
      <c r="AI1083" s="205" t="s">
        <v>406</v>
      </c>
      <c r="AJ1083" s="205" t="s">
        <v>407</v>
      </c>
      <c r="AK1083" s="225"/>
      <c r="AL1083" s="225"/>
      <c r="AM1083" s="24"/>
    </row>
    <row r="1084" spans="1:39" ht="12.75" customHeight="1">
      <c r="A1084" s="22">
        <v>1082</v>
      </c>
      <c r="B1084" s="24" t="s">
        <v>2820</v>
      </c>
      <c r="C1084" s="24" t="s">
        <v>96</v>
      </c>
      <c r="D1084" s="24" t="s">
        <v>1787</v>
      </c>
      <c r="E1084" s="24" t="s">
        <v>2810</v>
      </c>
      <c r="F1084" s="24">
        <v>1</v>
      </c>
      <c r="G1084" s="24" t="s">
        <v>2372</v>
      </c>
      <c r="H1084" s="24"/>
      <c r="I1084" s="24"/>
      <c r="J1084" s="283"/>
      <c r="K1084" s="204" t="s">
        <v>409</v>
      </c>
      <c r="L1084" s="204" t="s">
        <v>2821</v>
      </c>
      <c r="M1084" s="204"/>
      <c r="N1084" s="204" t="s">
        <v>111</v>
      </c>
      <c r="O1084" s="196"/>
      <c r="P1084" s="196"/>
      <c r="Q1084" s="196"/>
      <c r="R1084" s="196"/>
      <c r="S1084" s="283"/>
      <c r="T1084" s="204" t="s">
        <v>208</v>
      </c>
      <c r="U1084" s="283"/>
      <c r="V1084" s="283"/>
      <c r="W1084" s="204" t="s">
        <v>115</v>
      </c>
      <c r="X1084" s="225"/>
      <c r="Y1084" s="283"/>
      <c r="Z1084" s="283"/>
      <c r="AA1084" s="283"/>
      <c r="AB1084" s="283"/>
      <c r="AC1084" s="283"/>
      <c r="AD1084" s="283"/>
      <c r="AE1084" s="283"/>
      <c r="AF1084" s="283"/>
      <c r="AG1084" s="283"/>
      <c r="AH1084" s="205" t="s">
        <v>2822</v>
      </c>
      <c r="AI1084" s="205" t="s">
        <v>415</v>
      </c>
      <c r="AJ1084" s="205" t="s">
        <v>416</v>
      </c>
      <c r="AK1084" s="225"/>
      <c r="AL1084" s="225"/>
      <c r="AM1084" s="24"/>
    </row>
    <row r="1085" spans="1:39" ht="12.75" customHeight="1">
      <c r="A1085" s="22">
        <v>1083</v>
      </c>
      <c r="B1085" s="24" t="s">
        <v>2823</v>
      </c>
      <c r="C1085" s="24" t="s">
        <v>96</v>
      </c>
      <c r="D1085" s="24" t="s">
        <v>1787</v>
      </c>
      <c r="E1085" s="24" t="s">
        <v>2810</v>
      </c>
      <c r="F1085" s="24">
        <v>1</v>
      </c>
      <c r="G1085" s="24" t="s">
        <v>2372</v>
      </c>
      <c r="H1085" s="24"/>
      <c r="I1085" s="24"/>
      <c r="J1085" s="283"/>
      <c r="K1085" s="204" t="s">
        <v>2823</v>
      </c>
      <c r="L1085" s="204" t="s">
        <v>2824</v>
      </c>
      <c r="M1085" s="204"/>
      <c r="N1085" s="204" t="s">
        <v>202</v>
      </c>
      <c r="O1085" s="196"/>
      <c r="P1085" s="196"/>
      <c r="Q1085" s="196"/>
      <c r="R1085" s="196"/>
      <c r="S1085" s="283"/>
      <c r="T1085" s="204" t="s">
        <v>113</v>
      </c>
      <c r="U1085" s="283"/>
      <c r="V1085" s="283"/>
      <c r="W1085" s="204" t="s">
        <v>115</v>
      </c>
      <c r="X1085" s="225"/>
      <c r="Y1085" s="283"/>
      <c r="Z1085" s="283"/>
      <c r="AA1085" s="283"/>
      <c r="AB1085" s="283"/>
      <c r="AC1085" s="283"/>
      <c r="AD1085" s="283"/>
      <c r="AE1085" s="283"/>
      <c r="AF1085" s="283"/>
      <c r="AG1085" s="283"/>
      <c r="AH1085" s="205" t="s">
        <v>115</v>
      </c>
      <c r="AI1085" s="205" t="s">
        <v>2825</v>
      </c>
      <c r="AJ1085" s="205" t="s">
        <v>2826</v>
      </c>
      <c r="AK1085" s="225"/>
      <c r="AL1085" s="225"/>
      <c r="AM1085" s="24"/>
    </row>
    <row r="1086" spans="1:39" ht="12.75" customHeight="1">
      <c r="A1086" s="22">
        <v>1084</v>
      </c>
      <c r="B1086" s="24" t="s">
        <v>2827</v>
      </c>
      <c r="C1086" s="24" t="s">
        <v>180</v>
      </c>
      <c r="D1086" s="24" t="s">
        <v>2823</v>
      </c>
      <c r="E1086" s="24" t="s">
        <v>2810</v>
      </c>
      <c r="F1086" s="24">
        <v>1</v>
      </c>
      <c r="G1086" s="24" t="s">
        <v>2372</v>
      </c>
      <c r="H1086" s="24"/>
      <c r="I1086" s="24"/>
      <c r="J1086" s="283"/>
      <c r="K1086" s="297"/>
      <c r="L1086" s="297"/>
      <c r="M1086" s="297"/>
      <c r="N1086" s="297"/>
      <c r="O1086" s="196" t="s">
        <v>2827</v>
      </c>
      <c r="P1086" s="164"/>
      <c r="Q1086" s="164"/>
      <c r="R1086" s="164"/>
      <c r="S1086" s="283"/>
      <c r="T1086" s="297"/>
      <c r="U1086" s="283"/>
      <c r="V1086" s="283"/>
      <c r="W1086" s="164"/>
      <c r="X1086" s="225"/>
      <c r="Y1086" s="283"/>
      <c r="Z1086" s="283"/>
      <c r="AA1086" s="283"/>
      <c r="AB1086" s="283"/>
      <c r="AC1086" s="283"/>
      <c r="AD1086" s="283"/>
      <c r="AE1086" s="283"/>
      <c r="AF1086" s="283"/>
      <c r="AG1086" s="283"/>
      <c r="AH1086" s="285" t="s">
        <v>115</v>
      </c>
      <c r="AI1086" s="205" t="s">
        <v>2828</v>
      </c>
      <c r="AJ1086" s="285" t="s">
        <v>2829</v>
      </c>
      <c r="AK1086" s="225"/>
      <c r="AL1086" s="225"/>
      <c r="AM1086" s="24"/>
    </row>
    <row r="1087" spans="1:39" ht="12.75" customHeight="1">
      <c r="A1087" s="22">
        <v>1085</v>
      </c>
      <c r="B1087" s="24" t="s">
        <v>2830</v>
      </c>
      <c r="C1087" s="24" t="s">
        <v>180</v>
      </c>
      <c r="D1087" s="24" t="s">
        <v>2823</v>
      </c>
      <c r="E1087" s="24" t="s">
        <v>2810</v>
      </c>
      <c r="F1087" s="24">
        <v>1</v>
      </c>
      <c r="G1087" s="24" t="s">
        <v>2372</v>
      </c>
      <c r="H1087" s="24"/>
      <c r="I1087" s="24"/>
      <c r="J1087" s="283"/>
      <c r="K1087" s="297"/>
      <c r="L1087" s="297"/>
      <c r="M1087" s="297"/>
      <c r="N1087" s="297"/>
      <c r="O1087" s="164" t="s">
        <v>2830</v>
      </c>
      <c r="P1087" s="164"/>
      <c r="Q1087" s="164"/>
      <c r="R1087" s="164"/>
      <c r="S1087" s="283"/>
      <c r="T1087" s="297"/>
      <c r="U1087" s="283"/>
      <c r="V1087" s="283"/>
      <c r="W1087" s="164"/>
      <c r="X1087" s="225"/>
      <c r="Y1087" s="283"/>
      <c r="Z1087" s="283"/>
      <c r="AA1087" s="283"/>
      <c r="AB1087" s="283"/>
      <c r="AC1087" s="283"/>
      <c r="AD1087" s="283"/>
      <c r="AE1087" s="283"/>
      <c r="AF1087" s="283"/>
      <c r="AG1087" s="283"/>
      <c r="AH1087" s="285" t="s">
        <v>115</v>
      </c>
      <c r="AI1087" s="205" t="s">
        <v>2406</v>
      </c>
      <c r="AJ1087" s="285" t="s">
        <v>2407</v>
      </c>
      <c r="AK1087" s="225"/>
      <c r="AL1087" s="225"/>
      <c r="AM1087" s="24"/>
    </row>
    <row r="1088" spans="1:39" ht="12.75" customHeight="1">
      <c r="A1088" s="22">
        <v>1086</v>
      </c>
      <c r="B1088" s="24" t="s">
        <v>2831</v>
      </c>
      <c r="C1088" s="24" t="s">
        <v>180</v>
      </c>
      <c r="D1088" s="24" t="s">
        <v>2823</v>
      </c>
      <c r="E1088" s="24" t="s">
        <v>2810</v>
      </c>
      <c r="F1088" s="24">
        <v>1</v>
      </c>
      <c r="G1088" s="24" t="s">
        <v>2372</v>
      </c>
      <c r="H1088" s="24"/>
      <c r="I1088" s="24"/>
      <c r="J1088" s="283"/>
      <c r="K1088" s="297"/>
      <c r="L1088" s="297"/>
      <c r="M1088" s="297"/>
      <c r="N1088" s="297"/>
      <c r="O1088" s="164" t="s">
        <v>2831</v>
      </c>
      <c r="P1088" s="164"/>
      <c r="Q1088" s="164"/>
      <c r="R1088" s="164"/>
      <c r="S1088" s="283"/>
      <c r="T1088" s="297"/>
      <c r="U1088" s="283"/>
      <c r="V1088" s="283"/>
      <c r="W1088" s="164"/>
      <c r="X1088" s="225"/>
      <c r="Y1088" s="283"/>
      <c r="Z1088" s="283"/>
      <c r="AA1088" s="283"/>
      <c r="AB1088" s="283"/>
      <c r="AC1088" s="283"/>
      <c r="AD1088" s="283"/>
      <c r="AE1088" s="283"/>
      <c r="AF1088" s="283"/>
      <c r="AG1088" s="283"/>
      <c r="AH1088" s="285" t="s">
        <v>115</v>
      </c>
      <c r="AI1088" s="205" t="s">
        <v>424</v>
      </c>
      <c r="AJ1088" s="285" t="s">
        <v>425</v>
      </c>
      <c r="AK1088" s="225"/>
      <c r="AL1088" s="225"/>
      <c r="AM1088" s="24"/>
    </row>
    <row r="1089" spans="1:39" ht="12.75" customHeight="1">
      <c r="A1089" s="22">
        <v>1087</v>
      </c>
      <c r="B1089" s="24" t="s">
        <v>1387</v>
      </c>
      <c r="C1089" s="24" t="s">
        <v>180</v>
      </c>
      <c r="D1089" s="24" t="s">
        <v>2823</v>
      </c>
      <c r="E1089" s="24" t="s">
        <v>2810</v>
      </c>
      <c r="F1089" s="24">
        <v>1</v>
      </c>
      <c r="G1089" s="24" t="s">
        <v>2372</v>
      </c>
      <c r="H1089" s="24"/>
      <c r="I1089" s="24"/>
      <c r="J1089" s="283"/>
      <c r="K1089" s="297"/>
      <c r="L1089" s="297"/>
      <c r="M1089" s="297"/>
      <c r="N1089" s="297"/>
      <c r="O1089" s="164" t="s">
        <v>1387</v>
      </c>
      <c r="P1089" s="164"/>
      <c r="Q1089" s="164"/>
      <c r="R1089" s="164"/>
      <c r="S1089" s="283"/>
      <c r="T1089" s="297"/>
      <c r="U1089" s="283"/>
      <c r="V1089" s="283"/>
      <c r="W1089" s="164"/>
      <c r="X1089" s="225"/>
      <c r="Y1089" s="283"/>
      <c r="Z1089" s="283"/>
      <c r="AA1089" s="283"/>
      <c r="AB1089" s="283"/>
      <c r="AC1089" s="283"/>
      <c r="AD1089" s="283"/>
      <c r="AE1089" s="283"/>
      <c r="AF1089" s="283"/>
      <c r="AG1089" s="283"/>
      <c r="AH1089" s="285" t="s">
        <v>115</v>
      </c>
      <c r="AI1089" s="205" t="s">
        <v>406</v>
      </c>
      <c r="AJ1089" s="285" t="s">
        <v>407</v>
      </c>
      <c r="AK1089" s="225"/>
      <c r="AL1089" s="225"/>
      <c r="AM1089" s="24"/>
    </row>
    <row r="1090" spans="1:39" ht="12.75" customHeight="1">
      <c r="A1090" s="22">
        <v>1088</v>
      </c>
      <c r="B1090" s="24" t="s">
        <v>2832</v>
      </c>
      <c r="C1090" s="24" t="s">
        <v>96</v>
      </c>
      <c r="D1090" s="24" t="s">
        <v>1787</v>
      </c>
      <c r="E1090" s="24" t="s">
        <v>2833</v>
      </c>
      <c r="F1090" s="24">
        <v>1</v>
      </c>
      <c r="G1090" s="24" t="s">
        <v>2372</v>
      </c>
      <c r="H1090" s="24"/>
      <c r="I1090" s="24"/>
      <c r="J1090" s="283"/>
      <c r="K1090" s="204" t="s">
        <v>2832</v>
      </c>
      <c r="L1090" s="164" t="s">
        <v>2834</v>
      </c>
      <c r="M1090" s="164"/>
      <c r="N1090" s="164" t="s">
        <v>202</v>
      </c>
      <c r="O1090" s="164"/>
      <c r="P1090" s="164"/>
      <c r="Q1090" s="164"/>
      <c r="R1090" s="164"/>
      <c r="S1090" s="283"/>
      <c r="T1090" s="164" t="s">
        <v>113</v>
      </c>
      <c r="U1090" s="283"/>
      <c r="V1090" s="283"/>
      <c r="W1090" s="164" t="s">
        <v>2656</v>
      </c>
      <c r="X1090" s="225"/>
      <c r="Y1090" s="283"/>
      <c r="Z1090" s="283"/>
      <c r="AA1090" s="283"/>
      <c r="AB1090" s="283"/>
      <c r="AC1090" s="283"/>
      <c r="AD1090" s="283"/>
      <c r="AE1090" s="283"/>
      <c r="AF1090" s="283"/>
      <c r="AG1090" s="283"/>
      <c r="AH1090" s="285" t="s">
        <v>2835</v>
      </c>
      <c r="AI1090" s="285" t="s">
        <v>2630</v>
      </c>
      <c r="AJ1090" s="285" t="s">
        <v>2631</v>
      </c>
      <c r="AK1090" s="225"/>
      <c r="AL1090" s="225"/>
      <c r="AM1090" s="24"/>
    </row>
    <row r="1091" spans="1:39" ht="12.75" customHeight="1">
      <c r="A1091" s="22">
        <v>1089</v>
      </c>
      <c r="B1091" s="24" t="s">
        <v>1673</v>
      </c>
      <c r="C1091" s="24" t="s">
        <v>180</v>
      </c>
      <c r="D1091" s="24" t="s">
        <v>2832</v>
      </c>
      <c r="E1091" s="24" t="s">
        <v>2833</v>
      </c>
      <c r="F1091" s="24">
        <v>1</v>
      </c>
      <c r="G1091" s="24" t="s">
        <v>2372</v>
      </c>
      <c r="H1091" s="24"/>
      <c r="I1091" s="24"/>
      <c r="J1091" s="283"/>
      <c r="K1091" s="204"/>
      <c r="L1091" s="164"/>
      <c r="M1091" s="164"/>
      <c r="N1091" s="164"/>
      <c r="O1091" s="164" t="s">
        <v>1673</v>
      </c>
      <c r="P1091" s="164"/>
      <c r="Q1091" s="164"/>
      <c r="R1091" s="164"/>
      <c r="S1091" s="283"/>
      <c r="T1091" s="164"/>
      <c r="U1091" s="283"/>
      <c r="V1091" s="283"/>
      <c r="W1091" s="204"/>
      <c r="X1091" s="225"/>
      <c r="Y1091" s="283"/>
      <c r="Z1091" s="283"/>
      <c r="AA1091" s="283"/>
      <c r="AB1091" s="283"/>
      <c r="AC1091" s="283"/>
      <c r="AD1091" s="283"/>
      <c r="AE1091" s="283"/>
      <c r="AF1091" s="283"/>
      <c r="AG1091" s="283"/>
      <c r="AH1091" s="285" t="s">
        <v>115</v>
      </c>
      <c r="AI1091" s="285" t="s">
        <v>942</v>
      </c>
      <c r="AJ1091" s="205" t="s">
        <v>943</v>
      </c>
      <c r="AK1091" s="225"/>
      <c r="AL1091" s="225"/>
      <c r="AM1091" s="24"/>
    </row>
    <row r="1092" spans="1:39" ht="12.75" customHeight="1">
      <c r="A1092" s="22">
        <v>1090</v>
      </c>
      <c r="B1092" s="24" t="s">
        <v>1468</v>
      </c>
      <c r="C1092" s="24" t="s">
        <v>180</v>
      </c>
      <c r="D1092" s="24" t="s">
        <v>2832</v>
      </c>
      <c r="E1092" s="24" t="s">
        <v>2833</v>
      </c>
      <c r="F1092" s="24">
        <v>1</v>
      </c>
      <c r="G1092" s="24" t="s">
        <v>2372</v>
      </c>
      <c r="H1092" s="24"/>
      <c r="I1092" s="24"/>
      <c r="J1092" s="283"/>
      <c r="K1092" s="204"/>
      <c r="L1092" s="164"/>
      <c r="M1092" s="164"/>
      <c r="N1092" s="164"/>
      <c r="O1092" s="164" t="s">
        <v>1468</v>
      </c>
      <c r="P1092" s="164"/>
      <c r="Q1092" s="164"/>
      <c r="R1092" s="164"/>
      <c r="S1092" s="283"/>
      <c r="T1092" s="164"/>
      <c r="U1092" s="283"/>
      <c r="V1092" s="283"/>
      <c r="W1092" s="204"/>
      <c r="X1092" s="225"/>
      <c r="Y1092" s="283"/>
      <c r="Z1092" s="283"/>
      <c r="AA1092" s="283"/>
      <c r="AB1092" s="283"/>
      <c r="AC1092" s="283"/>
      <c r="AD1092" s="283"/>
      <c r="AE1092" s="283"/>
      <c r="AF1092" s="283"/>
      <c r="AG1092" s="283"/>
      <c r="AH1092" s="285" t="s">
        <v>115</v>
      </c>
      <c r="AI1092" s="285" t="s">
        <v>1469</v>
      </c>
      <c r="AJ1092" s="205" t="s">
        <v>1470</v>
      </c>
      <c r="AK1092" s="225"/>
      <c r="AL1092" s="225"/>
      <c r="AM1092" s="24"/>
    </row>
    <row r="1093" spans="1:39" ht="12.75" customHeight="1">
      <c r="A1093" s="22">
        <v>1091</v>
      </c>
      <c r="B1093" s="24" t="s">
        <v>2836</v>
      </c>
      <c r="C1093" s="24" t="s">
        <v>96</v>
      </c>
      <c r="D1093" s="24" t="s">
        <v>1787</v>
      </c>
      <c r="E1093" s="24" t="s">
        <v>2833</v>
      </c>
      <c r="F1093" s="24">
        <v>1</v>
      </c>
      <c r="G1093" s="24" t="s">
        <v>2372</v>
      </c>
      <c r="H1093" s="24"/>
      <c r="I1093" s="24"/>
      <c r="J1093" s="283"/>
      <c r="K1093" s="164" t="s">
        <v>1376</v>
      </c>
      <c r="L1093" s="164" t="s">
        <v>2837</v>
      </c>
      <c r="M1093" s="164" t="s">
        <v>2660</v>
      </c>
      <c r="N1093" s="164" t="s">
        <v>238</v>
      </c>
      <c r="O1093" s="196"/>
      <c r="P1093" s="164"/>
      <c r="Q1093" s="164"/>
      <c r="R1093" s="164"/>
      <c r="S1093" s="283"/>
      <c r="T1093" s="164" t="s">
        <v>113</v>
      </c>
      <c r="U1093" s="283"/>
      <c r="V1093" s="283"/>
      <c r="W1093" s="204" t="s">
        <v>115</v>
      </c>
      <c r="X1093" s="225"/>
      <c r="Y1093" s="283"/>
      <c r="Z1093" s="283"/>
      <c r="AA1093" s="283"/>
      <c r="AB1093" s="283"/>
      <c r="AC1093" s="283"/>
      <c r="AD1093" s="283"/>
      <c r="AE1093" s="283"/>
      <c r="AF1093" s="283"/>
      <c r="AG1093" s="283"/>
      <c r="AH1093" s="285" t="s">
        <v>2835</v>
      </c>
      <c r="AI1093" s="285" t="s">
        <v>2635</v>
      </c>
      <c r="AJ1093" s="285" t="s">
        <v>2636</v>
      </c>
      <c r="AK1093" s="225"/>
      <c r="AL1093" s="225"/>
      <c r="AM1093" s="24"/>
    </row>
    <row r="1094" spans="1:39" ht="12.75" customHeight="1">
      <c r="A1094" s="22">
        <v>1092</v>
      </c>
      <c r="B1094" s="24" t="s">
        <v>2405</v>
      </c>
      <c r="C1094" s="24" t="s">
        <v>180</v>
      </c>
      <c r="D1094" s="24" t="s">
        <v>2836</v>
      </c>
      <c r="E1094" s="24" t="s">
        <v>2833</v>
      </c>
      <c r="F1094" s="24">
        <v>1</v>
      </c>
      <c r="G1094" s="24" t="s">
        <v>2372</v>
      </c>
      <c r="H1094" s="24"/>
      <c r="I1094" s="24"/>
      <c r="J1094" s="283"/>
      <c r="K1094" s="196"/>
      <c r="L1094" s="164"/>
      <c r="M1094" s="196"/>
      <c r="N1094" s="196"/>
      <c r="O1094" s="196" t="s">
        <v>2405</v>
      </c>
      <c r="P1094" s="196"/>
      <c r="Q1094" s="196"/>
      <c r="R1094" s="196"/>
      <c r="S1094" s="283"/>
      <c r="T1094" s="196"/>
      <c r="U1094" s="283"/>
      <c r="V1094" s="283"/>
      <c r="W1094" s="204"/>
      <c r="X1094" s="225"/>
      <c r="Y1094" s="283"/>
      <c r="Z1094" s="283"/>
      <c r="AA1094" s="283"/>
      <c r="AB1094" s="283"/>
      <c r="AC1094" s="283"/>
      <c r="AD1094" s="283"/>
      <c r="AE1094" s="283"/>
      <c r="AF1094" s="283"/>
      <c r="AG1094" s="283"/>
      <c r="AH1094" s="285" t="s">
        <v>115</v>
      </c>
      <c r="AI1094" s="205" t="s">
        <v>2406</v>
      </c>
      <c r="AJ1094" s="285" t="s">
        <v>2407</v>
      </c>
      <c r="AK1094" s="225"/>
      <c r="AL1094" s="225"/>
      <c r="AM1094" s="24"/>
    </row>
    <row r="1095" spans="1:39" ht="12.75" customHeight="1">
      <c r="A1095" s="22">
        <v>1093</v>
      </c>
      <c r="B1095" s="24" t="s">
        <v>405</v>
      </c>
      <c r="C1095" s="24" t="s">
        <v>180</v>
      </c>
      <c r="D1095" s="24" t="s">
        <v>2836</v>
      </c>
      <c r="E1095" s="24" t="s">
        <v>2833</v>
      </c>
      <c r="F1095" s="24">
        <v>1</v>
      </c>
      <c r="G1095" s="24" t="s">
        <v>2372</v>
      </c>
      <c r="H1095" s="24"/>
      <c r="I1095" s="24"/>
      <c r="J1095" s="283"/>
      <c r="K1095" s="196"/>
      <c r="L1095" s="164"/>
      <c r="M1095" s="196"/>
      <c r="N1095" s="196"/>
      <c r="O1095" s="196" t="s">
        <v>405</v>
      </c>
      <c r="P1095" s="196"/>
      <c r="Q1095" s="196"/>
      <c r="R1095" s="196"/>
      <c r="S1095" s="283"/>
      <c r="T1095" s="196"/>
      <c r="U1095" s="283"/>
      <c r="V1095" s="283"/>
      <c r="W1095" s="204"/>
      <c r="X1095" s="225"/>
      <c r="Y1095" s="283"/>
      <c r="Z1095" s="283"/>
      <c r="AA1095" s="283"/>
      <c r="AB1095" s="283"/>
      <c r="AC1095" s="283"/>
      <c r="AD1095" s="283"/>
      <c r="AE1095" s="283"/>
      <c r="AF1095" s="283"/>
      <c r="AG1095" s="283"/>
      <c r="AH1095" s="285" t="s">
        <v>115</v>
      </c>
      <c r="AI1095" s="205" t="s">
        <v>406</v>
      </c>
      <c r="AJ1095" s="285" t="s">
        <v>407</v>
      </c>
      <c r="AK1095" s="225"/>
      <c r="AL1095" s="225"/>
      <c r="AM1095" s="24"/>
    </row>
    <row r="1096" spans="1:39" ht="12.75" customHeight="1">
      <c r="A1096" s="22">
        <v>1094</v>
      </c>
      <c r="B1096" s="24" t="s">
        <v>2838</v>
      </c>
      <c r="C1096" s="24" t="s">
        <v>96</v>
      </c>
      <c r="D1096" s="24" t="s">
        <v>1787</v>
      </c>
      <c r="E1096" s="24" t="s">
        <v>2833</v>
      </c>
      <c r="F1096" s="24">
        <v>1</v>
      </c>
      <c r="G1096" s="24" t="s">
        <v>2372</v>
      </c>
      <c r="H1096" s="24"/>
      <c r="I1096" s="24"/>
      <c r="J1096" s="283"/>
      <c r="K1096" s="196" t="s">
        <v>409</v>
      </c>
      <c r="L1096" s="164" t="s">
        <v>2839</v>
      </c>
      <c r="M1096" s="196" t="s">
        <v>2641</v>
      </c>
      <c r="N1096" s="196" t="s">
        <v>111</v>
      </c>
      <c r="O1096" s="196"/>
      <c r="P1096" s="196"/>
      <c r="Q1096" s="196"/>
      <c r="R1096" s="196"/>
      <c r="S1096" s="283"/>
      <c r="T1096" s="196" t="s">
        <v>208</v>
      </c>
      <c r="U1096" s="283"/>
      <c r="V1096" s="283"/>
      <c r="W1096" s="204" t="s">
        <v>115</v>
      </c>
      <c r="X1096" s="225"/>
      <c r="Y1096" s="283"/>
      <c r="Z1096" s="283"/>
      <c r="AA1096" s="283"/>
      <c r="AB1096" s="283"/>
      <c r="AC1096" s="283"/>
      <c r="AD1096" s="283"/>
      <c r="AE1096" s="283"/>
      <c r="AF1096" s="283"/>
      <c r="AG1096" s="283"/>
      <c r="AH1096" s="285" t="s">
        <v>2835</v>
      </c>
      <c r="AI1096" s="285" t="s">
        <v>2642</v>
      </c>
      <c r="AJ1096" s="285" t="s">
        <v>2643</v>
      </c>
      <c r="AK1096" s="225"/>
      <c r="AL1096" s="225"/>
      <c r="AM1096" s="24"/>
    </row>
    <row r="1097" spans="1:39" ht="12.75" customHeight="1">
      <c r="A1097" s="22">
        <v>1095</v>
      </c>
      <c r="B1097" s="24" t="s">
        <v>2840</v>
      </c>
      <c r="C1097" s="24" t="s">
        <v>96</v>
      </c>
      <c r="D1097" s="24" t="s">
        <v>1787</v>
      </c>
      <c r="E1097" s="24" t="s">
        <v>2833</v>
      </c>
      <c r="F1097" s="24">
        <v>1</v>
      </c>
      <c r="G1097" s="24" t="s">
        <v>2372</v>
      </c>
      <c r="H1097" s="24"/>
      <c r="I1097" s="24"/>
      <c r="J1097" s="283"/>
      <c r="K1097" s="204" t="s">
        <v>2840</v>
      </c>
      <c r="L1097" s="164" t="s">
        <v>2841</v>
      </c>
      <c r="M1097" s="164"/>
      <c r="N1097" s="164" t="s">
        <v>202</v>
      </c>
      <c r="O1097" s="164"/>
      <c r="P1097" s="164"/>
      <c r="Q1097" s="164"/>
      <c r="R1097" s="164"/>
      <c r="S1097" s="283"/>
      <c r="T1097" s="164" t="s">
        <v>113</v>
      </c>
      <c r="U1097" s="283"/>
      <c r="V1097" s="283"/>
      <c r="W1097" s="164" t="s">
        <v>2656</v>
      </c>
      <c r="X1097" s="225"/>
      <c r="Y1097" s="283"/>
      <c r="Z1097" s="283"/>
      <c r="AA1097" s="283"/>
      <c r="AB1097" s="283"/>
      <c r="AC1097" s="283"/>
      <c r="AD1097" s="283"/>
      <c r="AE1097" s="283"/>
      <c r="AF1097" s="283"/>
      <c r="AG1097" s="283"/>
      <c r="AH1097" s="285" t="s">
        <v>2842</v>
      </c>
      <c r="AI1097" s="285" t="s">
        <v>2630</v>
      </c>
      <c r="AJ1097" s="285" t="s">
        <v>2631</v>
      </c>
      <c r="AK1097" s="225"/>
      <c r="AL1097" s="225"/>
      <c r="AM1097" s="24"/>
    </row>
    <row r="1098" spans="1:39" ht="12.75" customHeight="1">
      <c r="A1098" s="22">
        <v>1096</v>
      </c>
      <c r="B1098" s="24" t="s">
        <v>1673</v>
      </c>
      <c r="C1098" s="24" t="s">
        <v>180</v>
      </c>
      <c r="D1098" s="24" t="s">
        <v>2840</v>
      </c>
      <c r="E1098" s="24" t="s">
        <v>2833</v>
      </c>
      <c r="F1098" s="24">
        <v>1</v>
      </c>
      <c r="G1098" s="24" t="s">
        <v>2372</v>
      </c>
      <c r="H1098" s="24"/>
      <c r="I1098" s="24"/>
      <c r="J1098" s="283"/>
      <c r="K1098" s="164"/>
      <c r="L1098" s="164"/>
      <c r="M1098" s="164"/>
      <c r="N1098" s="164"/>
      <c r="O1098" s="164" t="s">
        <v>1673</v>
      </c>
      <c r="P1098" s="164"/>
      <c r="Q1098" s="164"/>
      <c r="R1098" s="164"/>
      <c r="S1098" s="283"/>
      <c r="T1098" s="164"/>
      <c r="U1098" s="283"/>
      <c r="V1098" s="283"/>
      <c r="W1098" s="204"/>
      <c r="X1098" s="225"/>
      <c r="Y1098" s="283"/>
      <c r="Z1098" s="283"/>
      <c r="AA1098" s="283"/>
      <c r="AB1098" s="283"/>
      <c r="AC1098" s="283"/>
      <c r="AD1098" s="283"/>
      <c r="AE1098" s="283"/>
      <c r="AF1098" s="283"/>
      <c r="AG1098" s="283"/>
      <c r="AH1098" s="285" t="s">
        <v>115</v>
      </c>
      <c r="AI1098" s="285" t="s">
        <v>942</v>
      </c>
      <c r="AJ1098" s="205" t="s">
        <v>943</v>
      </c>
      <c r="AK1098" s="225"/>
      <c r="AL1098" s="225"/>
      <c r="AM1098" s="24"/>
    </row>
    <row r="1099" spans="1:39" ht="12.75" customHeight="1">
      <c r="A1099" s="22">
        <v>1097</v>
      </c>
      <c r="B1099" s="24" t="s">
        <v>1468</v>
      </c>
      <c r="C1099" s="24" t="s">
        <v>180</v>
      </c>
      <c r="D1099" s="24" t="s">
        <v>2840</v>
      </c>
      <c r="E1099" s="24" t="s">
        <v>2833</v>
      </c>
      <c r="F1099" s="24">
        <v>1</v>
      </c>
      <c r="G1099" s="24" t="s">
        <v>2372</v>
      </c>
      <c r="H1099" s="24"/>
      <c r="I1099" s="24"/>
      <c r="J1099" s="283"/>
      <c r="K1099" s="164"/>
      <c r="L1099" s="164"/>
      <c r="M1099" s="164"/>
      <c r="N1099" s="164"/>
      <c r="O1099" s="164" t="s">
        <v>1468</v>
      </c>
      <c r="P1099" s="164"/>
      <c r="Q1099" s="164"/>
      <c r="R1099" s="164"/>
      <c r="S1099" s="283"/>
      <c r="T1099" s="164"/>
      <c r="U1099" s="283"/>
      <c r="V1099" s="283"/>
      <c r="W1099" s="204"/>
      <c r="X1099" s="225"/>
      <c r="Y1099" s="283"/>
      <c r="Z1099" s="283"/>
      <c r="AA1099" s="283"/>
      <c r="AB1099" s="283"/>
      <c r="AC1099" s="283"/>
      <c r="AD1099" s="283"/>
      <c r="AE1099" s="283"/>
      <c r="AF1099" s="283"/>
      <c r="AG1099" s="283"/>
      <c r="AH1099" s="285" t="s">
        <v>115</v>
      </c>
      <c r="AI1099" s="285" t="s">
        <v>1469</v>
      </c>
      <c r="AJ1099" s="205" t="s">
        <v>1470</v>
      </c>
      <c r="AK1099" s="225"/>
      <c r="AL1099" s="225"/>
      <c r="AM1099" s="24"/>
    </row>
    <row r="1100" spans="1:39" ht="12.75" customHeight="1">
      <c r="A1100" s="22">
        <v>1098</v>
      </c>
      <c r="B1100" s="24" t="s">
        <v>2844</v>
      </c>
      <c r="C1100" s="24" t="s">
        <v>96</v>
      </c>
      <c r="D1100" s="24" t="s">
        <v>1787</v>
      </c>
      <c r="E1100" s="24" t="s">
        <v>2833</v>
      </c>
      <c r="F1100" s="24">
        <v>1</v>
      </c>
      <c r="G1100" s="24" t="s">
        <v>2372</v>
      </c>
      <c r="H1100" s="24"/>
      <c r="I1100" s="24"/>
      <c r="J1100" s="283"/>
      <c r="K1100" s="164" t="s">
        <v>1376</v>
      </c>
      <c r="L1100" s="164" t="s">
        <v>2845</v>
      </c>
      <c r="M1100" s="164" t="s">
        <v>2660</v>
      </c>
      <c r="N1100" s="164" t="s">
        <v>238</v>
      </c>
      <c r="O1100" s="196"/>
      <c r="P1100" s="164"/>
      <c r="Q1100" s="164"/>
      <c r="R1100" s="164"/>
      <c r="S1100" s="283"/>
      <c r="T1100" s="164" t="s">
        <v>113</v>
      </c>
      <c r="U1100" s="283"/>
      <c r="V1100" s="283"/>
      <c r="W1100" s="204" t="s">
        <v>115</v>
      </c>
      <c r="X1100" s="225"/>
      <c r="Y1100" s="283"/>
      <c r="Z1100" s="283"/>
      <c r="AA1100" s="283"/>
      <c r="AB1100" s="283"/>
      <c r="AC1100" s="283"/>
      <c r="AD1100" s="283"/>
      <c r="AE1100" s="283"/>
      <c r="AF1100" s="283"/>
      <c r="AG1100" s="283"/>
      <c r="AH1100" s="285" t="s">
        <v>2842</v>
      </c>
      <c r="AI1100" s="285" t="s">
        <v>2635</v>
      </c>
      <c r="AJ1100" s="285" t="s">
        <v>2636</v>
      </c>
      <c r="AK1100" s="225"/>
      <c r="AL1100" s="225"/>
      <c r="AM1100" s="24"/>
    </row>
    <row r="1101" spans="1:39" ht="12.75" customHeight="1">
      <c r="A1101" s="22">
        <v>1099</v>
      </c>
      <c r="B1101" s="24" t="s">
        <v>2405</v>
      </c>
      <c r="C1101" s="24" t="s">
        <v>180</v>
      </c>
      <c r="D1101" s="24" t="s">
        <v>2844</v>
      </c>
      <c r="E1101" s="24" t="s">
        <v>2833</v>
      </c>
      <c r="F1101" s="24">
        <v>1</v>
      </c>
      <c r="G1101" s="24" t="s">
        <v>2372</v>
      </c>
      <c r="H1101" s="24"/>
      <c r="I1101" s="24"/>
      <c r="J1101" s="283"/>
      <c r="K1101" s="164"/>
      <c r="L1101" s="164"/>
      <c r="M1101" s="164"/>
      <c r="N1101" s="164"/>
      <c r="O1101" s="196" t="s">
        <v>2405</v>
      </c>
      <c r="P1101" s="164"/>
      <c r="Q1101" s="164"/>
      <c r="R1101" s="164"/>
      <c r="S1101" s="283"/>
      <c r="T1101" s="164"/>
      <c r="U1101" s="283"/>
      <c r="V1101" s="283"/>
      <c r="W1101" s="204"/>
      <c r="X1101" s="225"/>
      <c r="Y1101" s="283"/>
      <c r="Z1101" s="283"/>
      <c r="AA1101" s="283"/>
      <c r="AB1101" s="283"/>
      <c r="AC1101" s="283"/>
      <c r="AD1101" s="283"/>
      <c r="AE1101" s="283"/>
      <c r="AF1101" s="283"/>
      <c r="AG1101" s="283"/>
      <c r="AH1101" s="285" t="s">
        <v>115</v>
      </c>
      <c r="AI1101" s="205" t="s">
        <v>2406</v>
      </c>
      <c r="AJ1101" s="285" t="s">
        <v>2407</v>
      </c>
      <c r="AK1101" s="225"/>
      <c r="AL1101" s="225"/>
      <c r="AM1101" s="24"/>
    </row>
    <row r="1102" spans="1:39" ht="12.75" customHeight="1">
      <c r="A1102" s="22">
        <v>1100</v>
      </c>
      <c r="B1102" s="24" t="s">
        <v>405</v>
      </c>
      <c r="C1102" s="24" t="s">
        <v>180</v>
      </c>
      <c r="D1102" s="24" t="s">
        <v>2844</v>
      </c>
      <c r="E1102" s="24" t="s">
        <v>2833</v>
      </c>
      <c r="F1102" s="24">
        <v>1</v>
      </c>
      <c r="G1102" s="24" t="s">
        <v>2372</v>
      </c>
      <c r="H1102" s="24"/>
      <c r="I1102" s="24"/>
      <c r="J1102" s="283"/>
      <c r="K1102" s="164"/>
      <c r="L1102" s="164"/>
      <c r="M1102" s="164"/>
      <c r="N1102" s="164"/>
      <c r="O1102" s="196" t="s">
        <v>405</v>
      </c>
      <c r="P1102" s="164"/>
      <c r="Q1102" s="164"/>
      <c r="R1102" s="164"/>
      <c r="S1102" s="283"/>
      <c r="T1102" s="164"/>
      <c r="U1102" s="283"/>
      <c r="V1102" s="283"/>
      <c r="W1102" s="204"/>
      <c r="X1102" s="225"/>
      <c r="Y1102" s="283"/>
      <c r="Z1102" s="283"/>
      <c r="AA1102" s="283"/>
      <c r="AB1102" s="283"/>
      <c r="AC1102" s="283"/>
      <c r="AD1102" s="283"/>
      <c r="AE1102" s="283"/>
      <c r="AF1102" s="283"/>
      <c r="AG1102" s="283"/>
      <c r="AH1102" s="285" t="s">
        <v>115</v>
      </c>
      <c r="AI1102" s="205" t="s">
        <v>406</v>
      </c>
      <c r="AJ1102" s="285" t="s">
        <v>407</v>
      </c>
      <c r="AK1102" s="225"/>
      <c r="AL1102" s="225"/>
      <c r="AM1102" s="24"/>
    </row>
    <row r="1103" spans="1:39" ht="12.75" customHeight="1">
      <c r="A1103" s="22">
        <v>1101</v>
      </c>
      <c r="B1103" s="24" t="s">
        <v>2848</v>
      </c>
      <c r="C1103" s="24" t="s">
        <v>96</v>
      </c>
      <c r="D1103" s="24" t="s">
        <v>1787</v>
      </c>
      <c r="E1103" s="24" t="s">
        <v>2833</v>
      </c>
      <c r="F1103" s="24">
        <v>1</v>
      </c>
      <c r="G1103" s="24" t="s">
        <v>2372</v>
      </c>
      <c r="H1103" s="24"/>
      <c r="I1103" s="24"/>
      <c r="J1103" s="283"/>
      <c r="K1103" s="196" t="s">
        <v>409</v>
      </c>
      <c r="L1103" s="164" t="s">
        <v>2850</v>
      </c>
      <c r="M1103" s="196" t="s">
        <v>2641</v>
      </c>
      <c r="N1103" s="196" t="s">
        <v>111</v>
      </c>
      <c r="O1103" s="196"/>
      <c r="P1103" s="196"/>
      <c r="Q1103" s="196"/>
      <c r="R1103" s="196"/>
      <c r="S1103" s="283"/>
      <c r="T1103" s="196" t="s">
        <v>208</v>
      </c>
      <c r="U1103" s="283"/>
      <c r="V1103" s="283"/>
      <c r="W1103" s="204" t="s">
        <v>115</v>
      </c>
      <c r="X1103" s="225"/>
      <c r="Y1103" s="283"/>
      <c r="Z1103" s="283"/>
      <c r="AA1103" s="283"/>
      <c r="AB1103" s="283"/>
      <c r="AC1103" s="283"/>
      <c r="AD1103" s="283"/>
      <c r="AE1103" s="283"/>
      <c r="AF1103" s="283"/>
      <c r="AG1103" s="283"/>
      <c r="AH1103" s="285" t="s">
        <v>2842</v>
      </c>
      <c r="AI1103" s="285" t="s">
        <v>2642</v>
      </c>
      <c r="AJ1103" s="285" t="s">
        <v>2643</v>
      </c>
      <c r="AK1103" s="225"/>
      <c r="AL1103" s="225"/>
      <c r="AM1103" s="24"/>
    </row>
    <row r="1104" spans="1:39" ht="12.75" customHeight="1">
      <c r="A1104" s="22">
        <v>1102</v>
      </c>
      <c r="B1104" s="24" t="s">
        <v>2851</v>
      </c>
      <c r="C1104" s="24" t="s">
        <v>96</v>
      </c>
      <c r="D1104" s="24" t="s">
        <v>1787</v>
      </c>
      <c r="E1104" s="24" t="s">
        <v>2833</v>
      </c>
      <c r="F1104" s="24">
        <v>1</v>
      </c>
      <c r="G1104" s="24" t="s">
        <v>2372</v>
      </c>
      <c r="H1104" s="24"/>
      <c r="I1104" s="24"/>
      <c r="J1104" s="283"/>
      <c r="K1104" s="378" t="s">
        <v>2851</v>
      </c>
      <c r="L1104" s="164" t="s">
        <v>2852</v>
      </c>
      <c r="M1104" s="164"/>
      <c r="N1104" s="164" t="s">
        <v>202</v>
      </c>
      <c r="O1104" s="164"/>
      <c r="P1104" s="164"/>
      <c r="Q1104" s="164"/>
      <c r="R1104" s="164"/>
      <c r="S1104" s="283"/>
      <c r="T1104" s="164" t="s">
        <v>113</v>
      </c>
      <c r="U1104" s="283"/>
      <c r="V1104" s="283"/>
      <c r="W1104" s="164" t="s">
        <v>2656</v>
      </c>
      <c r="X1104" s="225"/>
      <c r="Y1104" s="283"/>
      <c r="Z1104" s="283"/>
      <c r="AA1104" s="283"/>
      <c r="AB1104" s="283"/>
      <c r="AC1104" s="283"/>
      <c r="AD1104" s="283"/>
      <c r="AE1104" s="283"/>
      <c r="AF1104" s="283"/>
      <c r="AG1104" s="283"/>
      <c r="AH1104" s="285" t="s">
        <v>2853</v>
      </c>
      <c r="AI1104" s="285" t="s">
        <v>2630</v>
      </c>
      <c r="AJ1104" s="285" t="s">
        <v>2631</v>
      </c>
      <c r="AK1104" s="225"/>
      <c r="AL1104" s="225"/>
      <c r="AM1104" s="24"/>
    </row>
    <row r="1105" spans="1:39" ht="12.75" customHeight="1">
      <c r="A1105" s="22">
        <v>1103</v>
      </c>
      <c r="B1105" s="24" t="s">
        <v>1673</v>
      </c>
      <c r="C1105" s="24" t="s">
        <v>180</v>
      </c>
      <c r="D1105" s="24" t="s">
        <v>2851</v>
      </c>
      <c r="E1105" s="24" t="s">
        <v>2833</v>
      </c>
      <c r="F1105" s="24">
        <v>1</v>
      </c>
      <c r="G1105" s="24" t="s">
        <v>2372</v>
      </c>
      <c r="H1105" s="24"/>
      <c r="I1105" s="24"/>
      <c r="J1105" s="283"/>
      <c r="K1105" s="164"/>
      <c r="L1105" s="164"/>
      <c r="M1105" s="164"/>
      <c r="N1105" s="164"/>
      <c r="O1105" s="164" t="s">
        <v>1673</v>
      </c>
      <c r="P1105" s="164"/>
      <c r="Q1105" s="164"/>
      <c r="R1105" s="164"/>
      <c r="S1105" s="283"/>
      <c r="T1105" s="164"/>
      <c r="U1105" s="283"/>
      <c r="V1105" s="283"/>
      <c r="W1105" s="204"/>
      <c r="X1105" s="225"/>
      <c r="Y1105" s="283"/>
      <c r="Z1105" s="283"/>
      <c r="AA1105" s="283"/>
      <c r="AB1105" s="283"/>
      <c r="AC1105" s="283"/>
      <c r="AD1105" s="283"/>
      <c r="AE1105" s="283"/>
      <c r="AF1105" s="283"/>
      <c r="AG1105" s="283"/>
      <c r="AH1105" s="285" t="s">
        <v>115</v>
      </c>
      <c r="AI1105" s="285" t="s">
        <v>942</v>
      </c>
      <c r="AJ1105" s="205" t="s">
        <v>943</v>
      </c>
      <c r="AK1105" s="225"/>
      <c r="AL1105" s="225"/>
      <c r="AM1105" s="24"/>
    </row>
    <row r="1106" spans="1:39" ht="12.75" customHeight="1">
      <c r="A1106" s="22">
        <v>1104</v>
      </c>
      <c r="B1106" s="24" t="s">
        <v>1468</v>
      </c>
      <c r="C1106" s="24" t="s">
        <v>180</v>
      </c>
      <c r="D1106" s="24" t="s">
        <v>2851</v>
      </c>
      <c r="E1106" s="24" t="s">
        <v>2833</v>
      </c>
      <c r="F1106" s="24">
        <v>1</v>
      </c>
      <c r="G1106" s="24" t="s">
        <v>2372</v>
      </c>
      <c r="H1106" s="24"/>
      <c r="I1106" s="24"/>
      <c r="J1106" s="283"/>
      <c r="K1106" s="164"/>
      <c r="L1106" s="164"/>
      <c r="M1106" s="164"/>
      <c r="N1106" s="164"/>
      <c r="O1106" s="164" t="s">
        <v>1468</v>
      </c>
      <c r="P1106" s="164"/>
      <c r="Q1106" s="164"/>
      <c r="R1106" s="164"/>
      <c r="S1106" s="283"/>
      <c r="T1106" s="164"/>
      <c r="U1106" s="283"/>
      <c r="V1106" s="283"/>
      <c r="W1106" s="204"/>
      <c r="X1106" s="225"/>
      <c r="Y1106" s="283"/>
      <c r="Z1106" s="283"/>
      <c r="AA1106" s="283"/>
      <c r="AB1106" s="283"/>
      <c r="AC1106" s="283"/>
      <c r="AD1106" s="283"/>
      <c r="AE1106" s="283"/>
      <c r="AF1106" s="283"/>
      <c r="AG1106" s="283"/>
      <c r="AH1106" s="285" t="s">
        <v>115</v>
      </c>
      <c r="AI1106" s="285" t="s">
        <v>1469</v>
      </c>
      <c r="AJ1106" s="205" t="s">
        <v>1470</v>
      </c>
      <c r="AK1106" s="225"/>
      <c r="AL1106" s="225"/>
      <c r="AM1106" s="24"/>
    </row>
    <row r="1107" spans="1:39" ht="12.75" customHeight="1">
      <c r="A1107" s="22">
        <v>1105</v>
      </c>
      <c r="B1107" s="24" t="s">
        <v>2854</v>
      </c>
      <c r="C1107" s="24" t="s">
        <v>96</v>
      </c>
      <c r="D1107" s="24" t="s">
        <v>1787</v>
      </c>
      <c r="E1107" s="24" t="s">
        <v>2833</v>
      </c>
      <c r="F1107" s="24">
        <v>1</v>
      </c>
      <c r="G1107" s="24" t="s">
        <v>2372</v>
      </c>
      <c r="H1107" s="24"/>
      <c r="I1107" s="24"/>
      <c r="J1107" s="283"/>
      <c r="K1107" s="164" t="s">
        <v>1376</v>
      </c>
      <c r="L1107" s="164" t="s">
        <v>2855</v>
      </c>
      <c r="M1107" s="164" t="s">
        <v>2660</v>
      </c>
      <c r="N1107" s="164" t="s">
        <v>238</v>
      </c>
      <c r="O1107" s="196"/>
      <c r="P1107" s="164"/>
      <c r="Q1107" s="164"/>
      <c r="R1107" s="164"/>
      <c r="S1107" s="283"/>
      <c r="T1107" s="164" t="s">
        <v>113</v>
      </c>
      <c r="U1107" s="283"/>
      <c r="V1107" s="283"/>
      <c r="W1107" s="204" t="s">
        <v>115</v>
      </c>
      <c r="X1107" s="225"/>
      <c r="Y1107" s="283"/>
      <c r="Z1107" s="283"/>
      <c r="AA1107" s="283"/>
      <c r="AB1107" s="283"/>
      <c r="AC1107" s="283"/>
      <c r="AD1107" s="283"/>
      <c r="AE1107" s="283"/>
      <c r="AF1107" s="283"/>
      <c r="AG1107" s="283"/>
      <c r="AH1107" s="285" t="s">
        <v>2853</v>
      </c>
      <c r="AI1107" s="285" t="s">
        <v>2635</v>
      </c>
      <c r="AJ1107" s="285" t="s">
        <v>2636</v>
      </c>
      <c r="AK1107" s="225"/>
      <c r="AL1107" s="225"/>
      <c r="AM1107" s="24"/>
    </row>
    <row r="1108" spans="1:39" ht="12.75" customHeight="1">
      <c r="A1108" s="22">
        <v>1106</v>
      </c>
      <c r="B1108" s="24" t="s">
        <v>2405</v>
      </c>
      <c r="C1108" s="24" t="s">
        <v>180</v>
      </c>
      <c r="D1108" s="24" t="s">
        <v>2854</v>
      </c>
      <c r="E1108" s="24" t="s">
        <v>2833</v>
      </c>
      <c r="F1108" s="24">
        <v>1</v>
      </c>
      <c r="G1108" s="24" t="s">
        <v>2372</v>
      </c>
      <c r="H1108" s="24"/>
      <c r="I1108" s="24"/>
      <c r="J1108" s="283"/>
      <c r="K1108" s="164"/>
      <c r="L1108" s="164"/>
      <c r="M1108" s="164"/>
      <c r="N1108" s="164"/>
      <c r="O1108" s="196" t="s">
        <v>2405</v>
      </c>
      <c r="P1108" s="164"/>
      <c r="Q1108" s="164"/>
      <c r="R1108" s="164"/>
      <c r="S1108" s="283"/>
      <c r="T1108" s="164"/>
      <c r="U1108" s="283"/>
      <c r="V1108" s="283"/>
      <c r="W1108" s="204"/>
      <c r="X1108" s="225"/>
      <c r="Y1108" s="283"/>
      <c r="Z1108" s="283"/>
      <c r="AA1108" s="283"/>
      <c r="AB1108" s="283"/>
      <c r="AC1108" s="283"/>
      <c r="AD1108" s="283"/>
      <c r="AE1108" s="283"/>
      <c r="AF1108" s="283"/>
      <c r="AG1108" s="283"/>
      <c r="AH1108" s="285" t="s">
        <v>115</v>
      </c>
      <c r="AI1108" s="205" t="s">
        <v>2406</v>
      </c>
      <c r="AJ1108" s="285" t="s">
        <v>2407</v>
      </c>
      <c r="AK1108" s="225"/>
      <c r="AL1108" s="225"/>
      <c r="AM1108" s="24"/>
    </row>
    <row r="1109" spans="1:39" ht="12.75" customHeight="1">
      <c r="A1109" s="22">
        <v>1107</v>
      </c>
      <c r="B1109" s="24" t="s">
        <v>405</v>
      </c>
      <c r="C1109" s="24" t="s">
        <v>180</v>
      </c>
      <c r="D1109" s="24" t="s">
        <v>2854</v>
      </c>
      <c r="E1109" s="24" t="s">
        <v>2833</v>
      </c>
      <c r="F1109" s="24">
        <v>1</v>
      </c>
      <c r="G1109" s="24" t="s">
        <v>2372</v>
      </c>
      <c r="H1109" s="24"/>
      <c r="I1109" s="24"/>
      <c r="J1109" s="283"/>
      <c r="K1109" s="164"/>
      <c r="L1109" s="164"/>
      <c r="M1109" s="164"/>
      <c r="N1109" s="164"/>
      <c r="O1109" s="196" t="s">
        <v>405</v>
      </c>
      <c r="P1109" s="164"/>
      <c r="Q1109" s="164"/>
      <c r="R1109" s="164"/>
      <c r="S1109" s="283"/>
      <c r="T1109" s="164"/>
      <c r="U1109" s="283"/>
      <c r="V1109" s="283"/>
      <c r="W1109" s="204"/>
      <c r="X1109" s="225"/>
      <c r="Y1109" s="283"/>
      <c r="Z1109" s="283"/>
      <c r="AA1109" s="283"/>
      <c r="AB1109" s="283"/>
      <c r="AC1109" s="283"/>
      <c r="AD1109" s="283"/>
      <c r="AE1109" s="283"/>
      <c r="AF1109" s="283"/>
      <c r="AG1109" s="283"/>
      <c r="AH1109" s="285" t="s">
        <v>115</v>
      </c>
      <c r="AI1109" s="205" t="s">
        <v>406</v>
      </c>
      <c r="AJ1109" s="285" t="s">
        <v>407</v>
      </c>
      <c r="AK1109" s="225"/>
      <c r="AL1109" s="225"/>
      <c r="AM1109" s="24"/>
    </row>
    <row r="1110" spans="1:39" ht="12.75" customHeight="1">
      <c r="A1110" s="22">
        <v>1108</v>
      </c>
      <c r="B1110" s="24" t="s">
        <v>2856</v>
      </c>
      <c r="C1110" s="24" t="s">
        <v>96</v>
      </c>
      <c r="D1110" s="24" t="s">
        <v>1787</v>
      </c>
      <c r="E1110" s="24" t="s">
        <v>2833</v>
      </c>
      <c r="F1110" s="24">
        <v>1</v>
      </c>
      <c r="G1110" s="24" t="s">
        <v>2372</v>
      </c>
      <c r="H1110" s="24"/>
      <c r="I1110" s="24"/>
      <c r="J1110" s="283"/>
      <c r="K1110" s="196" t="s">
        <v>409</v>
      </c>
      <c r="L1110" s="164" t="s">
        <v>2857</v>
      </c>
      <c r="M1110" s="196" t="s">
        <v>2641</v>
      </c>
      <c r="N1110" s="196" t="s">
        <v>111</v>
      </c>
      <c r="O1110" s="196"/>
      <c r="P1110" s="196"/>
      <c r="Q1110" s="196"/>
      <c r="R1110" s="196"/>
      <c r="S1110" s="283"/>
      <c r="T1110" s="196" t="s">
        <v>208</v>
      </c>
      <c r="U1110" s="283"/>
      <c r="V1110" s="283"/>
      <c r="W1110" s="204" t="s">
        <v>115</v>
      </c>
      <c r="X1110" s="225"/>
      <c r="Y1110" s="283"/>
      <c r="Z1110" s="283"/>
      <c r="AA1110" s="283"/>
      <c r="AB1110" s="283"/>
      <c r="AC1110" s="283"/>
      <c r="AD1110" s="283"/>
      <c r="AE1110" s="283"/>
      <c r="AF1110" s="283"/>
      <c r="AG1110" s="283"/>
      <c r="AH1110" s="285" t="s">
        <v>2853</v>
      </c>
      <c r="AI1110" s="285" t="s">
        <v>2642</v>
      </c>
      <c r="AJ1110" s="285" t="s">
        <v>2643</v>
      </c>
      <c r="AK1110" s="225"/>
      <c r="AL1110" s="225"/>
      <c r="AM1110" s="24"/>
    </row>
    <row r="1111" spans="1:39" ht="12.75" customHeight="1">
      <c r="A1111" s="22">
        <v>1109</v>
      </c>
      <c r="B1111" s="24" t="s">
        <v>2858</v>
      </c>
      <c r="C1111" s="24" t="s">
        <v>65</v>
      </c>
      <c r="D1111" s="24" t="s">
        <v>1787</v>
      </c>
      <c r="E1111" s="24" t="s">
        <v>2833</v>
      </c>
      <c r="F1111" s="24">
        <v>1</v>
      </c>
      <c r="G1111" s="24" t="s">
        <v>2372</v>
      </c>
      <c r="H1111" s="24"/>
      <c r="I1111" s="24"/>
      <c r="J1111" s="283"/>
      <c r="K1111" s="298" t="s">
        <v>115</v>
      </c>
      <c r="L1111" s="298" t="s">
        <v>2858</v>
      </c>
      <c r="M1111" s="298" t="s">
        <v>2666</v>
      </c>
      <c r="N1111" s="298" t="s">
        <v>65</v>
      </c>
      <c r="O1111" s="164"/>
      <c r="P1111" s="298" t="s">
        <v>2859</v>
      </c>
      <c r="Q1111" s="298"/>
      <c r="R1111" s="164"/>
      <c r="S1111" s="283"/>
      <c r="T1111" s="298" t="s">
        <v>115</v>
      </c>
      <c r="U1111" s="283"/>
      <c r="V1111" s="283"/>
      <c r="W1111" s="298" t="s">
        <v>115</v>
      </c>
      <c r="X1111" s="225"/>
      <c r="Y1111" s="283"/>
      <c r="Z1111" s="283"/>
      <c r="AA1111" s="283"/>
      <c r="AB1111" s="283"/>
      <c r="AC1111" s="283"/>
      <c r="AD1111" s="283"/>
      <c r="AE1111" s="283"/>
      <c r="AF1111" s="283"/>
      <c r="AG1111" s="283"/>
      <c r="AH1111" s="285" t="s">
        <v>115</v>
      </c>
      <c r="AI1111" s="285" t="s">
        <v>115</v>
      </c>
      <c r="AJ1111" s="285" t="s">
        <v>115</v>
      </c>
      <c r="AK1111" s="225"/>
      <c r="AL1111" s="225"/>
      <c r="AM1111" s="24"/>
    </row>
    <row r="1112" spans="1:39" ht="12.75" customHeight="1">
      <c r="A1112" s="22">
        <v>1110</v>
      </c>
      <c r="B1112" s="24" t="s">
        <v>2860</v>
      </c>
      <c r="C1112" s="24" t="s">
        <v>96</v>
      </c>
      <c r="D1112" s="24" t="s">
        <v>1787</v>
      </c>
      <c r="E1112" s="24" t="s">
        <v>2861</v>
      </c>
      <c r="F1112" s="24">
        <v>1</v>
      </c>
      <c r="G1112" s="24" t="s">
        <v>2372</v>
      </c>
      <c r="H1112" s="24"/>
      <c r="I1112" s="24"/>
      <c r="J1112" s="283"/>
      <c r="K1112" s="164" t="s">
        <v>2860</v>
      </c>
      <c r="L1112" s="164" t="s">
        <v>2862</v>
      </c>
      <c r="M1112" s="164"/>
      <c r="N1112" s="164" t="s">
        <v>202</v>
      </c>
      <c r="O1112" s="164"/>
      <c r="P1112" s="164"/>
      <c r="Q1112" s="164"/>
      <c r="R1112" s="164"/>
      <c r="S1112" s="283"/>
      <c r="T1112" s="164" t="s">
        <v>113</v>
      </c>
      <c r="U1112" s="283"/>
      <c r="V1112" s="283"/>
      <c r="W1112" s="164" t="s">
        <v>2863</v>
      </c>
      <c r="X1112" s="225"/>
      <c r="Y1112" s="283"/>
      <c r="Z1112" s="283"/>
      <c r="AA1112" s="283"/>
      <c r="AB1112" s="283"/>
      <c r="AC1112" s="283"/>
      <c r="AD1112" s="283"/>
      <c r="AE1112" s="283"/>
      <c r="AF1112" s="283"/>
      <c r="AG1112" s="283"/>
      <c r="AH1112" s="285" t="s">
        <v>2864</v>
      </c>
      <c r="AI1112" s="285" t="s">
        <v>2630</v>
      </c>
      <c r="AJ1112" s="285" t="s">
        <v>2631</v>
      </c>
      <c r="AK1112" s="225"/>
      <c r="AL1112" s="225"/>
      <c r="AM1112" s="24"/>
    </row>
    <row r="1113" spans="1:39" ht="12.75" customHeight="1">
      <c r="A1113" s="22">
        <v>1111</v>
      </c>
      <c r="B1113" s="24" t="s">
        <v>1673</v>
      </c>
      <c r="C1113" s="24" t="s">
        <v>180</v>
      </c>
      <c r="D1113" s="24" t="s">
        <v>2860</v>
      </c>
      <c r="E1113" s="24" t="s">
        <v>2861</v>
      </c>
      <c r="F1113" s="24">
        <v>1</v>
      </c>
      <c r="G1113" s="24" t="s">
        <v>2372</v>
      </c>
      <c r="H1113" s="24"/>
      <c r="I1113" s="24"/>
      <c r="J1113" s="283"/>
      <c r="K1113" s="164"/>
      <c r="L1113" s="164"/>
      <c r="M1113" s="164"/>
      <c r="N1113" s="164"/>
      <c r="O1113" s="164" t="s">
        <v>1673</v>
      </c>
      <c r="P1113" s="196"/>
      <c r="Q1113" s="196"/>
      <c r="R1113" s="196"/>
      <c r="S1113" s="283"/>
      <c r="T1113" s="234"/>
      <c r="U1113" s="283"/>
      <c r="V1113" s="283"/>
      <c r="W1113" s="196"/>
      <c r="X1113" s="225"/>
      <c r="Y1113" s="283"/>
      <c r="Z1113" s="283"/>
      <c r="AA1113" s="283"/>
      <c r="AB1113" s="283"/>
      <c r="AC1113" s="283"/>
      <c r="AD1113" s="283"/>
      <c r="AE1113" s="283"/>
      <c r="AF1113" s="283"/>
      <c r="AG1113" s="283"/>
      <c r="AH1113" s="285" t="s">
        <v>115</v>
      </c>
      <c r="AI1113" s="285" t="s">
        <v>942</v>
      </c>
      <c r="AJ1113" s="205" t="s">
        <v>943</v>
      </c>
      <c r="AK1113" s="225"/>
      <c r="AL1113" s="225"/>
      <c r="AM1113" s="24"/>
    </row>
    <row r="1114" spans="1:39" ht="12.75" customHeight="1">
      <c r="A1114" s="22">
        <v>1112</v>
      </c>
      <c r="B1114" s="24" t="s">
        <v>1468</v>
      </c>
      <c r="C1114" s="24" t="s">
        <v>180</v>
      </c>
      <c r="D1114" s="24" t="s">
        <v>2860</v>
      </c>
      <c r="E1114" s="24" t="s">
        <v>2861</v>
      </c>
      <c r="F1114" s="24">
        <v>1</v>
      </c>
      <c r="G1114" s="24" t="s">
        <v>2372</v>
      </c>
      <c r="H1114" s="24"/>
      <c r="I1114" s="24"/>
      <c r="J1114" s="283"/>
      <c r="K1114" s="164"/>
      <c r="L1114" s="164"/>
      <c r="M1114" s="164"/>
      <c r="N1114" s="164"/>
      <c r="O1114" s="164" t="s">
        <v>1468</v>
      </c>
      <c r="P1114" s="196"/>
      <c r="Q1114" s="196"/>
      <c r="R1114" s="196"/>
      <c r="S1114" s="283"/>
      <c r="T1114" s="234"/>
      <c r="U1114" s="283"/>
      <c r="V1114" s="283"/>
      <c r="W1114" s="196"/>
      <c r="X1114" s="225"/>
      <c r="Y1114" s="283"/>
      <c r="Z1114" s="283"/>
      <c r="AA1114" s="283"/>
      <c r="AB1114" s="283"/>
      <c r="AC1114" s="283"/>
      <c r="AD1114" s="283"/>
      <c r="AE1114" s="283"/>
      <c r="AF1114" s="283"/>
      <c r="AG1114" s="283"/>
      <c r="AH1114" s="285" t="s">
        <v>115</v>
      </c>
      <c r="AI1114" s="285" t="s">
        <v>1469</v>
      </c>
      <c r="AJ1114" s="205" t="s">
        <v>1470</v>
      </c>
      <c r="AK1114" s="225"/>
      <c r="AL1114" s="225"/>
      <c r="AM1114" s="24"/>
    </row>
    <row r="1115" spans="1:39" ht="12.75" customHeight="1">
      <c r="A1115" s="22">
        <v>1113</v>
      </c>
      <c r="B1115" s="24" t="s">
        <v>2865</v>
      </c>
      <c r="C1115" s="24" t="s">
        <v>96</v>
      </c>
      <c r="D1115" s="24" t="s">
        <v>1787</v>
      </c>
      <c r="E1115" s="24" t="s">
        <v>2861</v>
      </c>
      <c r="F1115" s="24">
        <v>1</v>
      </c>
      <c r="G1115" s="24" t="s">
        <v>2372</v>
      </c>
      <c r="H1115" s="24"/>
      <c r="I1115" s="24"/>
      <c r="J1115" s="283"/>
      <c r="K1115" s="164" t="s">
        <v>1376</v>
      </c>
      <c r="L1115" s="164" t="s">
        <v>2866</v>
      </c>
      <c r="M1115" s="164" t="s">
        <v>2867</v>
      </c>
      <c r="N1115" s="164" t="s">
        <v>202</v>
      </c>
      <c r="O1115" s="196"/>
      <c r="P1115" s="196"/>
      <c r="Q1115" s="196"/>
      <c r="R1115" s="196"/>
      <c r="S1115" s="283"/>
      <c r="T1115" s="234" t="s">
        <v>113</v>
      </c>
      <c r="U1115" s="283"/>
      <c r="V1115" s="283"/>
      <c r="W1115" s="196" t="s">
        <v>115</v>
      </c>
      <c r="X1115" s="225"/>
      <c r="Y1115" s="283"/>
      <c r="Z1115" s="283"/>
      <c r="AA1115" s="283"/>
      <c r="AB1115" s="283"/>
      <c r="AC1115" s="283"/>
      <c r="AD1115" s="283"/>
      <c r="AE1115" s="283"/>
      <c r="AF1115" s="283"/>
      <c r="AG1115" s="283"/>
      <c r="AH1115" s="285" t="s">
        <v>2864</v>
      </c>
      <c r="AI1115" s="285" t="s">
        <v>2635</v>
      </c>
      <c r="AJ1115" s="285" t="s">
        <v>2636</v>
      </c>
      <c r="AK1115" s="225"/>
      <c r="AL1115" s="225"/>
      <c r="AM1115" s="24"/>
    </row>
    <row r="1116" spans="1:39" ht="12.75" customHeight="1">
      <c r="A1116" s="22">
        <v>1114</v>
      </c>
      <c r="B1116" s="24" t="s">
        <v>2405</v>
      </c>
      <c r="C1116" s="24" t="s">
        <v>180</v>
      </c>
      <c r="D1116" s="24" t="s">
        <v>2865</v>
      </c>
      <c r="E1116" s="24" t="s">
        <v>2861</v>
      </c>
      <c r="F1116" s="24">
        <v>1</v>
      </c>
      <c r="G1116" s="24" t="s">
        <v>2372</v>
      </c>
      <c r="H1116" s="24"/>
      <c r="I1116" s="24"/>
      <c r="J1116" s="283"/>
      <c r="K1116" s="164"/>
      <c r="L1116" s="164"/>
      <c r="M1116" s="164"/>
      <c r="N1116" s="164"/>
      <c r="O1116" s="196" t="s">
        <v>2405</v>
      </c>
      <c r="P1116" s="196"/>
      <c r="Q1116" s="196"/>
      <c r="R1116" s="196"/>
      <c r="S1116" s="283"/>
      <c r="T1116" s="234"/>
      <c r="U1116" s="283"/>
      <c r="V1116" s="283"/>
      <c r="W1116" s="196"/>
      <c r="X1116" s="225"/>
      <c r="Y1116" s="283"/>
      <c r="Z1116" s="283"/>
      <c r="AA1116" s="283"/>
      <c r="AB1116" s="283"/>
      <c r="AC1116" s="283"/>
      <c r="AD1116" s="283"/>
      <c r="AE1116" s="283"/>
      <c r="AF1116" s="283"/>
      <c r="AG1116" s="283"/>
      <c r="AH1116" s="285" t="s">
        <v>115</v>
      </c>
      <c r="AI1116" s="205" t="s">
        <v>2406</v>
      </c>
      <c r="AJ1116" s="285" t="s">
        <v>2407</v>
      </c>
      <c r="AK1116" s="225"/>
      <c r="AL1116" s="225"/>
      <c r="AM1116" s="24"/>
    </row>
    <row r="1117" spans="1:39" ht="12.75" customHeight="1">
      <c r="A1117" s="22">
        <v>1115</v>
      </c>
      <c r="B1117" s="24" t="s">
        <v>405</v>
      </c>
      <c r="C1117" s="24" t="s">
        <v>180</v>
      </c>
      <c r="D1117" s="24" t="s">
        <v>2865</v>
      </c>
      <c r="E1117" s="24" t="s">
        <v>2861</v>
      </c>
      <c r="F1117" s="24">
        <v>1</v>
      </c>
      <c r="G1117" s="24" t="s">
        <v>2372</v>
      </c>
      <c r="H1117" s="24"/>
      <c r="I1117" s="24"/>
      <c r="J1117" s="283"/>
      <c r="K1117" s="164"/>
      <c r="L1117" s="164"/>
      <c r="M1117" s="164"/>
      <c r="N1117" s="164"/>
      <c r="O1117" s="196" t="s">
        <v>405</v>
      </c>
      <c r="P1117" s="196"/>
      <c r="Q1117" s="196"/>
      <c r="R1117" s="196"/>
      <c r="S1117" s="283"/>
      <c r="T1117" s="234"/>
      <c r="U1117" s="283"/>
      <c r="V1117" s="283"/>
      <c r="W1117" s="196"/>
      <c r="X1117" s="225"/>
      <c r="Y1117" s="283"/>
      <c r="Z1117" s="283"/>
      <c r="AA1117" s="283"/>
      <c r="AB1117" s="283"/>
      <c r="AC1117" s="283"/>
      <c r="AD1117" s="283"/>
      <c r="AE1117" s="283"/>
      <c r="AF1117" s="283"/>
      <c r="AG1117" s="283"/>
      <c r="AH1117" s="285" t="s">
        <v>115</v>
      </c>
      <c r="AI1117" s="205" t="s">
        <v>406</v>
      </c>
      <c r="AJ1117" s="285" t="s">
        <v>407</v>
      </c>
      <c r="AK1117" s="225"/>
      <c r="AL1117" s="225"/>
      <c r="AM1117" s="24"/>
    </row>
    <row r="1118" spans="1:39" ht="12.75" customHeight="1">
      <c r="A1118" s="22">
        <v>1116</v>
      </c>
      <c r="B1118" s="24" t="s">
        <v>2868</v>
      </c>
      <c r="C1118" s="24" t="s">
        <v>96</v>
      </c>
      <c r="D1118" s="24" t="s">
        <v>1787</v>
      </c>
      <c r="E1118" s="24" t="s">
        <v>2861</v>
      </c>
      <c r="F1118" s="24">
        <v>1</v>
      </c>
      <c r="G1118" s="24" t="s">
        <v>2372</v>
      </c>
      <c r="H1118" s="24"/>
      <c r="I1118" s="24"/>
      <c r="J1118" s="283"/>
      <c r="K1118" s="196" t="s">
        <v>409</v>
      </c>
      <c r="L1118" s="196" t="s">
        <v>2869</v>
      </c>
      <c r="M1118" s="196" t="s">
        <v>2720</v>
      </c>
      <c r="N1118" s="196" t="s">
        <v>111</v>
      </c>
      <c r="O1118" s="196"/>
      <c r="P1118" s="196"/>
      <c r="Q1118" s="196"/>
      <c r="R1118" s="196"/>
      <c r="S1118" s="283"/>
      <c r="T1118" s="196" t="s">
        <v>208</v>
      </c>
      <c r="U1118" s="283"/>
      <c r="V1118" s="283"/>
      <c r="W1118" s="196" t="s">
        <v>115</v>
      </c>
      <c r="X1118" s="225"/>
      <c r="Y1118" s="283"/>
      <c r="Z1118" s="283"/>
      <c r="AA1118" s="283"/>
      <c r="AB1118" s="283"/>
      <c r="AC1118" s="283"/>
      <c r="AD1118" s="283"/>
      <c r="AE1118" s="283"/>
      <c r="AF1118" s="283"/>
      <c r="AG1118" s="283"/>
      <c r="AH1118" s="285" t="s">
        <v>2864</v>
      </c>
      <c r="AI1118" s="285" t="s">
        <v>2642</v>
      </c>
      <c r="AJ1118" s="285" t="s">
        <v>2643</v>
      </c>
      <c r="AK1118" s="225"/>
      <c r="AL1118" s="225"/>
      <c r="AM1118" s="24"/>
    </row>
    <row r="1119" spans="1:39" ht="12.75" customHeight="1">
      <c r="A1119" s="22">
        <v>1117</v>
      </c>
      <c r="B1119" s="24" t="s">
        <v>2871</v>
      </c>
      <c r="C1119" s="24" t="s">
        <v>65</v>
      </c>
      <c r="D1119" s="24" t="s">
        <v>1787</v>
      </c>
      <c r="E1119" s="24" t="s">
        <v>2861</v>
      </c>
      <c r="F1119" s="24">
        <v>1</v>
      </c>
      <c r="G1119" s="24" t="s">
        <v>2372</v>
      </c>
      <c r="H1119" s="24"/>
      <c r="I1119" s="24"/>
      <c r="J1119" s="283"/>
      <c r="K1119" s="298" t="s">
        <v>115</v>
      </c>
      <c r="L1119" s="298" t="s">
        <v>2871</v>
      </c>
      <c r="M1119" s="298" t="s">
        <v>2872</v>
      </c>
      <c r="N1119" s="298" t="s">
        <v>65</v>
      </c>
      <c r="O1119" s="164"/>
      <c r="P1119" s="298" t="s">
        <v>2873</v>
      </c>
      <c r="Q1119" s="298"/>
      <c r="R1119" s="164"/>
      <c r="S1119" s="283"/>
      <c r="T1119" s="298" t="s">
        <v>115</v>
      </c>
      <c r="U1119" s="283"/>
      <c r="V1119" s="283"/>
      <c r="W1119" s="298" t="s">
        <v>115</v>
      </c>
      <c r="X1119" s="225"/>
      <c r="Y1119" s="283"/>
      <c r="Z1119" s="283"/>
      <c r="AA1119" s="283"/>
      <c r="AB1119" s="283"/>
      <c r="AC1119" s="283"/>
      <c r="AD1119" s="283"/>
      <c r="AE1119" s="283"/>
      <c r="AF1119" s="283"/>
      <c r="AG1119" s="283"/>
      <c r="AH1119" s="285" t="s">
        <v>115</v>
      </c>
      <c r="AI1119" s="285" t="s">
        <v>115</v>
      </c>
      <c r="AJ1119" s="285" t="s">
        <v>115</v>
      </c>
      <c r="AK1119" s="225"/>
      <c r="AL1119" s="225"/>
      <c r="AM1119" s="24"/>
    </row>
    <row r="1120" spans="1:39" ht="12.75" customHeight="1">
      <c r="A1120" s="22">
        <v>1118</v>
      </c>
      <c r="B1120" s="24" t="s">
        <v>2874</v>
      </c>
      <c r="C1120" s="24" t="s">
        <v>96</v>
      </c>
      <c r="D1120" s="24" t="s">
        <v>1787</v>
      </c>
      <c r="E1120" s="24" t="s">
        <v>2875</v>
      </c>
      <c r="F1120" s="24">
        <v>1</v>
      </c>
      <c r="G1120" s="24" t="s">
        <v>2372</v>
      </c>
      <c r="H1120" s="24"/>
      <c r="I1120" s="24"/>
      <c r="J1120" s="283"/>
      <c r="K1120" s="234" t="s">
        <v>2874</v>
      </c>
      <c r="L1120" s="234" t="s">
        <v>2876</v>
      </c>
      <c r="M1120" s="164"/>
      <c r="N1120" s="164" t="s">
        <v>202</v>
      </c>
      <c r="O1120" s="164"/>
      <c r="P1120" s="196"/>
      <c r="Q1120" s="196"/>
      <c r="R1120" s="234" t="s">
        <v>2878</v>
      </c>
      <c r="S1120" s="283"/>
      <c r="T1120" s="234" t="s">
        <v>113</v>
      </c>
      <c r="U1120" s="283"/>
      <c r="V1120" s="283"/>
      <c r="W1120" s="164" t="s">
        <v>2879</v>
      </c>
      <c r="X1120" s="225"/>
      <c r="Y1120" s="283"/>
      <c r="Z1120" s="283"/>
      <c r="AA1120" s="283"/>
      <c r="AB1120" s="283"/>
      <c r="AC1120" s="283"/>
      <c r="AD1120" s="283"/>
      <c r="AE1120" s="283"/>
      <c r="AF1120" s="283"/>
      <c r="AG1120" s="283"/>
      <c r="AH1120" s="205" t="s">
        <v>2880</v>
      </c>
      <c r="AI1120" s="285" t="s">
        <v>2630</v>
      </c>
      <c r="AJ1120" s="285" t="s">
        <v>2631</v>
      </c>
      <c r="AK1120" s="225"/>
      <c r="AL1120" s="225"/>
      <c r="AM1120" s="24"/>
    </row>
    <row r="1121" spans="1:39" ht="12.75" customHeight="1">
      <c r="A1121" s="22">
        <v>1119</v>
      </c>
      <c r="B1121" s="24" t="s">
        <v>1673</v>
      </c>
      <c r="C1121" s="24" t="s">
        <v>180</v>
      </c>
      <c r="D1121" s="24" t="s">
        <v>2874</v>
      </c>
      <c r="E1121" s="24" t="s">
        <v>2875</v>
      </c>
      <c r="F1121" s="24">
        <v>1</v>
      </c>
      <c r="G1121" s="24" t="s">
        <v>2372</v>
      </c>
      <c r="H1121" s="24"/>
      <c r="I1121" s="24"/>
      <c r="J1121" s="283"/>
      <c r="K1121" s="234"/>
      <c r="L1121" s="234"/>
      <c r="M1121" s="196"/>
      <c r="N1121" s="164"/>
      <c r="O1121" s="164" t="s">
        <v>1673</v>
      </c>
      <c r="P1121" s="196"/>
      <c r="Q1121" s="196"/>
      <c r="R1121" s="234"/>
      <c r="S1121" s="283"/>
      <c r="T1121" s="164"/>
      <c r="U1121" s="283"/>
      <c r="V1121" s="283"/>
      <c r="W1121" s="196"/>
      <c r="X1121" s="225"/>
      <c r="Y1121" s="283"/>
      <c r="Z1121" s="283"/>
      <c r="AA1121" s="283"/>
      <c r="AB1121" s="283"/>
      <c r="AC1121" s="283"/>
      <c r="AD1121" s="283"/>
      <c r="AE1121" s="283"/>
      <c r="AF1121" s="283"/>
      <c r="AG1121" s="283"/>
      <c r="AH1121" s="205" t="s">
        <v>115</v>
      </c>
      <c r="AI1121" s="285" t="s">
        <v>942</v>
      </c>
      <c r="AJ1121" s="205" t="s">
        <v>943</v>
      </c>
      <c r="AK1121" s="225"/>
      <c r="AL1121" s="225"/>
      <c r="AM1121" s="24"/>
    </row>
    <row r="1122" spans="1:39" ht="12.75" customHeight="1">
      <c r="A1122" s="22">
        <v>1120</v>
      </c>
      <c r="B1122" s="24" t="s">
        <v>1468</v>
      </c>
      <c r="C1122" s="24" t="s">
        <v>180</v>
      </c>
      <c r="D1122" s="24" t="s">
        <v>2874</v>
      </c>
      <c r="E1122" s="24" t="s">
        <v>2875</v>
      </c>
      <c r="F1122" s="24">
        <v>1</v>
      </c>
      <c r="G1122" s="24" t="s">
        <v>2372</v>
      </c>
      <c r="H1122" s="24"/>
      <c r="I1122" s="24"/>
      <c r="J1122" s="283"/>
      <c r="K1122" s="234"/>
      <c r="L1122" s="234"/>
      <c r="M1122" s="196"/>
      <c r="N1122" s="164"/>
      <c r="O1122" s="164" t="s">
        <v>1468</v>
      </c>
      <c r="P1122" s="196"/>
      <c r="Q1122" s="196"/>
      <c r="R1122" s="234"/>
      <c r="S1122" s="283"/>
      <c r="T1122" s="164"/>
      <c r="U1122" s="283"/>
      <c r="V1122" s="283"/>
      <c r="W1122" s="196"/>
      <c r="X1122" s="225"/>
      <c r="Y1122" s="283"/>
      <c r="Z1122" s="283"/>
      <c r="AA1122" s="283"/>
      <c r="AB1122" s="283"/>
      <c r="AC1122" s="283"/>
      <c r="AD1122" s="283"/>
      <c r="AE1122" s="283"/>
      <c r="AF1122" s="283"/>
      <c r="AG1122" s="283"/>
      <c r="AH1122" s="205" t="s">
        <v>115</v>
      </c>
      <c r="AI1122" s="285" t="s">
        <v>1469</v>
      </c>
      <c r="AJ1122" s="205" t="s">
        <v>1470</v>
      </c>
      <c r="AK1122" s="225"/>
      <c r="AL1122" s="225"/>
      <c r="AM1122" s="24"/>
    </row>
    <row r="1123" spans="1:39" ht="12.75" customHeight="1">
      <c r="A1123" s="22">
        <v>1121</v>
      </c>
      <c r="B1123" s="24" t="s">
        <v>2881</v>
      </c>
      <c r="C1123" s="24" t="s">
        <v>65</v>
      </c>
      <c r="D1123" s="24" t="s">
        <v>1787</v>
      </c>
      <c r="E1123" s="24" t="s">
        <v>2875</v>
      </c>
      <c r="F1123" s="24">
        <v>1</v>
      </c>
      <c r="G1123" s="24" t="s">
        <v>2372</v>
      </c>
      <c r="H1123" s="24"/>
      <c r="I1123" s="24"/>
      <c r="J1123" s="283"/>
      <c r="K1123" s="297"/>
      <c r="L1123" s="297" t="s">
        <v>2881</v>
      </c>
      <c r="M1123" s="164" t="s">
        <v>2882</v>
      </c>
      <c r="N1123" s="164" t="s">
        <v>65</v>
      </c>
      <c r="O1123" s="164"/>
      <c r="P1123" s="379">
        <v>1</v>
      </c>
      <c r="Q1123" s="379"/>
      <c r="R1123" s="164"/>
      <c r="S1123" s="283"/>
      <c r="T1123" s="164"/>
      <c r="U1123" s="283"/>
      <c r="V1123" s="283"/>
      <c r="W1123" s="164"/>
      <c r="X1123" s="225"/>
      <c r="Y1123" s="283"/>
      <c r="Z1123" s="283"/>
      <c r="AA1123" s="283"/>
      <c r="AB1123" s="283"/>
      <c r="AC1123" s="283"/>
      <c r="AD1123" s="283"/>
      <c r="AE1123" s="283"/>
      <c r="AF1123" s="283"/>
      <c r="AG1123" s="283"/>
      <c r="AH1123" s="205" t="s">
        <v>2880</v>
      </c>
      <c r="AI1123" s="205" t="s">
        <v>2883</v>
      </c>
      <c r="AJ1123" s="205" t="s">
        <v>2884</v>
      </c>
      <c r="AK1123" s="225"/>
      <c r="AL1123" s="225"/>
      <c r="AM1123" s="24"/>
    </row>
    <row r="1124" spans="1:39" ht="12.75" customHeight="1">
      <c r="A1124" s="22">
        <v>1122</v>
      </c>
      <c r="B1124" s="24" t="s">
        <v>2885</v>
      </c>
      <c r="C1124" s="24" t="s">
        <v>65</v>
      </c>
      <c r="D1124" s="24" t="s">
        <v>1787</v>
      </c>
      <c r="E1124" s="24" t="s">
        <v>2875</v>
      </c>
      <c r="F1124" s="24">
        <v>1</v>
      </c>
      <c r="G1124" s="24" t="s">
        <v>2372</v>
      </c>
      <c r="H1124" s="24"/>
      <c r="I1124" s="24"/>
      <c r="J1124" s="283"/>
      <c r="K1124" s="297"/>
      <c r="L1124" s="297" t="s">
        <v>2885</v>
      </c>
      <c r="M1124" s="164" t="s">
        <v>2886</v>
      </c>
      <c r="N1124" s="164" t="s">
        <v>65</v>
      </c>
      <c r="O1124" s="164"/>
      <c r="P1124" s="164" t="s">
        <v>2887</v>
      </c>
      <c r="Q1124" s="164"/>
      <c r="R1124" s="164"/>
      <c r="S1124" s="283"/>
      <c r="T1124" s="164"/>
      <c r="U1124" s="283"/>
      <c r="V1124" s="283"/>
      <c r="W1124" s="164"/>
      <c r="X1124" s="225"/>
      <c r="Y1124" s="283"/>
      <c r="Z1124" s="283"/>
      <c r="AA1124" s="283"/>
      <c r="AB1124" s="283"/>
      <c r="AC1124" s="283"/>
      <c r="AD1124" s="283"/>
      <c r="AE1124" s="283"/>
      <c r="AF1124" s="283"/>
      <c r="AG1124" s="283"/>
      <c r="AH1124" s="205" t="s">
        <v>115</v>
      </c>
      <c r="AI1124" s="205" t="s">
        <v>115</v>
      </c>
      <c r="AJ1124" s="205" t="s">
        <v>115</v>
      </c>
      <c r="AK1124" s="225"/>
      <c r="AL1124" s="225"/>
      <c r="AM1124" s="24"/>
    </row>
    <row r="1125" spans="1:39" ht="12.75" customHeight="1">
      <c r="A1125" s="22">
        <v>1123</v>
      </c>
      <c r="B1125" s="24" t="s">
        <v>2888</v>
      </c>
      <c r="C1125" s="24" t="s">
        <v>96</v>
      </c>
      <c r="D1125" s="24" t="s">
        <v>1787</v>
      </c>
      <c r="E1125" s="24" t="s">
        <v>2875</v>
      </c>
      <c r="F1125" s="24">
        <v>1</v>
      </c>
      <c r="G1125" s="24" t="s">
        <v>2372</v>
      </c>
      <c r="H1125" s="24"/>
      <c r="I1125" s="24"/>
      <c r="J1125" s="283"/>
      <c r="K1125" s="297" t="s">
        <v>2888</v>
      </c>
      <c r="L1125" s="297" t="s">
        <v>2889</v>
      </c>
      <c r="M1125" s="164"/>
      <c r="N1125" s="164" t="s">
        <v>202</v>
      </c>
      <c r="O1125" s="164"/>
      <c r="P1125" s="164"/>
      <c r="Q1125" s="164"/>
      <c r="R1125" s="164" t="s">
        <v>2878</v>
      </c>
      <c r="S1125" s="283"/>
      <c r="T1125" s="164" t="s">
        <v>113</v>
      </c>
      <c r="U1125" s="283"/>
      <c r="V1125" s="283"/>
      <c r="W1125" s="164" t="s">
        <v>2890</v>
      </c>
      <c r="X1125" s="225"/>
      <c r="Y1125" s="283"/>
      <c r="Z1125" s="283"/>
      <c r="AA1125" s="283"/>
      <c r="AB1125" s="283"/>
      <c r="AC1125" s="283"/>
      <c r="AD1125" s="283"/>
      <c r="AE1125" s="283"/>
      <c r="AF1125" s="283"/>
      <c r="AG1125" s="283"/>
      <c r="AH1125" s="205" t="s">
        <v>2880</v>
      </c>
      <c r="AI1125" s="285" t="s">
        <v>2630</v>
      </c>
      <c r="AJ1125" s="285" t="s">
        <v>2631</v>
      </c>
      <c r="AK1125" s="225"/>
      <c r="AL1125" s="225"/>
      <c r="AM1125" s="24"/>
    </row>
    <row r="1126" spans="1:39" ht="12.75" customHeight="1">
      <c r="A1126" s="22">
        <v>1124</v>
      </c>
      <c r="B1126" s="24" t="s">
        <v>1673</v>
      </c>
      <c r="C1126" s="24" t="s">
        <v>180</v>
      </c>
      <c r="D1126" s="24" t="s">
        <v>2888</v>
      </c>
      <c r="E1126" s="24" t="s">
        <v>2875</v>
      </c>
      <c r="F1126" s="24">
        <v>1</v>
      </c>
      <c r="G1126" s="24" t="s">
        <v>2372</v>
      </c>
      <c r="H1126" s="24"/>
      <c r="I1126" s="24"/>
      <c r="J1126" s="283"/>
      <c r="K1126" s="234"/>
      <c r="L1126" s="234"/>
      <c r="M1126" s="196"/>
      <c r="N1126" s="164"/>
      <c r="O1126" s="164" t="s">
        <v>1673</v>
      </c>
      <c r="P1126" s="196"/>
      <c r="Q1126" s="196"/>
      <c r="R1126" s="234"/>
      <c r="S1126" s="283"/>
      <c r="T1126" s="164"/>
      <c r="U1126" s="283"/>
      <c r="V1126" s="283"/>
      <c r="W1126" s="196"/>
      <c r="X1126" s="225"/>
      <c r="Y1126" s="283"/>
      <c r="Z1126" s="283"/>
      <c r="AA1126" s="283"/>
      <c r="AB1126" s="283"/>
      <c r="AC1126" s="283"/>
      <c r="AD1126" s="283"/>
      <c r="AE1126" s="283"/>
      <c r="AF1126" s="283"/>
      <c r="AG1126" s="283"/>
      <c r="AH1126" s="205" t="s">
        <v>115</v>
      </c>
      <c r="AI1126" s="285" t="s">
        <v>942</v>
      </c>
      <c r="AJ1126" s="205" t="s">
        <v>943</v>
      </c>
      <c r="AK1126" s="225"/>
      <c r="AL1126" s="225"/>
      <c r="AM1126" s="24"/>
    </row>
    <row r="1127" spans="1:39" ht="12.75" customHeight="1">
      <c r="A1127" s="22">
        <v>1125</v>
      </c>
      <c r="B1127" s="24" t="s">
        <v>1468</v>
      </c>
      <c r="C1127" s="24" t="s">
        <v>180</v>
      </c>
      <c r="D1127" s="24" t="s">
        <v>2888</v>
      </c>
      <c r="E1127" s="24" t="s">
        <v>2875</v>
      </c>
      <c r="F1127" s="24">
        <v>1</v>
      </c>
      <c r="G1127" s="24" t="s">
        <v>2372</v>
      </c>
      <c r="H1127" s="24"/>
      <c r="I1127" s="24"/>
      <c r="J1127" s="283"/>
      <c r="K1127" s="234"/>
      <c r="L1127" s="234"/>
      <c r="M1127" s="196"/>
      <c r="N1127" s="164"/>
      <c r="O1127" s="164" t="s">
        <v>1468</v>
      </c>
      <c r="P1127" s="196"/>
      <c r="Q1127" s="196"/>
      <c r="R1127" s="234"/>
      <c r="S1127" s="283"/>
      <c r="T1127" s="164"/>
      <c r="U1127" s="283"/>
      <c r="V1127" s="283"/>
      <c r="W1127" s="196"/>
      <c r="X1127" s="225"/>
      <c r="Y1127" s="283"/>
      <c r="Z1127" s="283"/>
      <c r="AA1127" s="283"/>
      <c r="AB1127" s="283"/>
      <c r="AC1127" s="283"/>
      <c r="AD1127" s="283"/>
      <c r="AE1127" s="283"/>
      <c r="AF1127" s="283"/>
      <c r="AG1127" s="283"/>
      <c r="AH1127" s="205" t="s">
        <v>115</v>
      </c>
      <c r="AI1127" s="285" t="s">
        <v>1469</v>
      </c>
      <c r="AJ1127" s="205" t="s">
        <v>1470</v>
      </c>
      <c r="AK1127" s="225"/>
      <c r="AL1127" s="225"/>
      <c r="AM1127" s="24"/>
    </row>
    <row r="1128" spans="1:39" ht="12.75" customHeight="1">
      <c r="A1128" s="22">
        <v>1126</v>
      </c>
      <c r="B1128" s="24" t="s">
        <v>2891</v>
      </c>
      <c r="C1128" s="24" t="s">
        <v>65</v>
      </c>
      <c r="D1128" s="24" t="s">
        <v>1787</v>
      </c>
      <c r="E1128" s="24" t="s">
        <v>2875</v>
      </c>
      <c r="F1128" s="24">
        <v>1</v>
      </c>
      <c r="G1128" s="24" t="s">
        <v>2372</v>
      </c>
      <c r="H1128" s="24"/>
      <c r="I1128" s="24"/>
      <c r="J1128" s="283"/>
      <c r="K1128" s="297"/>
      <c r="L1128" s="297" t="s">
        <v>2891</v>
      </c>
      <c r="M1128" s="164" t="s">
        <v>2892</v>
      </c>
      <c r="N1128" s="164" t="s">
        <v>65</v>
      </c>
      <c r="O1128" s="164"/>
      <c r="P1128" s="379">
        <v>2</v>
      </c>
      <c r="Q1128" s="379"/>
      <c r="R1128" s="164"/>
      <c r="S1128" s="283"/>
      <c r="T1128" s="164"/>
      <c r="U1128" s="283"/>
      <c r="V1128" s="283"/>
      <c r="W1128" s="164"/>
      <c r="X1128" s="225"/>
      <c r="Y1128" s="283"/>
      <c r="Z1128" s="283"/>
      <c r="AA1128" s="283"/>
      <c r="AB1128" s="283"/>
      <c r="AC1128" s="283"/>
      <c r="AD1128" s="283"/>
      <c r="AE1128" s="283"/>
      <c r="AF1128" s="283"/>
      <c r="AG1128" s="283"/>
      <c r="AH1128" s="205" t="s">
        <v>2880</v>
      </c>
      <c r="AI1128" s="205" t="s">
        <v>2883</v>
      </c>
      <c r="AJ1128" s="205" t="s">
        <v>2884</v>
      </c>
      <c r="AK1128" s="225"/>
      <c r="AL1128" s="225"/>
      <c r="AM1128" s="24"/>
    </row>
    <row r="1129" spans="1:39" ht="12.75" customHeight="1">
      <c r="A1129" s="22">
        <v>1127</v>
      </c>
      <c r="B1129" s="24" t="s">
        <v>2893</v>
      </c>
      <c r="C1129" s="24" t="s">
        <v>65</v>
      </c>
      <c r="D1129" s="24" t="s">
        <v>1787</v>
      </c>
      <c r="E1129" s="24" t="s">
        <v>2875</v>
      </c>
      <c r="F1129" s="24">
        <v>1</v>
      </c>
      <c r="G1129" s="24" t="s">
        <v>2372</v>
      </c>
      <c r="H1129" s="24"/>
      <c r="I1129" s="24"/>
      <c r="J1129" s="283"/>
      <c r="K1129" s="297"/>
      <c r="L1129" s="297" t="s">
        <v>2893</v>
      </c>
      <c r="M1129" s="164" t="s">
        <v>2894</v>
      </c>
      <c r="N1129" s="164" t="s">
        <v>65</v>
      </c>
      <c r="O1129" s="164"/>
      <c r="P1129" s="164" t="s">
        <v>2887</v>
      </c>
      <c r="Q1129" s="164"/>
      <c r="R1129" s="164"/>
      <c r="S1129" s="283"/>
      <c r="T1129" s="164"/>
      <c r="U1129" s="283"/>
      <c r="V1129" s="283"/>
      <c r="W1129" s="164"/>
      <c r="X1129" s="225"/>
      <c r="Y1129" s="283"/>
      <c r="Z1129" s="283"/>
      <c r="AA1129" s="283"/>
      <c r="AB1129" s="283"/>
      <c r="AC1129" s="283"/>
      <c r="AD1129" s="283"/>
      <c r="AE1129" s="283"/>
      <c r="AF1129" s="283"/>
      <c r="AG1129" s="283"/>
      <c r="AH1129" s="205" t="s">
        <v>115</v>
      </c>
      <c r="AI1129" s="205" t="s">
        <v>115</v>
      </c>
      <c r="AJ1129" s="205" t="s">
        <v>115</v>
      </c>
      <c r="AK1129" s="225"/>
      <c r="AL1129" s="225"/>
      <c r="AM1129" s="24"/>
    </row>
    <row r="1130" spans="1:39" ht="12.75" customHeight="1">
      <c r="A1130" s="22">
        <v>1128</v>
      </c>
      <c r="B1130" s="24" t="s">
        <v>2895</v>
      </c>
      <c r="C1130" s="24" t="s">
        <v>96</v>
      </c>
      <c r="D1130" s="24" t="s">
        <v>1787</v>
      </c>
      <c r="E1130" s="24" t="s">
        <v>2875</v>
      </c>
      <c r="F1130" s="24">
        <v>1</v>
      </c>
      <c r="G1130" s="24" t="s">
        <v>2372</v>
      </c>
      <c r="H1130" s="24"/>
      <c r="I1130" s="24"/>
      <c r="J1130" s="283"/>
      <c r="K1130" s="297" t="s">
        <v>2895</v>
      </c>
      <c r="L1130" s="297" t="s">
        <v>2896</v>
      </c>
      <c r="M1130" s="164"/>
      <c r="N1130" s="164" t="s">
        <v>202</v>
      </c>
      <c r="O1130" s="164"/>
      <c r="P1130" s="164"/>
      <c r="Q1130" s="164"/>
      <c r="R1130" s="164" t="s">
        <v>2878</v>
      </c>
      <c r="S1130" s="283"/>
      <c r="T1130" s="297" t="s">
        <v>113</v>
      </c>
      <c r="U1130" s="283"/>
      <c r="V1130" s="283"/>
      <c r="W1130" s="164" t="s">
        <v>2897</v>
      </c>
      <c r="X1130" s="225"/>
      <c r="Y1130" s="283"/>
      <c r="Z1130" s="283"/>
      <c r="AA1130" s="283"/>
      <c r="AB1130" s="283"/>
      <c r="AC1130" s="283"/>
      <c r="AD1130" s="283"/>
      <c r="AE1130" s="283"/>
      <c r="AF1130" s="283"/>
      <c r="AG1130" s="283"/>
      <c r="AH1130" s="205" t="s">
        <v>2880</v>
      </c>
      <c r="AI1130" s="285" t="s">
        <v>2630</v>
      </c>
      <c r="AJ1130" s="285" t="s">
        <v>2631</v>
      </c>
      <c r="AK1130" s="225"/>
      <c r="AL1130" s="225"/>
      <c r="AM1130" s="24"/>
    </row>
    <row r="1131" spans="1:39" ht="12.75" customHeight="1">
      <c r="A1131" s="22">
        <v>1129</v>
      </c>
      <c r="B1131" s="24" t="s">
        <v>1673</v>
      </c>
      <c r="C1131" s="24" t="s">
        <v>180</v>
      </c>
      <c r="D1131" s="24" t="s">
        <v>2895</v>
      </c>
      <c r="E1131" s="24" t="s">
        <v>2875</v>
      </c>
      <c r="F1131" s="24">
        <v>1</v>
      </c>
      <c r="G1131" s="24" t="s">
        <v>2372</v>
      </c>
      <c r="H1131" s="24"/>
      <c r="I1131" s="24"/>
      <c r="J1131" s="283"/>
      <c r="K1131" s="234"/>
      <c r="L1131" s="234"/>
      <c r="M1131" s="196"/>
      <c r="N1131" s="164"/>
      <c r="O1131" s="164" t="s">
        <v>1673</v>
      </c>
      <c r="P1131" s="196"/>
      <c r="Q1131" s="196"/>
      <c r="R1131" s="234"/>
      <c r="S1131" s="283"/>
      <c r="T1131" s="234"/>
      <c r="U1131" s="283"/>
      <c r="V1131" s="283"/>
      <c r="W1131" s="196"/>
      <c r="X1131" s="225"/>
      <c r="Y1131" s="283"/>
      <c r="Z1131" s="283"/>
      <c r="AA1131" s="283"/>
      <c r="AB1131" s="283"/>
      <c r="AC1131" s="283"/>
      <c r="AD1131" s="283"/>
      <c r="AE1131" s="283"/>
      <c r="AF1131" s="283"/>
      <c r="AG1131" s="283"/>
      <c r="AH1131" s="205" t="s">
        <v>115</v>
      </c>
      <c r="AI1131" s="285" t="s">
        <v>942</v>
      </c>
      <c r="AJ1131" s="205" t="s">
        <v>943</v>
      </c>
      <c r="AK1131" s="225"/>
      <c r="AL1131" s="225"/>
      <c r="AM1131" s="24"/>
    </row>
    <row r="1132" spans="1:39" ht="12.75" customHeight="1">
      <c r="A1132" s="22">
        <v>1130</v>
      </c>
      <c r="B1132" s="24" t="s">
        <v>1468</v>
      </c>
      <c r="C1132" s="24" t="s">
        <v>180</v>
      </c>
      <c r="D1132" s="24" t="s">
        <v>2895</v>
      </c>
      <c r="E1132" s="24" t="s">
        <v>2875</v>
      </c>
      <c r="F1132" s="24">
        <v>1</v>
      </c>
      <c r="G1132" s="24" t="s">
        <v>2372</v>
      </c>
      <c r="H1132" s="24"/>
      <c r="I1132" s="24"/>
      <c r="J1132" s="283"/>
      <c r="K1132" s="234"/>
      <c r="L1132" s="234"/>
      <c r="M1132" s="196"/>
      <c r="N1132" s="164"/>
      <c r="O1132" s="164" t="s">
        <v>1468</v>
      </c>
      <c r="P1132" s="196"/>
      <c r="Q1132" s="196"/>
      <c r="R1132" s="234"/>
      <c r="S1132" s="283"/>
      <c r="T1132" s="234"/>
      <c r="U1132" s="283"/>
      <c r="V1132" s="283"/>
      <c r="W1132" s="196"/>
      <c r="X1132" s="225"/>
      <c r="Y1132" s="283"/>
      <c r="Z1132" s="283"/>
      <c r="AA1132" s="283"/>
      <c r="AB1132" s="283"/>
      <c r="AC1132" s="283"/>
      <c r="AD1132" s="283"/>
      <c r="AE1132" s="283"/>
      <c r="AF1132" s="283"/>
      <c r="AG1132" s="283"/>
      <c r="AH1132" s="205" t="s">
        <v>115</v>
      </c>
      <c r="AI1132" s="285" t="s">
        <v>1469</v>
      </c>
      <c r="AJ1132" s="205" t="s">
        <v>1470</v>
      </c>
      <c r="AK1132" s="225"/>
      <c r="AL1132" s="225"/>
      <c r="AM1132" s="24"/>
    </row>
    <row r="1133" spans="1:39" ht="12.75" customHeight="1">
      <c r="A1133" s="22">
        <v>1131</v>
      </c>
      <c r="B1133" s="24" t="s">
        <v>2899</v>
      </c>
      <c r="C1133" s="24" t="s">
        <v>65</v>
      </c>
      <c r="D1133" s="24" t="s">
        <v>1787</v>
      </c>
      <c r="E1133" s="24" t="s">
        <v>2875</v>
      </c>
      <c r="F1133" s="24">
        <v>1</v>
      </c>
      <c r="G1133" s="24" t="s">
        <v>2372</v>
      </c>
      <c r="H1133" s="24"/>
      <c r="I1133" s="24"/>
      <c r="J1133" s="283"/>
      <c r="K1133" s="297"/>
      <c r="L1133" s="297" t="s">
        <v>2899</v>
      </c>
      <c r="M1133" s="164" t="s">
        <v>2900</v>
      </c>
      <c r="N1133" s="164" t="s">
        <v>65</v>
      </c>
      <c r="O1133" s="164"/>
      <c r="P1133" s="379">
        <v>3</v>
      </c>
      <c r="Q1133" s="379"/>
      <c r="R1133" s="164"/>
      <c r="S1133" s="283"/>
      <c r="T1133" s="297"/>
      <c r="U1133" s="283"/>
      <c r="V1133" s="283"/>
      <c r="W1133" s="164"/>
      <c r="X1133" s="225"/>
      <c r="Y1133" s="283"/>
      <c r="Z1133" s="283"/>
      <c r="AA1133" s="283"/>
      <c r="AB1133" s="283"/>
      <c r="AC1133" s="283"/>
      <c r="AD1133" s="283"/>
      <c r="AE1133" s="283"/>
      <c r="AF1133" s="283"/>
      <c r="AG1133" s="283"/>
      <c r="AH1133" s="205" t="s">
        <v>2880</v>
      </c>
      <c r="AI1133" s="205" t="s">
        <v>2883</v>
      </c>
      <c r="AJ1133" s="205" t="s">
        <v>2884</v>
      </c>
      <c r="AK1133" s="225"/>
      <c r="AL1133" s="225"/>
      <c r="AM1133" s="24"/>
    </row>
    <row r="1134" spans="1:39" ht="12.75" customHeight="1">
      <c r="A1134" s="22">
        <v>1132</v>
      </c>
      <c r="B1134" s="24" t="s">
        <v>2901</v>
      </c>
      <c r="C1134" s="24" t="s">
        <v>65</v>
      </c>
      <c r="D1134" s="24" t="s">
        <v>1787</v>
      </c>
      <c r="E1134" s="24" t="s">
        <v>2875</v>
      </c>
      <c r="F1134" s="24">
        <v>1</v>
      </c>
      <c r="G1134" s="24" t="s">
        <v>2372</v>
      </c>
      <c r="H1134" s="24"/>
      <c r="I1134" s="24"/>
      <c r="J1134" s="283"/>
      <c r="K1134" s="297"/>
      <c r="L1134" s="297" t="s">
        <v>2901</v>
      </c>
      <c r="M1134" s="164" t="s">
        <v>2902</v>
      </c>
      <c r="N1134" s="164" t="s">
        <v>65</v>
      </c>
      <c r="O1134" s="164"/>
      <c r="P1134" s="164" t="s">
        <v>2887</v>
      </c>
      <c r="Q1134" s="164"/>
      <c r="R1134" s="164"/>
      <c r="S1134" s="283"/>
      <c r="T1134" s="297"/>
      <c r="U1134" s="283"/>
      <c r="V1134" s="283"/>
      <c r="W1134" s="164"/>
      <c r="X1134" s="225"/>
      <c r="Y1134" s="283"/>
      <c r="Z1134" s="283"/>
      <c r="AA1134" s="283"/>
      <c r="AB1134" s="283"/>
      <c r="AC1134" s="283"/>
      <c r="AD1134" s="283"/>
      <c r="AE1134" s="283"/>
      <c r="AF1134" s="283"/>
      <c r="AG1134" s="283"/>
      <c r="AH1134" s="205" t="s">
        <v>115</v>
      </c>
      <c r="AI1134" s="205" t="s">
        <v>115</v>
      </c>
      <c r="AJ1134" s="205" t="s">
        <v>115</v>
      </c>
      <c r="AK1134" s="225"/>
      <c r="AL1134" s="225"/>
      <c r="AM1134" s="24"/>
    </row>
    <row r="1135" spans="1:39" ht="12.75" customHeight="1">
      <c r="A1135" s="22">
        <v>1133</v>
      </c>
      <c r="B1135" s="24" t="s">
        <v>2903</v>
      </c>
      <c r="C1135" s="24" t="s">
        <v>96</v>
      </c>
      <c r="D1135" s="24" t="s">
        <v>1787</v>
      </c>
      <c r="E1135" s="24" t="s">
        <v>2875</v>
      </c>
      <c r="F1135" s="24">
        <v>1</v>
      </c>
      <c r="G1135" s="24" t="s">
        <v>2372</v>
      </c>
      <c r="H1135" s="24"/>
      <c r="I1135" s="24"/>
      <c r="J1135" s="283"/>
      <c r="K1135" s="164" t="s">
        <v>1376</v>
      </c>
      <c r="L1135" s="204" t="s">
        <v>2904</v>
      </c>
      <c r="M1135" s="164" t="s">
        <v>2867</v>
      </c>
      <c r="N1135" s="204" t="s">
        <v>238</v>
      </c>
      <c r="O1135" s="196"/>
      <c r="P1135" s="196"/>
      <c r="Q1135" s="196"/>
      <c r="R1135" s="196"/>
      <c r="S1135" s="283"/>
      <c r="T1135" s="164" t="s">
        <v>113</v>
      </c>
      <c r="U1135" s="283"/>
      <c r="V1135" s="283"/>
      <c r="W1135" s="164" t="s">
        <v>115</v>
      </c>
      <c r="X1135" s="225"/>
      <c r="Y1135" s="283"/>
      <c r="Z1135" s="283"/>
      <c r="AA1135" s="283"/>
      <c r="AB1135" s="283"/>
      <c r="AC1135" s="283"/>
      <c r="AD1135" s="283"/>
      <c r="AE1135" s="283"/>
      <c r="AF1135" s="283"/>
      <c r="AG1135" s="283"/>
      <c r="AH1135" s="205" t="s">
        <v>115</v>
      </c>
      <c r="AI1135" s="285" t="s">
        <v>2905</v>
      </c>
      <c r="AJ1135" s="285" t="s">
        <v>2906</v>
      </c>
      <c r="AK1135" s="225"/>
      <c r="AL1135" s="225"/>
      <c r="AM1135" s="24"/>
    </row>
    <row r="1136" spans="1:39" ht="12.75" customHeight="1">
      <c r="A1136" s="22">
        <v>1134</v>
      </c>
      <c r="B1136" s="24" t="s">
        <v>2405</v>
      </c>
      <c r="C1136" s="24" t="s">
        <v>180</v>
      </c>
      <c r="D1136" s="24" t="s">
        <v>2903</v>
      </c>
      <c r="E1136" s="24" t="s">
        <v>2875</v>
      </c>
      <c r="F1136" s="24">
        <v>1</v>
      </c>
      <c r="G1136" s="24" t="s">
        <v>2372</v>
      </c>
      <c r="H1136" s="24"/>
      <c r="I1136" s="24"/>
      <c r="J1136" s="283"/>
      <c r="K1136" s="196"/>
      <c r="L1136" s="196"/>
      <c r="M1136" s="196"/>
      <c r="N1136" s="196"/>
      <c r="O1136" s="196" t="s">
        <v>2405</v>
      </c>
      <c r="P1136" s="196"/>
      <c r="Q1136" s="196"/>
      <c r="R1136" s="196"/>
      <c r="S1136" s="283"/>
      <c r="T1136" s="196"/>
      <c r="U1136" s="283"/>
      <c r="V1136" s="283"/>
      <c r="W1136" s="196"/>
      <c r="X1136" s="225"/>
      <c r="Y1136" s="283"/>
      <c r="Z1136" s="283"/>
      <c r="AA1136" s="283"/>
      <c r="AB1136" s="283"/>
      <c r="AC1136" s="283"/>
      <c r="AD1136" s="283"/>
      <c r="AE1136" s="283"/>
      <c r="AF1136" s="283"/>
      <c r="AG1136" s="283"/>
      <c r="AH1136" s="285" t="s">
        <v>115</v>
      </c>
      <c r="AI1136" s="205" t="s">
        <v>2406</v>
      </c>
      <c r="AJ1136" s="285" t="s">
        <v>2407</v>
      </c>
      <c r="AK1136" s="225"/>
      <c r="AL1136" s="225"/>
      <c r="AM1136" s="24"/>
    </row>
    <row r="1137" spans="1:39" ht="12.75" customHeight="1">
      <c r="A1137" s="22">
        <v>1135</v>
      </c>
      <c r="B1137" s="24" t="s">
        <v>1909</v>
      </c>
      <c r="C1137" s="24" t="s">
        <v>180</v>
      </c>
      <c r="D1137" s="24" t="s">
        <v>2903</v>
      </c>
      <c r="E1137" s="24" t="s">
        <v>2875</v>
      </c>
      <c r="F1137" s="24">
        <v>1</v>
      </c>
      <c r="G1137" s="24" t="s">
        <v>2372</v>
      </c>
      <c r="H1137" s="24"/>
      <c r="I1137" s="24"/>
      <c r="J1137" s="283"/>
      <c r="K1137" s="196"/>
      <c r="L1137" s="196"/>
      <c r="M1137" s="196"/>
      <c r="N1137" s="196"/>
      <c r="O1137" s="204" t="s">
        <v>1909</v>
      </c>
      <c r="P1137" s="196"/>
      <c r="Q1137" s="196"/>
      <c r="R1137" s="196"/>
      <c r="S1137" s="283"/>
      <c r="T1137" s="196"/>
      <c r="U1137" s="283"/>
      <c r="V1137" s="283"/>
      <c r="W1137" s="196"/>
      <c r="X1137" s="225"/>
      <c r="Y1137" s="283"/>
      <c r="Z1137" s="283"/>
      <c r="AA1137" s="283"/>
      <c r="AB1137" s="283"/>
      <c r="AC1137" s="283"/>
      <c r="AD1137" s="283"/>
      <c r="AE1137" s="283"/>
      <c r="AF1137" s="283"/>
      <c r="AG1137" s="283"/>
      <c r="AH1137" s="285" t="s">
        <v>115</v>
      </c>
      <c r="AI1137" s="205" t="s">
        <v>2637</v>
      </c>
      <c r="AJ1137" s="205" t="s">
        <v>2638</v>
      </c>
      <c r="AK1137" s="225"/>
      <c r="AL1137" s="225"/>
      <c r="AM1137" s="24"/>
    </row>
    <row r="1138" spans="1:39" ht="12.75" customHeight="1">
      <c r="A1138" s="22">
        <v>1136</v>
      </c>
      <c r="B1138" s="24" t="s">
        <v>2244</v>
      </c>
      <c r="C1138" s="24" t="s">
        <v>180</v>
      </c>
      <c r="D1138" s="24" t="s">
        <v>2903</v>
      </c>
      <c r="E1138" s="24" t="s">
        <v>2875</v>
      </c>
      <c r="F1138" s="24">
        <v>1</v>
      </c>
      <c r="G1138" s="24" t="s">
        <v>2372</v>
      </c>
      <c r="H1138" s="24"/>
      <c r="I1138" s="24"/>
      <c r="J1138" s="283"/>
      <c r="K1138" s="196"/>
      <c r="L1138" s="196"/>
      <c r="M1138" s="196"/>
      <c r="N1138" s="196"/>
      <c r="O1138" s="204" t="s">
        <v>2244</v>
      </c>
      <c r="P1138" s="196"/>
      <c r="Q1138" s="196"/>
      <c r="R1138" s="196"/>
      <c r="S1138" s="283"/>
      <c r="T1138" s="196"/>
      <c r="U1138" s="283"/>
      <c r="V1138" s="283"/>
      <c r="W1138" s="196"/>
      <c r="X1138" s="225"/>
      <c r="Y1138" s="283"/>
      <c r="Z1138" s="283"/>
      <c r="AA1138" s="283"/>
      <c r="AB1138" s="283"/>
      <c r="AC1138" s="283"/>
      <c r="AD1138" s="283"/>
      <c r="AE1138" s="283"/>
      <c r="AF1138" s="283"/>
      <c r="AG1138" s="283"/>
      <c r="AH1138" s="285" t="s">
        <v>115</v>
      </c>
      <c r="AI1138" s="205" t="s">
        <v>1913</v>
      </c>
      <c r="AJ1138" s="205" t="s">
        <v>1914</v>
      </c>
      <c r="AK1138" s="225"/>
      <c r="AL1138" s="225"/>
      <c r="AM1138" s="24"/>
    </row>
    <row r="1139" spans="1:39" ht="12.75" customHeight="1">
      <c r="A1139" s="22">
        <v>1137</v>
      </c>
      <c r="B1139" s="24" t="s">
        <v>405</v>
      </c>
      <c r="C1139" s="24" t="s">
        <v>180</v>
      </c>
      <c r="D1139" s="24" t="s">
        <v>2903</v>
      </c>
      <c r="E1139" s="24" t="s">
        <v>2875</v>
      </c>
      <c r="F1139" s="24">
        <v>1</v>
      </c>
      <c r="G1139" s="24" t="s">
        <v>2372</v>
      </c>
      <c r="H1139" s="24"/>
      <c r="I1139" s="24"/>
      <c r="J1139" s="283"/>
      <c r="K1139" s="196"/>
      <c r="L1139" s="196"/>
      <c r="M1139" s="196"/>
      <c r="N1139" s="196"/>
      <c r="O1139" s="204" t="s">
        <v>405</v>
      </c>
      <c r="P1139" s="196"/>
      <c r="Q1139" s="196"/>
      <c r="R1139" s="196"/>
      <c r="S1139" s="283"/>
      <c r="T1139" s="196"/>
      <c r="U1139" s="283"/>
      <c r="V1139" s="283"/>
      <c r="W1139" s="196"/>
      <c r="X1139" s="225"/>
      <c r="Y1139" s="283"/>
      <c r="Z1139" s="283"/>
      <c r="AA1139" s="283"/>
      <c r="AB1139" s="283"/>
      <c r="AC1139" s="283"/>
      <c r="AD1139" s="283"/>
      <c r="AE1139" s="283"/>
      <c r="AF1139" s="283"/>
      <c r="AG1139" s="283"/>
      <c r="AH1139" s="285" t="s">
        <v>115</v>
      </c>
      <c r="AI1139" s="205" t="s">
        <v>406</v>
      </c>
      <c r="AJ1139" s="285" t="s">
        <v>407</v>
      </c>
      <c r="AK1139" s="225"/>
      <c r="AL1139" s="225"/>
      <c r="AM1139" s="24"/>
    </row>
    <row r="1140" spans="1:39" ht="12.75" customHeight="1">
      <c r="A1140" s="22">
        <v>1138</v>
      </c>
      <c r="B1140" s="24" t="s">
        <v>2907</v>
      </c>
      <c r="C1140" s="24" t="s">
        <v>96</v>
      </c>
      <c r="D1140" s="24" t="s">
        <v>1787</v>
      </c>
      <c r="E1140" s="24" t="s">
        <v>2875</v>
      </c>
      <c r="F1140" s="24">
        <v>1</v>
      </c>
      <c r="G1140" s="24" t="s">
        <v>2372</v>
      </c>
      <c r="H1140" s="24"/>
      <c r="I1140" s="24"/>
      <c r="J1140" s="283"/>
      <c r="K1140" s="196" t="s">
        <v>409</v>
      </c>
      <c r="L1140" s="196" t="s">
        <v>2908</v>
      </c>
      <c r="M1140" s="196" t="s">
        <v>2720</v>
      </c>
      <c r="N1140" s="196" t="s">
        <v>111</v>
      </c>
      <c r="O1140" s="196"/>
      <c r="P1140" s="196"/>
      <c r="Q1140" s="196"/>
      <c r="R1140" s="196"/>
      <c r="S1140" s="283"/>
      <c r="T1140" s="196" t="s">
        <v>208</v>
      </c>
      <c r="U1140" s="283"/>
      <c r="V1140" s="283"/>
      <c r="W1140" s="196" t="s">
        <v>115</v>
      </c>
      <c r="X1140" s="225"/>
      <c r="Y1140" s="283"/>
      <c r="Z1140" s="283"/>
      <c r="AA1140" s="283"/>
      <c r="AB1140" s="283"/>
      <c r="AC1140" s="283"/>
      <c r="AD1140" s="283"/>
      <c r="AE1140" s="283"/>
      <c r="AF1140" s="283"/>
      <c r="AG1140" s="283"/>
      <c r="AH1140" s="285" t="s">
        <v>2909</v>
      </c>
      <c r="AI1140" s="205" t="s">
        <v>415</v>
      </c>
      <c r="AJ1140" s="205" t="s">
        <v>416</v>
      </c>
      <c r="AK1140" s="225"/>
      <c r="AL1140" s="225"/>
      <c r="AM1140" s="24"/>
    </row>
    <row r="1141" spans="1:39" ht="12.75" customHeight="1">
      <c r="A1141" s="22">
        <v>1139</v>
      </c>
      <c r="B1141" s="24" t="s">
        <v>2910</v>
      </c>
      <c r="C1141" s="24" t="s">
        <v>65</v>
      </c>
      <c r="D1141" s="24" t="s">
        <v>1787</v>
      </c>
      <c r="E1141" s="24" t="s">
        <v>2875</v>
      </c>
      <c r="F1141" s="24">
        <v>1</v>
      </c>
      <c r="G1141" s="24" t="s">
        <v>2372</v>
      </c>
      <c r="H1141" s="24"/>
      <c r="I1141" s="24"/>
      <c r="J1141" s="283"/>
      <c r="K1141" s="298" t="s">
        <v>115</v>
      </c>
      <c r="L1141" s="298" t="s">
        <v>2910</v>
      </c>
      <c r="M1141" s="298" t="s">
        <v>2911</v>
      </c>
      <c r="N1141" s="298" t="s">
        <v>65</v>
      </c>
      <c r="O1141" s="164"/>
      <c r="P1141" s="298" t="s">
        <v>2912</v>
      </c>
      <c r="Q1141" s="298"/>
      <c r="R1141" s="164"/>
      <c r="S1141" s="283"/>
      <c r="T1141" s="298" t="s">
        <v>115</v>
      </c>
      <c r="U1141" s="283"/>
      <c r="V1141" s="283"/>
      <c r="W1141" s="298" t="s">
        <v>115</v>
      </c>
      <c r="X1141" s="225"/>
      <c r="Y1141" s="283"/>
      <c r="Z1141" s="283"/>
      <c r="AA1141" s="283"/>
      <c r="AB1141" s="283"/>
      <c r="AC1141" s="283"/>
      <c r="AD1141" s="283"/>
      <c r="AE1141" s="283"/>
      <c r="AF1141" s="283"/>
      <c r="AG1141" s="283"/>
      <c r="AH1141" s="285" t="s">
        <v>115</v>
      </c>
      <c r="AI1141" s="205" t="s">
        <v>115</v>
      </c>
      <c r="AJ1141" s="205" t="s">
        <v>115</v>
      </c>
      <c r="AK1141" s="225"/>
      <c r="AL1141" s="225"/>
      <c r="AM1141" s="24"/>
    </row>
    <row r="1142" spans="1:39" ht="12.75" customHeight="1">
      <c r="A1142" s="22">
        <v>1140</v>
      </c>
      <c r="B1142" s="24" t="s">
        <v>2913</v>
      </c>
      <c r="C1142" s="24" t="s">
        <v>96</v>
      </c>
      <c r="D1142" s="24" t="s">
        <v>1787</v>
      </c>
      <c r="E1142" s="24" t="s">
        <v>2914</v>
      </c>
      <c r="F1142" s="24">
        <v>1</v>
      </c>
      <c r="G1142" s="24" t="s">
        <v>2372</v>
      </c>
      <c r="H1142" s="24"/>
      <c r="I1142" s="24"/>
      <c r="J1142" s="283"/>
      <c r="K1142" s="204" t="s">
        <v>2913</v>
      </c>
      <c r="L1142" s="204" t="s">
        <v>2915</v>
      </c>
      <c r="M1142" s="196"/>
      <c r="N1142" s="204" t="s">
        <v>202</v>
      </c>
      <c r="O1142" s="164"/>
      <c r="P1142" s="196"/>
      <c r="Q1142" s="196"/>
      <c r="R1142" s="196"/>
      <c r="S1142" s="283"/>
      <c r="T1142" s="204" t="s">
        <v>208</v>
      </c>
      <c r="U1142" s="283"/>
      <c r="V1142" s="283"/>
      <c r="W1142" s="204" t="s">
        <v>1277</v>
      </c>
      <c r="X1142" s="225"/>
      <c r="Y1142" s="283"/>
      <c r="Z1142" s="283"/>
      <c r="AA1142" s="283"/>
      <c r="AB1142" s="283"/>
      <c r="AC1142" s="283"/>
      <c r="AD1142" s="283"/>
      <c r="AE1142" s="283"/>
      <c r="AF1142" s="283"/>
      <c r="AG1142" s="283"/>
      <c r="AH1142" s="285" t="s">
        <v>2916</v>
      </c>
      <c r="AI1142" s="285" t="s">
        <v>2398</v>
      </c>
      <c r="AJ1142" s="285" t="s">
        <v>2399</v>
      </c>
      <c r="AK1142" s="225"/>
      <c r="AL1142" s="225"/>
      <c r="AM1142" s="24"/>
    </row>
    <row r="1143" spans="1:39" ht="12.75" customHeight="1">
      <c r="A1143" s="22">
        <v>1141</v>
      </c>
      <c r="B1143" s="24" t="s">
        <v>1673</v>
      </c>
      <c r="C1143" s="24" t="s">
        <v>180</v>
      </c>
      <c r="D1143" s="24" t="s">
        <v>2913</v>
      </c>
      <c r="E1143" s="24" t="s">
        <v>2914</v>
      </c>
      <c r="F1143" s="24">
        <v>1</v>
      </c>
      <c r="G1143" s="24" t="s">
        <v>2372</v>
      </c>
      <c r="H1143" s="24"/>
      <c r="I1143" s="24"/>
      <c r="J1143" s="283"/>
      <c r="K1143" s="204"/>
      <c r="L1143" s="204"/>
      <c r="M1143" s="196"/>
      <c r="N1143" s="204"/>
      <c r="O1143" s="164" t="s">
        <v>1673</v>
      </c>
      <c r="P1143" s="196"/>
      <c r="Q1143" s="196"/>
      <c r="R1143" s="196"/>
      <c r="S1143" s="283"/>
      <c r="T1143" s="204"/>
      <c r="U1143" s="283"/>
      <c r="V1143" s="283"/>
      <c r="W1143" s="204"/>
      <c r="X1143" s="225"/>
      <c r="Y1143" s="283"/>
      <c r="Z1143" s="283"/>
      <c r="AA1143" s="283"/>
      <c r="AB1143" s="283"/>
      <c r="AC1143" s="283"/>
      <c r="AD1143" s="283"/>
      <c r="AE1143" s="283"/>
      <c r="AF1143" s="283"/>
      <c r="AG1143" s="283"/>
      <c r="AH1143" s="285" t="s">
        <v>115</v>
      </c>
      <c r="AI1143" s="285" t="s">
        <v>942</v>
      </c>
      <c r="AJ1143" s="205" t="s">
        <v>943</v>
      </c>
      <c r="AK1143" s="225"/>
      <c r="AL1143" s="225"/>
      <c r="AM1143" s="24"/>
    </row>
    <row r="1144" spans="1:39" ht="12.75" customHeight="1">
      <c r="A1144" s="22">
        <v>1142</v>
      </c>
      <c r="B1144" s="24" t="s">
        <v>1468</v>
      </c>
      <c r="C1144" s="24" t="s">
        <v>180</v>
      </c>
      <c r="D1144" s="24" t="s">
        <v>2913</v>
      </c>
      <c r="E1144" s="24" t="s">
        <v>2914</v>
      </c>
      <c r="F1144" s="24">
        <v>1</v>
      </c>
      <c r="G1144" s="24" t="s">
        <v>2372</v>
      </c>
      <c r="H1144" s="24"/>
      <c r="I1144" s="24"/>
      <c r="J1144" s="283"/>
      <c r="K1144" s="204"/>
      <c r="L1144" s="204"/>
      <c r="M1144" s="196"/>
      <c r="N1144" s="204"/>
      <c r="O1144" s="164" t="s">
        <v>1468</v>
      </c>
      <c r="P1144" s="196"/>
      <c r="Q1144" s="196"/>
      <c r="R1144" s="196"/>
      <c r="S1144" s="283"/>
      <c r="T1144" s="204"/>
      <c r="U1144" s="283"/>
      <c r="V1144" s="283"/>
      <c r="W1144" s="204"/>
      <c r="X1144" s="225"/>
      <c r="Y1144" s="283"/>
      <c r="Z1144" s="283"/>
      <c r="AA1144" s="283"/>
      <c r="AB1144" s="283"/>
      <c r="AC1144" s="283"/>
      <c r="AD1144" s="283"/>
      <c r="AE1144" s="283"/>
      <c r="AF1144" s="283"/>
      <c r="AG1144" s="283"/>
      <c r="AH1144" s="285" t="s">
        <v>115</v>
      </c>
      <c r="AI1144" s="285" t="s">
        <v>1469</v>
      </c>
      <c r="AJ1144" s="205" t="s">
        <v>1470</v>
      </c>
      <c r="AK1144" s="225"/>
      <c r="AL1144" s="225"/>
      <c r="AM1144" s="24"/>
    </row>
    <row r="1145" spans="1:39" ht="12.75" customHeight="1">
      <c r="A1145" s="22">
        <v>1143</v>
      </c>
      <c r="B1145" s="24" t="s">
        <v>2917</v>
      </c>
      <c r="C1145" s="24" t="s">
        <v>96</v>
      </c>
      <c r="D1145" s="24" t="s">
        <v>1787</v>
      </c>
      <c r="E1145" s="24" t="s">
        <v>2914</v>
      </c>
      <c r="F1145" s="24">
        <v>1</v>
      </c>
      <c r="G1145" s="24" t="s">
        <v>2372</v>
      </c>
      <c r="H1145" s="24"/>
      <c r="I1145" s="24"/>
      <c r="J1145" s="283"/>
      <c r="K1145" s="164" t="s">
        <v>1376</v>
      </c>
      <c r="L1145" s="204" t="s">
        <v>2918</v>
      </c>
      <c r="M1145" s="164" t="s">
        <v>2919</v>
      </c>
      <c r="N1145" s="164" t="s">
        <v>202</v>
      </c>
      <c r="O1145" s="196"/>
      <c r="P1145" s="196"/>
      <c r="Q1145" s="196"/>
      <c r="R1145" s="196"/>
      <c r="S1145" s="283"/>
      <c r="T1145" s="204" t="s">
        <v>208</v>
      </c>
      <c r="U1145" s="283"/>
      <c r="V1145" s="283"/>
      <c r="W1145" s="196" t="s">
        <v>115</v>
      </c>
      <c r="X1145" s="225"/>
      <c r="Y1145" s="283"/>
      <c r="Z1145" s="283"/>
      <c r="AA1145" s="283"/>
      <c r="AB1145" s="283"/>
      <c r="AC1145" s="283"/>
      <c r="AD1145" s="283"/>
      <c r="AE1145" s="283"/>
      <c r="AF1145" s="283"/>
      <c r="AG1145" s="283"/>
      <c r="AH1145" s="285" t="s">
        <v>2916</v>
      </c>
      <c r="AI1145" s="285" t="s">
        <v>2403</v>
      </c>
      <c r="AJ1145" s="285" t="s">
        <v>2404</v>
      </c>
      <c r="AK1145" s="225"/>
      <c r="AL1145" s="225"/>
      <c r="AM1145" s="24"/>
    </row>
    <row r="1146" spans="1:39" ht="12.75" customHeight="1">
      <c r="A1146" s="22">
        <v>1144</v>
      </c>
      <c r="B1146" s="24" t="s">
        <v>2405</v>
      </c>
      <c r="C1146" s="24" t="s">
        <v>180</v>
      </c>
      <c r="D1146" s="24" t="s">
        <v>2917</v>
      </c>
      <c r="E1146" s="24" t="s">
        <v>2914</v>
      </c>
      <c r="F1146" s="24">
        <v>1</v>
      </c>
      <c r="G1146" s="24" t="s">
        <v>2372</v>
      </c>
      <c r="H1146" s="24"/>
      <c r="I1146" s="24"/>
      <c r="J1146" s="283"/>
      <c r="K1146" s="196"/>
      <c r="L1146" s="204"/>
      <c r="M1146" s="196"/>
      <c r="N1146" s="196"/>
      <c r="O1146" s="196" t="s">
        <v>2405</v>
      </c>
      <c r="P1146" s="196"/>
      <c r="Q1146" s="196"/>
      <c r="R1146" s="196"/>
      <c r="S1146" s="283"/>
      <c r="T1146" s="196"/>
      <c r="U1146" s="283"/>
      <c r="V1146" s="283"/>
      <c r="W1146" s="196"/>
      <c r="X1146" s="225"/>
      <c r="Y1146" s="283"/>
      <c r="Z1146" s="283"/>
      <c r="AA1146" s="283"/>
      <c r="AB1146" s="283"/>
      <c r="AC1146" s="283"/>
      <c r="AD1146" s="283"/>
      <c r="AE1146" s="283"/>
      <c r="AF1146" s="283"/>
      <c r="AG1146" s="283"/>
      <c r="AH1146" s="285" t="s">
        <v>115</v>
      </c>
      <c r="AI1146" s="205" t="s">
        <v>2406</v>
      </c>
      <c r="AJ1146" s="205" t="s">
        <v>2407</v>
      </c>
      <c r="AK1146" s="225"/>
      <c r="AL1146" s="225"/>
      <c r="AM1146" s="24"/>
    </row>
    <row r="1147" spans="1:39" ht="12.75" customHeight="1">
      <c r="A1147" s="22">
        <v>1145</v>
      </c>
      <c r="B1147" s="24" t="s">
        <v>405</v>
      </c>
      <c r="C1147" s="24" t="s">
        <v>180</v>
      </c>
      <c r="D1147" s="24" t="s">
        <v>2917</v>
      </c>
      <c r="E1147" s="24" t="s">
        <v>2914</v>
      </c>
      <c r="F1147" s="24">
        <v>1</v>
      </c>
      <c r="G1147" s="24" t="s">
        <v>2372</v>
      </c>
      <c r="H1147" s="24"/>
      <c r="I1147" s="24"/>
      <c r="J1147" s="283"/>
      <c r="K1147" s="196"/>
      <c r="L1147" s="204"/>
      <c r="M1147" s="196"/>
      <c r="N1147" s="196"/>
      <c r="O1147" s="196" t="s">
        <v>405</v>
      </c>
      <c r="P1147" s="196"/>
      <c r="Q1147" s="196"/>
      <c r="R1147" s="196"/>
      <c r="S1147" s="283"/>
      <c r="T1147" s="196"/>
      <c r="U1147" s="283"/>
      <c r="V1147" s="283"/>
      <c r="W1147" s="196"/>
      <c r="X1147" s="225"/>
      <c r="Y1147" s="283"/>
      <c r="Z1147" s="283"/>
      <c r="AA1147" s="283"/>
      <c r="AB1147" s="283"/>
      <c r="AC1147" s="283"/>
      <c r="AD1147" s="283"/>
      <c r="AE1147" s="283"/>
      <c r="AF1147" s="283"/>
      <c r="AG1147" s="283"/>
      <c r="AH1147" s="285" t="s">
        <v>115</v>
      </c>
      <c r="AI1147" s="205" t="s">
        <v>406</v>
      </c>
      <c r="AJ1147" s="205" t="s">
        <v>407</v>
      </c>
      <c r="AK1147" s="225"/>
      <c r="AL1147" s="225"/>
      <c r="AM1147" s="24"/>
    </row>
    <row r="1148" spans="1:39" ht="12.75" customHeight="1">
      <c r="A1148" s="22">
        <v>1146</v>
      </c>
      <c r="B1148" s="24" t="s">
        <v>2920</v>
      </c>
      <c r="C1148" s="24" t="s">
        <v>96</v>
      </c>
      <c r="D1148" s="24" t="s">
        <v>1787</v>
      </c>
      <c r="E1148" s="24" t="s">
        <v>2914</v>
      </c>
      <c r="F1148" s="24">
        <v>1</v>
      </c>
      <c r="G1148" s="24" t="s">
        <v>2372</v>
      </c>
      <c r="H1148" s="24"/>
      <c r="I1148" s="24"/>
      <c r="J1148" s="283"/>
      <c r="K1148" s="196" t="s">
        <v>409</v>
      </c>
      <c r="L1148" s="204" t="s">
        <v>2921</v>
      </c>
      <c r="M1148" s="196" t="s">
        <v>2720</v>
      </c>
      <c r="N1148" s="196" t="s">
        <v>111</v>
      </c>
      <c r="O1148" s="196"/>
      <c r="P1148" s="196"/>
      <c r="Q1148" s="196"/>
      <c r="R1148" s="196"/>
      <c r="S1148" s="283"/>
      <c r="T1148" s="196" t="s">
        <v>208</v>
      </c>
      <c r="U1148" s="283"/>
      <c r="V1148" s="283"/>
      <c r="W1148" s="196" t="s">
        <v>115</v>
      </c>
      <c r="X1148" s="225"/>
      <c r="Y1148" s="283"/>
      <c r="Z1148" s="283"/>
      <c r="AA1148" s="283"/>
      <c r="AB1148" s="283"/>
      <c r="AC1148" s="283"/>
      <c r="AD1148" s="283"/>
      <c r="AE1148" s="283"/>
      <c r="AF1148" s="283"/>
      <c r="AG1148" s="283"/>
      <c r="AH1148" s="205" t="s">
        <v>2916</v>
      </c>
      <c r="AI1148" s="205" t="s">
        <v>2411</v>
      </c>
      <c r="AJ1148" s="205" t="s">
        <v>2412</v>
      </c>
      <c r="AK1148" s="225"/>
      <c r="AL1148" s="225"/>
      <c r="AM1148" s="24"/>
    </row>
    <row r="1149" spans="1:39" ht="12.75" customHeight="1">
      <c r="A1149" s="22">
        <v>1147</v>
      </c>
      <c r="B1149" s="24" t="s">
        <v>2922</v>
      </c>
      <c r="C1149" s="24" t="s">
        <v>96</v>
      </c>
      <c r="D1149" s="24" t="s">
        <v>1787</v>
      </c>
      <c r="E1149" s="24" t="s">
        <v>2923</v>
      </c>
      <c r="F1149" s="24">
        <v>1</v>
      </c>
      <c r="G1149" s="24" t="s">
        <v>2372</v>
      </c>
      <c r="H1149" s="24"/>
      <c r="I1149" s="24"/>
      <c r="J1149" s="283"/>
      <c r="K1149" s="164" t="s">
        <v>2922</v>
      </c>
      <c r="L1149" s="224" t="s">
        <v>2924</v>
      </c>
      <c r="M1149" s="164" t="s">
        <v>2925</v>
      </c>
      <c r="N1149" s="164" t="s">
        <v>202</v>
      </c>
      <c r="O1149" s="224"/>
      <c r="P1149" s="164"/>
      <c r="Q1149" s="164"/>
      <c r="R1149" s="164" t="s">
        <v>904</v>
      </c>
      <c r="S1149" s="283"/>
      <c r="T1149" s="164" t="s">
        <v>113</v>
      </c>
      <c r="U1149" s="283"/>
      <c r="V1149" s="283"/>
      <c r="W1149" s="164" t="s">
        <v>2675</v>
      </c>
      <c r="X1149" s="225"/>
      <c r="Y1149" s="283"/>
      <c r="Z1149" s="283"/>
      <c r="AA1149" s="283"/>
      <c r="AB1149" s="283"/>
      <c r="AC1149" s="283"/>
      <c r="AD1149" s="283"/>
      <c r="AE1149" s="283"/>
      <c r="AF1149" s="283"/>
      <c r="AG1149" s="283"/>
      <c r="AH1149" s="285" t="s">
        <v>2926</v>
      </c>
      <c r="AI1149" s="285" t="s">
        <v>2927</v>
      </c>
      <c r="AJ1149" s="285" t="s">
        <v>2928</v>
      </c>
      <c r="AK1149" s="225"/>
      <c r="AL1149" s="225"/>
      <c r="AM1149" s="24"/>
    </row>
    <row r="1150" spans="1:39" ht="12.75" customHeight="1">
      <c r="A1150" s="22">
        <v>1148</v>
      </c>
      <c r="B1150" s="24" t="s">
        <v>1775</v>
      </c>
      <c r="C1150" s="24" t="s">
        <v>180</v>
      </c>
      <c r="D1150" s="24" t="s">
        <v>2922</v>
      </c>
      <c r="E1150" s="24" t="s">
        <v>2923</v>
      </c>
      <c r="F1150" s="24">
        <v>1</v>
      </c>
      <c r="G1150" s="24" t="s">
        <v>2372</v>
      </c>
      <c r="H1150" s="24"/>
      <c r="I1150" s="24"/>
      <c r="J1150" s="283"/>
      <c r="K1150" s="164"/>
      <c r="L1150" s="164"/>
      <c r="M1150" s="164"/>
      <c r="N1150" s="164"/>
      <c r="O1150" s="224" t="s">
        <v>1775</v>
      </c>
      <c r="P1150" s="164"/>
      <c r="Q1150" s="164"/>
      <c r="R1150" s="164"/>
      <c r="S1150" s="283"/>
      <c r="T1150" s="164"/>
      <c r="U1150" s="283"/>
      <c r="V1150" s="283"/>
      <c r="W1150" s="164"/>
      <c r="X1150" s="225"/>
      <c r="Y1150" s="283"/>
      <c r="Z1150" s="283"/>
      <c r="AA1150" s="283"/>
      <c r="AB1150" s="283"/>
      <c r="AC1150" s="283"/>
      <c r="AD1150" s="283"/>
      <c r="AE1150" s="283"/>
      <c r="AF1150" s="283"/>
      <c r="AG1150" s="283"/>
      <c r="AH1150" s="285" t="s">
        <v>115</v>
      </c>
      <c r="AI1150" s="285" t="s">
        <v>953</v>
      </c>
      <c r="AJ1150" s="285" t="s">
        <v>954</v>
      </c>
      <c r="AK1150" s="225"/>
      <c r="AL1150" s="225"/>
      <c r="AM1150" s="24"/>
    </row>
    <row r="1151" spans="1:39" ht="12.75" customHeight="1">
      <c r="A1151" s="22">
        <v>1149</v>
      </c>
      <c r="B1151" s="24" t="s">
        <v>1779</v>
      </c>
      <c r="C1151" s="24" t="s">
        <v>180</v>
      </c>
      <c r="D1151" s="24" t="s">
        <v>2922</v>
      </c>
      <c r="E1151" s="24" t="s">
        <v>2923</v>
      </c>
      <c r="F1151" s="24">
        <v>1</v>
      </c>
      <c r="G1151" s="24" t="s">
        <v>2372</v>
      </c>
      <c r="H1151" s="24"/>
      <c r="I1151" s="24"/>
      <c r="J1151" s="283"/>
      <c r="K1151" s="164"/>
      <c r="L1151" s="164"/>
      <c r="M1151" s="164"/>
      <c r="N1151" s="164"/>
      <c r="O1151" s="224" t="s">
        <v>1779</v>
      </c>
      <c r="P1151" s="164"/>
      <c r="Q1151" s="164"/>
      <c r="R1151" s="164"/>
      <c r="S1151" s="283"/>
      <c r="T1151" s="164"/>
      <c r="U1151" s="283"/>
      <c r="V1151" s="283"/>
      <c r="W1151" s="164"/>
      <c r="X1151" s="225"/>
      <c r="Y1151" s="283"/>
      <c r="Z1151" s="283"/>
      <c r="AA1151" s="283"/>
      <c r="AB1151" s="283"/>
      <c r="AC1151" s="283"/>
      <c r="AD1151" s="283"/>
      <c r="AE1151" s="283"/>
      <c r="AF1151" s="283"/>
      <c r="AG1151" s="283"/>
      <c r="AH1151" s="285" t="s">
        <v>115</v>
      </c>
      <c r="AI1151" s="285" t="s">
        <v>2929</v>
      </c>
      <c r="AJ1151" s="285" t="s">
        <v>2930</v>
      </c>
      <c r="AK1151" s="225"/>
      <c r="AL1151" s="225"/>
      <c r="AM1151" s="24"/>
    </row>
    <row r="1152" spans="1:39" ht="12.75" customHeight="1">
      <c r="A1152" s="22">
        <v>1150</v>
      </c>
      <c r="B1152" s="24" t="s">
        <v>1468</v>
      </c>
      <c r="C1152" s="24" t="s">
        <v>180</v>
      </c>
      <c r="D1152" s="24" t="s">
        <v>2922</v>
      </c>
      <c r="E1152" s="24" t="s">
        <v>2923</v>
      </c>
      <c r="F1152" s="24">
        <v>1</v>
      </c>
      <c r="G1152" s="24" t="s">
        <v>2372</v>
      </c>
      <c r="H1152" s="24"/>
      <c r="I1152" s="24"/>
      <c r="J1152" s="283"/>
      <c r="K1152" s="164"/>
      <c r="L1152" s="164"/>
      <c r="M1152" s="164"/>
      <c r="N1152" s="164"/>
      <c r="O1152" s="224" t="s">
        <v>1468</v>
      </c>
      <c r="P1152" s="164"/>
      <c r="Q1152" s="164"/>
      <c r="R1152" s="164"/>
      <c r="S1152" s="283"/>
      <c r="T1152" s="164"/>
      <c r="U1152" s="283"/>
      <c r="V1152" s="283"/>
      <c r="W1152" s="164"/>
      <c r="X1152" s="225"/>
      <c r="Y1152" s="283"/>
      <c r="Z1152" s="283"/>
      <c r="AA1152" s="283"/>
      <c r="AB1152" s="283"/>
      <c r="AC1152" s="283"/>
      <c r="AD1152" s="283"/>
      <c r="AE1152" s="283"/>
      <c r="AF1152" s="283"/>
      <c r="AG1152" s="283"/>
      <c r="AH1152" s="285" t="s">
        <v>115</v>
      </c>
      <c r="AI1152" s="285" t="s">
        <v>957</v>
      </c>
      <c r="AJ1152" s="205" t="s">
        <v>958</v>
      </c>
      <c r="AK1152" s="225"/>
      <c r="AL1152" s="225"/>
      <c r="AM1152" s="24"/>
    </row>
    <row r="1153" spans="1:39" ht="12.75" customHeight="1">
      <c r="A1153" s="22">
        <v>1151</v>
      </c>
      <c r="B1153" s="24" t="s">
        <v>2931</v>
      </c>
      <c r="C1153" s="24" t="s">
        <v>65</v>
      </c>
      <c r="D1153" s="24" t="s">
        <v>1787</v>
      </c>
      <c r="E1153" s="24" t="s">
        <v>2923</v>
      </c>
      <c r="F1153" s="24">
        <v>1</v>
      </c>
      <c r="G1153" s="24" t="s">
        <v>2372</v>
      </c>
      <c r="H1153" s="24"/>
      <c r="I1153" s="24"/>
      <c r="J1153" s="283"/>
      <c r="K1153" s="164"/>
      <c r="L1153" s="164" t="s">
        <v>2931</v>
      </c>
      <c r="M1153" s="164" t="s">
        <v>2932</v>
      </c>
      <c r="N1153" s="164" t="s">
        <v>65</v>
      </c>
      <c r="O1153" s="224"/>
      <c r="P1153" s="382">
        <v>1</v>
      </c>
      <c r="Q1153" s="382"/>
      <c r="R1153" s="164"/>
      <c r="S1153" s="283"/>
      <c r="T1153" s="164"/>
      <c r="U1153" s="283"/>
      <c r="V1153" s="283"/>
      <c r="W1153" s="164"/>
      <c r="X1153" s="225"/>
      <c r="Y1153" s="283"/>
      <c r="Z1153" s="283"/>
      <c r="AA1153" s="283"/>
      <c r="AB1153" s="283"/>
      <c r="AC1153" s="283"/>
      <c r="AD1153" s="283"/>
      <c r="AE1153" s="283"/>
      <c r="AF1153" s="283"/>
      <c r="AG1153" s="283"/>
      <c r="AH1153" s="285" t="s">
        <v>2926</v>
      </c>
      <c r="AI1153" s="285" t="s">
        <v>2933</v>
      </c>
      <c r="AJ1153" s="285" t="s">
        <v>2934</v>
      </c>
      <c r="AK1153" s="225"/>
      <c r="AL1153" s="225"/>
      <c r="AM1153" s="24"/>
    </row>
    <row r="1154" spans="1:39" ht="12.75" customHeight="1">
      <c r="A1154" s="22">
        <v>1152</v>
      </c>
      <c r="B1154" s="24" t="s">
        <v>2935</v>
      </c>
      <c r="C1154" s="24" t="s">
        <v>65</v>
      </c>
      <c r="D1154" s="24" t="s">
        <v>1787</v>
      </c>
      <c r="E1154" s="24" t="s">
        <v>2923</v>
      </c>
      <c r="F1154" s="24">
        <v>1</v>
      </c>
      <c r="G1154" s="24" t="s">
        <v>2372</v>
      </c>
      <c r="H1154" s="24"/>
      <c r="I1154" s="24"/>
      <c r="J1154" s="283"/>
      <c r="K1154" s="164"/>
      <c r="L1154" s="164" t="s">
        <v>2935</v>
      </c>
      <c r="M1154" s="164" t="s">
        <v>2936</v>
      </c>
      <c r="N1154" s="164" t="s">
        <v>65</v>
      </c>
      <c r="O1154" s="224"/>
      <c r="P1154" s="164" t="s">
        <v>2937</v>
      </c>
      <c r="Q1154" s="164"/>
      <c r="R1154" s="164"/>
      <c r="S1154" s="283"/>
      <c r="T1154" s="164"/>
      <c r="U1154" s="283"/>
      <c r="V1154" s="283"/>
      <c r="W1154" s="164"/>
      <c r="X1154" s="225"/>
      <c r="Y1154" s="283"/>
      <c r="Z1154" s="283"/>
      <c r="AA1154" s="283"/>
      <c r="AB1154" s="283"/>
      <c r="AC1154" s="283"/>
      <c r="AD1154" s="283"/>
      <c r="AE1154" s="283"/>
      <c r="AF1154" s="283"/>
      <c r="AG1154" s="283"/>
      <c r="AH1154" s="285" t="s">
        <v>2926</v>
      </c>
      <c r="AI1154" s="285" t="s">
        <v>2938</v>
      </c>
      <c r="AJ1154" s="285" t="s">
        <v>2939</v>
      </c>
      <c r="AK1154" s="225"/>
      <c r="AL1154" s="225"/>
      <c r="AM1154" s="24"/>
    </row>
    <row r="1155" spans="1:39" ht="12.75" customHeight="1">
      <c r="A1155" s="22">
        <v>1153</v>
      </c>
      <c r="B1155" s="24" t="s">
        <v>2940</v>
      </c>
      <c r="C1155" s="24" t="s">
        <v>96</v>
      </c>
      <c r="D1155" s="24" t="s">
        <v>1787</v>
      </c>
      <c r="E1155" s="24" t="s">
        <v>2923</v>
      </c>
      <c r="F1155" s="24">
        <v>1</v>
      </c>
      <c r="G1155" s="24" t="s">
        <v>2372</v>
      </c>
      <c r="H1155" s="24"/>
      <c r="I1155" s="24"/>
      <c r="J1155" s="283"/>
      <c r="K1155" s="164" t="s">
        <v>2940</v>
      </c>
      <c r="L1155" s="164" t="s">
        <v>2941</v>
      </c>
      <c r="M1155" s="164" t="s">
        <v>2942</v>
      </c>
      <c r="N1155" s="164" t="s">
        <v>202</v>
      </c>
      <c r="O1155" s="224"/>
      <c r="P1155" s="164"/>
      <c r="Q1155" s="164"/>
      <c r="R1155" s="164" t="s">
        <v>904</v>
      </c>
      <c r="S1155" s="283"/>
      <c r="T1155" s="164" t="s">
        <v>113</v>
      </c>
      <c r="U1155" s="283"/>
      <c r="V1155" s="283"/>
      <c r="W1155" s="164" t="s">
        <v>2943</v>
      </c>
      <c r="X1155" s="225"/>
      <c r="Y1155" s="283"/>
      <c r="Z1155" s="283"/>
      <c r="AA1155" s="283"/>
      <c r="AB1155" s="283"/>
      <c r="AC1155" s="283"/>
      <c r="AD1155" s="283"/>
      <c r="AE1155" s="283"/>
      <c r="AF1155" s="283"/>
      <c r="AG1155" s="283"/>
      <c r="AH1155" s="285" t="s">
        <v>2926</v>
      </c>
      <c r="AI1155" s="285" t="s">
        <v>2927</v>
      </c>
      <c r="AJ1155" s="285" t="s">
        <v>2928</v>
      </c>
      <c r="AK1155" s="225"/>
      <c r="AL1155" s="225"/>
      <c r="AM1155" s="24"/>
    </row>
    <row r="1156" spans="1:39" ht="12.75" customHeight="1">
      <c r="A1156" s="22">
        <v>1154</v>
      </c>
      <c r="B1156" s="24" t="s">
        <v>1775</v>
      </c>
      <c r="C1156" s="24" t="s">
        <v>180</v>
      </c>
      <c r="D1156" s="24" t="s">
        <v>2940</v>
      </c>
      <c r="E1156" s="24" t="s">
        <v>2923</v>
      </c>
      <c r="F1156" s="24">
        <v>1</v>
      </c>
      <c r="G1156" s="24" t="s">
        <v>2372</v>
      </c>
      <c r="H1156" s="24"/>
      <c r="I1156" s="24"/>
      <c r="J1156" s="283"/>
      <c r="K1156" s="164"/>
      <c r="L1156" s="164"/>
      <c r="M1156" s="164"/>
      <c r="N1156" s="164"/>
      <c r="O1156" s="224" t="s">
        <v>1775</v>
      </c>
      <c r="P1156" s="164"/>
      <c r="Q1156" s="164"/>
      <c r="R1156" s="164"/>
      <c r="S1156" s="283"/>
      <c r="T1156" s="164"/>
      <c r="U1156" s="283"/>
      <c r="V1156" s="283"/>
      <c r="W1156" s="164"/>
      <c r="X1156" s="225"/>
      <c r="Y1156" s="283"/>
      <c r="Z1156" s="283"/>
      <c r="AA1156" s="283"/>
      <c r="AB1156" s="283"/>
      <c r="AC1156" s="283"/>
      <c r="AD1156" s="283"/>
      <c r="AE1156" s="283"/>
      <c r="AF1156" s="283"/>
      <c r="AG1156" s="283"/>
      <c r="AH1156" s="285" t="s">
        <v>115</v>
      </c>
      <c r="AI1156" s="285" t="s">
        <v>953</v>
      </c>
      <c r="AJ1156" s="285" t="s">
        <v>954</v>
      </c>
      <c r="AK1156" s="225"/>
      <c r="AL1156" s="225"/>
      <c r="AM1156" s="24"/>
    </row>
    <row r="1157" spans="1:39" ht="12.75" customHeight="1">
      <c r="A1157" s="22">
        <v>1155</v>
      </c>
      <c r="B1157" s="24" t="s">
        <v>1779</v>
      </c>
      <c r="C1157" s="24" t="s">
        <v>180</v>
      </c>
      <c r="D1157" s="24" t="s">
        <v>2940</v>
      </c>
      <c r="E1157" s="24" t="s">
        <v>2923</v>
      </c>
      <c r="F1157" s="24">
        <v>1</v>
      </c>
      <c r="G1157" s="24" t="s">
        <v>2372</v>
      </c>
      <c r="H1157" s="24"/>
      <c r="I1157" s="24"/>
      <c r="J1157" s="283"/>
      <c r="K1157" s="164"/>
      <c r="L1157" s="164"/>
      <c r="M1157" s="164"/>
      <c r="N1157" s="164"/>
      <c r="O1157" s="224" t="s">
        <v>1779</v>
      </c>
      <c r="P1157" s="164"/>
      <c r="Q1157" s="164"/>
      <c r="R1157" s="164"/>
      <c r="S1157" s="283"/>
      <c r="T1157" s="164"/>
      <c r="U1157" s="283"/>
      <c r="V1157" s="283"/>
      <c r="W1157" s="164"/>
      <c r="X1157" s="225"/>
      <c r="Y1157" s="283"/>
      <c r="Z1157" s="283"/>
      <c r="AA1157" s="283"/>
      <c r="AB1157" s="283"/>
      <c r="AC1157" s="283"/>
      <c r="AD1157" s="283"/>
      <c r="AE1157" s="283"/>
      <c r="AF1157" s="283"/>
      <c r="AG1157" s="283"/>
      <c r="AH1157" s="285" t="s">
        <v>115</v>
      </c>
      <c r="AI1157" s="285" t="s">
        <v>2929</v>
      </c>
      <c r="AJ1157" s="285" t="s">
        <v>2930</v>
      </c>
      <c r="AK1157" s="225"/>
      <c r="AL1157" s="225"/>
      <c r="AM1157" s="24"/>
    </row>
    <row r="1158" spans="1:39" ht="12.75" customHeight="1">
      <c r="A1158" s="22">
        <v>1156</v>
      </c>
      <c r="B1158" s="24" t="s">
        <v>1468</v>
      </c>
      <c r="C1158" s="24" t="s">
        <v>180</v>
      </c>
      <c r="D1158" s="24" t="s">
        <v>2940</v>
      </c>
      <c r="E1158" s="24" t="s">
        <v>2923</v>
      </c>
      <c r="F1158" s="24">
        <v>1</v>
      </c>
      <c r="G1158" s="24" t="s">
        <v>2372</v>
      </c>
      <c r="H1158" s="24"/>
      <c r="I1158" s="24"/>
      <c r="J1158" s="283"/>
      <c r="K1158" s="164"/>
      <c r="L1158" s="164"/>
      <c r="M1158" s="164"/>
      <c r="N1158" s="164"/>
      <c r="O1158" s="224" t="s">
        <v>1468</v>
      </c>
      <c r="P1158" s="164"/>
      <c r="Q1158" s="164"/>
      <c r="R1158" s="164"/>
      <c r="S1158" s="283"/>
      <c r="T1158" s="164"/>
      <c r="U1158" s="283"/>
      <c r="V1158" s="283"/>
      <c r="W1158" s="164"/>
      <c r="X1158" s="225"/>
      <c r="Y1158" s="283"/>
      <c r="Z1158" s="283"/>
      <c r="AA1158" s="283"/>
      <c r="AB1158" s="283"/>
      <c r="AC1158" s="283"/>
      <c r="AD1158" s="283"/>
      <c r="AE1158" s="283"/>
      <c r="AF1158" s="283"/>
      <c r="AG1158" s="283"/>
      <c r="AH1158" s="285" t="s">
        <v>115</v>
      </c>
      <c r="AI1158" s="285" t="s">
        <v>957</v>
      </c>
      <c r="AJ1158" s="205" t="s">
        <v>958</v>
      </c>
      <c r="AK1158" s="225"/>
      <c r="AL1158" s="225"/>
      <c r="AM1158" s="24"/>
    </row>
    <row r="1159" spans="1:39" ht="12.75" customHeight="1">
      <c r="A1159" s="22">
        <v>1157</v>
      </c>
      <c r="B1159" s="24" t="s">
        <v>2944</v>
      </c>
      <c r="C1159" s="24" t="s">
        <v>65</v>
      </c>
      <c r="D1159" s="24" t="s">
        <v>1787</v>
      </c>
      <c r="E1159" s="24" t="s">
        <v>2923</v>
      </c>
      <c r="F1159" s="24">
        <v>1</v>
      </c>
      <c r="G1159" s="24" t="s">
        <v>2372</v>
      </c>
      <c r="H1159" s="24"/>
      <c r="I1159" s="24"/>
      <c r="J1159" s="283"/>
      <c r="K1159" s="164"/>
      <c r="L1159" s="164" t="s">
        <v>2944</v>
      </c>
      <c r="M1159" s="164" t="s">
        <v>2945</v>
      </c>
      <c r="N1159" s="164" t="s">
        <v>65</v>
      </c>
      <c r="O1159" s="224"/>
      <c r="P1159" s="382">
        <v>2</v>
      </c>
      <c r="Q1159" s="382"/>
      <c r="R1159" s="164"/>
      <c r="S1159" s="283"/>
      <c r="T1159" s="164"/>
      <c r="U1159" s="283"/>
      <c r="V1159" s="283"/>
      <c r="W1159" s="164"/>
      <c r="X1159" s="225"/>
      <c r="Y1159" s="283"/>
      <c r="Z1159" s="283"/>
      <c r="AA1159" s="283"/>
      <c r="AB1159" s="283"/>
      <c r="AC1159" s="283"/>
      <c r="AD1159" s="283"/>
      <c r="AE1159" s="283"/>
      <c r="AF1159" s="283"/>
      <c r="AG1159" s="283"/>
      <c r="AH1159" s="285" t="s">
        <v>2926</v>
      </c>
      <c r="AI1159" s="285" t="s">
        <v>2933</v>
      </c>
      <c r="AJ1159" s="285" t="s">
        <v>2934</v>
      </c>
      <c r="AK1159" s="225"/>
      <c r="AL1159" s="225"/>
      <c r="AM1159" s="24"/>
    </row>
    <row r="1160" spans="1:39" ht="12.75" customHeight="1">
      <c r="A1160" s="22">
        <v>1158</v>
      </c>
      <c r="B1160" s="24" t="s">
        <v>2946</v>
      </c>
      <c r="C1160" s="24" t="s">
        <v>65</v>
      </c>
      <c r="D1160" s="24" t="s">
        <v>1787</v>
      </c>
      <c r="E1160" s="24" t="s">
        <v>2923</v>
      </c>
      <c r="F1160" s="24">
        <v>1</v>
      </c>
      <c r="G1160" s="24" t="s">
        <v>2372</v>
      </c>
      <c r="H1160" s="24"/>
      <c r="I1160" s="24"/>
      <c r="J1160" s="283"/>
      <c r="K1160" s="164"/>
      <c r="L1160" s="164" t="s">
        <v>2946</v>
      </c>
      <c r="M1160" s="164" t="s">
        <v>2947</v>
      </c>
      <c r="N1160" s="164" t="s">
        <v>65</v>
      </c>
      <c r="O1160" s="224"/>
      <c r="P1160" s="164" t="s">
        <v>2937</v>
      </c>
      <c r="Q1160" s="164"/>
      <c r="R1160" s="164"/>
      <c r="S1160" s="283"/>
      <c r="T1160" s="164"/>
      <c r="U1160" s="283"/>
      <c r="V1160" s="283"/>
      <c r="W1160" s="164"/>
      <c r="X1160" s="225"/>
      <c r="Y1160" s="283"/>
      <c r="Z1160" s="283"/>
      <c r="AA1160" s="283"/>
      <c r="AB1160" s="283"/>
      <c r="AC1160" s="283"/>
      <c r="AD1160" s="283"/>
      <c r="AE1160" s="283"/>
      <c r="AF1160" s="283"/>
      <c r="AG1160" s="283"/>
      <c r="AH1160" s="285" t="s">
        <v>2926</v>
      </c>
      <c r="AI1160" s="285" t="s">
        <v>2938</v>
      </c>
      <c r="AJ1160" s="285" t="s">
        <v>2939</v>
      </c>
      <c r="AK1160" s="225"/>
      <c r="AL1160" s="225"/>
      <c r="AM1160" s="24"/>
    </row>
    <row r="1161" spans="1:39" ht="12.75" customHeight="1">
      <c r="A1161" s="22">
        <v>1159</v>
      </c>
      <c r="B1161" s="24" t="s">
        <v>2948</v>
      </c>
      <c r="C1161" s="24" t="s">
        <v>96</v>
      </c>
      <c r="D1161" s="24" t="s">
        <v>1787</v>
      </c>
      <c r="E1161" s="24" t="s">
        <v>2923</v>
      </c>
      <c r="F1161" s="24">
        <v>1</v>
      </c>
      <c r="G1161" s="24" t="s">
        <v>2372</v>
      </c>
      <c r="H1161" s="24"/>
      <c r="I1161" s="24"/>
      <c r="J1161" s="283"/>
      <c r="K1161" s="164" t="s">
        <v>2948</v>
      </c>
      <c r="L1161" s="164" t="s">
        <v>2949</v>
      </c>
      <c r="M1161" s="164" t="s">
        <v>2950</v>
      </c>
      <c r="N1161" s="164" t="s">
        <v>202</v>
      </c>
      <c r="O1161" s="224"/>
      <c r="P1161" s="164"/>
      <c r="Q1161" s="164"/>
      <c r="R1161" s="164" t="s">
        <v>904</v>
      </c>
      <c r="S1161" s="283"/>
      <c r="T1161" s="164" t="s">
        <v>113</v>
      </c>
      <c r="U1161" s="283"/>
      <c r="V1161" s="283"/>
      <c r="W1161" s="164" t="s">
        <v>2951</v>
      </c>
      <c r="X1161" s="225"/>
      <c r="Y1161" s="283"/>
      <c r="Z1161" s="283"/>
      <c r="AA1161" s="283"/>
      <c r="AB1161" s="283"/>
      <c r="AC1161" s="283"/>
      <c r="AD1161" s="283"/>
      <c r="AE1161" s="283"/>
      <c r="AF1161" s="283"/>
      <c r="AG1161" s="283"/>
      <c r="AH1161" s="285" t="s">
        <v>2926</v>
      </c>
      <c r="AI1161" s="285" t="s">
        <v>2927</v>
      </c>
      <c r="AJ1161" s="285" t="s">
        <v>2928</v>
      </c>
      <c r="AK1161" s="225"/>
      <c r="AL1161" s="225"/>
      <c r="AM1161" s="24"/>
    </row>
    <row r="1162" spans="1:39" ht="12.75" customHeight="1">
      <c r="A1162" s="22">
        <v>1160</v>
      </c>
      <c r="B1162" s="24" t="s">
        <v>1775</v>
      </c>
      <c r="C1162" s="24" t="s">
        <v>180</v>
      </c>
      <c r="D1162" s="24" t="s">
        <v>2948</v>
      </c>
      <c r="E1162" s="24" t="s">
        <v>2923</v>
      </c>
      <c r="F1162" s="24">
        <v>1</v>
      </c>
      <c r="G1162" s="24" t="s">
        <v>2372</v>
      </c>
      <c r="H1162" s="24"/>
      <c r="I1162" s="24"/>
      <c r="J1162" s="283"/>
      <c r="K1162" s="164"/>
      <c r="L1162" s="164"/>
      <c r="M1162" s="164"/>
      <c r="N1162" s="164"/>
      <c r="O1162" s="224" t="s">
        <v>1775</v>
      </c>
      <c r="P1162" s="164"/>
      <c r="Q1162" s="164"/>
      <c r="R1162" s="164"/>
      <c r="S1162" s="283"/>
      <c r="T1162" s="164"/>
      <c r="U1162" s="283"/>
      <c r="V1162" s="283"/>
      <c r="W1162" s="164"/>
      <c r="X1162" s="225"/>
      <c r="Y1162" s="283"/>
      <c r="Z1162" s="283"/>
      <c r="AA1162" s="283"/>
      <c r="AB1162" s="283"/>
      <c r="AC1162" s="283"/>
      <c r="AD1162" s="283"/>
      <c r="AE1162" s="283"/>
      <c r="AF1162" s="283"/>
      <c r="AG1162" s="283"/>
      <c r="AH1162" s="285" t="s">
        <v>115</v>
      </c>
      <c r="AI1162" s="285" t="s">
        <v>953</v>
      </c>
      <c r="AJ1162" s="285" t="s">
        <v>954</v>
      </c>
      <c r="AK1162" s="225"/>
      <c r="AL1162" s="225"/>
      <c r="AM1162" s="24"/>
    </row>
    <row r="1163" spans="1:39" ht="12.75" customHeight="1">
      <c r="A1163" s="22">
        <v>1161</v>
      </c>
      <c r="B1163" s="24" t="s">
        <v>1779</v>
      </c>
      <c r="C1163" s="24" t="s">
        <v>180</v>
      </c>
      <c r="D1163" s="24" t="s">
        <v>2948</v>
      </c>
      <c r="E1163" s="24" t="s">
        <v>2923</v>
      </c>
      <c r="F1163" s="24">
        <v>1</v>
      </c>
      <c r="G1163" s="24" t="s">
        <v>2372</v>
      </c>
      <c r="H1163" s="24"/>
      <c r="I1163" s="24"/>
      <c r="J1163" s="283"/>
      <c r="K1163" s="164"/>
      <c r="L1163" s="164"/>
      <c r="M1163" s="164"/>
      <c r="N1163" s="164"/>
      <c r="O1163" s="224" t="s">
        <v>1779</v>
      </c>
      <c r="P1163" s="164"/>
      <c r="Q1163" s="164"/>
      <c r="R1163" s="164"/>
      <c r="S1163" s="283"/>
      <c r="T1163" s="164"/>
      <c r="U1163" s="283"/>
      <c r="V1163" s="283"/>
      <c r="W1163" s="164"/>
      <c r="X1163" s="225"/>
      <c r="Y1163" s="283"/>
      <c r="Z1163" s="283"/>
      <c r="AA1163" s="283"/>
      <c r="AB1163" s="283"/>
      <c r="AC1163" s="283"/>
      <c r="AD1163" s="283"/>
      <c r="AE1163" s="283"/>
      <c r="AF1163" s="283"/>
      <c r="AG1163" s="283"/>
      <c r="AH1163" s="285" t="s">
        <v>115</v>
      </c>
      <c r="AI1163" s="285" t="s">
        <v>2929</v>
      </c>
      <c r="AJ1163" s="285" t="s">
        <v>2930</v>
      </c>
      <c r="AK1163" s="225"/>
      <c r="AL1163" s="225"/>
      <c r="AM1163" s="24"/>
    </row>
    <row r="1164" spans="1:39" ht="12.75" customHeight="1">
      <c r="A1164" s="22">
        <v>1162</v>
      </c>
      <c r="B1164" s="24" t="s">
        <v>1468</v>
      </c>
      <c r="C1164" s="24" t="s">
        <v>180</v>
      </c>
      <c r="D1164" s="24" t="s">
        <v>2948</v>
      </c>
      <c r="E1164" s="24" t="s">
        <v>2923</v>
      </c>
      <c r="F1164" s="24">
        <v>1</v>
      </c>
      <c r="G1164" s="24" t="s">
        <v>2372</v>
      </c>
      <c r="H1164" s="24"/>
      <c r="I1164" s="24"/>
      <c r="J1164" s="283"/>
      <c r="K1164" s="164"/>
      <c r="L1164" s="164"/>
      <c r="M1164" s="164"/>
      <c r="N1164" s="164"/>
      <c r="O1164" s="224" t="s">
        <v>1468</v>
      </c>
      <c r="P1164" s="164"/>
      <c r="Q1164" s="164"/>
      <c r="R1164" s="164"/>
      <c r="S1164" s="283"/>
      <c r="T1164" s="164"/>
      <c r="U1164" s="283"/>
      <c r="V1164" s="283"/>
      <c r="W1164" s="164"/>
      <c r="X1164" s="225"/>
      <c r="Y1164" s="283"/>
      <c r="Z1164" s="283"/>
      <c r="AA1164" s="283"/>
      <c r="AB1164" s="283"/>
      <c r="AC1164" s="283"/>
      <c r="AD1164" s="283"/>
      <c r="AE1164" s="283"/>
      <c r="AF1164" s="283"/>
      <c r="AG1164" s="283"/>
      <c r="AH1164" s="285" t="s">
        <v>115</v>
      </c>
      <c r="AI1164" s="285" t="s">
        <v>957</v>
      </c>
      <c r="AJ1164" s="205" t="s">
        <v>958</v>
      </c>
      <c r="AK1164" s="225"/>
      <c r="AL1164" s="225"/>
      <c r="AM1164" s="24"/>
    </row>
    <row r="1165" spans="1:39" ht="12.75" customHeight="1">
      <c r="A1165" s="22">
        <v>1163</v>
      </c>
      <c r="B1165" s="24" t="s">
        <v>2952</v>
      </c>
      <c r="C1165" s="24" t="s">
        <v>65</v>
      </c>
      <c r="D1165" s="24" t="s">
        <v>1787</v>
      </c>
      <c r="E1165" s="24" t="s">
        <v>2923</v>
      </c>
      <c r="F1165" s="24">
        <v>1</v>
      </c>
      <c r="G1165" s="24" t="s">
        <v>2372</v>
      </c>
      <c r="H1165" s="24"/>
      <c r="I1165" s="24"/>
      <c r="J1165" s="283"/>
      <c r="K1165" s="164"/>
      <c r="L1165" s="164" t="s">
        <v>2952</v>
      </c>
      <c r="M1165" s="164" t="s">
        <v>2953</v>
      </c>
      <c r="N1165" s="164" t="s">
        <v>65</v>
      </c>
      <c r="O1165" s="224"/>
      <c r="P1165" s="382">
        <v>3</v>
      </c>
      <c r="Q1165" s="382"/>
      <c r="R1165" s="164"/>
      <c r="S1165" s="283"/>
      <c r="T1165" s="164"/>
      <c r="U1165" s="283"/>
      <c r="V1165" s="283"/>
      <c r="W1165" s="164"/>
      <c r="X1165" s="225"/>
      <c r="Y1165" s="283"/>
      <c r="Z1165" s="283"/>
      <c r="AA1165" s="283"/>
      <c r="AB1165" s="283"/>
      <c r="AC1165" s="283"/>
      <c r="AD1165" s="283"/>
      <c r="AE1165" s="283"/>
      <c r="AF1165" s="283"/>
      <c r="AG1165" s="283"/>
      <c r="AH1165" s="285" t="s">
        <v>2926</v>
      </c>
      <c r="AI1165" s="285" t="s">
        <v>2933</v>
      </c>
      <c r="AJ1165" s="285" t="s">
        <v>2934</v>
      </c>
      <c r="AK1165" s="225"/>
      <c r="AL1165" s="225"/>
      <c r="AM1165" s="24"/>
    </row>
    <row r="1166" spans="1:39" ht="12.75" customHeight="1">
      <c r="A1166" s="22">
        <v>1164</v>
      </c>
      <c r="B1166" s="24" t="s">
        <v>2954</v>
      </c>
      <c r="C1166" s="24" t="s">
        <v>65</v>
      </c>
      <c r="D1166" s="24" t="s">
        <v>1787</v>
      </c>
      <c r="E1166" s="24" t="s">
        <v>2923</v>
      </c>
      <c r="F1166" s="24">
        <v>1</v>
      </c>
      <c r="G1166" s="24" t="s">
        <v>2372</v>
      </c>
      <c r="H1166" s="24"/>
      <c r="I1166" s="24"/>
      <c r="J1166" s="283"/>
      <c r="K1166" s="164"/>
      <c r="L1166" s="164" t="s">
        <v>2954</v>
      </c>
      <c r="M1166" s="164" t="s">
        <v>2955</v>
      </c>
      <c r="N1166" s="164" t="s">
        <v>65</v>
      </c>
      <c r="O1166" s="224"/>
      <c r="P1166" s="164" t="s">
        <v>2937</v>
      </c>
      <c r="Q1166" s="164"/>
      <c r="R1166" s="164"/>
      <c r="S1166" s="283"/>
      <c r="T1166" s="164"/>
      <c r="U1166" s="283"/>
      <c r="V1166" s="283"/>
      <c r="W1166" s="164"/>
      <c r="X1166" s="225"/>
      <c r="Y1166" s="283"/>
      <c r="Z1166" s="283"/>
      <c r="AA1166" s="283"/>
      <c r="AB1166" s="283"/>
      <c r="AC1166" s="283"/>
      <c r="AD1166" s="283"/>
      <c r="AE1166" s="283"/>
      <c r="AF1166" s="283"/>
      <c r="AG1166" s="283"/>
      <c r="AH1166" s="285" t="s">
        <v>2926</v>
      </c>
      <c r="AI1166" s="285" t="s">
        <v>2938</v>
      </c>
      <c r="AJ1166" s="285" t="s">
        <v>2939</v>
      </c>
      <c r="AK1166" s="225"/>
      <c r="AL1166" s="225"/>
      <c r="AM1166" s="24"/>
    </row>
    <row r="1167" spans="1:39" ht="12.75" customHeight="1">
      <c r="A1167" s="22">
        <v>1165</v>
      </c>
      <c r="B1167" s="24" t="s">
        <v>2956</v>
      </c>
      <c r="C1167" s="24" t="s">
        <v>96</v>
      </c>
      <c r="D1167" s="24" t="s">
        <v>1787</v>
      </c>
      <c r="E1167" s="24" t="s">
        <v>2923</v>
      </c>
      <c r="F1167" s="24">
        <v>1</v>
      </c>
      <c r="G1167" s="24" t="s">
        <v>2372</v>
      </c>
      <c r="H1167" s="24"/>
      <c r="I1167" s="24"/>
      <c r="J1167" s="283"/>
      <c r="K1167" s="164" t="s">
        <v>1376</v>
      </c>
      <c r="L1167" s="164" t="s">
        <v>2957</v>
      </c>
      <c r="M1167" s="164" t="s">
        <v>2958</v>
      </c>
      <c r="N1167" s="164" t="s">
        <v>202</v>
      </c>
      <c r="O1167" s="224"/>
      <c r="P1167" s="164"/>
      <c r="Q1167" s="164"/>
      <c r="R1167" s="164"/>
      <c r="S1167" s="283"/>
      <c r="T1167" s="164" t="s">
        <v>113</v>
      </c>
      <c r="U1167" s="283"/>
      <c r="V1167" s="283"/>
      <c r="W1167" s="164" t="s">
        <v>115</v>
      </c>
      <c r="X1167" s="225"/>
      <c r="Y1167" s="283"/>
      <c r="Z1167" s="283"/>
      <c r="AA1167" s="283"/>
      <c r="AB1167" s="283"/>
      <c r="AC1167" s="283"/>
      <c r="AD1167" s="283"/>
      <c r="AE1167" s="283"/>
      <c r="AF1167" s="283"/>
      <c r="AG1167" s="283"/>
      <c r="AH1167" s="285" t="s">
        <v>2926</v>
      </c>
      <c r="AI1167" s="285" t="s">
        <v>2959</v>
      </c>
      <c r="AJ1167" s="285" t="s">
        <v>2960</v>
      </c>
      <c r="AK1167" s="225"/>
      <c r="AL1167" s="225"/>
      <c r="AM1167" s="24"/>
    </row>
    <row r="1168" spans="1:39" ht="12.75" customHeight="1">
      <c r="A1168" s="22">
        <v>1166</v>
      </c>
      <c r="B1168" s="24" t="s">
        <v>2961</v>
      </c>
      <c r="C1168" s="24" t="s">
        <v>180</v>
      </c>
      <c r="D1168" s="24" t="s">
        <v>2956</v>
      </c>
      <c r="E1168" s="24" t="s">
        <v>2923</v>
      </c>
      <c r="F1168" s="24">
        <v>1</v>
      </c>
      <c r="G1168" s="24" t="s">
        <v>2372</v>
      </c>
      <c r="H1168" s="24"/>
      <c r="I1168" s="24"/>
      <c r="J1168" s="283"/>
      <c r="K1168" s="196"/>
      <c r="L1168" s="196"/>
      <c r="M1168" s="196"/>
      <c r="N1168" s="196"/>
      <c r="O1168" s="224" t="s">
        <v>2961</v>
      </c>
      <c r="P1168" s="196"/>
      <c r="Q1168" s="196"/>
      <c r="R1168" s="196"/>
      <c r="S1168" s="283"/>
      <c r="T1168" s="196"/>
      <c r="U1168" s="283"/>
      <c r="V1168" s="283"/>
      <c r="W1168" s="196"/>
      <c r="X1168" s="225"/>
      <c r="Y1168" s="283"/>
      <c r="Z1168" s="283"/>
      <c r="AA1168" s="283"/>
      <c r="AB1168" s="283"/>
      <c r="AC1168" s="283"/>
      <c r="AD1168" s="283"/>
      <c r="AE1168" s="283"/>
      <c r="AF1168" s="283"/>
      <c r="AG1168" s="283"/>
      <c r="AH1168" s="205" t="s">
        <v>115</v>
      </c>
      <c r="AI1168" s="205" t="s">
        <v>2637</v>
      </c>
      <c r="AJ1168" s="205" t="s">
        <v>2638</v>
      </c>
      <c r="AK1168" s="225"/>
      <c r="AL1168" s="225"/>
      <c r="AM1168" s="24"/>
    </row>
    <row r="1169" spans="1:39" ht="12.75" customHeight="1">
      <c r="A1169" s="22">
        <v>1167</v>
      </c>
      <c r="B1169" s="24" t="s">
        <v>2962</v>
      </c>
      <c r="C1169" s="24" t="s">
        <v>180</v>
      </c>
      <c r="D1169" s="24" t="s">
        <v>2956</v>
      </c>
      <c r="E1169" s="24" t="s">
        <v>2923</v>
      </c>
      <c r="F1169" s="24">
        <v>1</v>
      </c>
      <c r="G1169" s="24" t="s">
        <v>2372</v>
      </c>
      <c r="H1169" s="24"/>
      <c r="I1169" s="24"/>
      <c r="J1169" s="283"/>
      <c r="K1169" s="196"/>
      <c r="L1169" s="196"/>
      <c r="M1169" s="196"/>
      <c r="N1169" s="196"/>
      <c r="O1169" s="204" t="s">
        <v>2962</v>
      </c>
      <c r="P1169" s="196"/>
      <c r="Q1169" s="196"/>
      <c r="R1169" s="196"/>
      <c r="S1169" s="283"/>
      <c r="T1169" s="196"/>
      <c r="U1169" s="283"/>
      <c r="V1169" s="283"/>
      <c r="W1169" s="196"/>
      <c r="X1169" s="225"/>
      <c r="Y1169" s="283"/>
      <c r="Z1169" s="283"/>
      <c r="AA1169" s="283"/>
      <c r="AB1169" s="283"/>
      <c r="AC1169" s="283"/>
      <c r="AD1169" s="283"/>
      <c r="AE1169" s="283"/>
      <c r="AF1169" s="283"/>
      <c r="AG1169" s="283"/>
      <c r="AH1169" s="205" t="s">
        <v>115</v>
      </c>
      <c r="AI1169" s="205" t="s">
        <v>2963</v>
      </c>
      <c r="AJ1169" s="205" t="s">
        <v>2964</v>
      </c>
      <c r="AK1169" s="225"/>
      <c r="AL1169" s="225"/>
      <c r="AM1169" s="24"/>
    </row>
    <row r="1170" spans="1:39" ht="12.75" customHeight="1">
      <c r="A1170" s="22">
        <v>1168</v>
      </c>
      <c r="B1170" s="24" t="s">
        <v>2383</v>
      </c>
      <c r="C1170" s="24" t="s">
        <v>180</v>
      </c>
      <c r="D1170" s="24" t="s">
        <v>2956</v>
      </c>
      <c r="E1170" s="24" t="s">
        <v>2923</v>
      </c>
      <c r="F1170" s="24">
        <v>1</v>
      </c>
      <c r="G1170" s="24" t="s">
        <v>2372</v>
      </c>
      <c r="H1170" s="24"/>
      <c r="I1170" s="24"/>
      <c r="J1170" s="283"/>
      <c r="K1170" s="196"/>
      <c r="L1170" s="196"/>
      <c r="M1170" s="196"/>
      <c r="N1170" s="196"/>
      <c r="O1170" s="204" t="s">
        <v>2383</v>
      </c>
      <c r="P1170" s="196"/>
      <c r="Q1170" s="196"/>
      <c r="R1170" s="196"/>
      <c r="S1170" s="283"/>
      <c r="T1170" s="196"/>
      <c r="U1170" s="283"/>
      <c r="V1170" s="283"/>
      <c r="W1170" s="196"/>
      <c r="X1170" s="225"/>
      <c r="Y1170" s="283"/>
      <c r="Z1170" s="283"/>
      <c r="AA1170" s="283"/>
      <c r="AB1170" s="283"/>
      <c r="AC1170" s="283"/>
      <c r="AD1170" s="283"/>
      <c r="AE1170" s="283"/>
      <c r="AF1170" s="283"/>
      <c r="AG1170" s="283"/>
      <c r="AH1170" s="205" t="s">
        <v>115</v>
      </c>
      <c r="AI1170" s="205" t="s">
        <v>2716</v>
      </c>
      <c r="AJ1170" s="205" t="s">
        <v>2717</v>
      </c>
      <c r="AK1170" s="225"/>
      <c r="AL1170" s="225"/>
      <c r="AM1170" s="24"/>
    </row>
    <row r="1171" spans="1:39" ht="12.75" customHeight="1">
      <c r="A1171" s="22">
        <v>1169</v>
      </c>
      <c r="B1171" s="24" t="s">
        <v>2965</v>
      </c>
      <c r="C1171" s="24" t="s">
        <v>180</v>
      </c>
      <c r="D1171" s="24" t="s">
        <v>2956</v>
      </c>
      <c r="E1171" s="24" t="s">
        <v>2923</v>
      </c>
      <c r="F1171" s="24">
        <v>1</v>
      </c>
      <c r="G1171" s="24" t="s">
        <v>2372</v>
      </c>
      <c r="H1171" s="24"/>
      <c r="I1171" s="24"/>
      <c r="J1171" s="283"/>
      <c r="K1171" s="196"/>
      <c r="L1171" s="196"/>
      <c r="M1171" s="196"/>
      <c r="N1171" s="196"/>
      <c r="O1171" s="204" t="s">
        <v>2965</v>
      </c>
      <c r="P1171" s="196"/>
      <c r="Q1171" s="196"/>
      <c r="R1171" s="196"/>
      <c r="S1171" s="283"/>
      <c r="T1171" s="196"/>
      <c r="U1171" s="283"/>
      <c r="V1171" s="283"/>
      <c r="W1171" s="196"/>
      <c r="X1171" s="225"/>
      <c r="Y1171" s="283"/>
      <c r="Z1171" s="283"/>
      <c r="AA1171" s="283"/>
      <c r="AB1171" s="283"/>
      <c r="AC1171" s="283"/>
      <c r="AD1171" s="283"/>
      <c r="AE1171" s="283"/>
      <c r="AF1171" s="283"/>
      <c r="AG1171" s="283"/>
      <c r="AH1171" s="205" t="s">
        <v>115</v>
      </c>
      <c r="AI1171" s="205" t="s">
        <v>2685</v>
      </c>
      <c r="AJ1171" s="205" t="s">
        <v>2686</v>
      </c>
      <c r="AK1171" s="225"/>
      <c r="AL1171" s="225"/>
      <c r="AM1171" s="24"/>
    </row>
    <row r="1172" spans="1:39" ht="12.75" customHeight="1">
      <c r="A1172" s="22">
        <v>1170</v>
      </c>
      <c r="B1172" s="24" t="s">
        <v>405</v>
      </c>
      <c r="C1172" s="24" t="s">
        <v>180</v>
      </c>
      <c r="D1172" s="24" t="s">
        <v>2956</v>
      </c>
      <c r="E1172" s="24" t="s">
        <v>2923</v>
      </c>
      <c r="F1172" s="24">
        <v>1</v>
      </c>
      <c r="G1172" s="24" t="s">
        <v>2372</v>
      </c>
      <c r="H1172" s="24"/>
      <c r="I1172" s="24"/>
      <c r="J1172" s="283"/>
      <c r="K1172" s="196"/>
      <c r="L1172" s="196"/>
      <c r="M1172" s="196"/>
      <c r="N1172" s="196"/>
      <c r="O1172" s="204" t="s">
        <v>405</v>
      </c>
      <c r="P1172" s="196"/>
      <c r="Q1172" s="196"/>
      <c r="R1172" s="196"/>
      <c r="S1172" s="283"/>
      <c r="T1172" s="196"/>
      <c r="U1172" s="283"/>
      <c r="V1172" s="283"/>
      <c r="W1172" s="196"/>
      <c r="X1172" s="225"/>
      <c r="Y1172" s="283"/>
      <c r="Z1172" s="283"/>
      <c r="AA1172" s="283"/>
      <c r="AB1172" s="283"/>
      <c r="AC1172" s="283"/>
      <c r="AD1172" s="283"/>
      <c r="AE1172" s="283"/>
      <c r="AF1172" s="283"/>
      <c r="AG1172" s="283"/>
      <c r="AH1172" s="205" t="s">
        <v>115</v>
      </c>
      <c r="AI1172" s="205" t="s">
        <v>406</v>
      </c>
      <c r="AJ1172" s="205" t="s">
        <v>407</v>
      </c>
      <c r="AK1172" s="225"/>
      <c r="AL1172" s="225"/>
      <c r="AM1172" s="24"/>
    </row>
    <row r="1173" spans="1:39" ht="12.75" customHeight="1">
      <c r="A1173" s="22">
        <v>1171</v>
      </c>
      <c r="B1173" s="24" t="s">
        <v>2966</v>
      </c>
      <c r="C1173" s="24" t="s">
        <v>96</v>
      </c>
      <c r="D1173" s="24" t="s">
        <v>1787</v>
      </c>
      <c r="E1173" s="24" t="s">
        <v>2923</v>
      </c>
      <c r="F1173" s="24">
        <v>1</v>
      </c>
      <c r="G1173" s="24" t="s">
        <v>2372</v>
      </c>
      <c r="H1173" s="24"/>
      <c r="I1173" s="24"/>
      <c r="J1173" s="283"/>
      <c r="K1173" s="196" t="s">
        <v>409</v>
      </c>
      <c r="L1173" s="196" t="s">
        <v>2967</v>
      </c>
      <c r="M1173" s="196" t="s">
        <v>2641</v>
      </c>
      <c r="N1173" s="196" t="s">
        <v>111</v>
      </c>
      <c r="O1173" s="196"/>
      <c r="P1173" s="196"/>
      <c r="Q1173" s="196"/>
      <c r="R1173" s="196"/>
      <c r="S1173" s="283"/>
      <c r="T1173" s="196" t="s">
        <v>208</v>
      </c>
      <c r="U1173" s="283"/>
      <c r="V1173" s="283"/>
      <c r="W1173" s="196" t="s">
        <v>115</v>
      </c>
      <c r="X1173" s="225"/>
      <c r="Y1173" s="283"/>
      <c r="Z1173" s="283"/>
      <c r="AA1173" s="283"/>
      <c r="AB1173" s="283"/>
      <c r="AC1173" s="283"/>
      <c r="AD1173" s="283"/>
      <c r="AE1173" s="283"/>
      <c r="AF1173" s="283"/>
      <c r="AG1173" s="283"/>
      <c r="AH1173" s="285" t="s">
        <v>2926</v>
      </c>
      <c r="AI1173" s="285" t="s">
        <v>2968</v>
      </c>
      <c r="AJ1173" s="285" t="s">
        <v>2969</v>
      </c>
      <c r="AK1173" s="225"/>
      <c r="AL1173" s="225"/>
      <c r="AM1173" s="24"/>
    </row>
    <row r="1174" spans="1:39" ht="12.75" customHeight="1">
      <c r="A1174" s="22">
        <v>1172</v>
      </c>
      <c r="B1174" s="24" t="s">
        <v>2970</v>
      </c>
      <c r="C1174" s="24" t="s">
        <v>96</v>
      </c>
      <c r="D1174" s="24" t="s">
        <v>1787</v>
      </c>
      <c r="E1174" s="24" t="s">
        <v>2971</v>
      </c>
      <c r="F1174" s="24">
        <v>1</v>
      </c>
      <c r="G1174" s="24" t="s">
        <v>2372</v>
      </c>
      <c r="H1174" s="24"/>
      <c r="I1174" s="24"/>
      <c r="J1174" s="283"/>
      <c r="K1174" s="164" t="s">
        <v>2970</v>
      </c>
      <c r="L1174" s="164" t="s">
        <v>2972</v>
      </c>
      <c r="M1174" s="164"/>
      <c r="N1174" s="164" t="s">
        <v>202</v>
      </c>
      <c r="O1174" s="164"/>
      <c r="P1174" s="164"/>
      <c r="Q1174" s="164"/>
      <c r="R1174" s="164"/>
      <c r="S1174" s="283"/>
      <c r="T1174" s="164" t="s">
        <v>208</v>
      </c>
      <c r="U1174" s="283"/>
      <c r="V1174" s="283"/>
      <c r="W1174" s="164" t="s">
        <v>2973</v>
      </c>
      <c r="X1174" s="225"/>
      <c r="Y1174" s="283"/>
      <c r="Z1174" s="283"/>
      <c r="AA1174" s="283"/>
      <c r="AB1174" s="283"/>
      <c r="AC1174" s="283"/>
      <c r="AD1174" s="283"/>
      <c r="AE1174" s="283"/>
      <c r="AF1174" s="283"/>
      <c r="AG1174" s="283"/>
      <c r="AH1174" s="285" t="s">
        <v>2974</v>
      </c>
      <c r="AI1174" s="285" t="s">
        <v>2398</v>
      </c>
      <c r="AJ1174" s="285" t="s">
        <v>2399</v>
      </c>
      <c r="AK1174" s="225"/>
      <c r="AL1174" s="225"/>
      <c r="AM1174" s="24"/>
    </row>
    <row r="1175" spans="1:39" ht="12.75" customHeight="1">
      <c r="A1175" s="22">
        <v>1173</v>
      </c>
      <c r="B1175" s="24" t="s">
        <v>1673</v>
      </c>
      <c r="C1175" s="24" t="s">
        <v>180</v>
      </c>
      <c r="D1175" s="24" t="s">
        <v>2970</v>
      </c>
      <c r="E1175" s="24" t="s">
        <v>2971</v>
      </c>
      <c r="F1175" s="24">
        <v>1</v>
      </c>
      <c r="G1175" s="24" t="s">
        <v>2372</v>
      </c>
      <c r="H1175" s="24"/>
      <c r="I1175" s="24"/>
      <c r="J1175" s="283"/>
      <c r="K1175" s="164"/>
      <c r="L1175" s="164"/>
      <c r="M1175" s="164"/>
      <c r="N1175" s="164"/>
      <c r="O1175" s="164" t="s">
        <v>1673</v>
      </c>
      <c r="P1175" s="164"/>
      <c r="Q1175" s="164"/>
      <c r="R1175" s="164"/>
      <c r="S1175" s="283"/>
      <c r="T1175" s="164"/>
      <c r="U1175" s="283"/>
      <c r="V1175" s="283"/>
      <c r="W1175" s="164"/>
      <c r="X1175" s="225"/>
      <c r="Y1175" s="283"/>
      <c r="Z1175" s="283"/>
      <c r="AA1175" s="283"/>
      <c r="AB1175" s="283"/>
      <c r="AC1175" s="283"/>
      <c r="AD1175" s="283"/>
      <c r="AE1175" s="283"/>
      <c r="AF1175" s="283"/>
      <c r="AG1175" s="283"/>
      <c r="AH1175" s="285" t="s">
        <v>115</v>
      </c>
      <c r="AI1175" s="285" t="s">
        <v>942</v>
      </c>
      <c r="AJ1175" s="205" t="s">
        <v>943</v>
      </c>
      <c r="AK1175" s="225"/>
      <c r="AL1175" s="225"/>
      <c r="AM1175" s="24"/>
    </row>
    <row r="1176" spans="1:39" ht="12.75" customHeight="1">
      <c r="A1176" s="22">
        <v>1174</v>
      </c>
      <c r="B1176" s="24" t="s">
        <v>1468</v>
      </c>
      <c r="C1176" s="24" t="s">
        <v>180</v>
      </c>
      <c r="D1176" s="24" t="s">
        <v>2970</v>
      </c>
      <c r="E1176" s="24" t="s">
        <v>2971</v>
      </c>
      <c r="F1176" s="24">
        <v>1</v>
      </c>
      <c r="G1176" s="24" t="s">
        <v>2372</v>
      </c>
      <c r="H1176" s="24"/>
      <c r="I1176" s="24"/>
      <c r="J1176" s="283"/>
      <c r="K1176" s="164"/>
      <c r="L1176" s="164"/>
      <c r="M1176" s="164"/>
      <c r="N1176" s="164"/>
      <c r="O1176" s="164" t="s">
        <v>1468</v>
      </c>
      <c r="P1176" s="164"/>
      <c r="Q1176" s="164"/>
      <c r="R1176" s="164"/>
      <c r="S1176" s="283"/>
      <c r="T1176" s="164"/>
      <c r="U1176" s="283"/>
      <c r="V1176" s="283"/>
      <c r="W1176" s="164"/>
      <c r="X1176" s="225"/>
      <c r="Y1176" s="283"/>
      <c r="Z1176" s="283"/>
      <c r="AA1176" s="283"/>
      <c r="AB1176" s="283"/>
      <c r="AC1176" s="283"/>
      <c r="AD1176" s="283"/>
      <c r="AE1176" s="283"/>
      <c r="AF1176" s="283"/>
      <c r="AG1176" s="283"/>
      <c r="AH1176" s="285" t="s">
        <v>115</v>
      </c>
      <c r="AI1176" s="285" t="s">
        <v>1469</v>
      </c>
      <c r="AJ1176" s="205" t="s">
        <v>1470</v>
      </c>
      <c r="AK1176" s="225"/>
      <c r="AL1176" s="225"/>
      <c r="AM1176" s="24"/>
    </row>
    <row r="1177" spans="1:39" ht="12.75" customHeight="1">
      <c r="A1177" s="22">
        <v>1175</v>
      </c>
      <c r="B1177" s="24" t="s">
        <v>2975</v>
      </c>
      <c r="C1177" s="24" t="s">
        <v>96</v>
      </c>
      <c r="D1177" s="24" t="s">
        <v>1787</v>
      </c>
      <c r="E1177" s="24" t="s">
        <v>2971</v>
      </c>
      <c r="F1177" s="24">
        <v>1</v>
      </c>
      <c r="G1177" s="24" t="s">
        <v>2372</v>
      </c>
      <c r="H1177" s="24"/>
      <c r="I1177" s="24"/>
      <c r="J1177" s="283"/>
      <c r="K1177" s="164" t="s">
        <v>2975</v>
      </c>
      <c r="L1177" s="164" t="s">
        <v>2976</v>
      </c>
      <c r="M1177" s="164" t="s">
        <v>2977</v>
      </c>
      <c r="N1177" s="164" t="s">
        <v>202</v>
      </c>
      <c r="O1177" s="224"/>
      <c r="P1177" s="164"/>
      <c r="Q1177" s="164"/>
      <c r="R1177" s="164" t="s">
        <v>904</v>
      </c>
      <c r="S1177" s="283"/>
      <c r="T1177" s="164" t="s">
        <v>113</v>
      </c>
      <c r="U1177" s="283"/>
      <c r="V1177" s="283"/>
      <c r="W1177" s="164" t="s">
        <v>2675</v>
      </c>
      <c r="X1177" s="225"/>
      <c r="Y1177" s="283"/>
      <c r="Z1177" s="283"/>
      <c r="AA1177" s="283"/>
      <c r="AB1177" s="283"/>
      <c r="AC1177" s="283"/>
      <c r="AD1177" s="283"/>
      <c r="AE1177" s="283"/>
      <c r="AF1177" s="283"/>
      <c r="AG1177" s="283"/>
      <c r="AH1177" s="285" t="s">
        <v>2978</v>
      </c>
      <c r="AI1177" s="285" t="s">
        <v>2927</v>
      </c>
      <c r="AJ1177" s="285" t="s">
        <v>2928</v>
      </c>
      <c r="AK1177" s="225"/>
      <c r="AL1177" s="225"/>
      <c r="AM1177" s="24"/>
    </row>
    <row r="1178" spans="1:39" ht="12.75" customHeight="1">
      <c r="A1178" s="22">
        <v>1176</v>
      </c>
      <c r="B1178" s="24" t="s">
        <v>1775</v>
      </c>
      <c r="C1178" s="24" t="s">
        <v>180</v>
      </c>
      <c r="D1178" s="24" t="s">
        <v>2975</v>
      </c>
      <c r="E1178" s="24" t="s">
        <v>2971</v>
      </c>
      <c r="F1178" s="24">
        <v>1</v>
      </c>
      <c r="G1178" s="24" t="s">
        <v>2372</v>
      </c>
      <c r="H1178" s="24"/>
      <c r="I1178" s="24"/>
      <c r="J1178" s="283"/>
      <c r="K1178" s="164"/>
      <c r="L1178" s="164"/>
      <c r="M1178" s="164"/>
      <c r="N1178" s="164"/>
      <c r="O1178" s="224" t="s">
        <v>1775</v>
      </c>
      <c r="P1178" s="164"/>
      <c r="Q1178" s="164"/>
      <c r="R1178" s="164"/>
      <c r="S1178" s="283"/>
      <c r="T1178" s="164"/>
      <c r="U1178" s="283"/>
      <c r="V1178" s="283"/>
      <c r="W1178" s="164"/>
      <c r="X1178" s="225"/>
      <c r="Y1178" s="283"/>
      <c r="Z1178" s="283"/>
      <c r="AA1178" s="283"/>
      <c r="AB1178" s="283"/>
      <c r="AC1178" s="283"/>
      <c r="AD1178" s="283"/>
      <c r="AE1178" s="283"/>
      <c r="AF1178" s="283"/>
      <c r="AG1178" s="283"/>
      <c r="AH1178" s="285" t="s">
        <v>115</v>
      </c>
      <c r="AI1178" s="285" t="s">
        <v>953</v>
      </c>
      <c r="AJ1178" s="285" t="s">
        <v>954</v>
      </c>
      <c r="AK1178" s="225"/>
      <c r="AL1178" s="225"/>
      <c r="AM1178" s="24"/>
    </row>
    <row r="1179" spans="1:39" ht="12.75" customHeight="1">
      <c r="A1179" s="22">
        <v>1177</v>
      </c>
      <c r="B1179" s="24" t="s">
        <v>1779</v>
      </c>
      <c r="C1179" s="24" t="s">
        <v>180</v>
      </c>
      <c r="D1179" s="24" t="s">
        <v>2975</v>
      </c>
      <c r="E1179" s="24" t="s">
        <v>2971</v>
      </c>
      <c r="F1179" s="24">
        <v>1</v>
      </c>
      <c r="G1179" s="24" t="s">
        <v>2372</v>
      </c>
      <c r="H1179" s="24"/>
      <c r="I1179" s="24"/>
      <c r="J1179" s="283"/>
      <c r="K1179" s="164"/>
      <c r="L1179" s="164"/>
      <c r="M1179" s="164"/>
      <c r="N1179" s="164"/>
      <c r="O1179" s="224" t="s">
        <v>1779</v>
      </c>
      <c r="P1179" s="164"/>
      <c r="Q1179" s="164"/>
      <c r="R1179" s="164"/>
      <c r="S1179" s="283"/>
      <c r="T1179" s="164"/>
      <c r="U1179" s="283"/>
      <c r="V1179" s="283"/>
      <c r="W1179" s="164"/>
      <c r="X1179" s="225"/>
      <c r="Y1179" s="283"/>
      <c r="Z1179" s="283"/>
      <c r="AA1179" s="283"/>
      <c r="AB1179" s="283"/>
      <c r="AC1179" s="283"/>
      <c r="AD1179" s="283"/>
      <c r="AE1179" s="283"/>
      <c r="AF1179" s="283"/>
      <c r="AG1179" s="283"/>
      <c r="AH1179" s="285" t="s">
        <v>115</v>
      </c>
      <c r="AI1179" s="285" t="s">
        <v>2929</v>
      </c>
      <c r="AJ1179" s="285" t="s">
        <v>2930</v>
      </c>
      <c r="AK1179" s="225"/>
      <c r="AL1179" s="225"/>
      <c r="AM1179" s="24"/>
    </row>
    <row r="1180" spans="1:39" ht="12.75" customHeight="1">
      <c r="A1180" s="22">
        <v>1178</v>
      </c>
      <c r="B1180" s="24" t="s">
        <v>1468</v>
      </c>
      <c r="C1180" s="24" t="s">
        <v>180</v>
      </c>
      <c r="D1180" s="24" t="s">
        <v>2975</v>
      </c>
      <c r="E1180" s="24" t="s">
        <v>2971</v>
      </c>
      <c r="F1180" s="24">
        <v>1</v>
      </c>
      <c r="G1180" s="24" t="s">
        <v>2372</v>
      </c>
      <c r="H1180" s="24"/>
      <c r="I1180" s="24"/>
      <c r="J1180" s="283"/>
      <c r="K1180" s="164"/>
      <c r="L1180" s="164"/>
      <c r="M1180" s="164"/>
      <c r="N1180" s="164"/>
      <c r="O1180" s="224" t="s">
        <v>1468</v>
      </c>
      <c r="P1180" s="164"/>
      <c r="Q1180" s="164"/>
      <c r="R1180" s="164"/>
      <c r="S1180" s="283"/>
      <c r="T1180" s="164"/>
      <c r="U1180" s="283"/>
      <c r="V1180" s="283"/>
      <c r="W1180" s="164"/>
      <c r="X1180" s="225"/>
      <c r="Y1180" s="283"/>
      <c r="Z1180" s="283"/>
      <c r="AA1180" s="283"/>
      <c r="AB1180" s="283"/>
      <c r="AC1180" s="283"/>
      <c r="AD1180" s="283"/>
      <c r="AE1180" s="283"/>
      <c r="AF1180" s="283"/>
      <c r="AG1180" s="283"/>
      <c r="AH1180" s="285" t="s">
        <v>115</v>
      </c>
      <c r="AI1180" s="285" t="s">
        <v>957</v>
      </c>
      <c r="AJ1180" s="205" t="s">
        <v>958</v>
      </c>
      <c r="AK1180" s="225"/>
      <c r="AL1180" s="225"/>
      <c r="AM1180" s="24"/>
    </row>
    <row r="1181" spans="1:39" ht="12.75" customHeight="1">
      <c r="A1181" s="22">
        <v>1179</v>
      </c>
      <c r="B1181" s="24" t="s">
        <v>2980</v>
      </c>
      <c r="C1181" s="24" t="s">
        <v>65</v>
      </c>
      <c r="D1181" s="24" t="s">
        <v>1787</v>
      </c>
      <c r="E1181" s="24" t="s">
        <v>2971</v>
      </c>
      <c r="F1181" s="24">
        <v>1</v>
      </c>
      <c r="G1181" s="24" t="s">
        <v>2372</v>
      </c>
      <c r="H1181" s="24"/>
      <c r="I1181" s="24"/>
      <c r="J1181" s="283"/>
      <c r="K1181" s="164"/>
      <c r="L1181" s="164" t="s">
        <v>2980</v>
      </c>
      <c r="M1181" s="164" t="s">
        <v>2981</v>
      </c>
      <c r="N1181" s="164" t="s">
        <v>65</v>
      </c>
      <c r="O1181" s="224"/>
      <c r="P1181" s="382">
        <v>1</v>
      </c>
      <c r="Q1181" s="382"/>
      <c r="R1181" s="164"/>
      <c r="S1181" s="283"/>
      <c r="T1181" s="164"/>
      <c r="U1181" s="283"/>
      <c r="V1181" s="283"/>
      <c r="W1181" s="164"/>
      <c r="X1181" s="225"/>
      <c r="Y1181" s="283"/>
      <c r="Z1181" s="283"/>
      <c r="AA1181" s="283"/>
      <c r="AB1181" s="283"/>
      <c r="AC1181" s="283"/>
      <c r="AD1181" s="283"/>
      <c r="AE1181" s="283"/>
      <c r="AF1181" s="283"/>
      <c r="AG1181" s="283"/>
      <c r="AH1181" s="285" t="s">
        <v>2978</v>
      </c>
      <c r="AI1181" s="285" t="s">
        <v>2933</v>
      </c>
      <c r="AJ1181" s="285" t="s">
        <v>2934</v>
      </c>
      <c r="AK1181" s="225"/>
      <c r="AL1181" s="225"/>
      <c r="AM1181" s="24"/>
    </row>
    <row r="1182" spans="1:39" ht="12.75" customHeight="1">
      <c r="A1182" s="22">
        <v>1180</v>
      </c>
      <c r="B1182" s="24" t="s">
        <v>2982</v>
      </c>
      <c r="C1182" s="24" t="s">
        <v>65</v>
      </c>
      <c r="D1182" s="24" t="s">
        <v>1787</v>
      </c>
      <c r="E1182" s="24" t="s">
        <v>2971</v>
      </c>
      <c r="F1182" s="24">
        <v>1</v>
      </c>
      <c r="G1182" s="24" t="s">
        <v>2372</v>
      </c>
      <c r="H1182" s="24"/>
      <c r="I1182" s="24"/>
      <c r="J1182" s="283"/>
      <c r="K1182" s="164"/>
      <c r="L1182" s="164" t="s">
        <v>2982</v>
      </c>
      <c r="M1182" s="164" t="s">
        <v>2983</v>
      </c>
      <c r="N1182" s="164" t="s">
        <v>65</v>
      </c>
      <c r="O1182" s="224"/>
      <c r="P1182" s="164" t="s">
        <v>2937</v>
      </c>
      <c r="Q1182" s="164"/>
      <c r="R1182" s="164"/>
      <c r="S1182" s="283"/>
      <c r="T1182" s="164"/>
      <c r="U1182" s="283"/>
      <c r="V1182" s="283"/>
      <c r="W1182" s="164"/>
      <c r="X1182" s="225"/>
      <c r="Y1182" s="283"/>
      <c r="Z1182" s="283"/>
      <c r="AA1182" s="283"/>
      <c r="AB1182" s="283"/>
      <c r="AC1182" s="283"/>
      <c r="AD1182" s="283"/>
      <c r="AE1182" s="283"/>
      <c r="AF1182" s="283"/>
      <c r="AG1182" s="283"/>
      <c r="AH1182" s="285" t="s">
        <v>2978</v>
      </c>
      <c r="AI1182" s="285" t="s">
        <v>2938</v>
      </c>
      <c r="AJ1182" s="285" t="s">
        <v>2939</v>
      </c>
      <c r="AK1182" s="225"/>
      <c r="AL1182" s="225"/>
      <c r="AM1182" s="24"/>
    </row>
    <row r="1183" spans="1:39" ht="12.75" customHeight="1">
      <c r="A1183" s="22">
        <v>1181</v>
      </c>
      <c r="B1183" s="24" t="s">
        <v>2985</v>
      </c>
      <c r="C1183" s="24" t="s">
        <v>96</v>
      </c>
      <c r="D1183" s="24" t="s">
        <v>1787</v>
      </c>
      <c r="E1183" s="24" t="s">
        <v>2971</v>
      </c>
      <c r="F1183" s="24">
        <v>1</v>
      </c>
      <c r="G1183" s="24" t="s">
        <v>2372</v>
      </c>
      <c r="H1183" s="24"/>
      <c r="I1183" s="24"/>
      <c r="J1183" s="283"/>
      <c r="K1183" s="164" t="s">
        <v>2985</v>
      </c>
      <c r="L1183" s="164" t="s">
        <v>2986</v>
      </c>
      <c r="M1183" s="164" t="s">
        <v>2987</v>
      </c>
      <c r="N1183" s="164" t="s">
        <v>202</v>
      </c>
      <c r="O1183" s="224"/>
      <c r="P1183" s="164"/>
      <c r="Q1183" s="164"/>
      <c r="R1183" s="164" t="s">
        <v>904</v>
      </c>
      <c r="S1183" s="283"/>
      <c r="T1183" s="164" t="s">
        <v>113</v>
      </c>
      <c r="U1183" s="283"/>
      <c r="V1183" s="283"/>
      <c r="W1183" s="164" t="s">
        <v>2988</v>
      </c>
      <c r="X1183" s="225"/>
      <c r="Y1183" s="283"/>
      <c r="Z1183" s="283"/>
      <c r="AA1183" s="283"/>
      <c r="AB1183" s="283"/>
      <c r="AC1183" s="283"/>
      <c r="AD1183" s="283"/>
      <c r="AE1183" s="283"/>
      <c r="AF1183" s="283"/>
      <c r="AG1183" s="283"/>
      <c r="AH1183" s="285" t="s">
        <v>2978</v>
      </c>
      <c r="AI1183" s="285" t="s">
        <v>2927</v>
      </c>
      <c r="AJ1183" s="285" t="s">
        <v>2928</v>
      </c>
      <c r="AK1183" s="225"/>
      <c r="AL1183" s="225"/>
      <c r="AM1183" s="24"/>
    </row>
    <row r="1184" spans="1:39" ht="12.75" customHeight="1">
      <c r="A1184" s="22">
        <v>1182</v>
      </c>
      <c r="B1184" s="24" t="s">
        <v>1775</v>
      </c>
      <c r="C1184" s="24" t="s">
        <v>180</v>
      </c>
      <c r="D1184" s="24" t="s">
        <v>2985</v>
      </c>
      <c r="E1184" s="24" t="s">
        <v>2971</v>
      </c>
      <c r="F1184" s="24">
        <v>1</v>
      </c>
      <c r="G1184" s="24" t="s">
        <v>2372</v>
      </c>
      <c r="H1184" s="24"/>
      <c r="I1184" s="24"/>
      <c r="J1184" s="283"/>
      <c r="K1184" s="164"/>
      <c r="L1184" s="164"/>
      <c r="M1184" s="164"/>
      <c r="N1184" s="164"/>
      <c r="O1184" s="224" t="s">
        <v>1775</v>
      </c>
      <c r="P1184" s="164"/>
      <c r="Q1184" s="164"/>
      <c r="R1184" s="164"/>
      <c r="S1184" s="283"/>
      <c r="T1184" s="164"/>
      <c r="U1184" s="283"/>
      <c r="V1184" s="283"/>
      <c r="W1184" s="164"/>
      <c r="X1184" s="225"/>
      <c r="Y1184" s="283"/>
      <c r="Z1184" s="283"/>
      <c r="AA1184" s="283"/>
      <c r="AB1184" s="283"/>
      <c r="AC1184" s="283"/>
      <c r="AD1184" s="283"/>
      <c r="AE1184" s="283"/>
      <c r="AF1184" s="283"/>
      <c r="AG1184" s="283"/>
      <c r="AH1184" s="285" t="s">
        <v>115</v>
      </c>
      <c r="AI1184" s="285" t="s">
        <v>953</v>
      </c>
      <c r="AJ1184" s="285" t="s">
        <v>954</v>
      </c>
      <c r="AK1184" s="225"/>
      <c r="AL1184" s="225"/>
      <c r="AM1184" s="24"/>
    </row>
    <row r="1185" spans="1:39" ht="12.75" customHeight="1">
      <c r="A1185" s="22">
        <v>1183</v>
      </c>
      <c r="B1185" s="24" t="s">
        <v>1779</v>
      </c>
      <c r="C1185" s="24" t="s">
        <v>180</v>
      </c>
      <c r="D1185" s="24" t="s">
        <v>2985</v>
      </c>
      <c r="E1185" s="24" t="s">
        <v>2971</v>
      </c>
      <c r="F1185" s="24">
        <v>1</v>
      </c>
      <c r="G1185" s="24" t="s">
        <v>2372</v>
      </c>
      <c r="H1185" s="24"/>
      <c r="I1185" s="24"/>
      <c r="J1185" s="283"/>
      <c r="K1185" s="164"/>
      <c r="L1185" s="164"/>
      <c r="M1185" s="164"/>
      <c r="N1185" s="164"/>
      <c r="O1185" s="224" t="s">
        <v>1779</v>
      </c>
      <c r="P1185" s="164"/>
      <c r="Q1185" s="164"/>
      <c r="R1185" s="164"/>
      <c r="S1185" s="283"/>
      <c r="T1185" s="164"/>
      <c r="U1185" s="283"/>
      <c r="V1185" s="283"/>
      <c r="W1185" s="164"/>
      <c r="X1185" s="225"/>
      <c r="Y1185" s="283"/>
      <c r="Z1185" s="283"/>
      <c r="AA1185" s="283"/>
      <c r="AB1185" s="283"/>
      <c r="AC1185" s="283"/>
      <c r="AD1185" s="283"/>
      <c r="AE1185" s="283"/>
      <c r="AF1185" s="283"/>
      <c r="AG1185" s="283"/>
      <c r="AH1185" s="285" t="s">
        <v>115</v>
      </c>
      <c r="AI1185" s="285" t="s">
        <v>2929</v>
      </c>
      <c r="AJ1185" s="285" t="s">
        <v>2930</v>
      </c>
      <c r="AK1185" s="225"/>
      <c r="AL1185" s="225"/>
      <c r="AM1185" s="24"/>
    </row>
    <row r="1186" spans="1:39" ht="12.75" customHeight="1">
      <c r="A1186" s="22">
        <v>1184</v>
      </c>
      <c r="B1186" s="24" t="s">
        <v>1468</v>
      </c>
      <c r="C1186" s="24" t="s">
        <v>180</v>
      </c>
      <c r="D1186" s="24" t="s">
        <v>2985</v>
      </c>
      <c r="E1186" s="24" t="s">
        <v>2971</v>
      </c>
      <c r="F1186" s="24">
        <v>1</v>
      </c>
      <c r="G1186" s="24" t="s">
        <v>2372</v>
      </c>
      <c r="H1186" s="24"/>
      <c r="I1186" s="24"/>
      <c r="J1186" s="283"/>
      <c r="K1186" s="164"/>
      <c r="L1186" s="164"/>
      <c r="M1186" s="164"/>
      <c r="N1186" s="164"/>
      <c r="O1186" s="224" t="s">
        <v>1468</v>
      </c>
      <c r="P1186" s="164"/>
      <c r="Q1186" s="164"/>
      <c r="R1186" s="164"/>
      <c r="S1186" s="283"/>
      <c r="T1186" s="164"/>
      <c r="U1186" s="283"/>
      <c r="V1186" s="283"/>
      <c r="W1186" s="164"/>
      <c r="X1186" s="225"/>
      <c r="Y1186" s="283"/>
      <c r="Z1186" s="283"/>
      <c r="AA1186" s="283"/>
      <c r="AB1186" s="283"/>
      <c r="AC1186" s="283"/>
      <c r="AD1186" s="283"/>
      <c r="AE1186" s="283"/>
      <c r="AF1186" s="283"/>
      <c r="AG1186" s="283"/>
      <c r="AH1186" s="285" t="s">
        <v>115</v>
      </c>
      <c r="AI1186" s="285" t="s">
        <v>957</v>
      </c>
      <c r="AJ1186" s="205" t="s">
        <v>958</v>
      </c>
      <c r="AK1186" s="225"/>
      <c r="AL1186" s="225"/>
      <c r="AM1186" s="24"/>
    </row>
    <row r="1187" spans="1:39" ht="12.75" customHeight="1">
      <c r="A1187" s="22">
        <v>1185</v>
      </c>
      <c r="B1187" s="24" t="s">
        <v>2990</v>
      </c>
      <c r="C1187" s="24" t="s">
        <v>65</v>
      </c>
      <c r="D1187" s="24" t="s">
        <v>1787</v>
      </c>
      <c r="E1187" s="24" t="s">
        <v>2971</v>
      </c>
      <c r="F1187" s="24">
        <v>1</v>
      </c>
      <c r="G1187" s="24" t="s">
        <v>2372</v>
      </c>
      <c r="H1187" s="24"/>
      <c r="I1187" s="24"/>
      <c r="J1187" s="283"/>
      <c r="K1187" s="164"/>
      <c r="L1187" s="164" t="s">
        <v>2990</v>
      </c>
      <c r="M1187" s="164" t="s">
        <v>2991</v>
      </c>
      <c r="N1187" s="164" t="s">
        <v>65</v>
      </c>
      <c r="O1187" s="224"/>
      <c r="P1187" s="382">
        <v>2</v>
      </c>
      <c r="Q1187" s="382"/>
      <c r="R1187" s="164"/>
      <c r="S1187" s="283"/>
      <c r="T1187" s="164"/>
      <c r="U1187" s="283"/>
      <c r="V1187" s="283"/>
      <c r="W1187" s="164"/>
      <c r="X1187" s="225"/>
      <c r="Y1187" s="283"/>
      <c r="Z1187" s="283"/>
      <c r="AA1187" s="283"/>
      <c r="AB1187" s="283"/>
      <c r="AC1187" s="283"/>
      <c r="AD1187" s="283"/>
      <c r="AE1187" s="283"/>
      <c r="AF1187" s="283"/>
      <c r="AG1187" s="283"/>
      <c r="AH1187" s="285" t="s">
        <v>2978</v>
      </c>
      <c r="AI1187" s="285" t="s">
        <v>2933</v>
      </c>
      <c r="AJ1187" s="285" t="s">
        <v>2934</v>
      </c>
      <c r="AK1187" s="225"/>
      <c r="AL1187" s="225"/>
      <c r="AM1187" s="24"/>
    </row>
    <row r="1188" spans="1:39" ht="12.75" customHeight="1">
      <c r="A1188" s="22">
        <v>1186</v>
      </c>
      <c r="B1188" s="24" t="s">
        <v>2992</v>
      </c>
      <c r="C1188" s="24" t="s">
        <v>65</v>
      </c>
      <c r="D1188" s="24" t="s">
        <v>1787</v>
      </c>
      <c r="E1188" s="24" t="s">
        <v>2971</v>
      </c>
      <c r="F1188" s="24">
        <v>1</v>
      </c>
      <c r="G1188" s="24" t="s">
        <v>2372</v>
      </c>
      <c r="H1188" s="24"/>
      <c r="I1188" s="24"/>
      <c r="J1188" s="283"/>
      <c r="K1188" s="164"/>
      <c r="L1188" s="164" t="s">
        <v>2992</v>
      </c>
      <c r="M1188" s="164" t="s">
        <v>2993</v>
      </c>
      <c r="N1188" s="164" t="s">
        <v>65</v>
      </c>
      <c r="O1188" s="224"/>
      <c r="P1188" s="164" t="s">
        <v>2937</v>
      </c>
      <c r="Q1188" s="164"/>
      <c r="R1188" s="164"/>
      <c r="S1188" s="283"/>
      <c r="T1188" s="164"/>
      <c r="U1188" s="283"/>
      <c r="V1188" s="283"/>
      <c r="W1188" s="164"/>
      <c r="X1188" s="225"/>
      <c r="Y1188" s="283"/>
      <c r="Z1188" s="283"/>
      <c r="AA1188" s="283"/>
      <c r="AB1188" s="283"/>
      <c r="AC1188" s="283"/>
      <c r="AD1188" s="283"/>
      <c r="AE1188" s="283"/>
      <c r="AF1188" s="283"/>
      <c r="AG1188" s="283"/>
      <c r="AH1188" s="285" t="s">
        <v>2978</v>
      </c>
      <c r="AI1188" s="285" t="s">
        <v>2938</v>
      </c>
      <c r="AJ1188" s="285" t="s">
        <v>2939</v>
      </c>
      <c r="AK1188" s="225"/>
      <c r="AL1188" s="225"/>
      <c r="AM1188" s="24"/>
    </row>
    <row r="1189" spans="1:39" ht="12.75" customHeight="1">
      <c r="A1189" s="22">
        <v>1187</v>
      </c>
      <c r="B1189" s="24" t="s">
        <v>2994</v>
      </c>
      <c r="C1189" s="24" t="s">
        <v>96</v>
      </c>
      <c r="D1189" s="24" t="s">
        <v>1787</v>
      </c>
      <c r="E1189" s="24" t="s">
        <v>2971</v>
      </c>
      <c r="F1189" s="24">
        <v>1</v>
      </c>
      <c r="G1189" s="24" t="s">
        <v>2372</v>
      </c>
      <c r="H1189" s="24"/>
      <c r="I1189" s="24"/>
      <c r="J1189" s="283"/>
      <c r="K1189" s="164" t="s">
        <v>2994</v>
      </c>
      <c r="L1189" s="164" t="s">
        <v>2995</v>
      </c>
      <c r="M1189" s="164" t="s">
        <v>2996</v>
      </c>
      <c r="N1189" s="164" t="s">
        <v>202</v>
      </c>
      <c r="O1189" s="224"/>
      <c r="P1189" s="164"/>
      <c r="Q1189" s="164"/>
      <c r="R1189" s="164" t="s">
        <v>904</v>
      </c>
      <c r="S1189" s="283"/>
      <c r="T1189" s="164" t="s">
        <v>113</v>
      </c>
      <c r="U1189" s="283"/>
      <c r="V1189" s="283"/>
      <c r="W1189" s="164" t="s">
        <v>2997</v>
      </c>
      <c r="X1189" s="225"/>
      <c r="Y1189" s="283"/>
      <c r="Z1189" s="283"/>
      <c r="AA1189" s="283"/>
      <c r="AB1189" s="283"/>
      <c r="AC1189" s="283"/>
      <c r="AD1189" s="283"/>
      <c r="AE1189" s="283"/>
      <c r="AF1189" s="283"/>
      <c r="AG1189" s="283"/>
      <c r="AH1189" s="285" t="s">
        <v>2978</v>
      </c>
      <c r="AI1189" s="285" t="s">
        <v>2927</v>
      </c>
      <c r="AJ1189" s="285" t="s">
        <v>2928</v>
      </c>
      <c r="AK1189" s="225"/>
      <c r="AL1189" s="225"/>
      <c r="AM1189" s="24"/>
    </row>
    <row r="1190" spans="1:39" ht="12.75" customHeight="1">
      <c r="A1190" s="22">
        <v>1188</v>
      </c>
      <c r="B1190" s="24" t="s">
        <v>1775</v>
      </c>
      <c r="C1190" s="24" t="s">
        <v>180</v>
      </c>
      <c r="D1190" s="24" t="s">
        <v>2994</v>
      </c>
      <c r="E1190" s="24" t="s">
        <v>2971</v>
      </c>
      <c r="F1190" s="24">
        <v>1</v>
      </c>
      <c r="G1190" s="24" t="s">
        <v>2372</v>
      </c>
      <c r="H1190" s="24"/>
      <c r="I1190" s="24"/>
      <c r="J1190" s="283"/>
      <c r="K1190" s="164"/>
      <c r="L1190" s="164"/>
      <c r="M1190" s="164"/>
      <c r="N1190" s="164"/>
      <c r="O1190" s="224" t="s">
        <v>1775</v>
      </c>
      <c r="P1190" s="164"/>
      <c r="Q1190" s="164"/>
      <c r="R1190" s="164"/>
      <c r="S1190" s="283"/>
      <c r="T1190" s="164"/>
      <c r="U1190" s="283"/>
      <c r="V1190" s="283"/>
      <c r="W1190" s="164"/>
      <c r="X1190" s="225"/>
      <c r="Y1190" s="283"/>
      <c r="Z1190" s="283"/>
      <c r="AA1190" s="283"/>
      <c r="AB1190" s="283"/>
      <c r="AC1190" s="283"/>
      <c r="AD1190" s="283"/>
      <c r="AE1190" s="283"/>
      <c r="AF1190" s="283"/>
      <c r="AG1190" s="283"/>
      <c r="AH1190" s="285" t="s">
        <v>115</v>
      </c>
      <c r="AI1190" s="285" t="s">
        <v>953</v>
      </c>
      <c r="AJ1190" s="285" t="s">
        <v>954</v>
      </c>
      <c r="AK1190" s="225"/>
      <c r="AL1190" s="225"/>
      <c r="AM1190" s="24"/>
    </row>
    <row r="1191" spans="1:39" ht="12.75" customHeight="1">
      <c r="A1191" s="22">
        <v>1189</v>
      </c>
      <c r="B1191" s="24" t="s">
        <v>1779</v>
      </c>
      <c r="C1191" s="24" t="s">
        <v>180</v>
      </c>
      <c r="D1191" s="24" t="s">
        <v>2994</v>
      </c>
      <c r="E1191" s="24" t="s">
        <v>2971</v>
      </c>
      <c r="F1191" s="24">
        <v>1</v>
      </c>
      <c r="G1191" s="24" t="s">
        <v>2372</v>
      </c>
      <c r="H1191" s="24"/>
      <c r="I1191" s="24"/>
      <c r="J1191" s="283"/>
      <c r="K1191" s="164"/>
      <c r="L1191" s="164"/>
      <c r="M1191" s="164"/>
      <c r="N1191" s="164"/>
      <c r="O1191" s="224" t="s">
        <v>1779</v>
      </c>
      <c r="P1191" s="164"/>
      <c r="Q1191" s="164"/>
      <c r="R1191" s="164"/>
      <c r="S1191" s="283"/>
      <c r="T1191" s="164"/>
      <c r="U1191" s="283"/>
      <c r="V1191" s="283"/>
      <c r="W1191" s="164"/>
      <c r="X1191" s="225"/>
      <c r="Y1191" s="283"/>
      <c r="Z1191" s="283"/>
      <c r="AA1191" s="283"/>
      <c r="AB1191" s="283"/>
      <c r="AC1191" s="283"/>
      <c r="AD1191" s="283"/>
      <c r="AE1191" s="283"/>
      <c r="AF1191" s="283"/>
      <c r="AG1191" s="283"/>
      <c r="AH1191" s="285" t="s">
        <v>115</v>
      </c>
      <c r="AI1191" s="285" t="s">
        <v>2929</v>
      </c>
      <c r="AJ1191" s="285" t="s">
        <v>2930</v>
      </c>
      <c r="AK1191" s="225"/>
      <c r="AL1191" s="225"/>
      <c r="AM1191" s="24"/>
    </row>
    <row r="1192" spans="1:39" ht="12.75" customHeight="1">
      <c r="A1192" s="22">
        <v>1190</v>
      </c>
      <c r="B1192" s="24" t="s">
        <v>1468</v>
      </c>
      <c r="C1192" s="24" t="s">
        <v>180</v>
      </c>
      <c r="D1192" s="24" t="s">
        <v>2994</v>
      </c>
      <c r="E1192" s="24" t="s">
        <v>2971</v>
      </c>
      <c r="F1192" s="24">
        <v>1</v>
      </c>
      <c r="G1192" s="24" t="s">
        <v>2372</v>
      </c>
      <c r="H1192" s="24"/>
      <c r="I1192" s="24"/>
      <c r="J1192" s="283"/>
      <c r="K1192" s="164"/>
      <c r="L1192" s="164"/>
      <c r="M1192" s="164"/>
      <c r="N1192" s="164"/>
      <c r="O1192" s="224" t="s">
        <v>1468</v>
      </c>
      <c r="P1192" s="164"/>
      <c r="Q1192" s="164"/>
      <c r="R1192" s="164"/>
      <c r="S1192" s="283"/>
      <c r="T1192" s="164"/>
      <c r="U1192" s="283"/>
      <c r="V1192" s="283"/>
      <c r="W1192" s="164"/>
      <c r="X1192" s="225"/>
      <c r="Y1192" s="283"/>
      <c r="Z1192" s="283"/>
      <c r="AA1192" s="283"/>
      <c r="AB1192" s="283"/>
      <c r="AC1192" s="283"/>
      <c r="AD1192" s="283"/>
      <c r="AE1192" s="283"/>
      <c r="AF1192" s="283"/>
      <c r="AG1192" s="283"/>
      <c r="AH1192" s="285" t="s">
        <v>115</v>
      </c>
      <c r="AI1192" s="285" t="s">
        <v>957</v>
      </c>
      <c r="AJ1192" s="205" t="s">
        <v>958</v>
      </c>
      <c r="AK1192" s="225"/>
      <c r="AL1192" s="225"/>
      <c r="AM1192" s="24"/>
    </row>
    <row r="1193" spans="1:39" ht="12.75" customHeight="1">
      <c r="A1193" s="22">
        <v>1191</v>
      </c>
      <c r="B1193" s="24" t="s">
        <v>2998</v>
      </c>
      <c r="C1193" s="24" t="s">
        <v>65</v>
      </c>
      <c r="D1193" s="24" t="s">
        <v>1787</v>
      </c>
      <c r="E1193" s="24" t="s">
        <v>2971</v>
      </c>
      <c r="F1193" s="24">
        <v>1</v>
      </c>
      <c r="G1193" s="24" t="s">
        <v>2372</v>
      </c>
      <c r="H1193" s="24"/>
      <c r="I1193" s="24"/>
      <c r="J1193" s="283"/>
      <c r="K1193" s="164"/>
      <c r="L1193" s="164" t="s">
        <v>2998</v>
      </c>
      <c r="M1193" s="164" t="s">
        <v>2999</v>
      </c>
      <c r="N1193" s="164" t="s">
        <v>65</v>
      </c>
      <c r="O1193" s="224"/>
      <c r="P1193" s="382">
        <v>3</v>
      </c>
      <c r="Q1193" s="382"/>
      <c r="R1193" s="164"/>
      <c r="S1193" s="283"/>
      <c r="T1193" s="164"/>
      <c r="U1193" s="283"/>
      <c r="V1193" s="283"/>
      <c r="W1193" s="164"/>
      <c r="X1193" s="225"/>
      <c r="Y1193" s="283"/>
      <c r="Z1193" s="283"/>
      <c r="AA1193" s="283"/>
      <c r="AB1193" s="283"/>
      <c r="AC1193" s="283"/>
      <c r="AD1193" s="283"/>
      <c r="AE1193" s="283"/>
      <c r="AF1193" s="283"/>
      <c r="AG1193" s="283"/>
      <c r="AH1193" s="285" t="s">
        <v>2978</v>
      </c>
      <c r="AI1193" s="285" t="s">
        <v>2933</v>
      </c>
      <c r="AJ1193" s="285" t="s">
        <v>2934</v>
      </c>
      <c r="AK1193" s="225"/>
      <c r="AL1193" s="225"/>
      <c r="AM1193" s="24"/>
    </row>
    <row r="1194" spans="1:39" ht="12.75" customHeight="1">
      <c r="A1194" s="22">
        <v>1192</v>
      </c>
      <c r="B1194" s="24" t="s">
        <v>3000</v>
      </c>
      <c r="C1194" s="24" t="s">
        <v>65</v>
      </c>
      <c r="D1194" s="24" t="s">
        <v>1787</v>
      </c>
      <c r="E1194" s="24" t="s">
        <v>2971</v>
      </c>
      <c r="F1194" s="24">
        <v>1</v>
      </c>
      <c r="G1194" s="24" t="s">
        <v>2372</v>
      </c>
      <c r="H1194" s="24"/>
      <c r="I1194" s="24"/>
      <c r="J1194" s="283"/>
      <c r="K1194" s="164"/>
      <c r="L1194" s="164" t="s">
        <v>3000</v>
      </c>
      <c r="M1194" s="164" t="s">
        <v>3001</v>
      </c>
      <c r="N1194" s="164" t="s">
        <v>65</v>
      </c>
      <c r="O1194" s="224"/>
      <c r="P1194" s="164" t="s">
        <v>2937</v>
      </c>
      <c r="Q1194" s="164"/>
      <c r="R1194" s="164"/>
      <c r="S1194" s="283"/>
      <c r="T1194" s="164"/>
      <c r="U1194" s="283"/>
      <c r="V1194" s="283"/>
      <c r="W1194" s="164"/>
      <c r="X1194" s="225"/>
      <c r="Y1194" s="283"/>
      <c r="Z1194" s="283"/>
      <c r="AA1194" s="283"/>
      <c r="AB1194" s="283"/>
      <c r="AC1194" s="283"/>
      <c r="AD1194" s="283"/>
      <c r="AE1194" s="283"/>
      <c r="AF1194" s="283"/>
      <c r="AG1194" s="283"/>
      <c r="AH1194" s="285" t="s">
        <v>2978</v>
      </c>
      <c r="AI1194" s="285" t="s">
        <v>2938</v>
      </c>
      <c r="AJ1194" s="285" t="s">
        <v>2939</v>
      </c>
      <c r="AK1194" s="225"/>
      <c r="AL1194" s="225"/>
      <c r="AM1194" s="24"/>
    </row>
    <row r="1195" spans="1:39" ht="12.75" customHeight="1">
      <c r="A1195" s="22">
        <v>1193</v>
      </c>
      <c r="B1195" s="24" t="s">
        <v>3002</v>
      </c>
      <c r="C1195" s="24" t="s">
        <v>96</v>
      </c>
      <c r="D1195" s="24" t="s">
        <v>1787</v>
      </c>
      <c r="E1195" s="24" t="s">
        <v>2971</v>
      </c>
      <c r="F1195" s="24">
        <v>1</v>
      </c>
      <c r="G1195" s="24" t="s">
        <v>2372</v>
      </c>
      <c r="H1195" s="24"/>
      <c r="I1195" s="24"/>
      <c r="J1195" s="283"/>
      <c r="K1195" s="164" t="s">
        <v>1376</v>
      </c>
      <c r="L1195" s="164" t="s">
        <v>3003</v>
      </c>
      <c r="M1195" s="164" t="s">
        <v>3004</v>
      </c>
      <c r="N1195" s="164" t="s">
        <v>202</v>
      </c>
      <c r="O1195" s="224"/>
      <c r="P1195" s="164"/>
      <c r="Q1195" s="164"/>
      <c r="R1195" s="164"/>
      <c r="S1195" s="283"/>
      <c r="T1195" s="164" t="s">
        <v>113</v>
      </c>
      <c r="U1195" s="283"/>
      <c r="V1195" s="283"/>
      <c r="W1195" s="164" t="s">
        <v>115</v>
      </c>
      <c r="X1195" s="225"/>
      <c r="Y1195" s="283"/>
      <c r="Z1195" s="283"/>
      <c r="AA1195" s="283"/>
      <c r="AB1195" s="283"/>
      <c r="AC1195" s="283"/>
      <c r="AD1195" s="283"/>
      <c r="AE1195" s="283"/>
      <c r="AF1195" s="283"/>
      <c r="AG1195" s="283"/>
      <c r="AH1195" s="285" t="s">
        <v>2978</v>
      </c>
      <c r="AI1195" s="285" t="s">
        <v>2959</v>
      </c>
      <c r="AJ1195" s="285" t="s">
        <v>2960</v>
      </c>
      <c r="AK1195" s="225"/>
      <c r="AL1195" s="225"/>
      <c r="AM1195" s="24"/>
    </row>
    <row r="1196" spans="1:39" ht="12.75" customHeight="1">
      <c r="A1196" s="22">
        <v>1194</v>
      </c>
      <c r="B1196" s="24" t="s">
        <v>2961</v>
      </c>
      <c r="C1196" s="24" t="s">
        <v>180</v>
      </c>
      <c r="D1196" s="24" t="s">
        <v>3002</v>
      </c>
      <c r="E1196" s="24" t="s">
        <v>2971</v>
      </c>
      <c r="F1196" s="24">
        <v>1</v>
      </c>
      <c r="G1196" s="24" t="s">
        <v>2372</v>
      </c>
      <c r="H1196" s="24"/>
      <c r="I1196" s="24"/>
      <c r="J1196" s="283"/>
      <c r="K1196" s="196"/>
      <c r="L1196" s="196"/>
      <c r="M1196" s="196"/>
      <c r="N1196" s="196"/>
      <c r="O1196" s="224" t="s">
        <v>2961</v>
      </c>
      <c r="P1196" s="196"/>
      <c r="Q1196" s="196"/>
      <c r="R1196" s="196"/>
      <c r="S1196" s="283"/>
      <c r="T1196" s="196"/>
      <c r="U1196" s="283"/>
      <c r="V1196" s="283"/>
      <c r="W1196" s="196"/>
      <c r="X1196" s="225"/>
      <c r="Y1196" s="283"/>
      <c r="Z1196" s="283"/>
      <c r="AA1196" s="283"/>
      <c r="AB1196" s="283"/>
      <c r="AC1196" s="283"/>
      <c r="AD1196" s="283"/>
      <c r="AE1196" s="283"/>
      <c r="AF1196" s="283"/>
      <c r="AG1196" s="283"/>
      <c r="AH1196" s="205" t="s">
        <v>115</v>
      </c>
      <c r="AI1196" s="205" t="s">
        <v>2637</v>
      </c>
      <c r="AJ1196" s="205" t="s">
        <v>2638</v>
      </c>
      <c r="AK1196" s="225"/>
      <c r="AL1196" s="225"/>
      <c r="AM1196" s="24"/>
    </row>
    <row r="1197" spans="1:39" ht="12.75" customHeight="1">
      <c r="A1197" s="22">
        <v>1195</v>
      </c>
      <c r="B1197" s="24" t="s">
        <v>2962</v>
      </c>
      <c r="C1197" s="24" t="s">
        <v>180</v>
      </c>
      <c r="D1197" s="24" t="s">
        <v>3002</v>
      </c>
      <c r="E1197" s="24" t="s">
        <v>2971</v>
      </c>
      <c r="F1197" s="24">
        <v>1</v>
      </c>
      <c r="G1197" s="24" t="s">
        <v>2372</v>
      </c>
      <c r="H1197" s="24"/>
      <c r="I1197" s="24"/>
      <c r="J1197" s="283"/>
      <c r="K1197" s="196"/>
      <c r="L1197" s="196"/>
      <c r="M1197" s="196"/>
      <c r="N1197" s="196"/>
      <c r="O1197" s="204" t="s">
        <v>2962</v>
      </c>
      <c r="P1197" s="196"/>
      <c r="Q1197" s="196"/>
      <c r="R1197" s="196"/>
      <c r="S1197" s="283"/>
      <c r="T1197" s="196"/>
      <c r="U1197" s="283"/>
      <c r="V1197" s="283"/>
      <c r="W1197" s="196"/>
      <c r="X1197" s="225"/>
      <c r="Y1197" s="283"/>
      <c r="Z1197" s="283"/>
      <c r="AA1197" s="283"/>
      <c r="AB1197" s="283"/>
      <c r="AC1197" s="283"/>
      <c r="AD1197" s="283"/>
      <c r="AE1197" s="283"/>
      <c r="AF1197" s="283"/>
      <c r="AG1197" s="283"/>
      <c r="AH1197" s="205" t="s">
        <v>115</v>
      </c>
      <c r="AI1197" s="205" t="s">
        <v>2963</v>
      </c>
      <c r="AJ1197" s="205" t="s">
        <v>2964</v>
      </c>
      <c r="AK1197" s="225"/>
      <c r="AL1197" s="225"/>
      <c r="AM1197" s="24"/>
    </row>
    <row r="1198" spans="1:39" ht="12.75" customHeight="1">
      <c r="A1198" s="22">
        <v>1196</v>
      </c>
      <c r="B1198" s="24" t="s">
        <v>2383</v>
      </c>
      <c r="C1198" s="24" t="s">
        <v>180</v>
      </c>
      <c r="D1198" s="24" t="s">
        <v>3002</v>
      </c>
      <c r="E1198" s="24" t="s">
        <v>2971</v>
      </c>
      <c r="F1198" s="24">
        <v>1</v>
      </c>
      <c r="G1198" s="24" t="s">
        <v>2372</v>
      </c>
      <c r="H1198" s="24"/>
      <c r="I1198" s="24"/>
      <c r="J1198" s="283"/>
      <c r="K1198" s="196"/>
      <c r="L1198" s="196"/>
      <c r="M1198" s="196"/>
      <c r="N1198" s="196"/>
      <c r="O1198" s="204" t="s">
        <v>2383</v>
      </c>
      <c r="P1198" s="196"/>
      <c r="Q1198" s="196"/>
      <c r="R1198" s="196"/>
      <c r="S1198" s="283"/>
      <c r="T1198" s="196"/>
      <c r="U1198" s="283"/>
      <c r="V1198" s="283"/>
      <c r="W1198" s="196"/>
      <c r="X1198" s="225"/>
      <c r="Y1198" s="283"/>
      <c r="Z1198" s="283"/>
      <c r="AA1198" s="283"/>
      <c r="AB1198" s="283"/>
      <c r="AC1198" s="283"/>
      <c r="AD1198" s="283"/>
      <c r="AE1198" s="283"/>
      <c r="AF1198" s="283"/>
      <c r="AG1198" s="283"/>
      <c r="AH1198" s="205" t="s">
        <v>115</v>
      </c>
      <c r="AI1198" s="205" t="s">
        <v>2716</v>
      </c>
      <c r="AJ1198" s="205" t="s">
        <v>2717</v>
      </c>
      <c r="AK1198" s="225"/>
      <c r="AL1198" s="225"/>
      <c r="AM1198" s="24"/>
    </row>
    <row r="1199" spans="1:39" ht="12.75" customHeight="1">
      <c r="A1199" s="22">
        <v>1197</v>
      </c>
      <c r="B1199" s="24" t="s">
        <v>2965</v>
      </c>
      <c r="C1199" s="24" t="s">
        <v>180</v>
      </c>
      <c r="D1199" s="24" t="s">
        <v>3002</v>
      </c>
      <c r="E1199" s="24" t="s">
        <v>2971</v>
      </c>
      <c r="F1199" s="24">
        <v>1</v>
      </c>
      <c r="G1199" s="24" t="s">
        <v>2372</v>
      </c>
      <c r="H1199" s="24"/>
      <c r="I1199" s="24"/>
      <c r="J1199" s="283"/>
      <c r="K1199" s="196"/>
      <c r="L1199" s="196"/>
      <c r="M1199" s="196"/>
      <c r="N1199" s="196"/>
      <c r="O1199" s="204" t="s">
        <v>2965</v>
      </c>
      <c r="P1199" s="196"/>
      <c r="Q1199" s="196"/>
      <c r="R1199" s="196"/>
      <c r="S1199" s="283"/>
      <c r="T1199" s="196"/>
      <c r="U1199" s="283"/>
      <c r="V1199" s="283"/>
      <c r="W1199" s="196"/>
      <c r="X1199" s="225"/>
      <c r="Y1199" s="283"/>
      <c r="Z1199" s="283"/>
      <c r="AA1199" s="283"/>
      <c r="AB1199" s="283"/>
      <c r="AC1199" s="283"/>
      <c r="AD1199" s="283"/>
      <c r="AE1199" s="283"/>
      <c r="AF1199" s="283"/>
      <c r="AG1199" s="283"/>
      <c r="AH1199" s="205" t="s">
        <v>115</v>
      </c>
      <c r="AI1199" s="205" t="s">
        <v>2685</v>
      </c>
      <c r="AJ1199" s="205" t="s">
        <v>2686</v>
      </c>
      <c r="AK1199" s="225"/>
      <c r="AL1199" s="225"/>
      <c r="AM1199" s="24"/>
    </row>
    <row r="1200" spans="1:39" ht="12.75" customHeight="1">
      <c r="A1200" s="22">
        <v>1198</v>
      </c>
      <c r="B1200" s="24" t="s">
        <v>405</v>
      </c>
      <c r="C1200" s="24" t="s">
        <v>180</v>
      </c>
      <c r="D1200" s="24" t="s">
        <v>3002</v>
      </c>
      <c r="E1200" s="24" t="s">
        <v>2971</v>
      </c>
      <c r="F1200" s="24">
        <v>1</v>
      </c>
      <c r="G1200" s="24" t="s">
        <v>2372</v>
      </c>
      <c r="H1200" s="24"/>
      <c r="I1200" s="24"/>
      <c r="J1200" s="283"/>
      <c r="K1200" s="196"/>
      <c r="L1200" s="196"/>
      <c r="M1200" s="196"/>
      <c r="N1200" s="196"/>
      <c r="O1200" s="204" t="s">
        <v>405</v>
      </c>
      <c r="P1200" s="196"/>
      <c r="Q1200" s="196"/>
      <c r="R1200" s="196"/>
      <c r="S1200" s="283"/>
      <c r="T1200" s="196"/>
      <c r="U1200" s="283"/>
      <c r="V1200" s="283"/>
      <c r="W1200" s="196"/>
      <c r="X1200" s="225"/>
      <c r="Y1200" s="283"/>
      <c r="Z1200" s="283"/>
      <c r="AA1200" s="283"/>
      <c r="AB1200" s="283"/>
      <c r="AC1200" s="283"/>
      <c r="AD1200" s="283"/>
      <c r="AE1200" s="283"/>
      <c r="AF1200" s="283"/>
      <c r="AG1200" s="283"/>
      <c r="AH1200" s="205" t="s">
        <v>115</v>
      </c>
      <c r="AI1200" s="205" t="s">
        <v>406</v>
      </c>
      <c r="AJ1200" s="205" t="s">
        <v>407</v>
      </c>
      <c r="AK1200" s="225"/>
      <c r="AL1200" s="225"/>
      <c r="AM1200" s="24"/>
    </row>
    <row r="1201" spans="1:39" ht="12.75" customHeight="1">
      <c r="A1201" s="22">
        <v>1199</v>
      </c>
      <c r="B1201" s="24" t="s">
        <v>3005</v>
      </c>
      <c r="C1201" s="24" t="s">
        <v>96</v>
      </c>
      <c r="D1201" s="24" t="s">
        <v>1787</v>
      </c>
      <c r="E1201" s="24" t="s">
        <v>2971</v>
      </c>
      <c r="F1201" s="24">
        <v>1</v>
      </c>
      <c r="G1201" s="24" t="s">
        <v>2372</v>
      </c>
      <c r="H1201" s="24"/>
      <c r="I1201" s="24"/>
      <c r="J1201" s="283"/>
      <c r="K1201" s="196" t="s">
        <v>409</v>
      </c>
      <c r="L1201" s="196" t="s">
        <v>3006</v>
      </c>
      <c r="M1201" s="196" t="s">
        <v>2641</v>
      </c>
      <c r="N1201" s="196" t="s">
        <v>111</v>
      </c>
      <c r="O1201" s="196"/>
      <c r="P1201" s="196"/>
      <c r="Q1201" s="196"/>
      <c r="R1201" s="196"/>
      <c r="S1201" s="283"/>
      <c r="T1201" s="196" t="s">
        <v>208</v>
      </c>
      <c r="U1201" s="283"/>
      <c r="V1201" s="283"/>
      <c r="W1201" s="196" t="s">
        <v>115</v>
      </c>
      <c r="X1201" s="225"/>
      <c r="Y1201" s="283"/>
      <c r="Z1201" s="283"/>
      <c r="AA1201" s="283"/>
      <c r="AB1201" s="283"/>
      <c r="AC1201" s="283"/>
      <c r="AD1201" s="283"/>
      <c r="AE1201" s="283"/>
      <c r="AF1201" s="283"/>
      <c r="AG1201" s="283"/>
      <c r="AH1201" s="285" t="s">
        <v>2978</v>
      </c>
      <c r="AI1201" s="285" t="s">
        <v>2968</v>
      </c>
      <c r="AJ1201" s="285" t="s">
        <v>2969</v>
      </c>
      <c r="AK1201" s="225"/>
      <c r="AL1201" s="225"/>
      <c r="AM1201" s="24"/>
    </row>
    <row r="1202" spans="1:39" ht="12.75" customHeight="1">
      <c r="A1202" s="22">
        <v>1200</v>
      </c>
      <c r="B1202" s="24" t="s">
        <v>3007</v>
      </c>
      <c r="C1202" s="24" t="s">
        <v>96</v>
      </c>
      <c r="D1202" s="24" t="s">
        <v>1787</v>
      </c>
      <c r="E1202" s="24" t="s">
        <v>3008</v>
      </c>
      <c r="F1202" s="24">
        <v>1</v>
      </c>
      <c r="G1202" s="24" t="s">
        <v>2372</v>
      </c>
      <c r="H1202" s="24"/>
      <c r="I1202" s="24"/>
      <c r="J1202" s="283"/>
      <c r="K1202" s="164" t="s">
        <v>3007</v>
      </c>
      <c r="L1202" s="164" t="s">
        <v>3009</v>
      </c>
      <c r="M1202" s="164" t="s">
        <v>3010</v>
      </c>
      <c r="N1202" s="164" t="s">
        <v>202</v>
      </c>
      <c r="O1202" s="224"/>
      <c r="P1202" s="164"/>
      <c r="Q1202" s="164"/>
      <c r="R1202" s="164" t="s">
        <v>904</v>
      </c>
      <c r="S1202" s="283"/>
      <c r="T1202" s="164" t="s">
        <v>113</v>
      </c>
      <c r="U1202" s="283"/>
      <c r="V1202" s="283"/>
      <c r="W1202" s="164" t="s">
        <v>3011</v>
      </c>
      <c r="X1202" s="225"/>
      <c r="Y1202" s="283"/>
      <c r="Z1202" s="283"/>
      <c r="AA1202" s="283"/>
      <c r="AB1202" s="283"/>
      <c r="AC1202" s="283"/>
      <c r="AD1202" s="283"/>
      <c r="AE1202" s="283"/>
      <c r="AF1202" s="283"/>
      <c r="AG1202" s="283"/>
      <c r="AH1202" s="285" t="s">
        <v>3012</v>
      </c>
      <c r="AI1202" s="285" t="s">
        <v>2927</v>
      </c>
      <c r="AJ1202" s="285" t="s">
        <v>2928</v>
      </c>
      <c r="AK1202" s="225"/>
      <c r="AL1202" s="225"/>
      <c r="AM1202" s="24"/>
    </row>
    <row r="1203" spans="1:39" ht="12.75" customHeight="1">
      <c r="A1203" s="22">
        <v>1201</v>
      </c>
      <c r="B1203" s="24" t="s">
        <v>1775</v>
      </c>
      <c r="C1203" s="24" t="s">
        <v>180</v>
      </c>
      <c r="D1203" s="24" t="s">
        <v>3007</v>
      </c>
      <c r="E1203" s="24" t="s">
        <v>3008</v>
      </c>
      <c r="F1203" s="24">
        <v>1</v>
      </c>
      <c r="G1203" s="24" t="s">
        <v>2372</v>
      </c>
      <c r="H1203" s="24"/>
      <c r="I1203" s="24"/>
      <c r="J1203" s="283"/>
      <c r="K1203" s="164"/>
      <c r="L1203" s="164"/>
      <c r="M1203" s="164"/>
      <c r="N1203" s="164"/>
      <c r="O1203" s="224" t="s">
        <v>1775</v>
      </c>
      <c r="P1203" s="164"/>
      <c r="Q1203" s="164"/>
      <c r="R1203" s="164"/>
      <c r="S1203" s="283"/>
      <c r="T1203" s="164"/>
      <c r="U1203" s="283"/>
      <c r="V1203" s="283"/>
      <c r="W1203" s="164"/>
      <c r="X1203" s="225"/>
      <c r="Y1203" s="283"/>
      <c r="Z1203" s="283"/>
      <c r="AA1203" s="283"/>
      <c r="AB1203" s="283"/>
      <c r="AC1203" s="283"/>
      <c r="AD1203" s="283"/>
      <c r="AE1203" s="283"/>
      <c r="AF1203" s="283"/>
      <c r="AG1203" s="283"/>
      <c r="AH1203" s="285" t="s">
        <v>115</v>
      </c>
      <c r="AI1203" s="285" t="s">
        <v>953</v>
      </c>
      <c r="AJ1203" s="285" t="s">
        <v>954</v>
      </c>
      <c r="AK1203" s="225"/>
      <c r="AL1203" s="225"/>
      <c r="AM1203" s="24"/>
    </row>
    <row r="1204" spans="1:39" ht="12.75" customHeight="1">
      <c r="A1204" s="22">
        <v>1202</v>
      </c>
      <c r="B1204" s="24" t="s">
        <v>1779</v>
      </c>
      <c r="C1204" s="24" t="s">
        <v>180</v>
      </c>
      <c r="D1204" s="24" t="s">
        <v>3007</v>
      </c>
      <c r="E1204" s="24" t="s">
        <v>3008</v>
      </c>
      <c r="F1204" s="24">
        <v>1</v>
      </c>
      <c r="G1204" s="24" t="s">
        <v>2372</v>
      </c>
      <c r="H1204" s="24"/>
      <c r="I1204" s="24"/>
      <c r="J1204" s="283"/>
      <c r="K1204" s="164"/>
      <c r="L1204" s="164"/>
      <c r="M1204" s="164"/>
      <c r="N1204" s="164"/>
      <c r="O1204" s="224" t="s">
        <v>1779</v>
      </c>
      <c r="P1204" s="164"/>
      <c r="Q1204" s="164"/>
      <c r="R1204" s="164"/>
      <c r="S1204" s="283"/>
      <c r="T1204" s="164"/>
      <c r="U1204" s="283"/>
      <c r="V1204" s="283"/>
      <c r="W1204" s="164"/>
      <c r="X1204" s="225"/>
      <c r="Y1204" s="283"/>
      <c r="Z1204" s="283"/>
      <c r="AA1204" s="283"/>
      <c r="AB1204" s="283"/>
      <c r="AC1204" s="283"/>
      <c r="AD1204" s="283"/>
      <c r="AE1204" s="283"/>
      <c r="AF1204" s="283"/>
      <c r="AG1204" s="283"/>
      <c r="AH1204" s="285" t="s">
        <v>115</v>
      </c>
      <c r="AI1204" s="285" t="s">
        <v>2929</v>
      </c>
      <c r="AJ1204" s="285" t="s">
        <v>2930</v>
      </c>
      <c r="AK1204" s="225"/>
      <c r="AL1204" s="225"/>
      <c r="AM1204" s="24"/>
    </row>
    <row r="1205" spans="1:39" ht="12.75" customHeight="1">
      <c r="A1205" s="22">
        <v>1203</v>
      </c>
      <c r="B1205" s="24" t="s">
        <v>1468</v>
      </c>
      <c r="C1205" s="24" t="s">
        <v>180</v>
      </c>
      <c r="D1205" s="24" t="s">
        <v>3007</v>
      </c>
      <c r="E1205" s="24" t="s">
        <v>3008</v>
      </c>
      <c r="F1205" s="24">
        <v>1</v>
      </c>
      <c r="G1205" s="24" t="s">
        <v>2372</v>
      </c>
      <c r="H1205" s="24"/>
      <c r="I1205" s="24"/>
      <c r="J1205" s="283"/>
      <c r="K1205" s="164"/>
      <c r="L1205" s="164"/>
      <c r="M1205" s="164"/>
      <c r="N1205" s="164"/>
      <c r="O1205" s="224" t="s">
        <v>1468</v>
      </c>
      <c r="P1205" s="164"/>
      <c r="Q1205" s="164"/>
      <c r="R1205" s="164"/>
      <c r="S1205" s="283"/>
      <c r="T1205" s="164"/>
      <c r="U1205" s="283"/>
      <c r="V1205" s="283"/>
      <c r="W1205" s="164"/>
      <c r="X1205" s="225"/>
      <c r="Y1205" s="283"/>
      <c r="Z1205" s="283"/>
      <c r="AA1205" s="283"/>
      <c r="AB1205" s="283"/>
      <c r="AC1205" s="283"/>
      <c r="AD1205" s="283"/>
      <c r="AE1205" s="283"/>
      <c r="AF1205" s="283"/>
      <c r="AG1205" s="283"/>
      <c r="AH1205" s="285" t="s">
        <v>115</v>
      </c>
      <c r="AI1205" s="285" t="s">
        <v>957</v>
      </c>
      <c r="AJ1205" s="205" t="s">
        <v>958</v>
      </c>
      <c r="AK1205" s="225"/>
      <c r="AL1205" s="225"/>
      <c r="AM1205" s="24"/>
    </row>
    <row r="1206" spans="1:39" ht="12.75" customHeight="1">
      <c r="A1206" s="22">
        <v>1204</v>
      </c>
      <c r="B1206" s="24" t="s">
        <v>3013</v>
      </c>
      <c r="C1206" s="24" t="s">
        <v>65</v>
      </c>
      <c r="D1206" s="24" t="s">
        <v>1787</v>
      </c>
      <c r="E1206" s="24" t="s">
        <v>3008</v>
      </c>
      <c r="F1206" s="24">
        <v>1</v>
      </c>
      <c r="G1206" s="24" t="s">
        <v>2372</v>
      </c>
      <c r="H1206" s="24"/>
      <c r="I1206" s="24"/>
      <c r="J1206" s="283"/>
      <c r="K1206" s="164"/>
      <c r="L1206" s="164" t="s">
        <v>3013</v>
      </c>
      <c r="M1206" s="164" t="s">
        <v>3014</v>
      </c>
      <c r="N1206" s="164" t="s">
        <v>65</v>
      </c>
      <c r="O1206" s="224"/>
      <c r="P1206" s="164" t="s">
        <v>2937</v>
      </c>
      <c r="Q1206" s="164"/>
      <c r="R1206" s="164"/>
      <c r="S1206" s="283"/>
      <c r="T1206" s="164"/>
      <c r="U1206" s="283"/>
      <c r="V1206" s="283"/>
      <c r="W1206" s="164"/>
      <c r="X1206" s="225"/>
      <c r="Y1206" s="283"/>
      <c r="Z1206" s="283"/>
      <c r="AA1206" s="283"/>
      <c r="AB1206" s="283"/>
      <c r="AC1206" s="283"/>
      <c r="AD1206" s="283"/>
      <c r="AE1206" s="283"/>
      <c r="AF1206" s="283"/>
      <c r="AG1206" s="283"/>
      <c r="AH1206" s="285" t="s">
        <v>3012</v>
      </c>
      <c r="AI1206" s="285" t="s">
        <v>2938</v>
      </c>
      <c r="AJ1206" s="285" t="s">
        <v>2939</v>
      </c>
      <c r="AK1206" s="225"/>
      <c r="AL1206" s="225"/>
      <c r="AM1206" s="24"/>
    </row>
    <row r="1207" spans="1:39" ht="12.75" customHeight="1">
      <c r="A1207" s="22">
        <v>1205</v>
      </c>
      <c r="B1207" s="24" t="s">
        <v>3015</v>
      </c>
      <c r="C1207" s="24" t="s">
        <v>96</v>
      </c>
      <c r="D1207" s="24" t="s">
        <v>1787</v>
      </c>
      <c r="E1207" s="24" t="s">
        <v>3008</v>
      </c>
      <c r="F1207" s="24">
        <v>1</v>
      </c>
      <c r="G1207" s="24" t="s">
        <v>2372</v>
      </c>
      <c r="H1207" s="24"/>
      <c r="I1207" s="24"/>
      <c r="J1207" s="283"/>
      <c r="K1207" s="164" t="s">
        <v>1376</v>
      </c>
      <c r="L1207" s="164" t="s">
        <v>3016</v>
      </c>
      <c r="M1207" s="164" t="s">
        <v>3017</v>
      </c>
      <c r="N1207" s="164" t="s">
        <v>202</v>
      </c>
      <c r="O1207" s="224"/>
      <c r="P1207" s="164"/>
      <c r="Q1207" s="164"/>
      <c r="R1207" s="164"/>
      <c r="S1207" s="283"/>
      <c r="T1207" s="164" t="s">
        <v>113</v>
      </c>
      <c r="U1207" s="283"/>
      <c r="V1207" s="283"/>
      <c r="W1207" s="164" t="s">
        <v>115</v>
      </c>
      <c r="X1207" s="225"/>
      <c r="Y1207" s="283"/>
      <c r="Z1207" s="283"/>
      <c r="AA1207" s="283"/>
      <c r="AB1207" s="283"/>
      <c r="AC1207" s="283"/>
      <c r="AD1207" s="283"/>
      <c r="AE1207" s="283"/>
      <c r="AF1207" s="283"/>
      <c r="AG1207" s="283"/>
      <c r="AH1207" s="285" t="s">
        <v>3012</v>
      </c>
      <c r="AI1207" s="285" t="s">
        <v>2959</v>
      </c>
      <c r="AJ1207" s="285" t="s">
        <v>2960</v>
      </c>
      <c r="AK1207" s="225"/>
      <c r="AL1207" s="225"/>
      <c r="AM1207" s="24"/>
    </row>
    <row r="1208" spans="1:39" ht="12.75" customHeight="1">
      <c r="A1208" s="22">
        <v>1206</v>
      </c>
      <c r="B1208" s="24" t="s">
        <v>2961</v>
      </c>
      <c r="C1208" s="24" t="s">
        <v>180</v>
      </c>
      <c r="D1208" s="24" t="s">
        <v>3015</v>
      </c>
      <c r="E1208" s="24" t="s">
        <v>3008</v>
      </c>
      <c r="F1208" s="24">
        <v>1</v>
      </c>
      <c r="G1208" s="24" t="s">
        <v>2372</v>
      </c>
      <c r="H1208" s="24"/>
      <c r="I1208" s="24"/>
      <c r="J1208" s="283"/>
      <c r="K1208" s="196"/>
      <c r="L1208" s="164"/>
      <c r="M1208" s="196"/>
      <c r="N1208" s="196"/>
      <c r="O1208" s="224" t="s">
        <v>2961</v>
      </c>
      <c r="P1208" s="196"/>
      <c r="Q1208" s="196"/>
      <c r="R1208" s="196"/>
      <c r="S1208" s="283"/>
      <c r="T1208" s="196"/>
      <c r="U1208" s="283"/>
      <c r="V1208" s="283"/>
      <c r="W1208" s="196"/>
      <c r="X1208" s="225"/>
      <c r="Y1208" s="283"/>
      <c r="Z1208" s="283"/>
      <c r="AA1208" s="283"/>
      <c r="AB1208" s="283"/>
      <c r="AC1208" s="283"/>
      <c r="AD1208" s="283"/>
      <c r="AE1208" s="283"/>
      <c r="AF1208" s="283"/>
      <c r="AG1208" s="283"/>
      <c r="AH1208" s="205" t="s">
        <v>115</v>
      </c>
      <c r="AI1208" s="205" t="s">
        <v>2637</v>
      </c>
      <c r="AJ1208" s="205" t="s">
        <v>2638</v>
      </c>
      <c r="AK1208" s="225"/>
      <c r="AL1208" s="225"/>
      <c r="AM1208" s="24"/>
    </row>
    <row r="1209" spans="1:39" ht="12.75" customHeight="1">
      <c r="A1209" s="22">
        <v>1207</v>
      </c>
      <c r="B1209" s="24" t="s">
        <v>2962</v>
      </c>
      <c r="C1209" s="24" t="s">
        <v>180</v>
      </c>
      <c r="D1209" s="24" t="s">
        <v>3015</v>
      </c>
      <c r="E1209" s="24" t="s">
        <v>3008</v>
      </c>
      <c r="F1209" s="24">
        <v>1</v>
      </c>
      <c r="G1209" s="24" t="s">
        <v>2372</v>
      </c>
      <c r="H1209" s="24"/>
      <c r="I1209" s="24"/>
      <c r="J1209" s="283"/>
      <c r="K1209" s="196"/>
      <c r="L1209" s="164"/>
      <c r="M1209" s="196"/>
      <c r="N1209" s="196"/>
      <c r="O1209" s="204" t="s">
        <v>2962</v>
      </c>
      <c r="P1209" s="196"/>
      <c r="Q1209" s="196"/>
      <c r="R1209" s="196"/>
      <c r="S1209" s="283"/>
      <c r="T1209" s="196"/>
      <c r="U1209" s="283"/>
      <c r="V1209" s="283"/>
      <c r="W1209" s="196"/>
      <c r="X1209" s="225"/>
      <c r="Y1209" s="283"/>
      <c r="Z1209" s="283"/>
      <c r="AA1209" s="283"/>
      <c r="AB1209" s="283"/>
      <c r="AC1209" s="283"/>
      <c r="AD1209" s="283"/>
      <c r="AE1209" s="283"/>
      <c r="AF1209" s="283"/>
      <c r="AG1209" s="283"/>
      <c r="AH1209" s="205" t="s">
        <v>115</v>
      </c>
      <c r="AI1209" s="205" t="s">
        <v>2963</v>
      </c>
      <c r="AJ1209" s="205" t="s">
        <v>2964</v>
      </c>
      <c r="AK1209" s="225"/>
      <c r="AL1209" s="225"/>
      <c r="AM1209" s="24"/>
    </row>
    <row r="1210" spans="1:39" ht="12.75" customHeight="1">
      <c r="A1210" s="22">
        <v>1208</v>
      </c>
      <c r="B1210" s="24" t="s">
        <v>2383</v>
      </c>
      <c r="C1210" s="24" t="s">
        <v>180</v>
      </c>
      <c r="D1210" s="24" t="s">
        <v>3015</v>
      </c>
      <c r="E1210" s="24" t="s">
        <v>3008</v>
      </c>
      <c r="F1210" s="24">
        <v>1</v>
      </c>
      <c r="G1210" s="24" t="s">
        <v>2372</v>
      </c>
      <c r="H1210" s="24"/>
      <c r="I1210" s="24"/>
      <c r="J1210" s="283"/>
      <c r="K1210" s="196"/>
      <c r="L1210" s="164"/>
      <c r="M1210" s="196"/>
      <c r="N1210" s="196"/>
      <c r="O1210" s="204" t="s">
        <v>2383</v>
      </c>
      <c r="P1210" s="196"/>
      <c r="Q1210" s="196"/>
      <c r="R1210" s="196"/>
      <c r="S1210" s="283"/>
      <c r="T1210" s="196"/>
      <c r="U1210" s="283"/>
      <c r="V1210" s="283"/>
      <c r="W1210" s="196"/>
      <c r="X1210" s="225"/>
      <c r="Y1210" s="283"/>
      <c r="Z1210" s="283"/>
      <c r="AA1210" s="283"/>
      <c r="AB1210" s="283"/>
      <c r="AC1210" s="283"/>
      <c r="AD1210" s="283"/>
      <c r="AE1210" s="283"/>
      <c r="AF1210" s="283"/>
      <c r="AG1210" s="283"/>
      <c r="AH1210" s="205" t="s">
        <v>115</v>
      </c>
      <c r="AI1210" s="205" t="s">
        <v>2716</v>
      </c>
      <c r="AJ1210" s="205" t="s">
        <v>2717</v>
      </c>
      <c r="AK1210" s="225"/>
      <c r="AL1210" s="225"/>
      <c r="AM1210" s="24"/>
    </row>
    <row r="1211" spans="1:39" ht="12.75" customHeight="1">
      <c r="A1211" s="22">
        <v>1209</v>
      </c>
      <c r="B1211" s="24" t="s">
        <v>2965</v>
      </c>
      <c r="C1211" s="24" t="s">
        <v>180</v>
      </c>
      <c r="D1211" s="24" t="s">
        <v>3015</v>
      </c>
      <c r="E1211" s="24" t="s">
        <v>3008</v>
      </c>
      <c r="F1211" s="24">
        <v>1</v>
      </c>
      <c r="G1211" s="24" t="s">
        <v>2372</v>
      </c>
      <c r="H1211" s="24"/>
      <c r="I1211" s="24"/>
      <c r="J1211" s="283"/>
      <c r="K1211" s="196"/>
      <c r="L1211" s="164"/>
      <c r="M1211" s="196"/>
      <c r="N1211" s="196"/>
      <c r="O1211" s="204" t="s">
        <v>2965</v>
      </c>
      <c r="P1211" s="196"/>
      <c r="Q1211" s="196"/>
      <c r="R1211" s="196"/>
      <c r="S1211" s="283"/>
      <c r="T1211" s="196"/>
      <c r="U1211" s="283"/>
      <c r="V1211" s="283"/>
      <c r="W1211" s="196"/>
      <c r="X1211" s="225"/>
      <c r="Y1211" s="283"/>
      <c r="Z1211" s="283"/>
      <c r="AA1211" s="283"/>
      <c r="AB1211" s="283"/>
      <c r="AC1211" s="283"/>
      <c r="AD1211" s="283"/>
      <c r="AE1211" s="283"/>
      <c r="AF1211" s="283"/>
      <c r="AG1211" s="283"/>
      <c r="AH1211" s="205" t="s">
        <v>115</v>
      </c>
      <c r="AI1211" s="205" t="s">
        <v>2685</v>
      </c>
      <c r="AJ1211" s="205" t="s">
        <v>2686</v>
      </c>
      <c r="AK1211" s="225"/>
      <c r="AL1211" s="225"/>
      <c r="AM1211" s="24"/>
    </row>
    <row r="1212" spans="1:39" ht="12.75" customHeight="1">
      <c r="A1212" s="22">
        <v>1210</v>
      </c>
      <c r="B1212" s="24" t="s">
        <v>405</v>
      </c>
      <c r="C1212" s="24" t="s">
        <v>180</v>
      </c>
      <c r="D1212" s="24" t="s">
        <v>3015</v>
      </c>
      <c r="E1212" s="24" t="s">
        <v>3008</v>
      </c>
      <c r="F1212" s="24">
        <v>1</v>
      </c>
      <c r="G1212" s="24" t="s">
        <v>2372</v>
      </c>
      <c r="H1212" s="24"/>
      <c r="I1212" s="24"/>
      <c r="J1212" s="283"/>
      <c r="K1212" s="196"/>
      <c r="L1212" s="164"/>
      <c r="M1212" s="196"/>
      <c r="N1212" s="196"/>
      <c r="O1212" s="204" t="s">
        <v>405</v>
      </c>
      <c r="P1212" s="196"/>
      <c r="Q1212" s="196"/>
      <c r="R1212" s="196"/>
      <c r="S1212" s="283"/>
      <c r="T1212" s="196"/>
      <c r="U1212" s="283"/>
      <c r="V1212" s="283"/>
      <c r="W1212" s="196"/>
      <c r="X1212" s="225"/>
      <c r="Y1212" s="283"/>
      <c r="Z1212" s="283"/>
      <c r="AA1212" s="283"/>
      <c r="AB1212" s="283"/>
      <c r="AC1212" s="283"/>
      <c r="AD1212" s="283"/>
      <c r="AE1212" s="283"/>
      <c r="AF1212" s="283"/>
      <c r="AG1212" s="283"/>
      <c r="AH1212" s="205" t="s">
        <v>115</v>
      </c>
      <c r="AI1212" s="205" t="s">
        <v>406</v>
      </c>
      <c r="AJ1212" s="205" t="s">
        <v>407</v>
      </c>
      <c r="AK1212" s="225"/>
      <c r="AL1212" s="225"/>
      <c r="AM1212" s="24"/>
    </row>
    <row r="1213" spans="1:39" ht="12.75" customHeight="1">
      <c r="A1213" s="22">
        <v>1211</v>
      </c>
      <c r="B1213" s="24" t="s">
        <v>3018</v>
      </c>
      <c r="C1213" s="24" t="s">
        <v>96</v>
      </c>
      <c r="D1213" s="24" t="s">
        <v>1787</v>
      </c>
      <c r="E1213" s="24" t="s">
        <v>3008</v>
      </c>
      <c r="F1213" s="24">
        <v>1</v>
      </c>
      <c r="G1213" s="24" t="s">
        <v>2372</v>
      </c>
      <c r="H1213" s="24"/>
      <c r="I1213" s="24"/>
      <c r="J1213" s="283"/>
      <c r="K1213" s="196" t="s">
        <v>409</v>
      </c>
      <c r="L1213" s="164" t="s">
        <v>3019</v>
      </c>
      <c r="M1213" s="196" t="s">
        <v>2641</v>
      </c>
      <c r="N1213" s="196" t="s">
        <v>111</v>
      </c>
      <c r="O1213" s="196"/>
      <c r="P1213" s="196"/>
      <c r="Q1213" s="196"/>
      <c r="R1213" s="196"/>
      <c r="S1213" s="283"/>
      <c r="T1213" s="196" t="s">
        <v>208</v>
      </c>
      <c r="U1213" s="283"/>
      <c r="V1213" s="283"/>
      <c r="W1213" s="196" t="s">
        <v>115</v>
      </c>
      <c r="X1213" s="225"/>
      <c r="Y1213" s="283"/>
      <c r="Z1213" s="283"/>
      <c r="AA1213" s="283"/>
      <c r="AB1213" s="283"/>
      <c r="AC1213" s="283"/>
      <c r="AD1213" s="283"/>
      <c r="AE1213" s="283"/>
      <c r="AF1213" s="283"/>
      <c r="AG1213" s="283"/>
      <c r="AH1213" s="285" t="s">
        <v>3012</v>
      </c>
      <c r="AI1213" s="285" t="s">
        <v>2968</v>
      </c>
      <c r="AJ1213" s="285" t="s">
        <v>2969</v>
      </c>
      <c r="AK1213" s="225"/>
      <c r="AL1213" s="225"/>
      <c r="AM1213" s="24"/>
    </row>
    <row r="1214" spans="1:39" ht="12.75" customHeight="1">
      <c r="A1214" s="22">
        <v>1212</v>
      </c>
      <c r="B1214" s="24" t="s">
        <v>3020</v>
      </c>
      <c r="C1214" s="24" t="s">
        <v>96</v>
      </c>
      <c r="D1214" s="24" t="s">
        <v>1787</v>
      </c>
      <c r="E1214" s="24" t="s">
        <v>3021</v>
      </c>
      <c r="F1214" s="24">
        <v>1</v>
      </c>
      <c r="G1214" s="24" t="s">
        <v>2372</v>
      </c>
      <c r="H1214" s="24"/>
      <c r="I1214" s="24"/>
      <c r="J1214" s="283"/>
      <c r="K1214" s="224" t="s">
        <v>3020</v>
      </c>
      <c r="L1214" s="164" t="s">
        <v>3022</v>
      </c>
      <c r="M1214" s="164"/>
      <c r="N1214" s="164" t="s">
        <v>202</v>
      </c>
      <c r="O1214" s="196"/>
      <c r="P1214" s="164"/>
      <c r="Q1214" s="164"/>
      <c r="R1214" s="164"/>
      <c r="S1214" s="283"/>
      <c r="T1214" s="164" t="s">
        <v>113</v>
      </c>
      <c r="U1214" s="283"/>
      <c r="V1214" s="283"/>
      <c r="W1214" s="204" t="s">
        <v>3023</v>
      </c>
      <c r="X1214" s="225"/>
      <c r="Y1214" s="283"/>
      <c r="Z1214" s="283"/>
      <c r="AA1214" s="283"/>
      <c r="AB1214" s="283"/>
      <c r="AC1214" s="283"/>
      <c r="AD1214" s="283"/>
      <c r="AE1214" s="283"/>
      <c r="AF1214" s="283"/>
      <c r="AG1214" s="283"/>
      <c r="AH1214" s="285" t="s">
        <v>3024</v>
      </c>
      <c r="AI1214" s="285" t="s">
        <v>2630</v>
      </c>
      <c r="AJ1214" s="285" t="s">
        <v>2631</v>
      </c>
      <c r="AK1214" s="225"/>
      <c r="AL1214" s="225"/>
      <c r="AM1214" s="24"/>
    </row>
    <row r="1215" spans="1:39" ht="12.75" customHeight="1">
      <c r="A1215" s="22">
        <v>1213</v>
      </c>
      <c r="B1215" s="24" t="s">
        <v>1673</v>
      </c>
      <c r="C1215" s="24" t="s">
        <v>180</v>
      </c>
      <c r="D1215" s="24" t="s">
        <v>3020</v>
      </c>
      <c r="E1215" s="24" t="s">
        <v>3021</v>
      </c>
      <c r="F1215" s="24">
        <v>1</v>
      </c>
      <c r="G1215" s="24" t="s">
        <v>2372</v>
      </c>
      <c r="H1215" s="24"/>
      <c r="I1215" s="24"/>
      <c r="J1215" s="283"/>
      <c r="K1215" s="164"/>
      <c r="L1215" s="164"/>
      <c r="M1215" s="164"/>
      <c r="N1215" s="164"/>
      <c r="O1215" s="196" t="s">
        <v>1673</v>
      </c>
      <c r="P1215" s="164"/>
      <c r="Q1215" s="164"/>
      <c r="R1215" s="164"/>
      <c r="S1215" s="283"/>
      <c r="T1215" s="164"/>
      <c r="U1215" s="283"/>
      <c r="V1215" s="283"/>
      <c r="W1215" s="164"/>
      <c r="X1215" s="225"/>
      <c r="Y1215" s="283"/>
      <c r="Z1215" s="283"/>
      <c r="AA1215" s="283"/>
      <c r="AB1215" s="283"/>
      <c r="AC1215" s="283"/>
      <c r="AD1215" s="283"/>
      <c r="AE1215" s="283"/>
      <c r="AF1215" s="283"/>
      <c r="AG1215" s="283"/>
      <c r="AH1215" s="285" t="s">
        <v>115</v>
      </c>
      <c r="AI1215" s="285" t="s">
        <v>942</v>
      </c>
      <c r="AJ1215" s="205" t="s">
        <v>943</v>
      </c>
      <c r="AK1215" s="225"/>
      <c r="AL1215" s="225"/>
      <c r="AM1215" s="24"/>
    </row>
    <row r="1216" spans="1:39" ht="12.75" customHeight="1">
      <c r="A1216" s="22">
        <v>1214</v>
      </c>
      <c r="B1216" s="24" t="s">
        <v>1468</v>
      </c>
      <c r="C1216" s="24" t="s">
        <v>180</v>
      </c>
      <c r="D1216" s="24" t="s">
        <v>3020</v>
      </c>
      <c r="E1216" s="24" t="s">
        <v>3021</v>
      </c>
      <c r="F1216" s="24">
        <v>1</v>
      </c>
      <c r="G1216" s="24" t="s">
        <v>2372</v>
      </c>
      <c r="H1216" s="24"/>
      <c r="I1216" s="24"/>
      <c r="J1216" s="283"/>
      <c r="K1216" s="164"/>
      <c r="L1216" s="164"/>
      <c r="M1216" s="164"/>
      <c r="N1216" s="164"/>
      <c r="O1216" s="224" t="s">
        <v>1468</v>
      </c>
      <c r="P1216" s="164"/>
      <c r="Q1216" s="164"/>
      <c r="R1216" s="164"/>
      <c r="S1216" s="283"/>
      <c r="T1216" s="164"/>
      <c r="U1216" s="283"/>
      <c r="V1216" s="283"/>
      <c r="W1216" s="164"/>
      <c r="X1216" s="225"/>
      <c r="Y1216" s="283"/>
      <c r="Z1216" s="283"/>
      <c r="AA1216" s="283"/>
      <c r="AB1216" s="283"/>
      <c r="AC1216" s="283"/>
      <c r="AD1216" s="283"/>
      <c r="AE1216" s="283"/>
      <c r="AF1216" s="283"/>
      <c r="AG1216" s="283"/>
      <c r="AH1216" s="285" t="s">
        <v>115</v>
      </c>
      <c r="AI1216" s="285" t="s">
        <v>1469</v>
      </c>
      <c r="AJ1216" s="205" t="s">
        <v>1470</v>
      </c>
      <c r="AK1216" s="225"/>
      <c r="AL1216" s="225"/>
      <c r="AM1216" s="24"/>
    </row>
    <row r="1217" spans="1:39" ht="12.75" customHeight="1">
      <c r="A1217" s="22">
        <v>1215</v>
      </c>
      <c r="B1217" s="24" t="s">
        <v>3025</v>
      </c>
      <c r="C1217" s="24" t="s">
        <v>96</v>
      </c>
      <c r="D1217" s="24" t="s">
        <v>1787</v>
      </c>
      <c r="E1217" s="24" t="s">
        <v>3021</v>
      </c>
      <c r="F1217" s="24">
        <v>1</v>
      </c>
      <c r="G1217" s="24" t="s">
        <v>2372</v>
      </c>
      <c r="H1217" s="24"/>
      <c r="I1217" s="24"/>
      <c r="J1217" s="283"/>
      <c r="K1217" s="164" t="s">
        <v>1376</v>
      </c>
      <c r="L1217" s="164" t="s">
        <v>3026</v>
      </c>
      <c r="M1217" s="164" t="s">
        <v>3027</v>
      </c>
      <c r="N1217" s="164" t="s">
        <v>238</v>
      </c>
      <c r="O1217" s="224"/>
      <c r="P1217" s="164"/>
      <c r="Q1217" s="164"/>
      <c r="R1217" s="164"/>
      <c r="S1217" s="283"/>
      <c r="T1217" s="164" t="s">
        <v>113</v>
      </c>
      <c r="U1217" s="283"/>
      <c r="V1217" s="283"/>
      <c r="W1217" s="164" t="s">
        <v>115</v>
      </c>
      <c r="X1217" s="225"/>
      <c r="Y1217" s="283"/>
      <c r="Z1217" s="283"/>
      <c r="AA1217" s="283"/>
      <c r="AB1217" s="283"/>
      <c r="AC1217" s="283"/>
      <c r="AD1217" s="283"/>
      <c r="AE1217" s="283"/>
      <c r="AF1217" s="283"/>
      <c r="AG1217" s="283"/>
      <c r="AH1217" s="285" t="s">
        <v>3024</v>
      </c>
      <c r="AI1217" s="285" t="s">
        <v>2635</v>
      </c>
      <c r="AJ1217" s="285" t="s">
        <v>2636</v>
      </c>
      <c r="AK1217" s="225"/>
      <c r="AL1217" s="225"/>
      <c r="AM1217" s="24"/>
    </row>
    <row r="1218" spans="1:39" ht="12.75" customHeight="1">
      <c r="A1218" s="22">
        <v>1216</v>
      </c>
      <c r="B1218" s="24" t="s">
        <v>2405</v>
      </c>
      <c r="C1218" s="24" t="s">
        <v>180</v>
      </c>
      <c r="D1218" s="24" t="s">
        <v>3025</v>
      </c>
      <c r="E1218" s="24" t="s">
        <v>3021</v>
      </c>
      <c r="F1218" s="24">
        <v>1</v>
      </c>
      <c r="G1218" s="24" t="s">
        <v>2372</v>
      </c>
      <c r="H1218" s="24"/>
      <c r="I1218" s="24"/>
      <c r="J1218" s="283"/>
      <c r="K1218" s="196"/>
      <c r="L1218" s="164"/>
      <c r="M1218" s="196"/>
      <c r="N1218" s="196"/>
      <c r="O1218" s="224" t="s">
        <v>2405</v>
      </c>
      <c r="P1218" s="196"/>
      <c r="Q1218" s="196"/>
      <c r="R1218" s="196"/>
      <c r="S1218" s="283"/>
      <c r="T1218" s="196"/>
      <c r="U1218" s="283"/>
      <c r="V1218" s="283"/>
      <c r="W1218" s="196"/>
      <c r="X1218" s="225"/>
      <c r="Y1218" s="283"/>
      <c r="Z1218" s="283"/>
      <c r="AA1218" s="283"/>
      <c r="AB1218" s="283"/>
      <c r="AC1218" s="283"/>
      <c r="AD1218" s="283"/>
      <c r="AE1218" s="283"/>
      <c r="AF1218" s="283"/>
      <c r="AG1218" s="283"/>
      <c r="AH1218" s="285" t="s">
        <v>115</v>
      </c>
      <c r="AI1218" s="205" t="s">
        <v>2406</v>
      </c>
      <c r="AJ1218" s="285" t="s">
        <v>2407</v>
      </c>
      <c r="AK1218" s="225"/>
      <c r="AL1218" s="225"/>
      <c r="AM1218" s="24"/>
    </row>
    <row r="1219" spans="1:39" ht="12.75" customHeight="1">
      <c r="A1219" s="22">
        <v>1217</v>
      </c>
      <c r="B1219" s="24" t="s">
        <v>405</v>
      </c>
      <c r="C1219" s="24" t="s">
        <v>180</v>
      </c>
      <c r="D1219" s="24" t="s">
        <v>3025</v>
      </c>
      <c r="E1219" s="24" t="s">
        <v>3021</v>
      </c>
      <c r="F1219" s="24">
        <v>1</v>
      </c>
      <c r="G1219" s="24" t="s">
        <v>2372</v>
      </c>
      <c r="H1219" s="24"/>
      <c r="I1219" s="24"/>
      <c r="J1219" s="283"/>
      <c r="K1219" s="196"/>
      <c r="L1219" s="164"/>
      <c r="M1219" s="196"/>
      <c r="N1219" s="196"/>
      <c r="O1219" s="204" t="s">
        <v>405</v>
      </c>
      <c r="P1219" s="196"/>
      <c r="Q1219" s="196"/>
      <c r="R1219" s="196"/>
      <c r="S1219" s="283"/>
      <c r="T1219" s="196"/>
      <c r="U1219" s="283"/>
      <c r="V1219" s="283"/>
      <c r="W1219" s="196"/>
      <c r="X1219" s="225"/>
      <c r="Y1219" s="283"/>
      <c r="Z1219" s="283"/>
      <c r="AA1219" s="283"/>
      <c r="AB1219" s="283"/>
      <c r="AC1219" s="283"/>
      <c r="AD1219" s="283"/>
      <c r="AE1219" s="283"/>
      <c r="AF1219" s="283"/>
      <c r="AG1219" s="283"/>
      <c r="AH1219" s="285" t="s">
        <v>115</v>
      </c>
      <c r="AI1219" s="205" t="s">
        <v>406</v>
      </c>
      <c r="AJ1219" s="285" t="s">
        <v>407</v>
      </c>
      <c r="AK1219" s="225"/>
      <c r="AL1219" s="225"/>
      <c r="AM1219" s="24"/>
    </row>
    <row r="1220" spans="1:39" ht="12.75" customHeight="1">
      <c r="A1220" s="22">
        <v>1218</v>
      </c>
      <c r="B1220" s="24" t="s">
        <v>3028</v>
      </c>
      <c r="C1220" s="24" t="s">
        <v>96</v>
      </c>
      <c r="D1220" s="24" t="s">
        <v>1787</v>
      </c>
      <c r="E1220" s="24" t="s">
        <v>3021</v>
      </c>
      <c r="F1220" s="24">
        <v>1</v>
      </c>
      <c r="G1220" s="24" t="s">
        <v>2372</v>
      </c>
      <c r="H1220" s="24"/>
      <c r="I1220" s="24"/>
      <c r="J1220" s="283"/>
      <c r="K1220" s="196" t="s">
        <v>409</v>
      </c>
      <c r="L1220" s="164" t="s">
        <v>3029</v>
      </c>
      <c r="M1220" s="196" t="s">
        <v>2641</v>
      </c>
      <c r="N1220" s="196" t="s">
        <v>111</v>
      </c>
      <c r="O1220" s="196"/>
      <c r="P1220" s="196"/>
      <c r="Q1220" s="196"/>
      <c r="R1220" s="196"/>
      <c r="S1220" s="283"/>
      <c r="T1220" s="196" t="s">
        <v>208</v>
      </c>
      <c r="U1220" s="283"/>
      <c r="V1220" s="283"/>
      <c r="W1220" s="196" t="s">
        <v>115</v>
      </c>
      <c r="X1220" s="225"/>
      <c r="Y1220" s="283"/>
      <c r="Z1220" s="283"/>
      <c r="AA1220" s="283"/>
      <c r="AB1220" s="283"/>
      <c r="AC1220" s="283"/>
      <c r="AD1220" s="283"/>
      <c r="AE1220" s="283"/>
      <c r="AF1220" s="283"/>
      <c r="AG1220" s="283"/>
      <c r="AH1220" s="285" t="s">
        <v>3024</v>
      </c>
      <c r="AI1220" s="285" t="s">
        <v>2642</v>
      </c>
      <c r="AJ1220" s="285" t="s">
        <v>2643</v>
      </c>
      <c r="AK1220" s="225"/>
      <c r="AL1220" s="225"/>
      <c r="AM1220" s="24"/>
    </row>
    <row r="1221" spans="1:39" ht="12.75" customHeight="1">
      <c r="A1221" s="22">
        <v>1219</v>
      </c>
      <c r="B1221" s="24" t="s">
        <v>3030</v>
      </c>
      <c r="C1221" s="24" t="s">
        <v>65</v>
      </c>
      <c r="D1221" s="24" t="s">
        <v>1787</v>
      </c>
      <c r="E1221" s="24" t="s">
        <v>3021</v>
      </c>
      <c r="F1221" s="24">
        <v>1</v>
      </c>
      <c r="G1221" s="24" t="s">
        <v>2372</v>
      </c>
      <c r="H1221" s="24"/>
      <c r="I1221" s="24"/>
      <c r="J1221" s="283"/>
      <c r="K1221" s="298" t="s">
        <v>115</v>
      </c>
      <c r="L1221" s="298" t="s">
        <v>3030</v>
      </c>
      <c r="M1221" s="298" t="s">
        <v>3031</v>
      </c>
      <c r="N1221" s="298" t="s">
        <v>65</v>
      </c>
      <c r="O1221" s="164"/>
      <c r="P1221" s="298" t="s">
        <v>3032</v>
      </c>
      <c r="Q1221" s="298"/>
      <c r="R1221" s="164"/>
      <c r="S1221" s="283"/>
      <c r="T1221" s="298" t="s">
        <v>115</v>
      </c>
      <c r="U1221" s="283"/>
      <c r="V1221" s="283"/>
      <c r="W1221" s="298" t="s">
        <v>115</v>
      </c>
      <c r="X1221" s="225"/>
      <c r="Y1221" s="283"/>
      <c r="Z1221" s="283"/>
      <c r="AA1221" s="283"/>
      <c r="AB1221" s="283"/>
      <c r="AC1221" s="283"/>
      <c r="AD1221" s="283"/>
      <c r="AE1221" s="283"/>
      <c r="AF1221" s="283"/>
      <c r="AG1221" s="283"/>
      <c r="AH1221" s="285" t="s">
        <v>115</v>
      </c>
      <c r="AI1221" s="285" t="s">
        <v>115</v>
      </c>
      <c r="AJ1221" s="285" t="s">
        <v>115</v>
      </c>
      <c r="AK1221" s="225"/>
      <c r="AL1221" s="225"/>
      <c r="AM1221" s="24"/>
    </row>
    <row r="1222" spans="1:39" ht="12.75" customHeight="1">
      <c r="A1222" s="22">
        <v>1220</v>
      </c>
      <c r="B1222" s="24" t="s">
        <v>3033</v>
      </c>
      <c r="C1222" s="24" t="s">
        <v>96</v>
      </c>
      <c r="D1222" s="24" t="s">
        <v>1787</v>
      </c>
      <c r="E1222" s="24" t="s">
        <v>3034</v>
      </c>
      <c r="F1222" s="24">
        <v>1</v>
      </c>
      <c r="G1222" s="24" t="s">
        <v>2372</v>
      </c>
      <c r="H1222" s="24"/>
      <c r="I1222" s="24"/>
      <c r="J1222" s="283"/>
      <c r="K1222" s="224" t="s">
        <v>3033</v>
      </c>
      <c r="L1222" s="164" t="s">
        <v>3035</v>
      </c>
      <c r="M1222" s="164"/>
      <c r="N1222" s="164" t="s">
        <v>202</v>
      </c>
      <c r="O1222" s="196"/>
      <c r="P1222" s="164"/>
      <c r="Q1222" s="164"/>
      <c r="R1222" s="164"/>
      <c r="S1222" s="283"/>
      <c r="T1222" s="164" t="s">
        <v>113</v>
      </c>
      <c r="U1222" s="283"/>
      <c r="V1222" s="283"/>
      <c r="W1222" s="204" t="s">
        <v>3023</v>
      </c>
      <c r="X1222" s="225"/>
      <c r="Y1222" s="283"/>
      <c r="Z1222" s="283"/>
      <c r="AA1222" s="283"/>
      <c r="AB1222" s="283"/>
      <c r="AC1222" s="283"/>
      <c r="AD1222" s="283"/>
      <c r="AE1222" s="283"/>
      <c r="AF1222" s="283"/>
      <c r="AG1222" s="283"/>
      <c r="AH1222" s="285" t="s">
        <v>3036</v>
      </c>
      <c r="AI1222" s="285" t="s">
        <v>2630</v>
      </c>
      <c r="AJ1222" s="285" t="s">
        <v>2631</v>
      </c>
      <c r="AK1222" s="225"/>
      <c r="AL1222" s="225"/>
      <c r="AM1222" s="24"/>
    </row>
    <row r="1223" spans="1:39" ht="12.75" customHeight="1">
      <c r="A1223" s="22">
        <v>1221</v>
      </c>
      <c r="B1223" s="24" t="s">
        <v>1673</v>
      </c>
      <c r="C1223" s="24" t="s">
        <v>180</v>
      </c>
      <c r="D1223" s="24" t="s">
        <v>3033</v>
      </c>
      <c r="E1223" s="24" t="s">
        <v>3034</v>
      </c>
      <c r="F1223" s="24">
        <v>1</v>
      </c>
      <c r="G1223" s="24" t="s">
        <v>2372</v>
      </c>
      <c r="H1223" s="24"/>
      <c r="I1223" s="24"/>
      <c r="J1223" s="283"/>
      <c r="K1223" s="164"/>
      <c r="L1223" s="164"/>
      <c r="M1223" s="164"/>
      <c r="N1223" s="164"/>
      <c r="O1223" s="196" t="s">
        <v>1673</v>
      </c>
      <c r="P1223" s="164"/>
      <c r="Q1223" s="164"/>
      <c r="R1223" s="164"/>
      <c r="S1223" s="283"/>
      <c r="T1223" s="164"/>
      <c r="U1223" s="283"/>
      <c r="V1223" s="283"/>
      <c r="W1223" s="164"/>
      <c r="X1223" s="225"/>
      <c r="Y1223" s="283"/>
      <c r="Z1223" s="283"/>
      <c r="AA1223" s="283"/>
      <c r="AB1223" s="283"/>
      <c r="AC1223" s="283"/>
      <c r="AD1223" s="283"/>
      <c r="AE1223" s="283"/>
      <c r="AF1223" s="283"/>
      <c r="AG1223" s="283"/>
      <c r="AH1223" s="285" t="s">
        <v>115</v>
      </c>
      <c r="AI1223" s="285" t="s">
        <v>942</v>
      </c>
      <c r="AJ1223" s="205" t="s">
        <v>943</v>
      </c>
      <c r="AK1223" s="225"/>
      <c r="AL1223" s="225"/>
      <c r="AM1223" s="24"/>
    </row>
    <row r="1224" spans="1:39" ht="12.75" customHeight="1">
      <c r="A1224" s="22">
        <v>1222</v>
      </c>
      <c r="B1224" s="24" t="s">
        <v>1468</v>
      </c>
      <c r="C1224" s="24" t="s">
        <v>180</v>
      </c>
      <c r="D1224" s="24" t="s">
        <v>3033</v>
      </c>
      <c r="E1224" s="24" t="s">
        <v>3034</v>
      </c>
      <c r="F1224" s="24">
        <v>1</v>
      </c>
      <c r="G1224" s="24" t="s">
        <v>2372</v>
      </c>
      <c r="H1224" s="24"/>
      <c r="I1224" s="24"/>
      <c r="J1224" s="283"/>
      <c r="K1224" s="164"/>
      <c r="L1224" s="164"/>
      <c r="M1224" s="164"/>
      <c r="N1224" s="164"/>
      <c r="O1224" s="224" t="s">
        <v>1468</v>
      </c>
      <c r="P1224" s="164"/>
      <c r="Q1224" s="164"/>
      <c r="R1224" s="164"/>
      <c r="S1224" s="283"/>
      <c r="T1224" s="164"/>
      <c r="U1224" s="283"/>
      <c r="V1224" s="283"/>
      <c r="W1224" s="164"/>
      <c r="X1224" s="225"/>
      <c r="Y1224" s="283"/>
      <c r="Z1224" s="283"/>
      <c r="AA1224" s="283"/>
      <c r="AB1224" s="283"/>
      <c r="AC1224" s="283"/>
      <c r="AD1224" s="283"/>
      <c r="AE1224" s="283"/>
      <c r="AF1224" s="283"/>
      <c r="AG1224" s="283"/>
      <c r="AH1224" s="285" t="s">
        <v>115</v>
      </c>
      <c r="AI1224" s="285" t="s">
        <v>1469</v>
      </c>
      <c r="AJ1224" s="205" t="s">
        <v>1470</v>
      </c>
      <c r="AK1224" s="225"/>
      <c r="AL1224" s="225"/>
      <c r="AM1224" s="24"/>
    </row>
    <row r="1225" spans="1:39" ht="12.75" customHeight="1">
      <c r="A1225" s="22">
        <v>1223</v>
      </c>
      <c r="B1225" s="24" t="s">
        <v>3038</v>
      </c>
      <c r="C1225" s="24" t="s">
        <v>96</v>
      </c>
      <c r="D1225" s="24" t="s">
        <v>1787</v>
      </c>
      <c r="E1225" s="24" t="s">
        <v>3034</v>
      </c>
      <c r="F1225" s="24">
        <v>1</v>
      </c>
      <c r="G1225" s="24" t="s">
        <v>2372</v>
      </c>
      <c r="H1225" s="24"/>
      <c r="I1225" s="24"/>
      <c r="J1225" s="283"/>
      <c r="K1225" s="164" t="s">
        <v>1376</v>
      </c>
      <c r="L1225" s="164" t="s">
        <v>3039</v>
      </c>
      <c r="M1225" s="164" t="s">
        <v>3027</v>
      </c>
      <c r="N1225" s="164" t="s">
        <v>238</v>
      </c>
      <c r="O1225" s="224"/>
      <c r="P1225" s="164"/>
      <c r="Q1225" s="164"/>
      <c r="R1225" s="164"/>
      <c r="S1225" s="283"/>
      <c r="T1225" s="164" t="s">
        <v>113</v>
      </c>
      <c r="U1225" s="283"/>
      <c r="V1225" s="283"/>
      <c r="W1225" s="164" t="s">
        <v>115</v>
      </c>
      <c r="X1225" s="225"/>
      <c r="Y1225" s="283"/>
      <c r="Z1225" s="283"/>
      <c r="AA1225" s="283"/>
      <c r="AB1225" s="283"/>
      <c r="AC1225" s="283"/>
      <c r="AD1225" s="283"/>
      <c r="AE1225" s="283"/>
      <c r="AF1225" s="283"/>
      <c r="AG1225" s="283"/>
      <c r="AH1225" s="285" t="s">
        <v>3036</v>
      </c>
      <c r="AI1225" s="285" t="s">
        <v>2635</v>
      </c>
      <c r="AJ1225" s="285" t="s">
        <v>2636</v>
      </c>
      <c r="AK1225" s="225"/>
      <c r="AL1225" s="225"/>
      <c r="AM1225" s="24"/>
    </row>
    <row r="1226" spans="1:39" ht="12.75" customHeight="1">
      <c r="A1226" s="22">
        <v>1224</v>
      </c>
      <c r="B1226" s="24" t="s">
        <v>2405</v>
      </c>
      <c r="C1226" s="24" t="s">
        <v>180</v>
      </c>
      <c r="D1226" s="24" t="s">
        <v>3038</v>
      </c>
      <c r="E1226" s="24" t="s">
        <v>3034</v>
      </c>
      <c r="F1226" s="24">
        <v>1</v>
      </c>
      <c r="G1226" s="24" t="s">
        <v>2372</v>
      </c>
      <c r="H1226" s="24"/>
      <c r="I1226" s="24"/>
      <c r="J1226" s="283"/>
      <c r="K1226" s="196"/>
      <c r="L1226" s="164"/>
      <c r="M1226" s="196"/>
      <c r="N1226" s="196"/>
      <c r="O1226" s="224" t="s">
        <v>2405</v>
      </c>
      <c r="P1226" s="196"/>
      <c r="Q1226" s="196"/>
      <c r="R1226" s="196"/>
      <c r="S1226" s="283"/>
      <c r="T1226" s="196"/>
      <c r="U1226" s="283"/>
      <c r="V1226" s="283"/>
      <c r="W1226" s="196"/>
      <c r="X1226" s="225"/>
      <c r="Y1226" s="283"/>
      <c r="Z1226" s="283"/>
      <c r="AA1226" s="283"/>
      <c r="AB1226" s="283"/>
      <c r="AC1226" s="283"/>
      <c r="AD1226" s="283"/>
      <c r="AE1226" s="283"/>
      <c r="AF1226" s="283"/>
      <c r="AG1226" s="283"/>
      <c r="AH1226" s="285" t="s">
        <v>115</v>
      </c>
      <c r="AI1226" s="205" t="s">
        <v>2406</v>
      </c>
      <c r="AJ1226" s="285" t="s">
        <v>2407</v>
      </c>
      <c r="AK1226" s="225"/>
      <c r="AL1226" s="225"/>
      <c r="AM1226" s="24"/>
    </row>
    <row r="1227" spans="1:39" ht="12.75" customHeight="1">
      <c r="A1227" s="22">
        <v>1225</v>
      </c>
      <c r="B1227" s="24" t="s">
        <v>405</v>
      </c>
      <c r="C1227" s="24" t="s">
        <v>180</v>
      </c>
      <c r="D1227" s="24" t="s">
        <v>3038</v>
      </c>
      <c r="E1227" s="24" t="s">
        <v>3034</v>
      </c>
      <c r="F1227" s="24">
        <v>1</v>
      </c>
      <c r="G1227" s="24" t="s">
        <v>2372</v>
      </c>
      <c r="H1227" s="24"/>
      <c r="I1227" s="24"/>
      <c r="J1227" s="283"/>
      <c r="K1227" s="196"/>
      <c r="L1227" s="164"/>
      <c r="M1227" s="196"/>
      <c r="N1227" s="196"/>
      <c r="O1227" s="204" t="s">
        <v>405</v>
      </c>
      <c r="P1227" s="196"/>
      <c r="Q1227" s="196"/>
      <c r="R1227" s="196"/>
      <c r="S1227" s="283"/>
      <c r="T1227" s="196"/>
      <c r="U1227" s="283"/>
      <c r="V1227" s="283"/>
      <c r="W1227" s="196"/>
      <c r="X1227" s="225"/>
      <c r="Y1227" s="283"/>
      <c r="Z1227" s="283"/>
      <c r="AA1227" s="283"/>
      <c r="AB1227" s="283"/>
      <c r="AC1227" s="283"/>
      <c r="AD1227" s="283"/>
      <c r="AE1227" s="283"/>
      <c r="AF1227" s="283"/>
      <c r="AG1227" s="283"/>
      <c r="AH1227" s="285" t="s">
        <v>115</v>
      </c>
      <c r="AI1227" s="205" t="s">
        <v>406</v>
      </c>
      <c r="AJ1227" s="285" t="s">
        <v>407</v>
      </c>
      <c r="AK1227" s="225"/>
      <c r="AL1227" s="225"/>
      <c r="AM1227" s="24"/>
    </row>
    <row r="1228" spans="1:39" ht="12.75" customHeight="1">
      <c r="A1228" s="22">
        <v>1226</v>
      </c>
      <c r="B1228" s="24" t="s">
        <v>3042</v>
      </c>
      <c r="C1228" s="24" t="s">
        <v>96</v>
      </c>
      <c r="D1228" s="24" t="s">
        <v>1787</v>
      </c>
      <c r="E1228" s="24" t="s">
        <v>3034</v>
      </c>
      <c r="F1228" s="24">
        <v>1</v>
      </c>
      <c r="G1228" s="24" t="s">
        <v>2372</v>
      </c>
      <c r="H1228" s="24"/>
      <c r="I1228" s="24"/>
      <c r="J1228" s="283"/>
      <c r="K1228" s="196" t="s">
        <v>409</v>
      </c>
      <c r="L1228" s="164" t="s">
        <v>3043</v>
      </c>
      <c r="M1228" s="196" t="s">
        <v>2641</v>
      </c>
      <c r="N1228" s="196" t="s">
        <v>111</v>
      </c>
      <c r="O1228" s="196"/>
      <c r="P1228" s="196"/>
      <c r="Q1228" s="196"/>
      <c r="R1228" s="196"/>
      <c r="S1228" s="283"/>
      <c r="T1228" s="196" t="s">
        <v>208</v>
      </c>
      <c r="U1228" s="283"/>
      <c r="V1228" s="283"/>
      <c r="W1228" s="196" t="s">
        <v>115</v>
      </c>
      <c r="X1228" s="225"/>
      <c r="Y1228" s="283"/>
      <c r="Z1228" s="283"/>
      <c r="AA1228" s="283"/>
      <c r="AB1228" s="283"/>
      <c r="AC1228" s="283"/>
      <c r="AD1228" s="283"/>
      <c r="AE1228" s="283"/>
      <c r="AF1228" s="283"/>
      <c r="AG1228" s="283"/>
      <c r="AH1228" s="285" t="s">
        <v>3036</v>
      </c>
      <c r="AI1228" s="285" t="s">
        <v>2642</v>
      </c>
      <c r="AJ1228" s="285" t="s">
        <v>2643</v>
      </c>
      <c r="AK1228" s="225"/>
      <c r="AL1228" s="225"/>
      <c r="AM1228" s="24"/>
    </row>
    <row r="1229" spans="1:39" ht="12.75" customHeight="1">
      <c r="A1229" s="22">
        <v>1227</v>
      </c>
      <c r="B1229" s="24" t="s">
        <v>3044</v>
      </c>
      <c r="C1229" s="24" t="s">
        <v>65</v>
      </c>
      <c r="D1229" s="24" t="s">
        <v>1787</v>
      </c>
      <c r="E1229" s="24" t="s">
        <v>3034</v>
      </c>
      <c r="F1229" s="24">
        <v>1</v>
      </c>
      <c r="G1229" s="24" t="s">
        <v>2372</v>
      </c>
      <c r="H1229" s="24"/>
      <c r="I1229" s="24"/>
      <c r="J1229" s="283"/>
      <c r="K1229" s="298" t="s">
        <v>115</v>
      </c>
      <c r="L1229" s="298" t="s">
        <v>3044</v>
      </c>
      <c r="M1229" s="298" t="s">
        <v>3045</v>
      </c>
      <c r="N1229" s="298" t="s">
        <v>65</v>
      </c>
      <c r="O1229" s="164"/>
      <c r="P1229" s="298" t="s">
        <v>3046</v>
      </c>
      <c r="Q1229" s="298"/>
      <c r="R1229" s="164"/>
      <c r="S1229" s="283"/>
      <c r="T1229" s="298" t="s">
        <v>115</v>
      </c>
      <c r="U1229" s="283"/>
      <c r="V1229" s="283"/>
      <c r="W1229" s="298" t="s">
        <v>115</v>
      </c>
      <c r="X1229" s="225"/>
      <c r="Y1229" s="283"/>
      <c r="Z1229" s="283"/>
      <c r="AA1229" s="283"/>
      <c r="AB1229" s="283"/>
      <c r="AC1229" s="283"/>
      <c r="AD1229" s="283"/>
      <c r="AE1229" s="283"/>
      <c r="AF1229" s="283"/>
      <c r="AG1229" s="283"/>
      <c r="AH1229" s="285" t="s">
        <v>115</v>
      </c>
      <c r="AI1229" s="285" t="s">
        <v>115</v>
      </c>
      <c r="AJ1229" s="285" t="s">
        <v>115</v>
      </c>
      <c r="AK1229" s="225"/>
      <c r="AL1229" s="225"/>
      <c r="AM1229" s="24"/>
    </row>
    <row r="1230" spans="1:39" ht="12.75" customHeight="1">
      <c r="A1230" s="22">
        <v>1228</v>
      </c>
      <c r="B1230" s="24" t="s">
        <v>164</v>
      </c>
      <c r="C1230" s="24" t="s">
        <v>1445</v>
      </c>
      <c r="D1230" s="24"/>
      <c r="E1230" s="24" t="s">
        <v>3047</v>
      </c>
      <c r="F1230" s="24">
        <v>1</v>
      </c>
      <c r="G1230" s="24" t="s">
        <v>2372</v>
      </c>
      <c r="H1230" s="24"/>
      <c r="I1230" s="24"/>
      <c r="J1230" s="283"/>
      <c r="K1230" s="383" t="s">
        <v>3048</v>
      </c>
      <c r="L1230" s="383" t="s">
        <v>115</v>
      </c>
      <c r="M1230" s="383" t="s">
        <v>3049</v>
      </c>
      <c r="N1230" s="383" t="s">
        <v>1445</v>
      </c>
      <c r="O1230" s="384" t="s">
        <v>164</v>
      </c>
      <c r="P1230" s="384"/>
      <c r="Q1230" s="384"/>
      <c r="R1230" s="384"/>
      <c r="S1230" s="384"/>
      <c r="T1230" s="383" t="s">
        <v>208</v>
      </c>
      <c r="U1230" s="384"/>
      <c r="V1230" s="384"/>
      <c r="W1230" s="383" t="s">
        <v>1277</v>
      </c>
      <c r="X1230" s="225"/>
      <c r="Y1230" s="384"/>
      <c r="Z1230" s="384"/>
      <c r="AA1230" s="384"/>
      <c r="AB1230" s="384"/>
      <c r="AC1230" s="384"/>
      <c r="AD1230" s="384"/>
      <c r="AE1230" s="384"/>
      <c r="AF1230" s="384"/>
      <c r="AG1230" s="384"/>
      <c r="AH1230" s="285" t="s">
        <v>115</v>
      </c>
      <c r="AI1230" s="285" t="s">
        <v>115</v>
      </c>
      <c r="AJ1230" s="285" t="s">
        <v>115</v>
      </c>
      <c r="AK1230" s="225"/>
      <c r="AL1230" s="225"/>
      <c r="AM1230" s="24"/>
    </row>
  </sheetData>
  <autoFilter ref="A2:AM1230" xr:uid="{00000000-0009-0000-0000-000001000000}"/>
  <dataValidations count="1">
    <dataValidation type="list" allowBlank="1" sqref="AK4:AM5 N5:N6" xr:uid="{00000000-0002-0000-0100-000000000000}">
      <formula1>"Text,Integer,Decimal,MC (select one),MC (select multiple),Date,Time,Note,Calculation,Image,Checkbox,Toaster Message,QR Code"</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1814"/>
  <sheetViews>
    <sheetView workbookViewId="0">
      <pane xSplit="14" ySplit="2" topLeftCell="O3" activePane="bottomRight" state="frozen"/>
      <selection pane="topRight" activeCell="O1" sqref="O1"/>
      <selection pane="bottomLeft" activeCell="A3" sqref="A3"/>
      <selection pane="bottomRight" activeCell="O3" sqref="O3"/>
    </sheetView>
  </sheetViews>
  <sheetFormatPr baseColWidth="10" defaultColWidth="14.5" defaultRowHeight="15" customHeight="1"/>
  <cols>
    <col min="1" max="1" width="8.1640625" customWidth="1"/>
    <col min="2" max="2" width="27" customWidth="1"/>
    <col min="3" max="3" width="33.83203125" hidden="1" customWidth="1"/>
    <col min="4" max="4" width="41" hidden="1" customWidth="1"/>
    <col min="5" max="5" width="12.83203125" customWidth="1"/>
    <col min="6" max="6" width="15.33203125" customWidth="1"/>
    <col min="7" max="7" width="17" customWidth="1"/>
    <col min="8" max="8" width="6.83203125" hidden="1" customWidth="1"/>
    <col min="9" max="9" width="14.5" hidden="1" customWidth="1"/>
    <col min="10" max="10" width="14" hidden="1" customWidth="1"/>
    <col min="11" max="11" width="14" customWidth="1"/>
    <col min="12" max="12" width="13.6640625" customWidth="1"/>
    <col min="13" max="13" width="10.6640625" customWidth="1"/>
    <col min="14" max="14" width="17.5" hidden="1" customWidth="1"/>
    <col min="15" max="15" width="34.1640625" customWidth="1"/>
    <col min="16" max="16" width="10" customWidth="1"/>
    <col min="17" max="17" width="8.83203125" customWidth="1"/>
    <col min="18" max="18" width="20.6640625" customWidth="1"/>
    <col min="19" max="19" width="21.33203125" customWidth="1"/>
    <col min="20" max="20" width="22.33203125" customWidth="1"/>
    <col min="21" max="24" width="14.83203125" customWidth="1"/>
    <col min="25" max="25" width="21.6640625" customWidth="1"/>
    <col min="26" max="26" width="22.83203125" customWidth="1"/>
    <col min="27" max="31" width="14.83203125" customWidth="1"/>
    <col min="32" max="32" width="30.1640625" customWidth="1"/>
    <col min="33" max="33" width="22.6640625" customWidth="1"/>
    <col min="34" max="36" width="14.83203125" customWidth="1"/>
    <col min="37" max="37" width="13.83203125" customWidth="1"/>
    <col min="38" max="39" width="21.83203125" customWidth="1"/>
    <col min="40" max="40" width="10" customWidth="1"/>
    <col min="41" max="41" width="11.33203125" customWidth="1"/>
    <col min="42" max="42" width="11.83203125" customWidth="1"/>
    <col min="43" max="43" width="13.5" customWidth="1"/>
    <col min="44" max="44" width="10" customWidth="1"/>
    <col min="45" max="45" width="10.83203125" customWidth="1"/>
    <col min="46" max="46" width="12" customWidth="1"/>
    <col min="47" max="47" width="14.83203125" hidden="1" customWidth="1"/>
    <col min="48" max="48" width="16" customWidth="1"/>
    <col min="49" max="50" width="11.5" customWidth="1"/>
    <col min="51" max="51" width="11.1640625" customWidth="1"/>
    <col min="52" max="52" width="11.5" customWidth="1"/>
    <col min="53" max="53" width="19.5" customWidth="1"/>
    <col min="54" max="54" width="13.83203125" customWidth="1"/>
    <col min="55" max="59" width="14.83203125" customWidth="1"/>
    <col min="60" max="62" width="14.83203125" hidden="1" customWidth="1"/>
    <col min="63" max="66" width="14.83203125" customWidth="1"/>
  </cols>
  <sheetData>
    <row r="1" spans="1:66" ht="56.25" customHeight="1">
      <c r="A1" s="1" t="s">
        <v>0</v>
      </c>
      <c r="B1" s="1" t="s">
        <v>1</v>
      </c>
      <c r="C1" s="1" t="s">
        <v>1</v>
      </c>
      <c r="D1" s="1" t="s">
        <v>1</v>
      </c>
      <c r="E1" s="1" t="s">
        <v>2</v>
      </c>
      <c r="F1" s="2" t="s">
        <v>9</v>
      </c>
      <c r="G1" s="1" t="s">
        <v>4</v>
      </c>
      <c r="H1" s="2" t="s">
        <v>11</v>
      </c>
      <c r="I1" s="1" t="s">
        <v>5</v>
      </c>
      <c r="J1" s="1" t="s">
        <v>6</v>
      </c>
      <c r="K1" s="1" t="s">
        <v>12</v>
      </c>
      <c r="L1" s="1" t="s">
        <v>13</v>
      </c>
      <c r="M1" s="2" t="s">
        <v>14</v>
      </c>
      <c r="N1" s="1" t="s">
        <v>7</v>
      </c>
      <c r="O1" s="1" t="s">
        <v>8</v>
      </c>
      <c r="P1" s="1" t="s">
        <v>10</v>
      </c>
      <c r="Q1" s="1" t="s">
        <v>10</v>
      </c>
      <c r="R1" s="4" t="s">
        <v>15</v>
      </c>
      <c r="S1" s="1" t="s">
        <v>16</v>
      </c>
      <c r="T1" s="1" t="s">
        <v>17</v>
      </c>
      <c r="U1" s="1" t="s">
        <v>18</v>
      </c>
      <c r="V1" s="5" t="s">
        <v>25</v>
      </c>
      <c r="W1" s="1" t="s">
        <v>19</v>
      </c>
      <c r="X1" s="1" t="s">
        <v>20</v>
      </c>
      <c r="Y1" s="1" t="s">
        <v>21</v>
      </c>
      <c r="Z1" s="1" t="s">
        <v>22</v>
      </c>
      <c r="AA1" s="1" t="s">
        <v>23</v>
      </c>
      <c r="AB1" s="1" t="s">
        <v>24</v>
      </c>
      <c r="AC1" s="1" t="s">
        <v>26</v>
      </c>
      <c r="AD1" s="1" t="s">
        <v>27</v>
      </c>
      <c r="AE1" s="1" t="s">
        <v>28</v>
      </c>
      <c r="AF1" s="1" t="s">
        <v>29</v>
      </c>
      <c r="AG1" s="1" t="s">
        <v>31</v>
      </c>
      <c r="AH1" s="1" t="s">
        <v>32</v>
      </c>
      <c r="AI1" s="1" t="s">
        <v>30</v>
      </c>
      <c r="AJ1" s="1"/>
      <c r="AK1" s="2" t="s">
        <v>36</v>
      </c>
      <c r="AL1" s="1" t="s">
        <v>37</v>
      </c>
      <c r="AM1" s="1"/>
      <c r="AN1" s="10" t="str">
        <f>HYPERLINK("https://unitsofmeasure.org/ucum.html","If the term is a standard unit of measurement, list the unit in the format following the hyperlink.")</f>
        <v>If the term is a standard unit of measurement, list the unit in the format following the hyperlink.</v>
      </c>
      <c r="AO1" s="1" t="s">
        <v>46</v>
      </c>
      <c r="AP1" s="1" t="s">
        <v>49</v>
      </c>
      <c r="AQ1" s="1"/>
      <c r="AR1" s="1" t="s">
        <v>39</v>
      </c>
      <c r="AS1" s="1"/>
      <c r="AT1" s="2" t="s">
        <v>51</v>
      </c>
      <c r="AU1" s="1" t="s">
        <v>34</v>
      </c>
      <c r="AV1" s="2" t="s">
        <v>51</v>
      </c>
      <c r="AW1" s="2" t="s">
        <v>51</v>
      </c>
      <c r="AX1" s="2" t="s">
        <v>53</v>
      </c>
      <c r="AY1" s="2" t="s">
        <v>54</v>
      </c>
      <c r="AZ1" s="2" t="s">
        <v>55</v>
      </c>
      <c r="BA1" s="2" t="s">
        <v>56</v>
      </c>
      <c r="BB1" s="2" t="s">
        <v>57</v>
      </c>
      <c r="BC1" s="2" t="s">
        <v>58</v>
      </c>
      <c r="BD1" s="1" t="s">
        <v>60</v>
      </c>
      <c r="BE1" s="1"/>
      <c r="BF1" s="1"/>
      <c r="BG1" s="1"/>
      <c r="BH1" s="14" t="s">
        <v>34</v>
      </c>
      <c r="BI1" s="16" t="s">
        <v>35</v>
      </c>
      <c r="BJ1" s="16" t="s">
        <v>35</v>
      </c>
      <c r="BK1" s="17"/>
      <c r="BL1" s="17"/>
      <c r="BM1" s="17"/>
      <c r="BN1" s="17"/>
    </row>
    <row r="2" spans="1:66" ht="12.75" customHeight="1">
      <c r="A2" s="18" t="s">
        <v>40</v>
      </c>
      <c r="B2" s="18" t="s">
        <v>41</v>
      </c>
      <c r="C2" s="20" t="s">
        <v>80</v>
      </c>
      <c r="D2" s="20" t="s">
        <v>85</v>
      </c>
      <c r="E2" s="18" t="s">
        <v>42</v>
      </c>
      <c r="F2" s="18" t="s">
        <v>43</v>
      </c>
      <c r="G2" s="18" t="s">
        <v>44</v>
      </c>
      <c r="H2" s="20" t="s">
        <v>88</v>
      </c>
      <c r="I2" s="18" t="s">
        <v>45</v>
      </c>
      <c r="J2" s="18" t="s">
        <v>47</v>
      </c>
      <c r="K2" s="18" t="s">
        <v>92</v>
      </c>
      <c r="L2" s="18" t="s">
        <v>93</v>
      </c>
      <c r="M2" s="20" t="s">
        <v>94</v>
      </c>
      <c r="N2" s="18" t="s">
        <v>48</v>
      </c>
      <c r="O2" s="23" t="s">
        <v>50</v>
      </c>
      <c r="P2" s="23" t="s">
        <v>97</v>
      </c>
      <c r="Q2" s="23" t="s">
        <v>98</v>
      </c>
      <c r="R2" s="23" t="s">
        <v>59</v>
      </c>
      <c r="S2" s="23" t="s">
        <v>61</v>
      </c>
      <c r="T2" s="23" t="s">
        <v>62</v>
      </c>
      <c r="U2" s="23" t="s">
        <v>63</v>
      </c>
      <c r="V2" s="26"/>
      <c r="W2" s="26" t="s">
        <v>64</v>
      </c>
      <c r="X2" s="23" t="s">
        <v>65</v>
      </c>
      <c r="Y2" s="23" t="s">
        <v>66</v>
      </c>
      <c r="Z2" s="26" t="s">
        <v>67</v>
      </c>
      <c r="AA2" s="23" t="s">
        <v>68</v>
      </c>
      <c r="AB2" s="23" t="s">
        <v>69</v>
      </c>
      <c r="AC2" s="26" t="s">
        <v>70</v>
      </c>
      <c r="AD2" s="23" t="s">
        <v>71</v>
      </c>
      <c r="AE2" s="23" t="s">
        <v>73</v>
      </c>
      <c r="AF2" s="26" t="s">
        <v>74</v>
      </c>
      <c r="AG2" s="23" t="s">
        <v>76</v>
      </c>
      <c r="AH2" s="23" t="s">
        <v>77</v>
      </c>
      <c r="AI2" s="23" t="s">
        <v>75</v>
      </c>
      <c r="AJ2" s="23" t="s">
        <v>72</v>
      </c>
      <c r="AK2" s="30" t="s">
        <v>107</v>
      </c>
      <c r="AL2" s="30" t="s">
        <v>89</v>
      </c>
      <c r="AM2" s="31" t="s">
        <v>114</v>
      </c>
      <c r="AN2" s="31" t="s">
        <v>116</v>
      </c>
      <c r="AO2" s="31" t="s">
        <v>117</v>
      </c>
      <c r="AP2" s="31" t="s">
        <v>119</v>
      </c>
      <c r="AQ2" s="33" t="s">
        <v>120</v>
      </c>
      <c r="AR2" s="35" t="s">
        <v>91</v>
      </c>
      <c r="AS2" s="33" t="s">
        <v>122</v>
      </c>
      <c r="AT2" s="35" t="s">
        <v>79</v>
      </c>
      <c r="AU2" s="35" t="s">
        <v>81</v>
      </c>
      <c r="AV2" s="35" t="s">
        <v>82</v>
      </c>
      <c r="AW2" s="35" t="s">
        <v>83</v>
      </c>
      <c r="AX2" s="33" t="s">
        <v>124</v>
      </c>
      <c r="AY2" s="33" t="s">
        <v>126</v>
      </c>
      <c r="AZ2" s="35" t="s">
        <v>128</v>
      </c>
      <c r="BA2" s="35" t="s">
        <v>129</v>
      </c>
      <c r="BB2" s="36" t="s">
        <v>130</v>
      </c>
      <c r="BC2" s="36" t="s">
        <v>131</v>
      </c>
      <c r="BD2" s="38" t="s">
        <v>132</v>
      </c>
      <c r="BE2" s="38" t="s">
        <v>84</v>
      </c>
      <c r="BF2" s="38" t="s">
        <v>86</v>
      </c>
      <c r="BG2" s="38" t="s">
        <v>87</v>
      </c>
      <c r="BH2" s="39" t="s">
        <v>135</v>
      </c>
      <c r="BI2" s="40" t="s">
        <v>143</v>
      </c>
      <c r="BJ2" s="40" t="s">
        <v>147</v>
      </c>
      <c r="BK2" s="41" t="s">
        <v>148</v>
      </c>
      <c r="BL2" s="41" t="s">
        <v>152</v>
      </c>
      <c r="BM2" s="41" t="s">
        <v>154</v>
      </c>
      <c r="BN2" s="41" t="s">
        <v>155</v>
      </c>
    </row>
    <row r="3" spans="1:66" ht="12.75" hidden="1" customHeight="1">
      <c r="A3" s="22">
        <v>1</v>
      </c>
      <c r="B3" s="22" t="s">
        <v>95</v>
      </c>
      <c r="C3" s="22" t="str">
        <f t="shared" ref="C3:C1715" si="0">IF(E3="Input Option",CONCAT("       ",D3),D3)</f>
        <v>Client's ID number</v>
      </c>
      <c r="D3" s="22" t="s">
        <v>95</v>
      </c>
      <c r="E3" s="22" t="s">
        <v>96</v>
      </c>
      <c r="F3" s="22"/>
      <c r="G3" s="22"/>
      <c r="H3" s="24"/>
      <c r="I3" s="24">
        <v>1</v>
      </c>
      <c r="J3" s="24" t="s">
        <v>99</v>
      </c>
      <c r="K3" s="24"/>
      <c r="L3" s="24"/>
      <c r="M3" s="24"/>
      <c r="N3" s="24"/>
      <c r="O3" s="22" t="s">
        <v>100</v>
      </c>
      <c r="P3" s="24"/>
      <c r="Q3" s="24"/>
      <c r="R3" s="42" t="s">
        <v>95</v>
      </c>
      <c r="S3" s="24" t="s">
        <v>101</v>
      </c>
      <c r="T3" s="43" t="s">
        <v>102</v>
      </c>
      <c r="U3" s="43" t="s">
        <v>103</v>
      </c>
      <c r="V3" s="22"/>
      <c r="W3" s="22"/>
      <c r="X3" s="24"/>
      <c r="Y3" s="44"/>
      <c r="Z3" s="43" t="s">
        <v>104</v>
      </c>
      <c r="AA3" s="22"/>
      <c r="AB3" s="22"/>
      <c r="AC3" s="45"/>
      <c r="AD3" s="22"/>
      <c r="AE3" s="22"/>
      <c r="AF3" s="24"/>
      <c r="AG3" s="22"/>
      <c r="AH3" s="45"/>
      <c r="AI3" s="24"/>
      <c r="AJ3" s="22"/>
      <c r="AK3" s="22"/>
      <c r="AL3" s="43" t="s">
        <v>106</v>
      </c>
      <c r="AM3" s="43"/>
      <c r="AN3" s="43"/>
      <c r="AO3" s="43"/>
      <c r="AP3" s="43"/>
      <c r="AQ3" s="43"/>
      <c r="AR3" s="43"/>
      <c r="AS3" s="43"/>
      <c r="AT3" s="43"/>
      <c r="AU3" s="43"/>
      <c r="AV3" s="43"/>
      <c r="AW3" s="43"/>
      <c r="AX3" s="43"/>
      <c r="AY3" s="43"/>
      <c r="AZ3" s="43"/>
      <c r="BA3" s="43"/>
      <c r="BB3" s="43"/>
      <c r="BC3" s="43"/>
      <c r="BD3" s="43"/>
      <c r="BE3" s="24"/>
      <c r="BF3" s="43" t="s">
        <v>105</v>
      </c>
      <c r="BG3" s="46"/>
      <c r="BH3" s="47"/>
      <c r="BI3" s="47"/>
      <c r="BJ3" s="47"/>
      <c r="BK3" s="46">
        <f t="shared" ref="BK3:BK1715" si="1">1</f>
        <v>1</v>
      </c>
      <c r="BL3" s="46"/>
      <c r="BM3" s="46"/>
      <c r="BN3" s="46"/>
    </row>
    <row r="4" spans="1:66" ht="12.75" hidden="1" customHeight="1">
      <c r="A4" s="22">
        <v>2</v>
      </c>
      <c r="B4" s="22" t="s">
        <v>108</v>
      </c>
      <c r="C4" s="22" t="str">
        <f t="shared" si="0"/>
        <v>First name</v>
      </c>
      <c r="D4" s="22" t="s">
        <v>108</v>
      </c>
      <c r="E4" s="22" t="s">
        <v>96</v>
      </c>
      <c r="F4" s="22"/>
      <c r="G4" s="22"/>
      <c r="H4" s="24"/>
      <c r="I4" s="24">
        <v>1</v>
      </c>
      <c r="J4" s="24" t="s">
        <v>99</v>
      </c>
      <c r="K4" s="24"/>
      <c r="L4" s="24"/>
      <c r="M4" s="24"/>
      <c r="N4" s="24"/>
      <c r="O4" s="22" t="s">
        <v>100</v>
      </c>
      <c r="P4" s="24"/>
      <c r="Q4" s="24"/>
      <c r="R4" s="42" t="s">
        <v>108</v>
      </c>
      <c r="S4" s="43" t="s">
        <v>109</v>
      </c>
      <c r="T4" s="43" t="s">
        <v>110</v>
      </c>
      <c r="U4" s="43" t="s">
        <v>111</v>
      </c>
      <c r="V4" s="43"/>
      <c r="W4" s="43"/>
      <c r="X4" s="44"/>
      <c r="Y4" s="44"/>
      <c r="Z4" s="43" t="s">
        <v>112</v>
      </c>
      <c r="AA4" s="43" t="s">
        <v>113</v>
      </c>
      <c r="AB4" s="43" t="s">
        <v>113</v>
      </c>
      <c r="AC4" s="45"/>
      <c r="AD4" s="22"/>
      <c r="AE4" s="22"/>
      <c r="AF4" s="24"/>
      <c r="AG4" s="22"/>
      <c r="AH4" s="45"/>
      <c r="AI4" s="24"/>
      <c r="AJ4" s="22"/>
      <c r="AK4" s="22"/>
      <c r="AL4" s="43" t="s">
        <v>121</v>
      </c>
      <c r="AM4" s="43"/>
      <c r="AN4" s="43"/>
      <c r="AO4" s="43"/>
      <c r="AP4" s="43"/>
      <c r="AQ4" s="43"/>
      <c r="AR4" s="43"/>
      <c r="AS4" s="43"/>
      <c r="AT4" s="43"/>
      <c r="AU4" s="43"/>
      <c r="AV4" s="43"/>
      <c r="AW4" s="43"/>
      <c r="AX4" s="43"/>
      <c r="AY4" s="43"/>
      <c r="AZ4" s="43"/>
      <c r="BA4" s="43"/>
      <c r="BB4" s="43"/>
      <c r="BC4" s="43"/>
      <c r="BD4" s="43"/>
      <c r="BE4" s="24" t="s">
        <v>115</v>
      </c>
      <c r="BF4" s="24" t="s">
        <v>118</v>
      </c>
      <c r="BG4" s="48" t="s">
        <v>109</v>
      </c>
      <c r="BH4" s="47"/>
      <c r="BI4" s="47"/>
      <c r="BJ4" s="47"/>
      <c r="BK4" s="46">
        <f t="shared" si="1"/>
        <v>1</v>
      </c>
      <c r="BL4" s="46"/>
      <c r="BM4" s="46"/>
      <c r="BN4" s="46"/>
    </row>
    <row r="5" spans="1:66" ht="12.75" hidden="1" customHeight="1">
      <c r="A5" s="22">
        <v>3</v>
      </c>
      <c r="B5" s="22" t="s">
        <v>123</v>
      </c>
      <c r="C5" s="22" t="str">
        <f t="shared" si="0"/>
        <v>Last name</v>
      </c>
      <c r="D5" s="22" t="s">
        <v>123</v>
      </c>
      <c r="E5" s="22" t="s">
        <v>96</v>
      </c>
      <c r="F5" s="22"/>
      <c r="G5" s="22"/>
      <c r="H5" s="24"/>
      <c r="I5" s="24">
        <v>1</v>
      </c>
      <c r="J5" s="24" t="s">
        <v>99</v>
      </c>
      <c r="K5" s="24"/>
      <c r="L5" s="24"/>
      <c r="M5" s="24"/>
      <c r="N5" s="24"/>
      <c r="O5" s="22" t="s">
        <v>100</v>
      </c>
      <c r="P5" s="24"/>
      <c r="Q5" s="24"/>
      <c r="R5" s="42" t="s">
        <v>123</v>
      </c>
      <c r="S5" s="43" t="s">
        <v>125</v>
      </c>
      <c r="T5" s="43" t="s">
        <v>127</v>
      </c>
      <c r="U5" s="43" t="s">
        <v>111</v>
      </c>
      <c r="V5" s="43"/>
      <c r="W5" s="43"/>
      <c r="X5" s="44"/>
      <c r="Y5" s="44"/>
      <c r="Z5" s="43" t="s">
        <v>112</v>
      </c>
      <c r="AA5" s="43" t="s">
        <v>113</v>
      </c>
      <c r="AB5" s="43" t="s">
        <v>113</v>
      </c>
      <c r="AC5" s="45"/>
      <c r="AD5" s="49"/>
      <c r="AE5" s="49"/>
      <c r="AF5" s="49"/>
      <c r="AG5" s="22"/>
      <c r="AH5" s="45"/>
      <c r="AI5" s="24"/>
      <c r="AJ5" s="49"/>
      <c r="AK5" s="22"/>
      <c r="AL5" s="43" t="s">
        <v>136</v>
      </c>
      <c r="AM5" s="43"/>
      <c r="AN5" s="43"/>
      <c r="AO5" s="43"/>
      <c r="AP5" s="43"/>
      <c r="AQ5" s="43"/>
      <c r="AR5" s="43"/>
      <c r="AS5" s="43"/>
      <c r="AT5" s="43"/>
      <c r="AU5" s="43"/>
      <c r="AV5" s="43"/>
      <c r="AW5" s="43"/>
      <c r="AX5" s="43"/>
      <c r="AY5" s="43"/>
      <c r="AZ5" s="43"/>
      <c r="BA5" s="43"/>
      <c r="BB5" s="43"/>
      <c r="BC5" s="43"/>
      <c r="BD5" s="43"/>
      <c r="BE5" s="24" t="s">
        <v>115</v>
      </c>
      <c r="BF5" s="24" t="s">
        <v>118</v>
      </c>
      <c r="BG5" s="48" t="s">
        <v>125</v>
      </c>
      <c r="BH5" s="47"/>
      <c r="BI5" s="47"/>
      <c r="BJ5" s="47"/>
      <c r="BK5" s="46">
        <f t="shared" si="1"/>
        <v>1</v>
      </c>
      <c r="BL5" s="46"/>
      <c r="BM5" s="46"/>
      <c r="BN5" s="46"/>
    </row>
    <row r="6" spans="1:66" ht="12.75" hidden="1" customHeight="1">
      <c r="A6" s="22">
        <v>4</v>
      </c>
      <c r="B6" s="22" t="s">
        <v>137</v>
      </c>
      <c r="C6" s="22" t="str">
        <f t="shared" si="0"/>
        <v>Date of birth (DOB)</v>
      </c>
      <c r="D6" s="22" t="s">
        <v>137</v>
      </c>
      <c r="E6" s="22" t="s">
        <v>96</v>
      </c>
      <c r="F6" s="22"/>
      <c r="G6" s="22"/>
      <c r="H6" s="24"/>
      <c r="I6" s="24">
        <v>1</v>
      </c>
      <c r="J6" s="24" t="s">
        <v>99</v>
      </c>
      <c r="K6" s="24"/>
      <c r="L6" s="24"/>
      <c r="M6" s="24"/>
      <c r="N6" s="24"/>
      <c r="O6" s="22" t="s">
        <v>100</v>
      </c>
      <c r="P6" s="24"/>
      <c r="Q6" s="24"/>
      <c r="R6" s="42" t="s">
        <v>137</v>
      </c>
      <c r="S6" s="43" t="s">
        <v>138</v>
      </c>
      <c r="T6" s="43" t="s">
        <v>139</v>
      </c>
      <c r="U6" s="43" t="s">
        <v>140</v>
      </c>
      <c r="V6" s="43"/>
      <c r="W6" s="43"/>
      <c r="X6" s="44"/>
      <c r="Y6" s="44"/>
      <c r="Z6" s="43" t="s">
        <v>141</v>
      </c>
      <c r="AA6" s="43" t="s">
        <v>113</v>
      </c>
      <c r="AB6" s="43" t="s">
        <v>142</v>
      </c>
      <c r="AC6" s="45"/>
      <c r="AD6" s="49"/>
      <c r="AE6" s="49"/>
      <c r="AF6" s="49"/>
      <c r="AG6" s="22"/>
      <c r="AH6" s="45"/>
      <c r="AI6" s="24"/>
      <c r="AJ6" s="49"/>
      <c r="AK6" s="22"/>
      <c r="AL6" s="43" t="s">
        <v>145</v>
      </c>
      <c r="AM6" s="43"/>
      <c r="AN6" s="43"/>
      <c r="AO6" s="43"/>
      <c r="AP6" s="43"/>
      <c r="AQ6" s="43"/>
      <c r="AR6" s="43"/>
      <c r="AS6" s="43"/>
      <c r="AT6" s="43"/>
      <c r="AU6" s="43"/>
      <c r="AV6" s="43"/>
      <c r="AW6" s="43"/>
      <c r="AX6" s="43"/>
      <c r="AY6" s="43"/>
      <c r="AZ6" s="43"/>
      <c r="BA6" s="43"/>
      <c r="BB6" s="43"/>
      <c r="BC6" s="43"/>
      <c r="BD6" s="43"/>
      <c r="BE6" s="24" t="s">
        <v>115</v>
      </c>
      <c r="BF6" s="24" t="s">
        <v>118</v>
      </c>
      <c r="BG6" s="48" t="s">
        <v>144</v>
      </c>
      <c r="BH6" s="47"/>
      <c r="BI6" s="47"/>
      <c r="BJ6" s="47"/>
      <c r="BK6" s="46">
        <f t="shared" si="1"/>
        <v>1</v>
      </c>
      <c r="BL6" s="46"/>
      <c r="BM6" s="46"/>
      <c r="BN6" s="46"/>
    </row>
    <row r="7" spans="1:66" ht="12.75" hidden="1" customHeight="1">
      <c r="A7" s="22">
        <v>5</v>
      </c>
      <c r="B7" s="22" t="s">
        <v>146</v>
      </c>
      <c r="C7" s="22" t="str">
        <f t="shared" si="0"/>
        <v>DOB unknown</v>
      </c>
      <c r="D7" s="22" t="s">
        <v>146</v>
      </c>
      <c r="E7" s="22" t="s">
        <v>96</v>
      </c>
      <c r="F7" s="22"/>
      <c r="G7" s="22"/>
      <c r="H7" s="24"/>
      <c r="I7" s="24">
        <v>1</v>
      </c>
      <c r="J7" s="24" t="s">
        <v>99</v>
      </c>
      <c r="K7" s="24"/>
      <c r="L7" s="24"/>
      <c r="M7" s="24"/>
      <c r="N7" s="24"/>
      <c r="O7" s="22" t="s">
        <v>100</v>
      </c>
      <c r="P7" s="24"/>
      <c r="Q7" s="24"/>
      <c r="R7" s="42" t="s">
        <v>149</v>
      </c>
      <c r="S7" s="43" t="s">
        <v>150</v>
      </c>
      <c r="T7" s="43" t="s">
        <v>151</v>
      </c>
      <c r="U7" s="43" t="s">
        <v>153</v>
      </c>
      <c r="V7" s="43"/>
      <c r="W7" s="43"/>
      <c r="X7" s="44"/>
      <c r="Y7" s="44"/>
      <c r="Z7" s="44"/>
      <c r="AA7" s="43" t="s">
        <v>113</v>
      </c>
      <c r="AB7" s="43" t="s">
        <v>142</v>
      </c>
      <c r="AC7" s="52"/>
      <c r="AD7" s="43"/>
      <c r="AE7" s="22"/>
      <c r="AF7" s="24"/>
      <c r="AG7" s="22"/>
      <c r="AH7" s="45"/>
      <c r="AI7" s="24"/>
      <c r="AJ7" s="43"/>
      <c r="AK7" s="22"/>
      <c r="AL7" s="43"/>
      <c r="AM7" s="43"/>
      <c r="AN7" s="43"/>
      <c r="AO7" s="43"/>
      <c r="AP7" s="43"/>
      <c r="AQ7" s="43"/>
      <c r="AR7" s="43"/>
      <c r="AS7" s="43"/>
      <c r="AT7" s="43"/>
      <c r="AU7" s="43"/>
      <c r="AV7" s="43"/>
      <c r="AW7" s="43"/>
      <c r="AX7" s="43"/>
      <c r="AY7" s="43"/>
      <c r="AZ7" s="43"/>
      <c r="BA7" s="43"/>
      <c r="BB7" s="43"/>
      <c r="BC7" s="43"/>
      <c r="BD7" s="43"/>
      <c r="BE7" s="24" t="s">
        <v>156</v>
      </c>
      <c r="BF7" s="24" t="s">
        <v>156</v>
      </c>
      <c r="BG7" s="48" t="s">
        <v>156</v>
      </c>
      <c r="BH7" s="47"/>
      <c r="BI7" s="47"/>
      <c r="BJ7" s="47"/>
      <c r="BK7" s="46">
        <f t="shared" si="1"/>
        <v>1</v>
      </c>
      <c r="BL7" s="46"/>
      <c r="BM7" s="46"/>
      <c r="BN7" s="46"/>
    </row>
    <row r="8" spans="1:66" ht="12.75" hidden="1" customHeight="1">
      <c r="A8" s="22">
        <v>6</v>
      </c>
      <c r="B8" s="22" t="s">
        <v>157</v>
      </c>
      <c r="C8" s="22" t="str">
        <f t="shared" si="0"/>
        <v>Age (Calculated)</v>
      </c>
      <c r="D8" s="22" t="s">
        <v>157</v>
      </c>
      <c r="E8" s="22" t="s">
        <v>65</v>
      </c>
      <c r="F8" s="22"/>
      <c r="G8" s="22"/>
      <c r="H8" s="24"/>
      <c r="I8" s="24">
        <v>1</v>
      </c>
      <c r="J8" s="24" t="s">
        <v>99</v>
      </c>
      <c r="K8" s="24"/>
      <c r="L8" s="24"/>
      <c r="M8" s="24"/>
      <c r="N8" s="24"/>
      <c r="O8" s="22" t="s">
        <v>100</v>
      </c>
      <c r="P8" s="24"/>
      <c r="Q8" s="24"/>
      <c r="R8" s="42" t="s">
        <v>115</v>
      </c>
      <c r="S8" s="43" t="s">
        <v>158</v>
      </c>
      <c r="T8" s="43" t="s">
        <v>159</v>
      </c>
      <c r="U8" s="43" t="s">
        <v>65</v>
      </c>
      <c r="V8" s="43"/>
      <c r="W8" s="43"/>
      <c r="X8" s="43" t="s">
        <v>160</v>
      </c>
      <c r="Y8" s="44"/>
      <c r="Z8" s="44"/>
      <c r="AA8" s="43" t="s">
        <v>115</v>
      </c>
      <c r="AB8" s="43" t="s">
        <v>115</v>
      </c>
      <c r="AC8" s="52"/>
      <c r="AD8" s="22"/>
      <c r="AE8" s="22"/>
      <c r="AF8" s="24"/>
      <c r="AG8" s="22"/>
      <c r="AH8" s="45"/>
      <c r="AI8" s="24"/>
      <c r="AJ8" s="22"/>
      <c r="AK8" s="22"/>
      <c r="AL8" s="43"/>
      <c r="AM8" s="43"/>
      <c r="AN8" s="43"/>
      <c r="AO8" s="43"/>
      <c r="AP8" s="43"/>
      <c r="AQ8" s="43"/>
      <c r="AR8" s="43"/>
      <c r="AS8" s="43"/>
      <c r="AT8" s="43"/>
      <c r="AU8" s="43"/>
      <c r="AV8" s="43"/>
      <c r="AW8" s="43"/>
      <c r="AX8" s="43"/>
      <c r="AY8" s="43"/>
      <c r="AZ8" s="43"/>
      <c r="BA8" s="43"/>
      <c r="BB8" s="43"/>
      <c r="BC8" s="43"/>
      <c r="BD8" s="43"/>
      <c r="BE8" s="24" t="s">
        <v>156</v>
      </c>
      <c r="BF8" s="24" t="s">
        <v>156</v>
      </c>
      <c r="BG8" s="48" t="s">
        <v>156</v>
      </c>
      <c r="BH8" s="47"/>
      <c r="BI8" s="47"/>
      <c r="BJ8" s="47"/>
      <c r="BK8" s="46">
        <f t="shared" si="1"/>
        <v>1</v>
      </c>
      <c r="BL8" s="46"/>
      <c r="BM8" s="46"/>
      <c r="BN8" s="46"/>
    </row>
    <row r="9" spans="1:66" ht="12.75" hidden="1" customHeight="1">
      <c r="A9" s="22">
        <v>7</v>
      </c>
      <c r="B9" s="22" t="s">
        <v>161</v>
      </c>
      <c r="C9" s="22" t="str">
        <f t="shared" si="0"/>
        <v>Age Note</v>
      </c>
      <c r="D9" s="22" t="s">
        <v>161</v>
      </c>
      <c r="E9" s="22" t="s">
        <v>96</v>
      </c>
      <c r="F9" s="22"/>
      <c r="G9" s="22"/>
      <c r="H9" s="24"/>
      <c r="I9" s="24">
        <v>1</v>
      </c>
      <c r="J9" s="24" t="s">
        <v>99</v>
      </c>
      <c r="K9" s="24"/>
      <c r="L9" s="24"/>
      <c r="M9" s="24"/>
      <c r="N9" s="24"/>
      <c r="O9" s="22" t="s">
        <v>100</v>
      </c>
      <c r="P9" s="24"/>
      <c r="Q9" s="24"/>
      <c r="R9" s="42" t="s">
        <v>162</v>
      </c>
      <c r="S9" s="43" t="s">
        <v>115</v>
      </c>
      <c r="T9" s="43" t="s">
        <v>163</v>
      </c>
      <c r="U9" s="43" t="s">
        <v>164</v>
      </c>
      <c r="V9" s="43"/>
      <c r="W9" s="43"/>
      <c r="X9" s="44"/>
      <c r="Y9" s="44"/>
      <c r="Z9" s="44"/>
      <c r="AA9" s="43" t="s">
        <v>115</v>
      </c>
      <c r="AB9" s="43" t="s">
        <v>115</v>
      </c>
      <c r="AC9" s="45"/>
      <c r="AD9" s="49"/>
      <c r="AE9" s="49"/>
      <c r="AF9" s="49"/>
      <c r="AG9" s="22"/>
      <c r="AH9" s="45"/>
      <c r="AI9" s="24"/>
      <c r="AJ9" s="49"/>
      <c r="AK9" s="22"/>
      <c r="AL9" s="43"/>
      <c r="AM9" s="43"/>
      <c r="AN9" s="43"/>
      <c r="AO9" s="43"/>
      <c r="AP9" s="43"/>
      <c r="AQ9" s="43"/>
      <c r="AR9" s="43"/>
      <c r="AS9" s="43"/>
      <c r="AT9" s="43"/>
      <c r="AU9" s="43"/>
      <c r="AV9" s="43"/>
      <c r="AW9" s="43"/>
      <c r="AX9" s="43"/>
      <c r="AY9" s="43"/>
      <c r="AZ9" s="43"/>
      <c r="BA9" s="43"/>
      <c r="BB9" s="43"/>
      <c r="BC9" s="43"/>
      <c r="BD9" s="43"/>
      <c r="BE9" s="24" t="s">
        <v>156</v>
      </c>
      <c r="BF9" s="24" t="s">
        <v>156</v>
      </c>
      <c r="BG9" s="48" t="s">
        <v>156</v>
      </c>
      <c r="BH9" s="47"/>
      <c r="BI9" s="47"/>
      <c r="BJ9" s="47"/>
      <c r="BK9" s="46">
        <f t="shared" si="1"/>
        <v>1</v>
      </c>
      <c r="BL9" s="46"/>
      <c r="BM9" s="46"/>
      <c r="BN9" s="46"/>
    </row>
    <row r="10" spans="1:66" ht="12.75" hidden="1" customHeight="1">
      <c r="A10" s="22">
        <v>8</v>
      </c>
      <c r="B10" s="22" t="s">
        <v>165</v>
      </c>
      <c r="C10" s="22" t="str">
        <f t="shared" si="0"/>
        <v>Age</v>
      </c>
      <c r="D10" s="22" t="s">
        <v>165</v>
      </c>
      <c r="E10" s="22" t="s">
        <v>96</v>
      </c>
      <c r="F10" s="22"/>
      <c r="G10" s="22"/>
      <c r="H10" s="24"/>
      <c r="I10" s="24">
        <v>1</v>
      </c>
      <c r="J10" s="24" t="s">
        <v>99</v>
      </c>
      <c r="K10" s="24"/>
      <c r="L10" s="24"/>
      <c r="M10" s="24"/>
      <c r="N10" s="24"/>
      <c r="O10" s="22" t="s">
        <v>100</v>
      </c>
      <c r="P10" s="24"/>
      <c r="Q10" s="24"/>
      <c r="R10" s="42" t="s">
        <v>165</v>
      </c>
      <c r="S10" s="43" t="s">
        <v>166</v>
      </c>
      <c r="T10" s="43" t="s">
        <v>167</v>
      </c>
      <c r="U10" s="43" t="s">
        <v>168</v>
      </c>
      <c r="V10" s="43"/>
      <c r="W10" s="43"/>
      <c r="X10" s="44"/>
      <c r="Y10" s="44"/>
      <c r="Z10" s="43" t="s">
        <v>141</v>
      </c>
      <c r="AA10" s="43" t="s">
        <v>113</v>
      </c>
      <c r="AB10" s="43" t="s">
        <v>169</v>
      </c>
      <c r="AC10" s="45"/>
      <c r="AD10" s="49"/>
      <c r="AE10" s="49"/>
      <c r="AF10" s="22"/>
      <c r="AG10" s="22"/>
      <c r="AH10" s="45"/>
      <c r="AI10" s="24"/>
      <c r="AJ10" s="49"/>
      <c r="AK10" s="22"/>
      <c r="AL10" s="43"/>
      <c r="AM10" s="43"/>
      <c r="AN10" s="43"/>
      <c r="AO10" s="43"/>
      <c r="AP10" s="43"/>
      <c r="AQ10" s="43"/>
      <c r="AR10" s="43"/>
      <c r="AS10" s="43"/>
      <c r="AT10" s="43"/>
      <c r="AU10" s="43"/>
      <c r="AV10" s="43"/>
      <c r="AW10" s="43"/>
      <c r="AX10" s="43"/>
      <c r="AY10" s="43"/>
      <c r="AZ10" s="43"/>
      <c r="BA10" s="43"/>
      <c r="BB10" s="43"/>
      <c r="BC10" s="43"/>
      <c r="BD10" s="43"/>
      <c r="BE10" s="24" t="s">
        <v>115</v>
      </c>
      <c r="BF10" s="24" t="s">
        <v>118</v>
      </c>
      <c r="BG10" s="48" t="s">
        <v>170</v>
      </c>
      <c r="BH10" s="47"/>
      <c r="BI10" s="47"/>
      <c r="BJ10" s="47"/>
      <c r="BK10" s="46">
        <f t="shared" si="1"/>
        <v>1</v>
      </c>
      <c r="BL10" s="46"/>
      <c r="BM10" s="46"/>
      <c r="BN10" s="46"/>
    </row>
    <row r="11" spans="1:66" ht="12.75" hidden="1" customHeight="1">
      <c r="A11" s="22">
        <v>9</v>
      </c>
      <c r="B11" s="22" t="s">
        <v>171</v>
      </c>
      <c r="C11" s="22" t="str">
        <f t="shared" si="0"/>
        <v>Estimated DOB from age</v>
      </c>
      <c r="D11" s="22" t="s">
        <v>171</v>
      </c>
      <c r="E11" s="22" t="s">
        <v>65</v>
      </c>
      <c r="F11" s="22"/>
      <c r="G11" s="22"/>
      <c r="H11" s="24"/>
      <c r="I11" s="24">
        <v>1</v>
      </c>
      <c r="J11" s="24" t="s">
        <v>99</v>
      </c>
      <c r="K11" s="24"/>
      <c r="L11" s="24"/>
      <c r="M11" s="24"/>
      <c r="N11" s="24"/>
      <c r="O11" s="22" t="s">
        <v>100</v>
      </c>
      <c r="P11" s="24"/>
      <c r="Q11" s="24"/>
      <c r="R11" s="42" t="s">
        <v>172</v>
      </c>
      <c r="S11" s="43" t="s">
        <v>173</v>
      </c>
      <c r="T11" s="43" t="s">
        <v>174</v>
      </c>
      <c r="U11" s="43" t="s">
        <v>65</v>
      </c>
      <c r="V11" s="43"/>
      <c r="W11" s="43"/>
      <c r="X11" s="43" t="s">
        <v>175</v>
      </c>
      <c r="Y11" s="44"/>
      <c r="Z11" s="44"/>
      <c r="AA11" s="43" t="s">
        <v>115</v>
      </c>
      <c r="AB11" s="43" t="s">
        <v>115</v>
      </c>
      <c r="AC11" s="45"/>
      <c r="AD11" s="49"/>
      <c r="AE11" s="49"/>
      <c r="AF11" s="49"/>
      <c r="AG11" s="22"/>
      <c r="AH11" s="45"/>
      <c r="AI11" s="24"/>
      <c r="AJ11" s="49"/>
      <c r="AK11" s="22"/>
      <c r="AL11" s="43"/>
      <c r="AM11" s="43"/>
      <c r="AN11" s="43"/>
      <c r="AO11" s="43"/>
      <c r="AP11" s="43"/>
      <c r="AQ11" s="43"/>
      <c r="AR11" s="43"/>
      <c r="AS11" s="43"/>
      <c r="AT11" s="43"/>
      <c r="AU11" s="43"/>
      <c r="AV11" s="43"/>
      <c r="AW11" s="43"/>
      <c r="AX11" s="43"/>
      <c r="AY11" s="43"/>
      <c r="AZ11" s="43"/>
      <c r="BA11" s="43"/>
      <c r="BB11" s="43"/>
      <c r="BC11" s="43"/>
      <c r="BD11" s="43"/>
      <c r="BE11" s="24" t="s">
        <v>156</v>
      </c>
      <c r="BF11" s="24" t="s">
        <v>156</v>
      </c>
      <c r="BG11" s="48" t="s">
        <v>156</v>
      </c>
      <c r="BH11" s="47"/>
      <c r="BI11" s="47"/>
      <c r="BJ11" s="47"/>
      <c r="BK11" s="46">
        <f t="shared" si="1"/>
        <v>1</v>
      </c>
      <c r="BL11" s="46"/>
      <c r="BM11" s="46"/>
      <c r="BN11" s="46"/>
    </row>
    <row r="12" spans="1:66" ht="12.75" hidden="1" customHeight="1">
      <c r="A12" s="22">
        <v>10</v>
      </c>
      <c r="B12" s="22" t="s">
        <v>176</v>
      </c>
      <c r="C12" s="22" t="str">
        <f t="shared" si="0"/>
        <v>Flag - Estimated DOB from age</v>
      </c>
      <c r="D12" s="22" t="s">
        <v>176</v>
      </c>
      <c r="E12" s="22" t="s">
        <v>96</v>
      </c>
      <c r="F12" s="22"/>
      <c r="G12" s="22"/>
      <c r="H12" s="24"/>
      <c r="I12" s="24">
        <v>1</v>
      </c>
      <c r="J12" s="24" t="s">
        <v>99</v>
      </c>
      <c r="K12" s="24"/>
      <c r="L12" s="24"/>
      <c r="M12" s="24"/>
      <c r="N12" s="24"/>
      <c r="O12" s="22" t="s">
        <v>100</v>
      </c>
      <c r="P12" s="24"/>
      <c r="Q12" s="24"/>
      <c r="R12" s="42" t="s">
        <v>177</v>
      </c>
      <c r="S12" s="43" t="s">
        <v>115</v>
      </c>
      <c r="T12" s="43" t="s">
        <v>178</v>
      </c>
      <c r="U12" s="43"/>
      <c r="V12" s="43"/>
      <c r="W12" s="43"/>
      <c r="X12" s="43"/>
      <c r="Y12" s="44"/>
      <c r="Z12" s="44"/>
      <c r="AA12" s="43" t="s">
        <v>115</v>
      </c>
      <c r="AB12" s="43" t="s">
        <v>115</v>
      </c>
      <c r="AC12" s="45"/>
      <c r="AD12" s="22"/>
      <c r="AE12" s="22"/>
      <c r="AF12" s="24"/>
      <c r="AG12" s="22"/>
      <c r="AH12" s="45"/>
      <c r="AI12" s="24"/>
      <c r="AJ12" s="22"/>
      <c r="AK12" s="22"/>
      <c r="AL12" s="43"/>
      <c r="AM12" s="43"/>
      <c r="AN12" s="43"/>
      <c r="AO12" s="43"/>
      <c r="AP12" s="43"/>
      <c r="AQ12" s="43"/>
      <c r="AR12" s="43"/>
      <c r="AS12" s="43"/>
      <c r="AT12" s="43"/>
      <c r="AU12" s="43"/>
      <c r="AV12" s="43"/>
      <c r="AW12" s="43"/>
      <c r="AX12" s="43"/>
      <c r="AY12" s="43"/>
      <c r="AZ12" s="43"/>
      <c r="BA12" s="43"/>
      <c r="BB12" s="43"/>
      <c r="BC12" s="43"/>
      <c r="BD12" s="43"/>
      <c r="BE12" s="24" t="s">
        <v>179</v>
      </c>
      <c r="BF12" s="24" t="s">
        <v>156</v>
      </c>
      <c r="BG12" s="48" t="s">
        <v>156</v>
      </c>
      <c r="BH12" s="47"/>
      <c r="BI12" s="47"/>
      <c r="BJ12" s="47"/>
      <c r="BK12" s="46">
        <f t="shared" si="1"/>
        <v>1</v>
      </c>
      <c r="BL12" s="46"/>
      <c r="BM12" s="46"/>
      <c r="BN12" s="46"/>
    </row>
    <row r="13" spans="1:66" ht="12.75" hidden="1" customHeight="1">
      <c r="A13" s="22">
        <v>11</v>
      </c>
      <c r="B13" s="22" t="s">
        <v>181</v>
      </c>
      <c r="C13" s="22" t="str">
        <f t="shared" si="0"/>
        <v>Auto-calculated DOB</v>
      </c>
      <c r="D13" s="22" t="s">
        <v>181</v>
      </c>
      <c r="E13" s="22" t="s">
        <v>65</v>
      </c>
      <c r="F13" s="22"/>
      <c r="G13" s="22"/>
      <c r="H13" s="24"/>
      <c r="I13" s="24">
        <v>1</v>
      </c>
      <c r="J13" s="24" t="s">
        <v>99</v>
      </c>
      <c r="K13" s="24"/>
      <c r="L13" s="24"/>
      <c r="M13" s="24"/>
      <c r="N13" s="24"/>
      <c r="O13" s="22" t="s">
        <v>100</v>
      </c>
      <c r="P13" s="24"/>
      <c r="Q13" s="24"/>
      <c r="R13" s="42" t="s">
        <v>115</v>
      </c>
      <c r="S13" s="43" t="s">
        <v>182</v>
      </c>
      <c r="T13" s="43" t="s">
        <v>183</v>
      </c>
      <c r="U13" s="43" t="s">
        <v>65</v>
      </c>
      <c r="V13" s="43"/>
      <c r="W13" s="43"/>
      <c r="X13" s="43" t="s">
        <v>184</v>
      </c>
      <c r="Y13" s="44"/>
      <c r="Z13" s="43"/>
      <c r="AA13" s="43" t="s">
        <v>115</v>
      </c>
      <c r="AB13" s="43" t="s">
        <v>115</v>
      </c>
      <c r="AC13" s="45"/>
      <c r="AD13" s="22"/>
      <c r="AE13" s="22"/>
      <c r="AF13" s="24"/>
      <c r="AG13" s="22"/>
      <c r="AH13" s="45"/>
      <c r="AI13" s="24"/>
      <c r="AJ13" s="22"/>
      <c r="AK13" s="22"/>
      <c r="AL13" s="22"/>
      <c r="AM13" s="22"/>
      <c r="AN13" s="22"/>
      <c r="AO13" s="22"/>
      <c r="AP13" s="22"/>
      <c r="AQ13" s="22"/>
      <c r="AR13" s="22"/>
      <c r="AS13" s="22"/>
      <c r="AT13" s="22"/>
      <c r="AU13" s="22"/>
      <c r="AV13" s="22"/>
      <c r="AW13" s="22"/>
      <c r="AX13" s="22"/>
      <c r="AY13" s="22"/>
      <c r="AZ13" s="22"/>
      <c r="BA13" s="22"/>
      <c r="BB13" s="22"/>
      <c r="BC13" s="22"/>
      <c r="BD13" s="22"/>
      <c r="BE13" s="24" t="s">
        <v>156</v>
      </c>
      <c r="BF13" s="24" t="s">
        <v>156</v>
      </c>
      <c r="BG13" s="48" t="s">
        <v>156</v>
      </c>
      <c r="BH13" s="47"/>
      <c r="BI13" s="47"/>
      <c r="BJ13" s="47"/>
      <c r="BK13" s="46">
        <f t="shared" si="1"/>
        <v>1</v>
      </c>
      <c r="BL13" s="46"/>
      <c r="BM13" s="46"/>
      <c r="BN13" s="46"/>
    </row>
    <row r="14" spans="1:66" ht="12.75" hidden="1" customHeight="1">
      <c r="A14" s="22">
        <v>12</v>
      </c>
      <c r="B14" s="22" t="s">
        <v>185</v>
      </c>
      <c r="C14" s="22" t="str">
        <f t="shared" si="0"/>
        <v>Auto-calculated age</v>
      </c>
      <c r="D14" s="22" t="s">
        <v>185</v>
      </c>
      <c r="E14" s="22" t="s">
        <v>65</v>
      </c>
      <c r="F14" s="22"/>
      <c r="G14" s="22"/>
      <c r="H14" s="24"/>
      <c r="I14" s="24">
        <v>1</v>
      </c>
      <c r="J14" s="24" t="s">
        <v>99</v>
      </c>
      <c r="K14" s="24"/>
      <c r="L14" s="24"/>
      <c r="M14" s="24"/>
      <c r="N14" s="24"/>
      <c r="O14" s="22" t="s">
        <v>100</v>
      </c>
      <c r="P14" s="24"/>
      <c r="Q14" s="24"/>
      <c r="R14" s="42" t="s">
        <v>115</v>
      </c>
      <c r="S14" s="43" t="s">
        <v>170</v>
      </c>
      <c r="T14" s="43" t="s">
        <v>186</v>
      </c>
      <c r="U14" s="43" t="s">
        <v>65</v>
      </c>
      <c r="V14" s="43"/>
      <c r="W14" s="43"/>
      <c r="X14" s="43" t="s">
        <v>187</v>
      </c>
      <c r="Y14" s="44"/>
      <c r="Z14" s="43"/>
      <c r="AA14" s="43" t="s">
        <v>115</v>
      </c>
      <c r="AB14" s="43" t="s">
        <v>115</v>
      </c>
      <c r="AC14" s="45"/>
      <c r="AD14" s="22"/>
      <c r="AE14" s="22"/>
      <c r="AF14" s="24"/>
      <c r="AG14" s="22"/>
      <c r="AH14" s="45"/>
      <c r="AI14" s="24"/>
      <c r="AJ14" s="22"/>
      <c r="AK14" s="22"/>
      <c r="AL14" s="43"/>
      <c r="AM14" s="43"/>
      <c r="AN14" s="43"/>
      <c r="AO14" s="43"/>
      <c r="AP14" s="43"/>
      <c r="AQ14" s="43"/>
      <c r="AR14" s="43"/>
      <c r="AS14" s="43"/>
      <c r="AT14" s="43"/>
      <c r="AU14" s="43"/>
      <c r="AV14" s="43"/>
      <c r="AW14" s="43"/>
      <c r="AX14" s="43"/>
      <c r="AY14" s="43"/>
      <c r="AZ14" s="43"/>
      <c r="BA14" s="43"/>
      <c r="BB14" s="43"/>
      <c r="BC14" s="43"/>
      <c r="BD14" s="43"/>
      <c r="BE14" s="24" t="s">
        <v>156</v>
      </c>
      <c r="BF14" s="24" t="s">
        <v>156</v>
      </c>
      <c r="BG14" s="48" t="s">
        <v>156</v>
      </c>
      <c r="BH14" s="47"/>
      <c r="BI14" s="47"/>
      <c r="BJ14" s="47"/>
      <c r="BK14" s="46">
        <f t="shared" si="1"/>
        <v>1</v>
      </c>
      <c r="BL14" s="46"/>
      <c r="BM14" s="46"/>
      <c r="BN14" s="46"/>
    </row>
    <row r="15" spans="1:66" ht="12.75" hidden="1" customHeight="1">
      <c r="A15" s="22">
        <v>13</v>
      </c>
      <c r="B15" s="22" t="s">
        <v>188</v>
      </c>
      <c r="C15" s="22" t="str">
        <f t="shared" si="0"/>
        <v>Home address</v>
      </c>
      <c r="D15" s="22" t="s">
        <v>188</v>
      </c>
      <c r="E15" s="22" t="s">
        <v>96</v>
      </c>
      <c r="F15" s="22"/>
      <c r="G15" s="22"/>
      <c r="H15" s="24"/>
      <c r="I15" s="24">
        <v>1</v>
      </c>
      <c r="J15" s="24" t="s">
        <v>99</v>
      </c>
      <c r="K15" s="24"/>
      <c r="L15" s="24"/>
      <c r="M15" s="24"/>
      <c r="N15" s="24"/>
      <c r="O15" s="22" t="s">
        <v>100</v>
      </c>
      <c r="P15" s="24"/>
      <c r="Q15" s="24"/>
      <c r="R15" s="42" t="s">
        <v>188</v>
      </c>
      <c r="S15" s="43" t="s">
        <v>189</v>
      </c>
      <c r="T15" s="44" t="s">
        <v>190</v>
      </c>
      <c r="U15" s="43" t="s">
        <v>111</v>
      </c>
      <c r="V15" s="43"/>
      <c r="W15" s="43"/>
      <c r="X15" s="44"/>
      <c r="Y15" s="44"/>
      <c r="Z15" s="44"/>
      <c r="AA15" s="43" t="s">
        <v>113</v>
      </c>
      <c r="AB15" s="43" t="s">
        <v>113</v>
      </c>
      <c r="AC15" s="45"/>
      <c r="AD15" s="22"/>
      <c r="AE15" s="22"/>
      <c r="AF15" s="22"/>
      <c r="AG15" s="22" t="s">
        <v>191</v>
      </c>
      <c r="AH15" s="45"/>
      <c r="AI15" s="24"/>
      <c r="AJ15" s="22"/>
      <c r="AK15" s="22"/>
      <c r="AL15" s="43"/>
      <c r="AM15" s="43"/>
      <c r="AN15" s="43"/>
      <c r="AO15" s="43"/>
      <c r="AP15" s="43"/>
      <c r="AQ15" s="43"/>
      <c r="AR15" s="43"/>
      <c r="AS15" s="43"/>
      <c r="AT15" s="43"/>
      <c r="AU15" s="43"/>
      <c r="AV15" s="43"/>
      <c r="AW15" s="43"/>
      <c r="AX15" s="43"/>
      <c r="AY15" s="43"/>
      <c r="AZ15" s="43"/>
      <c r="BA15" s="43"/>
      <c r="BB15" s="43"/>
      <c r="BC15" s="43"/>
      <c r="BD15" s="43"/>
      <c r="BE15" s="24" t="s">
        <v>115</v>
      </c>
      <c r="BF15" s="24" t="s">
        <v>192</v>
      </c>
      <c r="BG15" s="48" t="s">
        <v>193</v>
      </c>
      <c r="BH15" s="47"/>
      <c r="BI15" s="47"/>
      <c r="BJ15" s="47"/>
      <c r="BK15" s="46">
        <f t="shared" si="1"/>
        <v>1</v>
      </c>
      <c r="BL15" s="46"/>
      <c r="BM15" s="46"/>
      <c r="BN15" s="46"/>
    </row>
    <row r="16" spans="1:66" ht="12.75" hidden="1" customHeight="1">
      <c r="A16" s="22">
        <v>14</v>
      </c>
      <c r="B16" s="22" t="s">
        <v>194</v>
      </c>
      <c r="C16" s="22" t="str">
        <f t="shared" si="0"/>
        <v>Mobile phone number</v>
      </c>
      <c r="D16" s="22" t="s">
        <v>194</v>
      </c>
      <c r="E16" s="22" t="s">
        <v>96</v>
      </c>
      <c r="F16" s="22"/>
      <c r="G16" s="22"/>
      <c r="H16" s="24"/>
      <c r="I16" s="24">
        <v>1</v>
      </c>
      <c r="J16" s="24" t="s">
        <v>99</v>
      </c>
      <c r="K16" s="24"/>
      <c r="L16" s="24"/>
      <c r="M16" s="24"/>
      <c r="N16" s="24"/>
      <c r="O16" s="22" t="s">
        <v>100</v>
      </c>
      <c r="P16" s="24"/>
      <c r="Q16" s="24"/>
      <c r="R16" s="42" t="s">
        <v>194</v>
      </c>
      <c r="S16" s="43" t="s">
        <v>195</v>
      </c>
      <c r="T16" s="43" t="s">
        <v>196</v>
      </c>
      <c r="U16" s="43" t="s">
        <v>168</v>
      </c>
      <c r="V16" s="43"/>
      <c r="W16" s="43"/>
      <c r="X16" s="44"/>
      <c r="Y16" s="44"/>
      <c r="Z16" s="44"/>
      <c r="AA16" s="43" t="s">
        <v>113</v>
      </c>
      <c r="AB16" s="43" t="s">
        <v>113</v>
      </c>
      <c r="AC16" s="45"/>
      <c r="AD16" s="22"/>
      <c r="AE16" s="22"/>
      <c r="AF16" s="24"/>
      <c r="AG16" s="22"/>
      <c r="AH16" s="45"/>
      <c r="AI16" s="24"/>
      <c r="AJ16" s="22"/>
      <c r="AK16" s="22"/>
      <c r="AL16" s="43"/>
      <c r="AM16" s="43"/>
      <c r="AN16" s="43"/>
      <c r="AO16" s="43"/>
      <c r="AP16" s="43"/>
      <c r="AQ16" s="43"/>
      <c r="AR16" s="43"/>
      <c r="AS16" s="43"/>
      <c r="AT16" s="43"/>
      <c r="AU16" s="43"/>
      <c r="AV16" s="43">
        <v>184103008</v>
      </c>
      <c r="AW16" s="43"/>
      <c r="AX16" s="43"/>
      <c r="AY16" s="43"/>
      <c r="AZ16" s="43"/>
      <c r="BA16" s="43"/>
      <c r="BB16" s="43"/>
      <c r="BC16" s="43"/>
      <c r="BD16" s="43"/>
      <c r="BE16" s="24" t="s">
        <v>115</v>
      </c>
      <c r="BF16" s="24" t="s">
        <v>197</v>
      </c>
      <c r="BG16" s="60" t="s">
        <v>198</v>
      </c>
      <c r="BH16" s="47"/>
      <c r="BI16" s="47">
        <v>184103008</v>
      </c>
      <c r="BJ16" s="47"/>
      <c r="BK16" s="46">
        <f t="shared" si="1"/>
        <v>1</v>
      </c>
      <c r="BL16" s="46"/>
      <c r="BM16" s="46"/>
      <c r="BN16" s="46"/>
    </row>
    <row r="17" spans="1:66" ht="12.75" hidden="1" customHeight="1">
      <c r="A17" s="22">
        <v>15</v>
      </c>
      <c r="B17" s="22" t="s">
        <v>199</v>
      </c>
      <c r="C17" s="22" t="str">
        <f t="shared" si="0"/>
        <v>Woman wants to receive reminders during pregnancy</v>
      </c>
      <c r="D17" s="22" t="s">
        <v>199</v>
      </c>
      <c r="E17" s="22" t="s">
        <v>96</v>
      </c>
      <c r="F17" s="22"/>
      <c r="G17" s="22"/>
      <c r="H17" s="24"/>
      <c r="I17" s="24">
        <v>1</v>
      </c>
      <c r="J17" s="24" t="s">
        <v>99</v>
      </c>
      <c r="K17" s="24"/>
      <c r="L17" s="24"/>
      <c r="M17" s="24"/>
      <c r="N17" s="24"/>
      <c r="O17" s="22" t="s">
        <v>100</v>
      </c>
      <c r="P17" s="24"/>
      <c r="Q17" s="24"/>
      <c r="R17" s="42" t="s">
        <v>199</v>
      </c>
      <c r="S17" s="43" t="s">
        <v>200</v>
      </c>
      <c r="T17" s="43" t="s">
        <v>201</v>
      </c>
      <c r="U17" s="43" t="s">
        <v>202</v>
      </c>
      <c r="V17" s="43"/>
      <c r="W17" s="43"/>
      <c r="X17" s="44"/>
      <c r="Y17" s="44"/>
      <c r="Z17" s="43"/>
      <c r="AA17" s="43" t="s">
        <v>113</v>
      </c>
      <c r="AB17" s="43" t="s">
        <v>113</v>
      </c>
      <c r="AC17" s="45"/>
      <c r="AD17" s="22"/>
      <c r="AE17" s="22"/>
      <c r="AF17" s="24"/>
      <c r="AG17" s="22"/>
      <c r="AH17" s="45"/>
      <c r="AI17" s="24"/>
      <c r="AJ17" s="22"/>
      <c r="AK17" s="22"/>
      <c r="AL17" s="43"/>
      <c r="AM17" s="43"/>
      <c r="AN17" s="43"/>
      <c r="AO17" s="43"/>
      <c r="AP17" s="43"/>
      <c r="AQ17" s="43"/>
      <c r="AR17" s="43"/>
      <c r="AS17" s="43"/>
      <c r="AT17" s="43" t="s">
        <v>203</v>
      </c>
      <c r="AU17" s="43" t="s">
        <v>203</v>
      </c>
      <c r="AV17" s="43" t="s">
        <v>203</v>
      </c>
      <c r="AW17" s="43"/>
      <c r="AX17" s="43"/>
      <c r="AY17" s="43"/>
      <c r="AZ17" s="43"/>
      <c r="BA17" s="43"/>
      <c r="BB17" s="43"/>
      <c r="BC17" s="43"/>
      <c r="BD17" s="43"/>
      <c r="BE17" s="24" t="s">
        <v>115</v>
      </c>
      <c r="BF17" s="63" t="s">
        <v>204</v>
      </c>
      <c r="BG17" s="60" t="s">
        <v>205</v>
      </c>
      <c r="BH17" s="47" t="s">
        <v>203</v>
      </c>
      <c r="BI17" s="64" t="s">
        <v>203</v>
      </c>
      <c r="BJ17" s="47"/>
      <c r="BK17" s="46">
        <f t="shared" si="1"/>
        <v>1</v>
      </c>
      <c r="BL17" s="46"/>
      <c r="BM17" s="46"/>
      <c r="BN17" s="46"/>
    </row>
    <row r="18" spans="1:66" ht="12.75" hidden="1" customHeight="1">
      <c r="A18" s="22">
        <v>16</v>
      </c>
      <c r="B18" s="22" t="s">
        <v>250</v>
      </c>
      <c r="C18" s="22" t="e">
        <f t="shared" ca="1" si="0"/>
        <v>#NAME?</v>
      </c>
      <c r="D18" s="22" t="s">
        <v>113</v>
      </c>
      <c r="E18" s="22" t="s">
        <v>180</v>
      </c>
      <c r="F18" s="22" t="s">
        <v>199</v>
      </c>
      <c r="G18" s="22"/>
      <c r="H18" s="24"/>
      <c r="I18" s="24">
        <v>1</v>
      </c>
      <c r="J18" s="24" t="s">
        <v>99</v>
      </c>
      <c r="K18" s="24"/>
      <c r="L18" s="24"/>
      <c r="M18" s="24"/>
      <c r="N18" s="24"/>
      <c r="O18" s="22" t="s">
        <v>100</v>
      </c>
      <c r="P18" s="24"/>
      <c r="Q18" s="24"/>
      <c r="R18" s="42"/>
      <c r="S18" s="43"/>
      <c r="T18" s="43"/>
      <c r="U18" s="43"/>
      <c r="V18" s="43"/>
      <c r="W18" s="43" t="s">
        <v>113</v>
      </c>
      <c r="X18" s="44"/>
      <c r="Y18" s="44"/>
      <c r="Z18" s="43"/>
      <c r="AA18" s="43"/>
      <c r="AB18" s="43"/>
      <c r="AC18" s="45"/>
      <c r="AD18" s="22"/>
      <c r="AE18" s="22"/>
      <c r="AF18" s="24"/>
      <c r="AG18" s="22"/>
      <c r="AH18" s="45"/>
      <c r="AI18" s="24"/>
      <c r="AJ18" s="22"/>
      <c r="AK18" s="22"/>
      <c r="AL18" s="43"/>
      <c r="AM18" s="43"/>
      <c r="AN18" s="43"/>
      <c r="AO18" s="43"/>
      <c r="AP18" s="43"/>
      <c r="AQ18" s="43"/>
      <c r="AR18" s="43"/>
      <c r="AS18" s="43"/>
      <c r="AT18" s="43"/>
      <c r="AU18" s="43"/>
      <c r="AV18" s="65">
        <v>373066001</v>
      </c>
      <c r="AW18" s="43"/>
      <c r="AX18" s="43"/>
      <c r="AY18" s="43"/>
      <c r="AZ18" s="43"/>
      <c r="BA18" s="43"/>
      <c r="BB18" s="43"/>
      <c r="BC18" s="43"/>
      <c r="BD18" s="43"/>
      <c r="BE18" s="24" t="s">
        <v>115</v>
      </c>
      <c r="BF18" s="24" t="s">
        <v>206</v>
      </c>
      <c r="BG18" s="48" t="s">
        <v>207</v>
      </c>
      <c r="BH18" s="47"/>
      <c r="BI18" s="66">
        <v>373066001</v>
      </c>
      <c r="BJ18" s="47"/>
      <c r="BK18" s="46">
        <f t="shared" si="1"/>
        <v>1</v>
      </c>
      <c r="BL18" s="46"/>
      <c r="BM18" s="46"/>
      <c r="BN18" s="46"/>
    </row>
    <row r="19" spans="1:66" ht="12.75" hidden="1" customHeight="1">
      <c r="A19" s="22">
        <v>17</v>
      </c>
      <c r="B19" s="22" t="s">
        <v>255</v>
      </c>
      <c r="C19" s="22" t="e">
        <f t="shared" ca="1" si="0"/>
        <v>#NAME?</v>
      </c>
      <c r="D19" s="22" t="s">
        <v>208</v>
      </c>
      <c r="E19" s="22" t="s">
        <v>180</v>
      </c>
      <c r="F19" s="22" t="s">
        <v>199</v>
      </c>
      <c r="G19" s="22"/>
      <c r="H19" s="24"/>
      <c r="I19" s="24">
        <v>1</v>
      </c>
      <c r="J19" s="24" t="s">
        <v>99</v>
      </c>
      <c r="K19" s="24"/>
      <c r="L19" s="24"/>
      <c r="M19" s="24"/>
      <c r="N19" s="24"/>
      <c r="O19" s="22" t="s">
        <v>100</v>
      </c>
      <c r="P19" s="24"/>
      <c r="Q19" s="24"/>
      <c r="R19" s="42"/>
      <c r="S19" s="43"/>
      <c r="T19" s="43"/>
      <c r="U19" s="43"/>
      <c r="V19" s="43"/>
      <c r="W19" s="43" t="s">
        <v>208</v>
      </c>
      <c r="X19" s="44"/>
      <c r="Y19" s="44"/>
      <c r="Z19" s="43"/>
      <c r="AA19" s="43"/>
      <c r="AB19" s="43"/>
      <c r="AC19" s="45"/>
      <c r="AD19" s="49"/>
      <c r="AE19" s="49"/>
      <c r="AF19" s="49"/>
      <c r="AG19" s="22"/>
      <c r="AH19" s="45"/>
      <c r="AI19" s="24"/>
      <c r="AJ19" s="49"/>
      <c r="AK19" s="22"/>
      <c r="AL19" s="43"/>
      <c r="AM19" s="43"/>
      <c r="AN19" s="43"/>
      <c r="AO19" s="43"/>
      <c r="AP19" s="43"/>
      <c r="AQ19" s="43"/>
      <c r="AR19" s="43"/>
      <c r="AS19" s="43"/>
      <c r="AT19" s="43"/>
      <c r="AU19" s="43"/>
      <c r="AV19" s="67">
        <v>373067005</v>
      </c>
      <c r="AW19" s="43"/>
      <c r="AX19" s="43"/>
      <c r="AY19" s="43"/>
      <c r="AZ19" s="43"/>
      <c r="BA19" s="43"/>
      <c r="BB19" s="43"/>
      <c r="BC19" s="43"/>
      <c r="BD19" s="43"/>
      <c r="BE19" s="24" t="s">
        <v>115</v>
      </c>
      <c r="BF19" s="24" t="s">
        <v>209</v>
      </c>
      <c r="BG19" s="48" t="s">
        <v>210</v>
      </c>
      <c r="BH19" s="47"/>
      <c r="BI19" s="69">
        <v>373067005</v>
      </c>
      <c r="BJ19" s="47"/>
      <c r="BK19" s="46">
        <f t="shared" si="1"/>
        <v>1</v>
      </c>
      <c r="BL19" s="46"/>
      <c r="BM19" s="46"/>
      <c r="BN19" s="46"/>
    </row>
    <row r="20" spans="1:66" ht="12.75" hidden="1" customHeight="1">
      <c r="A20" s="22">
        <v>18</v>
      </c>
      <c r="B20" s="22" t="s">
        <v>211</v>
      </c>
      <c r="C20" s="22" t="str">
        <f t="shared" si="0"/>
        <v xml:space="preserve">Alternate contact name </v>
      </c>
      <c r="D20" s="22" t="s">
        <v>211</v>
      </c>
      <c r="E20" s="22" t="s">
        <v>96</v>
      </c>
      <c r="F20" s="22"/>
      <c r="G20" s="22"/>
      <c r="H20" s="24"/>
      <c r="I20" s="24">
        <v>1</v>
      </c>
      <c r="J20" s="24" t="s">
        <v>99</v>
      </c>
      <c r="K20" s="24"/>
      <c r="L20" s="24"/>
      <c r="M20" s="24"/>
      <c r="N20" s="24"/>
      <c r="O20" s="22" t="s">
        <v>100</v>
      </c>
      <c r="P20" s="24"/>
      <c r="Q20" s="24"/>
      <c r="R20" s="70" t="s">
        <v>211</v>
      </c>
      <c r="S20" s="43" t="s">
        <v>212</v>
      </c>
      <c r="T20" s="43" t="s">
        <v>213</v>
      </c>
      <c r="U20" s="43" t="s">
        <v>111</v>
      </c>
      <c r="V20" s="43"/>
      <c r="W20" s="43"/>
      <c r="X20" s="44"/>
      <c r="Y20" s="44"/>
      <c r="Z20" s="43" t="s">
        <v>112</v>
      </c>
      <c r="AA20" s="43" t="s">
        <v>113</v>
      </c>
      <c r="AB20" s="43" t="s">
        <v>208</v>
      </c>
      <c r="AC20" s="45"/>
      <c r="AD20" s="22"/>
      <c r="AE20" s="22"/>
      <c r="AF20" s="24"/>
      <c r="AG20" s="22"/>
      <c r="AH20" s="45"/>
      <c r="AI20" s="24"/>
      <c r="AJ20" s="22"/>
      <c r="AK20" s="22"/>
      <c r="AL20" s="43"/>
      <c r="AM20" s="43"/>
      <c r="AN20" s="43"/>
      <c r="AO20" s="43"/>
      <c r="AP20" s="43"/>
      <c r="AQ20" s="43"/>
      <c r="AR20" s="43"/>
      <c r="AS20" s="43"/>
      <c r="AT20" s="43"/>
      <c r="AU20" s="43"/>
      <c r="AV20" s="43">
        <v>70862002</v>
      </c>
      <c r="AW20" s="43"/>
      <c r="AX20" s="43"/>
      <c r="AY20" s="43"/>
      <c r="AZ20" s="43"/>
      <c r="BA20" s="43"/>
      <c r="BB20" s="43"/>
      <c r="BC20" s="43"/>
      <c r="BD20" s="43"/>
      <c r="BE20" s="24" t="s">
        <v>214</v>
      </c>
      <c r="BF20" s="24" t="s">
        <v>215</v>
      </c>
      <c r="BG20" s="48" t="s">
        <v>216</v>
      </c>
      <c r="BH20" s="47"/>
      <c r="BI20" s="64">
        <v>70862002</v>
      </c>
      <c r="BJ20" s="47"/>
      <c r="BK20" s="46">
        <f t="shared" si="1"/>
        <v>1</v>
      </c>
      <c r="BL20" s="46"/>
      <c r="BM20" s="46"/>
      <c r="BN20" s="46"/>
    </row>
    <row r="21" spans="1:66" ht="12.75" hidden="1" customHeight="1">
      <c r="A21" s="22">
        <v>19</v>
      </c>
      <c r="B21" s="22" t="s">
        <v>217</v>
      </c>
      <c r="C21" s="22" t="str">
        <f t="shared" si="0"/>
        <v>Alternate contact phone number</v>
      </c>
      <c r="D21" s="22" t="s">
        <v>217</v>
      </c>
      <c r="E21" s="22" t="s">
        <v>96</v>
      </c>
      <c r="F21" s="22"/>
      <c r="G21" s="22"/>
      <c r="H21" s="24"/>
      <c r="I21" s="24">
        <v>1</v>
      </c>
      <c r="J21" s="24" t="s">
        <v>99</v>
      </c>
      <c r="K21" s="24"/>
      <c r="L21" s="24"/>
      <c r="M21" s="24"/>
      <c r="N21" s="24"/>
      <c r="O21" s="22" t="s">
        <v>100</v>
      </c>
      <c r="P21" s="24"/>
      <c r="Q21" s="24"/>
      <c r="R21" s="70" t="s">
        <v>217</v>
      </c>
      <c r="S21" s="43" t="s">
        <v>218</v>
      </c>
      <c r="T21" s="43" t="s">
        <v>219</v>
      </c>
      <c r="U21" s="43" t="s">
        <v>168</v>
      </c>
      <c r="V21" s="43"/>
      <c r="W21" s="43"/>
      <c r="X21" s="44"/>
      <c r="Y21" s="44"/>
      <c r="Z21" s="44"/>
      <c r="AA21" s="43" t="s">
        <v>113</v>
      </c>
      <c r="AB21" s="43" t="s">
        <v>208</v>
      </c>
      <c r="AC21" s="45"/>
      <c r="AD21" s="22"/>
      <c r="AE21" s="22"/>
      <c r="AF21" s="24"/>
      <c r="AG21" s="22"/>
      <c r="AH21" s="45"/>
      <c r="AI21" s="24"/>
      <c r="AJ21" s="22"/>
      <c r="AK21" s="22"/>
      <c r="AL21" s="22"/>
      <c r="AM21" s="22"/>
      <c r="AN21" s="22"/>
      <c r="AO21" s="22"/>
      <c r="AP21" s="22"/>
      <c r="AQ21" s="22"/>
      <c r="AR21" s="22"/>
      <c r="AS21" s="22"/>
      <c r="AT21" s="22"/>
      <c r="AU21" s="22"/>
      <c r="AV21" s="67">
        <v>184103008</v>
      </c>
      <c r="AW21" s="22"/>
      <c r="AX21" s="22"/>
      <c r="AY21" s="22"/>
      <c r="AZ21" s="22"/>
      <c r="BA21" s="22"/>
      <c r="BB21" s="22"/>
      <c r="BC21" s="22"/>
      <c r="BD21" s="22"/>
      <c r="BE21" s="24" t="s">
        <v>115</v>
      </c>
      <c r="BF21" s="24" t="s">
        <v>197</v>
      </c>
      <c r="BG21" s="60" t="s">
        <v>198</v>
      </c>
      <c r="BH21" s="47"/>
      <c r="BI21" s="69">
        <v>184103008</v>
      </c>
      <c r="BJ21" s="47"/>
      <c r="BK21" s="46">
        <f t="shared" si="1"/>
        <v>1</v>
      </c>
      <c r="BL21" s="46"/>
      <c r="BM21" s="46"/>
      <c r="BN21" s="46"/>
    </row>
    <row r="22" spans="1:66" ht="12.75" hidden="1" customHeight="1">
      <c r="A22" s="22">
        <v>20</v>
      </c>
      <c r="B22" s="72" t="s">
        <v>220</v>
      </c>
      <c r="C22" s="72" t="str">
        <f t="shared" si="0"/>
        <v>Reason for coming to facility</v>
      </c>
      <c r="D22" s="73" t="s">
        <v>220</v>
      </c>
      <c r="E22" s="22" t="s">
        <v>96</v>
      </c>
      <c r="F22" s="22"/>
      <c r="G22" s="22"/>
      <c r="H22" s="24"/>
      <c r="I22" s="24">
        <v>1</v>
      </c>
      <c r="J22" s="24" t="s">
        <v>221</v>
      </c>
      <c r="K22" s="24"/>
      <c r="L22" s="24"/>
      <c r="M22" s="24"/>
      <c r="N22" s="24"/>
      <c r="O22" s="22"/>
      <c r="P22" s="24"/>
      <c r="Q22" s="24"/>
      <c r="R22" s="74" t="s">
        <v>220</v>
      </c>
      <c r="S22" s="73" t="s">
        <v>222</v>
      </c>
      <c r="T22" s="73" t="s">
        <v>223</v>
      </c>
      <c r="U22" s="43" t="s">
        <v>202</v>
      </c>
      <c r="V22" s="72"/>
      <c r="W22" s="73"/>
      <c r="X22" s="75"/>
      <c r="Y22" s="24"/>
      <c r="Z22" s="24"/>
      <c r="AA22" s="73" t="s">
        <v>113</v>
      </c>
      <c r="AB22" s="73" t="s">
        <v>208</v>
      </c>
      <c r="AC22" s="45"/>
      <c r="AD22" s="24"/>
      <c r="AE22" s="24"/>
      <c r="AF22" s="24"/>
      <c r="AG22" s="22"/>
      <c r="AH22" s="45"/>
      <c r="AI22" s="24"/>
      <c r="AJ22" s="24"/>
      <c r="AK22" s="72"/>
      <c r="AL22" s="22"/>
      <c r="AM22" s="22"/>
      <c r="AN22" s="22"/>
      <c r="AO22" s="22"/>
      <c r="AP22" s="22"/>
      <c r="AQ22" s="22"/>
      <c r="AR22" s="22"/>
      <c r="AS22" s="22"/>
      <c r="AT22" s="24"/>
      <c r="AU22" s="24"/>
      <c r="AV22" s="65">
        <v>410666004</v>
      </c>
      <c r="AW22" s="24"/>
      <c r="AX22" s="24"/>
      <c r="AY22" s="24"/>
      <c r="AZ22" s="24"/>
      <c r="BA22" s="24"/>
      <c r="BB22" s="24"/>
      <c r="BC22" s="24"/>
      <c r="BD22" s="24"/>
      <c r="BE22" s="77" t="s">
        <v>115</v>
      </c>
      <c r="BF22" s="77" t="s">
        <v>224</v>
      </c>
      <c r="BG22" s="79" t="s">
        <v>225</v>
      </c>
      <c r="BH22" s="47"/>
      <c r="BI22" s="66">
        <v>410666004</v>
      </c>
      <c r="BJ22" s="47"/>
      <c r="BK22" s="46">
        <f t="shared" si="1"/>
        <v>1</v>
      </c>
      <c r="BL22" s="46"/>
      <c r="BM22" s="46"/>
      <c r="BN22" s="46"/>
    </row>
    <row r="23" spans="1:66" ht="12.75" hidden="1" customHeight="1">
      <c r="A23" s="22">
        <v>21</v>
      </c>
      <c r="B23" s="72" t="s">
        <v>282</v>
      </c>
      <c r="C23" s="72" t="e">
        <f t="shared" ca="1" si="0"/>
        <v>#NAME?</v>
      </c>
      <c r="D23" s="75" t="s">
        <v>226</v>
      </c>
      <c r="E23" s="22" t="s">
        <v>180</v>
      </c>
      <c r="F23" s="22" t="s">
        <v>220</v>
      </c>
      <c r="G23" s="22"/>
      <c r="H23" s="24"/>
      <c r="I23" s="24">
        <v>1</v>
      </c>
      <c r="J23" s="24" t="s">
        <v>221</v>
      </c>
      <c r="K23" s="24"/>
      <c r="L23" s="24"/>
      <c r="M23" s="24"/>
      <c r="N23" s="24"/>
      <c r="O23" s="22"/>
      <c r="P23" s="24"/>
      <c r="Q23" s="24"/>
      <c r="R23" s="80"/>
      <c r="S23" s="44"/>
      <c r="T23" s="44"/>
      <c r="U23" s="44"/>
      <c r="V23" s="72"/>
      <c r="W23" s="73" t="s">
        <v>226</v>
      </c>
      <c r="X23" s="75"/>
      <c r="Y23" s="24"/>
      <c r="Z23" s="24"/>
      <c r="AA23" s="44"/>
      <c r="AB23" s="44"/>
      <c r="AC23" s="45"/>
      <c r="AD23" s="24"/>
      <c r="AE23" s="24"/>
      <c r="AF23" s="24"/>
      <c r="AG23" s="22"/>
      <c r="AH23" s="45"/>
      <c r="AI23" s="24"/>
      <c r="AJ23" s="24"/>
      <c r="AK23" s="72"/>
      <c r="AL23" s="22"/>
      <c r="AM23" s="22"/>
      <c r="AN23" s="22"/>
      <c r="AO23" s="22"/>
      <c r="AP23" s="22"/>
      <c r="AQ23" s="22"/>
      <c r="AR23" s="22"/>
      <c r="AS23" s="22"/>
      <c r="AT23" s="24"/>
      <c r="AU23" s="24"/>
      <c r="AV23" s="24">
        <v>103324002</v>
      </c>
      <c r="AW23" s="24"/>
      <c r="AX23" s="24"/>
      <c r="AY23" s="24"/>
      <c r="AZ23" s="24"/>
      <c r="BA23" s="24"/>
      <c r="BB23" s="24"/>
      <c r="BC23" s="24"/>
      <c r="BD23" s="24"/>
      <c r="BE23" s="77" t="s">
        <v>115</v>
      </c>
      <c r="BF23" s="49" t="s">
        <v>227</v>
      </c>
      <c r="BG23" s="81" t="s">
        <v>228</v>
      </c>
      <c r="BH23" s="47"/>
      <c r="BI23" s="47">
        <v>103324002</v>
      </c>
      <c r="BJ23" s="47"/>
      <c r="BK23" s="46">
        <f t="shared" si="1"/>
        <v>1</v>
      </c>
      <c r="BL23" s="46"/>
      <c r="BM23" s="46"/>
      <c r="BN23" s="46"/>
    </row>
    <row r="24" spans="1:66" ht="12.75" hidden="1" customHeight="1">
      <c r="A24" s="22">
        <v>22</v>
      </c>
      <c r="B24" s="43" t="s">
        <v>290</v>
      </c>
      <c r="C24" s="43" t="e">
        <f t="shared" ca="1" si="0"/>
        <v>#NAME?</v>
      </c>
      <c r="D24" s="43" t="s">
        <v>229</v>
      </c>
      <c r="E24" s="22" t="s">
        <v>180</v>
      </c>
      <c r="F24" s="22" t="s">
        <v>220</v>
      </c>
      <c r="G24" s="22"/>
      <c r="H24" s="24"/>
      <c r="I24" s="24">
        <v>1</v>
      </c>
      <c r="J24" s="24" t="s">
        <v>221</v>
      </c>
      <c r="K24" s="24"/>
      <c r="L24" s="24"/>
      <c r="M24" s="24"/>
      <c r="N24" s="24"/>
      <c r="O24" s="22"/>
      <c r="P24" s="24"/>
      <c r="Q24" s="24"/>
      <c r="R24" s="80"/>
      <c r="S24" s="44"/>
      <c r="T24" s="44"/>
      <c r="U24" s="44"/>
      <c r="V24" s="43"/>
      <c r="W24" s="43" t="s">
        <v>229</v>
      </c>
      <c r="X24" s="43"/>
      <c r="Y24" s="24"/>
      <c r="Z24" s="24"/>
      <c r="AA24" s="44"/>
      <c r="AB24" s="44"/>
      <c r="AC24" s="45"/>
      <c r="AD24" s="24"/>
      <c r="AE24" s="24"/>
      <c r="AF24" s="24"/>
      <c r="AG24" s="22"/>
      <c r="AH24" s="45"/>
      <c r="AI24" s="24"/>
      <c r="AJ24" s="24"/>
      <c r="AK24" s="43"/>
      <c r="AL24" s="22"/>
      <c r="AM24" s="22"/>
      <c r="AN24" s="22"/>
      <c r="AO24" s="22"/>
      <c r="AP24" s="22"/>
      <c r="AQ24" s="22"/>
      <c r="AR24" s="22"/>
      <c r="AS24" s="22"/>
      <c r="AT24" s="24"/>
      <c r="AU24" s="24"/>
      <c r="AV24" s="24">
        <v>416151008</v>
      </c>
      <c r="AW24" s="24"/>
      <c r="AX24" s="24"/>
      <c r="AY24" s="24"/>
      <c r="AZ24" s="24"/>
      <c r="BA24" s="24"/>
      <c r="BB24" s="24"/>
      <c r="BC24" s="24"/>
      <c r="BD24" s="24"/>
      <c r="BE24" s="77" t="s">
        <v>115</v>
      </c>
      <c r="BF24" s="77" t="s">
        <v>230</v>
      </c>
      <c r="BG24" s="79" t="s">
        <v>231</v>
      </c>
      <c r="BH24" s="47"/>
      <c r="BI24" s="47">
        <v>416151008</v>
      </c>
      <c r="BJ24" s="47"/>
      <c r="BK24" s="46">
        <f t="shared" si="1"/>
        <v>1</v>
      </c>
      <c r="BL24" s="46"/>
      <c r="BM24" s="46"/>
      <c r="BN24" s="46"/>
    </row>
    <row r="25" spans="1:66" ht="12.75" hidden="1" customHeight="1">
      <c r="A25" s="22">
        <v>23</v>
      </c>
      <c r="B25" s="72" t="s">
        <v>295</v>
      </c>
      <c r="C25" s="72" t="e">
        <f t="shared" ca="1" si="0"/>
        <v>#NAME?</v>
      </c>
      <c r="D25" s="75" t="s">
        <v>232</v>
      </c>
      <c r="E25" s="22" t="s">
        <v>180</v>
      </c>
      <c r="F25" s="22" t="s">
        <v>220</v>
      </c>
      <c r="G25" s="22"/>
      <c r="H25" s="24"/>
      <c r="I25" s="24">
        <v>1</v>
      </c>
      <c r="J25" s="24" t="s">
        <v>221</v>
      </c>
      <c r="K25" s="24"/>
      <c r="L25" s="24"/>
      <c r="M25" s="24"/>
      <c r="N25" s="24"/>
      <c r="O25" s="22"/>
      <c r="P25" s="24"/>
      <c r="Q25" s="24"/>
      <c r="R25" s="74"/>
      <c r="S25" s="73"/>
      <c r="T25" s="73"/>
      <c r="U25" s="44"/>
      <c r="V25" s="72"/>
      <c r="W25" s="73" t="s">
        <v>232</v>
      </c>
      <c r="X25" s="75"/>
      <c r="Y25" s="24"/>
      <c r="Z25" s="24"/>
      <c r="AA25" s="73"/>
      <c r="AB25" s="73"/>
      <c r="AC25" s="45"/>
      <c r="AD25" s="24"/>
      <c r="AE25" s="24"/>
      <c r="AF25" s="24"/>
      <c r="AG25" s="22"/>
      <c r="AH25" s="45"/>
      <c r="AI25" s="24"/>
      <c r="AJ25" s="24"/>
      <c r="AK25" s="72"/>
      <c r="AL25" s="22"/>
      <c r="AM25" s="22"/>
      <c r="AN25" s="22"/>
      <c r="AO25" s="22"/>
      <c r="AP25" s="22"/>
      <c r="AQ25" s="22"/>
      <c r="AR25" s="22"/>
      <c r="AS25" s="22"/>
      <c r="AT25" s="24"/>
      <c r="AU25" s="24"/>
      <c r="AV25" s="24">
        <v>33962009</v>
      </c>
      <c r="AW25" s="24"/>
      <c r="AX25" s="24"/>
      <c r="AY25" s="24"/>
      <c r="AZ25" s="24"/>
      <c r="BA25" s="24"/>
      <c r="BB25" s="24"/>
      <c r="BC25" s="24"/>
      <c r="BD25" s="24"/>
      <c r="BE25" s="49" t="s">
        <v>115</v>
      </c>
      <c r="BF25" s="49" t="s">
        <v>233</v>
      </c>
      <c r="BG25" s="82" t="s">
        <v>234</v>
      </c>
      <c r="BH25" s="47"/>
      <c r="BI25" s="47">
        <v>33962009</v>
      </c>
      <c r="BJ25" s="47"/>
      <c r="BK25" s="46">
        <f t="shared" si="1"/>
        <v>1</v>
      </c>
      <c r="BL25" s="46"/>
      <c r="BM25" s="46"/>
      <c r="BN25" s="46"/>
    </row>
    <row r="26" spans="1:66" ht="12.75" hidden="1" customHeight="1">
      <c r="A26" s="22">
        <v>24</v>
      </c>
      <c r="B26" s="72" t="s">
        <v>235</v>
      </c>
      <c r="C26" s="72" t="str">
        <f t="shared" si="0"/>
        <v>Specific complaint(s)</v>
      </c>
      <c r="D26" s="73" t="s">
        <v>235</v>
      </c>
      <c r="E26" s="22" t="s">
        <v>96</v>
      </c>
      <c r="F26" s="22"/>
      <c r="G26" s="22"/>
      <c r="H26" s="24"/>
      <c r="I26" s="24">
        <v>1</v>
      </c>
      <c r="J26" s="24" t="s">
        <v>221</v>
      </c>
      <c r="K26" s="24"/>
      <c r="L26" s="24"/>
      <c r="M26" s="24"/>
      <c r="N26" s="24"/>
      <c r="O26" s="22"/>
      <c r="P26" s="24"/>
      <c r="Q26" s="24"/>
      <c r="R26" s="74" t="s">
        <v>235</v>
      </c>
      <c r="S26" s="73" t="s">
        <v>236</v>
      </c>
      <c r="T26" s="73" t="s">
        <v>237</v>
      </c>
      <c r="U26" s="73" t="s">
        <v>238</v>
      </c>
      <c r="V26" s="73"/>
      <c r="W26" s="73"/>
      <c r="X26" s="75"/>
      <c r="Y26" s="24"/>
      <c r="Z26" s="24"/>
      <c r="AA26" s="73" t="s">
        <v>113</v>
      </c>
      <c r="AB26" s="73" t="s">
        <v>208</v>
      </c>
      <c r="AC26" s="45"/>
      <c r="AD26" s="24"/>
      <c r="AE26" s="24"/>
      <c r="AF26" s="24"/>
      <c r="AG26" s="22"/>
      <c r="AH26" s="45"/>
      <c r="AI26" s="24"/>
      <c r="AJ26" s="24"/>
      <c r="AK26" s="72"/>
      <c r="AL26" s="22"/>
      <c r="AM26" s="22"/>
      <c r="AN26" s="22"/>
      <c r="AO26" s="22"/>
      <c r="AP26" s="22"/>
      <c r="AQ26" s="22"/>
      <c r="AR26" s="22"/>
      <c r="AS26" s="22"/>
      <c r="AT26" s="24"/>
      <c r="AU26" s="24"/>
      <c r="AV26" s="24">
        <v>33962009</v>
      </c>
      <c r="AW26" s="24"/>
      <c r="AX26" s="24"/>
      <c r="AY26" s="24"/>
      <c r="AZ26" s="24"/>
      <c r="BA26" s="24"/>
      <c r="BB26" s="24"/>
      <c r="BC26" s="24"/>
      <c r="BD26" s="24"/>
      <c r="BE26" s="49" t="s">
        <v>115</v>
      </c>
      <c r="BF26" s="49" t="s">
        <v>233</v>
      </c>
      <c r="BG26" s="82" t="s">
        <v>234</v>
      </c>
      <c r="BH26" s="47"/>
      <c r="BI26" s="64">
        <v>33962009</v>
      </c>
      <c r="BJ26" s="47"/>
      <c r="BK26" s="46">
        <f t="shared" si="1"/>
        <v>1</v>
      </c>
      <c r="BL26" s="46"/>
      <c r="BM26" s="46"/>
      <c r="BN26" s="46"/>
    </row>
    <row r="27" spans="1:66" ht="12.75" hidden="1" customHeight="1">
      <c r="A27" s="22">
        <v>25</v>
      </c>
      <c r="B27" s="72" t="s">
        <v>304</v>
      </c>
      <c r="C27" s="72" t="e">
        <f t="shared" ca="1" si="0"/>
        <v>#NAME?</v>
      </c>
      <c r="D27" s="75" t="s">
        <v>239</v>
      </c>
      <c r="E27" s="22" t="s">
        <v>180</v>
      </c>
      <c r="F27" s="73" t="s">
        <v>235</v>
      </c>
      <c r="G27" s="22"/>
      <c r="H27" s="24"/>
      <c r="I27" s="24">
        <v>1</v>
      </c>
      <c r="J27" s="24" t="s">
        <v>221</v>
      </c>
      <c r="K27" s="24"/>
      <c r="L27" s="24"/>
      <c r="M27" s="24"/>
      <c r="N27" s="24"/>
      <c r="O27" s="22"/>
      <c r="P27" s="24"/>
      <c r="Q27" s="24"/>
      <c r="R27" s="74"/>
      <c r="S27" s="73"/>
      <c r="T27" s="73"/>
      <c r="U27" s="44"/>
      <c r="V27" s="72"/>
      <c r="W27" s="73" t="s">
        <v>239</v>
      </c>
      <c r="X27" s="75"/>
      <c r="Y27" s="24"/>
      <c r="Z27" s="24"/>
      <c r="AA27" s="73"/>
      <c r="AB27" s="73"/>
      <c r="AC27" s="45"/>
      <c r="AD27" s="24"/>
      <c r="AE27" s="24"/>
      <c r="AF27" s="24"/>
      <c r="AG27" s="22"/>
      <c r="AH27" s="45"/>
      <c r="AI27" s="24"/>
      <c r="AJ27" s="24"/>
      <c r="AK27" s="72"/>
      <c r="AL27" s="22"/>
      <c r="AM27" s="22"/>
      <c r="AN27" s="22"/>
      <c r="AO27" s="22"/>
      <c r="AP27" s="22"/>
      <c r="AQ27" s="22"/>
      <c r="AR27" s="22"/>
      <c r="AS27" s="22"/>
      <c r="AT27" s="24"/>
      <c r="AU27" s="24"/>
      <c r="AV27" s="67">
        <v>289567003</v>
      </c>
      <c r="AW27" s="24"/>
      <c r="AX27" s="24"/>
      <c r="AY27" s="24"/>
      <c r="AZ27" s="24"/>
      <c r="BA27" s="24"/>
      <c r="BB27" s="24"/>
      <c r="BC27" s="24"/>
      <c r="BD27" s="24"/>
      <c r="BE27" s="77" t="s">
        <v>115</v>
      </c>
      <c r="BF27" s="77" t="s">
        <v>240</v>
      </c>
      <c r="BG27" s="79" t="s">
        <v>241</v>
      </c>
      <c r="BH27" s="47"/>
      <c r="BI27" s="69">
        <v>289567003</v>
      </c>
      <c r="BJ27" s="47"/>
      <c r="BK27" s="46">
        <f t="shared" si="1"/>
        <v>1</v>
      </c>
      <c r="BL27" s="46"/>
      <c r="BM27" s="46"/>
      <c r="BN27" s="46"/>
    </row>
    <row r="28" spans="1:66" ht="12.75" hidden="1" customHeight="1">
      <c r="A28" s="22">
        <v>26</v>
      </c>
      <c r="B28" s="43" t="s">
        <v>308</v>
      </c>
      <c r="C28" s="43" t="e">
        <f t="shared" ca="1" si="0"/>
        <v>#NAME?</v>
      </c>
      <c r="D28" s="43" t="s">
        <v>242</v>
      </c>
      <c r="E28" s="22" t="s">
        <v>180</v>
      </c>
      <c r="F28" s="73" t="s">
        <v>235</v>
      </c>
      <c r="G28" s="22"/>
      <c r="H28" s="24"/>
      <c r="I28" s="24">
        <v>1</v>
      </c>
      <c r="J28" s="24" t="s">
        <v>221</v>
      </c>
      <c r="K28" s="24"/>
      <c r="L28" s="24"/>
      <c r="M28" s="24"/>
      <c r="N28" s="24"/>
      <c r="O28" s="22"/>
      <c r="P28" s="22"/>
      <c r="Q28" s="22"/>
      <c r="R28" s="74"/>
      <c r="S28" s="73"/>
      <c r="T28" s="73"/>
      <c r="U28" s="44"/>
      <c r="V28" s="43"/>
      <c r="W28" s="43" t="s">
        <v>242</v>
      </c>
      <c r="X28" s="43"/>
      <c r="Y28" s="24"/>
      <c r="Z28" s="24"/>
      <c r="AA28" s="73"/>
      <c r="AB28" s="73"/>
      <c r="AC28" s="45"/>
      <c r="AD28" s="24"/>
      <c r="AE28" s="24"/>
      <c r="AF28" s="24"/>
      <c r="AG28" s="22"/>
      <c r="AH28" s="45"/>
      <c r="AI28" s="24"/>
      <c r="AJ28" s="24"/>
      <c r="AK28" s="43"/>
      <c r="AL28" s="22"/>
      <c r="AM28" s="22"/>
      <c r="AN28" s="22"/>
      <c r="AO28" s="22"/>
      <c r="AP28" s="22"/>
      <c r="AQ28" s="22"/>
      <c r="AR28" s="22"/>
      <c r="AS28" s="22"/>
      <c r="AT28" s="24"/>
      <c r="AU28" s="24"/>
      <c r="AV28" s="24">
        <v>18165001</v>
      </c>
      <c r="AW28" s="24"/>
      <c r="AX28" s="24"/>
      <c r="AY28" s="24"/>
      <c r="AZ28" s="24"/>
      <c r="BA28" s="24"/>
      <c r="BB28" s="24"/>
      <c r="BC28" s="24"/>
      <c r="BD28" s="24"/>
      <c r="BE28" s="44"/>
      <c r="BF28" s="49" t="s">
        <v>243</v>
      </c>
      <c r="BG28" s="79" t="s">
        <v>244</v>
      </c>
      <c r="BH28" s="64"/>
      <c r="BI28" s="64">
        <v>18165001</v>
      </c>
      <c r="BJ28" s="47"/>
      <c r="BK28" s="46">
        <f t="shared" si="1"/>
        <v>1</v>
      </c>
      <c r="BL28" s="46"/>
      <c r="BM28" s="46"/>
      <c r="BN28" s="46"/>
    </row>
    <row r="29" spans="1:66" ht="12.75" hidden="1" customHeight="1">
      <c r="A29" s="22">
        <v>27</v>
      </c>
      <c r="B29" s="72" t="s">
        <v>313</v>
      </c>
      <c r="C29" s="72" t="e">
        <f t="shared" ca="1" si="0"/>
        <v>#NAME?</v>
      </c>
      <c r="D29" s="75" t="s">
        <v>245</v>
      </c>
      <c r="E29" s="22" t="s">
        <v>180</v>
      </c>
      <c r="F29" s="73" t="s">
        <v>235</v>
      </c>
      <c r="G29" s="22"/>
      <c r="H29" s="24"/>
      <c r="I29" s="24">
        <v>1</v>
      </c>
      <c r="J29" s="24" t="s">
        <v>221</v>
      </c>
      <c r="K29" s="24"/>
      <c r="L29" s="24"/>
      <c r="M29" s="24"/>
      <c r="N29" s="24"/>
      <c r="O29" s="22"/>
      <c r="P29" s="22"/>
      <c r="Q29" s="22"/>
      <c r="R29" s="74"/>
      <c r="S29" s="73"/>
      <c r="T29" s="73"/>
      <c r="U29" s="44"/>
      <c r="V29" s="72"/>
      <c r="W29" s="73" t="s">
        <v>245</v>
      </c>
      <c r="X29" s="75"/>
      <c r="Y29" s="24"/>
      <c r="Z29" s="24"/>
      <c r="AA29" s="73"/>
      <c r="AB29" s="73"/>
      <c r="AC29" s="45"/>
      <c r="AD29" s="24"/>
      <c r="AE29" s="24"/>
      <c r="AF29" s="24"/>
      <c r="AG29" s="22"/>
      <c r="AH29" s="45"/>
      <c r="AI29" s="24"/>
      <c r="AJ29" s="24"/>
      <c r="AK29" s="72"/>
      <c r="AL29" s="22"/>
      <c r="AM29" s="22"/>
      <c r="AN29" s="22"/>
      <c r="AO29" s="22"/>
      <c r="AP29" s="22"/>
      <c r="AQ29" s="22"/>
      <c r="AR29" s="22"/>
      <c r="AS29" s="22"/>
      <c r="AT29" s="84" t="s">
        <v>246</v>
      </c>
      <c r="AU29" s="24"/>
      <c r="AV29" s="67">
        <v>129899009</v>
      </c>
      <c r="AW29" s="24"/>
      <c r="AX29" s="24"/>
      <c r="AY29" s="24"/>
      <c r="AZ29" s="24"/>
      <c r="BA29" s="24"/>
      <c r="BB29" s="24"/>
      <c r="BC29" s="24"/>
      <c r="BD29" s="24"/>
      <c r="BE29" s="77" t="s">
        <v>115</v>
      </c>
      <c r="BF29" s="85" t="s">
        <v>247</v>
      </c>
      <c r="BG29" s="82" t="s">
        <v>248</v>
      </c>
      <c r="BH29" s="86" t="s">
        <v>246</v>
      </c>
      <c r="BI29" s="69">
        <v>129899009</v>
      </c>
      <c r="BJ29" s="47"/>
      <c r="BK29" s="46">
        <f t="shared" si="1"/>
        <v>1</v>
      </c>
      <c r="BL29" s="46"/>
      <c r="BM29" s="46"/>
      <c r="BN29" s="46"/>
    </row>
    <row r="30" spans="1:66" ht="12.75" hidden="1" customHeight="1">
      <c r="A30" s="22">
        <v>28</v>
      </c>
      <c r="B30" s="72" t="s">
        <v>321</v>
      </c>
      <c r="C30" s="72" t="e">
        <f t="shared" ca="1" si="0"/>
        <v>#NAME?</v>
      </c>
      <c r="D30" s="75" t="s">
        <v>249</v>
      </c>
      <c r="E30" s="22" t="s">
        <v>180</v>
      </c>
      <c r="F30" s="73" t="s">
        <v>235</v>
      </c>
      <c r="G30" s="22"/>
      <c r="H30" s="24"/>
      <c r="I30" s="24">
        <v>1</v>
      </c>
      <c r="J30" s="24" t="s">
        <v>221</v>
      </c>
      <c r="K30" s="24"/>
      <c r="L30" s="24"/>
      <c r="M30" s="24"/>
      <c r="N30" s="24"/>
      <c r="O30" s="22"/>
      <c r="P30" s="22"/>
      <c r="Q30" s="22"/>
      <c r="R30" s="74"/>
      <c r="S30" s="73"/>
      <c r="T30" s="73"/>
      <c r="U30" s="44"/>
      <c r="V30" s="72"/>
      <c r="W30" s="73" t="s">
        <v>249</v>
      </c>
      <c r="X30" s="75"/>
      <c r="Y30" s="24"/>
      <c r="Z30" s="24"/>
      <c r="AA30" s="73"/>
      <c r="AB30" s="73"/>
      <c r="AC30" s="45"/>
      <c r="AD30" s="24"/>
      <c r="AE30" s="24"/>
      <c r="AF30" s="24"/>
      <c r="AG30" s="22"/>
      <c r="AH30" s="45"/>
      <c r="AI30" s="24"/>
      <c r="AJ30" s="24"/>
      <c r="AK30" s="72"/>
      <c r="AL30" s="22"/>
      <c r="AM30" s="22"/>
      <c r="AN30" s="22"/>
      <c r="AO30" s="22"/>
      <c r="AP30" s="22"/>
      <c r="AQ30" s="22"/>
      <c r="AR30" s="22"/>
      <c r="AS30" s="22"/>
      <c r="AT30" s="67" t="s">
        <v>251</v>
      </c>
      <c r="AU30" s="24"/>
      <c r="AV30" s="65">
        <v>14760008</v>
      </c>
      <c r="AW30" s="24"/>
      <c r="AX30" s="24"/>
      <c r="AY30" s="24"/>
      <c r="AZ30" s="24"/>
      <c r="BA30" s="24"/>
      <c r="BB30" s="24"/>
      <c r="BC30" s="24"/>
      <c r="BD30" s="24"/>
      <c r="BE30" s="77" t="s">
        <v>115</v>
      </c>
      <c r="BF30" s="77" t="s">
        <v>252</v>
      </c>
      <c r="BG30" s="79" t="s">
        <v>253</v>
      </c>
      <c r="BH30" s="87" t="s">
        <v>251</v>
      </c>
      <c r="BI30" s="66">
        <v>14760008</v>
      </c>
      <c r="BJ30" s="47"/>
      <c r="BK30" s="46">
        <f t="shared" si="1"/>
        <v>1</v>
      </c>
      <c r="BL30" s="46"/>
      <c r="BM30" s="46"/>
      <c r="BN30" s="46"/>
    </row>
    <row r="31" spans="1:66" ht="12.75" hidden="1" customHeight="1">
      <c r="A31" s="22">
        <v>29</v>
      </c>
      <c r="B31" s="72" t="s">
        <v>327</v>
      </c>
      <c r="C31" s="72" t="e">
        <f t="shared" ca="1" si="0"/>
        <v>#NAME?</v>
      </c>
      <c r="D31" s="75" t="s">
        <v>254</v>
      </c>
      <c r="E31" s="22" t="s">
        <v>180</v>
      </c>
      <c r="F31" s="73" t="s">
        <v>235</v>
      </c>
      <c r="G31" s="22"/>
      <c r="H31" s="24"/>
      <c r="I31" s="24">
        <v>1</v>
      </c>
      <c r="J31" s="24" t="s">
        <v>221</v>
      </c>
      <c r="K31" s="24"/>
      <c r="L31" s="24"/>
      <c r="M31" s="24"/>
      <c r="N31" s="24"/>
      <c r="O31" s="22"/>
      <c r="P31" s="22"/>
      <c r="Q31" s="22"/>
      <c r="R31" s="74"/>
      <c r="S31" s="73"/>
      <c r="T31" s="73"/>
      <c r="U31" s="44"/>
      <c r="V31" s="72"/>
      <c r="W31" s="73" t="s">
        <v>254</v>
      </c>
      <c r="X31" s="75"/>
      <c r="Y31" s="24"/>
      <c r="Z31" s="24"/>
      <c r="AA31" s="73"/>
      <c r="AB31" s="73"/>
      <c r="AC31" s="45"/>
      <c r="AD31" s="24"/>
      <c r="AE31" s="24"/>
      <c r="AF31" s="24"/>
      <c r="AG31" s="22"/>
      <c r="AH31" s="45"/>
      <c r="AI31" s="24"/>
      <c r="AJ31" s="24"/>
      <c r="AK31" s="72"/>
      <c r="AL31" s="22"/>
      <c r="AM31" s="22"/>
      <c r="AN31" s="22"/>
      <c r="AO31" s="22"/>
      <c r="AP31" s="22"/>
      <c r="AQ31" s="22"/>
      <c r="AR31" s="22"/>
      <c r="AS31" s="22"/>
      <c r="AT31" s="24"/>
      <c r="AU31" s="24"/>
      <c r="AV31" s="65">
        <v>289741005</v>
      </c>
      <c r="AW31" s="24"/>
      <c r="AX31" s="24"/>
      <c r="AY31" s="24"/>
      <c r="AZ31" s="24"/>
      <c r="BA31" s="24"/>
      <c r="BB31" s="24"/>
      <c r="BC31" s="24"/>
      <c r="BD31" s="24"/>
      <c r="BE31" s="77" t="s">
        <v>115</v>
      </c>
      <c r="BF31" s="77" t="s">
        <v>256</v>
      </c>
      <c r="BG31" s="79" t="s">
        <v>257</v>
      </c>
      <c r="BH31" s="64"/>
      <c r="BI31" s="66">
        <v>289741005</v>
      </c>
      <c r="BJ31" s="47"/>
      <c r="BK31" s="46">
        <f t="shared" si="1"/>
        <v>1</v>
      </c>
      <c r="BL31" s="46"/>
      <c r="BM31" s="46"/>
      <c r="BN31" s="46"/>
    </row>
    <row r="32" spans="1:66" ht="12.75" hidden="1" customHeight="1">
      <c r="A32" s="22">
        <v>30</v>
      </c>
      <c r="B32" s="72" t="s">
        <v>332</v>
      </c>
      <c r="C32" s="72" t="e">
        <f t="shared" ca="1" si="0"/>
        <v>#NAME?</v>
      </c>
      <c r="D32" s="75" t="s">
        <v>258</v>
      </c>
      <c r="E32" s="22" t="s">
        <v>180</v>
      </c>
      <c r="F32" s="73" t="s">
        <v>235</v>
      </c>
      <c r="G32" s="22"/>
      <c r="H32" s="24"/>
      <c r="I32" s="24">
        <v>1</v>
      </c>
      <c r="J32" s="24" t="s">
        <v>221</v>
      </c>
      <c r="K32" s="24"/>
      <c r="L32" s="24"/>
      <c r="M32" s="24"/>
      <c r="N32" s="24"/>
      <c r="O32" s="22"/>
      <c r="P32" s="22"/>
      <c r="Q32" s="22"/>
      <c r="R32" s="74"/>
      <c r="S32" s="73"/>
      <c r="T32" s="73"/>
      <c r="U32" s="44"/>
      <c r="V32" s="72"/>
      <c r="W32" s="73" t="s">
        <v>258</v>
      </c>
      <c r="X32" s="75"/>
      <c r="Y32" s="24"/>
      <c r="Z32" s="24"/>
      <c r="AA32" s="73"/>
      <c r="AB32" s="73"/>
      <c r="AC32" s="45"/>
      <c r="AD32" s="24"/>
      <c r="AE32" s="24"/>
      <c r="AF32" s="24"/>
      <c r="AG32" s="22"/>
      <c r="AH32" s="45"/>
      <c r="AI32" s="24"/>
      <c r="AJ32" s="24"/>
      <c r="AK32" s="72"/>
      <c r="AL32" s="22"/>
      <c r="AM32" s="22"/>
      <c r="AN32" s="22"/>
      <c r="AO32" s="22"/>
      <c r="AP32" s="22"/>
      <c r="AQ32" s="22"/>
      <c r="AR32" s="22"/>
      <c r="AS32" s="22"/>
      <c r="AT32" s="67" t="s">
        <v>259</v>
      </c>
      <c r="AU32" s="24"/>
      <c r="AV32" s="24">
        <v>49727002</v>
      </c>
      <c r="AW32" s="24"/>
      <c r="AX32" s="24"/>
      <c r="AY32" s="24"/>
      <c r="AZ32" s="24"/>
      <c r="BA32" s="24"/>
      <c r="BB32" s="24"/>
      <c r="BC32" s="24"/>
      <c r="BD32" s="24"/>
      <c r="BE32" s="77" t="s">
        <v>115</v>
      </c>
      <c r="BF32" s="49" t="s">
        <v>260</v>
      </c>
      <c r="BG32" s="79" t="s">
        <v>261</v>
      </c>
      <c r="BH32" s="87" t="s">
        <v>259</v>
      </c>
      <c r="BI32" s="64">
        <v>49727002</v>
      </c>
      <c r="BJ32" s="47"/>
      <c r="BK32" s="46">
        <f t="shared" si="1"/>
        <v>1</v>
      </c>
      <c r="BL32" s="46"/>
      <c r="BM32" s="46"/>
      <c r="BN32" s="46"/>
    </row>
    <row r="33" spans="1:66" ht="12.75" hidden="1" customHeight="1">
      <c r="A33" s="22">
        <v>31</v>
      </c>
      <c r="B33" s="43" t="s">
        <v>337</v>
      </c>
      <c r="C33" s="43" t="e">
        <f t="shared" ca="1" si="0"/>
        <v>#NAME?</v>
      </c>
      <c r="D33" s="43" t="s">
        <v>262</v>
      </c>
      <c r="E33" s="22" t="s">
        <v>180</v>
      </c>
      <c r="F33" s="73" t="s">
        <v>235</v>
      </c>
      <c r="G33" s="22"/>
      <c r="H33" s="24"/>
      <c r="I33" s="24">
        <v>1</v>
      </c>
      <c r="J33" s="24" t="s">
        <v>221</v>
      </c>
      <c r="K33" s="24"/>
      <c r="L33" s="24"/>
      <c r="M33" s="24"/>
      <c r="N33" s="24"/>
      <c r="O33" s="22"/>
      <c r="P33" s="22"/>
      <c r="Q33" s="22"/>
      <c r="R33" s="74"/>
      <c r="S33" s="73"/>
      <c r="T33" s="73"/>
      <c r="U33" s="44"/>
      <c r="V33" s="43"/>
      <c r="W33" s="43" t="s">
        <v>262</v>
      </c>
      <c r="X33" s="43"/>
      <c r="Y33" s="24"/>
      <c r="Z33" s="24"/>
      <c r="AA33" s="73"/>
      <c r="AB33" s="73"/>
      <c r="AC33" s="45"/>
      <c r="AD33" s="24"/>
      <c r="AE33" s="24"/>
      <c r="AF33" s="24"/>
      <c r="AG33" s="22"/>
      <c r="AH33" s="45"/>
      <c r="AI33" s="24"/>
      <c r="AJ33" s="24"/>
      <c r="AK33" s="43"/>
      <c r="AL33" s="22"/>
      <c r="AM33" s="22"/>
      <c r="AN33" s="22"/>
      <c r="AO33" s="22"/>
      <c r="AP33" s="22"/>
      <c r="AQ33" s="22"/>
      <c r="AR33" s="22"/>
      <c r="AS33" s="22"/>
      <c r="AT33" s="67" t="s">
        <v>263</v>
      </c>
      <c r="AU33" s="24"/>
      <c r="AV33" s="65">
        <v>35489007</v>
      </c>
      <c r="AW33" s="24"/>
      <c r="AX33" s="24"/>
      <c r="AY33" s="24"/>
      <c r="AZ33" s="24"/>
      <c r="BA33" s="24"/>
      <c r="BB33" s="24"/>
      <c r="BC33" s="24"/>
      <c r="BD33" s="24"/>
      <c r="BE33" s="49" t="s">
        <v>115</v>
      </c>
      <c r="BF33" s="49" t="s">
        <v>264</v>
      </c>
      <c r="BG33" s="82" t="s">
        <v>265</v>
      </c>
      <c r="BH33" s="87" t="s">
        <v>263</v>
      </c>
      <c r="BI33" s="66">
        <v>35489007</v>
      </c>
      <c r="BJ33" s="47"/>
      <c r="BK33" s="46">
        <f t="shared" si="1"/>
        <v>1</v>
      </c>
      <c r="BL33" s="46"/>
      <c r="BM33" s="46"/>
      <c r="BN33" s="46"/>
    </row>
    <row r="34" spans="1:66" ht="12.75" hidden="1" customHeight="1">
      <c r="A34" s="22">
        <v>32</v>
      </c>
      <c r="B34" s="43" t="s">
        <v>341</v>
      </c>
      <c r="C34" s="43" t="e">
        <f t="shared" ca="1" si="0"/>
        <v>#NAME?</v>
      </c>
      <c r="D34" s="43" t="s">
        <v>266</v>
      </c>
      <c r="E34" s="22" t="s">
        <v>180</v>
      </c>
      <c r="F34" s="73" t="s">
        <v>235</v>
      </c>
      <c r="G34" s="22"/>
      <c r="H34" s="24"/>
      <c r="I34" s="24">
        <v>1</v>
      </c>
      <c r="J34" s="24" t="s">
        <v>221</v>
      </c>
      <c r="K34" s="24"/>
      <c r="L34" s="24"/>
      <c r="M34" s="24"/>
      <c r="N34" s="24"/>
      <c r="O34" s="22"/>
      <c r="P34" s="22"/>
      <c r="Q34" s="22"/>
      <c r="R34" s="74"/>
      <c r="S34" s="73"/>
      <c r="T34" s="73"/>
      <c r="U34" s="44"/>
      <c r="V34" s="43"/>
      <c r="W34" s="43" t="s">
        <v>266</v>
      </c>
      <c r="X34" s="43"/>
      <c r="Y34" s="24"/>
      <c r="Z34" s="24"/>
      <c r="AA34" s="73"/>
      <c r="AB34" s="73"/>
      <c r="AC34" s="45"/>
      <c r="AD34" s="24"/>
      <c r="AE34" s="24"/>
      <c r="AF34" s="24"/>
      <c r="AG34" s="22"/>
      <c r="AH34" s="45"/>
      <c r="AI34" s="24"/>
      <c r="AJ34" s="24"/>
      <c r="AK34" s="43"/>
      <c r="AL34" s="22"/>
      <c r="AM34" s="22"/>
      <c r="AN34" s="22"/>
      <c r="AO34" s="22"/>
      <c r="AP34" s="22"/>
      <c r="AQ34" s="22"/>
      <c r="AR34" s="22"/>
      <c r="AS34" s="22"/>
      <c r="AT34" s="67" t="s">
        <v>267</v>
      </c>
      <c r="AU34" s="24"/>
      <c r="AV34" s="65">
        <v>48694002</v>
      </c>
      <c r="AW34" s="24"/>
      <c r="AX34" s="24"/>
      <c r="AY34" s="24"/>
      <c r="AZ34" s="24"/>
      <c r="BA34" s="24"/>
      <c r="BB34" s="24"/>
      <c r="BC34" s="24"/>
      <c r="BD34" s="24"/>
      <c r="BE34" s="49" t="s">
        <v>115</v>
      </c>
      <c r="BF34" s="49" t="s">
        <v>268</v>
      </c>
      <c r="BG34" s="82" t="s">
        <v>269</v>
      </c>
      <c r="BH34" s="87" t="s">
        <v>267</v>
      </c>
      <c r="BI34" s="66">
        <v>48694002</v>
      </c>
      <c r="BJ34" s="47"/>
      <c r="BK34" s="46">
        <f t="shared" si="1"/>
        <v>1</v>
      </c>
      <c r="BL34" s="46"/>
      <c r="BM34" s="46"/>
      <c r="BN34" s="46"/>
    </row>
    <row r="35" spans="1:66" ht="12.75" hidden="1" customHeight="1">
      <c r="A35" s="22">
        <v>33</v>
      </c>
      <c r="B35" s="72" t="s">
        <v>347</v>
      </c>
      <c r="C35" s="72" t="e">
        <f t="shared" ca="1" si="0"/>
        <v>#NAME?</v>
      </c>
      <c r="D35" s="75" t="s">
        <v>270</v>
      </c>
      <c r="E35" s="22" t="s">
        <v>180</v>
      </c>
      <c r="F35" s="73" t="s">
        <v>235</v>
      </c>
      <c r="G35" s="22"/>
      <c r="H35" s="24"/>
      <c r="I35" s="24">
        <v>1</v>
      </c>
      <c r="J35" s="24" t="s">
        <v>221</v>
      </c>
      <c r="K35" s="24"/>
      <c r="L35" s="24"/>
      <c r="M35" s="24"/>
      <c r="N35" s="24"/>
      <c r="O35" s="22"/>
      <c r="P35" s="22"/>
      <c r="Q35" s="22"/>
      <c r="R35" s="74"/>
      <c r="S35" s="73"/>
      <c r="T35" s="73"/>
      <c r="U35" s="44"/>
      <c r="V35" s="72"/>
      <c r="W35" s="73" t="s">
        <v>270</v>
      </c>
      <c r="X35" s="75"/>
      <c r="Y35" s="24"/>
      <c r="Z35" s="24"/>
      <c r="AA35" s="73"/>
      <c r="AB35" s="73"/>
      <c r="AC35" s="45"/>
      <c r="AD35" s="24"/>
      <c r="AE35" s="24"/>
      <c r="AF35" s="24"/>
      <c r="AG35" s="22"/>
      <c r="AH35" s="45"/>
      <c r="AI35" s="24"/>
      <c r="AJ35" s="24"/>
      <c r="AK35" s="72"/>
      <c r="AL35" s="22"/>
      <c r="AM35" s="22"/>
      <c r="AN35" s="22"/>
      <c r="AO35" s="22"/>
      <c r="AP35" s="22"/>
      <c r="AQ35" s="22"/>
      <c r="AR35" s="22"/>
      <c r="AS35" s="22"/>
      <c r="AT35" s="84" t="s">
        <v>271</v>
      </c>
      <c r="AU35" s="24"/>
      <c r="AV35" s="67">
        <v>315018008</v>
      </c>
      <c r="AW35" s="24"/>
      <c r="AX35" s="24"/>
      <c r="AY35" s="24"/>
      <c r="AZ35" s="24"/>
      <c r="BA35" s="24"/>
      <c r="BB35" s="24"/>
      <c r="BC35" s="24"/>
      <c r="BD35" s="24"/>
      <c r="BE35" s="49" t="s">
        <v>115</v>
      </c>
      <c r="BF35" s="49" t="s">
        <v>272</v>
      </c>
      <c r="BG35" s="88" t="s">
        <v>273</v>
      </c>
      <c r="BH35" s="89" t="s">
        <v>271</v>
      </c>
      <c r="BI35" s="90">
        <v>315018008</v>
      </c>
      <c r="BJ35" s="91"/>
      <c r="BK35" s="46">
        <f t="shared" si="1"/>
        <v>1</v>
      </c>
      <c r="BL35" s="46"/>
      <c r="BM35" s="46"/>
      <c r="BN35" s="46"/>
    </row>
    <row r="36" spans="1:66" ht="12.75" hidden="1" customHeight="1">
      <c r="A36" s="22">
        <v>34</v>
      </c>
      <c r="B36" s="72" t="s">
        <v>356</v>
      </c>
      <c r="C36" s="72" t="e">
        <f t="shared" ca="1" si="0"/>
        <v>#NAME?</v>
      </c>
      <c r="D36" s="75" t="s">
        <v>274</v>
      </c>
      <c r="E36" s="22" t="s">
        <v>180</v>
      </c>
      <c r="F36" s="73" t="s">
        <v>235</v>
      </c>
      <c r="G36" s="22"/>
      <c r="H36" s="24"/>
      <c r="I36" s="24">
        <v>1</v>
      </c>
      <c r="J36" s="24" t="s">
        <v>221</v>
      </c>
      <c r="K36" s="24"/>
      <c r="L36" s="24"/>
      <c r="M36" s="24"/>
      <c r="N36" s="24"/>
      <c r="O36" s="22"/>
      <c r="P36" s="22"/>
      <c r="Q36" s="22"/>
      <c r="R36" s="74"/>
      <c r="S36" s="73"/>
      <c r="T36" s="73"/>
      <c r="U36" s="44"/>
      <c r="V36" s="72"/>
      <c r="W36" s="73" t="s">
        <v>274</v>
      </c>
      <c r="X36" s="75"/>
      <c r="Y36" s="24"/>
      <c r="Z36" s="24"/>
      <c r="AA36" s="73"/>
      <c r="AB36" s="73"/>
      <c r="AC36" s="45"/>
      <c r="AD36" s="24"/>
      <c r="AE36" s="24"/>
      <c r="AF36" s="24"/>
      <c r="AG36" s="22"/>
      <c r="AH36" s="45"/>
      <c r="AI36" s="24"/>
      <c r="AJ36" s="24"/>
      <c r="AK36" s="72"/>
      <c r="AL36" s="22"/>
      <c r="AM36" s="22"/>
      <c r="AN36" s="22"/>
      <c r="AO36" s="22"/>
      <c r="AP36" s="22"/>
      <c r="AQ36" s="22"/>
      <c r="AR36" s="22"/>
      <c r="AS36" s="22"/>
      <c r="AT36" s="84" t="s">
        <v>275</v>
      </c>
      <c r="AU36" s="24"/>
      <c r="AV36" s="65">
        <v>404189009</v>
      </c>
      <c r="AW36" s="24"/>
      <c r="AX36" s="24"/>
      <c r="AY36" s="24"/>
      <c r="AZ36" s="24"/>
      <c r="BA36" s="24"/>
      <c r="BB36" s="24"/>
      <c r="BC36" s="24"/>
      <c r="BD36" s="24"/>
      <c r="BE36" s="77" t="s">
        <v>115</v>
      </c>
      <c r="BF36" s="77" t="s">
        <v>276</v>
      </c>
      <c r="BG36" s="79" t="s">
        <v>277</v>
      </c>
      <c r="BH36" s="86" t="s">
        <v>275</v>
      </c>
      <c r="BI36" s="66">
        <v>404189009</v>
      </c>
      <c r="BJ36" s="47"/>
      <c r="BK36" s="46">
        <f t="shared" si="1"/>
        <v>1</v>
      </c>
      <c r="BL36" s="46"/>
      <c r="BM36" s="46"/>
      <c r="BN36" s="46"/>
    </row>
    <row r="37" spans="1:66" ht="12.75" hidden="1" customHeight="1">
      <c r="A37" s="22">
        <v>35</v>
      </c>
      <c r="B37" s="72" t="s">
        <v>360</v>
      </c>
      <c r="C37" s="72" t="e">
        <f t="shared" ca="1" si="0"/>
        <v>#NAME?</v>
      </c>
      <c r="D37" s="75" t="s">
        <v>278</v>
      </c>
      <c r="E37" s="22" t="s">
        <v>180</v>
      </c>
      <c r="F37" s="73" t="s">
        <v>235</v>
      </c>
      <c r="G37" s="22"/>
      <c r="H37" s="24"/>
      <c r="I37" s="24">
        <v>1</v>
      </c>
      <c r="J37" s="24" t="s">
        <v>221</v>
      </c>
      <c r="K37" s="24"/>
      <c r="L37" s="24"/>
      <c r="M37" s="24"/>
      <c r="N37" s="24"/>
      <c r="O37" s="22"/>
      <c r="P37" s="22"/>
      <c r="Q37" s="22"/>
      <c r="R37" s="74"/>
      <c r="S37" s="73"/>
      <c r="T37" s="73"/>
      <c r="U37" s="44"/>
      <c r="V37" s="72"/>
      <c r="W37" s="73" t="s">
        <v>278</v>
      </c>
      <c r="X37" s="75"/>
      <c r="Y37" s="24"/>
      <c r="Z37" s="24"/>
      <c r="AA37" s="73"/>
      <c r="AB37" s="73"/>
      <c r="AC37" s="45"/>
      <c r="AD37" s="24"/>
      <c r="AE37" s="24"/>
      <c r="AF37" s="24"/>
      <c r="AG37" s="22"/>
      <c r="AH37" s="45"/>
      <c r="AI37" s="24"/>
      <c r="AJ37" s="24"/>
      <c r="AK37" s="72"/>
      <c r="AL37" s="22"/>
      <c r="AM37" s="22"/>
      <c r="AN37" s="22"/>
      <c r="AO37" s="22"/>
      <c r="AP37" s="22"/>
      <c r="AQ37" s="22"/>
      <c r="AR37" s="22"/>
      <c r="AS37" s="22"/>
      <c r="AT37" s="94"/>
      <c r="AU37" s="94"/>
      <c r="AV37" s="94"/>
      <c r="AW37" s="24"/>
      <c r="AX37" s="24"/>
      <c r="AY37" s="24"/>
      <c r="AZ37" s="24"/>
      <c r="BA37" s="24"/>
      <c r="BB37" s="24"/>
      <c r="BC37" s="24"/>
      <c r="BD37" s="24"/>
      <c r="BE37" s="77" t="s">
        <v>115</v>
      </c>
      <c r="BF37" s="49" t="s">
        <v>279</v>
      </c>
      <c r="BG37" s="95" t="s">
        <v>280</v>
      </c>
      <c r="BH37" s="96"/>
      <c r="BI37" s="97"/>
      <c r="BJ37" s="47"/>
      <c r="BK37" s="46">
        <f t="shared" si="1"/>
        <v>1</v>
      </c>
      <c r="BL37" s="46"/>
      <c r="BM37" s="46"/>
      <c r="BN37" s="46"/>
    </row>
    <row r="38" spans="1:66" ht="12.75" hidden="1" customHeight="1">
      <c r="A38" s="22">
        <v>36</v>
      </c>
      <c r="B38" s="72" t="s">
        <v>367</v>
      </c>
      <c r="C38" s="72" t="e">
        <f t="shared" ca="1" si="0"/>
        <v>#NAME?</v>
      </c>
      <c r="D38" s="75" t="s">
        <v>281</v>
      </c>
      <c r="E38" s="22" t="s">
        <v>180</v>
      </c>
      <c r="F38" s="73" t="s">
        <v>235</v>
      </c>
      <c r="G38" s="22"/>
      <c r="H38" s="24"/>
      <c r="I38" s="24">
        <v>1</v>
      </c>
      <c r="J38" s="24" t="s">
        <v>221</v>
      </c>
      <c r="K38" s="24"/>
      <c r="L38" s="24"/>
      <c r="M38" s="24"/>
      <c r="N38" s="24"/>
      <c r="O38" s="22"/>
      <c r="P38" s="22"/>
      <c r="Q38" s="22"/>
      <c r="R38" s="74"/>
      <c r="S38" s="73"/>
      <c r="T38" s="73"/>
      <c r="U38" s="44"/>
      <c r="V38" s="72"/>
      <c r="W38" s="73" t="s">
        <v>281</v>
      </c>
      <c r="X38" s="75"/>
      <c r="Y38" s="24"/>
      <c r="Z38" s="24"/>
      <c r="AA38" s="73"/>
      <c r="AB38" s="73"/>
      <c r="AC38" s="45"/>
      <c r="AD38" s="24"/>
      <c r="AE38" s="24"/>
      <c r="AF38" s="24"/>
      <c r="AG38" s="22"/>
      <c r="AH38" s="45"/>
      <c r="AI38" s="24"/>
      <c r="AJ38" s="24"/>
      <c r="AK38" s="72"/>
      <c r="AL38" s="22"/>
      <c r="AM38" s="22"/>
      <c r="AN38" s="22"/>
      <c r="AO38" s="22"/>
      <c r="AP38" s="22"/>
      <c r="AQ38" s="22"/>
      <c r="AR38" s="22"/>
      <c r="AS38" s="22"/>
      <c r="AT38" s="65" t="s">
        <v>283</v>
      </c>
      <c r="AU38" s="24"/>
      <c r="AV38" s="67">
        <v>386661006</v>
      </c>
      <c r="AW38" s="24"/>
      <c r="AX38" s="24"/>
      <c r="AY38" s="24"/>
      <c r="AZ38" s="24"/>
      <c r="BA38" s="24"/>
      <c r="BB38" s="24"/>
      <c r="BC38" s="24"/>
      <c r="BD38" s="24"/>
      <c r="BE38" s="77" t="s">
        <v>115</v>
      </c>
      <c r="BF38" s="77" t="s">
        <v>284</v>
      </c>
      <c r="BG38" s="79" t="s">
        <v>285</v>
      </c>
      <c r="BH38" s="98" t="s">
        <v>283</v>
      </c>
      <c r="BI38" s="69">
        <v>386661006</v>
      </c>
      <c r="BJ38" s="47"/>
      <c r="BK38" s="46">
        <f t="shared" si="1"/>
        <v>1</v>
      </c>
      <c r="BL38" s="46"/>
      <c r="BM38" s="46"/>
      <c r="BN38" s="46"/>
    </row>
    <row r="39" spans="1:66" ht="12.75" hidden="1" customHeight="1">
      <c r="A39" s="22">
        <v>37</v>
      </c>
      <c r="B39" s="72" t="s">
        <v>375</v>
      </c>
      <c r="C39" s="72" t="e">
        <f t="shared" ca="1" si="0"/>
        <v>#NAME?</v>
      </c>
      <c r="D39" s="75" t="s">
        <v>286</v>
      </c>
      <c r="E39" s="22" t="s">
        <v>180</v>
      </c>
      <c r="F39" s="73" t="s">
        <v>235</v>
      </c>
      <c r="G39" s="22"/>
      <c r="H39" s="24"/>
      <c r="I39" s="24">
        <v>1</v>
      </c>
      <c r="J39" s="24" t="s">
        <v>221</v>
      </c>
      <c r="K39" s="24"/>
      <c r="L39" s="24"/>
      <c r="M39" s="24"/>
      <c r="N39" s="24"/>
      <c r="O39" s="22"/>
      <c r="P39" s="22"/>
      <c r="Q39" s="22"/>
      <c r="R39" s="74"/>
      <c r="S39" s="73"/>
      <c r="T39" s="73"/>
      <c r="U39" s="44"/>
      <c r="V39" s="72"/>
      <c r="W39" s="73" t="s">
        <v>286</v>
      </c>
      <c r="X39" s="75"/>
      <c r="Y39" s="24"/>
      <c r="Z39" s="24"/>
      <c r="AA39" s="73"/>
      <c r="AB39" s="73"/>
      <c r="AC39" s="45"/>
      <c r="AD39" s="24"/>
      <c r="AE39" s="24"/>
      <c r="AF39" s="24"/>
      <c r="AG39" s="22"/>
      <c r="AH39" s="45"/>
      <c r="AI39" s="24"/>
      <c r="AJ39" s="24"/>
      <c r="AK39" s="72"/>
      <c r="AL39" s="22"/>
      <c r="AM39" s="22"/>
      <c r="AN39" s="22"/>
      <c r="AO39" s="22"/>
      <c r="AP39" s="22"/>
      <c r="AQ39" s="22"/>
      <c r="AR39" s="22"/>
      <c r="AS39" s="22"/>
      <c r="AT39" s="84" t="s">
        <v>287</v>
      </c>
      <c r="AU39" s="24"/>
      <c r="AV39" s="67">
        <v>102614006</v>
      </c>
      <c r="AW39" s="24"/>
      <c r="AX39" s="24"/>
      <c r="AY39" s="24"/>
      <c r="AZ39" s="24"/>
      <c r="BA39" s="24"/>
      <c r="BB39" s="24"/>
      <c r="BC39" s="24"/>
      <c r="BD39" s="24"/>
      <c r="BE39" s="77" t="s">
        <v>115</v>
      </c>
      <c r="BF39" s="77" t="s">
        <v>288</v>
      </c>
      <c r="BG39" s="79" t="s">
        <v>289</v>
      </c>
      <c r="BH39" s="86" t="s">
        <v>287</v>
      </c>
      <c r="BI39" s="69">
        <v>102614006</v>
      </c>
      <c r="BJ39" s="47"/>
      <c r="BK39" s="46">
        <f t="shared" si="1"/>
        <v>1</v>
      </c>
      <c r="BL39" s="46"/>
      <c r="BM39" s="46"/>
      <c r="BN39" s="46"/>
    </row>
    <row r="40" spans="1:66" ht="12.75" hidden="1" customHeight="1">
      <c r="A40" s="22">
        <v>38</v>
      </c>
      <c r="B40" s="72" t="s">
        <v>382</v>
      </c>
      <c r="C40" s="72" t="e">
        <f t="shared" ca="1" si="0"/>
        <v>#NAME?</v>
      </c>
      <c r="D40" s="75" t="s">
        <v>291</v>
      </c>
      <c r="E40" s="22" t="s">
        <v>180</v>
      </c>
      <c r="F40" s="73" t="s">
        <v>235</v>
      </c>
      <c r="G40" s="22"/>
      <c r="H40" s="24"/>
      <c r="I40" s="24">
        <v>1</v>
      </c>
      <c r="J40" s="24" t="s">
        <v>221</v>
      </c>
      <c r="K40" s="24"/>
      <c r="L40" s="24"/>
      <c r="M40" s="24"/>
      <c r="N40" s="24"/>
      <c r="O40" s="22"/>
      <c r="P40" s="22"/>
      <c r="Q40" s="22"/>
      <c r="R40" s="74"/>
      <c r="S40" s="73"/>
      <c r="T40" s="73"/>
      <c r="U40" s="44"/>
      <c r="V40" s="72"/>
      <c r="W40" s="73" t="s">
        <v>291</v>
      </c>
      <c r="X40" s="75"/>
      <c r="Y40" s="24"/>
      <c r="Z40" s="24"/>
      <c r="AA40" s="73"/>
      <c r="AB40" s="73"/>
      <c r="AC40" s="45"/>
      <c r="AD40" s="24"/>
      <c r="AE40" s="24"/>
      <c r="AF40" s="24"/>
      <c r="AG40" s="22"/>
      <c r="AH40" s="45"/>
      <c r="AI40" s="24"/>
      <c r="AJ40" s="24"/>
      <c r="AK40" s="72"/>
      <c r="AL40" s="22"/>
      <c r="AM40" s="22"/>
      <c r="AN40" s="22"/>
      <c r="AO40" s="22"/>
      <c r="AP40" s="22"/>
      <c r="AQ40" s="22"/>
      <c r="AR40" s="22"/>
      <c r="AS40" s="22"/>
      <c r="AT40" s="24"/>
      <c r="AU40" s="24"/>
      <c r="AV40" s="65">
        <v>315642008</v>
      </c>
      <c r="AW40" s="24"/>
      <c r="AX40" s="24"/>
      <c r="AY40" s="24"/>
      <c r="AZ40" s="24"/>
      <c r="BA40" s="24"/>
      <c r="BB40" s="24"/>
      <c r="BC40" s="24"/>
      <c r="BD40" s="24"/>
      <c r="BE40" s="77" t="s">
        <v>115</v>
      </c>
      <c r="BF40" s="77" t="s">
        <v>292</v>
      </c>
      <c r="BG40" s="79" t="s">
        <v>293</v>
      </c>
      <c r="BH40" s="47"/>
      <c r="BI40" s="66">
        <v>315642008</v>
      </c>
      <c r="BJ40" s="47"/>
      <c r="BK40" s="46">
        <f t="shared" si="1"/>
        <v>1</v>
      </c>
      <c r="BL40" s="46"/>
      <c r="BM40" s="46"/>
      <c r="BN40" s="46"/>
    </row>
    <row r="41" spans="1:66" ht="12.75" hidden="1" customHeight="1">
      <c r="A41" s="22">
        <v>39</v>
      </c>
      <c r="B41" s="72" t="s">
        <v>388</v>
      </c>
      <c r="C41" s="72" t="e">
        <f t="shared" ca="1" si="0"/>
        <v>#NAME?</v>
      </c>
      <c r="D41" s="75" t="s">
        <v>294</v>
      </c>
      <c r="E41" s="22" t="s">
        <v>180</v>
      </c>
      <c r="F41" s="73" t="s">
        <v>235</v>
      </c>
      <c r="G41" s="22"/>
      <c r="H41" s="24"/>
      <c r="I41" s="24">
        <v>1</v>
      </c>
      <c r="J41" s="24" t="s">
        <v>221</v>
      </c>
      <c r="K41" s="24"/>
      <c r="L41" s="24"/>
      <c r="M41" s="24"/>
      <c r="N41" s="24"/>
      <c r="O41" s="22"/>
      <c r="P41" s="22"/>
      <c r="Q41" s="22"/>
      <c r="R41" s="74"/>
      <c r="S41" s="73"/>
      <c r="T41" s="73"/>
      <c r="U41" s="44"/>
      <c r="V41" s="72"/>
      <c r="W41" s="73" t="s">
        <v>294</v>
      </c>
      <c r="X41" s="75"/>
      <c r="Y41" s="24"/>
      <c r="Z41" s="24"/>
      <c r="AA41" s="73"/>
      <c r="AB41" s="73"/>
      <c r="AC41" s="45"/>
      <c r="AD41" s="24"/>
      <c r="AE41" s="24"/>
      <c r="AF41" s="24"/>
      <c r="AG41" s="22"/>
      <c r="AH41" s="45"/>
      <c r="AI41" s="24"/>
      <c r="AJ41" s="24"/>
      <c r="AK41" s="72"/>
      <c r="AL41" s="22"/>
      <c r="AM41" s="22"/>
      <c r="AN41" s="22"/>
      <c r="AO41" s="22"/>
      <c r="AP41" s="22"/>
      <c r="AQ41" s="22"/>
      <c r="AR41" s="22"/>
      <c r="AS41" s="22"/>
      <c r="AT41" s="24"/>
      <c r="AU41" s="24"/>
      <c r="AV41" s="67">
        <v>371380006</v>
      </c>
      <c r="AW41" s="24"/>
      <c r="AX41" s="24"/>
      <c r="AY41" s="24"/>
      <c r="AZ41" s="24"/>
      <c r="BA41" s="24"/>
      <c r="BB41" s="24"/>
      <c r="BC41" s="24"/>
      <c r="BD41" s="24"/>
      <c r="BE41" s="77" t="s">
        <v>115</v>
      </c>
      <c r="BF41" s="49" t="s">
        <v>296</v>
      </c>
      <c r="BG41" s="79" t="s">
        <v>297</v>
      </c>
      <c r="BH41" s="64"/>
      <c r="BI41" s="69">
        <v>371380006</v>
      </c>
      <c r="BJ41" s="47"/>
      <c r="BK41" s="46">
        <f t="shared" si="1"/>
        <v>1</v>
      </c>
      <c r="BL41" s="46"/>
      <c r="BM41" s="46"/>
      <c r="BN41" s="46"/>
    </row>
    <row r="42" spans="1:66" ht="12.75" hidden="1" customHeight="1">
      <c r="A42" s="22">
        <v>40</v>
      </c>
      <c r="B42" s="72" t="s">
        <v>393</v>
      </c>
      <c r="C42" s="72" t="e">
        <f t="shared" ca="1" si="0"/>
        <v>#NAME?</v>
      </c>
      <c r="D42" s="75" t="s">
        <v>298</v>
      </c>
      <c r="E42" s="22" t="s">
        <v>180</v>
      </c>
      <c r="F42" s="73" t="s">
        <v>235</v>
      </c>
      <c r="G42" s="22"/>
      <c r="H42" s="24"/>
      <c r="I42" s="24">
        <v>1</v>
      </c>
      <c r="J42" s="24" t="s">
        <v>221</v>
      </c>
      <c r="K42" s="24"/>
      <c r="L42" s="24"/>
      <c r="M42" s="24"/>
      <c r="N42" s="24"/>
      <c r="O42" s="22"/>
      <c r="P42" s="22"/>
      <c r="Q42" s="22"/>
      <c r="R42" s="74"/>
      <c r="S42" s="73"/>
      <c r="T42" s="73"/>
      <c r="U42" s="44"/>
      <c r="V42" s="72"/>
      <c r="W42" s="73" t="s">
        <v>298</v>
      </c>
      <c r="X42" s="75"/>
      <c r="Y42" s="24"/>
      <c r="Z42" s="24"/>
      <c r="AA42" s="73"/>
      <c r="AB42" s="73"/>
      <c r="AC42" s="45"/>
      <c r="AD42" s="24"/>
      <c r="AE42" s="24"/>
      <c r="AF42" s="24"/>
      <c r="AG42" s="22"/>
      <c r="AH42" s="45"/>
      <c r="AI42" s="24"/>
      <c r="AJ42" s="24"/>
      <c r="AK42" s="72"/>
      <c r="AL42" s="22"/>
      <c r="AM42" s="22"/>
      <c r="AN42" s="22"/>
      <c r="AO42" s="22"/>
      <c r="AP42" s="22"/>
      <c r="AQ42" s="22"/>
      <c r="AR42" s="22"/>
      <c r="AS42" s="22"/>
      <c r="AT42" s="67" t="s">
        <v>299</v>
      </c>
      <c r="AU42" s="24"/>
      <c r="AV42" s="65">
        <v>25064002</v>
      </c>
      <c r="AW42" s="24"/>
      <c r="AX42" s="24"/>
      <c r="AY42" s="24"/>
      <c r="AZ42" s="24"/>
      <c r="BA42" s="24"/>
      <c r="BB42" s="24"/>
      <c r="BC42" s="24"/>
      <c r="BD42" s="24"/>
      <c r="BE42" s="77" t="s">
        <v>115</v>
      </c>
      <c r="BF42" s="77" t="s">
        <v>300</v>
      </c>
      <c r="BG42" s="79" t="s">
        <v>301</v>
      </c>
      <c r="BH42" s="87" t="s">
        <v>299</v>
      </c>
      <c r="BI42" s="66">
        <v>25064002</v>
      </c>
      <c r="BJ42" s="47"/>
      <c r="BK42" s="46">
        <f t="shared" si="1"/>
        <v>1</v>
      </c>
      <c r="BL42" s="46"/>
      <c r="BM42" s="46"/>
      <c r="BN42" s="46"/>
    </row>
    <row r="43" spans="1:66" ht="12.75" hidden="1" customHeight="1">
      <c r="A43" s="22">
        <v>41</v>
      </c>
      <c r="B43" s="72" t="s">
        <v>401</v>
      </c>
      <c r="C43" s="72" t="e">
        <f t="shared" ca="1" si="0"/>
        <v>#NAME?</v>
      </c>
      <c r="D43" s="75" t="s">
        <v>302</v>
      </c>
      <c r="E43" s="22" t="s">
        <v>180</v>
      </c>
      <c r="F43" s="73" t="s">
        <v>235</v>
      </c>
      <c r="G43" s="22"/>
      <c r="H43" s="24"/>
      <c r="I43" s="24">
        <v>1</v>
      </c>
      <c r="J43" s="24" t="s">
        <v>221</v>
      </c>
      <c r="K43" s="24"/>
      <c r="L43" s="24"/>
      <c r="M43" s="24"/>
      <c r="N43" s="24"/>
      <c r="O43" s="22"/>
      <c r="P43" s="22"/>
      <c r="Q43" s="22"/>
      <c r="R43" s="74"/>
      <c r="S43" s="73"/>
      <c r="T43" s="73"/>
      <c r="U43" s="44"/>
      <c r="V43" s="72"/>
      <c r="W43" s="73" t="s">
        <v>302</v>
      </c>
      <c r="X43" s="75"/>
      <c r="Y43" s="24"/>
      <c r="Z43" s="24"/>
      <c r="AA43" s="73"/>
      <c r="AB43" s="73"/>
      <c r="AC43" s="45"/>
      <c r="AD43" s="24"/>
      <c r="AE43" s="24"/>
      <c r="AF43" s="24"/>
      <c r="AG43" s="22"/>
      <c r="AH43" s="45"/>
      <c r="AI43" s="24"/>
      <c r="AJ43" s="24"/>
      <c r="AK43" s="72"/>
      <c r="AL43" s="22"/>
      <c r="AM43" s="22"/>
      <c r="AN43" s="22"/>
      <c r="AO43" s="22"/>
      <c r="AP43" s="22"/>
      <c r="AQ43" s="22"/>
      <c r="AR43" s="22"/>
      <c r="AS43" s="22"/>
      <c r="AT43" s="67" t="s">
        <v>303</v>
      </c>
      <c r="AU43" s="24"/>
      <c r="AV43" s="65">
        <v>16331000</v>
      </c>
      <c r="AW43" s="24"/>
      <c r="AX43" s="24"/>
      <c r="AY43" s="24"/>
      <c r="AZ43" s="24"/>
      <c r="BA43" s="24"/>
      <c r="BB43" s="24"/>
      <c r="BC43" s="24"/>
      <c r="BD43" s="24"/>
      <c r="BE43" s="77" t="s">
        <v>115</v>
      </c>
      <c r="BF43" s="77" t="s">
        <v>305</v>
      </c>
      <c r="BG43" s="99" t="s">
        <v>306</v>
      </c>
      <c r="BH43" s="101" t="s">
        <v>303</v>
      </c>
      <c r="BI43" s="102">
        <v>16331000</v>
      </c>
      <c r="BJ43" s="91"/>
      <c r="BK43" s="46">
        <f t="shared" si="1"/>
        <v>1</v>
      </c>
      <c r="BL43" s="46"/>
      <c r="BM43" s="46"/>
      <c r="BN43" s="46"/>
    </row>
    <row r="44" spans="1:66" ht="12.75" hidden="1" customHeight="1">
      <c r="A44" s="22">
        <v>42</v>
      </c>
      <c r="B44" s="72" t="s">
        <v>411</v>
      </c>
      <c r="C44" s="72" t="e">
        <f t="shared" ca="1" si="0"/>
        <v>#NAME?</v>
      </c>
      <c r="D44" s="75" t="s">
        <v>307</v>
      </c>
      <c r="E44" s="22" t="s">
        <v>180</v>
      </c>
      <c r="F44" s="73" t="s">
        <v>235</v>
      </c>
      <c r="G44" s="22"/>
      <c r="H44" s="24"/>
      <c r="I44" s="24">
        <v>1</v>
      </c>
      <c r="J44" s="24" t="s">
        <v>221</v>
      </c>
      <c r="K44" s="24"/>
      <c r="L44" s="24"/>
      <c r="M44" s="24"/>
      <c r="N44" s="24"/>
      <c r="O44" s="22"/>
      <c r="P44" s="22"/>
      <c r="Q44" s="22"/>
      <c r="R44" s="74"/>
      <c r="S44" s="73"/>
      <c r="T44" s="73"/>
      <c r="U44" s="44"/>
      <c r="V44" s="72"/>
      <c r="W44" s="73" t="s">
        <v>307</v>
      </c>
      <c r="X44" s="75"/>
      <c r="Y44" s="24"/>
      <c r="Z44" s="24"/>
      <c r="AA44" s="73"/>
      <c r="AB44" s="73"/>
      <c r="AC44" s="45"/>
      <c r="AD44" s="24"/>
      <c r="AE44" s="24"/>
      <c r="AF44" s="24"/>
      <c r="AG44" s="22"/>
      <c r="AH44" s="45"/>
      <c r="AI44" s="24"/>
      <c r="AJ44" s="24"/>
      <c r="AK44" s="72"/>
      <c r="AL44" s="22"/>
      <c r="AM44" s="22"/>
      <c r="AN44" s="22"/>
      <c r="AO44" s="22"/>
      <c r="AP44" s="22"/>
      <c r="AQ44" s="22"/>
      <c r="AR44" s="22"/>
      <c r="AS44" s="22"/>
      <c r="AT44" s="84" t="s">
        <v>309</v>
      </c>
      <c r="AU44" s="24"/>
      <c r="AV44" s="67">
        <v>449917004</v>
      </c>
      <c r="AW44" s="24"/>
      <c r="AX44" s="24"/>
      <c r="AY44" s="24"/>
      <c r="AZ44" s="24"/>
      <c r="BA44" s="24"/>
      <c r="BB44" s="24"/>
      <c r="BC44" s="24"/>
      <c r="BD44" s="24"/>
      <c r="BE44" s="49" t="s">
        <v>115</v>
      </c>
      <c r="BF44" s="49" t="s">
        <v>310</v>
      </c>
      <c r="BG44" s="99" t="s">
        <v>311</v>
      </c>
      <c r="BH44" s="89" t="s">
        <v>309</v>
      </c>
      <c r="BI44" s="90">
        <v>449917004</v>
      </c>
      <c r="BJ44" s="91"/>
      <c r="BK44" s="46">
        <f t="shared" si="1"/>
        <v>1</v>
      </c>
      <c r="BL44" s="46"/>
      <c r="BM44" s="46"/>
      <c r="BN44" s="46"/>
    </row>
    <row r="45" spans="1:66" ht="12.75" hidden="1" customHeight="1">
      <c r="A45" s="22">
        <v>43</v>
      </c>
      <c r="B45" s="72" t="s">
        <v>420</v>
      </c>
      <c r="C45" s="72" t="e">
        <f t="shared" ca="1" si="0"/>
        <v>#NAME?</v>
      </c>
      <c r="D45" s="75" t="s">
        <v>312</v>
      </c>
      <c r="E45" s="22" t="s">
        <v>180</v>
      </c>
      <c r="F45" s="73" t="s">
        <v>235</v>
      </c>
      <c r="G45" s="22"/>
      <c r="H45" s="24"/>
      <c r="I45" s="24">
        <v>1</v>
      </c>
      <c r="J45" s="24" t="s">
        <v>221</v>
      </c>
      <c r="K45" s="24"/>
      <c r="L45" s="24"/>
      <c r="M45" s="24"/>
      <c r="N45" s="24"/>
      <c r="O45" s="22"/>
      <c r="P45" s="22"/>
      <c r="Q45" s="22"/>
      <c r="R45" s="74"/>
      <c r="S45" s="73"/>
      <c r="T45" s="73"/>
      <c r="U45" s="44"/>
      <c r="V45" s="72"/>
      <c r="W45" s="73" t="s">
        <v>312</v>
      </c>
      <c r="X45" s="75"/>
      <c r="Y45" s="24"/>
      <c r="Z45" s="24"/>
      <c r="AA45" s="73"/>
      <c r="AB45" s="73"/>
      <c r="AC45" s="45"/>
      <c r="AD45" s="24"/>
      <c r="AE45" s="24"/>
      <c r="AF45" s="24"/>
      <c r="AG45" s="22"/>
      <c r="AH45" s="45"/>
      <c r="AI45" s="24"/>
      <c r="AJ45" s="24"/>
      <c r="AK45" s="72"/>
      <c r="AL45" s="22"/>
      <c r="AM45" s="22"/>
      <c r="AN45" s="22"/>
      <c r="AO45" s="22"/>
      <c r="AP45" s="22"/>
      <c r="AQ45" s="22"/>
      <c r="AR45" s="22"/>
      <c r="AS45" s="22"/>
      <c r="AT45" s="84" t="s">
        <v>314</v>
      </c>
      <c r="AU45" s="24"/>
      <c r="AV45" s="67">
        <v>10601006</v>
      </c>
      <c r="AW45" s="24"/>
      <c r="AX45" s="24"/>
      <c r="AY45" s="24"/>
      <c r="AZ45" s="24"/>
      <c r="BA45" s="24"/>
      <c r="BB45" s="24"/>
      <c r="BC45" s="24"/>
      <c r="BD45" s="24"/>
      <c r="BE45" s="77" t="s">
        <v>115</v>
      </c>
      <c r="BF45" s="77" t="s">
        <v>315</v>
      </c>
      <c r="BG45" s="79" t="s">
        <v>316</v>
      </c>
      <c r="BH45" s="86" t="s">
        <v>314</v>
      </c>
      <c r="BI45" s="69">
        <v>10601006</v>
      </c>
      <c r="BJ45" s="47"/>
      <c r="BK45" s="46">
        <f t="shared" si="1"/>
        <v>1</v>
      </c>
      <c r="BL45" s="46"/>
      <c r="BM45" s="46"/>
      <c r="BN45" s="46"/>
    </row>
    <row r="46" spans="1:66" ht="12.75" hidden="1" customHeight="1">
      <c r="A46" s="22">
        <v>44</v>
      </c>
      <c r="B46" s="72" t="s">
        <v>427</v>
      </c>
      <c r="C46" s="72" t="e">
        <f t="shared" ca="1" si="0"/>
        <v>#NAME?</v>
      </c>
      <c r="D46" s="75" t="s">
        <v>317</v>
      </c>
      <c r="E46" s="22" t="s">
        <v>180</v>
      </c>
      <c r="F46" s="73" t="s">
        <v>235</v>
      </c>
      <c r="G46" s="22"/>
      <c r="H46" s="24"/>
      <c r="I46" s="24">
        <v>1</v>
      </c>
      <c r="J46" s="24" t="s">
        <v>221</v>
      </c>
      <c r="K46" s="24"/>
      <c r="L46" s="24"/>
      <c r="M46" s="24"/>
      <c r="N46" s="24"/>
      <c r="O46" s="22"/>
      <c r="P46" s="22"/>
      <c r="Q46" s="22"/>
      <c r="R46" s="74"/>
      <c r="S46" s="73"/>
      <c r="T46" s="73"/>
      <c r="U46" s="44"/>
      <c r="V46" s="72"/>
      <c r="W46" s="73" t="s">
        <v>317</v>
      </c>
      <c r="X46" s="75"/>
      <c r="Y46" s="24"/>
      <c r="Z46" s="24"/>
      <c r="AA46" s="73"/>
      <c r="AB46" s="73"/>
      <c r="AC46" s="45"/>
      <c r="AD46" s="24"/>
      <c r="AE46" s="24"/>
      <c r="AF46" s="24"/>
      <c r="AG46" s="22"/>
      <c r="AH46" s="45"/>
      <c r="AI46" s="24"/>
      <c r="AJ46" s="24"/>
      <c r="AK46" s="72"/>
      <c r="AL46" s="22"/>
      <c r="AM46" s="22"/>
      <c r="AN46" s="22"/>
      <c r="AO46" s="22"/>
      <c r="AP46" s="22"/>
      <c r="AQ46" s="22"/>
      <c r="AR46" s="22"/>
      <c r="AS46" s="22"/>
      <c r="AT46" s="24"/>
      <c r="AU46" s="24"/>
      <c r="AV46" s="24"/>
      <c r="AW46" s="24"/>
      <c r="AX46" s="24"/>
      <c r="AY46" s="24"/>
      <c r="AZ46" s="24"/>
      <c r="BA46" s="24"/>
      <c r="BB46" s="24"/>
      <c r="BC46" s="24"/>
      <c r="BD46" s="24"/>
      <c r="BE46" s="77" t="s">
        <v>115</v>
      </c>
      <c r="BF46" s="49" t="s">
        <v>318</v>
      </c>
      <c r="BG46" s="81" t="s">
        <v>319</v>
      </c>
      <c r="BH46" s="64"/>
      <c r="BI46" s="64"/>
      <c r="BJ46" s="47"/>
      <c r="BK46" s="46">
        <f t="shared" si="1"/>
        <v>1</v>
      </c>
      <c r="BL46" s="46"/>
      <c r="BM46" s="46"/>
      <c r="BN46" s="46"/>
    </row>
    <row r="47" spans="1:66" ht="25.5" hidden="1" customHeight="1">
      <c r="A47" s="22">
        <v>45</v>
      </c>
      <c r="B47" s="43" t="s">
        <v>434</v>
      </c>
      <c r="C47" s="43" t="e">
        <f t="shared" ca="1" si="0"/>
        <v>#NAME?</v>
      </c>
      <c r="D47" s="43" t="s">
        <v>320</v>
      </c>
      <c r="E47" s="22" t="s">
        <v>180</v>
      </c>
      <c r="F47" s="73" t="s">
        <v>235</v>
      </c>
      <c r="G47" s="22"/>
      <c r="H47" s="24"/>
      <c r="I47" s="24">
        <v>1</v>
      </c>
      <c r="J47" s="24" t="s">
        <v>221</v>
      </c>
      <c r="K47" s="24"/>
      <c r="L47" s="24"/>
      <c r="M47" s="24"/>
      <c r="N47" s="24"/>
      <c r="O47" s="22"/>
      <c r="P47" s="22"/>
      <c r="Q47" s="22"/>
      <c r="R47" s="74"/>
      <c r="S47" s="73"/>
      <c r="T47" s="73"/>
      <c r="U47" s="44"/>
      <c r="V47" s="43"/>
      <c r="W47" s="43" t="s">
        <v>320</v>
      </c>
      <c r="X47" s="43"/>
      <c r="Y47" s="24"/>
      <c r="Z47" s="24"/>
      <c r="AA47" s="73"/>
      <c r="AB47" s="73"/>
      <c r="AC47" s="45"/>
      <c r="AD47" s="24"/>
      <c r="AE47" s="24"/>
      <c r="AF47" s="24"/>
      <c r="AG47" s="22"/>
      <c r="AH47" s="45"/>
      <c r="AI47" s="24"/>
      <c r="AJ47" s="24"/>
      <c r="AK47" s="43"/>
      <c r="AL47" s="22"/>
      <c r="AM47" s="22"/>
      <c r="AN47" s="22"/>
      <c r="AO47" s="22"/>
      <c r="AP47" s="22"/>
      <c r="AQ47" s="22"/>
      <c r="AR47" s="22"/>
      <c r="AS47" s="22"/>
      <c r="AT47" s="67" t="s">
        <v>322</v>
      </c>
      <c r="AU47" s="24"/>
      <c r="AV47" s="65">
        <v>279039007</v>
      </c>
      <c r="AW47" s="24"/>
      <c r="AX47" s="24"/>
      <c r="AY47" s="24"/>
      <c r="AZ47" s="24"/>
      <c r="BA47" s="24"/>
      <c r="BB47" s="24"/>
      <c r="BC47" s="24"/>
      <c r="BD47" s="24"/>
      <c r="BE47" s="77" t="s">
        <v>115</v>
      </c>
      <c r="BF47" s="49" t="s">
        <v>323</v>
      </c>
      <c r="BG47" s="82" t="s">
        <v>324</v>
      </c>
      <c r="BH47" s="87" t="s">
        <v>322</v>
      </c>
      <c r="BI47" s="66">
        <v>279039007</v>
      </c>
      <c r="BJ47" s="47"/>
      <c r="BK47" s="46">
        <f t="shared" si="1"/>
        <v>1</v>
      </c>
      <c r="BL47" s="46"/>
      <c r="BM47" s="46"/>
      <c r="BN47" s="46"/>
    </row>
    <row r="48" spans="1:66" ht="25.5" hidden="1" customHeight="1">
      <c r="A48" s="22">
        <v>46</v>
      </c>
      <c r="B48" s="43" t="s">
        <v>438</v>
      </c>
      <c r="C48" s="43" t="e">
        <f t="shared" ca="1" si="0"/>
        <v>#NAME?</v>
      </c>
      <c r="D48" s="43" t="s">
        <v>325</v>
      </c>
      <c r="E48" s="22" t="s">
        <v>180</v>
      </c>
      <c r="F48" s="73" t="s">
        <v>235</v>
      </c>
      <c r="G48" s="22"/>
      <c r="H48" s="24"/>
      <c r="I48" s="24">
        <v>1</v>
      </c>
      <c r="J48" s="24" t="s">
        <v>221</v>
      </c>
      <c r="K48" s="24"/>
      <c r="L48" s="24"/>
      <c r="M48" s="24"/>
      <c r="N48" s="24"/>
      <c r="O48" s="22"/>
      <c r="P48" s="22"/>
      <c r="Q48" s="22"/>
      <c r="R48" s="74"/>
      <c r="S48" s="73"/>
      <c r="T48" s="73"/>
      <c r="U48" s="44"/>
      <c r="V48" s="43"/>
      <c r="W48" s="43" t="s">
        <v>325</v>
      </c>
      <c r="X48" s="43"/>
      <c r="Y48" s="24"/>
      <c r="Z48" s="24"/>
      <c r="AA48" s="73"/>
      <c r="AB48" s="73"/>
      <c r="AC48" s="45"/>
      <c r="AD48" s="24"/>
      <c r="AE48" s="24"/>
      <c r="AF48" s="24"/>
      <c r="AG48" s="22"/>
      <c r="AH48" s="45"/>
      <c r="AI48" s="24"/>
      <c r="AJ48" s="24"/>
      <c r="AK48" s="43"/>
      <c r="AL48" s="22"/>
      <c r="AM48" s="22"/>
      <c r="AN48" s="22"/>
      <c r="AO48" s="22"/>
      <c r="AP48" s="22"/>
      <c r="AQ48" s="22"/>
      <c r="AR48" s="22"/>
      <c r="AS48" s="22"/>
      <c r="AT48" s="84" t="s">
        <v>326</v>
      </c>
      <c r="AU48" s="24"/>
      <c r="AV48" s="67">
        <v>30473006</v>
      </c>
      <c r="AW48" s="24"/>
      <c r="AX48" s="24"/>
      <c r="AY48" s="24"/>
      <c r="AZ48" s="24"/>
      <c r="BA48" s="24"/>
      <c r="BB48" s="24"/>
      <c r="BC48" s="24"/>
      <c r="BD48" s="24"/>
      <c r="BE48" s="77" t="s">
        <v>115</v>
      </c>
      <c r="BF48" s="49" t="s">
        <v>328</v>
      </c>
      <c r="BG48" s="82" t="s">
        <v>329</v>
      </c>
      <c r="BH48" s="86" t="s">
        <v>326</v>
      </c>
      <c r="BI48" s="69">
        <v>30473006</v>
      </c>
      <c r="BJ48" s="47"/>
      <c r="BK48" s="46">
        <f t="shared" si="1"/>
        <v>1</v>
      </c>
      <c r="BL48" s="46"/>
      <c r="BM48" s="46"/>
      <c r="BN48" s="46"/>
    </row>
    <row r="49" spans="1:66" ht="12.75" hidden="1" customHeight="1">
      <c r="A49" s="22">
        <v>47</v>
      </c>
      <c r="B49" s="72" t="s">
        <v>440</v>
      </c>
      <c r="C49" s="72" t="e">
        <f t="shared" ca="1" si="0"/>
        <v>#NAME?</v>
      </c>
      <c r="D49" s="75" t="s">
        <v>330</v>
      </c>
      <c r="E49" s="22" t="s">
        <v>180</v>
      </c>
      <c r="F49" s="73" t="s">
        <v>235</v>
      </c>
      <c r="G49" s="22"/>
      <c r="H49" s="24"/>
      <c r="I49" s="24">
        <v>1</v>
      </c>
      <c r="J49" s="24" t="s">
        <v>221</v>
      </c>
      <c r="K49" s="24"/>
      <c r="L49" s="24"/>
      <c r="M49" s="24"/>
      <c r="N49" s="24"/>
      <c r="O49" s="22"/>
      <c r="P49" s="22"/>
      <c r="Q49" s="22"/>
      <c r="R49" s="74"/>
      <c r="S49" s="73"/>
      <c r="T49" s="73"/>
      <c r="U49" s="44"/>
      <c r="V49" s="72"/>
      <c r="W49" s="73" t="s">
        <v>330</v>
      </c>
      <c r="X49" s="75"/>
      <c r="Y49" s="24"/>
      <c r="Z49" s="24"/>
      <c r="AA49" s="73"/>
      <c r="AB49" s="73"/>
      <c r="AC49" s="45"/>
      <c r="AD49" s="24"/>
      <c r="AE49" s="24"/>
      <c r="AF49" s="24"/>
      <c r="AG49" s="22"/>
      <c r="AH49" s="45"/>
      <c r="AI49" s="24"/>
      <c r="AJ49" s="24"/>
      <c r="AK49" s="72"/>
      <c r="AL49" s="22"/>
      <c r="AM49" s="22"/>
      <c r="AN49" s="22"/>
      <c r="AO49" s="22"/>
      <c r="AP49" s="22"/>
      <c r="AQ49" s="22"/>
      <c r="AR49" s="22"/>
      <c r="AS49" s="22"/>
      <c r="AT49" s="84" t="s">
        <v>331</v>
      </c>
      <c r="AU49" s="24"/>
      <c r="AV49" s="65">
        <v>2919008</v>
      </c>
      <c r="AW49" s="24"/>
      <c r="AX49" s="24"/>
      <c r="AY49" s="24"/>
      <c r="AZ49" s="24"/>
      <c r="BA49" s="24"/>
      <c r="BB49" s="24"/>
      <c r="BC49" s="24"/>
      <c r="BD49" s="24"/>
      <c r="BE49" s="77" t="s">
        <v>115</v>
      </c>
      <c r="BF49" s="77" t="s">
        <v>333</v>
      </c>
      <c r="BG49" s="79" t="s">
        <v>334</v>
      </c>
      <c r="BH49" s="86" t="s">
        <v>331</v>
      </c>
      <c r="BI49" s="66">
        <v>2919008</v>
      </c>
      <c r="BJ49" s="47"/>
      <c r="BK49" s="46">
        <f t="shared" si="1"/>
        <v>1</v>
      </c>
      <c r="BL49" s="46"/>
      <c r="BM49" s="46"/>
      <c r="BN49" s="46"/>
    </row>
    <row r="50" spans="1:66" ht="12.75" hidden="1" customHeight="1">
      <c r="A50" s="22">
        <v>48</v>
      </c>
      <c r="B50" s="72" t="s">
        <v>444</v>
      </c>
      <c r="C50" s="72" t="e">
        <f t="shared" ca="1" si="0"/>
        <v>#NAME?</v>
      </c>
      <c r="D50" s="75" t="s">
        <v>335</v>
      </c>
      <c r="E50" s="22" t="s">
        <v>180</v>
      </c>
      <c r="F50" s="73" t="s">
        <v>235</v>
      </c>
      <c r="G50" s="22"/>
      <c r="H50" s="24"/>
      <c r="I50" s="24">
        <v>1</v>
      </c>
      <c r="J50" s="24" t="s">
        <v>221</v>
      </c>
      <c r="K50" s="24"/>
      <c r="L50" s="24"/>
      <c r="M50" s="24"/>
      <c r="N50" s="24"/>
      <c r="O50" s="22"/>
      <c r="P50" s="22"/>
      <c r="Q50" s="22"/>
      <c r="R50" s="74"/>
      <c r="S50" s="73"/>
      <c r="T50" s="73"/>
      <c r="U50" s="44"/>
      <c r="V50" s="72"/>
      <c r="W50" s="73" t="s">
        <v>335</v>
      </c>
      <c r="X50" s="75"/>
      <c r="Y50" s="24"/>
      <c r="Z50" s="24"/>
      <c r="AA50" s="73"/>
      <c r="AB50" s="73"/>
      <c r="AC50" s="45"/>
      <c r="AD50" s="24"/>
      <c r="AE50" s="24"/>
      <c r="AF50" s="24"/>
      <c r="AG50" s="22"/>
      <c r="AH50" s="45"/>
      <c r="AI50" s="24"/>
      <c r="AJ50" s="24"/>
      <c r="AK50" s="72"/>
      <c r="AL50" s="22"/>
      <c r="AM50" s="22"/>
      <c r="AN50" s="22"/>
      <c r="AO50" s="22"/>
      <c r="AP50" s="22"/>
      <c r="AQ50" s="22"/>
      <c r="AR50" s="22"/>
      <c r="AS50" s="22"/>
      <c r="AT50" s="84" t="s">
        <v>336</v>
      </c>
      <c r="AU50" s="24"/>
      <c r="AV50" s="67">
        <v>289433006</v>
      </c>
      <c r="AW50" s="24"/>
      <c r="AX50" s="24"/>
      <c r="AY50" s="24"/>
      <c r="AZ50" s="24"/>
      <c r="BA50" s="24"/>
      <c r="BB50" s="24"/>
      <c r="BC50" s="24"/>
      <c r="BD50" s="24"/>
      <c r="BE50" s="77" t="s">
        <v>115</v>
      </c>
      <c r="BF50" s="77" t="s">
        <v>338</v>
      </c>
      <c r="BG50" s="79" t="s">
        <v>339</v>
      </c>
      <c r="BH50" s="86" t="s">
        <v>336</v>
      </c>
      <c r="BI50" s="69">
        <v>289433006</v>
      </c>
      <c r="BJ50" s="47"/>
      <c r="BK50" s="46">
        <f t="shared" si="1"/>
        <v>1</v>
      </c>
      <c r="BL50" s="46"/>
      <c r="BM50" s="46"/>
      <c r="BN50" s="46"/>
    </row>
    <row r="51" spans="1:66" ht="12.75" hidden="1" customHeight="1">
      <c r="A51" s="22">
        <v>49</v>
      </c>
      <c r="B51" s="72" t="s">
        <v>449</v>
      </c>
      <c r="C51" s="72" t="e">
        <f t="shared" ca="1" si="0"/>
        <v>#NAME?</v>
      </c>
      <c r="D51" s="75" t="s">
        <v>340</v>
      </c>
      <c r="E51" s="22" t="s">
        <v>180</v>
      </c>
      <c r="F51" s="73" t="s">
        <v>235</v>
      </c>
      <c r="G51" s="22"/>
      <c r="H51" s="24"/>
      <c r="I51" s="24">
        <v>1</v>
      </c>
      <c r="J51" s="24" t="s">
        <v>221</v>
      </c>
      <c r="K51" s="24"/>
      <c r="L51" s="24"/>
      <c r="M51" s="24"/>
      <c r="N51" s="24"/>
      <c r="O51" s="22"/>
      <c r="P51" s="22"/>
      <c r="Q51" s="22"/>
      <c r="R51" s="74"/>
      <c r="S51" s="73"/>
      <c r="T51" s="73"/>
      <c r="U51" s="44"/>
      <c r="V51" s="72"/>
      <c r="W51" s="73" t="s">
        <v>340</v>
      </c>
      <c r="X51" s="75"/>
      <c r="Y51" s="24"/>
      <c r="Z51" s="24"/>
      <c r="AA51" s="73"/>
      <c r="AB51" s="73"/>
      <c r="AC51" s="45"/>
      <c r="AD51" s="24"/>
      <c r="AE51" s="24"/>
      <c r="AF51" s="24"/>
      <c r="AG51" s="22"/>
      <c r="AH51" s="45"/>
      <c r="AI51" s="24"/>
      <c r="AJ51" s="24"/>
      <c r="AK51" s="72"/>
      <c r="AL51" s="22"/>
      <c r="AM51" s="22"/>
      <c r="AN51" s="22"/>
      <c r="AO51" s="22"/>
      <c r="AP51" s="22"/>
      <c r="AQ51" s="22"/>
      <c r="AR51" s="22"/>
      <c r="AS51" s="22"/>
      <c r="AT51" s="84" t="s">
        <v>342</v>
      </c>
      <c r="AU51" s="24"/>
      <c r="AV51" s="65">
        <v>267038008</v>
      </c>
      <c r="AW51" s="24"/>
      <c r="AX51" s="24"/>
      <c r="AY51" s="24"/>
      <c r="AZ51" s="24"/>
      <c r="BA51" s="24"/>
      <c r="BB51" s="24"/>
      <c r="BC51" s="24"/>
      <c r="BD51" s="24"/>
      <c r="BE51" s="77" t="s">
        <v>115</v>
      </c>
      <c r="BF51" s="77" t="s">
        <v>343</v>
      </c>
      <c r="BG51" s="79" t="s">
        <v>344</v>
      </c>
      <c r="BH51" s="86" t="s">
        <v>342</v>
      </c>
      <c r="BI51" s="66">
        <v>267038008</v>
      </c>
      <c r="BJ51" s="47"/>
      <c r="BK51" s="46">
        <f t="shared" si="1"/>
        <v>1</v>
      </c>
      <c r="BL51" s="46"/>
      <c r="BM51" s="46"/>
      <c r="BN51" s="46"/>
    </row>
    <row r="52" spans="1:66" ht="12.75" hidden="1" customHeight="1">
      <c r="A52" s="22">
        <v>50</v>
      </c>
      <c r="B52" s="72" t="s">
        <v>456</v>
      </c>
      <c r="C52" s="72" t="e">
        <f t="shared" ca="1" si="0"/>
        <v>#NAME?</v>
      </c>
      <c r="D52" s="75" t="s">
        <v>345</v>
      </c>
      <c r="E52" s="22" t="s">
        <v>180</v>
      </c>
      <c r="F52" s="73" t="s">
        <v>235</v>
      </c>
      <c r="G52" s="22"/>
      <c r="H52" s="24"/>
      <c r="I52" s="24">
        <v>1</v>
      </c>
      <c r="J52" s="24" t="s">
        <v>221</v>
      </c>
      <c r="K52" s="24"/>
      <c r="L52" s="24"/>
      <c r="M52" s="24"/>
      <c r="N52" s="24"/>
      <c r="O52" s="22"/>
      <c r="P52" s="22"/>
      <c r="Q52" s="22"/>
      <c r="R52" s="74"/>
      <c r="S52" s="73"/>
      <c r="T52" s="73"/>
      <c r="U52" s="44"/>
      <c r="V52" s="72"/>
      <c r="W52" s="73" t="s">
        <v>345</v>
      </c>
      <c r="X52" s="75"/>
      <c r="Y52" s="24"/>
      <c r="Z52" s="24"/>
      <c r="AA52" s="73"/>
      <c r="AB52" s="73"/>
      <c r="AC52" s="45"/>
      <c r="AD52" s="24"/>
      <c r="AE52" s="24"/>
      <c r="AF52" s="24"/>
      <c r="AG52" s="22"/>
      <c r="AH52" s="45"/>
      <c r="AI52" s="24"/>
      <c r="AJ52" s="24"/>
      <c r="AK52" s="72"/>
      <c r="AL52" s="22"/>
      <c r="AM52" s="22"/>
      <c r="AN52" s="22"/>
      <c r="AO52" s="22"/>
      <c r="AP52" s="22"/>
      <c r="AQ52" s="22"/>
      <c r="AR52" s="22"/>
      <c r="AS52" s="22"/>
      <c r="AT52" s="84" t="s">
        <v>346</v>
      </c>
      <c r="AU52" s="24"/>
      <c r="AV52" s="67">
        <v>131148009</v>
      </c>
      <c r="AW52" s="24"/>
      <c r="AX52" s="24"/>
      <c r="AY52" s="24"/>
      <c r="AZ52" s="24"/>
      <c r="BA52" s="24"/>
      <c r="BB52" s="24"/>
      <c r="BC52" s="24"/>
      <c r="BD52" s="24"/>
      <c r="BE52" s="77" t="s">
        <v>115</v>
      </c>
      <c r="BF52" s="49" t="s">
        <v>348</v>
      </c>
      <c r="BG52" s="82" t="s">
        <v>349</v>
      </c>
      <c r="BH52" s="86" t="s">
        <v>346</v>
      </c>
      <c r="BI52" s="69">
        <v>131148009</v>
      </c>
      <c r="BJ52" s="47"/>
      <c r="BK52" s="46">
        <f t="shared" si="1"/>
        <v>1</v>
      </c>
      <c r="BL52" s="46"/>
      <c r="BM52" s="46"/>
      <c r="BN52" s="46"/>
    </row>
    <row r="53" spans="1:66" ht="12.75" hidden="1" customHeight="1">
      <c r="A53" s="22">
        <v>51</v>
      </c>
      <c r="B53" s="72" t="s">
        <v>461</v>
      </c>
      <c r="C53" s="72" t="e">
        <f t="shared" ca="1" si="0"/>
        <v>#NAME?</v>
      </c>
      <c r="D53" s="75" t="s">
        <v>350</v>
      </c>
      <c r="E53" s="22" t="s">
        <v>180</v>
      </c>
      <c r="F53" s="73" t="s">
        <v>235</v>
      </c>
      <c r="G53" s="22"/>
      <c r="H53" s="24"/>
      <c r="I53" s="24">
        <v>1</v>
      </c>
      <c r="J53" s="24" t="s">
        <v>221</v>
      </c>
      <c r="K53" s="24"/>
      <c r="L53" s="24"/>
      <c r="M53" s="24"/>
      <c r="N53" s="24"/>
      <c r="O53" s="22"/>
      <c r="P53" s="22"/>
      <c r="Q53" s="22"/>
      <c r="R53" s="74"/>
      <c r="S53" s="73"/>
      <c r="T53" s="73"/>
      <c r="U53" s="44"/>
      <c r="V53" s="72"/>
      <c r="W53" s="73" t="s">
        <v>350</v>
      </c>
      <c r="X53" s="75"/>
      <c r="Y53" s="24"/>
      <c r="Z53" s="24"/>
      <c r="AA53" s="73"/>
      <c r="AB53" s="73"/>
      <c r="AC53" s="45"/>
      <c r="AD53" s="24"/>
      <c r="AE53" s="24"/>
      <c r="AF53" s="24"/>
      <c r="AG53" s="22"/>
      <c r="AH53" s="45"/>
      <c r="AI53" s="24"/>
      <c r="AJ53" s="24"/>
      <c r="AK53" s="72"/>
      <c r="AL53" s="22"/>
      <c r="AM53" s="22"/>
      <c r="AN53" s="22"/>
      <c r="AO53" s="22"/>
      <c r="AP53" s="22"/>
      <c r="AQ53" s="22"/>
      <c r="AR53" s="22"/>
      <c r="AS53" s="22"/>
      <c r="AT53" s="67" t="s">
        <v>351</v>
      </c>
      <c r="AU53" s="24"/>
      <c r="AV53" s="65">
        <v>22253000</v>
      </c>
      <c r="AW53" s="24"/>
      <c r="AX53" s="24"/>
      <c r="AY53" s="24"/>
      <c r="AZ53" s="24"/>
      <c r="BA53" s="24"/>
      <c r="BB53" s="24"/>
      <c r="BC53" s="24"/>
      <c r="BD53" s="24"/>
      <c r="BE53" s="77" t="s">
        <v>115</v>
      </c>
      <c r="BF53" s="49" t="s">
        <v>352</v>
      </c>
      <c r="BG53" s="82" t="s">
        <v>353</v>
      </c>
      <c r="BH53" s="87" t="s">
        <v>351</v>
      </c>
      <c r="BI53" s="66">
        <v>22253000</v>
      </c>
      <c r="BJ53" s="47"/>
      <c r="BK53" s="46">
        <f t="shared" si="1"/>
        <v>1</v>
      </c>
      <c r="BL53" s="46"/>
      <c r="BM53" s="46"/>
      <c r="BN53" s="46"/>
    </row>
    <row r="54" spans="1:66" ht="12.75" hidden="1" customHeight="1">
      <c r="A54" s="22">
        <v>52</v>
      </c>
      <c r="B54" s="72" t="s">
        <v>468</v>
      </c>
      <c r="C54" s="72" t="e">
        <f t="shared" ca="1" si="0"/>
        <v>#NAME?</v>
      </c>
      <c r="D54" s="75" t="s">
        <v>354</v>
      </c>
      <c r="E54" s="22" t="s">
        <v>180</v>
      </c>
      <c r="F54" s="73" t="s">
        <v>235</v>
      </c>
      <c r="G54" s="22"/>
      <c r="H54" s="24"/>
      <c r="I54" s="24">
        <v>1</v>
      </c>
      <c r="J54" s="24" t="s">
        <v>221</v>
      </c>
      <c r="K54" s="24"/>
      <c r="L54" s="24"/>
      <c r="M54" s="24"/>
      <c r="N54" s="24"/>
      <c r="O54" s="22"/>
      <c r="P54" s="22"/>
      <c r="Q54" s="22"/>
      <c r="R54" s="74"/>
      <c r="S54" s="73"/>
      <c r="T54" s="73"/>
      <c r="U54" s="44"/>
      <c r="V54" s="72"/>
      <c r="W54" s="73" t="s">
        <v>354</v>
      </c>
      <c r="X54" s="75"/>
      <c r="Y54" s="24"/>
      <c r="Z54" s="24"/>
      <c r="AA54" s="73"/>
      <c r="AB54" s="73"/>
      <c r="AC54" s="45"/>
      <c r="AD54" s="24"/>
      <c r="AE54" s="24"/>
      <c r="AF54" s="24"/>
      <c r="AG54" s="22"/>
      <c r="AH54" s="45"/>
      <c r="AI54" s="24"/>
      <c r="AJ54" s="24"/>
      <c r="AK54" s="72"/>
      <c r="AL54" s="22"/>
      <c r="AM54" s="22"/>
      <c r="AN54" s="22"/>
      <c r="AO54" s="22"/>
      <c r="AP54" s="22"/>
      <c r="AQ54" s="22"/>
      <c r="AR54" s="22"/>
      <c r="AS54" s="22"/>
      <c r="AT54" s="107" t="s">
        <v>355</v>
      </c>
      <c r="AU54" s="108"/>
      <c r="AV54" s="84">
        <v>74732009</v>
      </c>
      <c r="AW54" s="24"/>
      <c r="AX54" s="24"/>
      <c r="AY54" s="24"/>
      <c r="AZ54" s="24"/>
      <c r="BA54" s="24"/>
      <c r="BB54" s="24"/>
      <c r="BC54" s="24"/>
      <c r="BD54" s="24"/>
      <c r="BE54" s="77" t="s">
        <v>115</v>
      </c>
      <c r="BF54" s="77" t="s">
        <v>357</v>
      </c>
      <c r="BG54" s="79" t="s">
        <v>358</v>
      </c>
      <c r="BH54" s="109" t="s">
        <v>355</v>
      </c>
      <c r="BI54" s="110">
        <v>74732009</v>
      </c>
      <c r="BJ54" s="47"/>
      <c r="BK54" s="46">
        <f t="shared" si="1"/>
        <v>1</v>
      </c>
      <c r="BL54" s="46"/>
      <c r="BM54" s="46"/>
      <c r="BN54" s="46"/>
    </row>
    <row r="55" spans="1:66" ht="12.75" hidden="1" customHeight="1">
      <c r="A55" s="22">
        <v>53</v>
      </c>
      <c r="B55" s="72" t="s">
        <v>479</v>
      </c>
      <c r="C55" s="72" t="e">
        <f t="shared" ca="1" si="0"/>
        <v>#NAME?</v>
      </c>
      <c r="D55" s="75" t="s">
        <v>359</v>
      </c>
      <c r="E55" s="22" t="s">
        <v>180</v>
      </c>
      <c r="F55" s="73" t="s">
        <v>235</v>
      </c>
      <c r="G55" s="22"/>
      <c r="H55" s="24"/>
      <c r="I55" s="24">
        <v>1</v>
      </c>
      <c r="J55" s="24" t="s">
        <v>221</v>
      </c>
      <c r="K55" s="24"/>
      <c r="L55" s="24"/>
      <c r="M55" s="24"/>
      <c r="N55" s="24"/>
      <c r="O55" s="22"/>
      <c r="P55" s="22"/>
      <c r="Q55" s="22"/>
      <c r="R55" s="74"/>
      <c r="S55" s="73"/>
      <c r="T55" s="73"/>
      <c r="U55" s="44"/>
      <c r="V55" s="72"/>
      <c r="W55" s="73" t="s">
        <v>359</v>
      </c>
      <c r="X55" s="75"/>
      <c r="Y55" s="24"/>
      <c r="Z55" s="24"/>
      <c r="AA55" s="73"/>
      <c r="AB55" s="73"/>
      <c r="AC55" s="45"/>
      <c r="AD55" s="24"/>
      <c r="AE55" s="24"/>
      <c r="AF55" s="24"/>
      <c r="AG55" s="22"/>
      <c r="AH55" s="45"/>
      <c r="AI55" s="24"/>
      <c r="AJ55" s="24"/>
      <c r="AK55" s="72"/>
      <c r="AL55" s="22"/>
      <c r="AM55" s="22"/>
      <c r="AN55" s="22"/>
      <c r="AO55" s="22"/>
      <c r="AP55" s="22"/>
      <c r="AQ55" s="22"/>
      <c r="AR55" s="22"/>
      <c r="AS55" s="22"/>
      <c r="AT55" s="84" t="s">
        <v>361</v>
      </c>
      <c r="AU55" s="24"/>
      <c r="AV55" s="67">
        <v>95320005</v>
      </c>
      <c r="AW55" s="24"/>
      <c r="AX55" s="24"/>
      <c r="AY55" s="24"/>
      <c r="AZ55" s="24"/>
      <c r="BA55" s="24"/>
      <c r="BB55" s="24"/>
      <c r="BC55" s="24"/>
      <c r="BD55" s="24"/>
      <c r="BE55" s="77" t="s">
        <v>115</v>
      </c>
      <c r="BF55" s="49" t="s">
        <v>362</v>
      </c>
      <c r="BG55" s="82" t="s">
        <v>363</v>
      </c>
      <c r="BH55" s="86" t="s">
        <v>361</v>
      </c>
      <c r="BI55" s="69">
        <v>95320005</v>
      </c>
      <c r="BJ55" s="47"/>
      <c r="BK55" s="46">
        <f t="shared" si="1"/>
        <v>1</v>
      </c>
      <c r="BL55" s="46"/>
      <c r="BM55" s="46"/>
      <c r="BN55" s="46"/>
    </row>
    <row r="56" spans="1:66" ht="12.75" hidden="1" customHeight="1">
      <c r="A56" s="22">
        <v>54</v>
      </c>
      <c r="B56" s="72" t="s">
        <v>488</v>
      </c>
      <c r="C56" s="72" t="e">
        <f t="shared" ca="1" si="0"/>
        <v>#NAME?</v>
      </c>
      <c r="D56" s="75" t="s">
        <v>364</v>
      </c>
      <c r="E56" s="22" t="s">
        <v>180</v>
      </c>
      <c r="F56" s="73" t="s">
        <v>235</v>
      </c>
      <c r="G56" s="22"/>
      <c r="H56" s="24"/>
      <c r="I56" s="24">
        <v>1</v>
      </c>
      <c r="J56" s="24" t="s">
        <v>221</v>
      </c>
      <c r="K56" s="24"/>
      <c r="L56" s="24"/>
      <c r="M56" s="24"/>
      <c r="N56" s="24"/>
      <c r="O56" s="22"/>
      <c r="P56" s="22"/>
      <c r="Q56" s="22"/>
      <c r="R56" s="74"/>
      <c r="S56" s="73"/>
      <c r="T56" s="73"/>
      <c r="U56" s="44"/>
      <c r="V56" s="72"/>
      <c r="W56" s="73" t="s">
        <v>364</v>
      </c>
      <c r="X56" s="75"/>
      <c r="Y56" s="24"/>
      <c r="Z56" s="24"/>
      <c r="AA56" s="73"/>
      <c r="AB56" s="73"/>
      <c r="AC56" s="45"/>
      <c r="AD56" s="24"/>
      <c r="AE56" s="24"/>
      <c r="AF56" s="24"/>
      <c r="AG56" s="22"/>
      <c r="AH56" s="45"/>
      <c r="AI56" s="24"/>
      <c r="AJ56" s="24"/>
      <c r="AK56" s="72"/>
      <c r="AL56" s="22"/>
      <c r="AM56" s="22"/>
      <c r="AN56" s="22"/>
      <c r="AO56" s="22"/>
      <c r="AP56" s="22"/>
      <c r="AQ56" s="22"/>
      <c r="AR56" s="22"/>
      <c r="AS56" s="22"/>
      <c r="AT56" s="67" t="s">
        <v>365</v>
      </c>
      <c r="AU56" s="24"/>
      <c r="AV56" s="65">
        <v>248004009</v>
      </c>
      <c r="AW56" s="24"/>
      <c r="AX56" s="24"/>
      <c r="AY56" s="24"/>
      <c r="AZ56" s="24"/>
      <c r="BA56" s="24"/>
      <c r="BB56" s="24"/>
      <c r="BC56" s="24"/>
      <c r="BD56" s="24"/>
      <c r="BE56" s="77" t="s">
        <v>115</v>
      </c>
      <c r="BF56" s="49" t="s">
        <v>366</v>
      </c>
      <c r="BG56" s="82" t="s">
        <v>368</v>
      </c>
      <c r="BH56" s="87" t="s">
        <v>365</v>
      </c>
      <c r="BI56" s="66">
        <v>248004009</v>
      </c>
      <c r="BJ56" s="47"/>
      <c r="BK56" s="46">
        <f t="shared" si="1"/>
        <v>1</v>
      </c>
      <c r="BL56" s="46"/>
      <c r="BM56" s="46"/>
      <c r="BN56" s="46"/>
    </row>
    <row r="57" spans="1:66" ht="12.75" hidden="1" customHeight="1">
      <c r="A57" s="22">
        <v>55</v>
      </c>
      <c r="B57" s="43" t="s">
        <v>491</v>
      </c>
      <c r="C57" s="43" t="e">
        <f t="shared" ca="1" si="0"/>
        <v>#NAME?</v>
      </c>
      <c r="D57" s="43" t="s">
        <v>369</v>
      </c>
      <c r="E57" s="22" t="s">
        <v>180</v>
      </c>
      <c r="F57" s="73" t="s">
        <v>235</v>
      </c>
      <c r="G57" s="22"/>
      <c r="H57" s="24"/>
      <c r="I57" s="24">
        <v>1</v>
      </c>
      <c r="J57" s="24" t="s">
        <v>221</v>
      </c>
      <c r="K57" s="24"/>
      <c r="L57" s="24"/>
      <c r="M57" s="24"/>
      <c r="N57" s="24"/>
      <c r="O57" s="22"/>
      <c r="P57" s="22"/>
      <c r="Q57" s="22"/>
      <c r="R57" s="74"/>
      <c r="S57" s="73"/>
      <c r="T57" s="73"/>
      <c r="U57" s="44"/>
      <c r="V57" s="43"/>
      <c r="W57" s="43" t="s">
        <v>369</v>
      </c>
      <c r="X57" s="43"/>
      <c r="Y57" s="24"/>
      <c r="Z57" s="24"/>
      <c r="AA57" s="73"/>
      <c r="AB57" s="73"/>
      <c r="AC57" s="45"/>
      <c r="AD57" s="24"/>
      <c r="AE57" s="24"/>
      <c r="AF57" s="24"/>
      <c r="AG57" s="22"/>
      <c r="AH57" s="45"/>
      <c r="AI57" s="24"/>
      <c r="AJ57" s="24"/>
      <c r="AK57" s="43"/>
      <c r="AL57" s="22"/>
      <c r="AM57" s="22"/>
      <c r="AN57" s="22"/>
      <c r="AO57" s="22"/>
      <c r="AP57" s="22"/>
      <c r="AQ57" s="22"/>
      <c r="AR57" s="22"/>
      <c r="AS57" s="22"/>
      <c r="AT57" s="67" t="s">
        <v>370</v>
      </c>
      <c r="AU57" s="24"/>
      <c r="AV57" s="65">
        <v>49650001</v>
      </c>
      <c r="AW57" s="24"/>
      <c r="AX57" s="24"/>
      <c r="AY57" s="24"/>
      <c r="AZ57" s="24"/>
      <c r="BA57" s="24"/>
      <c r="BB57" s="24"/>
      <c r="BC57" s="24"/>
      <c r="BD57" s="24"/>
      <c r="BE57" s="77" t="s">
        <v>115</v>
      </c>
      <c r="BF57" s="77" t="s">
        <v>371</v>
      </c>
      <c r="BG57" s="79" t="s">
        <v>372</v>
      </c>
      <c r="BH57" s="87" t="s">
        <v>370</v>
      </c>
      <c r="BI57" s="66">
        <v>49650001</v>
      </c>
      <c r="BJ57" s="47"/>
      <c r="BK57" s="46">
        <f t="shared" si="1"/>
        <v>1</v>
      </c>
      <c r="BL57" s="46"/>
      <c r="BM57" s="46"/>
      <c r="BN57" s="46"/>
    </row>
    <row r="58" spans="1:66" ht="12.75" hidden="1" customHeight="1">
      <c r="A58" s="22">
        <v>56</v>
      </c>
      <c r="B58" s="72" t="s">
        <v>499</v>
      </c>
      <c r="C58" s="72" t="e">
        <f t="shared" ca="1" si="0"/>
        <v>#NAME?</v>
      </c>
      <c r="D58" s="75" t="s">
        <v>373</v>
      </c>
      <c r="E58" s="22" t="s">
        <v>180</v>
      </c>
      <c r="F58" s="73" t="s">
        <v>235</v>
      </c>
      <c r="G58" s="22"/>
      <c r="H58" s="24"/>
      <c r="I58" s="24">
        <v>1</v>
      </c>
      <c r="J58" s="24" t="s">
        <v>221</v>
      </c>
      <c r="K58" s="24"/>
      <c r="L58" s="24"/>
      <c r="M58" s="24"/>
      <c r="N58" s="24"/>
      <c r="O58" s="22"/>
      <c r="P58" s="22"/>
      <c r="Q58" s="22"/>
      <c r="R58" s="74"/>
      <c r="S58" s="73"/>
      <c r="T58" s="73"/>
      <c r="U58" s="44"/>
      <c r="V58" s="72"/>
      <c r="W58" s="73" t="s">
        <v>373</v>
      </c>
      <c r="X58" s="75"/>
      <c r="Y58" s="24"/>
      <c r="Z58" s="24"/>
      <c r="AA58" s="73"/>
      <c r="AB58" s="73"/>
      <c r="AC58" s="45"/>
      <c r="AD58" s="24"/>
      <c r="AE58" s="24"/>
      <c r="AF58" s="24"/>
      <c r="AG58" s="22"/>
      <c r="AH58" s="45"/>
      <c r="AI58" s="24"/>
      <c r="AJ58" s="24"/>
      <c r="AK58" s="72"/>
      <c r="AL58" s="22"/>
      <c r="AM58" s="22"/>
      <c r="AN58" s="22"/>
      <c r="AO58" s="22"/>
      <c r="AP58" s="22"/>
      <c r="AQ58" s="22"/>
      <c r="AR58" s="22"/>
      <c r="AS58" s="22"/>
      <c r="AT58" s="65" t="s">
        <v>374</v>
      </c>
      <c r="AU58" s="24"/>
      <c r="AV58" s="67">
        <v>279333002</v>
      </c>
      <c r="AW58" s="24"/>
      <c r="AX58" s="24"/>
      <c r="AY58" s="24"/>
      <c r="AZ58" s="24"/>
      <c r="BA58" s="24"/>
      <c r="BB58" s="24"/>
      <c r="BC58" s="24"/>
      <c r="BD58" s="24"/>
      <c r="BE58" s="77" t="s">
        <v>115</v>
      </c>
      <c r="BF58" s="77" t="s">
        <v>376</v>
      </c>
      <c r="BG58" s="79" t="s">
        <v>377</v>
      </c>
      <c r="BH58" s="98" t="s">
        <v>374</v>
      </c>
      <c r="BI58" s="69">
        <v>279333002</v>
      </c>
      <c r="BJ58" s="47"/>
      <c r="BK58" s="46">
        <f t="shared" si="1"/>
        <v>1</v>
      </c>
      <c r="BL58" s="46"/>
      <c r="BM58" s="46"/>
      <c r="BN58" s="46"/>
    </row>
    <row r="59" spans="1:66" ht="12.75" hidden="1" customHeight="1">
      <c r="A59" s="22">
        <v>57</v>
      </c>
      <c r="B59" s="72" t="s">
        <v>502</v>
      </c>
      <c r="C59" s="72" t="e">
        <f t="shared" ca="1" si="0"/>
        <v>#NAME?</v>
      </c>
      <c r="D59" s="75" t="s">
        <v>378</v>
      </c>
      <c r="E59" s="22" t="s">
        <v>180</v>
      </c>
      <c r="F59" s="73" t="s">
        <v>235</v>
      </c>
      <c r="G59" s="22"/>
      <c r="H59" s="24"/>
      <c r="I59" s="24">
        <v>1</v>
      </c>
      <c r="J59" s="24" t="s">
        <v>221</v>
      </c>
      <c r="K59" s="24"/>
      <c r="L59" s="24"/>
      <c r="M59" s="24"/>
      <c r="N59" s="24"/>
      <c r="O59" s="22"/>
      <c r="P59" s="22"/>
      <c r="Q59" s="22"/>
      <c r="R59" s="74"/>
      <c r="S59" s="73"/>
      <c r="T59" s="73"/>
      <c r="U59" s="44"/>
      <c r="V59" s="72"/>
      <c r="W59" s="73" t="s">
        <v>378</v>
      </c>
      <c r="X59" s="75"/>
      <c r="Y59" s="24"/>
      <c r="Z59" s="24"/>
      <c r="AA59" s="73"/>
      <c r="AB59" s="73"/>
      <c r="AC59" s="45"/>
      <c r="AD59" s="24"/>
      <c r="AE59" s="24"/>
      <c r="AF59" s="24"/>
      <c r="AG59" s="22"/>
      <c r="AH59" s="45"/>
      <c r="AI59" s="24"/>
      <c r="AJ59" s="24"/>
      <c r="AK59" s="72"/>
      <c r="AL59" s="22"/>
      <c r="AM59" s="22"/>
      <c r="AN59" s="22"/>
      <c r="AO59" s="22"/>
      <c r="AP59" s="22"/>
      <c r="AQ59" s="22"/>
      <c r="AR59" s="22"/>
      <c r="AS59" s="22"/>
      <c r="AT59" s="107" t="s">
        <v>336</v>
      </c>
      <c r="AU59" s="24"/>
      <c r="AV59" s="65">
        <v>276369006</v>
      </c>
      <c r="AW59" s="24"/>
      <c r="AX59" s="24"/>
      <c r="AY59" s="24"/>
      <c r="AZ59" s="24"/>
      <c r="BA59" s="24"/>
      <c r="BB59" s="24"/>
      <c r="BC59" s="24"/>
      <c r="BD59" s="24"/>
      <c r="BE59" s="77" t="s">
        <v>115</v>
      </c>
      <c r="BF59" s="49" t="s">
        <v>379</v>
      </c>
      <c r="BG59" s="79" t="s">
        <v>380</v>
      </c>
      <c r="BH59" s="109" t="s">
        <v>336</v>
      </c>
      <c r="BI59" s="66">
        <v>276369006</v>
      </c>
      <c r="BJ59" s="47"/>
      <c r="BK59" s="46">
        <f t="shared" si="1"/>
        <v>1</v>
      </c>
      <c r="BL59" s="46"/>
      <c r="BM59" s="46"/>
      <c r="BN59" s="46"/>
    </row>
    <row r="60" spans="1:66" ht="12.75" hidden="1" customHeight="1">
      <c r="A60" s="22">
        <v>58</v>
      </c>
      <c r="B60" s="72" t="s">
        <v>508</v>
      </c>
      <c r="C60" s="72" t="e">
        <f t="shared" ca="1" si="0"/>
        <v>#NAME?</v>
      </c>
      <c r="D60" s="75" t="s">
        <v>381</v>
      </c>
      <c r="E60" s="22" t="s">
        <v>180</v>
      </c>
      <c r="F60" s="73" t="s">
        <v>235</v>
      </c>
      <c r="G60" s="22"/>
      <c r="H60" s="24"/>
      <c r="I60" s="24">
        <v>1</v>
      </c>
      <c r="J60" s="24" t="s">
        <v>221</v>
      </c>
      <c r="K60" s="24"/>
      <c r="L60" s="24"/>
      <c r="M60" s="24"/>
      <c r="N60" s="24"/>
      <c r="O60" s="22"/>
      <c r="P60" s="22"/>
      <c r="Q60" s="22"/>
      <c r="R60" s="74"/>
      <c r="S60" s="73"/>
      <c r="T60" s="73"/>
      <c r="U60" s="44"/>
      <c r="V60" s="72"/>
      <c r="W60" s="73" t="s">
        <v>381</v>
      </c>
      <c r="X60" s="75"/>
      <c r="Y60" s="24"/>
      <c r="Z60" s="24"/>
      <c r="AA60" s="73"/>
      <c r="AB60" s="73"/>
      <c r="AC60" s="45"/>
      <c r="AD60" s="24"/>
      <c r="AE60" s="24"/>
      <c r="AF60" s="24"/>
      <c r="AG60" s="22"/>
      <c r="AH60" s="45"/>
      <c r="AI60" s="24"/>
      <c r="AJ60" s="24"/>
      <c r="AK60" s="72"/>
      <c r="AL60" s="22"/>
      <c r="AM60" s="22"/>
      <c r="AN60" s="22"/>
      <c r="AO60" s="22"/>
      <c r="AP60" s="22"/>
      <c r="AQ60" s="22"/>
      <c r="AR60" s="22"/>
      <c r="AS60" s="22"/>
      <c r="AT60" s="67" t="s">
        <v>383</v>
      </c>
      <c r="AU60" s="24"/>
      <c r="AV60" s="65">
        <v>267036007</v>
      </c>
      <c r="AW60" s="24"/>
      <c r="AX60" s="24"/>
      <c r="AY60" s="24"/>
      <c r="AZ60" s="24"/>
      <c r="BA60" s="24"/>
      <c r="BB60" s="24"/>
      <c r="BC60" s="24"/>
      <c r="BD60" s="24"/>
      <c r="BE60" s="77" t="s">
        <v>115</v>
      </c>
      <c r="BF60" s="77" t="s">
        <v>384</v>
      </c>
      <c r="BG60" s="82" t="s">
        <v>385</v>
      </c>
      <c r="BH60" s="87" t="s">
        <v>383</v>
      </c>
      <c r="BI60" s="66">
        <v>267036007</v>
      </c>
      <c r="BJ60" s="47"/>
      <c r="BK60" s="46">
        <f t="shared" si="1"/>
        <v>1</v>
      </c>
      <c r="BL60" s="46"/>
      <c r="BM60" s="46"/>
      <c r="BN60" s="46"/>
    </row>
    <row r="61" spans="1:66" ht="12.75" hidden="1" customHeight="1">
      <c r="A61" s="22">
        <v>59</v>
      </c>
      <c r="B61" s="72" t="s">
        <v>512</v>
      </c>
      <c r="C61" s="72" t="e">
        <f t="shared" ca="1" si="0"/>
        <v>#NAME?</v>
      </c>
      <c r="D61" s="75" t="s">
        <v>386</v>
      </c>
      <c r="E61" s="22" t="s">
        <v>180</v>
      </c>
      <c r="F61" s="73" t="s">
        <v>235</v>
      </c>
      <c r="G61" s="22"/>
      <c r="H61" s="24"/>
      <c r="I61" s="24">
        <v>1</v>
      </c>
      <c r="J61" s="24" t="s">
        <v>221</v>
      </c>
      <c r="K61" s="24"/>
      <c r="L61" s="24"/>
      <c r="M61" s="24"/>
      <c r="N61" s="24"/>
      <c r="O61" s="22"/>
      <c r="P61" s="22"/>
      <c r="Q61" s="22"/>
      <c r="R61" s="74"/>
      <c r="S61" s="73"/>
      <c r="T61" s="73"/>
      <c r="U61" s="44"/>
      <c r="V61" s="72"/>
      <c r="W61" s="73" t="s">
        <v>386</v>
      </c>
      <c r="X61" s="75"/>
      <c r="Y61" s="24"/>
      <c r="Z61" s="24"/>
      <c r="AA61" s="73"/>
      <c r="AB61" s="73"/>
      <c r="AC61" s="45"/>
      <c r="AD61" s="24"/>
      <c r="AE61" s="24"/>
      <c r="AF61" s="24"/>
      <c r="AG61" s="22"/>
      <c r="AH61" s="45"/>
      <c r="AI61" s="24"/>
      <c r="AJ61" s="24"/>
      <c r="AK61" s="72"/>
      <c r="AL61" s="22"/>
      <c r="AM61" s="22"/>
      <c r="AN61" s="22"/>
      <c r="AO61" s="22"/>
      <c r="AP61" s="22"/>
      <c r="AQ61" s="22"/>
      <c r="AR61" s="22"/>
      <c r="AS61" s="22"/>
      <c r="AT61" s="84" t="s">
        <v>387</v>
      </c>
      <c r="AU61" s="24"/>
      <c r="AV61" s="67">
        <v>224960004</v>
      </c>
      <c r="AW61" s="24"/>
      <c r="AX61" s="24"/>
      <c r="AY61" s="24"/>
      <c r="AZ61" s="24"/>
      <c r="BA61" s="24"/>
      <c r="BB61" s="24"/>
      <c r="BC61" s="24"/>
      <c r="BD61" s="24"/>
      <c r="BE61" s="77" t="s">
        <v>115</v>
      </c>
      <c r="BF61" s="77" t="s">
        <v>389</v>
      </c>
      <c r="BG61" s="79" t="s">
        <v>390</v>
      </c>
      <c r="BH61" s="86" t="s">
        <v>387</v>
      </c>
      <c r="BI61" s="69">
        <v>224960004</v>
      </c>
      <c r="BJ61" s="47"/>
      <c r="BK61" s="46">
        <f t="shared" si="1"/>
        <v>1</v>
      </c>
      <c r="BL61" s="46"/>
      <c r="BM61" s="46"/>
      <c r="BN61" s="46"/>
    </row>
    <row r="62" spans="1:66" ht="12.75" hidden="1" customHeight="1">
      <c r="A62" s="22">
        <v>60</v>
      </c>
      <c r="B62" s="72" t="s">
        <v>520</v>
      </c>
      <c r="C62" s="72" t="e">
        <f t="shared" ca="1" si="0"/>
        <v>#NAME?</v>
      </c>
      <c r="D62" s="75" t="s">
        <v>391</v>
      </c>
      <c r="E62" s="22" t="s">
        <v>180</v>
      </c>
      <c r="F62" s="73" t="s">
        <v>235</v>
      </c>
      <c r="G62" s="22"/>
      <c r="H62" s="24"/>
      <c r="I62" s="24">
        <v>1</v>
      </c>
      <c r="J62" s="24" t="s">
        <v>221</v>
      </c>
      <c r="K62" s="24"/>
      <c r="L62" s="24"/>
      <c r="M62" s="24"/>
      <c r="N62" s="24"/>
      <c r="O62" s="22"/>
      <c r="P62" s="22"/>
      <c r="Q62" s="22"/>
      <c r="R62" s="74"/>
      <c r="S62" s="73"/>
      <c r="T62" s="73"/>
      <c r="U62" s="44"/>
      <c r="V62" s="72"/>
      <c r="W62" s="73" t="s">
        <v>391</v>
      </c>
      <c r="X62" s="75"/>
      <c r="Y62" s="24"/>
      <c r="Z62" s="24"/>
      <c r="AA62" s="73"/>
      <c r="AB62" s="73"/>
      <c r="AC62" s="45"/>
      <c r="AD62" s="24"/>
      <c r="AE62" s="24"/>
      <c r="AF62" s="24"/>
      <c r="AG62" s="22"/>
      <c r="AH62" s="45"/>
      <c r="AI62" s="24"/>
      <c r="AJ62" s="24"/>
      <c r="AK62" s="72"/>
      <c r="AL62" s="22"/>
      <c r="AM62" s="22"/>
      <c r="AN62" s="22"/>
      <c r="AO62" s="22"/>
      <c r="AP62" s="22"/>
      <c r="AQ62" s="22"/>
      <c r="AR62" s="22"/>
      <c r="AS62" s="22"/>
      <c r="AT62" s="67" t="s">
        <v>392</v>
      </c>
      <c r="AU62" s="24"/>
      <c r="AV62" s="65">
        <v>417746004</v>
      </c>
      <c r="AW62" s="24"/>
      <c r="AX62" s="24"/>
      <c r="AY62" s="24"/>
      <c r="AZ62" s="24"/>
      <c r="BA62" s="24"/>
      <c r="BB62" s="24"/>
      <c r="BC62" s="24"/>
      <c r="BD62" s="24"/>
      <c r="BE62" s="77" t="s">
        <v>115</v>
      </c>
      <c r="BF62" s="77" t="s">
        <v>394</v>
      </c>
      <c r="BG62" s="79" t="s">
        <v>395</v>
      </c>
      <c r="BH62" s="87" t="s">
        <v>392</v>
      </c>
      <c r="BI62" s="66">
        <v>417746004</v>
      </c>
      <c r="BJ62" s="47"/>
      <c r="BK62" s="46">
        <f t="shared" si="1"/>
        <v>1</v>
      </c>
      <c r="BL62" s="46"/>
      <c r="BM62" s="46"/>
      <c r="BN62" s="46"/>
    </row>
    <row r="63" spans="1:66" ht="12.75" hidden="1" customHeight="1">
      <c r="A63" s="22">
        <v>61</v>
      </c>
      <c r="B63" s="72" t="s">
        <v>523</v>
      </c>
      <c r="C63" s="72" t="e">
        <f t="shared" ca="1" si="0"/>
        <v>#NAME?</v>
      </c>
      <c r="D63" s="75" t="s">
        <v>396</v>
      </c>
      <c r="E63" s="22" t="s">
        <v>180</v>
      </c>
      <c r="F63" s="73" t="s">
        <v>235</v>
      </c>
      <c r="G63" s="22"/>
      <c r="H63" s="24"/>
      <c r="I63" s="24">
        <v>1</v>
      </c>
      <c r="J63" s="24" t="s">
        <v>221</v>
      </c>
      <c r="K63" s="24"/>
      <c r="L63" s="24"/>
      <c r="M63" s="24"/>
      <c r="N63" s="24"/>
      <c r="O63" s="22"/>
      <c r="P63" s="22"/>
      <c r="Q63" s="22"/>
      <c r="R63" s="74"/>
      <c r="S63" s="73"/>
      <c r="T63" s="73"/>
      <c r="U63" s="44"/>
      <c r="V63" s="72"/>
      <c r="W63" s="73" t="s">
        <v>396</v>
      </c>
      <c r="X63" s="75"/>
      <c r="Y63" s="24"/>
      <c r="Z63" s="24"/>
      <c r="AA63" s="73"/>
      <c r="AB63" s="73"/>
      <c r="AC63" s="45"/>
      <c r="AD63" s="24"/>
      <c r="AE63" s="24"/>
      <c r="AF63" s="24"/>
      <c r="AG63" s="22"/>
      <c r="AH63" s="45"/>
      <c r="AI63" s="24"/>
      <c r="AJ63" s="24"/>
      <c r="AK63" s="72"/>
      <c r="AL63" s="22"/>
      <c r="AM63" s="22"/>
      <c r="AN63" s="22"/>
      <c r="AO63" s="22"/>
      <c r="AP63" s="22"/>
      <c r="AQ63" s="22"/>
      <c r="AR63" s="22"/>
      <c r="AS63" s="22"/>
      <c r="AT63" s="107" t="s">
        <v>397</v>
      </c>
      <c r="AU63" s="24"/>
      <c r="AV63" s="67">
        <v>289530006</v>
      </c>
      <c r="AW63" s="24"/>
      <c r="AX63" s="24"/>
      <c r="AY63" s="24"/>
      <c r="AZ63" s="24"/>
      <c r="BA63" s="24"/>
      <c r="BB63" s="24"/>
      <c r="BC63" s="24"/>
      <c r="BD63" s="24"/>
      <c r="BE63" s="77" t="s">
        <v>115</v>
      </c>
      <c r="BF63" s="77" t="s">
        <v>398</v>
      </c>
      <c r="BG63" s="79" t="s">
        <v>399</v>
      </c>
      <c r="BH63" s="109" t="s">
        <v>397</v>
      </c>
      <c r="BI63" s="69">
        <v>289530006</v>
      </c>
      <c r="BJ63" s="47"/>
      <c r="BK63" s="46">
        <f t="shared" si="1"/>
        <v>1</v>
      </c>
      <c r="BL63" s="46"/>
      <c r="BM63" s="46"/>
      <c r="BN63" s="46"/>
    </row>
    <row r="64" spans="1:66" ht="12.75" hidden="1" customHeight="1">
      <c r="A64" s="22">
        <v>62</v>
      </c>
      <c r="B64" s="72" t="s">
        <v>531</v>
      </c>
      <c r="C64" s="72" t="e">
        <f t="shared" ca="1" si="0"/>
        <v>#NAME?</v>
      </c>
      <c r="D64" s="75" t="s">
        <v>400</v>
      </c>
      <c r="E64" s="22" t="s">
        <v>180</v>
      </c>
      <c r="F64" s="73" t="s">
        <v>235</v>
      </c>
      <c r="G64" s="22"/>
      <c r="H64" s="24"/>
      <c r="I64" s="24">
        <v>1</v>
      </c>
      <c r="J64" s="24" t="s">
        <v>221</v>
      </c>
      <c r="K64" s="24"/>
      <c r="L64" s="24"/>
      <c r="M64" s="24"/>
      <c r="N64" s="24"/>
      <c r="O64" s="22"/>
      <c r="P64" s="22"/>
      <c r="Q64" s="22"/>
      <c r="R64" s="74"/>
      <c r="S64" s="73"/>
      <c r="T64" s="73"/>
      <c r="U64" s="44"/>
      <c r="V64" s="72"/>
      <c r="W64" s="73" t="s">
        <v>400</v>
      </c>
      <c r="X64" s="75"/>
      <c r="Y64" s="24"/>
      <c r="Z64" s="24"/>
      <c r="AA64" s="73"/>
      <c r="AB64" s="73"/>
      <c r="AC64" s="45"/>
      <c r="AD64" s="24"/>
      <c r="AE64" s="24"/>
      <c r="AF64" s="24"/>
      <c r="AG64" s="22"/>
      <c r="AH64" s="45"/>
      <c r="AI64" s="24"/>
      <c r="AJ64" s="24"/>
      <c r="AK64" s="72"/>
      <c r="AL64" s="22"/>
      <c r="AM64" s="22"/>
      <c r="AN64" s="22"/>
      <c r="AO64" s="22"/>
      <c r="AP64" s="22"/>
      <c r="AQ64" s="22"/>
      <c r="AR64" s="22"/>
      <c r="AS64" s="22"/>
      <c r="AT64" s="84" t="s">
        <v>402</v>
      </c>
      <c r="AU64" s="24"/>
      <c r="AV64" s="67">
        <v>63102001</v>
      </c>
      <c r="AW64" s="24"/>
      <c r="AX64" s="24"/>
      <c r="AY64" s="24"/>
      <c r="AZ64" s="24"/>
      <c r="BA64" s="24"/>
      <c r="BB64" s="24"/>
      <c r="BC64" s="24"/>
      <c r="BD64" s="24"/>
      <c r="BE64" s="77" t="s">
        <v>115</v>
      </c>
      <c r="BF64" s="77" t="s">
        <v>403</v>
      </c>
      <c r="BG64" s="79" t="s">
        <v>404</v>
      </c>
      <c r="BH64" s="86" t="s">
        <v>402</v>
      </c>
      <c r="BI64" s="69">
        <v>63102001</v>
      </c>
      <c r="BJ64" s="47"/>
      <c r="BK64" s="46">
        <f t="shared" si="1"/>
        <v>1</v>
      </c>
      <c r="BL64" s="46"/>
      <c r="BM64" s="46"/>
      <c r="BN64" s="46"/>
    </row>
    <row r="65" spans="1:66" ht="12.75" hidden="1" customHeight="1">
      <c r="A65" s="22">
        <v>63</v>
      </c>
      <c r="B65" s="72" t="s">
        <v>535</v>
      </c>
      <c r="C65" s="72" t="e">
        <f t="shared" ca="1" si="0"/>
        <v>#NAME?</v>
      </c>
      <c r="D65" s="75" t="s">
        <v>405</v>
      </c>
      <c r="E65" s="22" t="s">
        <v>180</v>
      </c>
      <c r="F65" s="73" t="s">
        <v>235</v>
      </c>
      <c r="G65" s="22"/>
      <c r="H65" s="24"/>
      <c r="I65" s="24">
        <v>1</v>
      </c>
      <c r="J65" s="24" t="s">
        <v>221</v>
      </c>
      <c r="K65" s="24"/>
      <c r="L65" s="24"/>
      <c r="M65" s="24"/>
      <c r="N65" s="24"/>
      <c r="O65" s="22"/>
      <c r="P65" s="22"/>
      <c r="Q65" s="22"/>
      <c r="R65" s="74"/>
      <c r="S65" s="73"/>
      <c r="T65" s="73"/>
      <c r="U65" s="44"/>
      <c r="V65" s="72"/>
      <c r="W65" s="73" t="s">
        <v>405</v>
      </c>
      <c r="X65" s="75"/>
      <c r="Y65" s="24"/>
      <c r="Z65" s="24"/>
      <c r="AA65" s="73"/>
      <c r="AB65" s="73"/>
      <c r="AC65" s="45"/>
      <c r="AD65" s="24"/>
      <c r="AE65" s="24"/>
      <c r="AF65" s="24"/>
      <c r="AG65" s="22"/>
      <c r="AH65" s="45"/>
      <c r="AI65" s="24"/>
      <c r="AJ65" s="24"/>
      <c r="AK65" s="72"/>
      <c r="AL65" s="22"/>
      <c r="AM65" s="22"/>
      <c r="AN65" s="22"/>
      <c r="AO65" s="22"/>
      <c r="AP65" s="22"/>
      <c r="AQ65" s="22"/>
      <c r="AR65" s="22"/>
      <c r="AS65" s="22"/>
      <c r="AT65" s="24"/>
      <c r="AU65" s="24"/>
      <c r="AV65" s="122"/>
      <c r="AW65" s="24"/>
      <c r="AX65" s="24"/>
      <c r="AY65" s="24"/>
      <c r="AZ65" s="24"/>
      <c r="BA65" s="24"/>
      <c r="BB65" s="24"/>
      <c r="BC65" s="24"/>
      <c r="BD65" s="24"/>
      <c r="BE65" s="77" t="s">
        <v>115</v>
      </c>
      <c r="BF65" s="77" t="s">
        <v>406</v>
      </c>
      <c r="BG65" s="79" t="s">
        <v>407</v>
      </c>
      <c r="BH65" s="47"/>
      <c r="BI65" s="123"/>
      <c r="BJ65" s="64"/>
      <c r="BK65" s="46">
        <f t="shared" si="1"/>
        <v>1</v>
      </c>
      <c r="BL65" s="46"/>
      <c r="BM65" s="46"/>
      <c r="BN65" s="46"/>
    </row>
    <row r="66" spans="1:66" ht="12.75" hidden="1" customHeight="1">
      <c r="A66" s="22">
        <v>64</v>
      </c>
      <c r="B66" s="72" t="s">
        <v>408</v>
      </c>
      <c r="C66" s="72" t="str">
        <f t="shared" si="0"/>
        <v>Specific complaint(s) - Specify</v>
      </c>
      <c r="D66" s="73" t="s">
        <v>408</v>
      </c>
      <c r="E66" s="22" t="s">
        <v>96</v>
      </c>
      <c r="F66" s="73" t="s">
        <v>235</v>
      </c>
      <c r="G66" s="22"/>
      <c r="H66" s="24"/>
      <c r="I66" s="24">
        <v>1</v>
      </c>
      <c r="J66" s="24" t="s">
        <v>221</v>
      </c>
      <c r="K66" s="24"/>
      <c r="L66" s="24"/>
      <c r="M66" s="24"/>
      <c r="N66" s="24"/>
      <c r="O66" s="22"/>
      <c r="P66" s="22"/>
      <c r="Q66" s="22"/>
      <c r="R66" s="74" t="s">
        <v>409</v>
      </c>
      <c r="S66" s="73" t="s">
        <v>410</v>
      </c>
      <c r="T66" s="73" t="s">
        <v>412</v>
      </c>
      <c r="U66" s="73" t="s">
        <v>111</v>
      </c>
      <c r="V66" s="73"/>
      <c r="W66" s="73"/>
      <c r="X66" s="75"/>
      <c r="Y66" s="24"/>
      <c r="Z66" s="24"/>
      <c r="AA66" s="73" t="s">
        <v>208</v>
      </c>
      <c r="AB66" s="73" t="s">
        <v>208</v>
      </c>
      <c r="AC66" s="45"/>
      <c r="AD66" s="24"/>
      <c r="AE66" s="24"/>
      <c r="AF66" s="24"/>
      <c r="AG66" s="22"/>
      <c r="AH66" s="45"/>
      <c r="AI66" s="24"/>
      <c r="AJ66" s="24"/>
      <c r="AK66" s="72"/>
      <c r="AL66" s="22"/>
      <c r="AM66" s="22"/>
      <c r="AN66" s="22"/>
      <c r="AO66" s="22"/>
      <c r="AP66" s="22"/>
      <c r="AQ66" s="22"/>
      <c r="AR66" s="22"/>
      <c r="AS66" s="22"/>
      <c r="AT66" s="24"/>
      <c r="AU66" s="24"/>
      <c r="AV66" s="24"/>
      <c r="AW66" s="65" t="s">
        <v>413</v>
      </c>
      <c r="AX66" s="65"/>
      <c r="AY66" s="65"/>
      <c r="AZ66" s="65"/>
      <c r="BA66" s="65"/>
      <c r="BB66" s="65"/>
      <c r="BC66" s="65"/>
      <c r="BD66" s="65"/>
      <c r="BE66" s="49" t="s">
        <v>414</v>
      </c>
      <c r="BF66" s="49" t="s">
        <v>415</v>
      </c>
      <c r="BG66" s="82" t="s">
        <v>416</v>
      </c>
      <c r="BH66" s="47"/>
      <c r="BI66" s="125"/>
      <c r="BJ66" s="66" t="s">
        <v>413</v>
      </c>
      <c r="BK66" s="46">
        <f t="shared" si="1"/>
        <v>1</v>
      </c>
      <c r="BL66" s="46"/>
      <c r="BM66" s="46"/>
      <c r="BN66" s="46"/>
    </row>
    <row r="67" spans="1:66" ht="12.75" hidden="1" customHeight="1">
      <c r="A67" s="22">
        <v>65</v>
      </c>
      <c r="B67" s="43" t="s">
        <v>417</v>
      </c>
      <c r="C67" s="43" t="str">
        <f t="shared" si="0"/>
        <v>Danger signs</v>
      </c>
      <c r="D67" s="43" t="s">
        <v>417</v>
      </c>
      <c r="E67" s="22" t="s">
        <v>96</v>
      </c>
      <c r="F67" s="22"/>
      <c r="G67" s="22"/>
      <c r="H67" s="24"/>
      <c r="I67" s="24">
        <v>1</v>
      </c>
      <c r="J67" s="24" t="s">
        <v>221</v>
      </c>
      <c r="K67" s="24"/>
      <c r="L67" s="24"/>
      <c r="M67" s="24"/>
      <c r="N67" s="24"/>
      <c r="O67" s="22"/>
      <c r="P67" s="22"/>
      <c r="Q67" s="22"/>
      <c r="R67" s="42" t="s">
        <v>417</v>
      </c>
      <c r="S67" s="43" t="s">
        <v>418</v>
      </c>
      <c r="T67" s="43" t="s">
        <v>419</v>
      </c>
      <c r="U67" s="43" t="s">
        <v>238</v>
      </c>
      <c r="V67" s="72"/>
      <c r="W67" s="73"/>
      <c r="X67" s="75"/>
      <c r="Y67" s="24"/>
      <c r="Z67" s="24"/>
      <c r="AA67" s="43" t="s">
        <v>113</v>
      </c>
      <c r="AB67" s="73" t="s">
        <v>208</v>
      </c>
      <c r="AC67" s="45"/>
      <c r="AD67" s="24"/>
      <c r="AE67" s="24"/>
      <c r="AF67" s="24"/>
      <c r="AG67" s="22"/>
      <c r="AH67" s="45"/>
      <c r="AI67" s="24"/>
      <c r="AJ67" s="24"/>
      <c r="AK67" s="43"/>
      <c r="AL67" s="22"/>
      <c r="AM67" s="22"/>
      <c r="AN67" s="22"/>
      <c r="AO67" s="22"/>
      <c r="AP67" s="22"/>
      <c r="AQ67" s="22"/>
      <c r="AR67" s="22"/>
      <c r="AS67" s="22"/>
      <c r="AT67" s="24"/>
      <c r="AU67" s="24"/>
      <c r="AV67" s="65">
        <v>406523004</v>
      </c>
      <c r="AW67" s="67"/>
      <c r="AX67" s="67"/>
      <c r="AY67" s="67"/>
      <c r="AZ67" s="67"/>
      <c r="BA67" s="67"/>
      <c r="BB67" s="67"/>
      <c r="BC67" s="67"/>
      <c r="BD67" s="67"/>
      <c r="BE67" s="49" t="s">
        <v>115</v>
      </c>
      <c r="BF67" s="49" t="s">
        <v>421</v>
      </c>
      <c r="BG67" s="82" t="s">
        <v>422</v>
      </c>
      <c r="BH67" s="47"/>
      <c r="BI67" s="66">
        <v>406523004</v>
      </c>
      <c r="BJ67" s="69"/>
      <c r="BK67" s="46">
        <f t="shared" si="1"/>
        <v>1</v>
      </c>
      <c r="BL67" s="46"/>
      <c r="BM67" s="46"/>
      <c r="BN67" s="46"/>
    </row>
    <row r="68" spans="1:66" ht="12.75" hidden="1" customHeight="1">
      <c r="A68" s="22">
        <v>66</v>
      </c>
      <c r="B68" s="72" t="s">
        <v>553</v>
      </c>
      <c r="C68" s="72" t="e">
        <f t="shared" ca="1" si="0"/>
        <v>#NAME?</v>
      </c>
      <c r="D68" s="75" t="s">
        <v>423</v>
      </c>
      <c r="E68" s="22" t="s">
        <v>180</v>
      </c>
      <c r="F68" s="43" t="s">
        <v>417</v>
      </c>
      <c r="G68" s="22"/>
      <c r="H68" s="24"/>
      <c r="I68" s="24">
        <v>1</v>
      </c>
      <c r="J68" s="24" t="s">
        <v>221</v>
      </c>
      <c r="K68" s="24"/>
      <c r="L68" s="24"/>
      <c r="M68" s="24"/>
      <c r="N68" s="24"/>
      <c r="O68" s="22"/>
      <c r="P68" s="22"/>
      <c r="Q68" s="22"/>
      <c r="R68" s="80"/>
      <c r="S68" s="44"/>
      <c r="T68" s="44"/>
      <c r="U68" s="44"/>
      <c r="V68" s="72"/>
      <c r="W68" s="73" t="s">
        <v>423</v>
      </c>
      <c r="X68" s="75"/>
      <c r="Y68" s="24"/>
      <c r="Z68" s="24"/>
      <c r="AA68" s="44"/>
      <c r="AB68" s="44"/>
      <c r="AC68" s="45"/>
      <c r="AD68" s="24"/>
      <c r="AE68" s="24"/>
      <c r="AF68" s="24"/>
      <c r="AG68" s="22"/>
      <c r="AH68" s="45"/>
      <c r="AI68" s="24"/>
      <c r="AJ68" s="24"/>
      <c r="AK68" s="72"/>
      <c r="AL68" s="22"/>
      <c r="AM68" s="22"/>
      <c r="AN68" s="22"/>
      <c r="AO68" s="22"/>
      <c r="AP68" s="22"/>
      <c r="AQ68" s="22"/>
      <c r="AR68" s="22"/>
      <c r="AS68" s="22"/>
      <c r="AT68" s="24"/>
      <c r="AU68" s="24"/>
      <c r="AV68" s="65">
        <v>260413007</v>
      </c>
      <c r="AW68" s="24"/>
      <c r="AX68" s="24"/>
      <c r="AY68" s="24"/>
      <c r="AZ68" s="24"/>
      <c r="BA68" s="24"/>
      <c r="BB68" s="24"/>
      <c r="BC68" s="24"/>
      <c r="BD68" s="24"/>
      <c r="BE68" s="49" t="s">
        <v>115</v>
      </c>
      <c r="BF68" s="49" t="s">
        <v>424</v>
      </c>
      <c r="BG68" s="82" t="s">
        <v>425</v>
      </c>
      <c r="BH68" s="64"/>
      <c r="BI68" s="66">
        <v>260413007</v>
      </c>
      <c r="BJ68" s="47"/>
      <c r="BK68" s="46">
        <f t="shared" si="1"/>
        <v>1</v>
      </c>
      <c r="BL68" s="46"/>
      <c r="BM68" s="46"/>
      <c r="BN68" s="46"/>
    </row>
    <row r="69" spans="1:66" ht="12.75" hidden="1" customHeight="1">
      <c r="A69" s="22">
        <v>67</v>
      </c>
      <c r="B69" s="43" t="s">
        <v>554</v>
      </c>
      <c r="C69" s="43" t="e">
        <f t="shared" ca="1" si="0"/>
        <v>#NAME?</v>
      </c>
      <c r="D69" s="43" t="s">
        <v>426</v>
      </c>
      <c r="E69" s="22" t="s">
        <v>180</v>
      </c>
      <c r="F69" s="43" t="s">
        <v>417</v>
      </c>
      <c r="G69" s="22"/>
      <c r="H69" s="24"/>
      <c r="I69" s="24">
        <v>1</v>
      </c>
      <c r="J69" s="24" t="s">
        <v>221</v>
      </c>
      <c r="K69" s="24"/>
      <c r="L69" s="24"/>
      <c r="M69" s="24"/>
      <c r="N69" s="24"/>
      <c r="O69" s="22"/>
      <c r="P69" s="22"/>
      <c r="Q69" s="22"/>
      <c r="R69" s="80"/>
      <c r="S69" s="44"/>
      <c r="T69" s="44"/>
      <c r="U69" s="44"/>
      <c r="V69" s="43"/>
      <c r="W69" s="43" t="s">
        <v>426</v>
      </c>
      <c r="X69" s="43"/>
      <c r="Y69" s="24"/>
      <c r="Z69" s="24"/>
      <c r="AA69" s="44"/>
      <c r="AB69" s="44"/>
      <c r="AC69" s="45"/>
      <c r="AD69" s="24"/>
      <c r="AE69" s="24"/>
      <c r="AF69" s="24"/>
      <c r="AG69" s="22"/>
      <c r="AH69" s="45"/>
      <c r="AI69" s="24"/>
      <c r="AJ69" s="24"/>
      <c r="AK69" s="43"/>
      <c r="AL69" s="22"/>
      <c r="AM69" s="22"/>
      <c r="AN69" s="22"/>
      <c r="AO69" s="22"/>
      <c r="AP69" s="22"/>
      <c r="AQ69" s="22"/>
      <c r="AR69" s="22"/>
      <c r="AS69" s="22"/>
      <c r="AT69" s="84" t="s">
        <v>428</v>
      </c>
      <c r="AU69" s="24"/>
      <c r="AV69" s="65">
        <v>301822002</v>
      </c>
      <c r="AW69" s="24"/>
      <c r="AX69" s="24"/>
      <c r="AY69" s="24"/>
      <c r="AZ69" s="24"/>
      <c r="BA69" s="24"/>
      <c r="BB69" s="24"/>
      <c r="BC69" s="24"/>
      <c r="BD69" s="24"/>
      <c r="BE69" s="49" t="s">
        <v>115</v>
      </c>
      <c r="BF69" s="49" t="s">
        <v>429</v>
      </c>
      <c r="BG69" s="82" t="s">
        <v>430</v>
      </c>
      <c r="BH69" s="86" t="s">
        <v>428</v>
      </c>
      <c r="BI69" s="66">
        <v>301822002</v>
      </c>
      <c r="BJ69" s="47"/>
      <c r="BK69" s="46">
        <f t="shared" si="1"/>
        <v>1</v>
      </c>
      <c r="BL69" s="46"/>
      <c r="BM69" s="46"/>
      <c r="BN69" s="46"/>
    </row>
    <row r="70" spans="1:66" ht="12.75" hidden="1" customHeight="1">
      <c r="A70" s="22">
        <v>68</v>
      </c>
      <c r="B70" s="43" t="s">
        <v>565</v>
      </c>
      <c r="C70" s="43" t="e">
        <f t="shared" ca="1" si="0"/>
        <v>#NAME?</v>
      </c>
      <c r="D70" s="43" t="s">
        <v>431</v>
      </c>
      <c r="E70" s="22" t="s">
        <v>180</v>
      </c>
      <c r="F70" s="43" t="s">
        <v>417</v>
      </c>
      <c r="G70" s="22"/>
      <c r="H70" s="24"/>
      <c r="I70" s="24">
        <v>1</v>
      </c>
      <c r="J70" s="24" t="s">
        <v>221</v>
      </c>
      <c r="K70" s="24"/>
      <c r="L70" s="24"/>
      <c r="M70" s="24"/>
      <c r="N70" s="24"/>
      <c r="O70" s="22"/>
      <c r="P70" s="22"/>
      <c r="Q70" s="22"/>
      <c r="R70" s="80"/>
      <c r="S70" s="44"/>
      <c r="T70" s="44"/>
      <c r="U70" s="44"/>
      <c r="V70" s="43"/>
      <c r="W70" s="43" t="s">
        <v>431</v>
      </c>
      <c r="X70" s="43"/>
      <c r="Y70" s="24"/>
      <c r="Z70" s="24"/>
      <c r="AA70" s="44"/>
      <c r="AB70" s="44"/>
      <c r="AC70" s="45"/>
      <c r="AD70" s="24"/>
      <c r="AE70" s="24"/>
      <c r="AF70" s="24"/>
      <c r="AG70" s="22"/>
      <c r="AH70" s="45"/>
      <c r="AI70" s="24"/>
      <c r="AJ70" s="24"/>
      <c r="AK70" s="43"/>
      <c r="AL70" s="22"/>
      <c r="AM70" s="22"/>
      <c r="AN70" s="22"/>
      <c r="AO70" s="22"/>
      <c r="AP70" s="22"/>
      <c r="AQ70" s="22"/>
      <c r="AR70" s="22"/>
      <c r="AS70" s="22"/>
      <c r="AT70" s="94"/>
      <c r="AU70" s="94"/>
      <c r="AV70" s="94"/>
      <c r="AW70" s="24"/>
      <c r="AX70" s="24"/>
      <c r="AY70" s="24"/>
      <c r="AZ70" s="24"/>
      <c r="BA70" s="24"/>
      <c r="BB70" s="24"/>
      <c r="BC70" s="24"/>
      <c r="BD70" s="24"/>
      <c r="BE70" s="49" t="s">
        <v>115</v>
      </c>
      <c r="BF70" s="49" t="s">
        <v>432</v>
      </c>
      <c r="BG70" s="128" t="s">
        <v>433</v>
      </c>
      <c r="BH70" s="96"/>
      <c r="BI70" s="97"/>
      <c r="BJ70" s="47"/>
      <c r="BK70" s="46">
        <f t="shared" si="1"/>
        <v>1</v>
      </c>
      <c r="BL70" s="46"/>
      <c r="BM70" s="46"/>
      <c r="BN70" s="46"/>
    </row>
    <row r="71" spans="1:66" ht="12.75" hidden="1" customHeight="1">
      <c r="A71" s="22">
        <v>69</v>
      </c>
      <c r="B71" s="43" t="s">
        <v>570</v>
      </c>
      <c r="C71" s="43" t="e">
        <f t="shared" ca="1" si="0"/>
        <v>#NAME?</v>
      </c>
      <c r="D71" s="43" t="s">
        <v>435</v>
      </c>
      <c r="E71" s="22" t="s">
        <v>180</v>
      </c>
      <c r="F71" s="43" t="s">
        <v>417</v>
      </c>
      <c r="G71" s="22"/>
      <c r="H71" s="24"/>
      <c r="I71" s="24">
        <v>1</v>
      </c>
      <c r="J71" s="24" t="s">
        <v>221</v>
      </c>
      <c r="K71" s="24"/>
      <c r="L71" s="24"/>
      <c r="M71" s="24"/>
      <c r="N71" s="24"/>
      <c r="O71" s="22"/>
      <c r="P71" s="22"/>
      <c r="Q71" s="22"/>
      <c r="R71" s="80"/>
      <c r="S71" s="44"/>
      <c r="T71" s="44"/>
      <c r="U71" s="44"/>
      <c r="V71" s="43"/>
      <c r="W71" s="43" t="s">
        <v>435</v>
      </c>
      <c r="X71" s="43"/>
      <c r="Y71" s="24"/>
      <c r="Z71" s="24"/>
      <c r="AA71" s="44"/>
      <c r="AB71" s="44"/>
      <c r="AC71" s="45"/>
      <c r="AD71" s="24"/>
      <c r="AE71" s="24"/>
      <c r="AF71" s="24"/>
      <c r="AG71" s="22"/>
      <c r="AH71" s="45"/>
      <c r="AI71" s="24"/>
      <c r="AJ71" s="24"/>
      <c r="AK71" s="43"/>
      <c r="AL71" s="22"/>
      <c r="AM71" s="22"/>
      <c r="AN71" s="22"/>
      <c r="AO71" s="22"/>
      <c r="AP71" s="22"/>
      <c r="AQ71" s="22"/>
      <c r="AR71" s="22"/>
      <c r="AS71" s="22"/>
      <c r="AT71" s="94"/>
      <c r="AU71" s="94"/>
      <c r="AV71" s="94"/>
      <c r="AW71" s="24"/>
      <c r="AX71" s="24"/>
      <c r="AY71" s="24"/>
      <c r="AZ71" s="24"/>
      <c r="BA71" s="24"/>
      <c r="BB71" s="24"/>
      <c r="BC71" s="24"/>
      <c r="BD71" s="24"/>
      <c r="BE71" s="49" t="s">
        <v>115</v>
      </c>
      <c r="BF71" s="49" t="s">
        <v>436</v>
      </c>
      <c r="BG71" s="128" t="s">
        <v>437</v>
      </c>
      <c r="BH71" s="96"/>
      <c r="BI71" s="97"/>
      <c r="BJ71" s="47"/>
      <c r="BK71" s="46">
        <f t="shared" si="1"/>
        <v>1</v>
      </c>
      <c r="BL71" s="46"/>
      <c r="BM71" s="46"/>
      <c r="BN71" s="46"/>
    </row>
    <row r="72" spans="1:66" ht="12.75" hidden="1" customHeight="1">
      <c r="A72" s="22">
        <v>70</v>
      </c>
      <c r="B72" s="43" t="s">
        <v>367</v>
      </c>
      <c r="C72" s="43" t="e">
        <f t="shared" ca="1" si="0"/>
        <v>#NAME?</v>
      </c>
      <c r="D72" s="43" t="s">
        <v>281</v>
      </c>
      <c r="E72" s="22" t="s">
        <v>180</v>
      </c>
      <c r="F72" s="43" t="s">
        <v>417</v>
      </c>
      <c r="G72" s="22"/>
      <c r="H72" s="24"/>
      <c r="I72" s="24">
        <v>1</v>
      </c>
      <c r="J72" s="24" t="s">
        <v>221</v>
      </c>
      <c r="K72" s="24"/>
      <c r="L72" s="24"/>
      <c r="M72" s="24"/>
      <c r="N72" s="24"/>
      <c r="O72" s="22"/>
      <c r="P72" s="22"/>
      <c r="Q72" s="22"/>
      <c r="R72" s="80"/>
      <c r="S72" s="44"/>
      <c r="T72" s="44"/>
      <c r="U72" s="44"/>
      <c r="V72" s="43"/>
      <c r="W72" s="43" t="s">
        <v>281</v>
      </c>
      <c r="X72" s="43"/>
      <c r="Y72" s="24"/>
      <c r="Z72" s="24"/>
      <c r="AA72" s="44"/>
      <c r="AB72" s="44"/>
      <c r="AC72" s="45"/>
      <c r="AD72" s="24"/>
      <c r="AE72" s="24"/>
      <c r="AF72" s="24"/>
      <c r="AG72" s="22"/>
      <c r="AH72" s="45"/>
      <c r="AI72" s="24"/>
      <c r="AJ72" s="24"/>
      <c r="AK72" s="43"/>
      <c r="AL72" s="22"/>
      <c r="AM72" s="22"/>
      <c r="AN72" s="22"/>
      <c r="AO72" s="22"/>
      <c r="AP72" s="22"/>
      <c r="AQ72" s="22"/>
      <c r="AR72" s="22"/>
      <c r="AS72" s="22"/>
      <c r="AT72" s="65" t="s">
        <v>283</v>
      </c>
      <c r="AU72" s="24"/>
      <c r="AV72" s="67">
        <v>386661006</v>
      </c>
      <c r="AW72" s="24"/>
      <c r="AX72" s="24"/>
      <c r="AY72" s="24"/>
      <c r="AZ72" s="24"/>
      <c r="BA72" s="24"/>
      <c r="BB72" s="24"/>
      <c r="BC72" s="24"/>
      <c r="BD72" s="24"/>
      <c r="BE72" s="49" t="s">
        <v>115</v>
      </c>
      <c r="BF72" s="49" t="s">
        <v>284</v>
      </c>
      <c r="BG72" s="79" t="s">
        <v>285</v>
      </c>
      <c r="BH72" s="98" t="s">
        <v>283</v>
      </c>
      <c r="BI72" s="69">
        <v>386661006</v>
      </c>
      <c r="BJ72" s="47"/>
      <c r="BK72" s="46">
        <f t="shared" si="1"/>
        <v>1</v>
      </c>
      <c r="BL72" s="46"/>
      <c r="BM72" s="46"/>
      <c r="BN72" s="46"/>
    </row>
    <row r="73" spans="1:66" ht="12.75" hidden="1" customHeight="1">
      <c r="A73" s="22">
        <v>71</v>
      </c>
      <c r="B73" s="43" t="s">
        <v>577</v>
      </c>
      <c r="C73" s="43" t="e">
        <f t="shared" ca="1" si="0"/>
        <v>#NAME?</v>
      </c>
      <c r="D73" s="43" t="s">
        <v>439</v>
      </c>
      <c r="E73" s="22" t="s">
        <v>180</v>
      </c>
      <c r="F73" s="43" t="s">
        <v>417</v>
      </c>
      <c r="G73" s="22"/>
      <c r="H73" s="24"/>
      <c r="I73" s="24">
        <v>1</v>
      </c>
      <c r="J73" s="24" t="s">
        <v>221</v>
      </c>
      <c r="K73" s="24"/>
      <c r="L73" s="24"/>
      <c r="M73" s="24"/>
      <c r="N73" s="24"/>
      <c r="O73" s="22"/>
      <c r="P73" s="22"/>
      <c r="Q73" s="22"/>
      <c r="R73" s="80"/>
      <c r="S73" s="44"/>
      <c r="T73" s="44"/>
      <c r="U73" s="44"/>
      <c r="V73" s="43"/>
      <c r="W73" s="43" t="s">
        <v>439</v>
      </c>
      <c r="X73" s="43"/>
      <c r="Y73" s="24"/>
      <c r="Z73" s="24"/>
      <c r="AA73" s="44"/>
      <c r="AB73" s="44"/>
      <c r="AC73" s="45"/>
      <c r="AD73" s="24"/>
      <c r="AE73" s="24"/>
      <c r="AF73" s="24"/>
      <c r="AG73" s="22"/>
      <c r="AH73" s="45"/>
      <c r="AI73" s="24"/>
      <c r="AJ73" s="24"/>
      <c r="AK73" s="43"/>
      <c r="AL73" s="22"/>
      <c r="AM73" s="22"/>
      <c r="AN73" s="22"/>
      <c r="AO73" s="22"/>
      <c r="AP73" s="22"/>
      <c r="AQ73" s="22"/>
      <c r="AR73" s="22"/>
      <c r="AS73" s="22"/>
      <c r="AT73" s="84" t="s">
        <v>299</v>
      </c>
      <c r="AU73" s="24"/>
      <c r="AV73" s="24"/>
      <c r="AW73" s="24"/>
      <c r="AX73" s="24"/>
      <c r="AY73" s="24"/>
      <c r="AZ73" s="24"/>
      <c r="BA73" s="24"/>
      <c r="BB73" s="24"/>
      <c r="BC73" s="24"/>
      <c r="BD73" s="24"/>
      <c r="BE73" s="49" t="s">
        <v>115</v>
      </c>
      <c r="BF73" s="49" t="s">
        <v>441</v>
      </c>
      <c r="BG73" s="82" t="s">
        <v>442</v>
      </c>
      <c r="BH73" s="86" t="s">
        <v>299</v>
      </c>
      <c r="BI73" s="64"/>
      <c r="BJ73" s="47"/>
      <c r="BK73" s="46">
        <f t="shared" si="1"/>
        <v>1</v>
      </c>
      <c r="BL73" s="46"/>
      <c r="BM73" s="46"/>
      <c r="BN73" s="46"/>
    </row>
    <row r="74" spans="1:66" ht="12.75" hidden="1" customHeight="1">
      <c r="A74" s="22">
        <v>72</v>
      </c>
      <c r="B74" s="43" t="s">
        <v>531</v>
      </c>
      <c r="C74" s="43" t="e">
        <f t="shared" ca="1" si="0"/>
        <v>#NAME?</v>
      </c>
      <c r="D74" s="43" t="s">
        <v>400</v>
      </c>
      <c r="E74" s="22" t="s">
        <v>180</v>
      </c>
      <c r="F74" s="43" t="s">
        <v>417</v>
      </c>
      <c r="G74" s="22"/>
      <c r="H74" s="24"/>
      <c r="I74" s="24">
        <v>1</v>
      </c>
      <c r="J74" s="24" t="s">
        <v>221</v>
      </c>
      <c r="K74" s="24"/>
      <c r="L74" s="24"/>
      <c r="M74" s="24"/>
      <c r="N74" s="24"/>
      <c r="O74" s="22"/>
      <c r="P74" s="22"/>
      <c r="Q74" s="22"/>
      <c r="R74" s="80"/>
      <c r="S74" s="44"/>
      <c r="T74" s="44"/>
      <c r="U74" s="44"/>
      <c r="V74" s="43"/>
      <c r="W74" s="43" t="s">
        <v>400</v>
      </c>
      <c r="X74" s="43"/>
      <c r="Y74" s="24"/>
      <c r="Z74" s="24"/>
      <c r="AA74" s="44"/>
      <c r="AB74" s="44"/>
      <c r="AC74" s="45"/>
      <c r="AD74" s="24"/>
      <c r="AE74" s="24"/>
      <c r="AF74" s="24"/>
      <c r="AG74" s="22"/>
      <c r="AH74" s="45"/>
      <c r="AI74" s="24"/>
      <c r="AJ74" s="24"/>
      <c r="AK74" s="43"/>
      <c r="AL74" s="22"/>
      <c r="AM74" s="22"/>
      <c r="AN74" s="22"/>
      <c r="AO74" s="22"/>
      <c r="AP74" s="22"/>
      <c r="AQ74" s="22"/>
      <c r="AR74" s="22"/>
      <c r="AS74" s="22"/>
      <c r="AT74" s="84" t="s">
        <v>402</v>
      </c>
      <c r="AU74" s="24"/>
      <c r="AV74" s="67">
        <v>63102001</v>
      </c>
      <c r="AW74" s="24"/>
      <c r="AX74" s="24"/>
      <c r="AY74" s="24"/>
      <c r="AZ74" s="24"/>
      <c r="BA74" s="24"/>
      <c r="BB74" s="24"/>
      <c r="BC74" s="24"/>
      <c r="BD74" s="24"/>
      <c r="BE74" s="49" t="s">
        <v>115</v>
      </c>
      <c r="BF74" s="49" t="s">
        <v>403</v>
      </c>
      <c r="BG74" s="82" t="s">
        <v>404</v>
      </c>
      <c r="BH74" s="86" t="s">
        <v>402</v>
      </c>
      <c r="BI74" s="69">
        <v>63102001</v>
      </c>
      <c r="BJ74" s="47"/>
      <c r="BK74" s="46">
        <f t="shared" si="1"/>
        <v>1</v>
      </c>
      <c r="BL74" s="46"/>
      <c r="BM74" s="46"/>
      <c r="BN74" s="46"/>
    </row>
    <row r="75" spans="1:66" ht="12.75" hidden="1" customHeight="1">
      <c r="A75" s="22">
        <v>73</v>
      </c>
      <c r="B75" s="43" t="s">
        <v>597</v>
      </c>
      <c r="C75" s="43" t="e">
        <f t="shared" ca="1" si="0"/>
        <v>#NAME?</v>
      </c>
      <c r="D75" s="43" t="s">
        <v>443</v>
      </c>
      <c r="E75" s="22" t="s">
        <v>180</v>
      </c>
      <c r="F75" s="43" t="s">
        <v>417</v>
      </c>
      <c r="G75" s="22"/>
      <c r="H75" s="24"/>
      <c r="I75" s="24">
        <v>1</v>
      </c>
      <c r="J75" s="24" t="s">
        <v>221</v>
      </c>
      <c r="K75" s="24"/>
      <c r="L75" s="24"/>
      <c r="M75" s="24"/>
      <c r="N75" s="24"/>
      <c r="O75" s="22"/>
      <c r="P75" s="22"/>
      <c r="Q75" s="22"/>
      <c r="R75" s="80"/>
      <c r="S75" s="44"/>
      <c r="T75" s="44"/>
      <c r="U75" s="44"/>
      <c r="V75" s="43"/>
      <c r="W75" s="43" t="s">
        <v>443</v>
      </c>
      <c r="X75" s="43"/>
      <c r="Y75" s="24"/>
      <c r="Z75" s="24"/>
      <c r="AA75" s="44"/>
      <c r="AB75" s="44"/>
      <c r="AC75" s="45"/>
      <c r="AD75" s="24"/>
      <c r="AE75" s="24"/>
      <c r="AF75" s="24"/>
      <c r="AG75" s="22"/>
      <c r="AH75" s="45"/>
      <c r="AI75" s="24"/>
      <c r="AJ75" s="24"/>
      <c r="AK75" s="43"/>
      <c r="AL75" s="22"/>
      <c r="AM75" s="22"/>
      <c r="AN75" s="22"/>
      <c r="AO75" s="22"/>
      <c r="AP75" s="22"/>
      <c r="AQ75" s="22"/>
      <c r="AR75" s="22"/>
      <c r="AS75" s="22"/>
      <c r="AT75" s="107" t="s">
        <v>445</v>
      </c>
      <c r="AU75" s="108"/>
      <c r="AV75" s="84">
        <v>118215003</v>
      </c>
      <c r="AW75" s="24"/>
      <c r="AX75" s="24"/>
      <c r="AY75" s="24"/>
      <c r="AZ75" s="24"/>
      <c r="BA75" s="24"/>
      <c r="BB75" s="24"/>
      <c r="BC75" s="24"/>
      <c r="BD75" s="24"/>
      <c r="BE75" s="49" t="s">
        <v>115</v>
      </c>
      <c r="BF75" s="49" t="s">
        <v>446</v>
      </c>
      <c r="BG75" s="79" t="s">
        <v>447</v>
      </c>
      <c r="BH75" s="109" t="s">
        <v>445</v>
      </c>
      <c r="BI75" s="110">
        <v>118215003</v>
      </c>
      <c r="BJ75" s="47"/>
      <c r="BK75" s="46">
        <f t="shared" si="1"/>
        <v>1</v>
      </c>
      <c r="BL75" s="46"/>
      <c r="BM75" s="46"/>
      <c r="BN75" s="46"/>
    </row>
    <row r="76" spans="1:66" ht="12.75" hidden="1" customHeight="1">
      <c r="A76" s="22">
        <v>74</v>
      </c>
      <c r="B76" s="43" t="s">
        <v>604</v>
      </c>
      <c r="C76" s="43" t="e">
        <f t="shared" ca="1" si="0"/>
        <v>#NAME?</v>
      </c>
      <c r="D76" s="43" t="s">
        <v>448</v>
      </c>
      <c r="E76" s="22" t="s">
        <v>180</v>
      </c>
      <c r="F76" s="43" t="s">
        <v>417</v>
      </c>
      <c r="G76" s="22"/>
      <c r="H76" s="24"/>
      <c r="I76" s="24">
        <v>1</v>
      </c>
      <c r="J76" s="24" t="s">
        <v>221</v>
      </c>
      <c r="K76" s="24"/>
      <c r="L76" s="24"/>
      <c r="M76" s="24"/>
      <c r="N76" s="24"/>
      <c r="O76" s="22"/>
      <c r="P76" s="22"/>
      <c r="Q76" s="22"/>
      <c r="R76" s="80"/>
      <c r="S76" s="44"/>
      <c r="T76" s="44"/>
      <c r="U76" s="44"/>
      <c r="V76" s="43"/>
      <c r="W76" s="43" t="s">
        <v>448</v>
      </c>
      <c r="X76" s="43"/>
      <c r="Y76" s="24"/>
      <c r="Z76" s="24"/>
      <c r="AA76" s="44"/>
      <c r="AB76" s="44"/>
      <c r="AC76" s="45"/>
      <c r="AD76" s="24"/>
      <c r="AE76" s="24"/>
      <c r="AF76" s="24"/>
      <c r="AG76" s="22"/>
      <c r="AH76" s="45"/>
      <c r="AI76" s="24"/>
      <c r="AJ76" s="24"/>
      <c r="AK76" s="43"/>
      <c r="AL76" s="22"/>
      <c r="AM76" s="22"/>
      <c r="AN76" s="22"/>
      <c r="AO76" s="22"/>
      <c r="AP76" s="22"/>
      <c r="AQ76" s="22"/>
      <c r="AR76" s="22"/>
      <c r="AS76" s="22"/>
      <c r="AT76" s="24"/>
      <c r="AU76" s="24"/>
      <c r="AV76" s="65">
        <v>247412007</v>
      </c>
      <c r="AW76" s="24"/>
      <c r="AX76" s="24"/>
      <c r="AY76" s="24"/>
      <c r="AZ76" s="24"/>
      <c r="BA76" s="24"/>
      <c r="BB76" s="24"/>
      <c r="BC76" s="24"/>
      <c r="BD76" s="24"/>
      <c r="BE76" s="49" t="s">
        <v>115</v>
      </c>
      <c r="BF76" s="49" t="s">
        <v>450</v>
      </c>
      <c r="BG76" s="82" t="s">
        <v>451</v>
      </c>
      <c r="BH76" s="47"/>
      <c r="BI76" s="66">
        <v>247412007</v>
      </c>
      <c r="BJ76" s="47"/>
      <c r="BK76" s="46">
        <f t="shared" si="1"/>
        <v>1</v>
      </c>
      <c r="BL76" s="46"/>
      <c r="BM76" s="46"/>
      <c r="BN76" s="46"/>
    </row>
    <row r="77" spans="1:66" ht="12.75" hidden="1" customHeight="1">
      <c r="A77" s="22">
        <v>75</v>
      </c>
      <c r="B77" s="43" t="s">
        <v>610</v>
      </c>
      <c r="C77" s="43" t="e">
        <f t="shared" ca="1" si="0"/>
        <v>#NAME?</v>
      </c>
      <c r="D77" s="43" t="s">
        <v>452</v>
      </c>
      <c r="E77" s="22" t="s">
        <v>180</v>
      </c>
      <c r="F77" s="43" t="s">
        <v>417</v>
      </c>
      <c r="G77" s="22"/>
      <c r="H77" s="24"/>
      <c r="I77" s="24">
        <v>1</v>
      </c>
      <c r="J77" s="24" t="s">
        <v>221</v>
      </c>
      <c r="K77" s="24"/>
      <c r="L77" s="24"/>
      <c r="M77" s="24"/>
      <c r="N77" s="24"/>
      <c r="O77" s="22"/>
      <c r="P77" s="22"/>
      <c r="Q77" s="22"/>
      <c r="R77" s="80"/>
      <c r="S77" s="44"/>
      <c r="T77" s="44"/>
      <c r="U77" s="44"/>
      <c r="V77" s="43"/>
      <c r="W77" s="43" t="s">
        <v>452</v>
      </c>
      <c r="X77" s="43"/>
      <c r="Y77" s="24"/>
      <c r="Z77" s="24"/>
      <c r="AA77" s="44"/>
      <c r="AB77" s="44"/>
      <c r="AC77" s="45"/>
      <c r="AD77" s="24"/>
      <c r="AE77" s="24"/>
      <c r="AF77" s="24"/>
      <c r="AG77" s="22"/>
      <c r="AH77" s="45"/>
      <c r="AI77" s="24"/>
      <c r="AJ77" s="24"/>
      <c r="AK77" s="43"/>
      <c r="AL77" s="22"/>
      <c r="AM77" s="22"/>
      <c r="AN77" s="22"/>
      <c r="AO77" s="22"/>
      <c r="AP77" s="22"/>
      <c r="AQ77" s="22"/>
      <c r="AR77" s="22"/>
      <c r="AS77" s="22"/>
      <c r="AT77" s="24"/>
      <c r="AU77" s="24"/>
      <c r="AV77" s="65">
        <v>302772006</v>
      </c>
      <c r="AW77" s="24"/>
      <c r="AX77" s="24"/>
      <c r="AY77" s="24"/>
      <c r="AZ77" s="24"/>
      <c r="BA77" s="24"/>
      <c r="BB77" s="24"/>
      <c r="BC77" s="24"/>
      <c r="BD77" s="24"/>
      <c r="BE77" s="49" t="s">
        <v>115</v>
      </c>
      <c r="BF77" s="49" t="s">
        <v>453</v>
      </c>
      <c r="BG77" s="82" t="s">
        <v>454</v>
      </c>
      <c r="BH77" s="64"/>
      <c r="BI77" s="66">
        <v>302772006</v>
      </c>
      <c r="BJ77" s="47"/>
      <c r="BK77" s="46">
        <f t="shared" si="1"/>
        <v>1</v>
      </c>
      <c r="BL77" s="46"/>
      <c r="BM77" s="46"/>
      <c r="BN77" s="46"/>
    </row>
    <row r="78" spans="1:66" ht="12.75" hidden="1" customHeight="1">
      <c r="A78" s="22">
        <v>76</v>
      </c>
      <c r="B78" s="43" t="s">
        <v>619</v>
      </c>
      <c r="C78" s="43" t="e">
        <f t="shared" ca="1" si="0"/>
        <v>#NAME?</v>
      </c>
      <c r="D78" s="43" t="s">
        <v>455</v>
      </c>
      <c r="E78" s="22" t="s">
        <v>180</v>
      </c>
      <c r="F78" s="43" t="s">
        <v>417</v>
      </c>
      <c r="G78" s="22"/>
      <c r="H78" s="24"/>
      <c r="I78" s="24">
        <v>1</v>
      </c>
      <c r="J78" s="24" t="s">
        <v>221</v>
      </c>
      <c r="K78" s="24"/>
      <c r="L78" s="24"/>
      <c r="M78" s="24"/>
      <c r="N78" s="24"/>
      <c r="O78" s="22"/>
      <c r="P78" s="22"/>
      <c r="Q78" s="22"/>
      <c r="R78" s="80"/>
      <c r="S78" s="44"/>
      <c r="T78" s="44"/>
      <c r="U78" s="44"/>
      <c r="V78" s="43"/>
      <c r="W78" s="43" t="s">
        <v>455</v>
      </c>
      <c r="X78" s="43"/>
      <c r="Y78" s="24"/>
      <c r="Z78" s="24"/>
      <c r="AA78" s="44"/>
      <c r="AB78" s="44"/>
      <c r="AC78" s="45"/>
      <c r="AD78" s="24"/>
      <c r="AE78" s="24"/>
      <c r="AF78" s="24"/>
      <c r="AG78" s="22"/>
      <c r="AH78" s="45"/>
      <c r="AI78" s="24"/>
      <c r="AJ78" s="24"/>
      <c r="AK78" s="43"/>
      <c r="AL78" s="22"/>
      <c r="AM78" s="22"/>
      <c r="AN78" s="22"/>
      <c r="AO78" s="22"/>
      <c r="AP78" s="22"/>
      <c r="AQ78" s="22"/>
      <c r="AR78" s="22"/>
      <c r="AS78" s="22"/>
      <c r="AT78" s="84" t="s">
        <v>457</v>
      </c>
      <c r="AU78" s="24"/>
      <c r="AV78" s="67">
        <v>14094001</v>
      </c>
      <c r="AW78" s="24"/>
      <c r="AX78" s="24"/>
      <c r="AY78" s="24"/>
      <c r="AZ78" s="24"/>
      <c r="BA78" s="24"/>
      <c r="BB78" s="24"/>
      <c r="BC78" s="24"/>
      <c r="BD78" s="24"/>
      <c r="BE78" s="49" t="s">
        <v>115</v>
      </c>
      <c r="BF78" s="49" t="s">
        <v>458</v>
      </c>
      <c r="BG78" s="82" t="s">
        <v>459</v>
      </c>
      <c r="BH78" s="86" t="s">
        <v>457</v>
      </c>
      <c r="BI78" s="69">
        <v>14094001</v>
      </c>
      <c r="BJ78" s="47"/>
      <c r="BK78" s="46">
        <f t="shared" si="1"/>
        <v>1</v>
      </c>
      <c r="BL78" s="46"/>
      <c r="BM78" s="46"/>
      <c r="BN78" s="46"/>
    </row>
    <row r="79" spans="1:66" ht="12.75" hidden="1" customHeight="1">
      <c r="A79" s="22">
        <v>77</v>
      </c>
      <c r="B79" s="43" t="s">
        <v>628</v>
      </c>
      <c r="C79" s="43" t="e">
        <f t="shared" ca="1" si="0"/>
        <v>#NAME?</v>
      </c>
      <c r="D79" s="43" t="s">
        <v>460</v>
      </c>
      <c r="E79" s="22" t="s">
        <v>180</v>
      </c>
      <c r="F79" s="43" t="s">
        <v>417</v>
      </c>
      <c r="G79" s="22"/>
      <c r="H79" s="24"/>
      <c r="I79" s="24">
        <v>1</v>
      </c>
      <c r="J79" s="24" t="s">
        <v>221</v>
      </c>
      <c r="K79" s="24"/>
      <c r="L79" s="24"/>
      <c r="M79" s="24"/>
      <c r="N79" s="24"/>
      <c r="O79" s="22"/>
      <c r="P79" s="22"/>
      <c r="Q79" s="22"/>
      <c r="R79" s="80"/>
      <c r="S79" s="44"/>
      <c r="T79" s="44"/>
      <c r="U79" s="44"/>
      <c r="V79" s="43"/>
      <c r="W79" s="43" t="s">
        <v>460</v>
      </c>
      <c r="X79" s="43"/>
      <c r="Y79" s="24"/>
      <c r="Z79" s="24"/>
      <c r="AA79" s="44"/>
      <c r="AB79" s="44"/>
      <c r="AC79" s="45"/>
      <c r="AD79" s="24"/>
      <c r="AE79" s="24"/>
      <c r="AF79" s="24"/>
      <c r="AG79" s="22"/>
      <c r="AH79" s="45"/>
      <c r="AI79" s="24"/>
      <c r="AJ79" s="24"/>
      <c r="AK79" s="43"/>
      <c r="AL79" s="22"/>
      <c r="AM79" s="22"/>
      <c r="AN79" s="22"/>
      <c r="AO79" s="22"/>
      <c r="AP79" s="22"/>
      <c r="AQ79" s="22"/>
      <c r="AR79" s="22"/>
      <c r="AS79" s="22"/>
      <c r="AT79" s="84" t="s">
        <v>351</v>
      </c>
      <c r="AU79" s="24"/>
      <c r="AV79" s="65">
        <v>76948002</v>
      </c>
      <c r="AW79" s="24"/>
      <c r="AX79" s="24"/>
      <c r="AY79" s="24"/>
      <c r="AZ79" s="24"/>
      <c r="BA79" s="24"/>
      <c r="BB79" s="24"/>
      <c r="BC79" s="24"/>
      <c r="BD79" s="24"/>
      <c r="BE79" s="49" t="s">
        <v>115</v>
      </c>
      <c r="BF79" s="49" t="s">
        <v>462</v>
      </c>
      <c r="BG79" s="82" t="s">
        <v>463</v>
      </c>
      <c r="BH79" s="86" t="s">
        <v>351</v>
      </c>
      <c r="BI79" s="66">
        <v>76948002</v>
      </c>
      <c r="BJ79" s="47"/>
      <c r="BK79" s="46">
        <f t="shared" si="1"/>
        <v>1</v>
      </c>
      <c r="BL79" s="46"/>
      <c r="BM79" s="46"/>
      <c r="BN79" s="46"/>
    </row>
    <row r="80" spans="1:66" ht="12.75" hidden="1" customHeight="1">
      <c r="A80" s="22">
        <v>78</v>
      </c>
      <c r="B80" s="43" t="s">
        <v>632</v>
      </c>
      <c r="C80" s="43" t="e">
        <f t="shared" ca="1" si="0"/>
        <v>#NAME?</v>
      </c>
      <c r="D80" s="43" t="s">
        <v>464</v>
      </c>
      <c r="E80" s="22" t="s">
        <v>180</v>
      </c>
      <c r="F80" s="43" t="s">
        <v>417</v>
      </c>
      <c r="G80" s="22"/>
      <c r="H80" s="24"/>
      <c r="I80" s="24">
        <v>1</v>
      </c>
      <c r="J80" s="24" t="s">
        <v>221</v>
      </c>
      <c r="K80" s="24"/>
      <c r="L80" s="24"/>
      <c r="M80" s="24"/>
      <c r="N80" s="24"/>
      <c r="O80" s="22"/>
      <c r="P80" s="22"/>
      <c r="Q80" s="22"/>
      <c r="R80" s="80"/>
      <c r="S80" s="44"/>
      <c r="T80" s="44"/>
      <c r="U80" s="44"/>
      <c r="V80" s="43"/>
      <c r="W80" s="43" t="s">
        <v>464</v>
      </c>
      <c r="X80" s="43"/>
      <c r="Y80" s="24"/>
      <c r="Z80" s="24"/>
      <c r="AA80" s="44"/>
      <c r="AB80" s="44"/>
      <c r="AC80" s="45"/>
      <c r="AD80" s="24"/>
      <c r="AE80" s="24"/>
      <c r="AF80" s="24"/>
      <c r="AG80" s="22"/>
      <c r="AH80" s="45"/>
      <c r="AI80" s="24"/>
      <c r="AJ80" s="24"/>
      <c r="AK80" s="43"/>
      <c r="AL80" s="22"/>
      <c r="AM80" s="22"/>
      <c r="AN80" s="22"/>
      <c r="AO80" s="22"/>
      <c r="AP80" s="22"/>
      <c r="AQ80" s="22"/>
      <c r="AR80" s="22"/>
      <c r="AS80" s="22"/>
      <c r="AT80" s="94"/>
      <c r="AU80" s="94"/>
      <c r="AV80" s="94"/>
      <c r="AW80" s="24"/>
      <c r="AX80" s="24"/>
      <c r="AY80" s="24"/>
      <c r="AZ80" s="24"/>
      <c r="BA80" s="24"/>
      <c r="BB80" s="24"/>
      <c r="BC80" s="24"/>
      <c r="BD80" s="24"/>
      <c r="BE80" s="49" t="s">
        <v>115</v>
      </c>
      <c r="BF80" s="49" t="s">
        <v>465</v>
      </c>
      <c r="BG80" s="95" t="s">
        <v>466</v>
      </c>
      <c r="BH80" s="96"/>
      <c r="BI80" s="97"/>
      <c r="BJ80" s="47"/>
      <c r="BK80" s="46">
        <f t="shared" si="1"/>
        <v>1</v>
      </c>
      <c r="BL80" s="46"/>
      <c r="BM80" s="46"/>
      <c r="BN80" s="46"/>
    </row>
    <row r="81" spans="1:66" ht="12.75" hidden="1" customHeight="1">
      <c r="A81" s="22">
        <v>79</v>
      </c>
      <c r="B81" s="43" t="s">
        <v>635</v>
      </c>
      <c r="C81" s="43" t="e">
        <f t="shared" ca="1" si="0"/>
        <v>#NAME?</v>
      </c>
      <c r="D81" s="43" t="s">
        <v>467</v>
      </c>
      <c r="E81" s="22" t="s">
        <v>180</v>
      </c>
      <c r="F81" s="43" t="s">
        <v>417</v>
      </c>
      <c r="G81" s="22"/>
      <c r="H81" s="24"/>
      <c r="I81" s="24">
        <v>1</v>
      </c>
      <c r="J81" s="24" t="s">
        <v>221</v>
      </c>
      <c r="K81" s="24"/>
      <c r="L81" s="24"/>
      <c r="M81" s="24"/>
      <c r="N81" s="24"/>
      <c r="O81" s="22"/>
      <c r="P81" s="22"/>
      <c r="Q81" s="22"/>
      <c r="R81" s="80"/>
      <c r="S81" s="44"/>
      <c r="T81" s="44"/>
      <c r="U81" s="44"/>
      <c r="V81" s="43"/>
      <c r="W81" s="43" t="s">
        <v>467</v>
      </c>
      <c r="X81" s="43"/>
      <c r="Y81" s="24"/>
      <c r="Z81" s="24"/>
      <c r="AA81" s="44"/>
      <c r="AB81" s="44"/>
      <c r="AC81" s="45"/>
      <c r="AD81" s="24"/>
      <c r="AE81" s="24"/>
      <c r="AF81" s="24"/>
      <c r="AG81" s="22"/>
      <c r="AH81" s="45"/>
      <c r="AI81" s="24"/>
      <c r="AJ81" s="24"/>
      <c r="AK81" s="43"/>
      <c r="AL81" s="22"/>
      <c r="AM81" s="22"/>
      <c r="AN81" s="22"/>
      <c r="AO81" s="22"/>
      <c r="AP81" s="22"/>
      <c r="AQ81" s="22"/>
      <c r="AR81" s="22"/>
      <c r="AS81" s="22"/>
      <c r="AT81" s="84" t="s">
        <v>469</v>
      </c>
      <c r="AU81" s="24"/>
      <c r="AV81" s="67">
        <v>418107008</v>
      </c>
      <c r="AW81" s="24"/>
      <c r="AX81" s="24"/>
      <c r="AY81" s="24"/>
      <c r="AZ81" s="24"/>
      <c r="BA81" s="24"/>
      <c r="BB81" s="24"/>
      <c r="BC81" s="24"/>
      <c r="BD81" s="24"/>
      <c r="BE81" s="49" t="s">
        <v>115</v>
      </c>
      <c r="BF81" s="49" t="s">
        <v>470</v>
      </c>
      <c r="BG81" s="82" t="s">
        <v>471</v>
      </c>
      <c r="BH81" s="86" t="s">
        <v>469</v>
      </c>
      <c r="BI81" s="69">
        <v>418107008</v>
      </c>
      <c r="BJ81" s="47"/>
      <c r="BK81" s="46">
        <f t="shared" si="1"/>
        <v>1</v>
      </c>
      <c r="BL81" s="46"/>
      <c r="BM81" s="46"/>
      <c r="BN81" s="46"/>
    </row>
    <row r="82" spans="1:66" ht="12.75" hidden="1" customHeight="1">
      <c r="A82" s="22">
        <v>80</v>
      </c>
      <c r="B82" s="43" t="s">
        <v>472</v>
      </c>
      <c r="C82" s="43" t="str">
        <f t="shared" si="0"/>
        <v xml:space="preserve">Danger sign! How to proceed? </v>
      </c>
      <c r="D82" s="43" t="s">
        <v>472</v>
      </c>
      <c r="E82" s="22" t="s">
        <v>96</v>
      </c>
      <c r="F82" s="22"/>
      <c r="G82" s="22"/>
      <c r="H82" s="24"/>
      <c r="I82" s="24">
        <v>1</v>
      </c>
      <c r="J82" s="24" t="s">
        <v>221</v>
      </c>
      <c r="K82" s="24"/>
      <c r="L82" s="24"/>
      <c r="M82" s="24"/>
      <c r="N82" s="24"/>
      <c r="O82" s="22"/>
      <c r="P82" s="22"/>
      <c r="Q82" s="22"/>
      <c r="R82" s="42" t="s">
        <v>472</v>
      </c>
      <c r="S82" s="43" t="s">
        <v>473</v>
      </c>
      <c r="T82" s="43" t="s">
        <v>474</v>
      </c>
      <c r="U82" s="43" t="s">
        <v>202</v>
      </c>
      <c r="V82" s="43"/>
      <c r="W82" s="43"/>
      <c r="X82" s="43"/>
      <c r="Y82" s="24"/>
      <c r="Z82" s="24"/>
      <c r="AA82" s="43" t="s">
        <v>113</v>
      </c>
      <c r="AB82" s="73" t="s">
        <v>208</v>
      </c>
      <c r="AC82" s="45"/>
      <c r="AD82" s="24"/>
      <c r="AE82" s="24"/>
      <c r="AF82" s="24"/>
      <c r="AG82" s="22"/>
      <c r="AH82" s="45"/>
      <c r="AI82" s="24"/>
      <c r="AJ82" s="24"/>
      <c r="AK82" s="43"/>
      <c r="AL82" s="22"/>
      <c r="AM82" s="22"/>
      <c r="AN82" s="22"/>
      <c r="AO82" s="22"/>
      <c r="AP82" s="22"/>
      <c r="AQ82" s="22"/>
      <c r="AR82" s="22"/>
      <c r="AS82" s="22"/>
      <c r="AT82" s="24"/>
      <c r="AU82" s="24"/>
      <c r="AV82" s="84">
        <v>260870009</v>
      </c>
      <c r="AW82" s="24"/>
      <c r="AX82" s="24"/>
      <c r="AY82" s="24"/>
      <c r="AZ82" s="24"/>
      <c r="BA82" s="24"/>
      <c r="BB82" s="24"/>
      <c r="BC82" s="24"/>
      <c r="BD82" s="24"/>
      <c r="BE82" s="49" t="s">
        <v>475</v>
      </c>
      <c r="BF82" s="49" t="s">
        <v>476</v>
      </c>
      <c r="BG82" s="82" t="s">
        <v>477</v>
      </c>
      <c r="BH82" s="47"/>
      <c r="BI82" s="110">
        <v>260870009</v>
      </c>
      <c r="BJ82" s="47"/>
      <c r="BK82" s="46">
        <f t="shared" si="1"/>
        <v>1</v>
      </c>
      <c r="BL82" s="46"/>
      <c r="BM82" s="46"/>
      <c r="BN82" s="46"/>
    </row>
    <row r="83" spans="1:66" ht="12.75" hidden="1" customHeight="1">
      <c r="A83" s="22">
        <v>81</v>
      </c>
      <c r="B83" s="43" t="s">
        <v>657</v>
      </c>
      <c r="C83" s="43" t="e">
        <f t="shared" ca="1" si="0"/>
        <v>#NAME?</v>
      </c>
      <c r="D83" s="43" t="s">
        <v>478</v>
      </c>
      <c r="E83" s="22" t="s">
        <v>180</v>
      </c>
      <c r="F83" s="43" t="s">
        <v>472</v>
      </c>
      <c r="G83" s="22"/>
      <c r="H83" s="24"/>
      <c r="I83" s="24">
        <v>1</v>
      </c>
      <c r="J83" s="24" t="s">
        <v>221</v>
      </c>
      <c r="K83" s="24"/>
      <c r="L83" s="24"/>
      <c r="M83" s="24"/>
      <c r="N83" s="24"/>
      <c r="O83" s="22"/>
      <c r="P83" s="22"/>
      <c r="Q83" s="22"/>
      <c r="R83" s="42"/>
      <c r="S83" s="43"/>
      <c r="T83" s="43"/>
      <c r="U83" s="44"/>
      <c r="V83" s="43"/>
      <c r="W83" s="43" t="s">
        <v>478</v>
      </c>
      <c r="X83" s="43"/>
      <c r="Y83" s="24"/>
      <c r="Z83" s="24"/>
      <c r="AA83" s="43"/>
      <c r="AB83" s="73"/>
      <c r="AC83" s="45"/>
      <c r="AD83" s="24"/>
      <c r="AE83" s="24"/>
      <c r="AF83" s="24"/>
      <c r="AG83" s="22"/>
      <c r="AH83" s="45"/>
      <c r="AI83" s="24"/>
      <c r="AJ83" s="24"/>
      <c r="AK83" s="43"/>
      <c r="AL83" s="22"/>
      <c r="AM83" s="22"/>
      <c r="AN83" s="22"/>
      <c r="AO83" s="22"/>
      <c r="AP83" s="22"/>
      <c r="AQ83" s="22"/>
      <c r="AR83" s="22"/>
      <c r="AS83" s="22"/>
      <c r="AT83" s="24"/>
      <c r="AU83" s="24"/>
      <c r="AV83" s="65">
        <v>103391001</v>
      </c>
      <c r="AW83" s="24"/>
      <c r="AX83" s="24"/>
      <c r="AY83" s="24"/>
      <c r="AZ83" s="24"/>
      <c r="BA83" s="24"/>
      <c r="BB83" s="24"/>
      <c r="BC83" s="24"/>
      <c r="BD83" s="24"/>
      <c r="BE83" s="49" t="s">
        <v>115</v>
      </c>
      <c r="BF83" s="49" t="s">
        <v>480</v>
      </c>
      <c r="BG83" s="82" t="s">
        <v>481</v>
      </c>
      <c r="BH83" s="64"/>
      <c r="BI83" s="66">
        <v>103391001</v>
      </c>
      <c r="BJ83" s="47"/>
      <c r="BK83" s="46">
        <f t="shared" si="1"/>
        <v>1</v>
      </c>
      <c r="BL83" s="46"/>
      <c r="BM83" s="46"/>
      <c r="BN83" s="46"/>
    </row>
    <row r="84" spans="1:66" ht="12.75" hidden="1" customHeight="1">
      <c r="A84" s="22">
        <v>82</v>
      </c>
      <c r="B84" s="43" t="s">
        <v>667</v>
      </c>
      <c r="C84" s="43" t="e">
        <f t="shared" ca="1" si="0"/>
        <v>#NAME?</v>
      </c>
      <c r="D84" s="43" t="s">
        <v>482</v>
      </c>
      <c r="E84" s="22" t="s">
        <v>180</v>
      </c>
      <c r="F84" s="43" t="s">
        <v>472</v>
      </c>
      <c r="G84" s="22"/>
      <c r="H84" s="24"/>
      <c r="I84" s="24">
        <v>1</v>
      </c>
      <c r="J84" s="24" t="s">
        <v>221</v>
      </c>
      <c r="K84" s="24"/>
      <c r="L84" s="24"/>
      <c r="M84" s="24"/>
      <c r="N84" s="24"/>
      <c r="O84" s="22"/>
      <c r="P84" s="22"/>
      <c r="Q84" s="22"/>
      <c r="R84" s="42"/>
      <c r="S84" s="43"/>
      <c r="T84" s="43"/>
      <c r="U84" s="44"/>
      <c r="V84" s="43"/>
      <c r="W84" s="43" t="s">
        <v>482</v>
      </c>
      <c r="X84" s="43"/>
      <c r="Y84" s="24"/>
      <c r="Z84" s="24"/>
      <c r="AA84" s="43"/>
      <c r="AB84" s="73"/>
      <c r="AC84" s="45"/>
      <c r="AD84" s="24"/>
      <c r="AE84" s="24"/>
      <c r="AF84" s="24"/>
      <c r="AG84" s="22"/>
      <c r="AH84" s="45"/>
      <c r="AI84" s="24"/>
      <c r="AJ84" s="24"/>
      <c r="AK84" s="43"/>
      <c r="AL84" s="22"/>
      <c r="AM84" s="22"/>
      <c r="AN84" s="22"/>
      <c r="AO84" s="22"/>
      <c r="AP84" s="22"/>
      <c r="AQ84" s="22"/>
      <c r="AR84" s="22"/>
      <c r="AS84" s="22"/>
      <c r="AT84" s="94"/>
      <c r="AU84" s="94"/>
      <c r="AV84" s="94"/>
      <c r="AW84" s="24"/>
      <c r="AX84" s="24"/>
      <c r="AY84" s="24"/>
      <c r="AZ84" s="24"/>
      <c r="BA84" s="24"/>
      <c r="BB84" s="24"/>
      <c r="BC84" s="24"/>
      <c r="BD84" s="24"/>
      <c r="BE84" s="49" t="s">
        <v>115</v>
      </c>
      <c r="BF84" s="49" t="s">
        <v>483</v>
      </c>
      <c r="BG84" s="128" t="s">
        <v>484</v>
      </c>
      <c r="BH84" s="96"/>
      <c r="BI84" s="97"/>
      <c r="BJ84" s="47"/>
      <c r="BK84" s="46">
        <f t="shared" si="1"/>
        <v>1</v>
      </c>
      <c r="BL84" s="46"/>
      <c r="BM84" s="46"/>
      <c r="BN84" s="46"/>
    </row>
    <row r="85" spans="1:66" ht="12.75" hidden="1" customHeight="1">
      <c r="A85" s="22">
        <v>83</v>
      </c>
      <c r="B85" s="43" t="s">
        <v>485</v>
      </c>
      <c r="C85" s="43" t="str">
        <f t="shared" si="0"/>
        <v>Any treatment given before referral?</v>
      </c>
      <c r="D85" s="43" t="s">
        <v>485</v>
      </c>
      <c r="E85" s="22" t="s">
        <v>96</v>
      </c>
      <c r="F85" s="22"/>
      <c r="G85" s="22"/>
      <c r="H85" s="24"/>
      <c r="I85" s="24">
        <v>1</v>
      </c>
      <c r="J85" s="24" t="s">
        <v>221</v>
      </c>
      <c r="K85" s="24"/>
      <c r="L85" s="24"/>
      <c r="M85" s="24"/>
      <c r="N85" s="24"/>
      <c r="O85" s="22"/>
      <c r="P85" s="22"/>
      <c r="Q85" s="22"/>
      <c r="R85" s="42" t="s">
        <v>485</v>
      </c>
      <c r="S85" s="43" t="s">
        <v>486</v>
      </c>
      <c r="T85" s="43" t="s">
        <v>487</v>
      </c>
      <c r="U85" s="43" t="s">
        <v>202</v>
      </c>
      <c r="V85" s="43"/>
      <c r="W85" s="43"/>
      <c r="X85" s="43"/>
      <c r="Y85" s="24"/>
      <c r="Z85" s="24"/>
      <c r="AA85" s="43" t="s">
        <v>113</v>
      </c>
      <c r="AB85" s="43" t="s">
        <v>208</v>
      </c>
      <c r="AC85" s="45"/>
      <c r="AD85" s="24"/>
      <c r="AE85" s="24"/>
      <c r="AF85" s="24"/>
      <c r="AG85" s="22"/>
      <c r="AH85" s="45"/>
      <c r="AI85" s="24"/>
      <c r="AJ85" s="24"/>
      <c r="AK85" s="43"/>
      <c r="AL85" s="22"/>
      <c r="AM85" s="22"/>
      <c r="AN85" s="22"/>
      <c r="AO85" s="22"/>
      <c r="AP85" s="22"/>
      <c r="AQ85" s="22"/>
      <c r="AR85" s="22"/>
      <c r="AS85" s="22"/>
      <c r="AT85" s="94"/>
      <c r="AU85" s="94"/>
      <c r="AV85" s="94"/>
      <c r="AW85" s="24"/>
      <c r="AX85" s="24"/>
      <c r="AY85" s="24"/>
      <c r="AZ85" s="24"/>
      <c r="BA85" s="24"/>
      <c r="BB85" s="24"/>
      <c r="BC85" s="24"/>
      <c r="BD85" s="24"/>
      <c r="BE85" s="49" t="s">
        <v>115</v>
      </c>
      <c r="BF85" s="49" t="s">
        <v>489</v>
      </c>
      <c r="BG85" s="128" t="s">
        <v>490</v>
      </c>
      <c r="BH85" s="96"/>
      <c r="BI85" s="97"/>
      <c r="BJ85" s="47"/>
      <c r="BK85" s="46">
        <f t="shared" si="1"/>
        <v>1</v>
      </c>
      <c r="BL85" s="46"/>
      <c r="BM85" s="46"/>
      <c r="BN85" s="46"/>
    </row>
    <row r="86" spans="1:66" ht="12.75" hidden="1" customHeight="1">
      <c r="A86" s="22">
        <v>84</v>
      </c>
      <c r="B86" s="43" t="s">
        <v>250</v>
      </c>
      <c r="C86" s="43" t="e">
        <f t="shared" ca="1" si="0"/>
        <v>#NAME?</v>
      </c>
      <c r="D86" s="43" t="s">
        <v>113</v>
      </c>
      <c r="E86" s="22" t="s">
        <v>180</v>
      </c>
      <c r="F86" s="43" t="s">
        <v>485</v>
      </c>
      <c r="G86" s="22"/>
      <c r="H86" s="24"/>
      <c r="I86" s="24">
        <v>1</v>
      </c>
      <c r="J86" s="24" t="s">
        <v>221</v>
      </c>
      <c r="K86" s="24"/>
      <c r="L86" s="24"/>
      <c r="M86" s="24"/>
      <c r="N86" s="24"/>
      <c r="O86" s="22"/>
      <c r="P86" s="22"/>
      <c r="Q86" s="22"/>
      <c r="R86" s="42"/>
      <c r="S86" s="43"/>
      <c r="T86" s="24"/>
      <c r="U86" s="44"/>
      <c r="V86" s="43"/>
      <c r="W86" s="43" t="s">
        <v>113</v>
      </c>
      <c r="X86" s="43"/>
      <c r="Y86" s="24"/>
      <c r="Z86" s="24"/>
      <c r="AA86" s="43"/>
      <c r="AB86" s="43"/>
      <c r="AC86" s="45"/>
      <c r="AD86" s="24"/>
      <c r="AE86" s="24"/>
      <c r="AF86" s="24"/>
      <c r="AG86" s="22"/>
      <c r="AH86" s="45"/>
      <c r="AI86" s="24"/>
      <c r="AJ86" s="24"/>
      <c r="AK86" s="43"/>
      <c r="AL86" s="22"/>
      <c r="AM86" s="22"/>
      <c r="AN86" s="22"/>
      <c r="AO86" s="22"/>
      <c r="AP86" s="22"/>
      <c r="AQ86" s="22"/>
      <c r="AR86" s="22"/>
      <c r="AS86" s="22"/>
      <c r="AT86" s="24"/>
      <c r="AU86" s="24"/>
      <c r="AV86" s="65">
        <v>373066001</v>
      </c>
      <c r="AW86" s="24"/>
      <c r="AX86" s="24"/>
      <c r="AY86" s="24"/>
      <c r="AZ86" s="24"/>
      <c r="BA86" s="24"/>
      <c r="BB86" s="24"/>
      <c r="BC86" s="24"/>
      <c r="BD86" s="24"/>
      <c r="BE86" s="49" t="s">
        <v>115</v>
      </c>
      <c r="BF86" s="49" t="s">
        <v>206</v>
      </c>
      <c r="BG86" s="82" t="s">
        <v>207</v>
      </c>
      <c r="BH86" s="47"/>
      <c r="BI86" s="66">
        <v>373066001</v>
      </c>
      <c r="BJ86" s="47"/>
      <c r="BK86" s="46">
        <f t="shared" si="1"/>
        <v>1</v>
      </c>
      <c r="BL86" s="46"/>
      <c r="BM86" s="46"/>
      <c r="BN86" s="46"/>
    </row>
    <row r="87" spans="1:66" ht="12.75" hidden="1" customHeight="1">
      <c r="A87" s="22">
        <v>85</v>
      </c>
      <c r="B87" s="43" t="s">
        <v>255</v>
      </c>
      <c r="C87" s="43" t="e">
        <f t="shared" ca="1" si="0"/>
        <v>#NAME?</v>
      </c>
      <c r="D87" s="43" t="s">
        <v>208</v>
      </c>
      <c r="E87" s="22" t="s">
        <v>180</v>
      </c>
      <c r="F87" s="43" t="s">
        <v>485</v>
      </c>
      <c r="G87" s="22"/>
      <c r="H87" s="24"/>
      <c r="I87" s="24">
        <v>1</v>
      </c>
      <c r="J87" s="24" t="s">
        <v>221</v>
      </c>
      <c r="K87" s="24"/>
      <c r="L87" s="24"/>
      <c r="M87" s="24"/>
      <c r="N87" s="24"/>
      <c r="O87" s="22"/>
      <c r="P87" s="22"/>
      <c r="Q87" s="22"/>
      <c r="R87" s="42"/>
      <c r="S87" s="43"/>
      <c r="T87" s="24"/>
      <c r="U87" s="44"/>
      <c r="V87" s="43"/>
      <c r="W87" s="43" t="s">
        <v>208</v>
      </c>
      <c r="X87" s="43"/>
      <c r="Y87" s="24"/>
      <c r="Z87" s="24"/>
      <c r="AA87" s="43"/>
      <c r="AB87" s="43"/>
      <c r="AC87" s="45"/>
      <c r="AD87" s="24"/>
      <c r="AE87" s="24"/>
      <c r="AF87" s="24"/>
      <c r="AG87" s="22"/>
      <c r="AH87" s="45"/>
      <c r="AI87" s="24"/>
      <c r="AJ87" s="24"/>
      <c r="AK87" s="43"/>
      <c r="AL87" s="22"/>
      <c r="AM87" s="22"/>
      <c r="AN87" s="22"/>
      <c r="AO87" s="22"/>
      <c r="AP87" s="22"/>
      <c r="AQ87" s="22"/>
      <c r="AR87" s="22"/>
      <c r="AS87" s="22"/>
      <c r="AT87" s="24"/>
      <c r="AU87" s="24"/>
      <c r="AV87" s="67">
        <v>373067005</v>
      </c>
      <c r="AW87" s="24"/>
      <c r="AX87" s="24"/>
      <c r="AY87" s="24"/>
      <c r="AZ87" s="24"/>
      <c r="BA87" s="24"/>
      <c r="BB87" s="24"/>
      <c r="BC87" s="24"/>
      <c r="BD87" s="24"/>
      <c r="BE87" s="49" t="s">
        <v>115</v>
      </c>
      <c r="BF87" s="49" t="s">
        <v>209</v>
      </c>
      <c r="BG87" s="82" t="s">
        <v>210</v>
      </c>
      <c r="BH87" s="47"/>
      <c r="BI87" s="69">
        <v>373067005</v>
      </c>
      <c r="BJ87" s="47"/>
      <c r="BK87" s="46">
        <f t="shared" si="1"/>
        <v>1</v>
      </c>
      <c r="BL87" s="46"/>
      <c r="BM87" s="46"/>
      <c r="BN87" s="46"/>
    </row>
    <row r="88" spans="1:66" ht="12.75" hidden="1" customHeight="1">
      <c r="A88" s="22">
        <v>86</v>
      </c>
      <c r="B88" s="22" t="s">
        <v>492</v>
      </c>
      <c r="C88" s="22" t="str">
        <f t="shared" si="0"/>
        <v>Highest level of school</v>
      </c>
      <c r="D88" s="22" t="s">
        <v>492</v>
      </c>
      <c r="E88" s="22" t="s">
        <v>96</v>
      </c>
      <c r="F88" s="22"/>
      <c r="G88" s="22" t="s">
        <v>493</v>
      </c>
      <c r="H88" s="24"/>
      <c r="I88" s="24">
        <v>1</v>
      </c>
      <c r="J88" s="24" t="s">
        <v>494</v>
      </c>
      <c r="K88" s="24"/>
      <c r="L88" s="24"/>
      <c r="M88" s="24"/>
      <c r="N88" s="24"/>
      <c r="O88" s="22"/>
      <c r="P88" s="22"/>
      <c r="Q88" s="22"/>
      <c r="R88" s="70" t="s">
        <v>492</v>
      </c>
      <c r="S88" s="22" t="s">
        <v>495</v>
      </c>
      <c r="T88" s="22" t="s">
        <v>496</v>
      </c>
      <c r="U88" s="22" t="s">
        <v>202</v>
      </c>
      <c r="V88" s="22"/>
      <c r="W88" s="22"/>
      <c r="X88" s="22"/>
      <c r="Y88" s="22"/>
      <c r="Z88" s="24"/>
      <c r="AA88" s="24"/>
      <c r="AB88" s="22" t="s">
        <v>113</v>
      </c>
      <c r="AC88" s="45"/>
      <c r="AD88" s="24"/>
      <c r="AE88" s="24"/>
      <c r="AF88" s="24"/>
      <c r="AG88" s="22"/>
      <c r="AH88" s="45"/>
      <c r="AI88" s="24"/>
      <c r="AJ88" s="24"/>
      <c r="AK88" s="22"/>
      <c r="AL88" s="22"/>
      <c r="AM88" s="22"/>
      <c r="AN88" s="22"/>
      <c r="AO88" s="22"/>
      <c r="AP88" s="22"/>
      <c r="AQ88" s="22"/>
      <c r="AR88" s="22"/>
      <c r="AS88" s="22"/>
      <c r="AT88" s="133"/>
      <c r="AU88" s="134"/>
      <c r="AV88" s="135">
        <v>105421008</v>
      </c>
      <c r="AW88" s="136"/>
      <c r="AX88" s="136"/>
      <c r="AY88" s="136"/>
      <c r="AZ88" s="136"/>
      <c r="BA88" s="136"/>
      <c r="BB88" s="136"/>
      <c r="BC88" s="136"/>
      <c r="BD88" s="136"/>
      <c r="BE88" s="137" t="s">
        <v>115</v>
      </c>
      <c r="BF88" s="137" t="s">
        <v>497</v>
      </c>
      <c r="BG88" s="139" t="s">
        <v>498</v>
      </c>
      <c r="BH88" s="47"/>
      <c r="BI88" s="140">
        <v>105421008</v>
      </c>
      <c r="BJ88" s="47"/>
      <c r="BK88" s="46">
        <f t="shared" si="1"/>
        <v>1</v>
      </c>
      <c r="BL88" s="46"/>
      <c r="BM88" s="46"/>
      <c r="BN88" s="46"/>
    </row>
    <row r="89" spans="1:66" ht="12.75" hidden="1" customHeight="1">
      <c r="A89" s="22">
        <v>87</v>
      </c>
      <c r="B89" s="22" t="s">
        <v>553</v>
      </c>
      <c r="C89" s="22" t="e">
        <f t="shared" ca="1" si="0"/>
        <v>#NAME?</v>
      </c>
      <c r="D89" s="22" t="s">
        <v>423</v>
      </c>
      <c r="E89" s="22" t="s">
        <v>180</v>
      </c>
      <c r="F89" s="22" t="s">
        <v>492</v>
      </c>
      <c r="G89" s="22" t="s">
        <v>493</v>
      </c>
      <c r="H89" s="24"/>
      <c r="I89" s="24">
        <v>1</v>
      </c>
      <c r="J89" s="24" t="s">
        <v>494</v>
      </c>
      <c r="K89" s="24"/>
      <c r="L89" s="24"/>
      <c r="M89" s="24"/>
      <c r="N89" s="24"/>
      <c r="O89" s="22"/>
      <c r="P89" s="22"/>
      <c r="Q89" s="22"/>
      <c r="R89" s="70"/>
      <c r="S89" s="22"/>
      <c r="T89" s="22"/>
      <c r="U89" s="22"/>
      <c r="V89" s="22"/>
      <c r="W89" s="22" t="s">
        <v>423</v>
      </c>
      <c r="X89" s="22"/>
      <c r="Y89" s="22"/>
      <c r="Z89" s="24"/>
      <c r="AA89" s="24"/>
      <c r="AB89" s="22"/>
      <c r="AC89" s="45"/>
      <c r="AD89" s="24"/>
      <c r="AE89" s="24"/>
      <c r="AF89" s="24"/>
      <c r="AG89" s="22"/>
      <c r="AH89" s="45"/>
      <c r="AI89" s="24"/>
      <c r="AJ89" s="24"/>
      <c r="AK89" s="22"/>
      <c r="AL89" s="22"/>
      <c r="AM89" s="22"/>
      <c r="AN89" s="22"/>
      <c r="AO89" s="22"/>
      <c r="AP89" s="22"/>
      <c r="AQ89" s="22"/>
      <c r="AR89" s="22"/>
      <c r="AS89" s="22"/>
      <c r="AT89" s="133"/>
      <c r="AU89" s="134"/>
      <c r="AV89" s="135">
        <v>260413007</v>
      </c>
      <c r="AW89" s="136"/>
      <c r="AX89" s="136"/>
      <c r="AY89" s="136"/>
      <c r="AZ89" s="136"/>
      <c r="BA89" s="136"/>
      <c r="BB89" s="136"/>
      <c r="BC89" s="136"/>
      <c r="BD89" s="136"/>
      <c r="BE89" s="137" t="s">
        <v>115</v>
      </c>
      <c r="BF89" s="137" t="s">
        <v>424</v>
      </c>
      <c r="BG89" s="139" t="s">
        <v>425</v>
      </c>
      <c r="BH89" s="47"/>
      <c r="BI89" s="140">
        <v>260413007</v>
      </c>
      <c r="BJ89" s="47"/>
      <c r="BK89" s="46">
        <f t="shared" si="1"/>
        <v>1</v>
      </c>
      <c r="BL89" s="46"/>
      <c r="BM89" s="46"/>
      <c r="BN89" s="46"/>
    </row>
    <row r="90" spans="1:66" ht="12.75" hidden="1" customHeight="1">
      <c r="A90" s="22">
        <v>88</v>
      </c>
      <c r="B90" s="22" t="s">
        <v>701</v>
      </c>
      <c r="C90" s="22" t="e">
        <f t="shared" ca="1" si="0"/>
        <v>#NAME?</v>
      </c>
      <c r="D90" s="22" t="s">
        <v>500</v>
      </c>
      <c r="E90" s="22" t="s">
        <v>180</v>
      </c>
      <c r="F90" s="22" t="s">
        <v>492</v>
      </c>
      <c r="G90" s="22" t="s">
        <v>493</v>
      </c>
      <c r="H90" s="24"/>
      <c r="I90" s="24">
        <v>1</v>
      </c>
      <c r="J90" s="24" t="s">
        <v>494</v>
      </c>
      <c r="K90" s="24"/>
      <c r="L90" s="24"/>
      <c r="M90" s="24"/>
      <c r="N90" s="24"/>
      <c r="O90" s="22"/>
      <c r="P90" s="22"/>
      <c r="Q90" s="22"/>
      <c r="R90" s="70"/>
      <c r="S90" s="22"/>
      <c r="T90" s="22"/>
      <c r="U90" s="22"/>
      <c r="V90" s="22"/>
      <c r="W90" s="22" t="s">
        <v>500</v>
      </c>
      <c r="X90" s="22"/>
      <c r="Y90" s="22"/>
      <c r="Z90" s="24"/>
      <c r="AA90" s="24"/>
      <c r="AB90" s="22"/>
      <c r="AC90" s="45"/>
      <c r="AD90" s="24"/>
      <c r="AE90" s="24"/>
      <c r="AF90" s="24"/>
      <c r="AG90" s="22"/>
      <c r="AH90" s="45"/>
      <c r="AI90" s="24"/>
      <c r="AJ90" s="24"/>
      <c r="AK90" s="22"/>
      <c r="AL90" s="22"/>
      <c r="AM90" s="22"/>
      <c r="AN90" s="22"/>
      <c r="AO90" s="22"/>
      <c r="AP90" s="22"/>
      <c r="AQ90" s="22"/>
      <c r="AR90" s="22"/>
      <c r="AS90" s="22"/>
      <c r="AT90" s="133"/>
      <c r="AU90" s="134"/>
      <c r="AV90" s="135">
        <v>261665006</v>
      </c>
      <c r="AW90" s="136"/>
      <c r="AX90" s="136"/>
      <c r="AY90" s="136"/>
      <c r="AZ90" s="136"/>
      <c r="BA90" s="136"/>
      <c r="BB90" s="136"/>
      <c r="BC90" s="136"/>
      <c r="BD90" s="136"/>
      <c r="BE90" s="137" t="s">
        <v>115</v>
      </c>
      <c r="BF90" s="137" t="s">
        <v>501</v>
      </c>
      <c r="BG90" s="139" t="s">
        <v>503</v>
      </c>
      <c r="BH90" s="47"/>
      <c r="BI90" s="140">
        <v>261665006</v>
      </c>
      <c r="BJ90" s="47"/>
      <c r="BK90" s="46">
        <f t="shared" si="1"/>
        <v>1</v>
      </c>
      <c r="BL90" s="46"/>
      <c r="BM90" s="46"/>
      <c r="BN90" s="46"/>
    </row>
    <row r="91" spans="1:66" ht="12.75" hidden="1" customHeight="1">
      <c r="A91" s="22">
        <v>89</v>
      </c>
      <c r="B91" s="22" t="s">
        <v>705</v>
      </c>
      <c r="C91" s="22" t="e">
        <f t="shared" ca="1" si="0"/>
        <v>#NAME?</v>
      </c>
      <c r="D91" s="22" t="s">
        <v>504</v>
      </c>
      <c r="E91" s="22" t="s">
        <v>180</v>
      </c>
      <c r="F91" s="22" t="s">
        <v>492</v>
      </c>
      <c r="G91" s="22" t="s">
        <v>493</v>
      </c>
      <c r="H91" s="24"/>
      <c r="I91" s="24">
        <v>1</v>
      </c>
      <c r="J91" s="24" t="s">
        <v>494</v>
      </c>
      <c r="K91" s="24"/>
      <c r="L91" s="24"/>
      <c r="M91" s="24"/>
      <c r="N91" s="24"/>
      <c r="O91" s="22"/>
      <c r="P91" s="22"/>
      <c r="Q91" s="22"/>
      <c r="R91" s="70"/>
      <c r="S91" s="22"/>
      <c r="T91" s="22"/>
      <c r="U91" s="22"/>
      <c r="V91" s="22"/>
      <c r="W91" s="22" t="s">
        <v>504</v>
      </c>
      <c r="X91" s="22"/>
      <c r="Y91" s="22"/>
      <c r="Z91" s="24"/>
      <c r="AA91" s="24"/>
      <c r="AB91" s="22"/>
      <c r="AC91" s="45"/>
      <c r="AD91" s="24"/>
      <c r="AE91" s="24"/>
      <c r="AF91" s="24"/>
      <c r="AG91" s="22"/>
      <c r="AH91" s="45"/>
      <c r="AI91" s="24"/>
      <c r="AJ91" s="24"/>
      <c r="AK91" s="22"/>
      <c r="AL91" s="22"/>
      <c r="AM91" s="22"/>
      <c r="AN91" s="22"/>
      <c r="AO91" s="22"/>
      <c r="AP91" s="22"/>
      <c r="AQ91" s="22"/>
      <c r="AR91" s="22"/>
      <c r="AS91" s="22"/>
      <c r="AT91" s="133"/>
      <c r="AU91" s="134"/>
      <c r="AV91" s="135">
        <v>224295006</v>
      </c>
      <c r="AW91" s="136"/>
      <c r="AX91" s="136"/>
      <c r="AY91" s="136"/>
      <c r="AZ91" s="136"/>
      <c r="BA91" s="136"/>
      <c r="BB91" s="136"/>
      <c r="BC91" s="136"/>
      <c r="BD91" s="136"/>
      <c r="BE91" s="137" t="s">
        <v>115</v>
      </c>
      <c r="BF91" s="137" t="s">
        <v>505</v>
      </c>
      <c r="BG91" s="139" t="s">
        <v>506</v>
      </c>
      <c r="BH91" s="47"/>
      <c r="BI91" s="140">
        <v>224295006</v>
      </c>
      <c r="BJ91" s="47"/>
      <c r="BK91" s="46">
        <f t="shared" si="1"/>
        <v>1</v>
      </c>
      <c r="BL91" s="46"/>
      <c r="BM91" s="46"/>
      <c r="BN91" s="46"/>
    </row>
    <row r="92" spans="1:66" ht="12.75" hidden="1" customHeight="1">
      <c r="A92" s="22">
        <v>90</v>
      </c>
      <c r="B92" s="22" t="s">
        <v>712</v>
      </c>
      <c r="C92" s="22" t="e">
        <f t="shared" ca="1" si="0"/>
        <v>#NAME?</v>
      </c>
      <c r="D92" s="22" t="s">
        <v>507</v>
      </c>
      <c r="E92" s="22" t="s">
        <v>180</v>
      </c>
      <c r="F92" s="22" t="s">
        <v>492</v>
      </c>
      <c r="G92" s="22" t="s">
        <v>493</v>
      </c>
      <c r="H92" s="24"/>
      <c r="I92" s="24">
        <v>1</v>
      </c>
      <c r="J92" s="24" t="s">
        <v>494</v>
      </c>
      <c r="K92" s="24"/>
      <c r="L92" s="24"/>
      <c r="M92" s="24"/>
      <c r="N92" s="24"/>
      <c r="O92" s="22"/>
      <c r="P92" s="22"/>
      <c r="Q92" s="22"/>
      <c r="R92" s="70"/>
      <c r="S92" s="22"/>
      <c r="T92" s="22"/>
      <c r="U92" s="22"/>
      <c r="V92" s="22"/>
      <c r="W92" s="22" t="s">
        <v>507</v>
      </c>
      <c r="X92" s="22"/>
      <c r="Y92" s="22"/>
      <c r="Z92" s="24"/>
      <c r="AA92" s="24"/>
      <c r="AB92" s="22"/>
      <c r="AC92" s="45"/>
      <c r="AD92" s="24"/>
      <c r="AE92" s="24"/>
      <c r="AF92" s="24"/>
      <c r="AG92" s="22"/>
      <c r="AH92" s="45"/>
      <c r="AI92" s="24"/>
      <c r="AJ92" s="24"/>
      <c r="AK92" s="22"/>
      <c r="AL92" s="22"/>
      <c r="AM92" s="22"/>
      <c r="AN92" s="22"/>
      <c r="AO92" s="22"/>
      <c r="AP92" s="22"/>
      <c r="AQ92" s="22"/>
      <c r="AR92" s="22"/>
      <c r="AS92" s="22"/>
      <c r="AT92" s="133"/>
      <c r="AU92" s="134"/>
      <c r="AV92" s="24">
        <v>224297003</v>
      </c>
      <c r="AW92" s="136"/>
      <c r="AX92" s="136"/>
      <c r="AY92" s="136"/>
      <c r="AZ92" s="136"/>
      <c r="BA92" s="136"/>
      <c r="BB92" s="136"/>
      <c r="BC92" s="136"/>
      <c r="BD92" s="136"/>
      <c r="BE92" s="137" t="s">
        <v>115</v>
      </c>
      <c r="BF92" s="137" t="s">
        <v>509</v>
      </c>
      <c r="BG92" s="139" t="s">
        <v>510</v>
      </c>
      <c r="BH92" s="47"/>
      <c r="BI92" s="47">
        <v>224297003</v>
      </c>
      <c r="BJ92" s="47"/>
      <c r="BK92" s="46">
        <f t="shared" si="1"/>
        <v>1</v>
      </c>
      <c r="BL92" s="46"/>
      <c r="BM92" s="46"/>
      <c r="BN92" s="46"/>
    </row>
    <row r="93" spans="1:66" ht="12.75" hidden="1" customHeight="1">
      <c r="A93" s="22">
        <v>91</v>
      </c>
      <c r="B93" s="22" t="s">
        <v>716</v>
      </c>
      <c r="C93" s="22" t="e">
        <f t="shared" ca="1" si="0"/>
        <v>#NAME?</v>
      </c>
      <c r="D93" s="22" t="s">
        <v>511</v>
      </c>
      <c r="E93" s="22" t="s">
        <v>180</v>
      </c>
      <c r="F93" s="22" t="s">
        <v>492</v>
      </c>
      <c r="G93" s="22" t="s">
        <v>493</v>
      </c>
      <c r="H93" s="24"/>
      <c r="I93" s="24">
        <v>1</v>
      </c>
      <c r="J93" s="24" t="s">
        <v>494</v>
      </c>
      <c r="K93" s="24"/>
      <c r="L93" s="24"/>
      <c r="M93" s="24"/>
      <c r="N93" s="24"/>
      <c r="O93" s="22"/>
      <c r="P93" s="22"/>
      <c r="Q93" s="22"/>
      <c r="R93" s="70"/>
      <c r="S93" s="22"/>
      <c r="T93" s="22"/>
      <c r="U93" s="22"/>
      <c r="V93" s="22"/>
      <c r="W93" s="22" t="s">
        <v>511</v>
      </c>
      <c r="X93" s="22"/>
      <c r="Y93" s="22"/>
      <c r="Z93" s="24"/>
      <c r="AA93" s="24"/>
      <c r="AB93" s="22"/>
      <c r="AC93" s="45"/>
      <c r="AD93" s="24"/>
      <c r="AE93" s="24"/>
      <c r="AF93" s="24"/>
      <c r="AG93" s="22"/>
      <c r="AH93" s="45"/>
      <c r="AI93" s="24"/>
      <c r="AJ93" s="24"/>
      <c r="AK93" s="22"/>
      <c r="AL93" s="22"/>
      <c r="AM93" s="22"/>
      <c r="AN93" s="22"/>
      <c r="AO93" s="22"/>
      <c r="AP93" s="22"/>
      <c r="AQ93" s="22"/>
      <c r="AR93" s="22"/>
      <c r="AS93" s="22"/>
      <c r="AT93" s="133"/>
      <c r="AU93" s="134"/>
      <c r="AV93" s="24" t="s">
        <v>513</v>
      </c>
      <c r="AW93" s="136"/>
      <c r="AX93" s="136"/>
      <c r="AY93" s="136"/>
      <c r="AZ93" s="136"/>
      <c r="BA93" s="136"/>
      <c r="BB93" s="136"/>
      <c r="BC93" s="136"/>
      <c r="BD93" s="136"/>
      <c r="BE93" s="137" t="s">
        <v>115</v>
      </c>
      <c r="BF93" s="137" t="s">
        <v>514</v>
      </c>
      <c r="BG93" s="139" t="s">
        <v>515</v>
      </c>
      <c r="BH93" s="47"/>
      <c r="BI93" s="142" t="s">
        <v>513</v>
      </c>
      <c r="BJ93" s="47"/>
      <c r="BK93" s="46">
        <f t="shared" si="1"/>
        <v>1</v>
      </c>
      <c r="BL93" s="46"/>
      <c r="BM93" s="46"/>
      <c r="BN93" s="46"/>
    </row>
    <row r="94" spans="1:66" ht="12.75" hidden="1" customHeight="1">
      <c r="A94" s="22">
        <v>92</v>
      </c>
      <c r="B94" s="22" t="s">
        <v>516</v>
      </c>
      <c r="C94" s="22" t="str">
        <f t="shared" si="0"/>
        <v>Occupation</v>
      </c>
      <c r="D94" s="22" t="s">
        <v>516</v>
      </c>
      <c r="E94" s="22" t="s">
        <v>96</v>
      </c>
      <c r="F94" s="22"/>
      <c r="G94" s="22" t="s">
        <v>493</v>
      </c>
      <c r="H94" s="24"/>
      <c r="I94" s="24">
        <v>1</v>
      </c>
      <c r="J94" s="24" t="s">
        <v>494</v>
      </c>
      <c r="K94" s="24"/>
      <c r="L94" s="24"/>
      <c r="M94" s="24"/>
      <c r="N94" s="24"/>
      <c r="O94" s="22"/>
      <c r="P94" s="22"/>
      <c r="Q94" s="22"/>
      <c r="R94" s="70" t="s">
        <v>516</v>
      </c>
      <c r="S94" s="22" t="s">
        <v>517</v>
      </c>
      <c r="T94" s="22" t="s">
        <v>518</v>
      </c>
      <c r="U94" s="22" t="s">
        <v>238</v>
      </c>
      <c r="V94" s="22"/>
      <c r="W94" s="22"/>
      <c r="X94" s="22"/>
      <c r="Y94" s="22"/>
      <c r="Z94" s="24"/>
      <c r="AA94" s="24"/>
      <c r="AB94" s="22" t="s">
        <v>113</v>
      </c>
      <c r="AC94" s="45"/>
      <c r="AD94" s="24"/>
      <c r="AE94" s="24"/>
      <c r="AF94" s="24"/>
      <c r="AG94" s="22"/>
      <c r="AH94" s="45"/>
      <c r="AI94" s="24"/>
      <c r="AJ94" s="24"/>
      <c r="AK94" s="22"/>
      <c r="AL94" s="22"/>
      <c r="AM94" s="22"/>
      <c r="AN94" s="22"/>
      <c r="AO94" s="22"/>
      <c r="AP94" s="22"/>
      <c r="AQ94" s="22"/>
      <c r="AR94" s="22"/>
      <c r="AS94" s="22"/>
      <c r="AT94" s="133"/>
      <c r="AU94" s="134"/>
      <c r="AV94" s="135">
        <v>14679004</v>
      </c>
      <c r="AW94" s="136"/>
      <c r="AX94" s="136"/>
      <c r="AY94" s="136"/>
      <c r="AZ94" s="136"/>
      <c r="BA94" s="136"/>
      <c r="BB94" s="136"/>
      <c r="BC94" s="136"/>
      <c r="BD94" s="136"/>
      <c r="BE94" s="137" t="s">
        <v>115</v>
      </c>
      <c r="BF94" s="143" t="s">
        <v>519</v>
      </c>
      <c r="BG94" s="139" t="s">
        <v>521</v>
      </c>
      <c r="BH94" s="64"/>
      <c r="BI94" s="145">
        <v>14679004</v>
      </c>
      <c r="BJ94" s="47"/>
      <c r="BK94" s="46">
        <f t="shared" si="1"/>
        <v>1</v>
      </c>
      <c r="BL94" s="46"/>
      <c r="BM94" s="46"/>
      <c r="BN94" s="46"/>
    </row>
    <row r="95" spans="1:66" ht="15" hidden="1" customHeight="1">
      <c r="A95" s="22">
        <v>93</v>
      </c>
      <c r="B95" s="22" t="s">
        <v>730</v>
      </c>
      <c r="C95" s="22" t="e">
        <f t="shared" ca="1" si="0"/>
        <v>#NAME?</v>
      </c>
      <c r="D95" s="22" t="s">
        <v>522</v>
      </c>
      <c r="E95" s="22" t="s">
        <v>180</v>
      </c>
      <c r="F95" s="22" t="s">
        <v>516</v>
      </c>
      <c r="G95" s="22" t="s">
        <v>493</v>
      </c>
      <c r="H95" s="24"/>
      <c r="I95" s="24">
        <v>1</v>
      </c>
      <c r="J95" s="24" t="s">
        <v>494</v>
      </c>
      <c r="K95" s="24"/>
      <c r="L95" s="24"/>
      <c r="M95" s="24"/>
      <c r="N95" s="24"/>
      <c r="O95" s="22"/>
      <c r="P95" s="22"/>
      <c r="Q95" s="22"/>
      <c r="R95" s="70"/>
      <c r="S95" s="22"/>
      <c r="T95" s="22"/>
      <c r="U95" s="22"/>
      <c r="V95" s="22"/>
      <c r="W95" s="22" t="s">
        <v>522</v>
      </c>
      <c r="X95" s="22"/>
      <c r="Y95" s="22"/>
      <c r="Z95" s="24"/>
      <c r="AA95" s="24"/>
      <c r="AB95" s="22"/>
      <c r="AC95" s="45"/>
      <c r="AD95" s="24"/>
      <c r="AE95" s="24"/>
      <c r="AF95" s="24"/>
      <c r="AG95" s="22"/>
      <c r="AH95" s="45"/>
      <c r="AI95" s="24"/>
      <c r="AJ95" s="24"/>
      <c r="AK95" s="22"/>
      <c r="AL95" s="22"/>
      <c r="AM95" s="22"/>
      <c r="AN95" s="22"/>
      <c r="AO95" s="22"/>
      <c r="AP95" s="22"/>
      <c r="AQ95" s="22"/>
      <c r="AR95" s="22"/>
      <c r="AS95" s="22"/>
      <c r="AT95" s="147"/>
      <c r="AU95" s="134"/>
      <c r="AV95" s="148">
        <v>65853000</v>
      </c>
      <c r="AW95" s="136"/>
      <c r="AX95" s="136"/>
      <c r="AY95" s="136"/>
      <c r="AZ95" s="136"/>
      <c r="BA95" s="136"/>
      <c r="BB95" s="136"/>
      <c r="BC95" s="136"/>
      <c r="BD95" s="136"/>
      <c r="BE95" s="137" t="s">
        <v>115</v>
      </c>
      <c r="BF95" s="143" t="s">
        <v>524</v>
      </c>
      <c r="BG95" s="139" t="s">
        <v>525</v>
      </c>
      <c r="BH95" s="149"/>
      <c r="BI95" s="150">
        <v>65853000</v>
      </c>
      <c r="BJ95" s="47"/>
      <c r="BK95" s="46">
        <f t="shared" si="1"/>
        <v>1</v>
      </c>
      <c r="BL95" s="46"/>
      <c r="BM95" s="46"/>
      <c r="BN95" s="46"/>
    </row>
    <row r="96" spans="1:66" ht="15" hidden="1" customHeight="1">
      <c r="A96" s="22">
        <v>94</v>
      </c>
      <c r="B96" s="22" t="s">
        <v>738</v>
      </c>
      <c r="C96" s="22" t="e">
        <f t="shared" ca="1" si="0"/>
        <v>#NAME?</v>
      </c>
      <c r="D96" s="22" t="s">
        <v>526</v>
      </c>
      <c r="E96" s="22" t="s">
        <v>180</v>
      </c>
      <c r="F96" s="22" t="s">
        <v>516</v>
      </c>
      <c r="G96" s="22" t="s">
        <v>493</v>
      </c>
      <c r="H96" s="24"/>
      <c r="I96" s="24">
        <v>1</v>
      </c>
      <c r="J96" s="24" t="s">
        <v>494</v>
      </c>
      <c r="K96" s="24"/>
      <c r="L96" s="24"/>
      <c r="M96" s="24"/>
      <c r="N96" s="24"/>
      <c r="O96" s="22"/>
      <c r="P96" s="22"/>
      <c r="Q96" s="22"/>
      <c r="R96" s="70"/>
      <c r="S96" s="22"/>
      <c r="T96" s="22"/>
      <c r="U96" s="22"/>
      <c r="V96" s="22"/>
      <c r="W96" s="22" t="s">
        <v>526</v>
      </c>
      <c r="X96" s="22"/>
      <c r="Y96" s="22"/>
      <c r="Z96" s="24"/>
      <c r="AA96" s="24"/>
      <c r="AB96" s="22"/>
      <c r="AC96" s="45"/>
      <c r="AD96" s="24"/>
      <c r="AE96" s="24"/>
      <c r="AF96" s="24"/>
      <c r="AG96" s="22"/>
      <c r="AH96" s="45"/>
      <c r="AI96" s="24"/>
      <c r="AJ96" s="24"/>
      <c r="AK96" s="22"/>
      <c r="AL96" s="22"/>
      <c r="AM96" s="22"/>
      <c r="AN96" s="22"/>
      <c r="AO96" s="22"/>
      <c r="AP96" s="22"/>
      <c r="AQ96" s="22"/>
      <c r="AR96" s="22"/>
      <c r="AS96" s="22"/>
      <c r="AT96" s="147" t="s">
        <v>527</v>
      </c>
      <c r="AU96" s="134"/>
      <c r="AV96" s="148">
        <v>73438004</v>
      </c>
      <c r="AW96" s="133"/>
      <c r="AX96" s="133"/>
      <c r="AY96" s="133"/>
      <c r="AZ96" s="133"/>
      <c r="BA96" s="133"/>
      <c r="BB96" s="133"/>
      <c r="BC96" s="133"/>
      <c r="BD96" s="133"/>
      <c r="BE96" s="137" t="s">
        <v>115</v>
      </c>
      <c r="BF96" s="143" t="s">
        <v>528</v>
      </c>
      <c r="BG96" s="139" t="s">
        <v>529</v>
      </c>
      <c r="BH96" s="149" t="s">
        <v>527</v>
      </c>
      <c r="BI96" s="150">
        <v>73438004</v>
      </c>
      <c r="BJ96" s="47"/>
      <c r="BK96" s="46">
        <f t="shared" si="1"/>
        <v>1</v>
      </c>
      <c r="BL96" s="46"/>
      <c r="BM96" s="46"/>
      <c r="BN96" s="46"/>
    </row>
    <row r="97" spans="1:66" ht="12.75" hidden="1" customHeight="1">
      <c r="A97" s="22">
        <v>95</v>
      </c>
      <c r="B97" s="22" t="s">
        <v>744</v>
      </c>
      <c r="C97" s="22" t="e">
        <f t="shared" ca="1" si="0"/>
        <v>#NAME?</v>
      </c>
      <c r="D97" s="22" t="s">
        <v>530</v>
      </c>
      <c r="E97" s="22" t="s">
        <v>180</v>
      </c>
      <c r="F97" s="22" t="s">
        <v>516</v>
      </c>
      <c r="G97" s="22" t="s">
        <v>493</v>
      </c>
      <c r="H97" s="24"/>
      <c r="I97" s="24">
        <v>1</v>
      </c>
      <c r="J97" s="24" t="s">
        <v>494</v>
      </c>
      <c r="K97" s="24"/>
      <c r="L97" s="24"/>
      <c r="M97" s="24"/>
      <c r="N97" s="24"/>
      <c r="O97" s="22"/>
      <c r="P97" s="22"/>
      <c r="Q97" s="22"/>
      <c r="R97" s="70"/>
      <c r="S97" s="22"/>
      <c r="T97" s="22"/>
      <c r="U97" s="22"/>
      <c r="V97" s="22"/>
      <c r="W97" s="22" t="s">
        <v>530</v>
      </c>
      <c r="X97" s="22"/>
      <c r="Y97" s="22"/>
      <c r="Z97" s="24"/>
      <c r="AA97" s="24"/>
      <c r="AB97" s="22"/>
      <c r="AC97" s="45"/>
      <c r="AD97" s="24"/>
      <c r="AE97" s="24"/>
      <c r="AF97" s="24"/>
      <c r="AG97" s="22"/>
      <c r="AH97" s="45"/>
      <c r="AI97" s="24"/>
      <c r="AJ97" s="24"/>
      <c r="AK97" s="22"/>
      <c r="AL97" s="22"/>
      <c r="AM97" s="22"/>
      <c r="AN97" s="22"/>
      <c r="AO97" s="22"/>
      <c r="AP97" s="22"/>
      <c r="AQ97" s="22"/>
      <c r="AR97" s="22"/>
      <c r="AS97" s="22"/>
      <c r="AT97" s="151"/>
      <c r="AU97" s="151"/>
      <c r="AV97" s="152"/>
      <c r="AW97" s="133"/>
      <c r="AX97" s="133"/>
      <c r="AY97" s="133"/>
      <c r="AZ97" s="133"/>
      <c r="BA97" s="133"/>
      <c r="BB97" s="133"/>
      <c r="BC97" s="133"/>
      <c r="BD97" s="133"/>
      <c r="BE97" s="137" t="s">
        <v>115</v>
      </c>
      <c r="BF97" s="137" t="s">
        <v>532</v>
      </c>
      <c r="BG97" s="139" t="s">
        <v>533</v>
      </c>
      <c r="BH97" s="153"/>
      <c r="BI97" s="154"/>
      <c r="BJ97" s="47"/>
      <c r="BK97" s="46">
        <f t="shared" si="1"/>
        <v>1</v>
      </c>
      <c r="BL97" s="46"/>
      <c r="BM97" s="46"/>
      <c r="BN97" s="46"/>
    </row>
    <row r="98" spans="1:66" ht="12.75" hidden="1" customHeight="1">
      <c r="A98" s="22">
        <v>96</v>
      </c>
      <c r="B98" s="22" t="s">
        <v>756</v>
      </c>
      <c r="C98" s="22" t="e">
        <f t="shared" ca="1" si="0"/>
        <v>#NAME?</v>
      </c>
      <c r="D98" s="22" t="s">
        <v>534</v>
      </c>
      <c r="E98" s="22" t="s">
        <v>180</v>
      </c>
      <c r="F98" s="22" t="s">
        <v>516</v>
      </c>
      <c r="G98" s="22" t="s">
        <v>493</v>
      </c>
      <c r="H98" s="24"/>
      <c r="I98" s="24">
        <v>1</v>
      </c>
      <c r="J98" s="24" t="s">
        <v>494</v>
      </c>
      <c r="K98" s="24"/>
      <c r="L98" s="24"/>
      <c r="M98" s="24"/>
      <c r="N98" s="24"/>
      <c r="O98" s="22"/>
      <c r="P98" s="22"/>
      <c r="Q98" s="22"/>
      <c r="R98" s="70"/>
      <c r="S98" s="22"/>
      <c r="T98" s="22"/>
      <c r="U98" s="22"/>
      <c r="V98" s="22"/>
      <c r="W98" s="22" t="s">
        <v>534</v>
      </c>
      <c r="X98" s="22"/>
      <c r="Y98" s="22"/>
      <c r="Z98" s="24"/>
      <c r="AA98" s="24"/>
      <c r="AB98" s="22"/>
      <c r="AC98" s="45"/>
      <c r="AD98" s="24"/>
      <c r="AE98" s="24"/>
      <c r="AF98" s="24"/>
      <c r="AG98" s="22"/>
      <c r="AH98" s="45"/>
      <c r="AI98" s="24"/>
      <c r="AJ98" s="24"/>
      <c r="AK98" s="22"/>
      <c r="AL98" s="22"/>
      <c r="AM98" s="22"/>
      <c r="AN98" s="22"/>
      <c r="AO98" s="22"/>
      <c r="AP98" s="22"/>
      <c r="AQ98" s="22"/>
      <c r="AR98" s="22"/>
      <c r="AS98" s="22"/>
      <c r="AT98" s="134"/>
      <c r="AU98" s="134"/>
      <c r="AV98" s="156">
        <v>53713009</v>
      </c>
      <c r="AW98" s="133"/>
      <c r="AX98" s="133"/>
      <c r="AY98" s="133"/>
      <c r="AZ98" s="133"/>
      <c r="BA98" s="133"/>
      <c r="BB98" s="133"/>
      <c r="BC98" s="133"/>
      <c r="BD98" s="133"/>
      <c r="BE98" s="137" t="s">
        <v>115</v>
      </c>
      <c r="BF98" s="143" t="s">
        <v>536</v>
      </c>
      <c r="BG98" s="139" t="s">
        <v>537</v>
      </c>
      <c r="BH98" s="47"/>
      <c r="BI98" s="157">
        <v>53713009</v>
      </c>
      <c r="BJ98" s="47"/>
      <c r="BK98" s="46">
        <f t="shared" si="1"/>
        <v>1</v>
      </c>
      <c r="BL98" s="46"/>
      <c r="BM98" s="46"/>
      <c r="BN98" s="46"/>
    </row>
    <row r="99" spans="1:66" ht="12.75" hidden="1" customHeight="1">
      <c r="A99" s="22">
        <v>97</v>
      </c>
      <c r="B99" s="22" t="s">
        <v>764</v>
      </c>
      <c r="C99" s="22" t="e">
        <f t="shared" ca="1" si="0"/>
        <v>#NAME?</v>
      </c>
      <c r="D99" s="22" t="s">
        <v>538</v>
      </c>
      <c r="E99" s="22" t="s">
        <v>180</v>
      </c>
      <c r="F99" s="22" t="s">
        <v>516</v>
      </c>
      <c r="G99" s="22" t="s">
        <v>493</v>
      </c>
      <c r="H99" s="24"/>
      <c r="I99" s="24">
        <v>1</v>
      </c>
      <c r="J99" s="24" t="s">
        <v>494</v>
      </c>
      <c r="K99" s="24"/>
      <c r="L99" s="24"/>
      <c r="M99" s="24"/>
      <c r="N99" s="24"/>
      <c r="O99" s="22"/>
      <c r="P99" s="22"/>
      <c r="Q99" s="22"/>
      <c r="R99" s="70"/>
      <c r="S99" s="22"/>
      <c r="T99" s="22"/>
      <c r="U99" s="22"/>
      <c r="V99" s="22"/>
      <c r="W99" s="22" t="s">
        <v>538</v>
      </c>
      <c r="X99" s="22"/>
      <c r="Y99" s="22"/>
      <c r="Z99" s="24"/>
      <c r="AA99" s="24"/>
      <c r="AB99" s="22"/>
      <c r="AC99" s="45"/>
      <c r="AD99" s="24"/>
      <c r="AE99" s="24"/>
      <c r="AF99" s="24"/>
      <c r="AG99" s="22"/>
      <c r="AH99" s="45"/>
      <c r="AI99" s="24"/>
      <c r="AJ99" s="24"/>
      <c r="AK99" s="22"/>
      <c r="AL99" s="22"/>
      <c r="AM99" s="22"/>
      <c r="AN99" s="22"/>
      <c r="AO99" s="22"/>
      <c r="AP99" s="22"/>
      <c r="AQ99" s="22"/>
      <c r="AR99" s="22"/>
      <c r="AS99" s="22"/>
      <c r="AT99" s="134"/>
      <c r="AU99" s="134"/>
      <c r="AV99" s="24">
        <v>106540006</v>
      </c>
      <c r="AW99" s="133"/>
      <c r="AX99" s="133"/>
      <c r="AY99" s="133"/>
      <c r="AZ99" s="133"/>
      <c r="BA99" s="133"/>
      <c r="BB99" s="133"/>
      <c r="BC99" s="133"/>
      <c r="BD99" s="133"/>
      <c r="BE99" s="137" t="s">
        <v>115</v>
      </c>
      <c r="BF99" s="137" t="s">
        <v>539</v>
      </c>
      <c r="BG99" s="139" t="s">
        <v>540</v>
      </c>
      <c r="BH99" s="47"/>
      <c r="BI99" s="47">
        <v>106540006</v>
      </c>
      <c r="BJ99" s="47"/>
      <c r="BK99" s="46">
        <f t="shared" si="1"/>
        <v>1</v>
      </c>
      <c r="BL99" s="46"/>
      <c r="BM99" s="46"/>
      <c r="BN99" s="46"/>
    </row>
    <row r="100" spans="1:66" ht="12.75" hidden="1" customHeight="1">
      <c r="A100" s="22">
        <v>98</v>
      </c>
      <c r="B100" s="22" t="s">
        <v>535</v>
      </c>
      <c r="C100" s="22" t="e">
        <f t="shared" ca="1" si="0"/>
        <v>#NAME?</v>
      </c>
      <c r="D100" s="22" t="s">
        <v>405</v>
      </c>
      <c r="E100" s="22" t="s">
        <v>180</v>
      </c>
      <c r="F100" s="22" t="s">
        <v>516</v>
      </c>
      <c r="G100" s="22" t="s">
        <v>493</v>
      </c>
      <c r="H100" s="24"/>
      <c r="I100" s="24">
        <v>1</v>
      </c>
      <c r="J100" s="24" t="s">
        <v>494</v>
      </c>
      <c r="K100" s="24"/>
      <c r="L100" s="24"/>
      <c r="M100" s="24"/>
      <c r="N100" s="24"/>
      <c r="O100" s="22"/>
      <c r="P100" s="22"/>
      <c r="Q100" s="22"/>
      <c r="R100" s="70"/>
      <c r="S100" s="22"/>
      <c r="T100" s="22"/>
      <c r="U100" s="22"/>
      <c r="V100" s="22"/>
      <c r="W100" s="22" t="s">
        <v>405</v>
      </c>
      <c r="X100" s="22"/>
      <c r="Y100" s="22"/>
      <c r="Z100" s="24"/>
      <c r="AA100" s="24"/>
      <c r="AB100" s="22"/>
      <c r="AC100" s="45"/>
      <c r="AD100" s="24"/>
      <c r="AE100" s="24"/>
      <c r="AF100" s="24"/>
      <c r="AG100" s="22"/>
      <c r="AH100" s="45"/>
      <c r="AI100" s="24"/>
      <c r="AJ100" s="24"/>
      <c r="AK100" s="22"/>
      <c r="AL100" s="22"/>
      <c r="AM100" s="22"/>
      <c r="AN100" s="22"/>
      <c r="AO100" s="22"/>
      <c r="AP100" s="22"/>
      <c r="AQ100" s="22"/>
      <c r="AR100" s="22"/>
      <c r="AS100" s="22"/>
      <c r="AT100" s="134"/>
      <c r="AU100" s="134"/>
      <c r="AV100" s="108" t="s">
        <v>541</v>
      </c>
      <c r="AW100" s="133"/>
      <c r="AX100" s="133"/>
      <c r="AY100" s="133"/>
      <c r="AZ100" s="133"/>
      <c r="BA100" s="133"/>
      <c r="BB100" s="133"/>
      <c r="BC100" s="133"/>
      <c r="BD100" s="133"/>
      <c r="BE100" s="137" t="s">
        <v>115</v>
      </c>
      <c r="BF100" s="137" t="s">
        <v>406</v>
      </c>
      <c r="BG100" s="139" t="s">
        <v>407</v>
      </c>
      <c r="BH100" s="64"/>
      <c r="BI100" s="159" t="s">
        <v>541</v>
      </c>
      <c r="BJ100" s="47"/>
      <c r="BK100" s="46">
        <f t="shared" si="1"/>
        <v>1</v>
      </c>
      <c r="BL100" s="46"/>
      <c r="BM100" s="46"/>
      <c r="BN100" s="46"/>
    </row>
    <row r="101" spans="1:66" ht="12.75" hidden="1" customHeight="1">
      <c r="A101" s="22">
        <v>99</v>
      </c>
      <c r="B101" s="22" t="s">
        <v>542</v>
      </c>
      <c r="C101" s="22" t="str">
        <f t="shared" si="0"/>
        <v>Occupation - Specify</v>
      </c>
      <c r="D101" s="22" t="s">
        <v>542</v>
      </c>
      <c r="E101" s="22" t="s">
        <v>96</v>
      </c>
      <c r="F101" s="22"/>
      <c r="G101" s="22" t="s">
        <v>493</v>
      </c>
      <c r="H101" s="24"/>
      <c r="I101" s="24">
        <v>1</v>
      </c>
      <c r="J101" s="24" t="s">
        <v>494</v>
      </c>
      <c r="K101" s="24"/>
      <c r="L101" s="24"/>
      <c r="M101" s="24"/>
      <c r="N101" s="24"/>
      <c r="O101" s="22"/>
      <c r="P101" s="22"/>
      <c r="Q101" s="22"/>
      <c r="R101" s="70" t="s">
        <v>409</v>
      </c>
      <c r="S101" s="22" t="s">
        <v>543</v>
      </c>
      <c r="T101" s="22" t="s">
        <v>544</v>
      </c>
      <c r="U101" s="22" t="s">
        <v>111</v>
      </c>
      <c r="V101" s="22"/>
      <c r="W101" s="22"/>
      <c r="X101" s="22"/>
      <c r="Y101" s="22"/>
      <c r="Z101" s="24"/>
      <c r="AA101" s="24"/>
      <c r="AB101" s="22" t="s">
        <v>208</v>
      </c>
      <c r="AC101" s="45"/>
      <c r="AD101" s="24"/>
      <c r="AE101" s="24"/>
      <c r="AF101" s="24"/>
      <c r="AG101" s="22"/>
      <c r="AH101" s="45"/>
      <c r="AI101" s="24"/>
      <c r="AJ101" s="24"/>
      <c r="AK101" s="22"/>
      <c r="AL101" s="22"/>
      <c r="AM101" s="22"/>
      <c r="AN101" s="22"/>
      <c r="AO101" s="22"/>
      <c r="AP101" s="22"/>
      <c r="AQ101" s="22"/>
      <c r="AR101" s="22"/>
      <c r="AS101" s="22"/>
      <c r="AT101" s="151"/>
      <c r="AU101" s="151"/>
      <c r="AV101" s="152"/>
      <c r="AW101" s="133"/>
      <c r="AX101" s="133"/>
      <c r="AY101" s="133"/>
      <c r="AZ101" s="133"/>
      <c r="BA101" s="133"/>
      <c r="BB101" s="133"/>
      <c r="BC101" s="133"/>
      <c r="BD101" s="133"/>
      <c r="BE101" s="137" t="s">
        <v>545</v>
      </c>
      <c r="BF101" s="137" t="s">
        <v>415</v>
      </c>
      <c r="BG101" s="139" t="s">
        <v>416</v>
      </c>
      <c r="BH101" s="153"/>
      <c r="BI101" s="154"/>
      <c r="BJ101" s="64"/>
      <c r="BK101" s="46">
        <f t="shared" si="1"/>
        <v>1</v>
      </c>
      <c r="BL101" s="46"/>
      <c r="BM101" s="46"/>
      <c r="BN101" s="46"/>
    </row>
    <row r="102" spans="1:66" ht="12.75" hidden="1" customHeight="1">
      <c r="A102" s="22">
        <v>100</v>
      </c>
      <c r="B102" s="22" t="s">
        <v>546</v>
      </c>
      <c r="C102" s="22" t="str">
        <f t="shared" si="0"/>
        <v>LMP known</v>
      </c>
      <c r="D102" s="22" t="s">
        <v>546</v>
      </c>
      <c r="E102" s="22" t="s">
        <v>96</v>
      </c>
      <c r="F102" s="22"/>
      <c r="G102" s="22" t="s">
        <v>547</v>
      </c>
      <c r="H102" s="24"/>
      <c r="I102" s="24">
        <v>1</v>
      </c>
      <c r="J102" s="24" t="s">
        <v>494</v>
      </c>
      <c r="K102" s="24"/>
      <c r="L102" s="24"/>
      <c r="M102" s="24"/>
      <c r="N102" s="24"/>
      <c r="O102" s="22"/>
      <c r="P102" s="22"/>
      <c r="Q102" s="22"/>
      <c r="R102" s="162" t="s">
        <v>548</v>
      </c>
      <c r="S102" s="163" t="s">
        <v>549</v>
      </c>
      <c r="T102" s="164" t="s">
        <v>550</v>
      </c>
      <c r="U102" s="163" t="s">
        <v>202</v>
      </c>
      <c r="V102" s="163"/>
      <c r="W102" s="163"/>
      <c r="X102" s="164"/>
      <c r="Y102" s="22"/>
      <c r="Z102" s="24"/>
      <c r="AA102" s="22"/>
      <c r="AB102" s="24" t="s">
        <v>113</v>
      </c>
      <c r="AC102" s="45"/>
      <c r="AD102" s="24"/>
      <c r="AE102" s="24"/>
      <c r="AF102" s="24"/>
      <c r="AG102" s="22"/>
      <c r="AH102" s="45"/>
      <c r="AI102" s="24"/>
      <c r="AJ102" s="24"/>
      <c r="AK102" s="22"/>
      <c r="AL102" s="22"/>
      <c r="AM102" s="22"/>
      <c r="AN102" s="22"/>
      <c r="AO102" s="22"/>
      <c r="AP102" s="22"/>
      <c r="AQ102" s="22"/>
      <c r="AR102" s="22"/>
      <c r="AS102" s="22"/>
      <c r="AT102" s="151"/>
      <c r="AU102" s="151"/>
      <c r="AV102" s="152"/>
      <c r="AW102" s="165"/>
      <c r="AX102" s="165"/>
      <c r="AY102" s="165"/>
      <c r="AZ102" s="165"/>
      <c r="BA102" s="165"/>
      <c r="BB102" s="165"/>
      <c r="BC102" s="165"/>
      <c r="BD102" s="165"/>
      <c r="BE102" s="137" t="s">
        <v>115</v>
      </c>
      <c r="BF102" s="137" t="s">
        <v>551</v>
      </c>
      <c r="BG102" s="139" t="s">
        <v>552</v>
      </c>
      <c r="BH102" s="153"/>
      <c r="BI102" s="154"/>
      <c r="BJ102" s="154"/>
      <c r="BK102" s="46">
        <f t="shared" si="1"/>
        <v>1</v>
      </c>
      <c r="BL102" s="46"/>
      <c r="BM102" s="46"/>
      <c r="BN102" s="46"/>
    </row>
    <row r="103" spans="1:66" ht="12.75" hidden="1" customHeight="1">
      <c r="A103" s="22">
        <v>101</v>
      </c>
      <c r="B103" s="22" t="s">
        <v>250</v>
      </c>
      <c r="C103" s="22" t="e">
        <f t="shared" ca="1" si="0"/>
        <v>#NAME?</v>
      </c>
      <c r="D103" s="22" t="s">
        <v>113</v>
      </c>
      <c r="E103" s="22" t="s">
        <v>180</v>
      </c>
      <c r="F103" s="22" t="s">
        <v>546</v>
      </c>
      <c r="G103" s="22" t="s">
        <v>547</v>
      </c>
      <c r="H103" s="24"/>
      <c r="I103" s="24">
        <v>1</v>
      </c>
      <c r="J103" s="24" t="s">
        <v>494</v>
      </c>
      <c r="K103" s="24"/>
      <c r="L103" s="24"/>
      <c r="M103" s="24"/>
      <c r="N103" s="24"/>
      <c r="O103" s="22"/>
      <c r="P103" s="22"/>
      <c r="Q103" s="22"/>
      <c r="R103" s="162"/>
      <c r="S103" s="164"/>
      <c r="T103" s="163"/>
      <c r="U103" s="163"/>
      <c r="V103" s="163"/>
      <c r="W103" s="163" t="s">
        <v>113</v>
      </c>
      <c r="X103" s="164"/>
      <c r="Y103" s="22"/>
      <c r="Z103" s="24"/>
      <c r="AA103" s="22"/>
      <c r="AB103" s="24"/>
      <c r="AC103" s="45"/>
      <c r="AD103" s="24"/>
      <c r="AE103" s="24"/>
      <c r="AF103" s="24"/>
      <c r="AG103" s="22"/>
      <c r="AH103" s="45"/>
      <c r="AI103" s="24"/>
      <c r="AJ103" s="24"/>
      <c r="AK103" s="22"/>
      <c r="AL103" s="22"/>
      <c r="AM103" s="22"/>
      <c r="AN103" s="22"/>
      <c r="AO103" s="22"/>
      <c r="AP103" s="22"/>
      <c r="AQ103" s="22"/>
      <c r="AR103" s="22"/>
      <c r="AS103" s="22"/>
      <c r="AT103" s="134"/>
      <c r="AU103" s="134"/>
      <c r="AV103" s="148">
        <v>373067005</v>
      </c>
      <c r="AW103" s="133"/>
      <c r="AX103" s="133"/>
      <c r="AY103" s="133"/>
      <c r="AZ103" s="133"/>
      <c r="BA103" s="133"/>
      <c r="BB103" s="133"/>
      <c r="BC103" s="133"/>
      <c r="BD103" s="133"/>
      <c r="BE103" s="137" t="s">
        <v>115</v>
      </c>
      <c r="BF103" s="137" t="s">
        <v>209</v>
      </c>
      <c r="BG103" s="139" t="s">
        <v>210</v>
      </c>
      <c r="BH103" s="47"/>
      <c r="BI103" s="150">
        <v>373067005</v>
      </c>
      <c r="BJ103" s="47"/>
      <c r="BK103" s="46">
        <f t="shared" si="1"/>
        <v>1</v>
      </c>
      <c r="BL103" s="46"/>
      <c r="BM103" s="46"/>
      <c r="BN103" s="46"/>
    </row>
    <row r="104" spans="1:66" ht="12.75" hidden="1" customHeight="1">
      <c r="A104" s="22">
        <v>102</v>
      </c>
      <c r="B104" s="22" t="s">
        <v>255</v>
      </c>
      <c r="C104" s="22" t="e">
        <f t="shared" ca="1" si="0"/>
        <v>#NAME?</v>
      </c>
      <c r="D104" s="22" t="s">
        <v>208</v>
      </c>
      <c r="E104" s="22" t="s">
        <v>180</v>
      </c>
      <c r="F104" s="22" t="s">
        <v>546</v>
      </c>
      <c r="G104" s="22" t="s">
        <v>547</v>
      </c>
      <c r="H104" s="24"/>
      <c r="I104" s="24">
        <v>1</v>
      </c>
      <c r="J104" s="24" t="s">
        <v>494</v>
      </c>
      <c r="K104" s="24"/>
      <c r="L104" s="24"/>
      <c r="M104" s="24"/>
      <c r="N104" s="24"/>
      <c r="O104" s="22"/>
      <c r="P104" s="22"/>
      <c r="Q104" s="22"/>
      <c r="R104" s="162"/>
      <c r="S104" s="164"/>
      <c r="T104" s="163"/>
      <c r="U104" s="163"/>
      <c r="V104" s="163"/>
      <c r="W104" s="163" t="s">
        <v>208</v>
      </c>
      <c r="X104" s="164"/>
      <c r="Y104" s="22"/>
      <c r="Z104" s="24"/>
      <c r="AA104" s="22"/>
      <c r="AB104" s="24"/>
      <c r="AC104" s="45"/>
      <c r="AD104" s="24"/>
      <c r="AE104" s="24"/>
      <c r="AF104" s="24"/>
      <c r="AG104" s="22"/>
      <c r="AH104" s="45"/>
      <c r="AI104" s="24"/>
      <c r="AJ104" s="24"/>
      <c r="AK104" s="22"/>
      <c r="AL104" s="22"/>
      <c r="AM104" s="22"/>
      <c r="AN104" s="22"/>
      <c r="AO104" s="22"/>
      <c r="AP104" s="22"/>
      <c r="AQ104" s="22"/>
      <c r="AR104" s="22"/>
      <c r="AS104" s="22"/>
      <c r="AT104" s="134"/>
      <c r="AU104" s="134"/>
      <c r="AV104" s="148">
        <v>373066001</v>
      </c>
      <c r="AW104" s="133"/>
      <c r="AX104" s="133"/>
      <c r="AY104" s="133"/>
      <c r="AZ104" s="133"/>
      <c r="BA104" s="133"/>
      <c r="BB104" s="133"/>
      <c r="BC104" s="133"/>
      <c r="BD104" s="133"/>
      <c r="BE104" s="137" t="s">
        <v>115</v>
      </c>
      <c r="BF104" s="137" t="s">
        <v>206</v>
      </c>
      <c r="BG104" s="139" t="s">
        <v>207</v>
      </c>
      <c r="BH104" s="47"/>
      <c r="BI104" s="150">
        <v>373066001</v>
      </c>
      <c r="BJ104" s="47"/>
      <c r="BK104" s="46">
        <f t="shared" si="1"/>
        <v>1</v>
      </c>
      <c r="BL104" s="46"/>
      <c r="BM104" s="46"/>
      <c r="BN104" s="46"/>
    </row>
    <row r="105" spans="1:66" ht="12.75" hidden="1" customHeight="1">
      <c r="A105" s="22">
        <v>103</v>
      </c>
      <c r="B105" s="163" t="s">
        <v>555</v>
      </c>
      <c r="C105" s="163" t="str">
        <f t="shared" si="0"/>
        <v>Specify date</v>
      </c>
      <c r="D105" s="163" t="s">
        <v>555</v>
      </c>
      <c r="E105" s="22" t="s">
        <v>96</v>
      </c>
      <c r="F105" s="22" t="s">
        <v>546</v>
      </c>
      <c r="G105" s="22" t="s">
        <v>547</v>
      </c>
      <c r="H105" s="24"/>
      <c r="I105" s="24">
        <v>1</v>
      </c>
      <c r="J105" s="24" t="s">
        <v>494</v>
      </c>
      <c r="K105" s="24"/>
      <c r="L105" s="24"/>
      <c r="M105" s="24"/>
      <c r="N105" s="24"/>
      <c r="O105" s="22"/>
      <c r="P105" s="22"/>
      <c r="Q105" s="22"/>
      <c r="R105" s="162" t="s">
        <v>555</v>
      </c>
      <c r="S105" s="164" t="s">
        <v>556</v>
      </c>
      <c r="T105" s="163" t="s">
        <v>557</v>
      </c>
      <c r="U105" s="163" t="s">
        <v>140</v>
      </c>
      <c r="V105" s="163"/>
      <c r="W105" s="163"/>
      <c r="X105" s="164"/>
      <c r="Y105" s="22"/>
      <c r="Z105" s="24" t="s">
        <v>558</v>
      </c>
      <c r="AA105" s="22"/>
      <c r="AB105" s="24" t="s">
        <v>113</v>
      </c>
      <c r="AC105" s="45"/>
      <c r="AD105" s="24"/>
      <c r="AE105" s="24"/>
      <c r="AF105" s="24"/>
      <c r="AG105" s="22"/>
      <c r="AH105" s="45"/>
      <c r="AI105" s="24"/>
      <c r="AJ105" s="24"/>
      <c r="AK105" s="163"/>
      <c r="AL105" s="22"/>
      <c r="AM105" s="22"/>
      <c r="AN105" s="22"/>
      <c r="AO105" s="22"/>
      <c r="AP105" s="22"/>
      <c r="AQ105" s="22"/>
      <c r="AR105" s="22"/>
      <c r="AS105" s="22"/>
      <c r="AT105" s="134"/>
      <c r="AU105" s="134"/>
      <c r="AV105" s="156">
        <v>21840007</v>
      </c>
      <c r="AW105" s="133"/>
      <c r="AX105" s="133"/>
      <c r="AY105" s="133"/>
      <c r="AZ105" s="133"/>
      <c r="BA105" s="133"/>
      <c r="BB105" s="133"/>
      <c r="BC105" s="133"/>
      <c r="BD105" s="133"/>
      <c r="BE105" s="137" t="s">
        <v>115</v>
      </c>
      <c r="BF105" s="143" t="s">
        <v>559</v>
      </c>
      <c r="BG105" s="139" t="s">
        <v>560</v>
      </c>
      <c r="BH105" s="47"/>
      <c r="BI105" s="157">
        <v>21840007</v>
      </c>
      <c r="BJ105" s="47"/>
      <c r="BK105" s="46">
        <f t="shared" si="1"/>
        <v>1</v>
      </c>
      <c r="BL105" s="46"/>
      <c r="BM105" s="46"/>
      <c r="BN105" s="46"/>
    </row>
    <row r="106" spans="1:66" ht="12.75" hidden="1" customHeight="1">
      <c r="A106" s="22">
        <v>104</v>
      </c>
      <c r="B106" s="22" t="s">
        <v>561</v>
      </c>
      <c r="C106" s="22" t="str">
        <f t="shared" si="0"/>
        <v>Expected Date of Delivery - Calculated</v>
      </c>
      <c r="D106" s="22" t="s">
        <v>561</v>
      </c>
      <c r="E106" s="22" t="s">
        <v>65</v>
      </c>
      <c r="F106" s="22"/>
      <c r="G106" s="22" t="s">
        <v>547</v>
      </c>
      <c r="H106" s="24"/>
      <c r="I106" s="24">
        <v>1</v>
      </c>
      <c r="J106" s="24" t="s">
        <v>494</v>
      </c>
      <c r="K106" s="24"/>
      <c r="L106" s="24"/>
      <c r="M106" s="24"/>
      <c r="N106" s="24"/>
      <c r="O106" s="22"/>
      <c r="P106" s="22"/>
      <c r="Q106" s="22"/>
      <c r="R106" s="162" t="s">
        <v>115</v>
      </c>
      <c r="S106" s="163" t="s">
        <v>562</v>
      </c>
      <c r="T106" s="163" t="s">
        <v>563</v>
      </c>
      <c r="U106" s="163" t="s">
        <v>65</v>
      </c>
      <c r="V106" s="163"/>
      <c r="W106" s="163"/>
      <c r="X106" s="163" t="s">
        <v>564</v>
      </c>
      <c r="Y106" s="22"/>
      <c r="Z106" s="24"/>
      <c r="AA106" s="22"/>
      <c r="AB106" s="24" t="s">
        <v>115</v>
      </c>
      <c r="AC106" s="45"/>
      <c r="AD106" s="24"/>
      <c r="AE106" s="24"/>
      <c r="AF106" s="24"/>
      <c r="AG106" s="22"/>
      <c r="AH106" s="45"/>
      <c r="AI106" s="24"/>
      <c r="AJ106" s="24"/>
      <c r="AK106" s="22"/>
      <c r="AL106" s="22"/>
      <c r="AM106" s="22"/>
      <c r="AN106" s="22"/>
      <c r="AO106" s="22"/>
      <c r="AP106" s="22"/>
      <c r="AQ106" s="22"/>
      <c r="AR106" s="22"/>
      <c r="AS106" s="22"/>
      <c r="AT106" s="134"/>
      <c r="AU106" s="134"/>
      <c r="AV106" s="24"/>
      <c r="AW106" s="133"/>
      <c r="AX106" s="133"/>
      <c r="AY106" s="133"/>
      <c r="AZ106" s="133"/>
      <c r="BA106" s="133"/>
      <c r="BB106" s="133"/>
      <c r="BC106" s="133"/>
      <c r="BD106" s="133"/>
      <c r="BE106" s="137" t="s">
        <v>115</v>
      </c>
      <c r="BF106" s="137" t="s">
        <v>115</v>
      </c>
      <c r="BG106" s="139" t="s">
        <v>115</v>
      </c>
      <c r="BH106" s="47"/>
      <c r="BI106" s="47"/>
      <c r="BJ106" s="47"/>
      <c r="BK106" s="46">
        <f t="shared" si="1"/>
        <v>1</v>
      </c>
      <c r="BL106" s="46"/>
      <c r="BM106" s="46"/>
      <c r="BN106" s="46"/>
    </row>
    <row r="107" spans="1:66" ht="12.75" hidden="1" customHeight="1">
      <c r="A107" s="22">
        <v>105</v>
      </c>
      <c r="B107" s="22" t="s">
        <v>566</v>
      </c>
      <c r="C107" s="22" t="str">
        <f t="shared" si="0"/>
        <v>Gestational age - Calculated from LMP</v>
      </c>
      <c r="D107" s="22" t="s">
        <v>566</v>
      </c>
      <c r="E107" s="22" t="s">
        <v>65</v>
      </c>
      <c r="F107" s="22"/>
      <c r="G107" s="22" t="s">
        <v>547</v>
      </c>
      <c r="H107" s="24"/>
      <c r="I107" s="24">
        <v>1</v>
      </c>
      <c r="J107" s="24" t="s">
        <v>494</v>
      </c>
      <c r="K107" s="24"/>
      <c r="L107" s="24"/>
      <c r="M107" s="24"/>
      <c r="N107" s="24"/>
      <c r="O107" s="22"/>
      <c r="P107" s="22"/>
      <c r="Q107" s="22"/>
      <c r="R107" s="162" t="s">
        <v>115</v>
      </c>
      <c r="S107" s="163" t="s">
        <v>567</v>
      </c>
      <c r="T107" s="163" t="s">
        <v>568</v>
      </c>
      <c r="U107" s="163" t="s">
        <v>65</v>
      </c>
      <c r="V107" s="163"/>
      <c r="W107" s="163"/>
      <c r="X107" s="163" t="s">
        <v>569</v>
      </c>
      <c r="Y107" s="22"/>
      <c r="Z107" s="24"/>
      <c r="AA107" s="22"/>
      <c r="AB107" s="24" t="s">
        <v>115</v>
      </c>
      <c r="AC107" s="45"/>
      <c r="AD107" s="24"/>
      <c r="AE107" s="24"/>
      <c r="AF107" s="24"/>
      <c r="AG107" s="22"/>
      <c r="AH107" s="45"/>
      <c r="AI107" s="24"/>
      <c r="AJ107" s="24"/>
      <c r="AK107" s="22"/>
      <c r="AL107" s="22"/>
      <c r="AM107" s="22"/>
      <c r="AN107" s="22"/>
      <c r="AO107" s="22"/>
      <c r="AP107" s="22"/>
      <c r="AQ107" s="22"/>
      <c r="AR107" s="22"/>
      <c r="AS107" s="22"/>
      <c r="AT107" s="134"/>
      <c r="AU107" s="134"/>
      <c r="AV107" s="24"/>
      <c r="AW107" s="133"/>
      <c r="AX107" s="133"/>
      <c r="AY107" s="133"/>
      <c r="AZ107" s="133"/>
      <c r="BA107" s="133"/>
      <c r="BB107" s="133"/>
      <c r="BC107" s="133"/>
      <c r="BD107" s="133"/>
      <c r="BE107" s="137" t="s">
        <v>115</v>
      </c>
      <c r="BF107" s="137" t="s">
        <v>115</v>
      </c>
      <c r="BG107" s="139" t="s">
        <v>115</v>
      </c>
      <c r="BH107" s="47"/>
      <c r="BI107" s="64"/>
      <c r="BJ107" s="47"/>
      <c r="BK107" s="46">
        <f t="shared" si="1"/>
        <v>1</v>
      </c>
      <c r="BL107" s="46"/>
      <c r="BM107" s="46"/>
      <c r="BN107" s="46"/>
    </row>
    <row r="108" spans="1:66" ht="12.75" hidden="1" customHeight="1">
      <c r="A108" s="22">
        <v>106</v>
      </c>
      <c r="B108" s="163" t="s">
        <v>571</v>
      </c>
      <c r="C108" s="163" t="str">
        <f t="shared" si="0"/>
        <v>Ultrasound done?</v>
      </c>
      <c r="D108" s="163" t="s">
        <v>571</v>
      </c>
      <c r="E108" s="22" t="s">
        <v>96</v>
      </c>
      <c r="F108" s="22"/>
      <c r="G108" s="22" t="s">
        <v>547</v>
      </c>
      <c r="H108" s="24"/>
      <c r="I108" s="24">
        <v>1</v>
      </c>
      <c r="J108" s="24" t="s">
        <v>494</v>
      </c>
      <c r="K108" s="24"/>
      <c r="L108" s="24"/>
      <c r="M108" s="24"/>
      <c r="N108" s="24"/>
      <c r="O108" s="22"/>
      <c r="P108" s="22"/>
      <c r="Q108" s="22"/>
      <c r="R108" s="162" t="s">
        <v>571</v>
      </c>
      <c r="S108" s="163" t="s">
        <v>572</v>
      </c>
      <c r="T108" s="163" t="s">
        <v>573</v>
      </c>
      <c r="U108" s="163" t="s">
        <v>202</v>
      </c>
      <c r="V108" s="163"/>
      <c r="W108" s="163"/>
      <c r="X108" s="164"/>
      <c r="Y108" s="22"/>
      <c r="Z108" s="24"/>
      <c r="AA108" s="22"/>
      <c r="AB108" s="24" t="s">
        <v>113</v>
      </c>
      <c r="AC108" s="45"/>
      <c r="AD108" s="24"/>
      <c r="AE108" s="24"/>
      <c r="AF108" s="24"/>
      <c r="AG108" s="22"/>
      <c r="AH108" s="45"/>
      <c r="AI108" s="24"/>
      <c r="AJ108" s="24"/>
      <c r="AK108" s="163"/>
      <c r="AL108" s="22"/>
      <c r="AM108" s="22"/>
      <c r="AN108" s="22"/>
      <c r="AO108" s="22"/>
      <c r="AP108" s="22"/>
      <c r="AQ108" s="22"/>
      <c r="AR108" s="22"/>
      <c r="AS108" s="22"/>
      <c r="AT108" s="134"/>
      <c r="AU108" s="134"/>
      <c r="AV108" s="166">
        <v>268445003</v>
      </c>
      <c r="AW108" s="133"/>
      <c r="AX108" s="133"/>
      <c r="AY108" s="133"/>
      <c r="AZ108" s="133"/>
      <c r="BA108" s="133"/>
      <c r="BB108" s="133"/>
      <c r="BC108" s="133"/>
      <c r="BD108" s="133"/>
      <c r="BE108" s="137" t="s">
        <v>115</v>
      </c>
      <c r="BF108" s="143" t="s">
        <v>574</v>
      </c>
      <c r="BG108" s="167" t="s">
        <v>575</v>
      </c>
      <c r="BH108" s="47"/>
      <c r="BI108" s="168">
        <v>268445003</v>
      </c>
      <c r="BJ108" s="47"/>
      <c r="BK108" s="46">
        <f t="shared" si="1"/>
        <v>1</v>
      </c>
      <c r="BL108" s="46"/>
      <c r="BM108" s="46"/>
      <c r="BN108" s="46"/>
    </row>
    <row r="109" spans="1:66" ht="12.75" hidden="1" customHeight="1">
      <c r="A109" s="22">
        <v>107</v>
      </c>
      <c r="B109" s="163" t="s">
        <v>250</v>
      </c>
      <c r="C109" s="163" t="e">
        <f t="shared" ca="1" si="0"/>
        <v>#NAME?</v>
      </c>
      <c r="D109" s="164" t="s">
        <v>113</v>
      </c>
      <c r="E109" s="22" t="s">
        <v>180</v>
      </c>
      <c r="F109" s="163" t="s">
        <v>571</v>
      </c>
      <c r="G109" s="22" t="s">
        <v>547</v>
      </c>
      <c r="H109" s="24"/>
      <c r="I109" s="24">
        <v>1</v>
      </c>
      <c r="J109" s="24" t="s">
        <v>494</v>
      </c>
      <c r="K109" s="24"/>
      <c r="L109" s="24"/>
      <c r="M109" s="24"/>
      <c r="N109" s="24"/>
      <c r="O109" s="22"/>
      <c r="P109" s="22"/>
      <c r="Q109" s="22"/>
      <c r="R109" s="169"/>
      <c r="S109" s="164"/>
      <c r="T109" s="170"/>
      <c r="U109" s="170"/>
      <c r="V109" s="163"/>
      <c r="W109" s="163" t="s">
        <v>113</v>
      </c>
      <c r="X109" s="164"/>
      <c r="Y109" s="22"/>
      <c r="Z109" s="24"/>
      <c r="AA109" s="22"/>
      <c r="AB109" s="24"/>
      <c r="AC109" s="45"/>
      <c r="AD109" s="24"/>
      <c r="AE109" s="24"/>
      <c r="AF109" s="24"/>
      <c r="AG109" s="22"/>
      <c r="AH109" s="45"/>
      <c r="AI109" s="24"/>
      <c r="AJ109" s="24"/>
      <c r="AK109" s="163"/>
      <c r="AL109" s="22"/>
      <c r="AM109" s="22"/>
      <c r="AN109" s="22"/>
      <c r="AO109" s="22"/>
      <c r="AP109" s="22"/>
      <c r="AQ109" s="22"/>
      <c r="AR109" s="22"/>
      <c r="AS109" s="22"/>
      <c r="AT109" s="134"/>
      <c r="AU109" s="134"/>
      <c r="AV109" s="148">
        <v>373066001</v>
      </c>
      <c r="AW109" s="133"/>
      <c r="AX109" s="133"/>
      <c r="AY109" s="133"/>
      <c r="AZ109" s="133"/>
      <c r="BA109" s="133"/>
      <c r="BB109" s="133"/>
      <c r="BC109" s="133"/>
      <c r="BD109" s="133"/>
      <c r="BE109" s="137" t="s">
        <v>115</v>
      </c>
      <c r="BF109" s="137" t="s">
        <v>206</v>
      </c>
      <c r="BG109" s="139" t="s">
        <v>207</v>
      </c>
      <c r="BH109" s="47"/>
      <c r="BI109" s="150">
        <v>373066001</v>
      </c>
      <c r="BJ109" s="47"/>
      <c r="BK109" s="46">
        <f t="shared" si="1"/>
        <v>1</v>
      </c>
      <c r="BL109" s="46"/>
      <c r="BM109" s="46"/>
      <c r="BN109" s="46"/>
    </row>
    <row r="110" spans="1:66" ht="12.75" hidden="1" customHeight="1">
      <c r="A110" s="22">
        <v>108</v>
      </c>
      <c r="B110" s="163" t="s">
        <v>255</v>
      </c>
      <c r="C110" s="163" t="e">
        <f t="shared" ca="1" si="0"/>
        <v>#NAME?</v>
      </c>
      <c r="D110" s="164" t="s">
        <v>208</v>
      </c>
      <c r="E110" s="22" t="s">
        <v>180</v>
      </c>
      <c r="F110" s="163" t="s">
        <v>571</v>
      </c>
      <c r="G110" s="22" t="s">
        <v>547</v>
      </c>
      <c r="H110" s="24"/>
      <c r="I110" s="24">
        <v>1</v>
      </c>
      <c r="J110" s="24" t="s">
        <v>494</v>
      </c>
      <c r="K110" s="24"/>
      <c r="L110" s="24"/>
      <c r="M110" s="24"/>
      <c r="N110" s="24"/>
      <c r="O110" s="22"/>
      <c r="P110" s="22"/>
      <c r="Q110" s="22"/>
      <c r="R110" s="169"/>
      <c r="S110" s="164"/>
      <c r="T110" s="170"/>
      <c r="U110" s="170"/>
      <c r="V110" s="170"/>
      <c r="W110" s="170" t="s">
        <v>208</v>
      </c>
      <c r="X110" s="164"/>
      <c r="Y110" s="22"/>
      <c r="Z110" s="24"/>
      <c r="AA110" s="22"/>
      <c r="AB110" s="24"/>
      <c r="AC110" s="45"/>
      <c r="AD110" s="24"/>
      <c r="AE110" s="24"/>
      <c r="AF110" s="24"/>
      <c r="AG110" s="22"/>
      <c r="AH110" s="45"/>
      <c r="AI110" s="24"/>
      <c r="AJ110" s="24"/>
      <c r="AK110" s="163"/>
      <c r="AL110" s="22"/>
      <c r="AM110" s="22"/>
      <c r="AN110" s="22"/>
      <c r="AO110" s="22"/>
      <c r="AP110" s="22"/>
      <c r="AQ110" s="22"/>
      <c r="AR110" s="22"/>
      <c r="AS110" s="22"/>
      <c r="AT110" s="134"/>
      <c r="AU110" s="134"/>
      <c r="AV110" s="24"/>
      <c r="AW110" s="133"/>
      <c r="AX110" s="133"/>
      <c r="AY110" s="133"/>
      <c r="AZ110" s="133"/>
      <c r="BA110" s="133"/>
      <c r="BB110" s="133"/>
      <c r="BC110" s="133"/>
      <c r="BD110" s="133"/>
      <c r="BE110" s="137" t="s">
        <v>115</v>
      </c>
      <c r="BF110" s="137" t="s">
        <v>115</v>
      </c>
      <c r="BG110" s="139" t="s">
        <v>115</v>
      </c>
      <c r="BH110" s="47"/>
      <c r="BI110" s="47"/>
      <c r="BJ110" s="47"/>
      <c r="BK110" s="46">
        <f t="shared" si="1"/>
        <v>1</v>
      </c>
      <c r="BL110" s="46"/>
      <c r="BM110" s="46"/>
      <c r="BN110" s="46"/>
    </row>
    <row r="111" spans="1:66" ht="12.75" hidden="1" customHeight="1">
      <c r="A111" s="22">
        <v>109</v>
      </c>
      <c r="B111" s="163" t="s">
        <v>576</v>
      </c>
      <c r="C111" s="163" t="str">
        <f t="shared" si="0"/>
        <v>Ultrasound date</v>
      </c>
      <c r="D111" s="163" t="s">
        <v>576</v>
      </c>
      <c r="E111" s="22" t="s">
        <v>96</v>
      </c>
      <c r="F111" s="24"/>
      <c r="G111" s="22" t="s">
        <v>547</v>
      </c>
      <c r="H111" s="24"/>
      <c r="I111" s="24">
        <v>1</v>
      </c>
      <c r="J111" s="24" t="s">
        <v>494</v>
      </c>
      <c r="K111" s="24"/>
      <c r="L111" s="24"/>
      <c r="M111" s="24"/>
      <c r="N111" s="24"/>
      <c r="O111" s="24"/>
      <c r="P111" s="24"/>
      <c r="Q111" s="24"/>
      <c r="R111" s="162" t="s">
        <v>576</v>
      </c>
      <c r="S111" s="163" t="s">
        <v>578</v>
      </c>
      <c r="T111" s="163" t="s">
        <v>579</v>
      </c>
      <c r="U111" s="163" t="s">
        <v>140</v>
      </c>
      <c r="V111" s="163"/>
      <c r="W111" s="163"/>
      <c r="X111" s="164"/>
      <c r="Y111" s="24"/>
      <c r="Z111" s="24" t="s">
        <v>580</v>
      </c>
      <c r="AA111" s="24"/>
      <c r="AB111" s="24" t="s">
        <v>113</v>
      </c>
      <c r="AC111" s="45"/>
      <c r="AD111" s="24"/>
      <c r="AE111" s="24"/>
      <c r="AF111" s="24"/>
      <c r="AG111" s="22"/>
      <c r="AH111" s="45"/>
      <c r="AI111" s="24"/>
      <c r="AJ111" s="24"/>
      <c r="AK111" s="163"/>
      <c r="AL111" s="22"/>
      <c r="AM111" s="22"/>
      <c r="AN111" s="22"/>
      <c r="AO111" s="22"/>
      <c r="AP111" s="22"/>
      <c r="AQ111" s="22"/>
      <c r="AR111" s="22"/>
      <c r="AS111" s="22"/>
      <c r="AT111" s="134"/>
      <c r="AU111" s="134"/>
      <c r="AV111" s="108" t="s">
        <v>581</v>
      </c>
      <c r="AW111" s="133"/>
      <c r="AX111" s="133"/>
      <c r="AY111" s="133"/>
      <c r="AZ111" s="133"/>
      <c r="BA111" s="133"/>
      <c r="BB111" s="133"/>
      <c r="BC111" s="133"/>
      <c r="BD111" s="133"/>
      <c r="BE111" s="137" t="s">
        <v>115</v>
      </c>
      <c r="BF111" s="137" t="s">
        <v>582</v>
      </c>
      <c r="BG111" s="139" t="s">
        <v>583</v>
      </c>
      <c r="BH111" s="47"/>
      <c r="BI111" s="171" t="s">
        <v>581</v>
      </c>
      <c r="BJ111" s="47"/>
      <c r="BK111" s="46">
        <f t="shared" si="1"/>
        <v>1</v>
      </c>
      <c r="BL111" s="46"/>
      <c r="BM111" s="46"/>
      <c r="BN111" s="46"/>
    </row>
    <row r="112" spans="1:66" ht="12.75" hidden="1" customHeight="1">
      <c r="A112" s="22">
        <v>110</v>
      </c>
      <c r="B112" s="163" t="s">
        <v>584</v>
      </c>
      <c r="C112" s="163" t="str">
        <f t="shared" si="0"/>
        <v>GA from ultrasound - weeks</v>
      </c>
      <c r="D112" s="163" t="s">
        <v>584</v>
      </c>
      <c r="E112" s="22" t="s">
        <v>96</v>
      </c>
      <c r="F112" s="24"/>
      <c r="G112" s="22" t="s">
        <v>547</v>
      </c>
      <c r="H112" s="24"/>
      <c r="I112" s="24">
        <v>1</v>
      </c>
      <c r="J112" s="24" t="s">
        <v>494</v>
      </c>
      <c r="K112" s="24"/>
      <c r="L112" s="24"/>
      <c r="M112" s="24"/>
      <c r="N112" s="24"/>
      <c r="O112" s="24"/>
      <c r="P112" s="24"/>
      <c r="Q112" s="24"/>
      <c r="R112" s="162" t="s">
        <v>584</v>
      </c>
      <c r="S112" s="163" t="s">
        <v>585</v>
      </c>
      <c r="T112" s="163" t="s">
        <v>586</v>
      </c>
      <c r="U112" s="163" t="s">
        <v>168</v>
      </c>
      <c r="V112" s="163"/>
      <c r="W112" s="163"/>
      <c r="X112" s="164"/>
      <c r="Y112" s="24"/>
      <c r="Z112" s="24" t="s">
        <v>587</v>
      </c>
      <c r="AA112" s="24"/>
      <c r="AB112" s="24" t="s">
        <v>113</v>
      </c>
      <c r="AC112" s="45"/>
      <c r="AD112" s="24"/>
      <c r="AE112" s="24"/>
      <c r="AF112" s="24"/>
      <c r="AG112" s="22"/>
      <c r="AH112" s="45"/>
      <c r="AI112" s="24"/>
      <c r="AJ112" s="24"/>
      <c r="AK112" s="163"/>
      <c r="AL112" s="22"/>
      <c r="AM112" s="22"/>
      <c r="AN112" s="22"/>
      <c r="AO112" s="22"/>
      <c r="AP112" s="22"/>
      <c r="AQ112" s="22"/>
      <c r="AR112" s="22"/>
      <c r="AS112" s="22"/>
      <c r="AT112" s="134"/>
      <c r="AU112" s="134"/>
      <c r="AV112" s="24"/>
      <c r="AW112" s="133"/>
      <c r="AX112" s="133"/>
      <c r="AY112" s="133"/>
      <c r="AZ112" s="133"/>
      <c r="BA112" s="133"/>
      <c r="BB112" s="133"/>
      <c r="BC112" s="133"/>
      <c r="BD112" s="133"/>
      <c r="BE112" s="137" t="s">
        <v>115</v>
      </c>
      <c r="BF112" s="137" t="s">
        <v>115</v>
      </c>
      <c r="BG112" s="139" t="s">
        <v>115</v>
      </c>
      <c r="BH112" s="47"/>
      <c r="BI112" s="47"/>
      <c r="BJ112" s="47"/>
      <c r="BK112" s="46">
        <f t="shared" si="1"/>
        <v>1</v>
      </c>
      <c r="BL112" s="46"/>
      <c r="BM112" s="46"/>
      <c r="BN112" s="46"/>
    </row>
    <row r="113" spans="1:66" ht="12.75" hidden="1" customHeight="1">
      <c r="A113" s="22">
        <v>111</v>
      </c>
      <c r="B113" s="163" t="s">
        <v>589</v>
      </c>
      <c r="C113" s="163" t="str">
        <f t="shared" si="0"/>
        <v>GA from ultrasound - days (Profile)</v>
      </c>
      <c r="D113" s="163" t="s">
        <v>589</v>
      </c>
      <c r="E113" s="22" t="s">
        <v>96</v>
      </c>
      <c r="F113" s="24"/>
      <c r="G113" s="22" t="s">
        <v>547</v>
      </c>
      <c r="H113" s="24"/>
      <c r="I113" s="24">
        <v>1</v>
      </c>
      <c r="J113" s="24" t="s">
        <v>494</v>
      </c>
      <c r="K113" s="24"/>
      <c r="L113" s="24"/>
      <c r="M113" s="24"/>
      <c r="N113" s="24"/>
      <c r="O113" s="24"/>
      <c r="P113" s="24"/>
      <c r="Q113" s="24"/>
      <c r="R113" s="162" t="s">
        <v>588</v>
      </c>
      <c r="S113" s="163" t="s">
        <v>590</v>
      </c>
      <c r="T113" s="163" t="s">
        <v>591</v>
      </c>
      <c r="U113" s="163" t="s">
        <v>168</v>
      </c>
      <c r="V113" s="163"/>
      <c r="W113" s="163"/>
      <c r="X113" s="164"/>
      <c r="Y113" s="24"/>
      <c r="Z113" s="24" t="s">
        <v>592</v>
      </c>
      <c r="AA113" s="24"/>
      <c r="AB113" s="24" t="s">
        <v>208</v>
      </c>
      <c r="AC113" s="45"/>
      <c r="AD113" s="24"/>
      <c r="AE113" s="24"/>
      <c r="AF113" s="24"/>
      <c r="AG113" s="22"/>
      <c r="AH113" s="45"/>
      <c r="AI113" s="24"/>
      <c r="AJ113" s="24"/>
      <c r="AK113" s="163"/>
      <c r="AL113" s="22"/>
      <c r="AM113" s="22"/>
      <c r="AN113" s="22"/>
      <c r="AO113" s="22"/>
      <c r="AP113" s="22"/>
      <c r="AQ113" s="22"/>
      <c r="AR113" s="22"/>
      <c r="AS113" s="22"/>
      <c r="AT113" s="134"/>
      <c r="AU113" s="134"/>
      <c r="AV113" s="24"/>
      <c r="AW113" s="133"/>
      <c r="AX113" s="133"/>
      <c r="AY113" s="133"/>
      <c r="AZ113" s="133"/>
      <c r="BA113" s="133"/>
      <c r="BB113" s="133"/>
      <c r="BC113" s="133"/>
      <c r="BD113" s="133"/>
      <c r="BE113" s="137" t="s">
        <v>115</v>
      </c>
      <c r="BF113" s="137" t="s">
        <v>115</v>
      </c>
      <c r="BG113" s="139" t="s">
        <v>115</v>
      </c>
      <c r="BH113" s="64"/>
      <c r="BI113" s="64"/>
      <c r="BJ113" s="64"/>
      <c r="BK113" s="46">
        <f t="shared" si="1"/>
        <v>1</v>
      </c>
      <c r="BL113" s="46"/>
      <c r="BM113" s="46"/>
      <c r="BN113" s="46"/>
    </row>
    <row r="114" spans="1:66" ht="12.75" hidden="1" customHeight="1">
      <c r="A114" s="22">
        <v>112</v>
      </c>
      <c r="B114" s="22" t="s">
        <v>593</v>
      </c>
      <c r="C114" s="22" t="str">
        <f t="shared" si="0"/>
        <v>Gestational age - Calculated from OpenMRS Mapping Field</v>
      </c>
      <c r="D114" s="22" t="s">
        <v>593</v>
      </c>
      <c r="E114" s="22" t="s">
        <v>65</v>
      </c>
      <c r="F114" s="24"/>
      <c r="G114" s="22" t="s">
        <v>547</v>
      </c>
      <c r="H114" s="24"/>
      <c r="I114" s="24">
        <v>1</v>
      </c>
      <c r="J114" s="24" t="s">
        <v>494</v>
      </c>
      <c r="K114" s="24"/>
      <c r="L114" s="24"/>
      <c r="M114" s="24"/>
      <c r="N114" s="24"/>
      <c r="O114" s="24"/>
      <c r="P114" s="24"/>
      <c r="Q114" s="24"/>
      <c r="R114" s="162" t="s">
        <v>115</v>
      </c>
      <c r="S114" s="163" t="s">
        <v>594</v>
      </c>
      <c r="T114" s="163" t="s">
        <v>595</v>
      </c>
      <c r="U114" s="163" t="s">
        <v>65</v>
      </c>
      <c r="V114" s="163"/>
      <c r="W114" s="163"/>
      <c r="X114" s="163" t="s">
        <v>596</v>
      </c>
      <c r="Y114" s="24"/>
      <c r="Z114" s="24"/>
      <c r="AA114" s="24"/>
      <c r="AB114" s="24" t="s">
        <v>115</v>
      </c>
      <c r="AC114" s="45"/>
      <c r="AD114" s="24"/>
      <c r="AE114" s="24"/>
      <c r="AF114" s="24"/>
      <c r="AG114" s="22"/>
      <c r="AH114" s="45"/>
      <c r="AI114" s="24"/>
      <c r="AJ114" s="24"/>
      <c r="AK114" s="22"/>
      <c r="AL114" s="22"/>
      <c r="AM114" s="22"/>
      <c r="AN114" s="22"/>
      <c r="AO114" s="22"/>
      <c r="AP114" s="22"/>
      <c r="AQ114" s="22"/>
      <c r="AR114" s="22"/>
      <c r="AS114" s="22"/>
      <c r="AT114" s="151"/>
      <c r="AU114" s="151"/>
      <c r="AV114" s="152"/>
      <c r="AW114" s="165"/>
      <c r="AX114" s="165"/>
      <c r="AY114" s="165"/>
      <c r="AZ114" s="165"/>
      <c r="BA114" s="165"/>
      <c r="BB114" s="165"/>
      <c r="BC114" s="165"/>
      <c r="BD114" s="165"/>
      <c r="BE114" s="137" t="s">
        <v>115</v>
      </c>
      <c r="BF114" s="137" t="s">
        <v>598</v>
      </c>
      <c r="BG114" s="139" t="s">
        <v>599</v>
      </c>
      <c r="BH114" s="153"/>
      <c r="BI114" s="154"/>
      <c r="BJ114" s="154"/>
      <c r="BK114" s="46">
        <f t="shared" si="1"/>
        <v>1</v>
      </c>
      <c r="BL114" s="46"/>
      <c r="BM114" s="46"/>
      <c r="BN114" s="46"/>
    </row>
    <row r="115" spans="1:66" ht="12.75" hidden="1" customHeight="1">
      <c r="A115" s="22">
        <v>113</v>
      </c>
      <c r="B115" s="163" t="s">
        <v>600</v>
      </c>
      <c r="C115" s="163" t="str">
        <f t="shared" si="0"/>
        <v>EDD - Calculated from ultrasound</v>
      </c>
      <c r="D115" s="163" t="s">
        <v>600</v>
      </c>
      <c r="E115" s="22" t="s">
        <v>65</v>
      </c>
      <c r="F115" s="24"/>
      <c r="G115" s="22" t="s">
        <v>547</v>
      </c>
      <c r="H115" s="24"/>
      <c r="I115" s="24">
        <v>1</v>
      </c>
      <c r="J115" s="24" t="s">
        <v>494</v>
      </c>
      <c r="K115" s="24"/>
      <c r="L115" s="24"/>
      <c r="M115" s="24"/>
      <c r="N115" s="24"/>
      <c r="O115" s="24"/>
      <c r="P115" s="24"/>
      <c r="Q115" s="24"/>
      <c r="R115" s="162" t="s">
        <v>115</v>
      </c>
      <c r="S115" s="163" t="s">
        <v>601</v>
      </c>
      <c r="T115" s="163" t="s">
        <v>602</v>
      </c>
      <c r="U115" s="163" t="s">
        <v>65</v>
      </c>
      <c r="V115" s="163"/>
      <c r="W115" s="163"/>
      <c r="X115" s="163" t="s">
        <v>603</v>
      </c>
      <c r="Y115" s="24"/>
      <c r="Z115" s="24"/>
      <c r="AA115" s="24"/>
      <c r="AB115" s="24" t="s">
        <v>115</v>
      </c>
      <c r="AC115" s="45"/>
      <c r="AD115" s="24"/>
      <c r="AE115" s="24"/>
      <c r="AF115" s="24"/>
      <c r="AG115" s="22"/>
      <c r="AH115" s="45"/>
      <c r="AI115" s="24"/>
      <c r="AJ115" s="24"/>
      <c r="AK115" s="163"/>
      <c r="AL115" s="22"/>
      <c r="AM115" s="22"/>
      <c r="AN115" s="22"/>
      <c r="AO115" s="22"/>
      <c r="AP115" s="22"/>
      <c r="AQ115" s="22"/>
      <c r="AR115" s="22"/>
      <c r="AS115" s="22"/>
      <c r="AT115" s="134"/>
      <c r="AU115" s="134"/>
      <c r="AV115" s="24"/>
      <c r="AW115" s="133"/>
      <c r="AX115" s="133"/>
      <c r="AY115" s="133"/>
      <c r="AZ115" s="133"/>
      <c r="BA115" s="133"/>
      <c r="BB115" s="133"/>
      <c r="BC115" s="133"/>
      <c r="BD115" s="133"/>
      <c r="BE115" s="137" t="s">
        <v>115</v>
      </c>
      <c r="BF115" s="137" t="s">
        <v>115</v>
      </c>
      <c r="BG115" s="139" t="s">
        <v>115</v>
      </c>
      <c r="BH115" s="47"/>
      <c r="BI115" s="47"/>
      <c r="BJ115" s="47"/>
      <c r="BK115" s="46">
        <f t="shared" si="1"/>
        <v>1</v>
      </c>
      <c r="BL115" s="46"/>
      <c r="BM115" s="46"/>
      <c r="BN115" s="46"/>
    </row>
    <row r="116" spans="1:66" ht="12.75" hidden="1" customHeight="1">
      <c r="A116" s="22">
        <v>114</v>
      </c>
      <c r="B116" s="22" t="s">
        <v>605</v>
      </c>
      <c r="C116" s="22" t="str">
        <f t="shared" si="0"/>
        <v>Gestational age - Calculated from Ultrasound</v>
      </c>
      <c r="D116" s="22" t="s">
        <v>605</v>
      </c>
      <c r="E116" s="22" t="s">
        <v>65</v>
      </c>
      <c r="F116" s="24"/>
      <c r="G116" s="22" t="s">
        <v>547</v>
      </c>
      <c r="H116" s="24"/>
      <c r="I116" s="24">
        <v>1</v>
      </c>
      <c r="J116" s="24" t="s">
        <v>494</v>
      </c>
      <c r="K116" s="24"/>
      <c r="L116" s="24"/>
      <c r="M116" s="24"/>
      <c r="N116" s="24"/>
      <c r="O116" s="24"/>
      <c r="P116" s="24"/>
      <c r="Q116" s="24"/>
      <c r="R116" s="162" t="s">
        <v>115</v>
      </c>
      <c r="S116" s="163" t="s">
        <v>606</v>
      </c>
      <c r="T116" s="163" t="s">
        <v>607</v>
      </c>
      <c r="U116" s="163" t="s">
        <v>65</v>
      </c>
      <c r="V116" s="163"/>
      <c r="W116" s="163"/>
      <c r="X116" s="163" t="s">
        <v>608</v>
      </c>
      <c r="Y116" s="24"/>
      <c r="Z116" s="24"/>
      <c r="AA116" s="24"/>
      <c r="AB116" s="24" t="s">
        <v>115</v>
      </c>
      <c r="AC116" s="45"/>
      <c r="AD116" s="24"/>
      <c r="AE116" s="24"/>
      <c r="AF116" s="24"/>
      <c r="AG116" s="22"/>
      <c r="AH116" s="45"/>
      <c r="AI116" s="24"/>
      <c r="AJ116" s="24"/>
      <c r="AK116" s="22"/>
      <c r="AL116" s="22"/>
      <c r="AM116" s="22"/>
      <c r="AN116" s="22"/>
      <c r="AO116" s="22"/>
      <c r="AP116" s="22"/>
      <c r="AQ116" s="22"/>
      <c r="AR116" s="22"/>
      <c r="AS116" s="22"/>
      <c r="AT116" s="134"/>
      <c r="AU116" s="134"/>
      <c r="AV116" s="24"/>
      <c r="AW116" s="133"/>
      <c r="AX116" s="133"/>
      <c r="AY116" s="133"/>
      <c r="AZ116" s="133"/>
      <c r="BA116" s="133"/>
      <c r="BB116" s="133"/>
      <c r="BC116" s="133"/>
      <c r="BD116" s="133"/>
      <c r="BE116" s="137" t="s">
        <v>115</v>
      </c>
      <c r="BF116" s="137" t="s">
        <v>115</v>
      </c>
      <c r="BG116" s="139" t="s">
        <v>115</v>
      </c>
      <c r="BH116" s="47"/>
      <c r="BI116" s="64"/>
      <c r="BJ116" s="47"/>
      <c r="BK116" s="46">
        <f t="shared" si="1"/>
        <v>1</v>
      </c>
      <c r="BL116" s="46"/>
      <c r="BM116" s="46"/>
      <c r="BN116" s="46"/>
    </row>
    <row r="117" spans="1:66" ht="12.75" hidden="1" customHeight="1">
      <c r="A117" s="22">
        <v>115</v>
      </c>
      <c r="B117" s="163" t="s">
        <v>609</v>
      </c>
      <c r="C117" s="163" t="str">
        <f t="shared" si="0"/>
        <v>GA from SFH or palpation - wks</v>
      </c>
      <c r="D117" s="163" t="s">
        <v>609</v>
      </c>
      <c r="E117" s="22" t="s">
        <v>96</v>
      </c>
      <c r="F117" s="24"/>
      <c r="G117" s="22" t="s">
        <v>547</v>
      </c>
      <c r="H117" s="24"/>
      <c r="I117" s="24">
        <v>1</v>
      </c>
      <c r="J117" s="24" t="s">
        <v>494</v>
      </c>
      <c r="K117" s="24"/>
      <c r="L117" s="24"/>
      <c r="M117" s="24"/>
      <c r="N117" s="24"/>
      <c r="O117" s="24"/>
      <c r="P117" s="24"/>
      <c r="Q117" s="24"/>
      <c r="R117" s="162" t="s">
        <v>609</v>
      </c>
      <c r="S117" s="163" t="s">
        <v>611</v>
      </c>
      <c r="T117" s="163" t="s">
        <v>612</v>
      </c>
      <c r="U117" s="163" t="s">
        <v>168</v>
      </c>
      <c r="V117" s="163"/>
      <c r="W117" s="163"/>
      <c r="X117" s="164"/>
      <c r="Y117" s="24"/>
      <c r="Z117" s="24" t="s">
        <v>587</v>
      </c>
      <c r="AA117" s="24"/>
      <c r="AB117" s="24" t="s">
        <v>113</v>
      </c>
      <c r="AC117" s="45"/>
      <c r="AD117" s="24"/>
      <c r="AE117" s="24"/>
      <c r="AF117" s="24"/>
      <c r="AG117" s="22"/>
      <c r="AH117" s="45"/>
      <c r="AI117" s="24"/>
      <c r="AJ117" s="24"/>
      <c r="AK117" s="163"/>
      <c r="AL117" s="22"/>
      <c r="AM117" s="22"/>
      <c r="AN117" s="22"/>
      <c r="AO117" s="22"/>
      <c r="AP117" s="22"/>
      <c r="AQ117" s="22"/>
      <c r="AR117" s="22"/>
      <c r="AS117" s="22"/>
      <c r="AT117" s="134"/>
      <c r="AU117" s="134"/>
      <c r="AV117" s="156">
        <v>249016007</v>
      </c>
      <c r="AW117" s="133"/>
      <c r="AX117" s="133"/>
      <c r="AY117" s="133"/>
      <c r="AZ117" s="133"/>
      <c r="BA117" s="133"/>
      <c r="BB117" s="133"/>
      <c r="BC117" s="133"/>
      <c r="BD117" s="133"/>
      <c r="BE117" s="137" t="s">
        <v>115</v>
      </c>
      <c r="BF117" s="137" t="s">
        <v>613</v>
      </c>
      <c r="BG117" s="139" t="s">
        <v>614</v>
      </c>
      <c r="BH117" s="47"/>
      <c r="BI117" s="157">
        <v>249016007</v>
      </c>
      <c r="BJ117" s="47"/>
      <c r="BK117" s="46">
        <f t="shared" si="1"/>
        <v>1</v>
      </c>
      <c r="BL117" s="46"/>
      <c r="BM117" s="46"/>
      <c r="BN117" s="46"/>
    </row>
    <row r="118" spans="1:66" ht="12.75" hidden="1" customHeight="1">
      <c r="A118" s="22">
        <v>116</v>
      </c>
      <c r="B118" s="163" t="s">
        <v>615</v>
      </c>
      <c r="C118" s="163" t="str">
        <f t="shared" si="0"/>
        <v>Edd - Calculated from SFH GA</v>
      </c>
      <c r="D118" s="163" t="s">
        <v>615</v>
      </c>
      <c r="E118" s="22" t="s">
        <v>65</v>
      </c>
      <c r="F118" s="24"/>
      <c r="G118" s="22" t="s">
        <v>547</v>
      </c>
      <c r="H118" s="24"/>
      <c r="I118" s="24">
        <v>1</v>
      </c>
      <c r="J118" s="24" t="s">
        <v>494</v>
      </c>
      <c r="K118" s="24"/>
      <c r="L118" s="24"/>
      <c r="M118" s="24"/>
      <c r="N118" s="24"/>
      <c r="O118" s="24"/>
      <c r="P118" s="24"/>
      <c r="Q118" s="24"/>
      <c r="R118" s="162" t="s">
        <v>115</v>
      </c>
      <c r="S118" s="163" t="s">
        <v>616</v>
      </c>
      <c r="T118" s="163" t="s">
        <v>617</v>
      </c>
      <c r="U118" s="163" t="s">
        <v>65</v>
      </c>
      <c r="V118" s="163"/>
      <c r="W118" s="163"/>
      <c r="X118" s="163" t="s">
        <v>618</v>
      </c>
      <c r="Y118" s="24"/>
      <c r="Z118" s="24"/>
      <c r="AA118" s="24"/>
      <c r="AB118" s="24" t="s">
        <v>115</v>
      </c>
      <c r="AC118" s="45"/>
      <c r="AD118" s="24"/>
      <c r="AE118" s="24"/>
      <c r="AF118" s="24"/>
      <c r="AG118" s="22"/>
      <c r="AH118" s="45"/>
      <c r="AI118" s="24"/>
      <c r="AJ118" s="24"/>
      <c r="AK118" s="163"/>
      <c r="AL118" s="22"/>
      <c r="AM118" s="22"/>
      <c r="AN118" s="22"/>
      <c r="AO118" s="22"/>
      <c r="AP118" s="22"/>
      <c r="AQ118" s="22"/>
      <c r="AR118" s="22"/>
      <c r="AS118" s="22"/>
      <c r="AT118" s="134"/>
      <c r="AU118" s="134"/>
      <c r="AV118" s="24"/>
      <c r="AW118" s="133"/>
      <c r="AX118" s="133"/>
      <c r="AY118" s="133"/>
      <c r="AZ118" s="133"/>
      <c r="BA118" s="133"/>
      <c r="BB118" s="133"/>
      <c r="BC118" s="133"/>
      <c r="BD118" s="133"/>
      <c r="BE118" s="137" t="s">
        <v>115</v>
      </c>
      <c r="BF118" s="137" t="s">
        <v>115</v>
      </c>
      <c r="BG118" s="139" t="s">
        <v>115</v>
      </c>
      <c r="BH118" s="47"/>
      <c r="BI118" s="64"/>
      <c r="BJ118" s="47"/>
      <c r="BK118" s="46">
        <f t="shared" si="1"/>
        <v>1</v>
      </c>
      <c r="BL118" s="46"/>
      <c r="BM118" s="46"/>
      <c r="BN118" s="46"/>
    </row>
    <row r="119" spans="1:66" ht="12.75" hidden="1" customHeight="1">
      <c r="A119" s="22">
        <v>117</v>
      </c>
      <c r="B119" s="163" t="s">
        <v>623</v>
      </c>
      <c r="C119" s="163" t="str">
        <f t="shared" si="0"/>
        <v>Select preferred gestational age: (Profile)</v>
      </c>
      <c r="D119" s="163" t="s">
        <v>623</v>
      </c>
      <c r="E119" s="22" t="s">
        <v>96</v>
      </c>
      <c r="F119" s="24"/>
      <c r="G119" s="22" t="s">
        <v>547</v>
      </c>
      <c r="H119" s="24"/>
      <c r="I119" s="24">
        <v>1</v>
      </c>
      <c r="J119" s="24" t="s">
        <v>494</v>
      </c>
      <c r="K119" s="24"/>
      <c r="L119" s="24"/>
      <c r="M119" s="24"/>
      <c r="N119" s="24"/>
      <c r="O119" s="24"/>
      <c r="P119" s="24"/>
      <c r="Q119" s="24"/>
      <c r="R119" s="162" t="s">
        <v>620</v>
      </c>
      <c r="S119" s="163" t="s">
        <v>621</v>
      </c>
      <c r="T119" s="163" t="s">
        <v>622</v>
      </c>
      <c r="U119" s="163" t="s">
        <v>202</v>
      </c>
      <c r="V119" s="163"/>
      <c r="W119" s="163"/>
      <c r="X119" s="164"/>
      <c r="Y119" s="24"/>
      <c r="Z119" s="24"/>
      <c r="AA119" s="24"/>
      <c r="AB119" s="24" t="s">
        <v>113</v>
      </c>
      <c r="AC119" s="45"/>
      <c r="AD119" s="24"/>
      <c r="AE119" s="24"/>
      <c r="AF119" s="24"/>
      <c r="AG119" s="22"/>
      <c r="AH119" s="45"/>
      <c r="AI119" s="24"/>
      <c r="AJ119" s="24"/>
      <c r="AK119" s="163"/>
      <c r="AL119" s="22"/>
      <c r="AM119" s="22"/>
      <c r="AN119" s="22"/>
      <c r="AO119" s="22"/>
      <c r="AP119" s="22"/>
      <c r="AQ119" s="22"/>
      <c r="AR119" s="22"/>
      <c r="AS119" s="22"/>
      <c r="AT119" s="134"/>
      <c r="AU119" s="134"/>
      <c r="AV119" s="172" t="s">
        <v>624</v>
      </c>
      <c r="AW119" s="133"/>
      <c r="AX119" s="133"/>
      <c r="AY119" s="133"/>
      <c r="AZ119" s="133"/>
      <c r="BA119" s="133"/>
      <c r="BB119" s="133"/>
      <c r="BC119" s="133"/>
      <c r="BD119" s="133"/>
      <c r="BE119" s="137" t="s">
        <v>115</v>
      </c>
      <c r="BF119" s="137" t="s">
        <v>625</v>
      </c>
      <c r="BG119" s="139" t="s">
        <v>626</v>
      </c>
      <c r="BH119" s="47"/>
      <c r="BI119" s="173" t="s">
        <v>624</v>
      </c>
      <c r="BJ119" s="47"/>
      <c r="BK119" s="46">
        <f t="shared" si="1"/>
        <v>1</v>
      </c>
      <c r="BL119" s="46"/>
      <c r="BM119" s="46"/>
      <c r="BN119" s="46"/>
    </row>
    <row r="120" spans="1:66" ht="12.75" hidden="1" customHeight="1">
      <c r="A120" s="22">
        <v>118</v>
      </c>
      <c r="B120" s="163" t="s">
        <v>851</v>
      </c>
      <c r="C120" s="163" t="e">
        <f t="shared" ca="1" si="0"/>
        <v>#NAME?</v>
      </c>
      <c r="D120" s="163" t="s">
        <v>627</v>
      </c>
      <c r="E120" s="22" t="s">
        <v>180</v>
      </c>
      <c r="F120" s="163" t="s">
        <v>620</v>
      </c>
      <c r="G120" s="22" t="s">
        <v>547</v>
      </c>
      <c r="H120" s="24"/>
      <c r="I120" s="24">
        <v>1</v>
      </c>
      <c r="J120" s="24" t="s">
        <v>494</v>
      </c>
      <c r="K120" s="24"/>
      <c r="L120" s="24"/>
      <c r="M120" s="24"/>
      <c r="N120" s="24"/>
      <c r="O120" s="24"/>
      <c r="P120" s="24"/>
      <c r="Q120" s="24"/>
      <c r="R120" s="162"/>
      <c r="S120" s="163"/>
      <c r="T120" s="163"/>
      <c r="U120" s="163"/>
      <c r="V120" s="163"/>
      <c r="W120" s="163" t="s">
        <v>627</v>
      </c>
      <c r="X120" s="163"/>
      <c r="Y120" s="24"/>
      <c r="Z120" s="24"/>
      <c r="AA120" s="24"/>
      <c r="AB120" s="24"/>
      <c r="AC120" s="45"/>
      <c r="AD120" s="24"/>
      <c r="AE120" s="24"/>
      <c r="AF120" s="24"/>
      <c r="AG120" s="22"/>
      <c r="AH120" s="45"/>
      <c r="AI120" s="24"/>
      <c r="AJ120" s="24"/>
      <c r="AK120" s="163"/>
      <c r="AL120" s="22"/>
      <c r="AM120" s="22"/>
      <c r="AN120" s="22"/>
      <c r="AO120" s="22"/>
      <c r="AP120" s="22"/>
      <c r="AQ120" s="22"/>
      <c r="AR120" s="22"/>
      <c r="AS120" s="22"/>
      <c r="AT120" s="134"/>
      <c r="AU120" s="134"/>
      <c r="AV120" s="156">
        <v>21840007</v>
      </c>
      <c r="AW120" s="133"/>
      <c r="AX120" s="133"/>
      <c r="AY120" s="133"/>
      <c r="AZ120" s="133"/>
      <c r="BA120" s="133"/>
      <c r="BB120" s="133"/>
      <c r="BC120" s="133"/>
      <c r="BD120" s="133"/>
      <c r="BE120" s="137" t="s">
        <v>115</v>
      </c>
      <c r="BF120" s="137" t="s">
        <v>559</v>
      </c>
      <c r="BG120" s="139" t="s">
        <v>560</v>
      </c>
      <c r="BH120" s="47"/>
      <c r="BI120" s="157">
        <v>21840007</v>
      </c>
      <c r="BJ120" s="47"/>
      <c r="BK120" s="46">
        <f t="shared" si="1"/>
        <v>1</v>
      </c>
      <c r="BL120" s="46"/>
      <c r="BM120" s="46"/>
      <c r="BN120" s="46"/>
    </row>
    <row r="121" spans="1:66" ht="12.75" hidden="1" customHeight="1">
      <c r="A121" s="22">
        <v>119</v>
      </c>
      <c r="B121" s="163" t="s">
        <v>860</v>
      </c>
      <c r="C121" s="163" t="e">
        <f t="shared" ca="1" si="0"/>
        <v>#NAME?</v>
      </c>
      <c r="D121" s="163" t="s">
        <v>629</v>
      </c>
      <c r="E121" s="22" t="s">
        <v>180</v>
      </c>
      <c r="F121" s="163" t="s">
        <v>620</v>
      </c>
      <c r="G121" s="22" t="s">
        <v>547</v>
      </c>
      <c r="H121" s="24"/>
      <c r="I121" s="24">
        <v>1</v>
      </c>
      <c r="J121" s="24" t="s">
        <v>494</v>
      </c>
      <c r="K121" s="24"/>
      <c r="L121" s="24"/>
      <c r="M121" s="24"/>
      <c r="N121" s="24"/>
      <c r="O121" s="24"/>
      <c r="P121" s="24"/>
      <c r="Q121" s="24"/>
      <c r="R121" s="162"/>
      <c r="S121" s="163"/>
      <c r="T121" s="163"/>
      <c r="U121" s="163"/>
      <c r="V121" s="163"/>
      <c r="W121" s="163" t="s">
        <v>629</v>
      </c>
      <c r="X121" s="163"/>
      <c r="Y121" s="24"/>
      <c r="Z121" s="24"/>
      <c r="AA121" s="24"/>
      <c r="AB121" s="24"/>
      <c r="AC121" s="45"/>
      <c r="AD121" s="24"/>
      <c r="AE121" s="24"/>
      <c r="AF121" s="24"/>
      <c r="AG121" s="22"/>
      <c r="AH121" s="45"/>
      <c r="AI121" s="24"/>
      <c r="AJ121" s="24"/>
      <c r="AK121" s="163"/>
      <c r="AL121" s="22"/>
      <c r="AM121" s="22"/>
      <c r="AN121" s="22"/>
      <c r="AO121" s="22"/>
      <c r="AP121" s="22"/>
      <c r="AQ121" s="22"/>
      <c r="AR121" s="22"/>
      <c r="AS121" s="22"/>
      <c r="AT121" s="134"/>
      <c r="AU121" s="134"/>
      <c r="AV121" s="148">
        <v>268445003</v>
      </c>
      <c r="AW121" s="133"/>
      <c r="AX121" s="133"/>
      <c r="AY121" s="133"/>
      <c r="AZ121" s="133"/>
      <c r="BA121" s="133"/>
      <c r="BB121" s="133"/>
      <c r="BC121" s="133"/>
      <c r="BD121" s="133"/>
      <c r="BE121" s="137" t="s">
        <v>115</v>
      </c>
      <c r="BF121" s="143" t="s">
        <v>630</v>
      </c>
      <c r="BG121" s="139" t="s">
        <v>631</v>
      </c>
      <c r="BH121" s="47"/>
      <c r="BI121" s="150">
        <v>268445003</v>
      </c>
      <c r="BJ121" s="47"/>
      <c r="BK121" s="46">
        <f t="shared" si="1"/>
        <v>1</v>
      </c>
      <c r="BL121" s="46"/>
      <c r="BM121" s="46"/>
      <c r="BN121" s="46"/>
    </row>
    <row r="122" spans="1:66" ht="12.75" hidden="1" customHeight="1">
      <c r="A122" s="22">
        <v>120</v>
      </c>
      <c r="B122" s="163" t="s">
        <v>865</v>
      </c>
      <c r="C122" s="163" t="e">
        <f t="shared" ca="1" si="0"/>
        <v>#NAME?</v>
      </c>
      <c r="D122" s="163" t="s">
        <v>633</v>
      </c>
      <c r="E122" s="22" t="s">
        <v>180</v>
      </c>
      <c r="F122" s="163" t="s">
        <v>620</v>
      </c>
      <c r="G122" s="22" t="s">
        <v>547</v>
      </c>
      <c r="H122" s="24"/>
      <c r="I122" s="24">
        <v>1</v>
      </c>
      <c r="J122" s="24" t="s">
        <v>494</v>
      </c>
      <c r="K122" s="24"/>
      <c r="L122" s="24"/>
      <c r="M122" s="24"/>
      <c r="N122" s="24"/>
      <c r="O122" s="24"/>
      <c r="P122" s="24"/>
      <c r="Q122" s="24"/>
      <c r="R122" s="162"/>
      <c r="S122" s="163"/>
      <c r="T122" s="163"/>
      <c r="U122" s="163"/>
      <c r="V122" s="163"/>
      <c r="W122" s="163" t="s">
        <v>633</v>
      </c>
      <c r="X122" s="163"/>
      <c r="Y122" s="24"/>
      <c r="Z122" s="24"/>
      <c r="AA122" s="24"/>
      <c r="AB122" s="24"/>
      <c r="AC122" s="45"/>
      <c r="AD122" s="24"/>
      <c r="AE122" s="24"/>
      <c r="AF122" s="24"/>
      <c r="AG122" s="22"/>
      <c r="AH122" s="45"/>
      <c r="AI122" s="24"/>
      <c r="AJ122" s="24"/>
      <c r="AK122" s="163"/>
      <c r="AL122" s="22"/>
      <c r="AM122" s="22"/>
      <c r="AN122" s="22"/>
      <c r="AO122" s="22"/>
      <c r="AP122" s="22"/>
      <c r="AQ122" s="22"/>
      <c r="AR122" s="22"/>
      <c r="AS122" s="22"/>
      <c r="AT122" s="134"/>
      <c r="AU122" s="134"/>
      <c r="AV122" s="156">
        <v>249016007</v>
      </c>
      <c r="AW122" s="133"/>
      <c r="AX122" s="133"/>
      <c r="AY122" s="133"/>
      <c r="AZ122" s="133"/>
      <c r="BA122" s="133"/>
      <c r="BB122" s="133"/>
      <c r="BC122" s="133"/>
      <c r="BD122" s="133"/>
      <c r="BE122" s="137" t="s">
        <v>115</v>
      </c>
      <c r="BF122" s="137" t="s">
        <v>613</v>
      </c>
      <c r="BG122" s="139" t="s">
        <v>614</v>
      </c>
      <c r="BH122" s="47"/>
      <c r="BI122" s="157">
        <v>249016007</v>
      </c>
      <c r="BJ122" s="47"/>
      <c r="BK122" s="46">
        <f t="shared" si="1"/>
        <v>1</v>
      </c>
      <c r="BL122" s="46"/>
      <c r="BM122" s="46"/>
      <c r="BN122" s="46"/>
    </row>
    <row r="123" spans="1:66" ht="12.75" hidden="1" customHeight="1">
      <c r="A123" s="22">
        <v>121</v>
      </c>
      <c r="B123" s="163" t="s">
        <v>634</v>
      </c>
      <c r="C123" s="163" t="str">
        <f t="shared" si="0"/>
        <v>GA selected from {select_gest_age_edd}</v>
      </c>
      <c r="D123" s="163" t="s">
        <v>634</v>
      </c>
      <c r="E123" s="22" t="s">
        <v>65</v>
      </c>
      <c r="F123" s="24"/>
      <c r="G123" s="22" t="s">
        <v>547</v>
      </c>
      <c r="H123" s="24"/>
      <c r="I123" s="24">
        <v>1</v>
      </c>
      <c r="J123" s="24" t="s">
        <v>494</v>
      </c>
      <c r="K123" s="24"/>
      <c r="L123" s="24"/>
      <c r="M123" s="24"/>
      <c r="N123" s="24"/>
      <c r="O123" s="24"/>
      <c r="P123" s="24"/>
      <c r="Q123" s="24"/>
      <c r="R123" s="162" t="s">
        <v>115</v>
      </c>
      <c r="S123" s="163" t="s">
        <v>636</v>
      </c>
      <c r="T123" s="163" t="s">
        <v>637</v>
      </c>
      <c r="U123" s="163" t="s">
        <v>65</v>
      </c>
      <c r="V123" s="163"/>
      <c r="W123" s="163"/>
      <c r="X123" s="163" t="s">
        <v>634</v>
      </c>
      <c r="Y123" s="24"/>
      <c r="Z123" s="24"/>
      <c r="AA123" s="24"/>
      <c r="AB123" s="24" t="s">
        <v>115</v>
      </c>
      <c r="AC123" s="45"/>
      <c r="AD123" s="24"/>
      <c r="AE123" s="24"/>
      <c r="AF123" s="24"/>
      <c r="AG123" s="22"/>
      <c r="AH123" s="45"/>
      <c r="AI123" s="24"/>
      <c r="AJ123" s="24"/>
      <c r="AK123" s="163"/>
      <c r="AL123" s="22"/>
      <c r="AM123" s="22"/>
      <c r="AN123" s="22"/>
      <c r="AO123" s="22"/>
      <c r="AP123" s="22"/>
      <c r="AQ123" s="22"/>
      <c r="AR123" s="22"/>
      <c r="AS123" s="22"/>
      <c r="AT123" s="134"/>
      <c r="AU123" s="134"/>
      <c r="AV123" s="108" t="s">
        <v>638</v>
      </c>
      <c r="AW123" s="133"/>
      <c r="AX123" s="133"/>
      <c r="AY123" s="133"/>
      <c r="AZ123" s="133"/>
      <c r="BA123" s="133"/>
      <c r="BB123" s="133"/>
      <c r="BC123" s="133"/>
      <c r="BD123" s="133"/>
      <c r="BE123" s="137" t="s">
        <v>115</v>
      </c>
      <c r="BF123" s="137" t="s">
        <v>639</v>
      </c>
      <c r="BG123" s="139" t="s">
        <v>640</v>
      </c>
      <c r="BH123" s="47"/>
      <c r="BI123" s="159" t="s">
        <v>638</v>
      </c>
      <c r="BJ123" s="47"/>
      <c r="BK123" s="46">
        <f t="shared" si="1"/>
        <v>1</v>
      </c>
      <c r="BL123" s="46"/>
      <c r="BM123" s="46"/>
      <c r="BN123" s="46"/>
    </row>
    <row r="124" spans="1:66" ht="12.75" hidden="1" customHeight="1">
      <c r="A124" s="22">
        <v>122</v>
      </c>
      <c r="B124" s="163" t="s">
        <v>641</v>
      </c>
      <c r="C124" s="163" t="str">
        <f t="shared" si="0"/>
        <v>EDD selected from {select_gest_age_edd}</v>
      </c>
      <c r="D124" s="163" t="s">
        <v>641</v>
      </c>
      <c r="E124" s="22" t="s">
        <v>65</v>
      </c>
      <c r="F124" s="24"/>
      <c r="G124" s="22" t="s">
        <v>547</v>
      </c>
      <c r="H124" s="24"/>
      <c r="I124" s="24">
        <v>1</v>
      </c>
      <c r="J124" s="24" t="s">
        <v>494</v>
      </c>
      <c r="K124" s="24"/>
      <c r="L124" s="24"/>
      <c r="M124" s="24"/>
      <c r="N124" s="24"/>
      <c r="O124" s="24"/>
      <c r="P124" s="24"/>
      <c r="Q124" s="24"/>
      <c r="R124" s="162" t="s">
        <v>115</v>
      </c>
      <c r="S124" s="163" t="s">
        <v>642</v>
      </c>
      <c r="T124" s="163" t="s">
        <v>643</v>
      </c>
      <c r="U124" s="163" t="s">
        <v>65</v>
      </c>
      <c r="V124" s="163"/>
      <c r="W124" s="163"/>
      <c r="X124" s="163" t="s">
        <v>641</v>
      </c>
      <c r="Y124" s="24"/>
      <c r="Z124" s="24"/>
      <c r="AA124" s="24"/>
      <c r="AB124" s="24" t="s">
        <v>115</v>
      </c>
      <c r="AC124" s="45"/>
      <c r="AD124" s="24"/>
      <c r="AE124" s="24"/>
      <c r="AF124" s="24"/>
      <c r="AG124" s="22"/>
      <c r="AH124" s="45"/>
      <c r="AI124" s="24"/>
      <c r="AJ124" s="24"/>
      <c r="AK124" s="163"/>
      <c r="AL124" s="22"/>
      <c r="AM124" s="22"/>
      <c r="AN124" s="22"/>
      <c r="AO124" s="22"/>
      <c r="AP124" s="22"/>
      <c r="AQ124" s="22"/>
      <c r="AR124" s="22"/>
      <c r="AS124" s="22"/>
      <c r="AT124" s="134"/>
      <c r="AU124" s="134"/>
      <c r="AV124" s="148">
        <v>366322004</v>
      </c>
      <c r="AW124" s="133"/>
      <c r="AX124" s="133"/>
      <c r="AY124" s="133"/>
      <c r="AZ124" s="133"/>
      <c r="BA124" s="133"/>
      <c r="BB124" s="133"/>
      <c r="BC124" s="133"/>
      <c r="BD124" s="133"/>
      <c r="BE124" s="137" t="s">
        <v>115</v>
      </c>
      <c r="BF124" s="137" t="s">
        <v>644</v>
      </c>
      <c r="BG124" s="139" t="s">
        <v>645</v>
      </c>
      <c r="BH124" s="47"/>
      <c r="BI124" s="150">
        <v>366322004</v>
      </c>
      <c r="BJ124" s="47"/>
      <c r="BK124" s="46">
        <f t="shared" si="1"/>
        <v>1</v>
      </c>
      <c r="BL124" s="46"/>
      <c r="BM124" s="46"/>
      <c r="BN124" s="46"/>
    </row>
    <row r="125" spans="1:66" ht="12.75" hidden="1" customHeight="1">
      <c r="A125" s="22">
        <v>123</v>
      </c>
      <c r="B125" s="170" t="s">
        <v>646</v>
      </c>
      <c r="C125" s="170" t="str">
        <f t="shared" si="0"/>
        <v>No. of pregnancies
(including this pregnancy)</v>
      </c>
      <c r="D125" s="170" t="s">
        <v>646</v>
      </c>
      <c r="E125" s="22" t="s">
        <v>96</v>
      </c>
      <c r="F125" s="24"/>
      <c r="G125" s="24" t="s">
        <v>647</v>
      </c>
      <c r="H125" s="24"/>
      <c r="I125" s="24">
        <v>1</v>
      </c>
      <c r="J125" s="24" t="s">
        <v>494</v>
      </c>
      <c r="K125" s="24"/>
      <c r="L125" s="24"/>
      <c r="M125" s="24"/>
      <c r="N125" s="24"/>
      <c r="O125" s="24"/>
      <c r="P125" s="133"/>
      <c r="Q125" s="133"/>
      <c r="R125" s="178" t="s">
        <v>646</v>
      </c>
      <c r="S125" s="163" t="s">
        <v>648</v>
      </c>
      <c r="T125" s="163" t="s">
        <v>649</v>
      </c>
      <c r="U125" s="163" t="s">
        <v>168</v>
      </c>
      <c r="V125" s="163"/>
      <c r="W125" s="163"/>
      <c r="X125" s="164"/>
      <c r="Y125" s="163" t="s">
        <v>650</v>
      </c>
      <c r="Z125" s="133"/>
      <c r="AA125" s="24"/>
      <c r="AB125" s="163" t="s">
        <v>113</v>
      </c>
      <c r="AC125" s="179"/>
      <c r="AD125" s="133"/>
      <c r="AE125" s="24"/>
      <c r="AF125" s="24"/>
      <c r="AG125" s="22"/>
      <c r="AH125" s="45"/>
      <c r="AI125" s="24"/>
      <c r="AJ125" s="133"/>
      <c r="AK125" s="170"/>
      <c r="AL125" s="22"/>
      <c r="AM125" s="22"/>
      <c r="AN125" s="22"/>
      <c r="AO125" s="22"/>
      <c r="AP125" s="22"/>
      <c r="AQ125" s="22"/>
      <c r="AR125" s="22"/>
      <c r="AS125" s="22"/>
      <c r="AT125" s="134"/>
      <c r="AU125" s="134"/>
      <c r="AV125" s="148">
        <v>161732006</v>
      </c>
      <c r="AW125" s="133"/>
      <c r="AX125" s="133"/>
      <c r="AY125" s="133"/>
      <c r="AZ125" s="133"/>
      <c r="BA125" s="133"/>
      <c r="BB125" s="133"/>
      <c r="BC125" s="133"/>
      <c r="BD125" s="133"/>
      <c r="BE125" s="137" t="s">
        <v>115</v>
      </c>
      <c r="BF125" s="143" t="s">
        <v>651</v>
      </c>
      <c r="BG125" s="139" t="s">
        <v>652</v>
      </c>
      <c r="BH125" s="47"/>
      <c r="BI125" s="150">
        <v>161732006</v>
      </c>
      <c r="BJ125" s="47"/>
      <c r="BK125" s="46">
        <f t="shared" si="1"/>
        <v>1</v>
      </c>
      <c r="BL125" s="46"/>
      <c r="BM125" s="46"/>
      <c r="BN125" s="46"/>
    </row>
    <row r="126" spans="1:66" ht="12.75" hidden="1" customHeight="1">
      <c r="A126" s="22">
        <v>124</v>
      </c>
      <c r="B126" s="170" t="s">
        <v>653</v>
      </c>
      <c r="C126" s="170" t="str">
        <f t="shared" si="0"/>
        <v>Total number of previous pregnancies</v>
      </c>
      <c r="D126" s="170" t="s">
        <v>653</v>
      </c>
      <c r="E126" s="22" t="s">
        <v>65</v>
      </c>
      <c r="F126" s="24"/>
      <c r="G126" s="24" t="s">
        <v>647</v>
      </c>
      <c r="H126" s="24"/>
      <c r="I126" s="24">
        <v>1</v>
      </c>
      <c r="J126" s="24" t="s">
        <v>494</v>
      </c>
      <c r="K126" s="24"/>
      <c r="L126" s="24"/>
      <c r="M126" s="24"/>
      <c r="N126" s="24"/>
      <c r="O126" s="24"/>
      <c r="P126" s="133"/>
      <c r="Q126" s="133"/>
      <c r="R126" s="178" t="s">
        <v>115</v>
      </c>
      <c r="S126" s="163" t="s">
        <v>654</v>
      </c>
      <c r="T126" s="163" t="s">
        <v>655</v>
      </c>
      <c r="U126" s="163" t="s">
        <v>65</v>
      </c>
      <c r="V126" s="163"/>
      <c r="W126" s="163"/>
      <c r="X126" s="163" t="s">
        <v>656</v>
      </c>
      <c r="Y126" s="164"/>
      <c r="Z126" s="133"/>
      <c r="AA126" s="24"/>
      <c r="AB126" s="163" t="s">
        <v>115</v>
      </c>
      <c r="AC126" s="179"/>
      <c r="AD126" s="133"/>
      <c r="AE126" s="24"/>
      <c r="AF126" s="24"/>
      <c r="AG126" s="22"/>
      <c r="AH126" s="45"/>
      <c r="AI126" s="24"/>
      <c r="AJ126" s="133"/>
      <c r="AK126" s="170"/>
      <c r="AL126" s="22"/>
      <c r="AM126" s="22"/>
      <c r="AN126" s="22"/>
      <c r="AO126" s="22"/>
      <c r="AP126" s="22"/>
      <c r="AQ126" s="22"/>
      <c r="AR126" s="22"/>
      <c r="AS126" s="22"/>
      <c r="AT126" s="134"/>
      <c r="AU126" s="134"/>
      <c r="AV126" s="24"/>
      <c r="AW126" s="133"/>
      <c r="AX126" s="133"/>
      <c r="AY126" s="133"/>
      <c r="AZ126" s="133"/>
      <c r="BA126" s="133"/>
      <c r="BB126" s="133"/>
      <c r="BC126" s="133"/>
      <c r="BD126" s="133"/>
      <c r="BE126" s="137" t="s">
        <v>115</v>
      </c>
      <c r="BF126" s="137" t="s">
        <v>115</v>
      </c>
      <c r="BG126" s="139" t="s">
        <v>115</v>
      </c>
      <c r="BH126" s="47"/>
      <c r="BI126" s="64"/>
      <c r="BJ126" s="47"/>
      <c r="BK126" s="46">
        <f t="shared" si="1"/>
        <v>1</v>
      </c>
      <c r="BL126" s="46"/>
      <c r="BM126" s="46"/>
      <c r="BN126" s="46"/>
    </row>
    <row r="127" spans="1:66" ht="12.75" hidden="1" customHeight="1">
      <c r="A127" s="22">
        <v>125</v>
      </c>
      <c r="B127" s="170" t="s">
        <v>658</v>
      </c>
      <c r="C127" s="170" t="str">
        <f t="shared" si="0"/>
        <v>No. of pregnancies lost/ended
(before 22 weeks / 5 months)</v>
      </c>
      <c r="D127" s="170" t="s">
        <v>658</v>
      </c>
      <c r="E127" s="22" t="s">
        <v>96</v>
      </c>
      <c r="F127" s="24"/>
      <c r="G127" s="24" t="s">
        <v>647</v>
      </c>
      <c r="H127" s="24"/>
      <c r="I127" s="24">
        <v>1</v>
      </c>
      <c r="J127" s="24" t="s">
        <v>494</v>
      </c>
      <c r="K127" s="24"/>
      <c r="L127" s="24"/>
      <c r="M127" s="24"/>
      <c r="N127" s="24"/>
      <c r="O127" s="24"/>
      <c r="P127" s="133"/>
      <c r="Q127" s="133"/>
      <c r="R127" s="178" t="s">
        <v>658</v>
      </c>
      <c r="S127" s="163" t="s">
        <v>659</v>
      </c>
      <c r="T127" s="163" t="s">
        <v>660</v>
      </c>
      <c r="U127" s="163" t="s">
        <v>168</v>
      </c>
      <c r="V127" s="163"/>
      <c r="W127" s="163"/>
      <c r="X127" s="164"/>
      <c r="Y127" s="163" t="s">
        <v>661</v>
      </c>
      <c r="Z127" s="133"/>
      <c r="AA127" s="24"/>
      <c r="AB127" s="163" t="s">
        <v>113</v>
      </c>
      <c r="AC127" s="179"/>
      <c r="AD127" s="133"/>
      <c r="AE127" s="24"/>
      <c r="AF127" s="24"/>
      <c r="AG127" s="22"/>
      <c r="AH127" s="45"/>
      <c r="AI127" s="24"/>
      <c r="AJ127" s="133"/>
      <c r="AK127" s="170"/>
      <c r="AL127" s="22"/>
      <c r="AM127" s="22"/>
      <c r="AN127" s="22"/>
      <c r="AO127" s="22"/>
      <c r="AP127" s="22"/>
      <c r="AQ127" s="22"/>
      <c r="AR127" s="22"/>
      <c r="AS127" s="22"/>
      <c r="AT127" s="134"/>
      <c r="AU127" s="134"/>
      <c r="AV127" s="148">
        <v>252113007</v>
      </c>
      <c r="AW127" s="133"/>
      <c r="AX127" s="133"/>
      <c r="AY127" s="133"/>
      <c r="AZ127" s="133"/>
      <c r="BA127" s="133"/>
      <c r="BB127" s="133"/>
      <c r="BC127" s="133"/>
      <c r="BD127" s="133"/>
      <c r="BE127" s="137" t="s">
        <v>115</v>
      </c>
      <c r="BF127" s="137" t="s">
        <v>662</v>
      </c>
      <c r="BG127" s="139" t="s">
        <v>663</v>
      </c>
      <c r="BH127" s="47"/>
      <c r="BI127" s="150">
        <v>252113007</v>
      </c>
      <c r="BJ127" s="47"/>
      <c r="BK127" s="46">
        <f t="shared" si="1"/>
        <v>1</v>
      </c>
      <c r="BL127" s="46"/>
      <c r="BM127" s="46"/>
      <c r="BN127" s="46"/>
    </row>
    <row r="128" spans="1:66" ht="12.75" hidden="1" customHeight="1">
      <c r="A128" s="22">
        <v>126</v>
      </c>
      <c r="B128" s="170" t="s">
        <v>664</v>
      </c>
      <c r="C128" s="170" t="str">
        <f t="shared" si="0"/>
        <v>No. of live births
(after 22 weeks)</v>
      </c>
      <c r="D128" s="170" t="s">
        <v>664</v>
      </c>
      <c r="E128" s="22" t="s">
        <v>96</v>
      </c>
      <c r="F128" s="24"/>
      <c r="G128" s="24" t="s">
        <v>647</v>
      </c>
      <c r="H128" s="24"/>
      <c r="I128" s="24">
        <v>1</v>
      </c>
      <c r="J128" s="24" t="s">
        <v>494</v>
      </c>
      <c r="K128" s="24"/>
      <c r="L128" s="24"/>
      <c r="M128" s="24"/>
      <c r="N128" s="24"/>
      <c r="O128" s="24"/>
      <c r="P128" s="133"/>
      <c r="Q128" s="133"/>
      <c r="R128" s="178" t="s">
        <v>664</v>
      </c>
      <c r="S128" s="163" t="s">
        <v>665</v>
      </c>
      <c r="T128" s="163" t="s">
        <v>666</v>
      </c>
      <c r="U128" s="163" t="s">
        <v>168</v>
      </c>
      <c r="V128" s="163"/>
      <c r="W128" s="163"/>
      <c r="X128" s="164"/>
      <c r="Y128" s="163" t="s">
        <v>668</v>
      </c>
      <c r="Z128" s="133"/>
      <c r="AA128" s="24"/>
      <c r="AB128" s="163" t="s">
        <v>113</v>
      </c>
      <c r="AC128" s="179"/>
      <c r="AD128" s="133"/>
      <c r="AE128" s="24"/>
      <c r="AF128" s="24"/>
      <c r="AG128" s="22"/>
      <c r="AH128" s="45"/>
      <c r="AI128" s="24"/>
      <c r="AJ128" s="133"/>
      <c r="AK128" s="170"/>
      <c r="AL128" s="22"/>
      <c r="AM128" s="22"/>
      <c r="AN128" s="22"/>
      <c r="AO128" s="22"/>
      <c r="AP128" s="22"/>
      <c r="AQ128" s="22"/>
      <c r="AR128" s="22"/>
      <c r="AS128" s="22"/>
      <c r="AT128" s="134"/>
      <c r="AU128" s="134"/>
      <c r="AV128" s="156">
        <v>248991006</v>
      </c>
      <c r="AW128" s="133"/>
      <c r="AX128" s="133"/>
      <c r="AY128" s="133"/>
      <c r="AZ128" s="133"/>
      <c r="BA128" s="133"/>
      <c r="BB128" s="133"/>
      <c r="BC128" s="133"/>
      <c r="BD128" s="133"/>
      <c r="BE128" s="137" t="s">
        <v>115</v>
      </c>
      <c r="BF128" s="137" t="s">
        <v>669</v>
      </c>
      <c r="BG128" s="139" t="s">
        <v>670</v>
      </c>
      <c r="BH128" s="47"/>
      <c r="BI128" s="157">
        <v>248991006</v>
      </c>
      <c r="BJ128" s="47"/>
      <c r="BK128" s="46">
        <f t="shared" si="1"/>
        <v>1</v>
      </c>
      <c r="BL128" s="46"/>
      <c r="BM128" s="46"/>
      <c r="BN128" s="46"/>
    </row>
    <row r="129" spans="1:66" ht="12.75" hidden="1" customHeight="1">
      <c r="A129" s="22">
        <v>127</v>
      </c>
      <c r="B129" s="170" t="s">
        <v>671</v>
      </c>
      <c r="C129" s="170" t="str">
        <f t="shared" si="0"/>
        <v>Was the last live birth preterm (less than 37 weeks)?</v>
      </c>
      <c r="D129" s="170" t="s">
        <v>671</v>
      </c>
      <c r="E129" s="22" t="s">
        <v>96</v>
      </c>
      <c r="F129" s="24"/>
      <c r="G129" s="24" t="s">
        <v>647</v>
      </c>
      <c r="H129" s="24"/>
      <c r="I129" s="24">
        <v>1</v>
      </c>
      <c r="J129" s="24" t="s">
        <v>494</v>
      </c>
      <c r="K129" s="24"/>
      <c r="L129" s="24"/>
      <c r="M129" s="24"/>
      <c r="N129" s="24"/>
      <c r="O129" s="24"/>
      <c r="P129" s="133"/>
      <c r="Q129" s="133"/>
      <c r="R129" s="178" t="s">
        <v>671</v>
      </c>
      <c r="S129" s="163" t="s">
        <v>672</v>
      </c>
      <c r="T129" s="163" t="s">
        <v>673</v>
      </c>
      <c r="U129" s="163" t="s">
        <v>202</v>
      </c>
      <c r="V129" s="163"/>
      <c r="W129" s="163"/>
      <c r="X129" s="164"/>
      <c r="Y129" s="163"/>
      <c r="Z129" s="133"/>
      <c r="AA129" s="24"/>
      <c r="AB129" s="163" t="s">
        <v>208</v>
      </c>
      <c r="AC129" s="179"/>
      <c r="AD129" s="133"/>
      <c r="AE129" s="24"/>
      <c r="AF129" s="24"/>
      <c r="AG129" s="22"/>
      <c r="AH129" s="45"/>
      <c r="AI129" s="24"/>
      <c r="AJ129" s="133"/>
      <c r="AK129" s="170"/>
      <c r="AL129" s="22"/>
      <c r="AM129" s="22"/>
      <c r="AN129" s="22"/>
      <c r="AO129" s="22"/>
      <c r="AP129" s="22"/>
      <c r="AQ129" s="22"/>
      <c r="AR129" s="22"/>
      <c r="AS129" s="22"/>
      <c r="AT129" s="134"/>
      <c r="AU129" s="134"/>
      <c r="AV129" s="24"/>
      <c r="AW129" s="133"/>
      <c r="AX129" s="133"/>
      <c r="AY129" s="133"/>
      <c r="AZ129" s="133"/>
      <c r="BA129" s="133"/>
      <c r="BB129" s="133"/>
      <c r="BC129" s="133"/>
      <c r="BD129" s="133"/>
      <c r="BE129" s="164"/>
      <c r="BF129" s="164"/>
      <c r="BG129" s="183"/>
      <c r="BH129" s="47"/>
      <c r="BI129" s="47"/>
      <c r="BJ129" s="47"/>
      <c r="BK129" s="46">
        <f t="shared" si="1"/>
        <v>1</v>
      </c>
      <c r="BL129" s="46"/>
      <c r="BM129" s="46"/>
      <c r="BN129" s="46"/>
    </row>
    <row r="130" spans="1:66" ht="12.75" hidden="1" customHeight="1">
      <c r="A130" s="22">
        <v>128</v>
      </c>
      <c r="B130" s="170" t="s">
        <v>250</v>
      </c>
      <c r="C130" s="170" t="e">
        <f t="shared" ca="1" si="0"/>
        <v>#NAME?</v>
      </c>
      <c r="D130" s="170" t="s">
        <v>113</v>
      </c>
      <c r="E130" s="22" t="s">
        <v>180</v>
      </c>
      <c r="F130" s="170" t="s">
        <v>671</v>
      </c>
      <c r="G130" s="24" t="s">
        <v>647</v>
      </c>
      <c r="H130" s="24"/>
      <c r="I130" s="24">
        <v>1</v>
      </c>
      <c r="J130" s="24" t="s">
        <v>494</v>
      </c>
      <c r="K130" s="24"/>
      <c r="L130" s="24"/>
      <c r="M130" s="24"/>
      <c r="N130" s="24"/>
      <c r="O130" s="24"/>
      <c r="P130" s="133"/>
      <c r="Q130" s="133"/>
      <c r="R130" s="178"/>
      <c r="S130" s="163"/>
      <c r="T130" s="163"/>
      <c r="U130" s="163"/>
      <c r="V130" s="163"/>
      <c r="W130" s="163" t="s">
        <v>113</v>
      </c>
      <c r="X130" s="164"/>
      <c r="Y130" s="163"/>
      <c r="Z130" s="133"/>
      <c r="AA130" s="24"/>
      <c r="AB130" s="163"/>
      <c r="AC130" s="179"/>
      <c r="AD130" s="133"/>
      <c r="AE130" s="24"/>
      <c r="AF130" s="24"/>
      <c r="AG130" s="22"/>
      <c r="AH130" s="45"/>
      <c r="AI130" s="24"/>
      <c r="AJ130" s="133"/>
      <c r="AK130" s="170"/>
      <c r="AL130" s="22"/>
      <c r="AM130" s="22"/>
      <c r="AN130" s="22"/>
      <c r="AO130" s="22"/>
      <c r="AP130" s="22"/>
      <c r="AQ130" s="22"/>
      <c r="AR130" s="22"/>
      <c r="AS130" s="22"/>
      <c r="AT130" s="134"/>
      <c r="AU130" s="134"/>
      <c r="AV130" s="24"/>
      <c r="AW130" s="133"/>
      <c r="AX130" s="133"/>
      <c r="AY130" s="133"/>
      <c r="AZ130" s="133"/>
      <c r="BA130" s="133"/>
      <c r="BB130" s="133"/>
      <c r="BC130" s="133"/>
      <c r="BD130" s="133"/>
      <c r="BE130" s="164"/>
      <c r="BF130" s="164"/>
      <c r="BG130" s="183"/>
      <c r="BH130" s="47"/>
      <c r="BI130" s="47"/>
      <c r="BJ130" s="47"/>
      <c r="BK130" s="46">
        <f t="shared" si="1"/>
        <v>1</v>
      </c>
      <c r="BL130" s="46"/>
      <c r="BM130" s="46"/>
      <c r="BN130" s="46"/>
    </row>
    <row r="131" spans="1:66" ht="12.75" hidden="1" customHeight="1">
      <c r="A131" s="22">
        <v>129</v>
      </c>
      <c r="B131" s="170" t="s">
        <v>255</v>
      </c>
      <c r="C131" s="170" t="e">
        <f t="shared" ca="1" si="0"/>
        <v>#NAME?</v>
      </c>
      <c r="D131" s="170" t="s">
        <v>208</v>
      </c>
      <c r="E131" s="22" t="s">
        <v>180</v>
      </c>
      <c r="F131" s="170" t="s">
        <v>671</v>
      </c>
      <c r="G131" s="24" t="s">
        <v>647</v>
      </c>
      <c r="H131" s="24"/>
      <c r="I131" s="24">
        <v>1</v>
      </c>
      <c r="J131" s="24" t="s">
        <v>494</v>
      </c>
      <c r="K131" s="24"/>
      <c r="L131" s="24"/>
      <c r="M131" s="24"/>
      <c r="N131" s="24"/>
      <c r="O131" s="24"/>
      <c r="P131" s="133"/>
      <c r="Q131" s="133"/>
      <c r="R131" s="178"/>
      <c r="S131" s="163"/>
      <c r="T131" s="163"/>
      <c r="U131" s="163"/>
      <c r="V131" s="163"/>
      <c r="W131" s="163" t="s">
        <v>208</v>
      </c>
      <c r="X131" s="164"/>
      <c r="Y131" s="163"/>
      <c r="Z131" s="133"/>
      <c r="AA131" s="24"/>
      <c r="AB131" s="163"/>
      <c r="AC131" s="179"/>
      <c r="AD131" s="133"/>
      <c r="AE131" s="24"/>
      <c r="AF131" s="24"/>
      <c r="AG131" s="22"/>
      <c r="AH131" s="45"/>
      <c r="AI131" s="24"/>
      <c r="AJ131" s="133"/>
      <c r="AK131" s="170"/>
      <c r="AL131" s="22"/>
      <c r="AM131" s="22"/>
      <c r="AN131" s="22"/>
      <c r="AO131" s="22"/>
      <c r="AP131" s="22"/>
      <c r="AQ131" s="22"/>
      <c r="AR131" s="22"/>
      <c r="AS131" s="22"/>
      <c r="AT131" s="134"/>
      <c r="AU131" s="134"/>
      <c r="AV131" s="24"/>
      <c r="AW131" s="133"/>
      <c r="AX131" s="133"/>
      <c r="AY131" s="133"/>
      <c r="AZ131" s="133"/>
      <c r="BA131" s="133"/>
      <c r="BB131" s="133"/>
      <c r="BC131" s="133"/>
      <c r="BD131" s="133"/>
      <c r="BE131" s="164"/>
      <c r="BF131" s="164"/>
      <c r="BG131" s="183"/>
      <c r="BH131" s="47"/>
      <c r="BI131" s="47"/>
      <c r="BJ131" s="47"/>
      <c r="BK131" s="46">
        <f t="shared" si="1"/>
        <v>1</v>
      </c>
      <c r="BL131" s="46"/>
      <c r="BM131" s="46"/>
      <c r="BN131" s="46"/>
    </row>
    <row r="132" spans="1:66" ht="12.75" hidden="1" customHeight="1">
      <c r="A132" s="22">
        <v>130</v>
      </c>
      <c r="B132" s="170" t="s">
        <v>701</v>
      </c>
      <c r="C132" s="170" t="e">
        <f t="shared" ca="1" si="0"/>
        <v>#NAME?</v>
      </c>
      <c r="D132" s="170" t="s">
        <v>500</v>
      </c>
      <c r="E132" s="22" t="s">
        <v>180</v>
      </c>
      <c r="F132" s="170" t="s">
        <v>671</v>
      </c>
      <c r="G132" s="24" t="s">
        <v>647</v>
      </c>
      <c r="H132" s="24"/>
      <c r="I132" s="24">
        <v>1</v>
      </c>
      <c r="J132" s="24" t="s">
        <v>494</v>
      </c>
      <c r="K132" s="24"/>
      <c r="L132" s="24"/>
      <c r="M132" s="24"/>
      <c r="N132" s="24"/>
      <c r="O132" s="24"/>
      <c r="P132" s="133"/>
      <c r="Q132" s="133"/>
      <c r="R132" s="178"/>
      <c r="S132" s="163"/>
      <c r="T132" s="163"/>
      <c r="U132" s="163"/>
      <c r="V132" s="163"/>
      <c r="W132" s="163" t="s">
        <v>500</v>
      </c>
      <c r="X132" s="164"/>
      <c r="Y132" s="163"/>
      <c r="Z132" s="133"/>
      <c r="AA132" s="24"/>
      <c r="AB132" s="163"/>
      <c r="AC132" s="179"/>
      <c r="AD132" s="133"/>
      <c r="AE132" s="24"/>
      <c r="AF132" s="24"/>
      <c r="AG132" s="22"/>
      <c r="AH132" s="45"/>
      <c r="AI132" s="24"/>
      <c r="AJ132" s="133"/>
      <c r="AK132" s="170"/>
      <c r="AL132" s="22"/>
      <c r="AM132" s="22"/>
      <c r="AN132" s="22"/>
      <c r="AO132" s="22"/>
      <c r="AP132" s="22"/>
      <c r="AQ132" s="22"/>
      <c r="AR132" s="22"/>
      <c r="AS132" s="22"/>
      <c r="AT132" s="134"/>
      <c r="AU132" s="134"/>
      <c r="AV132" s="24"/>
      <c r="AW132" s="133"/>
      <c r="AX132" s="133"/>
      <c r="AY132" s="133"/>
      <c r="AZ132" s="133"/>
      <c r="BA132" s="133"/>
      <c r="BB132" s="133"/>
      <c r="BC132" s="133"/>
      <c r="BD132" s="133"/>
      <c r="BE132" s="164"/>
      <c r="BF132" s="164"/>
      <c r="BG132" s="183"/>
      <c r="BH132" s="47"/>
      <c r="BI132" s="64"/>
      <c r="BJ132" s="47"/>
      <c r="BK132" s="46">
        <f t="shared" si="1"/>
        <v>1</v>
      </c>
      <c r="BL132" s="46"/>
      <c r="BM132" s="46"/>
      <c r="BN132" s="46"/>
    </row>
    <row r="133" spans="1:66" ht="12.75" hidden="1" customHeight="1">
      <c r="A133" s="22">
        <v>131</v>
      </c>
      <c r="B133" s="170" t="s">
        <v>674</v>
      </c>
      <c r="C133" s="170" t="str">
        <f t="shared" si="0"/>
        <v>No. of stillbirths
(after 22 weeks)</v>
      </c>
      <c r="D133" s="170" t="s">
        <v>674</v>
      </c>
      <c r="E133" s="22" t="s">
        <v>96</v>
      </c>
      <c r="F133" s="24"/>
      <c r="G133" s="24" t="s">
        <v>647</v>
      </c>
      <c r="H133" s="24"/>
      <c r="I133" s="24">
        <v>1</v>
      </c>
      <c r="J133" s="24" t="s">
        <v>494</v>
      </c>
      <c r="K133" s="24"/>
      <c r="L133" s="24"/>
      <c r="M133" s="24"/>
      <c r="N133" s="24"/>
      <c r="O133" s="24"/>
      <c r="P133" s="133"/>
      <c r="Q133" s="133"/>
      <c r="R133" s="178" t="s">
        <v>674</v>
      </c>
      <c r="S133" s="163" t="s">
        <v>675</v>
      </c>
      <c r="T133" s="163" t="s">
        <v>676</v>
      </c>
      <c r="U133" s="163" t="s">
        <v>168</v>
      </c>
      <c r="V133" s="163"/>
      <c r="W133" s="163"/>
      <c r="X133" s="164"/>
      <c r="Y133" s="163" t="s">
        <v>677</v>
      </c>
      <c r="Z133" s="133"/>
      <c r="AA133" s="24"/>
      <c r="AB133" s="163" t="s">
        <v>113</v>
      </c>
      <c r="AC133" s="179"/>
      <c r="AD133" s="133"/>
      <c r="AE133" s="24"/>
      <c r="AF133" s="24"/>
      <c r="AG133" s="22"/>
      <c r="AH133" s="45"/>
      <c r="AI133" s="24"/>
      <c r="AJ133" s="133"/>
      <c r="AK133" s="170"/>
      <c r="AL133" s="22"/>
      <c r="AM133" s="22"/>
      <c r="AN133" s="22"/>
      <c r="AO133" s="22"/>
      <c r="AP133" s="22"/>
      <c r="AQ133" s="22"/>
      <c r="AR133" s="22"/>
      <c r="AS133" s="22"/>
      <c r="AT133" s="134"/>
      <c r="AU133" s="134"/>
      <c r="AV133" s="148">
        <v>252112002</v>
      </c>
      <c r="AW133" s="133"/>
      <c r="AX133" s="133"/>
      <c r="AY133" s="133"/>
      <c r="AZ133" s="133"/>
      <c r="BA133" s="133"/>
      <c r="BB133" s="133"/>
      <c r="BC133" s="133"/>
      <c r="BD133" s="133"/>
      <c r="BE133" s="137" t="s">
        <v>115</v>
      </c>
      <c r="BF133" s="137" t="s">
        <v>678</v>
      </c>
      <c r="BG133" s="139" t="s">
        <v>679</v>
      </c>
      <c r="BH133" s="47"/>
      <c r="BI133" s="150">
        <v>252112002</v>
      </c>
      <c r="BJ133" s="47"/>
      <c r="BK133" s="46">
        <f t="shared" si="1"/>
        <v>1</v>
      </c>
      <c r="BL133" s="46"/>
      <c r="BM133" s="46"/>
      <c r="BN133" s="46"/>
    </row>
    <row r="134" spans="1:66" ht="12.75" hidden="1" customHeight="1">
      <c r="A134" s="22">
        <v>132</v>
      </c>
      <c r="B134" s="170" t="s">
        <v>680</v>
      </c>
      <c r="C134" s="170" t="str">
        <f t="shared" si="0"/>
        <v>Calculated Parity</v>
      </c>
      <c r="D134" s="170" t="s">
        <v>680</v>
      </c>
      <c r="E134" s="22" t="s">
        <v>65</v>
      </c>
      <c r="F134" s="24"/>
      <c r="G134" s="24" t="s">
        <v>647</v>
      </c>
      <c r="H134" s="24"/>
      <c r="I134" s="24">
        <v>1</v>
      </c>
      <c r="J134" s="24" t="s">
        <v>494</v>
      </c>
      <c r="K134" s="24"/>
      <c r="L134" s="24"/>
      <c r="M134" s="24"/>
      <c r="N134" s="24"/>
      <c r="O134" s="24"/>
      <c r="P134" s="133"/>
      <c r="Q134" s="133"/>
      <c r="R134" s="178" t="s">
        <v>115</v>
      </c>
      <c r="S134" s="163" t="s">
        <v>681</v>
      </c>
      <c r="T134" s="163" t="s">
        <v>682</v>
      </c>
      <c r="U134" s="163" t="s">
        <v>65</v>
      </c>
      <c r="V134" s="163"/>
      <c r="W134" s="163"/>
      <c r="X134" s="163" t="s">
        <v>683</v>
      </c>
      <c r="Y134" s="164"/>
      <c r="Z134" s="133"/>
      <c r="AA134" s="24"/>
      <c r="AB134" s="163" t="s">
        <v>115</v>
      </c>
      <c r="AC134" s="179"/>
      <c r="AD134" s="133"/>
      <c r="AE134" s="24"/>
      <c r="AF134" s="24"/>
      <c r="AG134" s="22"/>
      <c r="AH134" s="45"/>
      <c r="AI134" s="24"/>
      <c r="AJ134" s="133"/>
      <c r="AK134" s="170"/>
      <c r="AL134" s="22"/>
      <c r="AM134" s="22"/>
      <c r="AN134" s="22"/>
      <c r="AO134" s="22"/>
      <c r="AP134" s="22"/>
      <c r="AQ134" s="22"/>
      <c r="AR134" s="22"/>
      <c r="AS134" s="22"/>
      <c r="AT134" s="134"/>
      <c r="AU134" s="134"/>
      <c r="AV134" s="148">
        <v>364325004</v>
      </c>
      <c r="AW134" s="133"/>
      <c r="AX134" s="133"/>
      <c r="AY134" s="133"/>
      <c r="AZ134" s="133"/>
      <c r="BA134" s="133"/>
      <c r="BB134" s="133"/>
      <c r="BC134" s="133"/>
      <c r="BD134" s="133"/>
      <c r="BE134" s="137" t="s">
        <v>115</v>
      </c>
      <c r="BF134" s="137" t="s">
        <v>684</v>
      </c>
      <c r="BG134" s="139" t="s">
        <v>685</v>
      </c>
      <c r="BH134" s="47"/>
      <c r="BI134" s="150">
        <v>364325004</v>
      </c>
      <c r="BJ134" s="47"/>
      <c r="BK134" s="46">
        <f t="shared" si="1"/>
        <v>1</v>
      </c>
      <c r="BL134" s="46"/>
      <c r="BM134" s="46"/>
      <c r="BN134" s="46"/>
    </row>
    <row r="135" spans="1:66" ht="12.75" hidden="1" customHeight="1">
      <c r="A135" s="22">
        <v>133</v>
      </c>
      <c r="B135" s="163" t="s">
        <v>686</v>
      </c>
      <c r="C135" s="163" t="str">
        <f t="shared" si="0"/>
        <v>No. of C-sections</v>
      </c>
      <c r="D135" s="163" t="s">
        <v>686</v>
      </c>
      <c r="E135" s="22" t="s">
        <v>96</v>
      </c>
      <c r="F135" s="24"/>
      <c r="G135" s="24" t="s">
        <v>647</v>
      </c>
      <c r="H135" s="24"/>
      <c r="I135" s="24">
        <v>1</v>
      </c>
      <c r="J135" s="24" t="s">
        <v>494</v>
      </c>
      <c r="K135" s="24"/>
      <c r="L135" s="24"/>
      <c r="M135" s="24"/>
      <c r="N135" s="24"/>
      <c r="O135" s="24"/>
      <c r="P135" s="133"/>
      <c r="Q135" s="133"/>
      <c r="R135" s="162" t="s">
        <v>686</v>
      </c>
      <c r="S135" s="163" t="s">
        <v>687</v>
      </c>
      <c r="T135" s="163" t="s">
        <v>688</v>
      </c>
      <c r="U135" s="163" t="s">
        <v>168</v>
      </c>
      <c r="V135" s="163"/>
      <c r="W135" s="163"/>
      <c r="X135" s="163"/>
      <c r="Y135" s="163" t="s">
        <v>689</v>
      </c>
      <c r="Z135" s="133"/>
      <c r="AA135" s="24"/>
      <c r="AB135" s="163" t="s">
        <v>113</v>
      </c>
      <c r="AC135" s="179"/>
      <c r="AD135" s="133"/>
      <c r="AE135" s="24"/>
      <c r="AF135" s="24"/>
      <c r="AG135" s="22"/>
      <c r="AH135" s="45"/>
      <c r="AI135" s="24"/>
      <c r="AJ135" s="133"/>
      <c r="AK135" s="163"/>
      <c r="AL135" s="22"/>
      <c r="AM135" s="22"/>
      <c r="AN135" s="22"/>
      <c r="AO135" s="22"/>
      <c r="AP135" s="22"/>
      <c r="AQ135" s="22"/>
      <c r="AR135" s="22"/>
      <c r="AS135" s="22"/>
      <c r="AT135" s="134"/>
      <c r="AU135" s="134"/>
      <c r="AV135" s="148">
        <v>252115000</v>
      </c>
      <c r="AW135" s="133"/>
      <c r="AX135" s="133"/>
      <c r="AY135" s="133"/>
      <c r="AZ135" s="133"/>
      <c r="BA135" s="133"/>
      <c r="BB135" s="133"/>
      <c r="BC135" s="133"/>
      <c r="BD135" s="133"/>
      <c r="BE135" s="137" t="s">
        <v>115</v>
      </c>
      <c r="BF135" s="143" t="s">
        <v>690</v>
      </c>
      <c r="BG135" s="139" t="s">
        <v>691</v>
      </c>
      <c r="BH135" s="64"/>
      <c r="BI135" s="150">
        <v>252115000</v>
      </c>
      <c r="BJ135" s="47"/>
      <c r="BK135" s="46">
        <f t="shared" si="1"/>
        <v>1</v>
      </c>
      <c r="BL135" s="46"/>
      <c r="BM135" s="46"/>
      <c r="BN135" s="46"/>
    </row>
    <row r="136" spans="1:66" ht="12.75" hidden="1" customHeight="1">
      <c r="A136" s="22">
        <v>134</v>
      </c>
      <c r="B136" s="163" t="s">
        <v>692</v>
      </c>
      <c r="C136" s="163" t="str">
        <f t="shared" si="0"/>
        <v>Any past pregnancy problems?</v>
      </c>
      <c r="D136" s="163" t="s">
        <v>692</v>
      </c>
      <c r="E136" s="22" t="s">
        <v>96</v>
      </c>
      <c r="F136" s="24"/>
      <c r="G136" s="24" t="s">
        <v>647</v>
      </c>
      <c r="H136" s="24"/>
      <c r="I136" s="24">
        <v>1</v>
      </c>
      <c r="J136" s="24" t="s">
        <v>494</v>
      </c>
      <c r="K136" s="24"/>
      <c r="L136" s="24"/>
      <c r="M136" s="24"/>
      <c r="N136" s="24"/>
      <c r="O136" s="24"/>
      <c r="P136" s="133"/>
      <c r="Q136" s="133"/>
      <c r="R136" s="162" t="s">
        <v>692</v>
      </c>
      <c r="S136" s="163" t="s">
        <v>693</v>
      </c>
      <c r="T136" s="163" t="s">
        <v>694</v>
      </c>
      <c r="U136" s="163" t="s">
        <v>238</v>
      </c>
      <c r="V136" s="170"/>
      <c r="W136" s="170"/>
      <c r="X136" s="163"/>
      <c r="Y136" s="163" t="s">
        <v>695</v>
      </c>
      <c r="Z136" s="133"/>
      <c r="AA136" s="24"/>
      <c r="AB136" s="163" t="s">
        <v>113</v>
      </c>
      <c r="AC136" s="179"/>
      <c r="AD136" s="133"/>
      <c r="AE136" s="24"/>
      <c r="AF136" s="24"/>
      <c r="AG136" s="22"/>
      <c r="AH136" s="45"/>
      <c r="AI136" s="24"/>
      <c r="AJ136" s="133"/>
      <c r="AK136" s="163"/>
      <c r="AL136" s="22"/>
      <c r="AM136" s="22"/>
      <c r="AN136" s="22"/>
      <c r="AO136" s="22"/>
      <c r="AP136" s="22"/>
      <c r="AQ136" s="22"/>
      <c r="AR136" s="22"/>
      <c r="AS136" s="22"/>
      <c r="AT136" s="185" t="s">
        <v>696</v>
      </c>
      <c r="AU136" s="134"/>
      <c r="AV136" s="108" t="s">
        <v>697</v>
      </c>
      <c r="AW136" s="133"/>
      <c r="AX136" s="133"/>
      <c r="AY136" s="133"/>
      <c r="AZ136" s="133"/>
      <c r="BA136" s="133"/>
      <c r="BB136" s="133"/>
      <c r="BC136" s="133"/>
      <c r="BD136" s="133"/>
      <c r="BE136" s="137" t="s">
        <v>115</v>
      </c>
      <c r="BF136" s="137" t="s">
        <v>698</v>
      </c>
      <c r="BG136" s="139" t="s">
        <v>699</v>
      </c>
      <c r="BH136" s="186" t="s">
        <v>696</v>
      </c>
      <c r="BI136" s="159" t="s">
        <v>697</v>
      </c>
      <c r="BJ136" s="47"/>
      <c r="BK136" s="46">
        <f t="shared" si="1"/>
        <v>1</v>
      </c>
      <c r="BL136" s="46"/>
      <c r="BM136" s="46"/>
      <c r="BN136" s="46"/>
    </row>
    <row r="137" spans="1:66" ht="12.75" hidden="1" customHeight="1">
      <c r="A137" s="22">
        <v>135</v>
      </c>
      <c r="B137" s="170" t="s">
        <v>553</v>
      </c>
      <c r="C137" s="170" t="e">
        <f t="shared" ca="1" si="0"/>
        <v>#NAME?</v>
      </c>
      <c r="D137" s="170" t="s">
        <v>423</v>
      </c>
      <c r="E137" s="22" t="s">
        <v>180</v>
      </c>
      <c r="F137" s="163" t="s">
        <v>692</v>
      </c>
      <c r="G137" s="24" t="s">
        <v>647</v>
      </c>
      <c r="H137" s="24"/>
      <c r="I137" s="24">
        <v>1</v>
      </c>
      <c r="J137" s="24" t="s">
        <v>494</v>
      </c>
      <c r="K137" s="24"/>
      <c r="L137" s="24"/>
      <c r="M137" s="24"/>
      <c r="N137" s="24"/>
      <c r="O137" s="24"/>
      <c r="P137" s="133"/>
      <c r="Q137" s="133"/>
      <c r="R137" s="162"/>
      <c r="S137" s="163"/>
      <c r="T137" s="163"/>
      <c r="U137" s="163"/>
      <c r="V137" s="170"/>
      <c r="W137" s="170" t="s">
        <v>423</v>
      </c>
      <c r="X137" s="163"/>
      <c r="Y137" s="164"/>
      <c r="Z137" s="133"/>
      <c r="AA137" s="24"/>
      <c r="AB137" s="163"/>
      <c r="AC137" s="179"/>
      <c r="AD137" s="133"/>
      <c r="AE137" s="24"/>
      <c r="AF137" s="24"/>
      <c r="AG137" s="22"/>
      <c r="AH137" s="45"/>
      <c r="AI137" s="24"/>
      <c r="AJ137" s="133"/>
      <c r="AK137" s="170"/>
      <c r="AL137" s="22"/>
      <c r="AM137" s="22"/>
      <c r="AN137" s="22"/>
      <c r="AO137" s="22"/>
      <c r="AP137" s="22"/>
      <c r="AQ137" s="22"/>
      <c r="AR137" s="22"/>
      <c r="AS137" s="22"/>
      <c r="AT137" s="134"/>
      <c r="AU137" s="134"/>
      <c r="AV137" s="148">
        <v>260413007</v>
      </c>
      <c r="AW137" s="133"/>
      <c r="AX137" s="133"/>
      <c r="AY137" s="133"/>
      <c r="AZ137" s="133"/>
      <c r="BA137" s="133"/>
      <c r="BB137" s="133"/>
      <c r="BC137" s="133"/>
      <c r="BD137" s="133"/>
      <c r="BE137" s="137" t="s">
        <v>115</v>
      </c>
      <c r="BF137" s="137" t="s">
        <v>424</v>
      </c>
      <c r="BG137" s="139" t="s">
        <v>425</v>
      </c>
      <c r="BH137" s="47"/>
      <c r="BI137" s="150">
        <v>260413007</v>
      </c>
      <c r="BJ137" s="47"/>
      <c r="BK137" s="46">
        <f t="shared" si="1"/>
        <v>1</v>
      </c>
      <c r="BL137" s="46"/>
      <c r="BM137" s="46"/>
      <c r="BN137" s="46"/>
    </row>
    <row r="138" spans="1:66" ht="12.75" hidden="1" customHeight="1">
      <c r="A138" s="22">
        <v>136</v>
      </c>
      <c r="B138" s="163" t="s">
        <v>701</v>
      </c>
      <c r="C138" s="163" t="e">
        <f t="shared" ca="1" si="0"/>
        <v>#NAME?</v>
      </c>
      <c r="D138" s="163" t="s">
        <v>500</v>
      </c>
      <c r="E138" s="22" t="s">
        <v>180</v>
      </c>
      <c r="F138" s="163" t="s">
        <v>692</v>
      </c>
      <c r="G138" s="24" t="s">
        <v>647</v>
      </c>
      <c r="H138" s="24"/>
      <c r="I138" s="24">
        <v>1</v>
      </c>
      <c r="J138" s="24" t="s">
        <v>494</v>
      </c>
      <c r="K138" s="24"/>
      <c r="L138" s="24"/>
      <c r="M138" s="24"/>
      <c r="N138" s="24"/>
      <c r="O138" s="24"/>
      <c r="P138" s="133"/>
      <c r="Q138" s="133"/>
      <c r="R138" s="162"/>
      <c r="S138" s="163"/>
      <c r="T138" s="163"/>
      <c r="U138" s="163"/>
      <c r="V138" s="163"/>
      <c r="W138" s="163" t="s">
        <v>500</v>
      </c>
      <c r="X138" s="163"/>
      <c r="Y138" s="164"/>
      <c r="Z138" s="133"/>
      <c r="AA138" s="24"/>
      <c r="AB138" s="163"/>
      <c r="AC138" s="179"/>
      <c r="AD138" s="133"/>
      <c r="AE138" s="24"/>
      <c r="AF138" s="24"/>
      <c r="AG138" s="22"/>
      <c r="AH138" s="45"/>
      <c r="AI138" s="24"/>
      <c r="AJ138" s="133"/>
      <c r="AK138" s="163"/>
      <c r="AL138" s="22"/>
      <c r="AM138" s="22"/>
      <c r="AN138" s="22"/>
      <c r="AO138" s="22"/>
      <c r="AP138" s="22"/>
      <c r="AQ138" s="22"/>
      <c r="AR138" s="22"/>
      <c r="AS138" s="22"/>
      <c r="AT138" s="134"/>
      <c r="AU138" s="134"/>
      <c r="AV138" s="24">
        <v>261665006</v>
      </c>
      <c r="AW138" s="133"/>
      <c r="AX138" s="133"/>
      <c r="AY138" s="133"/>
      <c r="AZ138" s="133"/>
      <c r="BA138" s="133"/>
      <c r="BB138" s="133"/>
      <c r="BC138" s="133"/>
      <c r="BD138" s="133"/>
      <c r="BE138" s="137" t="s">
        <v>115</v>
      </c>
      <c r="BF138" s="137" t="s">
        <v>501</v>
      </c>
      <c r="BG138" s="139" t="s">
        <v>503</v>
      </c>
      <c r="BH138" s="47"/>
      <c r="BI138" s="64">
        <v>261665006</v>
      </c>
      <c r="BJ138" s="47"/>
      <c r="BK138" s="46">
        <f t="shared" si="1"/>
        <v>1</v>
      </c>
      <c r="BL138" s="46"/>
      <c r="BM138" s="46"/>
      <c r="BN138" s="46"/>
    </row>
    <row r="139" spans="1:66" ht="12.75" hidden="1" customHeight="1">
      <c r="A139" s="22">
        <v>137</v>
      </c>
      <c r="B139" s="163" t="s">
        <v>956</v>
      </c>
      <c r="C139" s="163" t="e">
        <f t="shared" ca="1" si="0"/>
        <v>#NAME?</v>
      </c>
      <c r="D139" s="163" t="s">
        <v>700</v>
      </c>
      <c r="E139" s="22" t="s">
        <v>180</v>
      </c>
      <c r="F139" s="163" t="s">
        <v>692</v>
      </c>
      <c r="G139" s="24" t="s">
        <v>647</v>
      </c>
      <c r="H139" s="24"/>
      <c r="I139" s="24">
        <v>1</v>
      </c>
      <c r="J139" s="24" t="s">
        <v>494</v>
      </c>
      <c r="K139" s="24"/>
      <c r="L139" s="24"/>
      <c r="M139" s="24"/>
      <c r="N139" s="24"/>
      <c r="O139" s="24"/>
      <c r="P139" s="133"/>
      <c r="Q139" s="133"/>
      <c r="R139" s="162"/>
      <c r="S139" s="163"/>
      <c r="T139" s="163"/>
      <c r="U139" s="163"/>
      <c r="V139" s="163"/>
      <c r="W139" s="163" t="s">
        <v>700</v>
      </c>
      <c r="X139" s="163"/>
      <c r="Y139" s="164"/>
      <c r="Z139" s="133"/>
      <c r="AA139" s="24"/>
      <c r="AB139" s="163"/>
      <c r="AC139" s="179"/>
      <c r="AD139" s="133"/>
      <c r="AE139" s="24"/>
      <c r="AF139" s="24"/>
      <c r="AG139" s="22"/>
      <c r="AH139" s="45"/>
      <c r="AI139" s="24"/>
      <c r="AJ139" s="133"/>
      <c r="AK139" s="163"/>
      <c r="AL139" s="22"/>
      <c r="AM139" s="22"/>
      <c r="AN139" s="22"/>
      <c r="AO139" s="22"/>
      <c r="AP139" s="22"/>
      <c r="AQ139" s="22"/>
      <c r="AR139" s="22"/>
      <c r="AS139" s="22"/>
      <c r="AT139" s="134"/>
      <c r="AU139" s="134"/>
      <c r="AV139" s="148">
        <v>398254007</v>
      </c>
      <c r="AW139" s="133"/>
      <c r="AX139" s="133"/>
      <c r="AY139" s="133"/>
      <c r="AZ139" s="133"/>
      <c r="BA139" s="133"/>
      <c r="BB139" s="133"/>
      <c r="BC139" s="133"/>
      <c r="BD139" s="133"/>
      <c r="BE139" s="137" t="s">
        <v>115</v>
      </c>
      <c r="BF139" s="137" t="s">
        <v>702</v>
      </c>
      <c r="BG139" s="139" t="s">
        <v>703</v>
      </c>
      <c r="BH139" s="47"/>
      <c r="BI139" s="150">
        <v>398254007</v>
      </c>
      <c r="BJ139" s="47"/>
      <c r="BK139" s="46">
        <f t="shared" si="1"/>
        <v>1</v>
      </c>
      <c r="BL139" s="46"/>
      <c r="BM139" s="46"/>
      <c r="BN139" s="46"/>
    </row>
    <row r="140" spans="1:66" ht="12.75" hidden="1" customHeight="1">
      <c r="A140" s="22">
        <v>138</v>
      </c>
      <c r="B140" s="163" t="s">
        <v>959</v>
      </c>
      <c r="C140" s="163" t="e">
        <f t="shared" ca="1" si="0"/>
        <v>#NAME?</v>
      </c>
      <c r="D140" s="163" t="s">
        <v>704</v>
      </c>
      <c r="E140" s="22" t="s">
        <v>180</v>
      </c>
      <c r="F140" s="163" t="s">
        <v>692</v>
      </c>
      <c r="G140" s="24" t="s">
        <v>647</v>
      </c>
      <c r="H140" s="24"/>
      <c r="I140" s="24">
        <v>1</v>
      </c>
      <c r="J140" s="24" t="s">
        <v>494</v>
      </c>
      <c r="K140" s="24"/>
      <c r="L140" s="24"/>
      <c r="M140" s="24"/>
      <c r="N140" s="24"/>
      <c r="O140" s="24"/>
      <c r="P140" s="133"/>
      <c r="Q140" s="133"/>
      <c r="R140" s="162"/>
      <c r="S140" s="163"/>
      <c r="T140" s="163"/>
      <c r="U140" s="163"/>
      <c r="V140" s="163"/>
      <c r="W140" s="163" t="s">
        <v>704</v>
      </c>
      <c r="X140" s="163"/>
      <c r="Y140" s="164"/>
      <c r="Z140" s="133"/>
      <c r="AA140" s="24"/>
      <c r="AB140" s="163"/>
      <c r="AC140" s="179"/>
      <c r="AD140" s="133"/>
      <c r="AE140" s="24"/>
      <c r="AF140" s="24"/>
      <c r="AG140" s="22"/>
      <c r="AH140" s="45"/>
      <c r="AI140" s="24"/>
      <c r="AJ140" s="133"/>
      <c r="AK140" s="163"/>
      <c r="AL140" s="22"/>
      <c r="AM140" s="22"/>
      <c r="AN140" s="22"/>
      <c r="AO140" s="22"/>
      <c r="AP140" s="22"/>
      <c r="AQ140" s="22"/>
      <c r="AR140" s="22"/>
      <c r="AS140" s="22"/>
      <c r="AT140" s="134"/>
      <c r="AU140" s="134"/>
      <c r="AV140" s="156">
        <v>15938005</v>
      </c>
      <c r="AW140" s="133"/>
      <c r="AX140" s="133"/>
      <c r="AY140" s="133"/>
      <c r="AZ140" s="133"/>
      <c r="BA140" s="133"/>
      <c r="BB140" s="133"/>
      <c r="BC140" s="133"/>
      <c r="BD140" s="133"/>
      <c r="BE140" s="137" t="s">
        <v>115</v>
      </c>
      <c r="BF140" s="137" t="s">
        <v>706</v>
      </c>
      <c r="BG140" s="139" t="s">
        <v>707</v>
      </c>
      <c r="BH140" s="47"/>
      <c r="BI140" s="157">
        <v>15938005</v>
      </c>
      <c r="BJ140" s="47"/>
      <c r="BK140" s="46">
        <f t="shared" si="1"/>
        <v>1</v>
      </c>
      <c r="BL140" s="46"/>
      <c r="BM140" s="46"/>
      <c r="BN140" s="46"/>
    </row>
    <row r="141" spans="1:66" ht="12.75" hidden="1" customHeight="1">
      <c r="A141" s="22">
        <v>139</v>
      </c>
      <c r="B141" s="163" t="s">
        <v>968</v>
      </c>
      <c r="C141" s="163" t="e">
        <f t="shared" ca="1" si="0"/>
        <v>#NAME?</v>
      </c>
      <c r="D141" s="163" t="s">
        <v>708</v>
      </c>
      <c r="E141" s="22" t="s">
        <v>180</v>
      </c>
      <c r="F141" s="163" t="s">
        <v>692</v>
      </c>
      <c r="G141" s="24" t="s">
        <v>647</v>
      </c>
      <c r="H141" s="24"/>
      <c r="I141" s="24">
        <v>1</v>
      </c>
      <c r="J141" s="24" t="s">
        <v>494</v>
      </c>
      <c r="K141" s="24"/>
      <c r="L141" s="24"/>
      <c r="M141" s="24"/>
      <c r="N141" s="24"/>
      <c r="O141" s="24"/>
      <c r="P141" s="133"/>
      <c r="Q141" s="133"/>
      <c r="R141" s="162"/>
      <c r="S141" s="163"/>
      <c r="T141" s="163"/>
      <c r="U141" s="163"/>
      <c r="V141" s="163"/>
      <c r="W141" s="163" t="s">
        <v>708</v>
      </c>
      <c r="X141" s="163"/>
      <c r="Y141" s="164"/>
      <c r="Z141" s="133"/>
      <c r="AA141" s="24"/>
      <c r="AB141" s="163"/>
      <c r="AC141" s="179"/>
      <c r="AD141" s="133"/>
      <c r="AE141" s="24"/>
      <c r="AF141" s="24"/>
      <c r="AG141" s="22"/>
      <c r="AH141" s="45"/>
      <c r="AI141" s="24"/>
      <c r="AJ141" s="133"/>
      <c r="AK141" s="163"/>
      <c r="AL141" s="22"/>
      <c r="AM141" s="22"/>
      <c r="AN141" s="22"/>
      <c r="AO141" s="22"/>
      <c r="AP141" s="22"/>
      <c r="AQ141" s="22"/>
      <c r="AR141" s="22"/>
      <c r="AS141" s="22"/>
      <c r="AT141" s="134"/>
      <c r="AU141" s="134"/>
      <c r="AV141" s="156">
        <v>91175000</v>
      </c>
      <c r="AW141" s="133"/>
      <c r="AX141" s="133"/>
      <c r="AY141" s="133"/>
      <c r="AZ141" s="133"/>
      <c r="BA141" s="133"/>
      <c r="BB141" s="133"/>
      <c r="BC141" s="133"/>
      <c r="BD141" s="133"/>
      <c r="BE141" s="137" t="s">
        <v>115</v>
      </c>
      <c r="BF141" s="137" t="s">
        <v>709</v>
      </c>
      <c r="BG141" s="139" t="s">
        <v>710</v>
      </c>
      <c r="BH141" s="47"/>
      <c r="BI141" s="157">
        <v>91175000</v>
      </c>
      <c r="BJ141" s="47"/>
      <c r="BK141" s="46">
        <f t="shared" si="1"/>
        <v>1</v>
      </c>
      <c r="BL141" s="46"/>
      <c r="BM141" s="46"/>
      <c r="BN141" s="46"/>
    </row>
    <row r="142" spans="1:66" ht="12.75" hidden="1" customHeight="1">
      <c r="A142" s="22">
        <v>140</v>
      </c>
      <c r="B142" s="163" t="s">
        <v>969</v>
      </c>
      <c r="C142" s="163" t="e">
        <f t="shared" ca="1" si="0"/>
        <v>#NAME?</v>
      </c>
      <c r="D142" s="163" t="s">
        <v>711</v>
      </c>
      <c r="E142" s="22" t="s">
        <v>180</v>
      </c>
      <c r="F142" s="163" t="s">
        <v>692</v>
      </c>
      <c r="G142" s="24" t="s">
        <v>647</v>
      </c>
      <c r="H142" s="24"/>
      <c r="I142" s="24">
        <v>1</v>
      </c>
      <c r="J142" s="24" t="s">
        <v>494</v>
      </c>
      <c r="K142" s="24"/>
      <c r="L142" s="24"/>
      <c r="M142" s="24"/>
      <c r="N142" s="24"/>
      <c r="O142" s="24"/>
      <c r="P142" s="133"/>
      <c r="Q142" s="133"/>
      <c r="R142" s="162"/>
      <c r="S142" s="163"/>
      <c r="T142" s="163"/>
      <c r="U142" s="163"/>
      <c r="V142" s="163"/>
      <c r="W142" s="163" t="s">
        <v>711</v>
      </c>
      <c r="X142" s="163"/>
      <c r="Y142" s="164"/>
      <c r="Z142" s="133"/>
      <c r="AA142" s="24"/>
      <c r="AB142" s="163"/>
      <c r="AC142" s="179"/>
      <c r="AD142" s="133"/>
      <c r="AE142" s="24"/>
      <c r="AF142" s="24"/>
      <c r="AG142" s="22"/>
      <c r="AH142" s="45"/>
      <c r="AI142" s="24"/>
      <c r="AJ142" s="133"/>
      <c r="AK142" s="163"/>
      <c r="AL142" s="22"/>
      <c r="AM142" s="22"/>
      <c r="AN142" s="22"/>
      <c r="AO142" s="22"/>
      <c r="AP142" s="22"/>
      <c r="AQ142" s="22"/>
      <c r="AR142" s="22"/>
      <c r="AS142" s="22"/>
      <c r="AT142" s="134"/>
      <c r="AU142" s="134"/>
      <c r="AV142" s="156">
        <v>110483000</v>
      </c>
      <c r="AW142" s="133"/>
      <c r="AX142" s="133"/>
      <c r="AY142" s="133"/>
      <c r="AZ142" s="133"/>
      <c r="BA142" s="133"/>
      <c r="BB142" s="133"/>
      <c r="BC142" s="133"/>
      <c r="BD142" s="133"/>
      <c r="BE142" s="137" t="s">
        <v>115</v>
      </c>
      <c r="BF142" s="143" t="s">
        <v>713</v>
      </c>
      <c r="BG142" s="139" t="s">
        <v>714</v>
      </c>
      <c r="BH142" s="64"/>
      <c r="BI142" s="157">
        <v>110483000</v>
      </c>
      <c r="BJ142" s="47"/>
      <c r="BK142" s="46">
        <f t="shared" si="1"/>
        <v>1</v>
      </c>
      <c r="BL142" s="46"/>
      <c r="BM142" s="46"/>
      <c r="BN142" s="46"/>
    </row>
    <row r="143" spans="1:66" ht="12.75" hidden="1" customHeight="1">
      <c r="A143" s="22">
        <v>141</v>
      </c>
      <c r="B143" s="163" t="s">
        <v>974</v>
      </c>
      <c r="C143" s="163" t="e">
        <f t="shared" ca="1" si="0"/>
        <v>#NAME?</v>
      </c>
      <c r="D143" s="163" t="s">
        <v>715</v>
      </c>
      <c r="E143" s="22" t="s">
        <v>180</v>
      </c>
      <c r="F143" s="163" t="s">
        <v>692</v>
      </c>
      <c r="G143" s="24" t="s">
        <v>647</v>
      </c>
      <c r="H143" s="24"/>
      <c r="I143" s="24">
        <v>1</v>
      </c>
      <c r="J143" s="24" t="s">
        <v>494</v>
      </c>
      <c r="K143" s="24"/>
      <c r="L143" s="24"/>
      <c r="M143" s="24"/>
      <c r="N143" s="24"/>
      <c r="O143" s="24"/>
      <c r="P143" s="133"/>
      <c r="Q143" s="133"/>
      <c r="R143" s="162"/>
      <c r="S143" s="163"/>
      <c r="T143" s="163"/>
      <c r="U143" s="163"/>
      <c r="V143" s="163"/>
      <c r="W143" s="163" t="s">
        <v>715</v>
      </c>
      <c r="X143" s="163"/>
      <c r="Y143" s="164"/>
      <c r="Z143" s="133"/>
      <c r="AA143" s="24"/>
      <c r="AB143" s="163"/>
      <c r="AC143" s="179"/>
      <c r="AD143" s="133"/>
      <c r="AE143" s="24"/>
      <c r="AF143" s="24"/>
      <c r="AG143" s="22"/>
      <c r="AH143" s="45"/>
      <c r="AI143" s="24"/>
      <c r="AJ143" s="133"/>
      <c r="AK143" s="163"/>
      <c r="AL143" s="22"/>
      <c r="AM143" s="22"/>
      <c r="AN143" s="22"/>
      <c r="AO143" s="22"/>
      <c r="AP143" s="22"/>
      <c r="AQ143" s="22"/>
      <c r="AR143" s="22"/>
      <c r="AS143" s="22"/>
      <c r="AT143" s="187" t="s">
        <v>717</v>
      </c>
      <c r="AU143" s="134"/>
      <c r="AV143" s="156">
        <v>110483000</v>
      </c>
      <c r="AW143" s="133"/>
      <c r="AX143" s="133"/>
      <c r="AY143" s="133"/>
      <c r="AZ143" s="133"/>
      <c r="BA143" s="133"/>
      <c r="BB143" s="133"/>
      <c r="BC143" s="133"/>
      <c r="BD143" s="133"/>
      <c r="BE143" s="137" t="s">
        <v>115</v>
      </c>
      <c r="BF143" s="143" t="s">
        <v>718</v>
      </c>
      <c r="BG143" s="167" t="s">
        <v>719</v>
      </c>
      <c r="BH143" s="188" t="s">
        <v>717</v>
      </c>
      <c r="BI143" s="157">
        <v>110483000</v>
      </c>
      <c r="BJ143" s="47"/>
      <c r="BK143" s="46">
        <f t="shared" si="1"/>
        <v>1</v>
      </c>
      <c r="BL143" s="46"/>
      <c r="BM143" s="46"/>
      <c r="BN143" s="46"/>
    </row>
    <row r="144" spans="1:66" ht="12.75" hidden="1" customHeight="1">
      <c r="A144" s="22">
        <v>142</v>
      </c>
      <c r="B144" s="163" t="s">
        <v>977</v>
      </c>
      <c r="C144" s="163" t="e">
        <f t="shared" ca="1" si="0"/>
        <v>#NAME?</v>
      </c>
      <c r="D144" s="163" t="s">
        <v>720</v>
      </c>
      <c r="E144" s="22" t="s">
        <v>180</v>
      </c>
      <c r="F144" s="163" t="s">
        <v>692</v>
      </c>
      <c r="G144" s="24" t="s">
        <v>647</v>
      </c>
      <c r="H144" s="24"/>
      <c r="I144" s="24">
        <v>1</v>
      </c>
      <c r="J144" s="24" t="s">
        <v>494</v>
      </c>
      <c r="K144" s="24"/>
      <c r="L144" s="24"/>
      <c r="M144" s="24"/>
      <c r="N144" s="24"/>
      <c r="O144" s="24"/>
      <c r="P144" s="133"/>
      <c r="Q144" s="133"/>
      <c r="R144" s="162"/>
      <c r="S144" s="163"/>
      <c r="T144" s="163"/>
      <c r="U144" s="163"/>
      <c r="V144" s="163"/>
      <c r="W144" s="163" t="s">
        <v>720</v>
      </c>
      <c r="X144" s="163"/>
      <c r="Y144" s="164"/>
      <c r="Z144" s="133"/>
      <c r="AA144" s="24"/>
      <c r="AB144" s="163"/>
      <c r="AC144" s="179"/>
      <c r="AD144" s="133"/>
      <c r="AE144" s="24"/>
      <c r="AF144" s="24"/>
      <c r="AG144" s="22"/>
      <c r="AH144" s="45"/>
      <c r="AI144" s="24"/>
      <c r="AJ144" s="133"/>
      <c r="AK144" s="163"/>
      <c r="AL144" s="22"/>
      <c r="AM144" s="22"/>
      <c r="AN144" s="22"/>
      <c r="AO144" s="22"/>
      <c r="AP144" s="22"/>
      <c r="AQ144" s="22"/>
      <c r="AR144" s="22"/>
      <c r="AS144" s="22"/>
      <c r="AT144" s="134"/>
      <c r="AU144" s="134"/>
      <c r="AV144" s="148">
        <v>219006</v>
      </c>
      <c r="AW144" s="133"/>
      <c r="AX144" s="133"/>
      <c r="AY144" s="133"/>
      <c r="AZ144" s="133"/>
      <c r="BA144" s="133"/>
      <c r="BB144" s="133"/>
      <c r="BC144" s="133"/>
      <c r="BD144" s="133"/>
      <c r="BE144" s="137" t="s">
        <v>115</v>
      </c>
      <c r="BF144" s="137" t="s">
        <v>721</v>
      </c>
      <c r="BG144" s="139" t="s">
        <v>722</v>
      </c>
      <c r="BH144" s="47"/>
      <c r="BI144" s="150">
        <v>219006</v>
      </c>
      <c r="BJ144" s="47"/>
      <c r="BK144" s="46">
        <f t="shared" si="1"/>
        <v>1</v>
      </c>
      <c r="BL144" s="46"/>
      <c r="BM144" s="46"/>
      <c r="BN144" s="46"/>
    </row>
    <row r="145" spans="1:66" ht="12.75" hidden="1" customHeight="1">
      <c r="A145" s="22">
        <v>143</v>
      </c>
      <c r="B145" s="163" t="s">
        <v>981</v>
      </c>
      <c r="C145" s="163" t="e">
        <f t="shared" ca="1" si="0"/>
        <v>#NAME?</v>
      </c>
      <c r="D145" s="163" t="s">
        <v>723</v>
      </c>
      <c r="E145" s="22" t="s">
        <v>180</v>
      </c>
      <c r="F145" s="163" t="s">
        <v>692</v>
      </c>
      <c r="G145" s="24" t="s">
        <v>647</v>
      </c>
      <c r="H145" s="24"/>
      <c r="I145" s="24">
        <v>1</v>
      </c>
      <c r="J145" s="24" t="s">
        <v>494</v>
      </c>
      <c r="K145" s="24"/>
      <c r="L145" s="24"/>
      <c r="M145" s="24"/>
      <c r="N145" s="24"/>
      <c r="O145" s="24"/>
      <c r="P145" s="133"/>
      <c r="Q145" s="133"/>
      <c r="R145" s="162"/>
      <c r="S145" s="163"/>
      <c r="T145" s="163"/>
      <c r="U145" s="163"/>
      <c r="V145" s="163"/>
      <c r="W145" s="163" t="s">
        <v>723</v>
      </c>
      <c r="X145" s="163"/>
      <c r="Y145" s="164"/>
      <c r="Z145" s="133"/>
      <c r="AA145" s="24"/>
      <c r="AB145" s="163"/>
      <c r="AC145" s="179"/>
      <c r="AD145" s="133"/>
      <c r="AE145" s="24"/>
      <c r="AF145" s="24"/>
      <c r="AG145" s="22"/>
      <c r="AH145" s="45"/>
      <c r="AI145" s="24"/>
      <c r="AJ145" s="133"/>
      <c r="AK145" s="163"/>
      <c r="AL145" s="22"/>
      <c r="AM145" s="22"/>
      <c r="AN145" s="22"/>
      <c r="AO145" s="22"/>
      <c r="AP145" s="22"/>
      <c r="AQ145" s="22"/>
      <c r="AR145" s="22"/>
      <c r="AS145" s="22"/>
      <c r="AT145" s="134"/>
      <c r="AU145" s="134"/>
      <c r="AV145" s="148">
        <v>371422002</v>
      </c>
      <c r="AW145" s="133"/>
      <c r="AX145" s="133"/>
      <c r="AY145" s="133"/>
      <c r="AZ145" s="133"/>
      <c r="BA145" s="133"/>
      <c r="BB145" s="133"/>
      <c r="BC145" s="133"/>
      <c r="BD145" s="133"/>
      <c r="BE145" s="137" t="s">
        <v>115</v>
      </c>
      <c r="BF145" s="143" t="s">
        <v>724</v>
      </c>
      <c r="BG145" s="167" t="s">
        <v>725</v>
      </c>
      <c r="BH145" s="64"/>
      <c r="BI145" s="150">
        <v>371422002</v>
      </c>
      <c r="BJ145" s="47"/>
      <c r="BK145" s="46">
        <f t="shared" si="1"/>
        <v>1</v>
      </c>
      <c r="BL145" s="46"/>
      <c r="BM145" s="46"/>
      <c r="BN145" s="46"/>
    </row>
    <row r="146" spans="1:66" ht="12.75" hidden="1" customHeight="1">
      <c r="A146" s="22">
        <v>144</v>
      </c>
      <c r="B146" s="163" t="s">
        <v>982</v>
      </c>
      <c r="C146" s="163" t="e">
        <f t="shared" ca="1" si="0"/>
        <v>#NAME?</v>
      </c>
      <c r="D146" s="163" t="s">
        <v>726</v>
      </c>
      <c r="E146" s="22" t="s">
        <v>180</v>
      </c>
      <c r="F146" s="163" t="s">
        <v>692</v>
      </c>
      <c r="G146" s="24" t="s">
        <v>647</v>
      </c>
      <c r="H146" s="24"/>
      <c r="I146" s="24">
        <v>1</v>
      </c>
      <c r="J146" s="24" t="s">
        <v>494</v>
      </c>
      <c r="K146" s="24"/>
      <c r="L146" s="24"/>
      <c r="M146" s="24"/>
      <c r="N146" s="24"/>
      <c r="O146" s="24"/>
      <c r="P146" s="133"/>
      <c r="Q146" s="133"/>
      <c r="R146" s="162"/>
      <c r="S146" s="163"/>
      <c r="T146" s="163"/>
      <c r="U146" s="163"/>
      <c r="V146" s="163"/>
      <c r="W146" s="163" t="s">
        <v>726</v>
      </c>
      <c r="X146" s="163"/>
      <c r="Y146" s="164"/>
      <c r="Z146" s="133"/>
      <c r="AA146" s="24"/>
      <c r="AB146" s="163"/>
      <c r="AC146" s="179"/>
      <c r="AD146" s="133"/>
      <c r="AE146" s="24"/>
      <c r="AF146" s="24"/>
      <c r="AG146" s="22"/>
      <c r="AH146" s="45"/>
      <c r="AI146" s="24"/>
      <c r="AJ146" s="133"/>
      <c r="AK146" s="163"/>
      <c r="AL146" s="22"/>
      <c r="AM146" s="22"/>
      <c r="AN146" s="22"/>
      <c r="AO146" s="22"/>
      <c r="AP146" s="22"/>
      <c r="AQ146" s="22"/>
      <c r="AR146" s="22"/>
      <c r="AS146" s="22"/>
      <c r="AT146" s="187" t="s">
        <v>727</v>
      </c>
      <c r="AU146" s="134"/>
      <c r="AV146" s="148">
        <v>47821001</v>
      </c>
      <c r="AW146" s="133"/>
      <c r="AX146" s="133"/>
      <c r="AY146" s="133"/>
      <c r="AZ146" s="133"/>
      <c r="BA146" s="133"/>
      <c r="BB146" s="133"/>
      <c r="BC146" s="133"/>
      <c r="BD146" s="133"/>
      <c r="BE146" s="137" t="s">
        <v>115</v>
      </c>
      <c r="BF146" s="137" t="s">
        <v>728</v>
      </c>
      <c r="BG146" s="139" t="s">
        <v>729</v>
      </c>
      <c r="BH146" s="188" t="s">
        <v>727</v>
      </c>
      <c r="BI146" s="150">
        <v>47821001</v>
      </c>
      <c r="BJ146" s="64"/>
      <c r="BK146" s="46">
        <f t="shared" si="1"/>
        <v>1</v>
      </c>
      <c r="BL146" s="46"/>
      <c r="BM146" s="46"/>
      <c r="BN146" s="46"/>
    </row>
    <row r="147" spans="1:66" ht="12.75" hidden="1" customHeight="1">
      <c r="A147" s="22">
        <v>145</v>
      </c>
      <c r="B147" s="163" t="s">
        <v>987</v>
      </c>
      <c r="C147" s="163" t="e">
        <f t="shared" ca="1" si="0"/>
        <v>#NAME?</v>
      </c>
      <c r="D147" s="163" t="s">
        <v>731</v>
      </c>
      <c r="E147" s="22" t="s">
        <v>180</v>
      </c>
      <c r="F147" s="163" t="s">
        <v>692</v>
      </c>
      <c r="G147" s="24" t="s">
        <v>647</v>
      </c>
      <c r="H147" s="24"/>
      <c r="I147" s="24">
        <v>1</v>
      </c>
      <c r="J147" s="24" t="s">
        <v>494</v>
      </c>
      <c r="K147" s="24"/>
      <c r="L147" s="24"/>
      <c r="M147" s="24"/>
      <c r="N147" s="24"/>
      <c r="O147" s="24"/>
      <c r="P147" s="133"/>
      <c r="Q147" s="133"/>
      <c r="R147" s="162"/>
      <c r="S147" s="163"/>
      <c r="T147" s="163"/>
      <c r="U147" s="163"/>
      <c r="V147" s="163"/>
      <c r="W147" s="163" t="s">
        <v>731</v>
      </c>
      <c r="X147" s="163"/>
      <c r="Y147" s="164"/>
      <c r="Z147" s="133"/>
      <c r="AA147" s="24"/>
      <c r="AB147" s="163"/>
      <c r="AC147" s="179"/>
      <c r="AD147" s="133"/>
      <c r="AE147" s="24"/>
      <c r="AF147" s="24"/>
      <c r="AG147" s="22"/>
      <c r="AH147" s="45"/>
      <c r="AI147" s="24"/>
      <c r="AJ147" s="133"/>
      <c r="AK147" s="163"/>
      <c r="AL147" s="22"/>
      <c r="AM147" s="22"/>
      <c r="AN147" s="22"/>
      <c r="AO147" s="22"/>
      <c r="AP147" s="22"/>
      <c r="AQ147" s="22"/>
      <c r="AR147" s="22"/>
      <c r="AS147" s="22"/>
      <c r="AT147" s="151"/>
      <c r="AU147" s="151"/>
      <c r="AV147" s="152"/>
      <c r="AW147" s="165"/>
      <c r="AX147" s="165"/>
      <c r="AY147" s="165"/>
      <c r="AZ147" s="165"/>
      <c r="BA147" s="165"/>
      <c r="BB147" s="165"/>
      <c r="BC147" s="165"/>
      <c r="BD147" s="165"/>
      <c r="BE147" s="137" t="s">
        <v>115</v>
      </c>
      <c r="BF147" s="137" t="s">
        <v>732</v>
      </c>
      <c r="BG147" s="139" t="s">
        <v>733</v>
      </c>
      <c r="BH147" s="153"/>
      <c r="BI147" s="154"/>
      <c r="BJ147" s="154"/>
      <c r="BK147" s="46">
        <f t="shared" si="1"/>
        <v>1</v>
      </c>
      <c r="BL147" s="46"/>
      <c r="BM147" s="46"/>
      <c r="BN147" s="46"/>
    </row>
    <row r="148" spans="1:66" ht="12.75" hidden="1" customHeight="1">
      <c r="A148" s="22">
        <v>146</v>
      </c>
      <c r="B148" s="163" t="s">
        <v>991</v>
      </c>
      <c r="C148" s="163" t="e">
        <f t="shared" ca="1" si="0"/>
        <v>#NAME?</v>
      </c>
      <c r="D148" s="163" t="s">
        <v>734</v>
      </c>
      <c r="E148" s="22" t="s">
        <v>180</v>
      </c>
      <c r="F148" s="163" t="s">
        <v>692</v>
      </c>
      <c r="G148" s="24" t="s">
        <v>647</v>
      </c>
      <c r="H148" s="24"/>
      <c r="I148" s="24">
        <v>1</v>
      </c>
      <c r="J148" s="24" t="s">
        <v>494</v>
      </c>
      <c r="K148" s="24"/>
      <c r="L148" s="24"/>
      <c r="M148" s="24"/>
      <c r="N148" s="24"/>
      <c r="O148" s="24"/>
      <c r="P148" s="133"/>
      <c r="Q148" s="133"/>
      <c r="R148" s="162"/>
      <c r="S148" s="163"/>
      <c r="T148" s="163"/>
      <c r="U148" s="163"/>
      <c r="V148" s="163"/>
      <c r="W148" s="163" t="s">
        <v>734</v>
      </c>
      <c r="X148" s="163"/>
      <c r="Y148" s="164"/>
      <c r="Z148" s="133"/>
      <c r="AA148" s="24"/>
      <c r="AB148" s="163"/>
      <c r="AC148" s="179"/>
      <c r="AD148" s="133"/>
      <c r="AE148" s="24"/>
      <c r="AF148" s="24"/>
      <c r="AG148" s="22"/>
      <c r="AH148" s="45"/>
      <c r="AI148" s="24"/>
      <c r="AJ148" s="133"/>
      <c r="AK148" s="163"/>
      <c r="AL148" s="22"/>
      <c r="AM148" s="22"/>
      <c r="AN148" s="22"/>
      <c r="AO148" s="22"/>
      <c r="AP148" s="22"/>
      <c r="AQ148" s="22"/>
      <c r="AR148" s="22"/>
      <c r="AS148" s="22"/>
      <c r="AT148" s="134"/>
      <c r="AU148" s="134"/>
      <c r="AV148" s="148">
        <v>276613009</v>
      </c>
      <c r="AW148" s="133"/>
      <c r="AX148" s="133"/>
      <c r="AY148" s="133"/>
      <c r="AZ148" s="133"/>
      <c r="BA148" s="133"/>
      <c r="BB148" s="133"/>
      <c r="BC148" s="133"/>
      <c r="BD148" s="133"/>
      <c r="BE148" s="137" t="s">
        <v>115</v>
      </c>
      <c r="BF148" s="143" t="s">
        <v>735</v>
      </c>
      <c r="BG148" s="139" t="s">
        <v>736</v>
      </c>
      <c r="BH148" s="47"/>
      <c r="BI148" s="150">
        <v>276613009</v>
      </c>
      <c r="BJ148" s="47"/>
      <c r="BK148" s="46">
        <f t="shared" si="1"/>
        <v>1</v>
      </c>
      <c r="BL148" s="46"/>
      <c r="BM148" s="46"/>
      <c r="BN148" s="46"/>
    </row>
    <row r="149" spans="1:66" ht="12.75" hidden="1" customHeight="1">
      <c r="A149" s="22">
        <v>147</v>
      </c>
      <c r="B149" s="163" t="s">
        <v>995</v>
      </c>
      <c r="C149" s="163" t="e">
        <f t="shared" ca="1" si="0"/>
        <v>#NAME?</v>
      </c>
      <c r="D149" s="163" t="s">
        <v>737</v>
      </c>
      <c r="E149" s="22" t="s">
        <v>180</v>
      </c>
      <c r="F149" s="163" t="s">
        <v>692</v>
      </c>
      <c r="G149" s="24" t="s">
        <v>647</v>
      </c>
      <c r="H149" s="24"/>
      <c r="I149" s="24">
        <v>1</v>
      </c>
      <c r="J149" s="24" t="s">
        <v>494</v>
      </c>
      <c r="K149" s="24"/>
      <c r="L149" s="24"/>
      <c r="M149" s="24"/>
      <c r="N149" s="24"/>
      <c r="O149" s="24"/>
      <c r="P149" s="133"/>
      <c r="Q149" s="133"/>
      <c r="R149" s="162"/>
      <c r="S149" s="163"/>
      <c r="T149" s="163"/>
      <c r="U149" s="163"/>
      <c r="V149" s="163"/>
      <c r="W149" s="163" t="s">
        <v>737</v>
      </c>
      <c r="X149" s="163"/>
      <c r="Y149" s="164"/>
      <c r="Z149" s="133"/>
      <c r="AA149" s="24"/>
      <c r="AB149" s="163"/>
      <c r="AC149" s="179"/>
      <c r="AD149" s="133"/>
      <c r="AE149" s="24"/>
      <c r="AF149" s="24"/>
      <c r="AG149" s="22"/>
      <c r="AH149" s="45"/>
      <c r="AI149" s="24"/>
      <c r="AJ149" s="133"/>
      <c r="AK149" s="163"/>
      <c r="AL149" s="22"/>
      <c r="AM149" s="22"/>
      <c r="AN149" s="22"/>
      <c r="AO149" s="22"/>
      <c r="AP149" s="22"/>
      <c r="AQ149" s="22"/>
      <c r="AR149" s="22"/>
      <c r="AS149" s="22"/>
      <c r="AT149" s="134"/>
      <c r="AU149" s="134"/>
      <c r="AV149" s="148">
        <v>236974004</v>
      </c>
      <c r="AW149" s="133"/>
      <c r="AX149" s="133"/>
      <c r="AY149" s="133"/>
      <c r="AZ149" s="133"/>
      <c r="BA149" s="133"/>
      <c r="BB149" s="133"/>
      <c r="BC149" s="133"/>
      <c r="BD149" s="133"/>
      <c r="BE149" s="137" t="s">
        <v>115</v>
      </c>
      <c r="BF149" s="137" t="s">
        <v>739</v>
      </c>
      <c r="BG149" s="139" t="s">
        <v>740</v>
      </c>
      <c r="BH149" s="47"/>
      <c r="BI149" s="150">
        <v>236974004</v>
      </c>
      <c r="BJ149" s="47"/>
      <c r="BK149" s="46">
        <f t="shared" si="1"/>
        <v>1</v>
      </c>
      <c r="BL149" s="46"/>
      <c r="BM149" s="46"/>
      <c r="BN149" s="46"/>
    </row>
    <row r="150" spans="1:66" ht="12.75" hidden="1" customHeight="1">
      <c r="A150" s="22">
        <v>148</v>
      </c>
      <c r="B150" s="163" t="s">
        <v>999</v>
      </c>
      <c r="C150" s="163" t="e">
        <f t="shared" ca="1" si="0"/>
        <v>#NAME?</v>
      </c>
      <c r="D150" s="163" t="s">
        <v>741</v>
      </c>
      <c r="E150" s="22" t="s">
        <v>180</v>
      </c>
      <c r="F150" s="163" t="s">
        <v>692</v>
      </c>
      <c r="G150" s="24" t="s">
        <v>647</v>
      </c>
      <c r="H150" s="24"/>
      <c r="I150" s="24">
        <v>1</v>
      </c>
      <c r="J150" s="24" t="s">
        <v>494</v>
      </c>
      <c r="K150" s="24"/>
      <c r="L150" s="24"/>
      <c r="M150" s="24"/>
      <c r="N150" s="24"/>
      <c r="O150" s="24"/>
      <c r="P150" s="133"/>
      <c r="Q150" s="133"/>
      <c r="R150" s="162"/>
      <c r="S150" s="163"/>
      <c r="T150" s="163"/>
      <c r="U150" s="163"/>
      <c r="V150" s="163"/>
      <c r="W150" s="163" t="s">
        <v>741</v>
      </c>
      <c r="X150" s="163"/>
      <c r="Y150" s="164"/>
      <c r="Z150" s="133"/>
      <c r="AA150" s="24"/>
      <c r="AB150" s="163"/>
      <c r="AC150" s="179"/>
      <c r="AD150" s="133"/>
      <c r="AE150" s="24"/>
      <c r="AF150" s="24"/>
      <c r="AG150" s="22"/>
      <c r="AH150" s="45"/>
      <c r="AI150" s="24"/>
      <c r="AJ150" s="133"/>
      <c r="AK150" s="163"/>
      <c r="AL150" s="22"/>
      <c r="AM150" s="22"/>
      <c r="AN150" s="22"/>
      <c r="AO150" s="22"/>
      <c r="AP150" s="22"/>
      <c r="AQ150" s="22"/>
      <c r="AR150" s="22"/>
      <c r="AS150" s="22"/>
      <c r="AT150" s="134"/>
      <c r="AU150" s="134"/>
      <c r="AV150" s="156">
        <v>10217006</v>
      </c>
      <c r="AW150" s="133"/>
      <c r="AX150" s="133"/>
      <c r="AY150" s="133"/>
      <c r="AZ150" s="133"/>
      <c r="BA150" s="133"/>
      <c r="BB150" s="133"/>
      <c r="BC150" s="133"/>
      <c r="BD150" s="133"/>
      <c r="BE150" s="137" t="s">
        <v>115</v>
      </c>
      <c r="BF150" s="143" t="s">
        <v>742</v>
      </c>
      <c r="BG150" s="139" t="s">
        <v>743</v>
      </c>
      <c r="BH150" s="47"/>
      <c r="BI150" s="157">
        <v>10217006</v>
      </c>
      <c r="BJ150" s="47"/>
      <c r="BK150" s="46">
        <f t="shared" si="1"/>
        <v>1</v>
      </c>
      <c r="BL150" s="46"/>
      <c r="BM150" s="46"/>
      <c r="BN150" s="46"/>
    </row>
    <row r="151" spans="1:66" ht="25.5" hidden="1" customHeight="1">
      <c r="A151" s="22">
        <v>149</v>
      </c>
      <c r="B151" s="163" t="s">
        <v>535</v>
      </c>
      <c r="C151" s="163" t="e">
        <f t="shared" ca="1" si="0"/>
        <v>#NAME?</v>
      </c>
      <c r="D151" s="163" t="s">
        <v>405</v>
      </c>
      <c r="E151" s="22" t="s">
        <v>180</v>
      </c>
      <c r="F151" s="163" t="s">
        <v>692</v>
      </c>
      <c r="G151" s="24" t="s">
        <v>647</v>
      </c>
      <c r="H151" s="24"/>
      <c r="I151" s="24">
        <v>1</v>
      </c>
      <c r="J151" s="24" t="s">
        <v>494</v>
      </c>
      <c r="K151" s="24"/>
      <c r="L151" s="24"/>
      <c r="M151" s="24"/>
      <c r="N151" s="24"/>
      <c r="O151" s="24"/>
      <c r="P151" s="133"/>
      <c r="Q151" s="133"/>
      <c r="R151" s="162"/>
      <c r="S151" s="163"/>
      <c r="T151" s="163"/>
      <c r="U151" s="163"/>
      <c r="V151" s="163"/>
      <c r="W151" s="163" t="s">
        <v>405</v>
      </c>
      <c r="X151" s="163"/>
      <c r="Y151" s="164"/>
      <c r="Z151" s="133"/>
      <c r="AA151" s="24"/>
      <c r="AB151" s="163"/>
      <c r="AC151" s="179"/>
      <c r="AD151" s="133"/>
      <c r="AE151" s="24"/>
      <c r="AF151" s="24"/>
      <c r="AG151" s="22"/>
      <c r="AH151" s="45"/>
      <c r="AI151" s="24"/>
      <c r="AJ151" s="133"/>
      <c r="AK151" s="163"/>
      <c r="AL151" s="22"/>
      <c r="AM151" s="22"/>
      <c r="AN151" s="22"/>
      <c r="AO151" s="22"/>
      <c r="AP151" s="22"/>
      <c r="AQ151" s="22"/>
      <c r="AR151" s="22"/>
      <c r="AS151" s="22"/>
      <c r="AT151" s="134"/>
      <c r="AU151" s="134"/>
      <c r="AV151" s="24" t="s">
        <v>745</v>
      </c>
      <c r="AW151" s="133"/>
      <c r="AX151" s="133"/>
      <c r="AY151" s="133"/>
      <c r="AZ151" s="133"/>
      <c r="BA151" s="133"/>
      <c r="BB151" s="133"/>
      <c r="BC151" s="133"/>
      <c r="BD151" s="133"/>
      <c r="BE151" s="137" t="s">
        <v>115</v>
      </c>
      <c r="BF151" s="137" t="s">
        <v>406</v>
      </c>
      <c r="BG151" s="139" t="s">
        <v>407</v>
      </c>
      <c r="BH151" s="47"/>
      <c r="BI151" s="142" t="s">
        <v>745</v>
      </c>
      <c r="BJ151" s="64"/>
      <c r="BK151" s="46">
        <f t="shared" si="1"/>
        <v>1</v>
      </c>
      <c r="BL151" s="46"/>
      <c r="BM151" s="46"/>
      <c r="BN151" s="46"/>
    </row>
    <row r="152" spans="1:66" ht="51" hidden="1" customHeight="1">
      <c r="A152" s="22">
        <v>150</v>
      </c>
      <c r="B152" s="163" t="s">
        <v>746</v>
      </c>
      <c r="C152" s="163" t="str">
        <f t="shared" si="0"/>
        <v>Any past pregnancy problems - Specify</v>
      </c>
      <c r="D152" s="163" t="s">
        <v>746</v>
      </c>
      <c r="E152" s="22" t="s">
        <v>96</v>
      </c>
      <c r="F152" s="24"/>
      <c r="G152" s="24" t="s">
        <v>647</v>
      </c>
      <c r="H152" s="24"/>
      <c r="I152" s="24">
        <v>1</v>
      </c>
      <c r="J152" s="24" t="s">
        <v>494</v>
      </c>
      <c r="K152" s="24"/>
      <c r="L152" s="24"/>
      <c r="M152" s="24"/>
      <c r="N152" s="24"/>
      <c r="O152" s="24"/>
      <c r="P152" s="133"/>
      <c r="Q152" s="133"/>
      <c r="R152" s="162" t="s">
        <v>409</v>
      </c>
      <c r="S152" s="163" t="s">
        <v>747</v>
      </c>
      <c r="T152" s="163" t="s">
        <v>748</v>
      </c>
      <c r="U152" s="163" t="s">
        <v>111</v>
      </c>
      <c r="V152" s="170"/>
      <c r="W152" s="170"/>
      <c r="X152" s="163"/>
      <c r="Y152" s="164"/>
      <c r="Z152" s="133"/>
      <c r="AA152" s="24"/>
      <c r="AB152" s="163" t="s">
        <v>208</v>
      </c>
      <c r="AC152" s="179"/>
      <c r="AD152" s="133"/>
      <c r="AE152" s="24"/>
      <c r="AF152" s="24"/>
      <c r="AG152" s="22"/>
      <c r="AH152" s="45"/>
      <c r="AI152" s="24"/>
      <c r="AJ152" s="133"/>
      <c r="AK152" s="163"/>
      <c r="AL152" s="22"/>
      <c r="AM152" s="22"/>
      <c r="AN152" s="22"/>
      <c r="AO152" s="22"/>
      <c r="AP152" s="22"/>
      <c r="AQ152" s="22"/>
      <c r="AR152" s="22"/>
      <c r="AS152" s="22"/>
      <c r="AT152" s="134"/>
      <c r="AU152" s="134"/>
      <c r="AV152" s="24"/>
      <c r="AW152" s="187" t="s">
        <v>413</v>
      </c>
      <c r="AX152" s="187"/>
      <c r="AY152" s="187"/>
      <c r="AZ152" s="187"/>
      <c r="BA152" s="187"/>
      <c r="BB152" s="187"/>
      <c r="BC152" s="187"/>
      <c r="BD152" s="187"/>
      <c r="BE152" s="137" t="s">
        <v>749</v>
      </c>
      <c r="BF152" s="137" t="s">
        <v>415</v>
      </c>
      <c r="BG152" s="139" t="s">
        <v>416</v>
      </c>
      <c r="BH152" s="64"/>
      <c r="BI152" s="125"/>
      <c r="BJ152" s="190" t="s">
        <v>413</v>
      </c>
      <c r="BK152" s="46">
        <f t="shared" si="1"/>
        <v>1</v>
      </c>
      <c r="BL152" s="46"/>
      <c r="BM152" s="46"/>
      <c r="BN152" s="46"/>
    </row>
    <row r="153" spans="1:66" ht="38.25" hidden="1" customHeight="1">
      <c r="A153" s="22">
        <v>151</v>
      </c>
      <c r="B153" s="163" t="s">
        <v>750</v>
      </c>
      <c r="C153" s="163" t="str">
        <f t="shared" si="0"/>
        <v>Specify illicit substance use</v>
      </c>
      <c r="D153" s="163" t="s">
        <v>750</v>
      </c>
      <c r="E153" s="22" t="s">
        <v>96</v>
      </c>
      <c r="F153" s="24"/>
      <c r="G153" s="24" t="s">
        <v>647</v>
      </c>
      <c r="H153" s="24"/>
      <c r="I153" s="24">
        <v>1</v>
      </c>
      <c r="J153" s="24" t="s">
        <v>494</v>
      </c>
      <c r="K153" s="24"/>
      <c r="L153" s="24"/>
      <c r="M153" s="24"/>
      <c r="N153" s="24"/>
      <c r="O153" s="24"/>
      <c r="P153" s="133"/>
      <c r="Q153" s="133"/>
      <c r="R153" s="162" t="s">
        <v>750</v>
      </c>
      <c r="S153" s="163" t="s">
        <v>751</v>
      </c>
      <c r="T153" s="163" t="s">
        <v>752</v>
      </c>
      <c r="U153" s="163" t="s">
        <v>238</v>
      </c>
      <c r="V153" s="163"/>
      <c r="W153" s="163"/>
      <c r="X153" s="164"/>
      <c r="Y153" s="164"/>
      <c r="Z153" s="133"/>
      <c r="AA153" s="24"/>
      <c r="AB153" s="163" t="s">
        <v>208</v>
      </c>
      <c r="AC153" s="179"/>
      <c r="AD153" s="133"/>
      <c r="AE153" s="24"/>
      <c r="AF153" s="24"/>
      <c r="AG153" s="22"/>
      <c r="AH153" s="45"/>
      <c r="AI153" s="24"/>
      <c r="AJ153" s="133"/>
      <c r="AK153" s="163"/>
      <c r="AL153" s="22"/>
      <c r="AM153" s="22"/>
      <c r="AN153" s="22"/>
      <c r="AO153" s="22"/>
      <c r="AP153" s="22"/>
      <c r="AQ153" s="22"/>
      <c r="AR153" s="22"/>
      <c r="AS153" s="22"/>
      <c r="AT153" s="151"/>
      <c r="AU153" s="151"/>
      <c r="AV153" s="152"/>
      <c r="AW153" s="165"/>
      <c r="AX153" s="165"/>
      <c r="AY153" s="165"/>
      <c r="AZ153" s="165"/>
      <c r="BA153" s="165"/>
      <c r="BB153" s="165"/>
      <c r="BC153" s="165"/>
      <c r="BD153" s="165"/>
      <c r="BE153" s="137" t="s">
        <v>115</v>
      </c>
      <c r="BF153" s="137" t="s">
        <v>753</v>
      </c>
      <c r="BG153" s="139" t="s">
        <v>754</v>
      </c>
      <c r="BH153" s="153"/>
      <c r="BI153" s="154"/>
      <c r="BJ153" s="154"/>
      <c r="BK153" s="46">
        <f t="shared" si="1"/>
        <v>1</v>
      </c>
      <c r="BL153" s="46"/>
      <c r="BM153" s="46"/>
      <c r="BN153" s="46"/>
    </row>
    <row r="154" spans="1:66" ht="25.5" hidden="1" customHeight="1">
      <c r="A154" s="22">
        <v>152</v>
      </c>
      <c r="B154" s="163" t="s">
        <v>1017</v>
      </c>
      <c r="C154" s="163" t="e">
        <f t="shared" ca="1" si="0"/>
        <v>#NAME?</v>
      </c>
      <c r="D154" s="163" t="s">
        <v>755</v>
      </c>
      <c r="E154" s="22" t="s">
        <v>180</v>
      </c>
      <c r="F154" s="163" t="s">
        <v>750</v>
      </c>
      <c r="G154" s="24" t="s">
        <v>647</v>
      </c>
      <c r="H154" s="24"/>
      <c r="I154" s="24">
        <v>1</v>
      </c>
      <c r="J154" s="24" t="s">
        <v>494</v>
      </c>
      <c r="K154" s="24"/>
      <c r="L154" s="24"/>
      <c r="M154" s="24"/>
      <c r="N154" s="24"/>
      <c r="O154" s="24"/>
      <c r="P154" s="133"/>
      <c r="Q154" s="133"/>
      <c r="R154" s="162"/>
      <c r="S154" s="163"/>
      <c r="T154" s="163"/>
      <c r="U154" s="163"/>
      <c r="V154" s="163"/>
      <c r="W154" s="163" t="s">
        <v>755</v>
      </c>
      <c r="X154" s="164"/>
      <c r="Y154" s="164"/>
      <c r="Z154" s="133"/>
      <c r="AA154" s="24"/>
      <c r="AB154" s="163"/>
      <c r="AC154" s="179"/>
      <c r="AD154" s="133"/>
      <c r="AE154" s="24"/>
      <c r="AF154" s="24"/>
      <c r="AG154" s="22"/>
      <c r="AH154" s="45"/>
      <c r="AI154" s="24"/>
      <c r="AJ154" s="133"/>
      <c r="AK154" s="163"/>
      <c r="AL154" s="22"/>
      <c r="AM154" s="22"/>
      <c r="AN154" s="22"/>
      <c r="AO154" s="22"/>
      <c r="AP154" s="22"/>
      <c r="AQ154" s="22"/>
      <c r="AR154" s="22"/>
      <c r="AS154" s="22"/>
      <c r="AT154" s="134"/>
      <c r="AU154" s="134"/>
      <c r="AV154" s="24"/>
      <c r="AW154" s="133"/>
      <c r="AX154" s="133"/>
      <c r="AY154" s="133"/>
      <c r="AZ154" s="133"/>
      <c r="BA154" s="133"/>
      <c r="BB154" s="133"/>
      <c r="BC154" s="133"/>
      <c r="BD154" s="133"/>
      <c r="BE154" s="137" t="s">
        <v>115</v>
      </c>
      <c r="BF154" s="137" t="s">
        <v>757</v>
      </c>
      <c r="BG154" s="139" t="s">
        <v>758</v>
      </c>
      <c r="BH154" s="64"/>
      <c r="BI154" s="64"/>
      <c r="BJ154" s="47"/>
      <c r="BK154" s="46">
        <f t="shared" si="1"/>
        <v>1</v>
      </c>
      <c r="BL154" s="46"/>
      <c r="BM154" s="46"/>
      <c r="BN154" s="46"/>
    </row>
    <row r="155" spans="1:66" ht="12.75" hidden="1" customHeight="1">
      <c r="A155" s="22">
        <v>153</v>
      </c>
      <c r="B155" s="163" t="s">
        <v>1021</v>
      </c>
      <c r="C155" s="163" t="e">
        <f t="shared" ca="1" si="0"/>
        <v>#NAME?</v>
      </c>
      <c r="D155" s="163" t="s">
        <v>759</v>
      </c>
      <c r="E155" s="22" t="s">
        <v>180</v>
      </c>
      <c r="F155" s="163" t="s">
        <v>750</v>
      </c>
      <c r="G155" s="24" t="s">
        <v>647</v>
      </c>
      <c r="H155" s="24"/>
      <c r="I155" s="24">
        <v>1</v>
      </c>
      <c r="J155" s="24" t="s">
        <v>494</v>
      </c>
      <c r="K155" s="24"/>
      <c r="L155" s="24"/>
      <c r="M155" s="24"/>
      <c r="N155" s="24"/>
      <c r="O155" s="24"/>
      <c r="P155" s="133"/>
      <c r="Q155" s="133"/>
      <c r="R155" s="162"/>
      <c r="S155" s="163"/>
      <c r="T155" s="163"/>
      <c r="U155" s="163"/>
      <c r="V155" s="163"/>
      <c r="W155" s="163" t="s">
        <v>759</v>
      </c>
      <c r="X155" s="164"/>
      <c r="Y155" s="164"/>
      <c r="Z155" s="133"/>
      <c r="AA155" s="24"/>
      <c r="AB155" s="163"/>
      <c r="AC155" s="179"/>
      <c r="AD155" s="133"/>
      <c r="AE155" s="24"/>
      <c r="AF155" s="24"/>
      <c r="AG155" s="22"/>
      <c r="AH155" s="45"/>
      <c r="AI155" s="24"/>
      <c r="AJ155" s="133"/>
      <c r="AK155" s="163"/>
      <c r="AL155" s="22"/>
      <c r="AM155" s="22"/>
      <c r="AN155" s="22"/>
      <c r="AO155" s="22"/>
      <c r="AP155" s="22"/>
      <c r="AQ155" s="22"/>
      <c r="AR155" s="22"/>
      <c r="AS155" s="22"/>
      <c r="AT155" s="191" t="s">
        <v>760</v>
      </c>
      <c r="AU155" s="134"/>
      <c r="AV155" s="156">
        <v>428493006</v>
      </c>
      <c r="AW155" s="133"/>
      <c r="AX155" s="133"/>
      <c r="AY155" s="133"/>
      <c r="AZ155" s="133"/>
      <c r="BA155" s="133"/>
      <c r="BB155" s="133"/>
      <c r="BC155" s="133"/>
      <c r="BD155" s="133"/>
      <c r="BE155" s="137" t="s">
        <v>115</v>
      </c>
      <c r="BF155" s="143" t="s">
        <v>761</v>
      </c>
      <c r="BG155" s="139" t="s">
        <v>762</v>
      </c>
      <c r="BH155" s="192" t="s">
        <v>760</v>
      </c>
      <c r="BI155" s="157">
        <v>428493006</v>
      </c>
      <c r="BJ155" s="47"/>
      <c r="BK155" s="46">
        <f t="shared" si="1"/>
        <v>1</v>
      </c>
      <c r="BL155" s="46"/>
      <c r="BM155" s="46"/>
      <c r="BN155" s="46"/>
    </row>
    <row r="156" spans="1:66" ht="12.75" hidden="1" customHeight="1">
      <c r="A156" s="22">
        <v>154</v>
      </c>
      <c r="B156" s="163" t="s">
        <v>1027</v>
      </c>
      <c r="C156" s="163" t="e">
        <f t="shared" ca="1" si="0"/>
        <v>#NAME?</v>
      </c>
      <c r="D156" s="163" t="s">
        <v>763</v>
      </c>
      <c r="E156" s="22" t="s">
        <v>180</v>
      </c>
      <c r="F156" s="163" t="s">
        <v>750</v>
      </c>
      <c r="G156" s="24" t="s">
        <v>647</v>
      </c>
      <c r="H156" s="24"/>
      <c r="I156" s="24">
        <v>1</v>
      </c>
      <c r="J156" s="24" t="s">
        <v>494</v>
      </c>
      <c r="K156" s="24"/>
      <c r="L156" s="24"/>
      <c r="M156" s="24"/>
      <c r="N156" s="24"/>
      <c r="O156" s="24"/>
      <c r="P156" s="133"/>
      <c r="Q156" s="133"/>
      <c r="R156" s="162"/>
      <c r="S156" s="163"/>
      <c r="T156" s="163"/>
      <c r="U156" s="163"/>
      <c r="V156" s="163"/>
      <c r="W156" s="163" t="s">
        <v>763</v>
      </c>
      <c r="X156" s="164"/>
      <c r="Y156" s="164"/>
      <c r="Z156" s="133"/>
      <c r="AA156" s="24"/>
      <c r="AB156" s="163"/>
      <c r="AC156" s="179"/>
      <c r="AD156" s="133"/>
      <c r="AE156" s="24"/>
      <c r="AF156" s="24"/>
      <c r="AG156" s="22"/>
      <c r="AH156" s="45"/>
      <c r="AI156" s="24"/>
      <c r="AJ156" s="133"/>
      <c r="AK156" s="163"/>
      <c r="AL156" s="22"/>
      <c r="AM156" s="22"/>
      <c r="AN156" s="22"/>
      <c r="AO156" s="22"/>
      <c r="AP156" s="22"/>
      <c r="AQ156" s="22"/>
      <c r="AR156" s="22"/>
      <c r="AS156" s="22"/>
      <c r="AT156" s="187" t="s">
        <v>765</v>
      </c>
      <c r="AU156" s="134"/>
      <c r="AV156" s="156">
        <v>228388006</v>
      </c>
      <c r="AW156" s="133"/>
      <c r="AX156" s="133"/>
      <c r="AY156" s="133"/>
      <c r="AZ156" s="133"/>
      <c r="BA156" s="133"/>
      <c r="BB156" s="133"/>
      <c r="BC156" s="133"/>
      <c r="BD156" s="133"/>
      <c r="BE156" s="137" t="s">
        <v>115</v>
      </c>
      <c r="BF156" s="143" t="s">
        <v>766</v>
      </c>
      <c r="BG156" s="139" t="s">
        <v>767</v>
      </c>
      <c r="BH156" s="188" t="s">
        <v>765</v>
      </c>
      <c r="BI156" s="157">
        <v>228388006</v>
      </c>
      <c r="BJ156" s="47"/>
      <c r="BK156" s="46">
        <f t="shared" si="1"/>
        <v>1</v>
      </c>
      <c r="BL156" s="46"/>
      <c r="BM156" s="46"/>
      <c r="BN156" s="46"/>
    </row>
    <row r="157" spans="1:66" ht="25.5" hidden="1" customHeight="1">
      <c r="A157" s="22">
        <v>155</v>
      </c>
      <c r="B157" s="163" t="s">
        <v>535</v>
      </c>
      <c r="C157" s="163" t="e">
        <f t="shared" ca="1" si="0"/>
        <v>#NAME?</v>
      </c>
      <c r="D157" s="163" t="s">
        <v>405</v>
      </c>
      <c r="E157" s="22" t="s">
        <v>180</v>
      </c>
      <c r="F157" s="163" t="s">
        <v>750</v>
      </c>
      <c r="G157" s="24" t="s">
        <v>647</v>
      </c>
      <c r="H157" s="24"/>
      <c r="I157" s="24">
        <v>1</v>
      </c>
      <c r="J157" s="24" t="s">
        <v>494</v>
      </c>
      <c r="K157" s="24"/>
      <c r="L157" s="24"/>
      <c r="M157" s="24"/>
      <c r="N157" s="24"/>
      <c r="O157" s="24"/>
      <c r="P157" s="133"/>
      <c r="Q157" s="133"/>
      <c r="R157" s="162"/>
      <c r="S157" s="163"/>
      <c r="T157" s="163"/>
      <c r="U157" s="163"/>
      <c r="V157" s="163"/>
      <c r="W157" s="163" t="s">
        <v>405</v>
      </c>
      <c r="X157" s="164"/>
      <c r="Y157" s="164"/>
      <c r="Z157" s="133"/>
      <c r="AA157" s="24"/>
      <c r="AB157" s="163"/>
      <c r="AC157" s="179"/>
      <c r="AD157" s="133"/>
      <c r="AE157" s="24"/>
      <c r="AF157" s="24"/>
      <c r="AG157" s="22"/>
      <c r="AH157" s="45"/>
      <c r="AI157" s="24"/>
      <c r="AJ157" s="133"/>
      <c r="AK157" s="163"/>
      <c r="AL157" s="22"/>
      <c r="AM157" s="22"/>
      <c r="AN157" s="22"/>
      <c r="AO157" s="22"/>
      <c r="AP157" s="22"/>
      <c r="AQ157" s="22"/>
      <c r="AR157" s="22"/>
      <c r="AS157" s="22"/>
      <c r="AT157" s="134"/>
      <c r="AU157" s="134"/>
      <c r="AV157" s="172">
        <v>74964007</v>
      </c>
      <c r="AW157" s="133"/>
      <c r="AX157" s="133"/>
      <c r="AY157" s="133"/>
      <c r="AZ157" s="133"/>
      <c r="BA157" s="133"/>
      <c r="BB157" s="133"/>
      <c r="BC157" s="133"/>
      <c r="BD157" s="133"/>
      <c r="BE157" s="137" t="s">
        <v>115</v>
      </c>
      <c r="BF157" s="137" t="s">
        <v>406</v>
      </c>
      <c r="BG157" s="139" t="s">
        <v>407</v>
      </c>
      <c r="BH157" s="47"/>
      <c r="BI157" s="190">
        <v>74964007</v>
      </c>
      <c r="BJ157" s="47"/>
      <c r="BK157" s="46">
        <f t="shared" si="1"/>
        <v>1</v>
      </c>
      <c r="BL157" s="46"/>
      <c r="BM157" s="46"/>
      <c r="BN157" s="46"/>
    </row>
    <row r="158" spans="1:66" ht="25.5" hidden="1" customHeight="1">
      <c r="A158" s="22">
        <v>156</v>
      </c>
      <c r="B158" s="163" t="s">
        <v>768</v>
      </c>
      <c r="C158" s="163" t="str">
        <f t="shared" si="0"/>
        <v>Specify illicit substance use - Specify</v>
      </c>
      <c r="D158" s="163" t="s">
        <v>768</v>
      </c>
      <c r="E158" s="22" t="s">
        <v>96</v>
      </c>
      <c r="F158" s="24"/>
      <c r="G158" s="24" t="s">
        <v>647</v>
      </c>
      <c r="H158" s="24"/>
      <c r="I158" s="24">
        <v>1</v>
      </c>
      <c r="J158" s="24" t="s">
        <v>494</v>
      </c>
      <c r="K158" s="24"/>
      <c r="L158" s="24"/>
      <c r="M158" s="24"/>
      <c r="N158" s="24"/>
      <c r="O158" s="24"/>
      <c r="P158" s="133"/>
      <c r="Q158" s="133"/>
      <c r="R158" s="162" t="s">
        <v>409</v>
      </c>
      <c r="S158" s="163" t="s">
        <v>769</v>
      </c>
      <c r="T158" s="163" t="s">
        <v>770</v>
      </c>
      <c r="U158" s="163" t="s">
        <v>111</v>
      </c>
      <c r="V158" s="163"/>
      <c r="W158" s="163"/>
      <c r="X158" s="164"/>
      <c r="Y158" s="164"/>
      <c r="Z158" s="133"/>
      <c r="AA158" s="24"/>
      <c r="AB158" s="163" t="s">
        <v>208</v>
      </c>
      <c r="AC158" s="179"/>
      <c r="AD158" s="133"/>
      <c r="AE158" s="24"/>
      <c r="AF158" s="24"/>
      <c r="AG158" s="22"/>
      <c r="AH158" s="45"/>
      <c r="AI158" s="24"/>
      <c r="AJ158" s="133"/>
      <c r="AK158" s="163"/>
      <c r="AL158" s="22"/>
      <c r="AM158" s="22"/>
      <c r="AN158" s="22"/>
      <c r="AO158" s="22"/>
      <c r="AP158" s="22"/>
      <c r="AQ158" s="22"/>
      <c r="AR158" s="22"/>
      <c r="AS158" s="22"/>
      <c r="AT158" s="134"/>
      <c r="AU158" s="134"/>
      <c r="AV158" s="24"/>
      <c r="AW158" s="133"/>
      <c r="AX158" s="133"/>
      <c r="AY158" s="133"/>
      <c r="AZ158" s="133"/>
      <c r="BA158" s="133"/>
      <c r="BB158" s="133"/>
      <c r="BC158" s="133"/>
      <c r="BD158" s="133"/>
      <c r="BE158" s="137" t="s">
        <v>115</v>
      </c>
      <c r="BF158" s="137" t="s">
        <v>115</v>
      </c>
      <c r="BG158" s="139" t="s">
        <v>115</v>
      </c>
      <c r="BH158" s="47"/>
      <c r="BI158" s="64"/>
      <c r="BJ158" s="47"/>
      <c r="BK158" s="46">
        <f t="shared" si="1"/>
        <v>1</v>
      </c>
      <c r="BL158" s="46"/>
      <c r="BM158" s="46"/>
      <c r="BN158" s="46"/>
    </row>
    <row r="159" spans="1:66" ht="89.25" hidden="1" customHeight="1">
      <c r="A159" s="22">
        <v>157</v>
      </c>
      <c r="B159" s="193" t="s">
        <v>771</v>
      </c>
      <c r="C159" s="193" t="str">
        <f t="shared" si="0"/>
        <v>Any allergies?</v>
      </c>
      <c r="D159" s="194" t="s">
        <v>771</v>
      </c>
      <c r="E159" s="22" t="s">
        <v>96</v>
      </c>
      <c r="F159" s="24"/>
      <c r="G159" s="24" t="s">
        <v>772</v>
      </c>
      <c r="H159" s="24"/>
      <c r="I159" s="24">
        <v>1</v>
      </c>
      <c r="J159" s="24" t="s">
        <v>494</v>
      </c>
      <c r="K159" s="24"/>
      <c r="L159" s="24"/>
      <c r="M159" s="24"/>
      <c r="N159" s="24"/>
      <c r="O159" s="24"/>
      <c r="P159" s="133"/>
      <c r="Q159" s="133"/>
      <c r="R159" s="195" t="s">
        <v>771</v>
      </c>
      <c r="S159" s="163" t="s">
        <v>773</v>
      </c>
      <c r="T159" s="163" t="s">
        <v>774</v>
      </c>
      <c r="U159" s="163" t="s">
        <v>238</v>
      </c>
      <c r="V159" s="193"/>
      <c r="W159" s="194"/>
      <c r="X159" s="164"/>
      <c r="Y159" s="163" t="s">
        <v>695</v>
      </c>
      <c r="Z159" s="133"/>
      <c r="AA159" s="24"/>
      <c r="AB159" s="163" t="s">
        <v>208</v>
      </c>
      <c r="AC159" s="179"/>
      <c r="AD159" s="133"/>
      <c r="AE159" s="24"/>
      <c r="AF159" s="24"/>
      <c r="AG159" s="22"/>
      <c r="AH159" s="45"/>
      <c r="AI159" s="24"/>
      <c r="AJ159" s="133"/>
      <c r="AK159" s="193"/>
      <c r="AL159" s="22"/>
      <c r="AM159" s="22"/>
      <c r="AN159" s="22"/>
      <c r="AO159" s="22"/>
      <c r="AP159" s="22"/>
      <c r="AQ159" s="22"/>
      <c r="AR159" s="22"/>
      <c r="AS159" s="22"/>
      <c r="AT159" s="134"/>
      <c r="AU159" s="134"/>
      <c r="AV159" s="148">
        <v>90260006</v>
      </c>
      <c r="AW159" s="133"/>
      <c r="AX159" s="133"/>
      <c r="AY159" s="133"/>
      <c r="AZ159" s="133"/>
      <c r="BA159" s="133"/>
      <c r="BB159" s="133"/>
      <c r="BC159" s="133"/>
      <c r="BD159" s="133"/>
      <c r="BE159" s="137" t="s">
        <v>115</v>
      </c>
      <c r="BF159" s="137" t="s">
        <v>775</v>
      </c>
      <c r="BG159" s="139" t="s">
        <v>776</v>
      </c>
      <c r="BH159" s="47"/>
      <c r="BI159" s="150">
        <v>90260006</v>
      </c>
      <c r="BJ159" s="47"/>
      <c r="BK159" s="46">
        <f t="shared" si="1"/>
        <v>1</v>
      </c>
      <c r="BL159" s="46"/>
      <c r="BM159" s="46"/>
      <c r="BN159" s="46"/>
    </row>
    <row r="160" spans="1:66" ht="12.75" hidden="1" customHeight="1">
      <c r="A160" s="22">
        <v>158</v>
      </c>
      <c r="B160" s="193" t="s">
        <v>553</v>
      </c>
      <c r="C160" s="193" t="e">
        <f t="shared" ca="1" si="0"/>
        <v>#NAME?</v>
      </c>
      <c r="D160" s="196" t="s">
        <v>423</v>
      </c>
      <c r="E160" s="22" t="s">
        <v>180</v>
      </c>
      <c r="F160" s="194" t="s">
        <v>771</v>
      </c>
      <c r="G160" s="24" t="s">
        <v>772</v>
      </c>
      <c r="H160" s="24"/>
      <c r="I160" s="24">
        <v>1</v>
      </c>
      <c r="J160" s="24" t="s">
        <v>494</v>
      </c>
      <c r="K160" s="24"/>
      <c r="L160" s="24"/>
      <c r="M160" s="24"/>
      <c r="N160" s="24"/>
      <c r="O160" s="24"/>
      <c r="P160" s="133"/>
      <c r="Q160" s="133"/>
      <c r="R160" s="195"/>
      <c r="S160" s="163"/>
      <c r="T160" s="163"/>
      <c r="U160" s="163"/>
      <c r="V160" s="193"/>
      <c r="W160" s="194" t="s">
        <v>423</v>
      </c>
      <c r="X160" s="164"/>
      <c r="Y160" s="163"/>
      <c r="Z160" s="133"/>
      <c r="AA160" s="24"/>
      <c r="AB160" s="163"/>
      <c r="AC160" s="179"/>
      <c r="AD160" s="133"/>
      <c r="AE160" s="24"/>
      <c r="AF160" s="24"/>
      <c r="AG160" s="22"/>
      <c r="AH160" s="45"/>
      <c r="AI160" s="24"/>
      <c r="AJ160" s="133"/>
      <c r="AK160" s="193"/>
      <c r="AL160" s="22"/>
      <c r="AM160" s="22"/>
      <c r="AN160" s="22"/>
      <c r="AO160" s="22"/>
      <c r="AP160" s="22"/>
      <c r="AQ160" s="22"/>
      <c r="AR160" s="22"/>
      <c r="AS160" s="22"/>
      <c r="AT160" s="134"/>
      <c r="AU160" s="134"/>
      <c r="AV160" s="148">
        <v>260413007</v>
      </c>
      <c r="AW160" s="133"/>
      <c r="AX160" s="133"/>
      <c r="AY160" s="133"/>
      <c r="AZ160" s="133"/>
      <c r="BA160" s="133"/>
      <c r="BB160" s="133"/>
      <c r="BC160" s="133"/>
      <c r="BD160" s="133"/>
      <c r="BE160" s="137" t="s">
        <v>115</v>
      </c>
      <c r="BF160" s="137" t="s">
        <v>424</v>
      </c>
      <c r="BG160" s="139" t="s">
        <v>425</v>
      </c>
      <c r="BH160" s="47"/>
      <c r="BI160" s="150">
        <v>260413007</v>
      </c>
      <c r="BJ160" s="47"/>
      <c r="BK160" s="46">
        <f t="shared" si="1"/>
        <v>1</v>
      </c>
      <c r="BL160" s="46"/>
      <c r="BM160" s="46"/>
      <c r="BN160" s="46"/>
    </row>
    <row r="161" spans="1:66" ht="12.75" hidden="1" customHeight="1">
      <c r="A161" s="22">
        <v>159</v>
      </c>
      <c r="B161" s="193" t="s">
        <v>701</v>
      </c>
      <c r="C161" s="193" t="e">
        <f t="shared" ca="1" si="0"/>
        <v>#NAME?</v>
      </c>
      <c r="D161" s="196" t="s">
        <v>500</v>
      </c>
      <c r="E161" s="22" t="s">
        <v>180</v>
      </c>
      <c r="F161" s="194" t="s">
        <v>771</v>
      </c>
      <c r="G161" s="24" t="s">
        <v>772</v>
      </c>
      <c r="H161" s="24"/>
      <c r="I161" s="24">
        <v>1</v>
      </c>
      <c r="J161" s="24" t="s">
        <v>494</v>
      </c>
      <c r="K161" s="24"/>
      <c r="L161" s="24"/>
      <c r="M161" s="24"/>
      <c r="N161" s="24"/>
      <c r="O161" s="24"/>
      <c r="P161" s="133"/>
      <c r="Q161" s="133"/>
      <c r="R161" s="195"/>
      <c r="S161" s="163"/>
      <c r="T161" s="163"/>
      <c r="U161" s="163"/>
      <c r="V161" s="193"/>
      <c r="W161" s="194" t="s">
        <v>500</v>
      </c>
      <c r="X161" s="164"/>
      <c r="Y161" s="163"/>
      <c r="Z161" s="133"/>
      <c r="AA161" s="24"/>
      <c r="AB161" s="163"/>
      <c r="AC161" s="179"/>
      <c r="AD161" s="133"/>
      <c r="AE161" s="24"/>
      <c r="AF161" s="24"/>
      <c r="AG161" s="22"/>
      <c r="AH161" s="45"/>
      <c r="AI161" s="24"/>
      <c r="AJ161" s="133"/>
      <c r="AK161" s="193"/>
      <c r="AL161" s="22"/>
      <c r="AM161" s="22"/>
      <c r="AN161" s="22"/>
      <c r="AO161" s="22"/>
      <c r="AP161" s="22"/>
      <c r="AQ161" s="22"/>
      <c r="AR161" s="22"/>
      <c r="AS161" s="22"/>
      <c r="AT161" s="134"/>
      <c r="AU161" s="134"/>
      <c r="AV161" s="24">
        <v>261665006</v>
      </c>
      <c r="AW161" s="133"/>
      <c r="AX161" s="133"/>
      <c r="AY161" s="133"/>
      <c r="AZ161" s="133"/>
      <c r="BA161" s="133"/>
      <c r="BB161" s="133"/>
      <c r="BC161" s="133"/>
      <c r="BD161" s="133"/>
      <c r="BE161" s="137" t="s">
        <v>115</v>
      </c>
      <c r="BF161" s="137" t="s">
        <v>501</v>
      </c>
      <c r="BG161" s="139" t="s">
        <v>503</v>
      </c>
      <c r="BH161" s="47"/>
      <c r="BI161" s="64">
        <v>261665006</v>
      </c>
      <c r="BJ161" s="47"/>
      <c r="BK161" s="46">
        <f t="shared" si="1"/>
        <v>1</v>
      </c>
      <c r="BL161" s="46"/>
      <c r="BM161" s="46"/>
      <c r="BN161" s="46"/>
    </row>
    <row r="162" spans="1:66" ht="12.75" hidden="1" customHeight="1">
      <c r="A162" s="22">
        <v>160</v>
      </c>
      <c r="B162" s="193" t="s">
        <v>1057</v>
      </c>
      <c r="C162" s="193" t="e">
        <f t="shared" ca="1" si="0"/>
        <v>#NAME?</v>
      </c>
      <c r="D162" s="196" t="s">
        <v>777</v>
      </c>
      <c r="E162" s="22" t="s">
        <v>180</v>
      </c>
      <c r="F162" s="194" t="s">
        <v>771</v>
      </c>
      <c r="G162" s="24" t="s">
        <v>772</v>
      </c>
      <c r="H162" s="24"/>
      <c r="I162" s="24">
        <v>1</v>
      </c>
      <c r="J162" s="24" t="s">
        <v>494</v>
      </c>
      <c r="K162" s="24"/>
      <c r="L162" s="24"/>
      <c r="M162" s="24"/>
      <c r="N162" s="24"/>
      <c r="O162" s="24"/>
      <c r="P162" s="133"/>
      <c r="Q162" s="133"/>
      <c r="R162" s="195"/>
      <c r="S162" s="163"/>
      <c r="T162" s="163"/>
      <c r="U162" s="163"/>
      <c r="V162" s="193"/>
      <c r="W162" s="194" t="s">
        <v>777</v>
      </c>
      <c r="X162" s="164"/>
      <c r="Y162" s="163"/>
      <c r="Z162" s="133"/>
      <c r="AA162" s="24"/>
      <c r="AB162" s="163"/>
      <c r="AC162" s="179"/>
      <c r="AD162" s="133"/>
      <c r="AE162" s="24"/>
      <c r="AF162" s="24"/>
      <c r="AG162" s="22"/>
      <c r="AH162" s="45"/>
      <c r="AI162" s="24"/>
      <c r="AJ162" s="133"/>
      <c r="AK162" s="193"/>
      <c r="AL162" s="22"/>
      <c r="AM162" s="22"/>
      <c r="AN162" s="22"/>
      <c r="AO162" s="22"/>
      <c r="AP162" s="22"/>
      <c r="AQ162" s="22"/>
      <c r="AR162" s="22"/>
      <c r="AS162" s="22"/>
      <c r="AT162" s="134"/>
      <c r="AU162" s="134"/>
      <c r="AV162" s="148">
        <v>96119002</v>
      </c>
      <c r="AW162" s="133"/>
      <c r="AX162" s="133"/>
      <c r="AY162" s="133"/>
      <c r="AZ162" s="133"/>
      <c r="BA162" s="133"/>
      <c r="BB162" s="133"/>
      <c r="BC162" s="133"/>
      <c r="BD162" s="133"/>
      <c r="BE162" s="137" t="s">
        <v>115</v>
      </c>
      <c r="BF162" s="143" t="s">
        <v>778</v>
      </c>
      <c r="BG162" s="139" t="s">
        <v>779</v>
      </c>
      <c r="BH162" s="47"/>
      <c r="BI162" s="150">
        <v>96119002</v>
      </c>
      <c r="BJ162" s="47"/>
      <c r="BK162" s="46">
        <f t="shared" si="1"/>
        <v>1</v>
      </c>
      <c r="BL162" s="46"/>
      <c r="BM162" s="46"/>
      <c r="BN162" s="46"/>
    </row>
    <row r="163" spans="1:66" ht="12.75" hidden="1" customHeight="1">
      <c r="A163" s="22">
        <v>161</v>
      </c>
      <c r="B163" s="193" t="s">
        <v>1064</v>
      </c>
      <c r="C163" s="193" t="e">
        <f t="shared" ca="1" si="0"/>
        <v>#NAME?</v>
      </c>
      <c r="D163" s="196" t="s">
        <v>780</v>
      </c>
      <c r="E163" s="22" t="s">
        <v>180</v>
      </c>
      <c r="F163" s="194" t="s">
        <v>771</v>
      </c>
      <c r="G163" s="24" t="s">
        <v>772</v>
      </c>
      <c r="H163" s="24"/>
      <c r="I163" s="24">
        <v>1</v>
      </c>
      <c r="J163" s="24" t="s">
        <v>494</v>
      </c>
      <c r="K163" s="24"/>
      <c r="L163" s="24"/>
      <c r="M163" s="24"/>
      <c r="N163" s="24"/>
      <c r="O163" s="24"/>
      <c r="P163" s="133"/>
      <c r="Q163" s="133"/>
      <c r="R163" s="195"/>
      <c r="S163" s="163"/>
      <c r="T163" s="163"/>
      <c r="U163" s="163"/>
      <c r="V163" s="193"/>
      <c r="W163" s="194" t="s">
        <v>780</v>
      </c>
      <c r="X163" s="164"/>
      <c r="Y163" s="163"/>
      <c r="Z163" s="133"/>
      <c r="AA163" s="24"/>
      <c r="AB163" s="163"/>
      <c r="AC163" s="179"/>
      <c r="AD163" s="133"/>
      <c r="AE163" s="24"/>
      <c r="AF163" s="24"/>
      <c r="AG163" s="22"/>
      <c r="AH163" s="45"/>
      <c r="AI163" s="24"/>
      <c r="AJ163" s="133"/>
      <c r="AK163" s="193"/>
      <c r="AL163" s="22"/>
      <c r="AM163" s="22"/>
      <c r="AN163" s="22"/>
      <c r="AO163" s="22"/>
      <c r="AP163" s="22"/>
      <c r="AQ163" s="22"/>
      <c r="AR163" s="22"/>
      <c r="AS163" s="22"/>
      <c r="AT163" s="134"/>
      <c r="AU163" s="134"/>
      <c r="AV163" s="156">
        <v>80399002</v>
      </c>
      <c r="AW163" s="133"/>
      <c r="AX163" s="133"/>
      <c r="AY163" s="133"/>
      <c r="AZ163" s="133"/>
      <c r="BA163" s="133"/>
      <c r="BB163" s="133"/>
      <c r="BC163" s="133"/>
      <c r="BD163" s="133"/>
      <c r="BE163" s="137" t="s">
        <v>115</v>
      </c>
      <c r="BF163" s="137" t="s">
        <v>781</v>
      </c>
      <c r="BG163" s="139" t="s">
        <v>782</v>
      </c>
      <c r="BH163" s="47"/>
      <c r="BI163" s="157">
        <v>80399002</v>
      </c>
      <c r="BJ163" s="47"/>
      <c r="BK163" s="46">
        <f t="shared" si="1"/>
        <v>1</v>
      </c>
      <c r="BL163" s="46"/>
      <c r="BM163" s="46"/>
      <c r="BN163" s="46"/>
    </row>
    <row r="164" spans="1:66" ht="12.75" hidden="1" customHeight="1">
      <c r="A164" s="22">
        <v>162</v>
      </c>
      <c r="B164" s="193" t="s">
        <v>1071</v>
      </c>
      <c r="C164" s="193" t="e">
        <f t="shared" ca="1" si="0"/>
        <v>#NAME?</v>
      </c>
      <c r="D164" s="196" t="s">
        <v>783</v>
      </c>
      <c r="E164" s="22" t="s">
        <v>180</v>
      </c>
      <c r="F164" s="194" t="s">
        <v>771</v>
      </c>
      <c r="G164" s="24" t="s">
        <v>772</v>
      </c>
      <c r="H164" s="24"/>
      <c r="I164" s="24">
        <v>1</v>
      </c>
      <c r="J164" s="24" t="s">
        <v>494</v>
      </c>
      <c r="K164" s="24"/>
      <c r="L164" s="24"/>
      <c r="M164" s="24"/>
      <c r="N164" s="24"/>
      <c r="O164" s="24"/>
      <c r="P164" s="133"/>
      <c r="Q164" s="133"/>
      <c r="R164" s="195"/>
      <c r="S164" s="163"/>
      <c r="T164" s="163"/>
      <c r="U164" s="163"/>
      <c r="V164" s="193"/>
      <c r="W164" s="194" t="s">
        <v>783</v>
      </c>
      <c r="X164" s="164"/>
      <c r="Y164" s="163"/>
      <c r="Z164" s="133"/>
      <c r="AA164" s="24"/>
      <c r="AB164" s="163"/>
      <c r="AC164" s="179"/>
      <c r="AD164" s="133"/>
      <c r="AE164" s="24"/>
      <c r="AF164" s="24"/>
      <c r="AG164" s="22"/>
      <c r="AH164" s="45"/>
      <c r="AI164" s="24"/>
      <c r="AJ164" s="133"/>
      <c r="AK164" s="193"/>
      <c r="AL164" s="22"/>
      <c r="AM164" s="22"/>
      <c r="AN164" s="22"/>
      <c r="AO164" s="22"/>
      <c r="AP164" s="22"/>
      <c r="AQ164" s="22"/>
      <c r="AR164" s="22"/>
      <c r="AS164" s="22"/>
      <c r="AT164" s="134"/>
      <c r="AU164" s="134"/>
      <c r="AV164" s="156">
        <v>5540006</v>
      </c>
      <c r="AW164" s="133"/>
      <c r="AX164" s="133"/>
      <c r="AY164" s="133"/>
      <c r="AZ164" s="133"/>
      <c r="BA164" s="133"/>
      <c r="BB164" s="133"/>
      <c r="BC164" s="133"/>
      <c r="BD164" s="133"/>
      <c r="BE164" s="137" t="s">
        <v>115</v>
      </c>
      <c r="BF164" s="143" t="s">
        <v>784</v>
      </c>
      <c r="BG164" s="139" t="s">
        <v>785</v>
      </c>
      <c r="BH164" s="47"/>
      <c r="BI164" s="157">
        <v>5540006</v>
      </c>
      <c r="BJ164" s="47"/>
      <c r="BK164" s="46">
        <f t="shared" si="1"/>
        <v>1</v>
      </c>
      <c r="BL164" s="46"/>
      <c r="BM164" s="46"/>
      <c r="BN164" s="46"/>
    </row>
    <row r="165" spans="1:66" ht="12.75" hidden="1" customHeight="1">
      <c r="A165" s="22">
        <v>163</v>
      </c>
      <c r="B165" s="193" t="s">
        <v>1075</v>
      </c>
      <c r="C165" s="193" t="e">
        <f t="shared" ca="1" si="0"/>
        <v>#NAME?</v>
      </c>
      <c r="D165" s="196" t="s">
        <v>786</v>
      </c>
      <c r="E165" s="22" t="s">
        <v>180</v>
      </c>
      <c r="F165" s="194" t="s">
        <v>771</v>
      </c>
      <c r="G165" s="24" t="s">
        <v>772</v>
      </c>
      <c r="H165" s="24"/>
      <c r="I165" s="24">
        <v>1</v>
      </c>
      <c r="J165" s="24" t="s">
        <v>494</v>
      </c>
      <c r="K165" s="24"/>
      <c r="L165" s="24"/>
      <c r="M165" s="24"/>
      <c r="N165" s="24"/>
      <c r="O165" s="24"/>
      <c r="P165" s="133"/>
      <c r="Q165" s="133"/>
      <c r="R165" s="195"/>
      <c r="S165" s="163"/>
      <c r="T165" s="163"/>
      <c r="U165" s="163"/>
      <c r="V165" s="193"/>
      <c r="W165" s="194" t="s">
        <v>786</v>
      </c>
      <c r="X165" s="164"/>
      <c r="Y165" s="163"/>
      <c r="Z165" s="133"/>
      <c r="AA165" s="24"/>
      <c r="AB165" s="163"/>
      <c r="AC165" s="179"/>
      <c r="AD165" s="133"/>
      <c r="AE165" s="24"/>
      <c r="AF165" s="24"/>
      <c r="AG165" s="22"/>
      <c r="AH165" s="45"/>
      <c r="AI165" s="24"/>
      <c r="AJ165" s="133"/>
      <c r="AK165" s="193"/>
      <c r="AL165" s="22"/>
      <c r="AM165" s="22"/>
      <c r="AN165" s="22"/>
      <c r="AO165" s="22"/>
      <c r="AP165" s="22"/>
      <c r="AQ165" s="22"/>
      <c r="AR165" s="22"/>
      <c r="AS165" s="22"/>
      <c r="AT165" s="134"/>
      <c r="AU165" s="134"/>
      <c r="AV165" s="156" t="s">
        <v>787</v>
      </c>
      <c r="AW165" s="133"/>
      <c r="AX165" s="133"/>
      <c r="AY165" s="133"/>
      <c r="AZ165" s="133"/>
      <c r="BA165" s="133"/>
      <c r="BB165" s="133"/>
      <c r="BC165" s="133"/>
      <c r="BD165" s="133"/>
      <c r="BE165" s="137" t="s">
        <v>115</v>
      </c>
      <c r="BF165" s="137" t="s">
        <v>788</v>
      </c>
      <c r="BG165" s="139" t="s">
        <v>789</v>
      </c>
      <c r="BH165" s="47"/>
      <c r="BI165" s="198" t="s">
        <v>787</v>
      </c>
      <c r="BJ165" s="199"/>
      <c r="BK165" s="46">
        <f t="shared" si="1"/>
        <v>1</v>
      </c>
      <c r="BL165" s="46"/>
      <c r="BM165" s="46"/>
      <c r="BN165" s="46"/>
    </row>
    <row r="166" spans="1:66" ht="12.75" hidden="1" customHeight="1">
      <c r="A166" s="22">
        <v>164</v>
      </c>
      <c r="B166" s="193" t="s">
        <v>1081</v>
      </c>
      <c r="C166" s="193" t="e">
        <f t="shared" ca="1" si="0"/>
        <v>#NAME?</v>
      </c>
      <c r="D166" s="196" t="s">
        <v>790</v>
      </c>
      <c r="E166" s="22" t="s">
        <v>180</v>
      </c>
      <c r="F166" s="194" t="s">
        <v>771</v>
      </c>
      <c r="G166" s="24" t="s">
        <v>772</v>
      </c>
      <c r="H166" s="24"/>
      <c r="I166" s="24">
        <v>1</v>
      </c>
      <c r="J166" s="24" t="s">
        <v>494</v>
      </c>
      <c r="K166" s="24"/>
      <c r="L166" s="24"/>
      <c r="M166" s="24"/>
      <c r="N166" s="24"/>
      <c r="O166" s="24"/>
      <c r="P166" s="133"/>
      <c r="Q166" s="133"/>
      <c r="R166" s="195"/>
      <c r="S166" s="163"/>
      <c r="T166" s="163"/>
      <c r="U166" s="163"/>
      <c r="V166" s="193"/>
      <c r="W166" s="194" t="s">
        <v>790</v>
      </c>
      <c r="X166" s="164"/>
      <c r="Y166" s="163"/>
      <c r="Z166" s="133"/>
      <c r="AA166" s="24"/>
      <c r="AB166" s="163"/>
      <c r="AC166" s="179"/>
      <c r="AD166" s="133"/>
      <c r="AE166" s="24"/>
      <c r="AF166" s="24"/>
      <c r="AG166" s="22"/>
      <c r="AH166" s="45"/>
      <c r="AI166" s="24"/>
      <c r="AJ166" s="133"/>
      <c r="AK166" s="193"/>
      <c r="AL166" s="22"/>
      <c r="AM166" s="22"/>
      <c r="AN166" s="22"/>
      <c r="AO166" s="22"/>
      <c r="AP166" s="22"/>
      <c r="AQ166" s="22"/>
      <c r="AR166" s="22"/>
      <c r="AS166" s="22"/>
      <c r="AT166" s="134"/>
      <c r="AU166" s="134"/>
      <c r="AV166" s="148">
        <v>6247001</v>
      </c>
      <c r="AW166" s="133"/>
      <c r="AX166" s="133"/>
      <c r="AY166" s="133"/>
      <c r="AZ166" s="133"/>
      <c r="BA166" s="133"/>
      <c r="BB166" s="133"/>
      <c r="BC166" s="133"/>
      <c r="BD166" s="133"/>
      <c r="BE166" s="137" t="s">
        <v>115</v>
      </c>
      <c r="BF166" s="143" t="s">
        <v>791</v>
      </c>
      <c r="BG166" s="139" t="s">
        <v>792</v>
      </c>
      <c r="BH166" s="47"/>
      <c r="BI166" s="150">
        <v>6247001</v>
      </c>
      <c r="BJ166" s="47"/>
      <c r="BK166" s="46">
        <f t="shared" si="1"/>
        <v>1</v>
      </c>
      <c r="BL166" s="46"/>
      <c r="BM166" s="46"/>
      <c r="BN166" s="46"/>
    </row>
    <row r="167" spans="1:66" ht="12.75" hidden="1" customHeight="1">
      <c r="A167" s="22">
        <v>165</v>
      </c>
      <c r="B167" s="193" t="s">
        <v>1087</v>
      </c>
      <c r="C167" s="193" t="e">
        <f t="shared" ca="1" si="0"/>
        <v>#NAME?</v>
      </c>
      <c r="D167" s="196" t="s">
        <v>793</v>
      </c>
      <c r="E167" s="22" t="s">
        <v>180</v>
      </c>
      <c r="F167" s="194" t="s">
        <v>771</v>
      </c>
      <c r="G167" s="24" t="s">
        <v>772</v>
      </c>
      <c r="H167" s="24"/>
      <c r="I167" s="24">
        <v>1</v>
      </c>
      <c r="J167" s="24" t="s">
        <v>494</v>
      </c>
      <c r="K167" s="24"/>
      <c r="L167" s="24"/>
      <c r="M167" s="24"/>
      <c r="N167" s="24"/>
      <c r="O167" s="24"/>
      <c r="P167" s="133"/>
      <c r="Q167" s="133"/>
      <c r="R167" s="195"/>
      <c r="S167" s="163"/>
      <c r="T167" s="163"/>
      <c r="U167" s="163"/>
      <c r="V167" s="193"/>
      <c r="W167" s="194" t="s">
        <v>793</v>
      </c>
      <c r="X167" s="164"/>
      <c r="Y167" s="163"/>
      <c r="Z167" s="133"/>
      <c r="AA167" s="24"/>
      <c r="AB167" s="163"/>
      <c r="AC167" s="179"/>
      <c r="AD167" s="133"/>
      <c r="AE167" s="24"/>
      <c r="AF167" s="24"/>
      <c r="AG167" s="22"/>
      <c r="AH167" s="45"/>
      <c r="AI167" s="24"/>
      <c r="AJ167" s="133"/>
      <c r="AK167" s="193"/>
      <c r="AL167" s="22"/>
      <c r="AM167" s="22"/>
      <c r="AN167" s="22"/>
      <c r="AO167" s="22"/>
      <c r="AP167" s="22"/>
      <c r="AQ167" s="22"/>
      <c r="AR167" s="22"/>
      <c r="AS167" s="22"/>
      <c r="AT167" s="134"/>
      <c r="AU167" s="134"/>
      <c r="AV167" s="108" t="s">
        <v>794</v>
      </c>
      <c r="AW167" s="133"/>
      <c r="AX167" s="133"/>
      <c r="AY167" s="133"/>
      <c r="AZ167" s="133"/>
      <c r="BA167" s="133"/>
      <c r="BB167" s="133"/>
      <c r="BC167" s="133"/>
      <c r="BD167" s="133"/>
      <c r="BE167" s="137" t="s">
        <v>115</v>
      </c>
      <c r="BF167" s="137" t="s">
        <v>795</v>
      </c>
      <c r="BG167" s="139" t="s">
        <v>796</v>
      </c>
      <c r="BH167" s="47"/>
      <c r="BI167" s="159" t="s">
        <v>794</v>
      </c>
      <c r="BJ167" s="47"/>
      <c r="BK167" s="46">
        <f t="shared" si="1"/>
        <v>1</v>
      </c>
      <c r="BL167" s="46"/>
      <c r="BM167" s="46"/>
      <c r="BN167" s="46"/>
    </row>
    <row r="168" spans="1:66" ht="12.75" hidden="1" customHeight="1">
      <c r="A168" s="22">
        <v>166</v>
      </c>
      <c r="B168" s="193" t="s">
        <v>1090</v>
      </c>
      <c r="C168" s="193" t="e">
        <f t="shared" ca="1" si="0"/>
        <v>#NAME?</v>
      </c>
      <c r="D168" s="196" t="s">
        <v>797</v>
      </c>
      <c r="E168" s="22" t="s">
        <v>180</v>
      </c>
      <c r="F168" s="194" t="s">
        <v>771</v>
      </c>
      <c r="G168" s="24" t="s">
        <v>772</v>
      </c>
      <c r="H168" s="24"/>
      <c r="I168" s="24">
        <v>1</v>
      </c>
      <c r="J168" s="24" t="s">
        <v>494</v>
      </c>
      <c r="K168" s="24"/>
      <c r="L168" s="24"/>
      <c r="M168" s="24"/>
      <c r="N168" s="24"/>
      <c r="O168" s="24"/>
      <c r="P168" s="133"/>
      <c r="Q168" s="133"/>
      <c r="R168" s="195"/>
      <c r="S168" s="163"/>
      <c r="T168" s="163"/>
      <c r="U168" s="163"/>
      <c r="V168" s="193"/>
      <c r="W168" s="194" t="s">
        <v>797</v>
      </c>
      <c r="X168" s="164"/>
      <c r="Y168" s="163"/>
      <c r="Z168" s="133"/>
      <c r="AA168" s="24"/>
      <c r="AB168" s="163"/>
      <c r="AC168" s="179"/>
      <c r="AD168" s="133"/>
      <c r="AE168" s="24"/>
      <c r="AF168" s="24"/>
      <c r="AG168" s="22"/>
      <c r="AH168" s="45"/>
      <c r="AI168" s="24"/>
      <c r="AJ168" s="133"/>
      <c r="AK168" s="193"/>
      <c r="AL168" s="22"/>
      <c r="AM168" s="22"/>
      <c r="AN168" s="22"/>
      <c r="AO168" s="22"/>
      <c r="AP168" s="22"/>
      <c r="AQ168" s="22"/>
      <c r="AR168" s="22"/>
      <c r="AS168" s="22"/>
      <c r="AT168" s="134"/>
      <c r="AU168" s="134"/>
      <c r="AV168" s="148">
        <v>30729008</v>
      </c>
      <c r="AW168" s="133"/>
      <c r="AX168" s="133"/>
      <c r="AY168" s="133"/>
      <c r="AZ168" s="133"/>
      <c r="BA168" s="133"/>
      <c r="BB168" s="133"/>
      <c r="BC168" s="133"/>
      <c r="BD168" s="133"/>
      <c r="BE168" s="137" t="s">
        <v>115</v>
      </c>
      <c r="BF168" s="143" t="s">
        <v>798</v>
      </c>
      <c r="BG168" s="139" t="s">
        <v>799</v>
      </c>
      <c r="BH168" s="47"/>
      <c r="BI168" s="150">
        <v>30729008</v>
      </c>
      <c r="BJ168" s="47"/>
      <c r="BK168" s="46">
        <f t="shared" si="1"/>
        <v>1</v>
      </c>
      <c r="BL168" s="46"/>
      <c r="BM168" s="46"/>
      <c r="BN168" s="46"/>
    </row>
    <row r="169" spans="1:66" ht="12.75" hidden="1" customHeight="1">
      <c r="A169" s="22">
        <v>167</v>
      </c>
      <c r="B169" s="193" t="s">
        <v>1093</v>
      </c>
      <c r="C169" s="193" t="e">
        <f t="shared" ca="1" si="0"/>
        <v>#NAME?</v>
      </c>
      <c r="D169" s="196" t="s">
        <v>800</v>
      </c>
      <c r="E169" s="22" t="s">
        <v>180</v>
      </c>
      <c r="F169" s="194" t="s">
        <v>771</v>
      </c>
      <c r="G169" s="24" t="s">
        <v>772</v>
      </c>
      <c r="H169" s="24"/>
      <c r="I169" s="24">
        <v>1</v>
      </c>
      <c r="J169" s="24" t="s">
        <v>494</v>
      </c>
      <c r="K169" s="24"/>
      <c r="L169" s="24"/>
      <c r="M169" s="24"/>
      <c r="N169" s="24"/>
      <c r="O169" s="24"/>
      <c r="P169" s="133"/>
      <c r="Q169" s="133"/>
      <c r="R169" s="195"/>
      <c r="S169" s="163"/>
      <c r="T169" s="163"/>
      <c r="U169" s="163"/>
      <c r="V169" s="193"/>
      <c r="W169" s="194" t="s">
        <v>800</v>
      </c>
      <c r="X169" s="164"/>
      <c r="Y169" s="163"/>
      <c r="Z169" s="133"/>
      <c r="AA169" s="24"/>
      <c r="AB169" s="163"/>
      <c r="AC169" s="179"/>
      <c r="AD169" s="133"/>
      <c r="AE169" s="24"/>
      <c r="AF169" s="24"/>
      <c r="AG169" s="22"/>
      <c r="AH169" s="45"/>
      <c r="AI169" s="24"/>
      <c r="AJ169" s="133"/>
      <c r="AK169" s="193"/>
      <c r="AL169" s="22"/>
      <c r="AM169" s="22"/>
      <c r="AN169" s="22"/>
      <c r="AO169" s="22"/>
      <c r="AP169" s="22"/>
      <c r="AQ169" s="22"/>
      <c r="AR169" s="22"/>
      <c r="AS169" s="22"/>
      <c r="AT169" s="134"/>
      <c r="AU169" s="134"/>
      <c r="AV169" s="156">
        <v>7168001</v>
      </c>
      <c r="AW169" s="133"/>
      <c r="AX169" s="133"/>
      <c r="AY169" s="133"/>
      <c r="AZ169" s="133"/>
      <c r="BA169" s="133"/>
      <c r="BB169" s="133"/>
      <c r="BC169" s="133"/>
      <c r="BD169" s="133"/>
      <c r="BE169" s="137" t="s">
        <v>115</v>
      </c>
      <c r="BF169" s="137" t="s">
        <v>801</v>
      </c>
      <c r="BG169" s="139" t="s">
        <v>802</v>
      </c>
      <c r="BH169" s="47"/>
      <c r="BI169" s="157">
        <v>7168001</v>
      </c>
      <c r="BJ169" s="47"/>
      <c r="BK169" s="46">
        <f t="shared" si="1"/>
        <v>1</v>
      </c>
      <c r="BL169" s="46"/>
      <c r="BM169" s="46"/>
      <c r="BN169" s="46"/>
    </row>
    <row r="170" spans="1:66" ht="12.75" hidden="1" customHeight="1">
      <c r="A170" s="22">
        <v>168</v>
      </c>
      <c r="B170" s="193" t="s">
        <v>1095</v>
      </c>
      <c r="C170" s="193" t="e">
        <f t="shared" ca="1" si="0"/>
        <v>#NAME?</v>
      </c>
      <c r="D170" s="196" t="s">
        <v>803</v>
      </c>
      <c r="E170" s="22" t="s">
        <v>180</v>
      </c>
      <c r="F170" s="194" t="s">
        <v>771</v>
      </c>
      <c r="G170" s="24" t="s">
        <v>772</v>
      </c>
      <c r="H170" s="24"/>
      <c r="I170" s="24">
        <v>1</v>
      </c>
      <c r="J170" s="24" t="s">
        <v>494</v>
      </c>
      <c r="K170" s="24"/>
      <c r="L170" s="24"/>
      <c r="M170" s="24"/>
      <c r="N170" s="24"/>
      <c r="O170" s="24"/>
      <c r="P170" s="133"/>
      <c r="Q170" s="133"/>
      <c r="R170" s="195"/>
      <c r="S170" s="163"/>
      <c r="T170" s="163"/>
      <c r="U170" s="163"/>
      <c r="V170" s="193"/>
      <c r="W170" s="194" t="s">
        <v>803</v>
      </c>
      <c r="X170" s="164"/>
      <c r="Y170" s="163"/>
      <c r="Z170" s="133"/>
      <c r="AA170" s="24"/>
      <c r="AB170" s="163"/>
      <c r="AC170" s="179"/>
      <c r="AD170" s="133"/>
      <c r="AE170" s="24"/>
      <c r="AF170" s="24"/>
      <c r="AG170" s="22"/>
      <c r="AH170" s="45"/>
      <c r="AI170" s="24"/>
      <c r="AJ170" s="133"/>
      <c r="AK170" s="193"/>
      <c r="AL170" s="22"/>
      <c r="AM170" s="22"/>
      <c r="AN170" s="22"/>
      <c r="AO170" s="22"/>
      <c r="AP170" s="22"/>
      <c r="AQ170" s="22"/>
      <c r="AR170" s="22"/>
      <c r="AS170" s="22"/>
      <c r="AT170" s="134"/>
      <c r="AU170" s="134"/>
      <c r="AV170" s="156">
        <v>398770008</v>
      </c>
      <c r="AW170" s="133"/>
      <c r="AX170" s="133"/>
      <c r="AY170" s="133"/>
      <c r="AZ170" s="133"/>
      <c r="BA170" s="133"/>
      <c r="BB170" s="133"/>
      <c r="BC170" s="133"/>
      <c r="BD170" s="133"/>
      <c r="BE170" s="137" t="s">
        <v>115</v>
      </c>
      <c r="BF170" s="143" t="s">
        <v>804</v>
      </c>
      <c r="BG170" s="139" t="s">
        <v>805</v>
      </c>
      <c r="BH170" s="47"/>
      <c r="BI170" s="157">
        <v>398770008</v>
      </c>
      <c r="BJ170" s="47"/>
      <c r="BK170" s="46">
        <f t="shared" si="1"/>
        <v>1</v>
      </c>
      <c r="BL170" s="46"/>
      <c r="BM170" s="46"/>
      <c r="BN170" s="46"/>
    </row>
    <row r="171" spans="1:66" ht="12.75" hidden="1" customHeight="1">
      <c r="A171" s="22">
        <v>169</v>
      </c>
      <c r="B171" s="193" t="s">
        <v>1100</v>
      </c>
      <c r="C171" s="193" t="e">
        <f t="shared" ca="1" si="0"/>
        <v>#NAME?</v>
      </c>
      <c r="D171" s="196" t="s">
        <v>806</v>
      </c>
      <c r="E171" s="22" t="s">
        <v>180</v>
      </c>
      <c r="F171" s="194" t="s">
        <v>771</v>
      </c>
      <c r="G171" s="24" t="s">
        <v>772</v>
      </c>
      <c r="H171" s="24"/>
      <c r="I171" s="24">
        <v>1</v>
      </c>
      <c r="J171" s="24" t="s">
        <v>494</v>
      </c>
      <c r="K171" s="24"/>
      <c r="L171" s="24"/>
      <c r="M171" s="24"/>
      <c r="N171" s="24"/>
      <c r="O171" s="24"/>
      <c r="P171" s="133"/>
      <c r="Q171" s="133"/>
      <c r="R171" s="195"/>
      <c r="S171" s="163"/>
      <c r="T171" s="163"/>
      <c r="U171" s="163"/>
      <c r="V171" s="193"/>
      <c r="W171" s="194" t="s">
        <v>806</v>
      </c>
      <c r="X171" s="164"/>
      <c r="Y171" s="163"/>
      <c r="Z171" s="133"/>
      <c r="AA171" s="24"/>
      <c r="AB171" s="163"/>
      <c r="AC171" s="179"/>
      <c r="AD171" s="134"/>
      <c r="AE171" s="24"/>
      <c r="AF171" s="24"/>
      <c r="AG171" s="22"/>
      <c r="AH171" s="45"/>
      <c r="AI171" s="24"/>
      <c r="AJ171" s="134"/>
      <c r="AK171" s="193"/>
      <c r="AL171" s="22"/>
      <c r="AM171" s="22"/>
      <c r="AN171" s="22"/>
      <c r="AO171" s="22"/>
      <c r="AP171" s="22"/>
      <c r="AQ171" s="22"/>
      <c r="AR171" s="22"/>
      <c r="AS171" s="22"/>
      <c r="AT171" s="134"/>
      <c r="AU171" s="134"/>
      <c r="AV171" s="156">
        <v>56059005</v>
      </c>
      <c r="AW171" s="133"/>
      <c r="AX171" s="133"/>
      <c r="AY171" s="133"/>
      <c r="AZ171" s="133"/>
      <c r="BA171" s="133"/>
      <c r="BB171" s="133"/>
      <c r="BC171" s="133"/>
      <c r="BD171" s="133"/>
      <c r="BE171" s="137" t="s">
        <v>115</v>
      </c>
      <c r="BF171" s="143" t="s">
        <v>807</v>
      </c>
      <c r="BG171" s="139" t="s">
        <v>808</v>
      </c>
      <c r="BH171" s="47"/>
      <c r="BI171" s="157">
        <v>56059005</v>
      </c>
      <c r="BJ171" s="47"/>
      <c r="BK171" s="46">
        <f t="shared" si="1"/>
        <v>1</v>
      </c>
      <c r="BL171" s="46"/>
      <c r="BM171" s="46"/>
      <c r="BN171" s="46"/>
    </row>
    <row r="172" spans="1:66" ht="12.75" hidden="1" customHeight="1">
      <c r="A172" s="22">
        <v>170</v>
      </c>
      <c r="B172" s="193" t="s">
        <v>1101</v>
      </c>
      <c r="C172" s="193" t="e">
        <f t="shared" ca="1" si="0"/>
        <v>#NAME?</v>
      </c>
      <c r="D172" s="196" t="s">
        <v>809</v>
      </c>
      <c r="E172" s="22" t="s">
        <v>180</v>
      </c>
      <c r="F172" s="194" t="s">
        <v>771</v>
      </c>
      <c r="G172" s="24" t="s">
        <v>772</v>
      </c>
      <c r="H172" s="24"/>
      <c r="I172" s="24">
        <v>1</v>
      </c>
      <c r="J172" s="24" t="s">
        <v>494</v>
      </c>
      <c r="K172" s="24"/>
      <c r="L172" s="24"/>
      <c r="M172" s="24"/>
      <c r="N172" s="24"/>
      <c r="O172" s="24"/>
      <c r="P172" s="133"/>
      <c r="Q172" s="133"/>
      <c r="R172" s="195"/>
      <c r="S172" s="163"/>
      <c r="T172" s="163"/>
      <c r="U172" s="163"/>
      <c r="V172" s="193"/>
      <c r="W172" s="194" t="s">
        <v>809</v>
      </c>
      <c r="X172" s="164"/>
      <c r="Y172" s="163"/>
      <c r="Z172" s="133"/>
      <c r="AA172" s="24"/>
      <c r="AB172" s="163"/>
      <c r="AC172" s="179"/>
      <c r="AD172" s="134"/>
      <c r="AE172" s="24"/>
      <c r="AF172" s="24"/>
      <c r="AG172" s="22"/>
      <c r="AH172" s="45"/>
      <c r="AI172" s="24"/>
      <c r="AJ172" s="134"/>
      <c r="AK172" s="193"/>
      <c r="AL172" s="22"/>
      <c r="AM172" s="22"/>
      <c r="AN172" s="22"/>
      <c r="AO172" s="22"/>
      <c r="AP172" s="22"/>
      <c r="AQ172" s="22"/>
      <c r="AR172" s="22"/>
      <c r="AS172" s="22"/>
      <c r="AT172" s="134"/>
      <c r="AU172" s="134"/>
      <c r="AV172" s="148" t="s">
        <v>810</v>
      </c>
      <c r="AW172" s="133"/>
      <c r="AX172" s="133"/>
      <c r="AY172" s="133"/>
      <c r="AZ172" s="133"/>
      <c r="BA172" s="133"/>
      <c r="BB172" s="133"/>
      <c r="BC172" s="133"/>
      <c r="BD172" s="133"/>
      <c r="BE172" s="137" t="s">
        <v>115</v>
      </c>
      <c r="BF172" s="143" t="s">
        <v>811</v>
      </c>
      <c r="BG172" s="139" t="s">
        <v>812</v>
      </c>
      <c r="BH172" s="47"/>
      <c r="BI172" s="200" t="s">
        <v>810</v>
      </c>
      <c r="BJ172" s="47"/>
      <c r="BK172" s="46">
        <f t="shared" si="1"/>
        <v>1</v>
      </c>
      <c r="BL172" s="46"/>
      <c r="BM172" s="46"/>
      <c r="BN172" s="46"/>
    </row>
    <row r="173" spans="1:66" ht="12.75" hidden="1" customHeight="1">
      <c r="A173" s="22">
        <v>171</v>
      </c>
      <c r="B173" s="193" t="s">
        <v>1106</v>
      </c>
      <c r="C173" s="193" t="e">
        <f t="shared" ca="1" si="0"/>
        <v>#NAME?</v>
      </c>
      <c r="D173" s="196" t="s">
        <v>813</v>
      </c>
      <c r="E173" s="22" t="s">
        <v>180</v>
      </c>
      <c r="F173" s="194" t="s">
        <v>771</v>
      </c>
      <c r="G173" s="24" t="s">
        <v>772</v>
      </c>
      <c r="H173" s="24"/>
      <c r="I173" s="24">
        <v>1</v>
      </c>
      <c r="J173" s="24" t="s">
        <v>494</v>
      </c>
      <c r="K173" s="24"/>
      <c r="L173" s="24"/>
      <c r="M173" s="24"/>
      <c r="N173" s="24"/>
      <c r="O173" s="24"/>
      <c r="P173" s="133"/>
      <c r="Q173" s="133"/>
      <c r="R173" s="195"/>
      <c r="S173" s="163"/>
      <c r="T173" s="163"/>
      <c r="U173" s="163"/>
      <c r="V173" s="193"/>
      <c r="W173" s="194" t="s">
        <v>813</v>
      </c>
      <c r="X173" s="164"/>
      <c r="Y173" s="163"/>
      <c r="Z173" s="133"/>
      <c r="AA173" s="24"/>
      <c r="AB173" s="163"/>
      <c r="AC173" s="179"/>
      <c r="AD173" s="134"/>
      <c r="AE173" s="24"/>
      <c r="AF173" s="24"/>
      <c r="AG173" s="22"/>
      <c r="AH173" s="45"/>
      <c r="AI173" s="24"/>
      <c r="AJ173" s="134"/>
      <c r="AK173" s="193"/>
      <c r="AL173" s="22"/>
      <c r="AM173" s="22"/>
      <c r="AN173" s="22"/>
      <c r="AO173" s="22"/>
      <c r="AP173" s="22"/>
      <c r="AQ173" s="22"/>
      <c r="AR173" s="22"/>
      <c r="AS173" s="22"/>
      <c r="AT173" s="134"/>
      <c r="AU173" s="134"/>
      <c r="AV173" s="24" t="s">
        <v>814</v>
      </c>
      <c r="AW173" s="133"/>
      <c r="AX173" s="133"/>
      <c r="AY173" s="133"/>
      <c r="AZ173" s="133"/>
      <c r="BA173" s="133"/>
      <c r="BB173" s="133"/>
      <c r="BC173" s="133"/>
      <c r="BD173" s="133"/>
      <c r="BE173" s="137" t="s">
        <v>115</v>
      </c>
      <c r="BF173" s="143" t="s">
        <v>815</v>
      </c>
      <c r="BG173" s="139" t="s">
        <v>816</v>
      </c>
      <c r="BH173" s="47"/>
      <c r="BI173" s="142" t="s">
        <v>814</v>
      </c>
      <c r="BJ173" s="47"/>
      <c r="BK173" s="46">
        <f t="shared" si="1"/>
        <v>1</v>
      </c>
      <c r="BL173" s="46"/>
      <c r="BM173" s="46"/>
      <c r="BN173" s="46"/>
    </row>
    <row r="174" spans="1:66" ht="12.75" hidden="1" customHeight="1">
      <c r="A174" s="22">
        <v>172</v>
      </c>
      <c r="B174" s="193" t="s">
        <v>535</v>
      </c>
      <c r="C174" s="193" t="e">
        <f t="shared" ca="1" si="0"/>
        <v>#NAME?</v>
      </c>
      <c r="D174" s="196" t="s">
        <v>405</v>
      </c>
      <c r="E174" s="22" t="s">
        <v>180</v>
      </c>
      <c r="F174" s="194" t="s">
        <v>771</v>
      </c>
      <c r="G174" s="24" t="s">
        <v>772</v>
      </c>
      <c r="H174" s="24"/>
      <c r="I174" s="24">
        <v>1</v>
      </c>
      <c r="J174" s="24" t="s">
        <v>494</v>
      </c>
      <c r="K174" s="24"/>
      <c r="L174" s="24"/>
      <c r="M174" s="24"/>
      <c r="N174" s="24"/>
      <c r="O174" s="24"/>
      <c r="P174" s="133"/>
      <c r="Q174" s="133"/>
      <c r="R174" s="195"/>
      <c r="S174" s="163"/>
      <c r="T174" s="163"/>
      <c r="U174" s="163"/>
      <c r="V174" s="193"/>
      <c r="W174" s="194" t="s">
        <v>405</v>
      </c>
      <c r="X174" s="164"/>
      <c r="Y174" s="163"/>
      <c r="Z174" s="133"/>
      <c r="AA174" s="24"/>
      <c r="AB174" s="163"/>
      <c r="AC174" s="179"/>
      <c r="AD174" s="134"/>
      <c r="AE174" s="24"/>
      <c r="AF174" s="24"/>
      <c r="AG174" s="22"/>
      <c r="AH174" s="45"/>
      <c r="AI174" s="24"/>
      <c r="AJ174" s="134"/>
      <c r="AK174" s="193"/>
      <c r="AL174" s="22"/>
      <c r="AM174" s="22"/>
      <c r="AN174" s="22"/>
      <c r="AO174" s="22"/>
      <c r="AP174" s="22"/>
      <c r="AQ174" s="22"/>
      <c r="AR174" s="22"/>
      <c r="AS174" s="22"/>
      <c r="AT174" s="134"/>
      <c r="AU174" s="134"/>
      <c r="AV174" s="24" t="s">
        <v>745</v>
      </c>
      <c r="AW174" s="133"/>
      <c r="AX174" s="133"/>
      <c r="AY174" s="133"/>
      <c r="AZ174" s="133"/>
      <c r="BA174" s="133"/>
      <c r="BB174" s="133"/>
      <c r="BC174" s="133"/>
      <c r="BD174" s="133"/>
      <c r="BE174" s="137" t="s">
        <v>115</v>
      </c>
      <c r="BF174" s="137" t="s">
        <v>406</v>
      </c>
      <c r="BG174" s="139" t="s">
        <v>407</v>
      </c>
      <c r="BH174" s="64"/>
      <c r="BI174" s="201" t="s">
        <v>745</v>
      </c>
      <c r="BJ174" s="64"/>
      <c r="BK174" s="46">
        <f t="shared" si="1"/>
        <v>1</v>
      </c>
      <c r="BL174" s="46"/>
      <c r="BM174" s="46"/>
      <c r="BN174" s="46"/>
    </row>
    <row r="175" spans="1:66" ht="38.25" hidden="1" customHeight="1">
      <c r="A175" s="22">
        <v>173</v>
      </c>
      <c r="B175" s="163" t="s">
        <v>817</v>
      </c>
      <c r="C175" s="163" t="str">
        <f t="shared" si="0"/>
        <v>Any allergies? - Specify</v>
      </c>
      <c r="D175" s="163" t="s">
        <v>817</v>
      </c>
      <c r="E175" s="22" t="s">
        <v>96</v>
      </c>
      <c r="F175" s="24"/>
      <c r="G175" s="24" t="s">
        <v>772</v>
      </c>
      <c r="H175" s="24"/>
      <c r="I175" s="24">
        <v>1</v>
      </c>
      <c r="J175" s="24" t="s">
        <v>494</v>
      </c>
      <c r="K175" s="24"/>
      <c r="L175" s="24"/>
      <c r="M175" s="24"/>
      <c r="N175" s="24"/>
      <c r="O175" s="24"/>
      <c r="P175" s="133"/>
      <c r="Q175" s="133"/>
      <c r="R175" s="162" t="s">
        <v>409</v>
      </c>
      <c r="S175" s="163" t="s">
        <v>818</v>
      </c>
      <c r="T175" s="163" t="s">
        <v>819</v>
      </c>
      <c r="U175" s="163" t="s">
        <v>111</v>
      </c>
      <c r="V175" s="193"/>
      <c r="W175" s="194"/>
      <c r="X175" s="164"/>
      <c r="Y175" s="163"/>
      <c r="Z175" s="133"/>
      <c r="AA175" s="24"/>
      <c r="AB175" s="163" t="s">
        <v>208</v>
      </c>
      <c r="AC175" s="179"/>
      <c r="AD175" s="134"/>
      <c r="AE175" s="24"/>
      <c r="AF175" s="24"/>
      <c r="AG175" s="22"/>
      <c r="AH175" s="45"/>
      <c r="AI175" s="24"/>
      <c r="AJ175" s="134"/>
      <c r="AK175" s="163"/>
      <c r="AL175" s="22"/>
      <c r="AM175" s="22"/>
      <c r="AN175" s="22"/>
      <c r="AO175" s="22"/>
      <c r="AP175" s="22"/>
      <c r="AQ175" s="22"/>
      <c r="AR175" s="22"/>
      <c r="AS175" s="22"/>
      <c r="AT175" s="151"/>
      <c r="AU175" s="151"/>
      <c r="AV175" s="152"/>
      <c r="AW175" s="165"/>
      <c r="AX175" s="165"/>
      <c r="AY175" s="165"/>
      <c r="AZ175" s="165"/>
      <c r="BA175" s="165"/>
      <c r="BB175" s="165"/>
      <c r="BC175" s="165"/>
      <c r="BD175" s="165"/>
      <c r="BE175" s="137" t="s">
        <v>820</v>
      </c>
      <c r="BF175" s="137" t="s">
        <v>415</v>
      </c>
      <c r="BG175" s="139" t="s">
        <v>416</v>
      </c>
      <c r="BH175" s="153"/>
      <c r="BI175" s="154"/>
      <c r="BJ175" s="154"/>
      <c r="BK175" s="46">
        <f t="shared" si="1"/>
        <v>1</v>
      </c>
      <c r="BL175" s="46"/>
      <c r="BM175" s="46"/>
      <c r="BN175" s="46"/>
    </row>
    <row r="176" spans="1:66" ht="89.25" hidden="1" customHeight="1">
      <c r="A176" s="22">
        <v>174</v>
      </c>
      <c r="B176" s="163" t="s">
        <v>821</v>
      </c>
      <c r="C176" s="163" t="str">
        <f t="shared" si="0"/>
        <v>Any surgeries?</v>
      </c>
      <c r="D176" s="163" t="s">
        <v>821</v>
      </c>
      <c r="E176" s="22" t="s">
        <v>96</v>
      </c>
      <c r="F176" s="24"/>
      <c r="G176" s="24" t="s">
        <v>772</v>
      </c>
      <c r="H176" s="24"/>
      <c r="I176" s="24">
        <v>1</v>
      </c>
      <c r="J176" s="24" t="s">
        <v>494</v>
      </c>
      <c r="K176" s="24"/>
      <c r="L176" s="24"/>
      <c r="M176" s="24"/>
      <c r="N176" s="24"/>
      <c r="O176" s="24"/>
      <c r="P176" s="133"/>
      <c r="Q176" s="133"/>
      <c r="R176" s="162" t="s">
        <v>821</v>
      </c>
      <c r="S176" s="163" t="s">
        <v>822</v>
      </c>
      <c r="T176" s="163" t="s">
        <v>823</v>
      </c>
      <c r="U176" s="163" t="s">
        <v>238</v>
      </c>
      <c r="V176" s="193"/>
      <c r="W176" s="194"/>
      <c r="X176" s="164"/>
      <c r="Y176" s="163" t="s">
        <v>695</v>
      </c>
      <c r="Z176" s="133"/>
      <c r="AA176" s="24"/>
      <c r="AB176" s="163" t="s">
        <v>208</v>
      </c>
      <c r="AC176" s="179"/>
      <c r="AD176" s="134"/>
      <c r="AE176" s="24"/>
      <c r="AF176" s="24"/>
      <c r="AG176" s="22"/>
      <c r="AH176" s="45"/>
      <c r="AI176" s="24"/>
      <c r="AJ176" s="134"/>
      <c r="AK176" s="163"/>
      <c r="AL176" s="22"/>
      <c r="AM176" s="22"/>
      <c r="AN176" s="22"/>
      <c r="AO176" s="22"/>
      <c r="AP176" s="22"/>
      <c r="AQ176" s="22"/>
      <c r="AR176" s="22"/>
      <c r="AS176" s="22"/>
      <c r="AT176" s="134"/>
      <c r="AU176" s="134"/>
      <c r="AV176" s="108" t="s">
        <v>824</v>
      </c>
      <c r="AW176" s="133"/>
      <c r="AX176" s="133"/>
      <c r="AY176" s="133"/>
      <c r="AZ176" s="133"/>
      <c r="BA176" s="133"/>
      <c r="BB176" s="133"/>
      <c r="BC176" s="133"/>
      <c r="BD176" s="133"/>
      <c r="BE176" s="137" t="s">
        <v>825</v>
      </c>
      <c r="BF176" s="137" t="s">
        <v>826</v>
      </c>
      <c r="BG176" s="139" t="s">
        <v>827</v>
      </c>
      <c r="BH176" s="47"/>
      <c r="BI176" s="159" t="s">
        <v>824</v>
      </c>
      <c r="BJ176" s="47"/>
      <c r="BK176" s="46">
        <f t="shared" si="1"/>
        <v>1</v>
      </c>
      <c r="BL176" s="46"/>
      <c r="BM176" s="46"/>
      <c r="BN176" s="46"/>
    </row>
    <row r="177" spans="1:66" ht="12.75" hidden="1" customHeight="1">
      <c r="A177" s="22">
        <v>175</v>
      </c>
      <c r="B177" s="193" t="s">
        <v>553</v>
      </c>
      <c r="C177" s="193" t="e">
        <f t="shared" ca="1" si="0"/>
        <v>#NAME?</v>
      </c>
      <c r="D177" s="196" t="s">
        <v>423</v>
      </c>
      <c r="E177" s="22" t="s">
        <v>180</v>
      </c>
      <c r="F177" s="163" t="s">
        <v>821</v>
      </c>
      <c r="G177" s="24" t="s">
        <v>772</v>
      </c>
      <c r="H177" s="24"/>
      <c r="I177" s="24">
        <v>1</v>
      </c>
      <c r="J177" s="24" t="s">
        <v>494</v>
      </c>
      <c r="K177" s="24"/>
      <c r="L177" s="24"/>
      <c r="M177" s="24"/>
      <c r="N177" s="24"/>
      <c r="O177" s="24"/>
      <c r="P177" s="133"/>
      <c r="Q177" s="133"/>
      <c r="R177" s="195"/>
      <c r="S177" s="163"/>
      <c r="T177" s="163"/>
      <c r="U177" s="163"/>
      <c r="V177" s="193"/>
      <c r="W177" s="194" t="s">
        <v>423</v>
      </c>
      <c r="X177" s="164"/>
      <c r="Y177" s="163"/>
      <c r="Z177" s="133"/>
      <c r="AA177" s="24"/>
      <c r="AB177" s="163"/>
      <c r="AC177" s="179"/>
      <c r="AD177" s="134"/>
      <c r="AE177" s="24"/>
      <c r="AF177" s="24"/>
      <c r="AG177" s="22"/>
      <c r="AH177" s="45"/>
      <c r="AI177" s="24"/>
      <c r="AJ177" s="134"/>
      <c r="AK177" s="193"/>
      <c r="AL177" s="22"/>
      <c r="AM177" s="22"/>
      <c r="AN177" s="22"/>
      <c r="AO177" s="22"/>
      <c r="AP177" s="22"/>
      <c r="AQ177" s="22"/>
      <c r="AR177" s="22"/>
      <c r="AS177" s="22"/>
      <c r="AT177" s="134"/>
      <c r="AU177" s="134"/>
      <c r="AV177" s="148">
        <v>260413007</v>
      </c>
      <c r="AW177" s="133"/>
      <c r="AX177" s="133"/>
      <c r="AY177" s="133"/>
      <c r="AZ177" s="133"/>
      <c r="BA177" s="133"/>
      <c r="BB177" s="133"/>
      <c r="BC177" s="133"/>
      <c r="BD177" s="133"/>
      <c r="BE177" s="137" t="s">
        <v>115</v>
      </c>
      <c r="BF177" s="137" t="s">
        <v>424</v>
      </c>
      <c r="BG177" s="139" t="s">
        <v>425</v>
      </c>
      <c r="BH177" s="47"/>
      <c r="BI177" s="150">
        <v>260413007</v>
      </c>
      <c r="BJ177" s="47"/>
      <c r="BK177" s="46">
        <f t="shared" si="1"/>
        <v>1</v>
      </c>
      <c r="BL177" s="46"/>
      <c r="BM177" s="46"/>
      <c r="BN177" s="46"/>
    </row>
    <row r="178" spans="1:66" ht="12.75" hidden="1" customHeight="1">
      <c r="A178" s="22">
        <v>176</v>
      </c>
      <c r="B178" s="193" t="s">
        <v>701</v>
      </c>
      <c r="C178" s="193" t="e">
        <f t="shared" ca="1" si="0"/>
        <v>#NAME?</v>
      </c>
      <c r="D178" s="196" t="s">
        <v>500</v>
      </c>
      <c r="E178" s="22" t="s">
        <v>180</v>
      </c>
      <c r="F178" s="163" t="s">
        <v>821</v>
      </c>
      <c r="G178" s="24" t="s">
        <v>772</v>
      </c>
      <c r="H178" s="24"/>
      <c r="I178" s="24">
        <v>1</v>
      </c>
      <c r="J178" s="24" t="s">
        <v>494</v>
      </c>
      <c r="K178" s="24"/>
      <c r="L178" s="24"/>
      <c r="M178" s="24"/>
      <c r="N178" s="24"/>
      <c r="O178" s="24"/>
      <c r="P178" s="133"/>
      <c r="Q178" s="133"/>
      <c r="R178" s="195"/>
      <c r="S178" s="163"/>
      <c r="T178" s="163"/>
      <c r="U178" s="163"/>
      <c r="V178" s="193"/>
      <c r="W178" s="194" t="s">
        <v>500</v>
      </c>
      <c r="X178" s="164"/>
      <c r="Y178" s="163"/>
      <c r="Z178" s="133"/>
      <c r="AA178" s="24"/>
      <c r="AB178" s="163"/>
      <c r="AC178" s="179"/>
      <c r="AD178" s="134"/>
      <c r="AE178" s="24"/>
      <c r="AF178" s="24"/>
      <c r="AG178" s="22"/>
      <c r="AH178" s="45"/>
      <c r="AI178" s="24"/>
      <c r="AJ178" s="134"/>
      <c r="AK178" s="193"/>
      <c r="AL178" s="22"/>
      <c r="AM178" s="22"/>
      <c r="AN178" s="22"/>
      <c r="AO178" s="22"/>
      <c r="AP178" s="22"/>
      <c r="AQ178" s="22"/>
      <c r="AR178" s="22"/>
      <c r="AS178" s="22"/>
      <c r="AT178" s="134"/>
      <c r="AU178" s="134"/>
      <c r="AV178" s="148">
        <v>261665006</v>
      </c>
      <c r="AW178" s="133"/>
      <c r="AX178" s="133"/>
      <c r="AY178" s="133"/>
      <c r="AZ178" s="133"/>
      <c r="BA178" s="133"/>
      <c r="BB178" s="133"/>
      <c r="BC178" s="133"/>
      <c r="BD178" s="133"/>
      <c r="BE178" s="137" t="s">
        <v>115</v>
      </c>
      <c r="BF178" s="137" t="s">
        <v>501</v>
      </c>
      <c r="BG178" s="139" t="s">
        <v>503</v>
      </c>
      <c r="BH178" s="47"/>
      <c r="BI178" s="150">
        <v>261665006</v>
      </c>
      <c r="BJ178" s="47"/>
      <c r="BK178" s="46">
        <f t="shared" si="1"/>
        <v>1</v>
      </c>
      <c r="BL178" s="46"/>
      <c r="BM178" s="46"/>
      <c r="BN178" s="46"/>
    </row>
    <row r="179" spans="1:66" ht="12.75" hidden="1" customHeight="1">
      <c r="A179" s="22">
        <v>177</v>
      </c>
      <c r="B179" s="193" t="s">
        <v>1111</v>
      </c>
      <c r="C179" s="193" t="e">
        <f t="shared" ca="1" si="0"/>
        <v>#NAME?</v>
      </c>
      <c r="D179" s="196" t="s">
        <v>828</v>
      </c>
      <c r="E179" s="22" t="s">
        <v>180</v>
      </c>
      <c r="F179" s="163" t="s">
        <v>821</v>
      </c>
      <c r="G179" s="24" t="s">
        <v>772</v>
      </c>
      <c r="H179" s="24"/>
      <c r="I179" s="24">
        <v>1</v>
      </c>
      <c r="J179" s="24" t="s">
        <v>494</v>
      </c>
      <c r="K179" s="24"/>
      <c r="L179" s="24"/>
      <c r="M179" s="24"/>
      <c r="N179" s="24"/>
      <c r="O179" s="24"/>
      <c r="P179" s="133"/>
      <c r="Q179" s="133"/>
      <c r="R179" s="195"/>
      <c r="S179" s="163"/>
      <c r="T179" s="163"/>
      <c r="U179" s="163"/>
      <c r="V179" s="193"/>
      <c r="W179" s="194" t="s">
        <v>828</v>
      </c>
      <c r="X179" s="164"/>
      <c r="Y179" s="163"/>
      <c r="Z179" s="133"/>
      <c r="AA179" s="24"/>
      <c r="AB179" s="163"/>
      <c r="AC179" s="179"/>
      <c r="AD179" s="134"/>
      <c r="AE179" s="24"/>
      <c r="AF179" s="24"/>
      <c r="AG179" s="22"/>
      <c r="AH179" s="45"/>
      <c r="AI179" s="24"/>
      <c r="AJ179" s="134"/>
      <c r="AK179" s="193"/>
      <c r="AL179" s="22"/>
      <c r="AM179" s="22"/>
      <c r="AN179" s="22"/>
      <c r="AO179" s="22"/>
      <c r="AP179" s="22"/>
      <c r="AQ179" s="22"/>
      <c r="AR179" s="22"/>
      <c r="AS179" s="22"/>
      <c r="AT179" s="134"/>
      <c r="AU179" s="134"/>
      <c r="AV179" s="148">
        <v>13091001</v>
      </c>
      <c r="AW179" s="133"/>
      <c r="AX179" s="133"/>
      <c r="AY179" s="133"/>
      <c r="AZ179" s="133"/>
      <c r="BA179" s="133"/>
      <c r="BB179" s="133"/>
      <c r="BC179" s="133"/>
      <c r="BD179" s="133"/>
      <c r="BE179" s="137" t="s">
        <v>115</v>
      </c>
      <c r="BF179" s="143" t="s">
        <v>829</v>
      </c>
      <c r="BG179" s="139" t="s">
        <v>830</v>
      </c>
      <c r="BH179" s="47"/>
      <c r="BI179" s="150">
        <v>13091001</v>
      </c>
      <c r="BJ179" s="47"/>
      <c r="BK179" s="46">
        <f t="shared" si="1"/>
        <v>1</v>
      </c>
      <c r="BL179" s="46"/>
      <c r="BM179" s="46"/>
      <c r="BN179" s="46"/>
    </row>
    <row r="180" spans="1:66" ht="12.75" hidden="1" customHeight="1">
      <c r="A180" s="22">
        <v>178</v>
      </c>
      <c r="B180" s="193" t="s">
        <v>1114</v>
      </c>
      <c r="C180" s="193" t="e">
        <f t="shared" ca="1" si="0"/>
        <v>#NAME?</v>
      </c>
      <c r="D180" s="196" t="s">
        <v>831</v>
      </c>
      <c r="E180" s="22" t="s">
        <v>180</v>
      </c>
      <c r="F180" s="163" t="s">
        <v>821</v>
      </c>
      <c r="G180" s="24" t="s">
        <v>772</v>
      </c>
      <c r="H180" s="24"/>
      <c r="I180" s="24">
        <v>1</v>
      </c>
      <c r="J180" s="24" t="s">
        <v>494</v>
      </c>
      <c r="K180" s="24"/>
      <c r="L180" s="24"/>
      <c r="M180" s="24"/>
      <c r="N180" s="24"/>
      <c r="O180" s="24"/>
      <c r="P180" s="133"/>
      <c r="Q180" s="133"/>
      <c r="R180" s="195"/>
      <c r="S180" s="163"/>
      <c r="T180" s="163"/>
      <c r="U180" s="163"/>
      <c r="V180" s="193"/>
      <c r="W180" s="194" t="s">
        <v>831</v>
      </c>
      <c r="X180" s="164"/>
      <c r="Y180" s="163"/>
      <c r="Z180" s="133"/>
      <c r="AA180" s="24"/>
      <c r="AB180" s="163"/>
      <c r="AC180" s="179"/>
      <c r="AD180" s="134"/>
      <c r="AE180" s="24"/>
      <c r="AF180" s="24"/>
      <c r="AG180" s="22"/>
      <c r="AH180" s="45"/>
      <c r="AI180" s="24"/>
      <c r="AJ180" s="134"/>
      <c r="AK180" s="193"/>
      <c r="AL180" s="22"/>
      <c r="AM180" s="22"/>
      <c r="AN180" s="22"/>
      <c r="AO180" s="22"/>
      <c r="AP180" s="22"/>
      <c r="AQ180" s="22"/>
      <c r="AR180" s="22"/>
      <c r="AS180" s="22"/>
      <c r="AT180" s="134"/>
      <c r="AU180" s="134"/>
      <c r="AV180" s="148">
        <v>42010004</v>
      </c>
      <c r="AW180" s="133"/>
      <c r="AX180" s="133"/>
      <c r="AY180" s="133"/>
      <c r="AZ180" s="133"/>
      <c r="BA180" s="133"/>
      <c r="BB180" s="133"/>
      <c r="BC180" s="133"/>
      <c r="BD180" s="133"/>
      <c r="BE180" s="137" t="s">
        <v>115</v>
      </c>
      <c r="BF180" s="143" t="s">
        <v>832</v>
      </c>
      <c r="BG180" s="139" t="s">
        <v>833</v>
      </c>
      <c r="BH180" s="64"/>
      <c r="BI180" s="150">
        <v>42010004</v>
      </c>
      <c r="BJ180" s="64"/>
      <c r="BK180" s="46">
        <f t="shared" si="1"/>
        <v>1</v>
      </c>
      <c r="BL180" s="46"/>
      <c r="BM180" s="46"/>
      <c r="BN180" s="46"/>
    </row>
    <row r="181" spans="1:66" ht="12.75" hidden="1" customHeight="1">
      <c r="A181" s="22">
        <v>179</v>
      </c>
      <c r="B181" s="193" t="s">
        <v>1121</v>
      </c>
      <c r="C181" s="193" t="e">
        <f t="shared" ca="1" si="0"/>
        <v>#NAME?</v>
      </c>
      <c r="D181" s="196" t="s">
        <v>834</v>
      </c>
      <c r="E181" s="22" t="s">
        <v>180</v>
      </c>
      <c r="F181" s="163" t="s">
        <v>821</v>
      </c>
      <c r="G181" s="24" t="s">
        <v>772</v>
      </c>
      <c r="H181" s="24"/>
      <c r="I181" s="24">
        <v>1</v>
      </c>
      <c r="J181" s="24" t="s">
        <v>494</v>
      </c>
      <c r="K181" s="24"/>
      <c r="L181" s="24"/>
      <c r="M181" s="24"/>
      <c r="N181" s="24"/>
      <c r="O181" s="24"/>
      <c r="P181" s="133"/>
      <c r="Q181" s="133"/>
      <c r="R181" s="195"/>
      <c r="S181" s="163"/>
      <c r="T181" s="163"/>
      <c r="U181" s="163"/>
      <c r="V181" s="193"/>
      <c r="W181" s="194" t="s">
        <v>834</v>
      </c>
      <c r="X181" s="164"/>
      <c r="Y181" s="163"/>
      <c r="Z181" s="133"/>
      <c r="AA181" s="24"/>
      <c r="AB181" s="163"/>
      <c r="AC181" s="179"/>
      <c r="AD181" s="134"/>
      <c r="AE181" s="24"/>
      <c r="AF181" s="24"/>
      <c r="AG181" s="22"/>
      <c r="AH181" s="45"/>
      <c r="AI181" s="24"/>
      <c r="AJ181" s="134"/>
      <c r="AK181" s="193"/>
      <c r="AL181" s="22"/>
      <c r="AM181" s="22"/>
      <c r="AN181" s="22"/>
      <c r="AO181" s="22"/>
      <c r="AP181" s="22"/>
      <c r="AQ181" s="22"/>
      <c r="AR181" s="22"/>
      <c r="AS181" s="22"/>
      <c r="AT181" s="151"/>
      <c r="AU181" s="151"/>
      <c r="AV181" s="152"/>
      <c r="AW181" s="165"/>
      <c r="AX181" s="165"/>
      <c r="AY181" s="165"/>
      <c r="AZ181" s="165"/>
      <c r="BA181" s="165"/>
      <c r="BB181" s="165"/>
      <c r="BC181" s="165"/>
      <c r="BD181" s="165"/>
      <c r="BE181" s="137" t="s">
        <v>115</v>
      </c>
      <c r="BF181" s="137" t="s">
        <v>835</v>
      </c>
      <c r="BG181" s="139" t="s">
        <v>836</v>
      </c>
      <c r="BH181" s="153"/>
      <c r="BI181" s="154"/>
      <c r="BJ181" s="154"/>
      <c r="BK181" s="46">
        <f t="shared" si="1"/>
        <v>1</v>
      </c>
      <c r="BL181" s="46"/>
      <c r="BM181" s="46"/>
      <c r="BN181" s="46"/>
    </row>
    <row r="182" spans="1:66" ht="12.75" hidden="1" customHeight="1">
      <c r="A182" s="22">
        <v>180</v>
      </c>
      <c r="B182" s="193" t="s">
        <v>1123</v>
      </c>
      <c r="C182" s="193" t="e">
        <f t="shared" ca="1" si="0"/>
        <v>#NAME?</v>
      </c>
      <c r="D182" s="196" t="s">
        <v>837</v>
      </c>
      <c r="E182" s="22" t="s">
        <v>180</v>
      </c>
      <c r="F182" s="163" t="s">
        <v>821</v>
      </c>
      <c r="G182" s="24" t="s">
        <v>772</v>
      </c>
      <c r="H182" s="24"/>
      <c r="I182" s="24">
        <v>1</v>
      </c>
      <c r="J182" s="24" t="s">
        <v>494</v>
      </c>
      <c r="K182" s="24"/>
      <c r="L182" s="24"/>
      <c r="M182" s="24"/>
      <c r="N182" s="24"/>
      <c r="O182" s="24"/>
      <c r="P182" s="133"/>
      <c r="Q182" s="133"/>
      <c r="R182" s="195"/>
      <c r="S182" s="163"/>
      <c r="T182" s="163"/>
      <c r="U182" s="163"/>
      <c r="V182" s="193"/>
      <c r="W182" s="194" t="s">
        <v>837</v>
      </c>
      <c r="X182" s="164"/>
      <c r="Y182" s="163"/>
      <c r="Z182" s="133"/>
      <c r="AA182" s="24"/>
      <c r="AB182" s="163"/>
      <c r="AC182" s="179"/>
      <c r="AD182" s="134"/>
      <c r="AE182" s="24"/>
      <c r="AF182" s="24"/>
      <c r="AG182" s="22"/>
      <c r="AH182" s="45"/>
      <c r="AI182" s="24"/>
      <c r="AJ182" s="134"/>
      <c r="AK182" s="193"/>
      <c r="AL182" s="22"/>
      <c r="AM182" s="22"/>
      <c r="AN182" s="22"/>
      <c r="AO182" s="22"/>
      <c r="AP182" s="22"/>
      <c r="AQ182" s="22"/>
      <c r="AR182" s="22"/>
      <c r="AS182" s="22"/>
      <c r="AT182" s="134"/>
      <c r="AU182" s="134"/>
      <c r="AV182" s="148">
        <v>83152002</v>
      </c>
      <c r="AW182" s="133"/>
      <c r="AX182" s="133"/>
      <c r="AY182" s="133"/>
      <c r="AZ182" s="133"/>
      <c r="BA182" s="133"/>
      <c r="BB182" s="133"/>
      <c r="BC182" s="133"/>
      <c r="BD182" s="133"/>
      <c r="BE182" s="137" t="s">
        <v>115</v>
      </c>
      <c r="BF182" s="137" t="s">
        <v>838</v>
      </c>
      <c r="BG182" s="139" t="s">
        <v>839</v>
      </c>
      <c r="BH182" s="47"/>
      <c r="BI182" s="150">
        <v>83152002</v>
      </c>
      <c r="BJ182" s="47"/>
      <c r="BK182" s="46">
        <f t="shared" si="1"/>
        <v>1</v>
      </c>
      <c r="BL182" s="46"/>
      <c r="BM182" s="46"/>
      <c r="BN182" s="46"/>
    </row>
    <row r="183" spans="1:66" ht="12.75" hidden="1" customHeight="1">
      <c r="A183" s="22">
        <v>181</v>
      </c>
      <c r="B183" s="193" t="s">
        <v>1127</v>
      </c>
      <c r="C183" s="193" t="e">
        <f t="shared" ca="1" si="0"/>
        <v>#NAME?</v>
      </c>
      <c r="D183" s="196" t="s">
        <v>840</v>
      </c>
      <c r="E183" s="22" t="s">
        <v>180</v>
      </c>
      <c r="F183" s="163" t="s">
        <v>821</v>
      </c>
      <c r="G183" s="24" t="s">
        <v>772</v>
      </c>
      <c r="H183" s="24"/>
      <c r="I183" s="24">
        <v>1</v>
      </c>
      <c r="J183" s="24" t="s">
        <v>494</v>
      </c>
      <c r="K183" s="24"/>
      <c r="L183" s="24"/>
      <c r="M183" s="24"/>
      <c r="N183" s="24"/>
      <c r="O183" s="24"/>
      <c r="P183" s="133"/>
      <c r="Q183" s="133"/>
      <c r="R183" s="195"/>
      <c r="S183" s="163"/>
      <c r="T183" s="163"/>
      <c r="U183" s="163"/>
      <c r="V183" s="193"/>
      <c r="W183" s="194" t="s">
        <v>840</v>
      </c>
      <c r="X183" s="164"/>
      <c r="Y183" s="163"/>
      <c r="Z183" s="133"/>
      <c r="AA183" s="24"/>
      <c r="AB183" s="163"/>
      <c r="AC183" s="179"/>
      <c r="AD183" s="134"/>
      <c r="AE183" s="24"/>
      <c r="AF183" s="24"/>
      <c r="AG183" s="22"/>
      <c r="AH183" s="45"/>
      <c r="AI183" s="24"/>
      <c r="AJ183" s="134"/>
      <c r="AK183" s="193"/>
      <c r="AL183" s="22"/>
      <c r="AM183" s="22"/>
      <c r="AN183" s="22"/>
      <c r="AO183" s="22"/>
      <c r="AP183" s="22"/>
      <c r="AQ183" s="22"/>
      <c r="AR183" s="22"/>
      <c r="AS183" s="22"/>
      <c r="AT183" s="134"/>
      <c r="AU183" s="134"/>
      <c r="AV183" s="148">
        <v>120053002</v>
      </c>
      <c r="AW183" s="133"/>
      <c r="AX183" s="133"/>
      <c r="AY183" s="133"/>
      <c r="AZ183" s="133"/>
      <c r="BA183" s="133"/>
      <c r="BB183" s="133"/>
      <c r="BC183" s="133"/>
      <c r="BD183" s="133"/>
      <c r="BE183" s="137" t="s">
        <v>115</v>
      </c>
      <c r="BF183" s="143" t="s">
        <v>841</v>
      </c>
      <c r="BG183" s="139" t="s">
        <v>842</v>
      </c>
      <c r="BH183" s="47"/>
      <c r="BI183" s="150">
        <v>120053002</v>
      </c>
      <c r="BJ183" s="47"/>
      <c r="BK183" s="46">
        <f t="shared" si="1"/>
        <v>1</v>
      </c>
      <c r="BL183" s="46"/>
      <c r="BM183" s="46"/>
      <c r="BN183" s="46"/>
    </row>
    <row r="184" spans="1:66" ht="12.75" hidden="1" customHeight="1">
      <c r="A184" s="22">
        <v>182</v>
      </c>
      <c r="B184" s="193" t="s">
        <v>1133</v>
      </c>
      <c r="C184" s="193" t="e">
        <f t="shared" ca="1" si="0"/>
        <v>#NAME?</v>
      </c>
      <c r="D184" s="196" t="s">
        <v>843</v>
      </c>
      <c r="E184" s="22" t="s">
        <v>180</v>
      </c>
      <c r="F184" s="163" t="s">
        <v>821</v>
      </c>
      <c r="G184" s="24" t="s">
        <v>772</v>
      </c>
      <c r="H184" s="24"/>
      <c r="I184" s="24">
        <v>1</v>
      </c>
      <c r="J184" s="24" t="s">
        <v>494</v>
      </c>
      <c r="K184" s="24"/>
      <c r="L184" s="24"/>
      <c r="M184" s="24"/>
      <c r="N184" s="24"/>
      <c r="O184" s="24"/>
      <c r="P184" s="133"/>
      <c r="Q184" s="133"/>
      <c r="R184" s="195"/>
      <c r="S184" s="163"/>
      <c r="T184" s="163"/>
      <c r="U184" s="163"/>
      <c r="V184" s="193"/>
      <c r="W184" s="194" t="s">
        <v>843</v>
      </c>
      <c r="X184" s="164"/>
      <c r="Y184" s="163"/>
      <c r="Z184" s="133"/>
      <c r="AA184" s="24"/>
      <c r="AB184" s="163"/>
      <c r="AC184" s="179"/>
      <c r="AD184" s="134"/>
      <c r="AE184" s="24"/>
      <c r="AF184" s="24"/>
      <c r="AG184" s="22"/>
      <c r="AH184" s="45"/>
      <c r="AI184" s="24"/>
      <c r="AJ184" s="134"/>
      <c r="AK184" s="193"/>
      <c r="AL184" s="22"/>
      <c r="AM184" s="22"/>
      <c r="AN184" s="22"/>
      <c r="AO184" s="22"/>
      <c r="AP184" s="22"/>
      <c r="AQ184" s="22"/>
      <c r="AR184" s="22"/>
      <c r="AS184" s="22"/>
      <c r="AT184" s="134"/>
      <c r="AU184" s="134"/>
      <c r="AV184" s="148">
        <v>54535009</v>
      </c>
      <c r="AW184" s="133"/>
      <c r="AX184" s="133"/>
      <c r="AY184" s="133"/>
      <c r="AZ184" s="133"/>
      <c r="BA184" s="133"/>
      <c r="BB184" s="133"/>
      <c r="BC184" s="133"/>
      <c r="BD184" s="133"/>
      <c r="BE184" s="137" t="s">
        <v>115</v>
      </c>
      <c r="BF184" s="137" t="s">
        <v>844</v>
      </c>
      <c r="BG184" s="139" t="s">
        <v>845</v>
      </c>
      <c r="BH184" s="64"/>
      <c r="BI184" s="150">
        <v>54535009</v>
      </c>
      <c r="BJ184" s="64"/>
      <c r="BK184" s="46">
        <f t="shared" si="1"/>
        <v>1</v>
      </c>
      <c r="BL184" s="46"/>
      <c r="BM184" s="46"/>
      <c r="BN184" s="46"/>
    </row>
    <row r="185" spans="1:66" ht="12.75" hidden="1" customHeight="1">
      <c r="A185" s="22">
        <v>183</v>
      </c>
      <c r="B185" s="193" t="s">
        <v>1138</v>
      </c>
      <c r="C185" s="193" t="e">
        <f t="shared" ca="1" si="0"/>
        <v>#NAME?</v>
      </c>
      <c r="D185" s="196" t="s">
        <v>846</v>
      </c>
      <c r="E185" s="22" t="s">
        <v>180</v>
      </c>
      <c r="F185" s="163" t="s">
        <v>821</v>
      </c>
      <c r="G185" s="24" t="s">
        <v>772</v>
      </c>
      <c r="H185" s="24"/>
      <c r="I185" s="24">
        <v>1</v>
      </c>
      <c r="J185" s="24" t="s">
        <v>494</v>
      </c>
      <c r="K185" s="24"/>
      <c r="L185" s="24"/>
      <c r="M185" s="24"/>
      <c r="N185" s="24"/>
      <c r="O185" s="24"/>
      <c r="P185" s="133"/>
      <c r="Q185" s="133"/>
      <c r="R185" s="195"/>
      <c r="S185" s="163"/>
      <c r="T185" s="163"/>
      <c r="U185" s="163"/>
      <c r="V185" s="193"/>
      <c r="W185" s="194" t="s">
        <v>846</v>
      </c>
      <c r="X185" s="164"/>
      <c r="Y185" s="163"/>
      <c r="Z185" s="133"/>
      <c r="AA185" s="24"/>
      <c r="AB185" s="163"/>
      <c r="AC185" s="179"/>
      <c r="AD185" s="134"/>
      <c r="AE185" s="24"/>
      <c r="AF185" s="24"/>
      <c r="AG185" s="22"/>
      <c r="AH185" s="45"/>
      <c r="AI185" s="24"/>
      <c r="AJ185" s="134"/>
      <c r="AK185" s="193"/>
      <c r="AL185" s="22"/>
      <c r="AM185" s="22"/>
      <c r="AN185" s="22"/>
      <c r="AO185" s="22"/>
      <c r="AP185" s="22"/>
      <c r="AQ185" s="22"/>
      <c r="AR185" s="22"/>
      <c r="AS185" s="22"/>
      <c r="AT185" s="151"/>
      <c r="AU185" s="151"/>
      <c r="AV185" s="152"/>
      <c r="AW185" s="165"/>
      <c r="AX185" s="165"/>
      <c r="AY185" s="165"/>
      <c r="AZ185" s="165"/>
      <c r="BA185" s="165"/>
      <c r="BB185" s="165"/>
      <c r="BC185" s="165"/>
      <c r="BD185" s="165"/>
      <c r="BE185" s="137" t="s">
        <v>115</v>
      </c>
      <c r="BF185" s="137" t="s">
        <v>847</v>
      </c>
      <c r="BG185" s="139" t="s">
        <v>848</v>
      </c>
      <c r="BH185" s="153"/>
      <c r="BI185" s="154"/>
      <c r="BJ185" s="154"/>
      <c r="BK185" s="46">
        <f t="shared" si="1"/>
        <v>1</v>
      </c>
      <c r="BL185" s="46"/>
      <c r="BM185" s="46"/>
      <c r="BN185" s="46"/>
    </row>
    <row r="186" spans="1:66" ht="12.75" hidden="1" customHeight="1">
      <c r="A186" s="22">
        <v>184</v>
      </c>
      <c r="B186" s="193" t="s">
        <v>1139</v>
      </c>
      <c r="C186" s="193" t="e">
        <f t="shared" ca="1" si="0"/>
        <v>#NAME?</v>
      </c>
      <c r="D186" s="196" t="s">
        <v>849</v>
      </c>
      <c r="E186" s="22" t="s">
        <v>180</v>
      </c>
      <c r="F186" s="163" t="s">
        <v>821</v>
      </c>
      <c r="G186" s="24" t="s">
        <v>772</v>
      </c>
      <c r="H186" s="24"/>
      <c r="I186" s="24">
        <v>1</v>
      </c>
      <c r="J186" s="24" t="s">
        <v>494</v>
      </c>
      <c r="K186" s="24"/>
      <c r="L186" s="24"/>
      <c r="M186" s="24"/>
      <c r="N186" s="24"/>
      <c r="O186" s="24"/>
      <c r="P186" s="133"/>
      <c r="Q186" s="133"/>
      <c r="R186" s="195"/>
      <c r="S186" s="163"/>
      <c r="T186" s="163"/>
      <c r="U186" s="163"/>
      <c r="V186" s="193"/>
      <c r="W186" s="194" t="s">
        <v>849</v>
      </c>
      <c r="X186" s="164"/>
      <c r="Y186" s="163"/>
      <c r="Z186" s="133"/>
      <c r="AA186" s="24"/>
      <c r="AB186" s="163"/>
      <c r="AC186" s="179"/>
      <c r="AD186" s="134"/>
      <c r="AE186" s="24"/>
      <c r="AF186" s="24"/>
      <c r="AG186" s="22"/>
      <c r="AH186" s="45"/>
      <c r="AI186" s="24"/>
      <c r="AJ186" s="134"/>
      <c r="AK186" s="193"/>
      <c r="AL186" s="22"/>
      <c r="AM186" s="22"/>
      <c r="AN186" s="22"/>
      <c r="AO186" s="22"/>
      <c r="AP186" s="22"/>
      <c r="AQ186" s="22"/>
      <c r="AR186" s="22"/>
      <c r="AS186" s="22"/>
      <c r="AT186" s="134"/>
      <c r="AU186" s="134"/>
      <c r="AV186" s="108" t="s">
        <v>745</v>
      </c>
      <c r="AW186" s="133"/>
      <c r="AX186" s="133"/>
      <c r="AY186" s="133"/>
      <c r="AZ186" s="133"/>
      <c r="BA186" s="133"/>
      <c r="BB186" s="133"/>
      <c r="BC186" s="133"/>
      <c r="BD186" s="133"/>
      <c r="BE186" s="137" t="s">
        <v>115</v>
      </c>
      <c r="BF186" s="137" t="s">
        <v>406</v>
      </c>
      <c r="BG186" s="139" t="s">
        <v>407</v>
      </c>
      <c r="BH186" s="64"/>
      <c r="BI186" s="159" t="s">
        <v>745</v>
      </c>
      <c r="BJ186" s="64"/>
      <c r="BK186" s="46">
        <f t="shared" si="1"/>
        <v>1</v>
      </c>
      <c r="BL186" s="46"/>
      <c r="BM186" s="46"/>
      <c r="BN186" s="46"/>
    </row>
    <row r="187" spans="1:66" ht="38.25" hidden="1" customHeight="1">
      <c r="A187" s="22">
        <v>185</v>
      </c>
      <c r="B187" s="163" t="s">
        <v>850</v>
      </c>
      <c r="C187" s="163" t="str">
        <f t="shared" si="0"/>
        <v>Other gynecological procedures</v>
      </c>
      <c r="D187" s="163" t="s">
        <v>850</v>
      </c>
      <c r="E187" s="22" t="s">
        <v>96</v>
      </c>
      <c r="F187" s="24"/>
      <c r="G187" s="24" t="s">
        <v>772</v>
      </c>
      <c r="H187" s="24"/>
      <c r="I187" s="24">
        <v>1</v>
      </c>
      <c r="J187" s="24" t="s">
        <v>494</v>
      </c>
      <c r="K187" s="24"/>
      <c r="L187" s="24"/>
      <c r="M187" s="24"/>
      <c r="N187" s="24"/>
      <c r="O187" s="24"/>
      <c r="P187" s="133"/>
      <c r="Q187" s="133"/>
      <c r="R187" s="162" t="s">
        <v>850</v>
      </c>
      <c r="S187" s="163" t="s">
        <v>852</v>
      </c>
      <c r="T187" s="163" t="s">
        <v>853</v>
      </c>
      <c r="U187" s="163" t="s">
        <v>111</v>
      </c>
      <c r="V187" s="193"/>
      <c r="W187" s="194"/>
      <c r="X187" s="164"/>
      <c r="Y187" s="163"/>
      <c r="Z187" s="133"/>
      <c r="AA187" s="24"/>
      <c r="AB187" s="163" t="s">
        <v>208</v>
      </c>
      <c r="AC187" s="179"/>
      <c r="AD187" s="134"/>
      <c r="AE187" s="24"/>
      <c r="AF187" s="24"/>
      <c r="AG187" s="22"/>
      <c r="AH187" s="45"/>
      <c r="AI187" s="24"/>
      <c r="AJ187" s="134"/>
      <c r="AK187" s="163"/>
      <c r="AL187" s="22"/>
      <c r="AM187" s="22"/>
      <c r="AN187" s="22"/>
      <c r="AO187" s="22"/>
      <c r="AP187" s="22"/>
      <c r="AQ187" s="22"/>
      <c r="AR187" s="22"/>
      <c r="AS187" s="22"/>
      <c r="AT187" s="151"/>
      <c r="AU187" s="151"/>
      <c r="AV187" s="152"/>
      <c r="AW187" s="165"/>
      <c r="AX187" s="165"/>
      <c r="AY187" s="165"/>
      <c r="AZ187" s="165"/>
      <c r="BA187" s="165"/>
      <c r="BB187" s="165"/>
      <c r="BC187" s="165"/>
      <c r="BD187" s="165"/>
      <c r="BE187" s="137" t="s">
        <v>854</v>
      </c>
      <c r="BF187" s="137" t="s">
        <v>855</v>
      </c>
      <c r="BG187" s="139" t="s">
        <v>856</v>
      </c>
      <c r="BH187" s="153"/>
      <c r="BI187" s="154"/>
      <c r="BJ187" s="154"/>
      <c r="BK187" s="46">
        <f t="shared" si="1"/>
        <v>1</v>
      </c>
      <c r="BL187" s="46"/>
      <c r="BM187" s="46"/>
      <c r="BN187" s="46"/>
    </row>
    <row r="188" spans="1:66" ht="38.25" hidden="1" customHeight="1">
      <c r="A188" s="22">
        <v>186</v>
      </c>
      <c r="B188" s="163" t="s">
        <v>857</v>
      </c>
      <c r="C188" s="163" t="str">
        <f t="shared" si="0"/>
        <v>Other surgeries</v>
      </c>
      <c r="D188" s="163" t="s">
        <v>857</v>
      </c>
      <c r="E188" s="22" t="s">
        <v>96</v>
      </c>
      <c r="F188" s="24"/>
      <c r="G188" s="24" t="s">
        <v>772</v>
      </c>
      <c r="H188" s="24"/>
      <c r="I188" s="24">
        <v>1</v>
      </c>
      <c r="J188" s="24" t="s">
        <v>494</v>
      </c>
      <c r="K188" s="24"/>
      <c r="L188" s="24"/>
      <c r="M188" s="24"/>
      <c r="N188" s="24"/>
      <c r="O188" s="24"/>
      <c r="P188" s="133"/>
      <c r="Q188" s="133"/>
      <c r="R188" s="162" t="s">
        <v>857</v>
      </c>
      <c r="S188" s="163" t="s">
        <v>858</v>
      </c>
      <c r="T188" s="163" t="s">
        <v>859</v>
      </c>
      <c r="U188" s="163" t="s">
        <v>111</v>
      </c>
      <c r="V188" s="193"/>
      <c r="W188" s="194"/>
      <c r="X188" s="164"/>
      <c r="Y188" s="163"/>
      <c r="Z188" s="133"/>
      <c r="AA188" s="24"/>
      <c r="AB188" s="163" t="s">
        <v>208</v>
      </c>
      <c r="AC188" s="179"/>
      <c r="AD188" s="134"/>
      <c r="AE188" s="24"/>
      <c r="AF188" s="24"/>
      <c r="AG188" s="22"/>
      <c r="AH188" s="45"/>
      <c r="AI188" s="24"/>
      <c r="AJ188" s="134"/>
      <c r="AK188" s="163"/>
      <c r="AL188" s="22"/>
      <c r="AM188" s="22"/>
      <c r="AN188" s="22"/>
      <c r="AO188" s="22"/>
      <c r="AP188" s="22"/>
      <c r="AQ188" s="22"/>
      <c r="AR188" s="22"/>
      <c r="AS188" s="22"/>
      <c r="AT188" s="134"/>
      <c r="AU188" s="134"/>
      <c r="AV188" s="24"/>
      <c r="AW188" s="208" t="s">
        <v>413</v>
      </c>
      <c r="AX188" s="208"/>
      <c r="AY188" s="208"/>
      <c r="AZ188" s="208"/>
      <c r="BA188" s="208"/>
      <c r="BB188" s="208"/>
      <c r="BC188" s="208"/>
      <c r="BD188" s="208"/>
      <c r="BE188" s="137" t="s">
        <v>825</v>
      </c>
      <c r="BF188" s="137" t="s">
        <v>415</v>
      </c>
      <c r="BG188" s="139" t="s">
        <v>416</v>
      </c>
      <c r="BH188" s="47"/>
      <c r="BI188" s="47"/>
      <c r="BJ188" s="209" t="s">
        <v>413</v>
      </c>
      <c r="BK188" s="46">
        <f t="shared" si="1"/>
        <v>1</v>
      </c>
      <c r="BL188" s="46"/>
      <c r="BM188" s="46"/>
      <c r="BN188" s="46"/>
    </row>
    <row r="189" spans="1:66" ht="89.25" hidden="1" customHeight="1">
      <c r="A189" s="22">
        <v>187</v>
      </c>
      <c r="B189" s="193" t="s">
        <v>861</v>
      </c>
      <c r="C189" s="193" t="str">
        <f t="shared" si="0"/>
        <v>Any chronic or past health conditions?</v>
      </c>
      <c r="D189" s="194" t="s">
        <v>861</v>
      </c>
      <c r="E189" s="22" t="s">
        <v>96</v>
      </c>
      <c r="F189" s="24"/>
      <c r="G189" s="24" t="s">
        <v>772</v>
      </c>
      <c r="H189" s="24"/>
      <c r="I189" s="24">
        <v>1</v>
      </c>
      <c r="J189" s="24" t="s">
        <v>494</v>
      </c>
      <c r="K189" s="24"/>
      <c r="L189" s="24"/>
      <c r="M189" s="24"/>
      <c r="N189" s="24"/>
      <c r="O189" s="24"/>
      <c r="P189" s="133"/>
      <c r="Q189" s="133"/>
      <c r="R189" s="195" t="s">
        <v>861</v>
      </c>
      <c r="S189" s="163" t="s">
        <v>862</v>
      </c>
      <c r="T189" s="163" t="s">
        <v>863</v>
      </c>
      <c r="U189" s="163" t="s">
        <v>238</v>
      </c>
      <c r="V189" s="163"/>
      <c r="W189" s="163"/>
      <c r="X189" s="164"/>
      <c r="Y189" s="163" t="s">
        <v>695</v>
      </c>
      <c r="Z189" s="133"/>
      <c r="AA189" s="24"/>
      <c r="AB189" s="163" t="s">
        <v>208</v>
      </c>
      <c r="AC189" s="179"/>
      <c r="AD189" s="134"/>
      <c r="AE189" s="24"/>
      <c r="AF189" s="24"/>
      <c r="AG189" s="22"/>
      <c r="AH189" s="45"/>
      <c r="AI189" s="24"/>
      <c r="AJ189" s="134"/>
      <c r="AK189" s="193"/>
      <c r="AL189" s="22"/>
      <c r="AM189" s="22"/>
      <c r="AN189" s="22"/>
      <c r="AO189" s="22"/>
      <c r="AP189" s="22"/>
      <c r="AQ189" s="22"/>
      <c r="AR189" s="22"/>
      <c r="AS189" s="22"/>
      <c r="AT189" s="134"/>
      <c r="AU189" s="134"/>
      <c r="AV189" s="210" t="s">
        <v>864</v>
      </c>
      <c r="AW189" s="211" t="s">
        <v>866</v>
      </c>
      <c r="AX189" s="211"/>
      <c r="AY189" s="211"/>
      <c r="AZ189" s="211"/>
      <c r="BA189" s="211"/>
      <c r="BB189" s="211"/>
      <c r="BC189" s="211"/>
      <c r="BD189" s="211"/>
      <c r="BE189" s="137" t="s">
        <v>115</v>
      </c>
      <c r="BF189" s="143" t="s">
        <v>867</v>
      </c>
      <c r="BG189" s="139" t="s">
        <v>868</v>
      </c>
      <c r="BH189" s="47"/>
      <c r="BI189" s="212" t="s">
        <v>864</v>
      </c>
      <c r="BJ189" s="213" t="s">
        <v>866</v>
      </c>
      <c r="BK189" s="46">
        <f t="shared" si="1"/>
        <v>1</v>
      </c>
      <c r="BL189" s="46"/>
      <c r="BM189" s="46"/>
      <c r="BN189" s="46"/>
    </row>
    <row r="190" spans="1:66" ht="12.75" hidden="1" customHeight="1">
      <c r="A190" s="22">
        <v>188</v>
      </c>
      <c r="B190" s="163" t="s">
        <v>553</v>
      </c>
      <c r="C190" s="163" t="e">
        <f t="shared" ca="1" si="0"/>
        <v>#NAME?</v>
      </c>
      <c r="D190" s="163" t="s">
        <v>423</v>
      </c>
      <c r="E190" s="22" t="s">
        <v>180</v>
      </c>
      <c r="F190" s="194" t="s">
        <v>861</v>
      </c>
      <c r="G190" s="24" t="s">
        <v>772</v>
      </c>
      <c r="H190" s="24"/>
      <c r="I190" s="24">
        <v>1</v>
      </c>
      <c r="J190" s="24" t="s">
        <v>494</v>
      </c>
      <c r="K190" s="24"/>
      <c r="L190" s="24"/>
      <c r="M190" s="24"/>
      <c r="N190" s="24"/>
      <c r="O190" s="24"/>
      <c r="P190" s="133"/>
      <c r="Q190" s="133"/>
      <c r="R190" s="195"/>
      <c r="S190" s="163"/>
      <c r="T190" s="163"/>
      <c r="U190" s="163"/>
      <c r="V190" s="163"/>
      <c r="W190" s="163" t="s">
        <v>423</v>
      </c>
      <c r="X190" s="164"/>
      <c r="Y190" s="163"/>
      <c r="Z190" s="133"/>
      <c r="AA190" s="24"/>
      <c r="AB190" s="163"/>
      <c r="AC190" s="179"/>
      <c r="AD190" s="134"/>
      <c r="AE190" s="24"/>
      <c r="AF190" s="24"/>
      <c r="AG190" s="22"/>
      <c r="AH190" s="45"/>
      <c r="AI190" s="24"/>
      <c r="AJ190" s="134"/>
      <c r="AK190" s="163"/>
      <c r="AL190" s="22"/>
      <c r="AM190" s="22"/>
      <c r="AN190" s="22"/>
      <c r="AO190" s="22"/>
      <c r="AP190" s="22"/>
      <c r="AQ190" s="22"/>
      <c r="AR190" s="22"/>
      <c r="AS190" s="22"/>
      <c r="AT190" s="134"/>
      <c r="AU190" s="134"/>
      <c r="AV190" s="135">
        <v>260413007</v>
      </c>
      <c r="AW190" s="147"/>
      <c r="AX190" s="147"/>
      <c r="AY190" s="147"/>
      <c r="AZ190" s="147"/>
      <c r="BA190" s="147"/>
      <c r="BB190" s="147"/>
      <c r="BC190" s="147"/>
      <c r="BD190" s="147"/>
      <c r="BE190" s="137" t="s">
        <v>115</v>
      </c>
      <c r="BF190" s="137" t="s">
        <v>424</v>
      </c>
      <c r="BG190" s="139" t="s">
        <v>425</v>
      </c>
      <c r="BH190" s="47"/>
      <c r="BI190" s="214">
        <v>260413007</v>
      </c>
      <c r="BJ190" s="216"/>
      <c r="BK190" s="46">
        <f t="shared" si="1"/>
        <v>1</v>
      </c>
      <c r="BL190" s="46"/>
      <c r="BM190" s="46"/>
      <c r="BN190" s="46"/>
    </row>
    <row r="191" spans="1:66" ht="25.5" hidden="1" customHeight="1">
      <c r="A191" s="22">
        <v>189</v>
      </c>
      <c r="B191" s="163" t="s">
        <v>701</v>
      </c>
      <c r="C191" s="163" t="e">
        <f t="shared" ca="1" si="0"/>
        <v>#NAME?</v>
      </c>
      <c r="D191" s="163" t="s">
        <v>500</v>
      </c>
      <c r="E191" s="22" t="s">
        <v>180</v>
      </c>
      <c r="F191" s="194" t="s">
        <v>861</v>
      </c>
      <c r="G191" s="24" t="s">
        <v>772</v>
      </c>
      <c r="H191" s="24"/>
      <c r="I191" s="24">
        <v>1</v>
      </c>
      <c r="J191" s="24" t="s">
        <v>494</v>
      </c>
      <c r="K191" s="24"/>
      <c r="L191" s="24"/>
      <c r="M191" s="24"/>
      <c r="N191" s="24"/>
      <c r="O191" s="24"/>
      <c r="P191" s="133"/>
      <c r="Q191" s="133"/>
      <c r="R191" s="195"/>
      <c r="S191" s="163"/>
      <c r="T191" s="163"/>
      <c r="U191" s="163"/>
      <c r="V191" s="163"/>
      <c r="W191" s="163" t="s">
        <v>500</v>
      </c>
      <c r="X191" s="164"/>
      <c r="Y191" s="163"/>
      <c r="Z191" s="133"/>
      <c r="AA191" s="24"/>
      <c r="AB191" s="163"/>
      <c r="AC191" s="179"/>
      <c r="AD191" s="134"/>
      <c r="AE191" s="24"/>
      <c r="AF191" s="24"/>
      <c r="AG191" s="22"/>
      <c r="AH191" s="45"/>
      <c r="AI191" s="24"/>
      <c r="AJ191" s="134"/>
      <c r="AK191" s="163"/>
      <c r="AL191" s="22"/>
      <c r="AM191" s="22"/>
      <c r="AN191" s="22"/>
      <c r="AO191" s="22"/>
      <c r="AP191" s="22"/>
      <c r="AQ191" s="22"/>
      <c r="AR191" s="22"/>
      <c r="AS191" s="22"/>
      <c r="AT191" s="134"/>
      <c r="AU191" s="134"/>
      <c r="AV191" s="135">
        <v>261665006</v>
      </c>
      <c r="AW191" s="133"/>
      <c r="AX191" s="133"/>
      <c r="AY191" s="133"/>
      <c r="AZ191" s="133"/>
      <c r="BA191" s="133"/>
      <c r="BB191" s="133"/>
      <c r="BC191" s="133"/>
      <c r="BD191" s="133"/>
      <c r="BE191" s="137" t="s">
        <v>115</v>
      </c>
      <c r="BF191" s="137" t="s">
        <v>501</v>
      </c>
      <c r="BG191" s="139" t="s">
        <v>503</v>
      </c>
      <c r="BH191" s="47"/>
      <c r="BI191" s="145">
        <v>261665006</v>
      </c>
      <c r="BJ191" s="47"/>
      <c r="BK191" s="46">
        <f t="shared" si="1"/>
        <v>1</v>
      </c>
      <c r="BL191" s="46"/>
      <c r="BM191" s="46"/>
      <c r="BN191" s="46"/>
    </row>
    <row r="192" spans="1:66" ht="25.5" hidden="1" customHeight="1">
      <c r="A192" s="22">
        <v>190</v>
      </c>
      <c r="B192" s="163" t="s">
        <v>1141</v>
      </c>
      <c r="C192" s="163" t="e">
        <f t="shared" ca="1" si="0"/>
        <v>#NAME?</v>
      </c>
      <c r="D192" s="163" t="s">
        <v>869</v>
      </c>
      <c r="E192" s="22" t="s">
        <v>180</v>
      </c>
      <c r="F192" s="194" t="s">
        <v>861</v>
      </c>
      <c r="G192" s="24" t="s">
        <v>772</v>
      </c>
      <c r="H192" s="24"/>
      <c r="I192" s="24">
        <v>1</v>
      </c>
      <c r="J192" s="24" t="s">
        <v>494</v>
      </c>
      <c r="K192" s="24"/>
      <c r="L192" s="24"/>
      <c r="M192" s="24"/>
      <c r="N192" s="24"/>
      <c r="O192" s="24"/>
      <c r="P192" s="133"/>
      <c r="Q192" s="133"/>
      <c r="R192" s="195"/>
      <c r="S192" s="163"/>
      <c r="T192" s="163"/>
      <c r="U192" s="163"/>
      <c r="V192" s="163"/>
      <c r="W192" s="163" t="s">
        <v>869</v>
      </c>
      <c r="X192" s="164"/>
      <c r="Y192" s="163"/>
      <c r="Z192" s="133"/>
      <c r="AA192" s="24"/>
      <c r="AB192" s="163"/>
      <c r="AC192" s="179"/>
      <c r="AD192" s="134"/>
      <c r="AE192" s="24"/>
      <c r="AF192" s="24"/>
      <c r="AG192" s="22"/>
      <c r="AH192" s="45"/>
      <c r="AI192" s="24"/>
      <c r="AJ192" s="134"/>
      <c r="AK192" s="163"/>
      <c r="AL192" s="22"/>
      <c r="AM192" s="22"/>
      <c r="AN192" s="22"/>
      <c r="AO192" s="22"/>
      <c r="AP192" s="22"/>
      <c r="AQ192" s="22"/>
      <c r="AR192" s="22"/>
      <c r="AS192" s="22"/>
      <c r="AT192" s="134"/>
      <c r="AU192" s="134"/>
      <c r="AV192" s="156">
        <v>85828009</v>
      </c>
      <c r="AW192" s="133"/>
      <c r="AX192" s="133"/>
      <c r="AY192" s="133"/>
      <c r="AZ192" s="133"/>
      <c r="BA192" s="133"/>
      <c r="BB192" s="133"/>
      <c r="BC192" s="133"/>
      <c r="BD192" s="133"/>
      <c r="BE192" s="137" t="s">
        <v>115</v>
      </c>
      <c r="BF192" s="137" t="s">
        <v>870</v>
      </c>
      <c r="BG192" s="167" t="s">
        <v>871</v>
      </c>
      <c r="BH192" s="64"/>
      <c r="BI192" s="157">
        <v>85828009</v>
      </c>
      <c r="BJ192" s="64"/>
      <c r="BK192" s="46">
        <f t="shared" si="1"/>
        <v>1</v>
      </c>
      <c r="BL192" s="46"/>
      <c r="BM192" s="46"/>
      <c r="BN192" s="46"/>
    </row>
    <row r="193" spans="1:66" ht="12.75" hidden="1" customHeight="1">
      <c r="A193" s="22">
        <v>191</v>
      </c>
      <c r="B193" s="163" t="s">
        <v>1142</v>
      </c>
      <c r="C193" s="163" t="e">
        <f t="shared" ca="1" si="0"/>
        <v>#NAME?</v>
      </c>
      <c r="D193" s="163" t="s">
        <v>872</v>
      </c>
      <c r="E193" s="22" t="s">
        <v>180</v>
      </c>
      <c r="F193" s="194" t="s">
        <v>861</v>
      </c>
      <c r="G193" s="24" t="s">
        <v>772</v>
      </c>
      <c r="H193" s="24"/>
      <c r="I193" s="24">
        <v>1</v>
      </c>
      <c r="J193" s="24" t="s">
        <v>494</v>
      </c>
      <c r="K193" s="24"/>
      <c r="L193" s="24"/>
      <c r="M193" s="24"/>
      <c r="N193" s="24"/>
      <c r="O193" s="24"/>
      <c r="P193" s="133"/>
      <c r="Q193" s="133"/>
      <c r="R193" s="195"/>
      <c r="S193" s="163"/>
      <c r="T193" s="163"/>
      <c r="U193" s="163"/>
      <c r="V193" s="163"/>
      <c r="W193" s="163" t="s">
        <v>872</v>
      </c>
      <c r="X193" s="164"/>
      <c r="Y193" s="163"/>
      <c r="Z193" s="133"/>
      <c r="AA193" s="24"/>
      <c r="AB193" s="163"/>
      <c r="AC193" s="179"/>
      <c r="AD193" s="134"/>
      <c r="AE193" s="24"/>
      <c r="AF193" s="24"/>
      <c r="AG193" s="22"/>
      <c r="AH193" s="45"/>
      <c r="AI193" s="24"/>
      <c r="AJ193" s="134"/>
      <c r="AK193" s="163"/>
      <c r="AL193" s="22"/>
      <c r="AM193" s="22"/>
      <c r="AN193" s="22"/>
      <c r="AO193" s="22"/>
      <c r="AP193" s="22"/>
      <c r="AQ193" s="22"/>
      <c r="AR193" s="22"/>
      <c r="AS193" s="22"/>
      <c r="AT193" s="151"/>
      <c r="AU193" s="151"/>
      <c r="AV193" s="152"/>
      <c r="AW193" s="165"/>
      <c r="AX193" s="165"/>
      <c r="AY193" s="165"/>
      <c r="AZ193" s="165"/>
      <c r="BA193" s="165"/>
      <c r="BB193" s="165"/>
      <c r="BC193" s="165"/>
      <c r="BD193" s="165"/>
      <c r="BE193" s="137" t="s">
        <v>115</v>
      </c>
      <c r="BF193" s="137" t="s">
        <v>873</v>
      </c>
      <c r="BG193" s="167" t="s">
        <v>874</v>
      </c>
      <c r="BH193" s="153"/>
      <c r="BI193" s="154"/>
      <c r="BJ193" s="154"/>
      <c r="BK193" s="46">
        <f t="shared" si="1"/>
        <v>1</v>
      </c>
      <c r="BL193" s="46"/>
      <c r="BM193" s="46"/>
      <c r="BN193" s="46"/>
    </row>
    <row r="194" spans="1:66" ht="25.5" hidden="1" customHeight="1">
      <c r="A194" s="22">
        <v>192</v>
      </c>
      <c r="B194" s="163" t="s">
        <v>1143</v>
      </c>
      <c r="C194" s="163" t="e">
        <f t="shared" ca="1" si="0"/>
        <v>#NAME?</v>
      </c>
      <c r="D194" s="163" t="s">
        <v>875</v>
      </c>
      <c r="E194" s="22" t="s">
        <v>180</v>
      </c>
      <c r="F194" s="194" t="s">
        <v>861</v>
      </c>
      <c r="G194" s="24" t="s">
        <v>772</v>
      </c>
      <c r="H194" s="24"/>
      <c r="I194" s="24">
        <v>1</v>
      </c>
      <c r="J194" s="24" t="s">
        <v>494</v>
      </c>
      <c r="K194" s="24"/>
      <c r="L194" s="24"/>
      <c r="M194" s="24"/>
      <c r="N194" s="24"/>
      <c r="O194" s="24"/>
      <c r="P194" s="133"/>
      <c r="Q194" s="133"/>
      <c r="R194" s="195"/>
      <c r="S194" s="163"/>
      <c r="T194" s="163"/>
      <c r="U194" s="163"/>
      <c r="V194" s="163"/>
      <c r="W194" s="163" t="s">
        <v>875</v>
      </c>
      <c r="X194" s="164"/>
      <c r="Y194" s="163"/>
      <c r="Z194" s="133"/>
      <c r="AA194" s="24"/>
      <c r="AB194" s="163"/>
      <c r="AC194" s="179"/>
      <c r="AD194" s="134"/>
      <c r="AE194" s="24"/>
      <c r="AF194" s="24"/>
      <c r="AG194" s="22"/>
      <c r="AH194" s="45"/>
      <c r="AI194" s="24"/>
      <c r="AJ194" s="134"/>
      <c r="AK194" s="163"/>
      <c r="AL194" s="22"/>
      <c r="AM194" s="22"/>
      <c r="AN194" s="22"/>
      <c r="AO194" s="22"/>
      <c r="AP194" s="22"/>
      <c r="AQ194" s="22"/>
      <c r="AR194" s="22"/>
      <c r="AS194" s="22"/>
      <c r="AT194" s="191" t="s">
        <v>876</v>
      </c>
      <c r="AU194" s="134"/>
      <c r="AV194" s="156">
        <v>266987004</v>
      </c>
      <c r="AW194" s="133"/>
      <c r="AX194" s="133"/>
      <c r="AY194" s="133"/>
      <c r="AZ194" s="133"/>
      <c r="BA194" s="133"/>
      <c r="BB194" s="133"/>
      <c r="BC194" s="133"/>
      <c r="BD194" s="133"/>
      <c r="BE194" s="137" t="s">
        <v>115</v>
      </c>
      <c r="BF194" s="137" t="s">
        <v>877</v>
      </c>
      <c r="BG194" s="139" t="s">
        <v>878</v>
      </c>
      <c r="BH194" s="192" t="s">
        <v>876</v>
      </c>
      <c r="BI194" s="157">
        <v>266987004</v>
      </c>
      <c r="BJ194" s="47"/>
      <c r="BK194" s="46">
        <f t="shared" si="1"/>
        <v>1</v>
      </c>
      <c r="BL194" s="46"/>
      <c r="BM194" s="46"/>
      <c r="BN194" s="46"/>
    </row>
    <row r="195" spans="1:66" ht="25.5" hidden="1" customHeight="1">
      <c r="A195" s="22">
        <v>193</v>
      </c>
      <c r="B195" s="163" t="s">
        <v>1144</v>
      </c>
      <c r="C195" s="163" t="e">
        <f t="shared" ca="1" si="0"/>
        <v>#NAME?</v>
      </c>
      <c r="D195" s="163" t="s">
        <v>879</v>
      </c>
      <c r="E195" s="22" t="s">
        <v>180</v>
      </c>
      <c r="F195" s="194" t="s">
        <v>861</v>
      </c>
      <c r="G195" s="24" t="s">
        <v>772</v>
      </c>
      <c r="H195" s="24"/>
      <c r="I195" s="24">
        <v>1</v>
      </c>
      <c r="J195" s="24" t="s">
        <v>494</v>
      </c>
      <c r="K195" s="24"/>
      <c r="L195" s="24"/>
      <c r="M195" s="24"/>
      <c r="N195" s="24"/>
      <c r="O195" s="24"/>
      <c r="P195" s="133"/>
      <c r="Q195" s="133"/>
      <c r="R195" s="195"/>
      <c r="S195" s="163"/>
      <c r="T195" s="163"/>
      <c r="U195" s="163"/>
      <c r="V195" s="163"/>
      <c r="W195" s="163" t="s">
        <v>879</v>
      </c>
      <c r="X195" s="164"/>
      <c r="Y195" s="163"/>
      <c r="Z195" s="133"/>
      <c r="AA195" s="24"/>
      <c r="AB195" s="163"/>
      <c r="AC195" s="179"/>
      <c r="AD195" s="134"/>
      <c r="AE195" s="24"/>
      <c r="AF195" s="24"/>
      <c r="AG195" s="22"/>
      <c r="AH195" s="45"/>
      <c r="AI195" s="24"/>
      <c r="AJ195" s="134"/>
      <c r="AK195" s="163"/>
      <c r="AL195" s="22"/>
      <c r="AM195" s="22"/>
      <c r="AN195" s="22"/>
      <c r="AO195" s="22"/>
      <c r="AP195" s="22"/>
      <c r="AQ195" s="22"/>
      <c r="AR195" s="22"/>
      <c r="AS195" s="22"/>
      <c r="AT195" s="218" t="s">
        <v>880</v>
      </c>
      <c r="AU195" s="134"/>
      <c r="AV195" s="135">
        <v>73211009</v>
      </c>
      <c r="AW195" s="133"/>
      <c r="AX195" s="133"/>
      <c r="AY195" s="133"/>
      <c r="AZ195" s="133"/>
      <c r="BA195" s="133"/>
      <c r="BB195" s="133"/>
      <c r="BC195" s="133"/>
      <c r="BD195" s="133"/>
      <c r="BE195" s="137" t="s">
        <v>115</v>
      </c>
      <c r="BF195" s="137" t="s">
        <v>881</v>
      </c>
      <c r="BG195" s="139" t="s">
        <v>882</v>
      </c>
      <c r="BH195" s="98" t="s">
        <v>880</v>
      </c>
      <c r="BI195" s="140">
        <v>73211009</v>
      </c>
      <c r="BJ195" s="47"/>
      <c r="BK195" s="46">
        <f t="shared" si="1"/>
        <v>1</v>
      </c>
      <c r="BL195" s="46"/>
      <c r="BM195" s="46"/>
      <c r="BN195" s="46"/>
    </row>
    <row r="196" spans="1:66" ht="12.75" hidden="1" customHeight="1">
      <c r="A196" s="22">
        <v>194</v>
      </c>
      <c r="B196" s="163" t="s">
        <v>1145</v>
      </c>
      <c r="C196" s="163" t="e">
        <f t="shared" ca="1" si="0"/>
        <v>#NAME?</v>
      </c>
      <c r="D196" s="163" t="s">
        <v>883</v>
      </c>
      <c r="E196" s="22" t="s">
        <v>180</v>
      </c>
      <c r="F196" s="194" t="s">
        <v>861</v>
      </c>
      <c r="G196" s="24" t="s">
        <v>772</v>
      </c>
      <c r="H196" s="24"/>
      <c r="I196" s="24">
        <v>1</v>
      </c>
      <c r="J196" s="24" t="s">
        <v>494</v>
      </c>
      <c r="K196" s="24"/>
      <c r="L196" s="24"/>
      <c r="M196" s="24"/>
      <c r="N196" s="24"/>
      <c r="O196" s="24"/>
      <c r="P196" s="133"/>
      <c r="Q196" s="133"/>
      <c r="R196" s="195"/>
      <c r="S196" s="163"/>
      <c r="T196" s="163"/>
      <c r="U196" s="163"/>
      <c r="V196" s="163"/>
      <c r="W196" s="163" t="s">
        <v>883</v>
      </c>
      <c r="X196" s="164"/>
      <c r="Y196" s="163"/>
      <c r="Z196" s="133"/>
      <c r="AA196" s="24"/>
      <c r="AB196" s="163"/>
      <c r="AC196" s="179"/>
      <c r="AD196" s="134"/>
      <c r="AE196" s="24"/>
      <c r="AF196" s="24"/>
      <c r="AG196" s="22"/>
      <c r="AH196" s="45"/>
      <c r="AI196" s="24"/>
      <c r="AJ196" s="134"/>
      <c r="AK196" s="163"/>
      <c r="AL196" s="22"/>
      <c r="AM196" s="22"/>
      <c r="AN196" s="22"/>
      <c r="AO196" s="22"/>
      <c r="AP196" s="22"/>
      <c r="AQ196" s="22"/>
      <c r="AR196" s="22"/>
      <c r="AS196" s="22"/>
      <c r="AT196" s="147" t="s">
        <v>884</v>
      </c>
      <c r="AU196" s="134"/>
      <c r="AV196" s="135">
        <v>84757009</v>
      </c>
      <c r="AW196" s="133"/>
      <c r="AX196" s="133"/>
      <c r="AY196" s="133"/>
      <c r="AZ196" s="133"/>
      <c r="BA196" s="133"/>
      <c r="BB196" s="133"/>
      <c r="BC196" s="133"/>
      <c r="BD196" s="133"/>
      <c r="BE196" s="137" t="s">
        <v>115</v>
      </c>
      <c r="BF196" s="137" t="s">
        <v>885</v>
      </c>
      <c r="BG196" s="139" t="s">
        <v>886</v>
      </c>
      <c r="BH196" s="149" t="s">
        <v>884</v>
      </c>
      <c r="BI196" s="140">
        <v>84757009</v>
      </c>
      <c r="BJ196" s="47"/>
      <c r="BK196" s="46">
        <f t="shared" si="1"/>
        <v>1</v>
      </c>
      <c r="BL196" s="46"/>
      <c r="BM196" s="46"/>
      <c r="BN196" s="46"/>
    </row>
    <row r="197" spans="1:66" ht="25.5" hidden="1" customHeight="1">
      <c r="A197" s="22">
        <v>195</v>
      </c>
      <c r="B197" s="163" t="s">
        <v>1146</v>
      </c>
      <c r="C197" s="163" t="e">
        <f t="shared" ca="1" si="0"/>
        <v>#NAME?</v>
      </c>
      <c r="D197" s="163" t="s">
        <v>887</v>
      </c>
      <c r="E197" s="22" t="s">
        <v>180</v>
      </c>
      <c r="F197" s="194" t="s">
        <v>861</v>
      </c>
      <c r="G197" s="24" t="s">
        <v>772</v>
      </c>
      <c r="H197" s="24"/>
      <c r="I197" s="24">
        <v>1</v>
      </c>
      <c r="J197" s="24" t="s">
        <v>494</v>
      </c>
      <c r="K197" s="24"/>
      <c r="L197" s="24"/>
      <c r="M197" s="24"/>
      <c r="N197" s="24"/>
      <c r="O197" s="24"/>
      <c r="P197" s="133"/>
      <c r="Q197" s="133"/>
      <c r="R197" s="195"/>
      <c r="S197" s="163"/>
      <c r="T197" s="163"/>
      <c r="U197" s="163"/>
      <c r="V197" s="163"/>
      <c r="W197" s="163" t="s">
        <v>887</v>
      </c>
      <c r="X197" s="164"/>
      <c r="Y197" s="163"/>
      <c r="Z197" s="133"/>
      <c r="AA197" s="24"/>
      <c r="AB197" s="163"/>
      <c r="AC197" s="179"/>
      <c r="AD197" s="134"/>
      <c r="AE197" s="24"/>
      <c r="AF197" s="24"/>
      <c r="AG197" s="22"/>
      <c r="AH197" s="45"/>
      <c r="AI197" s="24"/>
      <c r="AJ197" s="134"/>
      <c r="AK197" s="163"/>
      <c r="AL197" s="22"/>
      <c r="AM197" s="22"/>
      <c r="AN197" s="22"/>
      <c r="AO197" s="22"/>
      <c r="AP197" s="22"/>
      <c r="AQ197" s="22"/>
      <c r="AR197" s="22"/>
      <c r="AS197" s="22"/>
      <c r="AT197" s="134"/>
      <c r="AU197" s="134"/>
      <c r="AV197" s="135">
        <v>165816005</v>
      </c>
      <c r="AW197" s="133"/>
      <c r="AX197" s="133"/>
      <c r="AY197" s="133"/>
      <c r="AZ197" s="133"/>
      <c r="BA197" s="133"/>
      <c r="BB197" s="133"/>
      <c r="BC197" s="133"/>
      <c r="BD197" s="133"/>
      <c r="BE197" s="137" t="s">
        <v>115</v>
      </c>
      <c r="BF197" s="137" t="s">
        <v>888</v>
      </c>
      <c r="BG197" s="139" t="s">
        <v>889</v>
      </c>
      <c r="BH197" s="64"/>
      <c r="BI197" s="140">
        <v>165816005</v>
      </c>
      <c r="BJ197" s="47"/>
      <c r="BK197" s="46">
        <f t="shared" si="1"/>
        <v>1</v>
      </c>
      <c r="BL197" s="46"/>
      <c r="BM197" s="46"/>
      <c r="BN197" s="46"/>
    </row>
    <row r="198" spans="1:66" ht="25.5" hidden="1" customHeight="1">
      <c r="A198" s="22">
        <v>196</v>
      </c>
      <c r="B198" s="163" t="s">
        <v>1147</v>
      </c>
      <c r="C198" s="163" t="e">
        <f t="shared" ca="1" si="0"/>
        <v>#NAME?</v>
      </c>
      <c r="D198" s="163" t="s">
        <v>890</v>
      </c>
      <c r="E198" s="22" t="s">
        <v>180</v>
      </c>
      <c r="F198" s="194" t="s">
        <v>861</v>
      </c>
      <c r="G198" s="24" t="s">
        <v>772</v>
      </c>
      <c r="H198" s="24"/>
      <c r="I198" s="24">
        <v>1</v>
      </c>
      <c r="J198" s="24" t="s">
        <v>494</v>
      </c>
      <c r="K198" s="24"/>
      <c r="L198" s="24"/>
      <c r="M198" s="24"/>
      <c r="N198" s="24"/>
      <c r="O198" s="24"/>
      <c r="P198" s="133"/>
      <c r="Q198" s="133"/>
      <c r="R198" s="195"/>
      <c r="S198" s="163"/>
      <c r="T198" s="163"/>
      <c r="U198" s="163"/>
      <c r="V198" s="163"/>
      <c r="W198" s="163" t="s">
        <v>890</v>
      </c>
      <c r="X198" s="164"/>
      <c r="Y198" s="163"/>
      <c r="Z198" s="133"/>
      <c r="AA198" s="24"/>
      <c r="AB198" s="163"/>
      <c r="AC198" s="179"/>
      <c r="AD198" s="134"/>
      <c r="AE198" s="24"/>
      <c r="AF198" s="24"/>
      <c r="AG198" s="22"/>
      <c r="AH198" s="45"/>
      <c r="AI198" s="24"/>
      <c r="AJ198" s="134"/>
      <c r="AK198" s="163"/>
      <c r="AL198" s="22"/>
      <c r="AM198" s="22"/>
      <c r="AN198" s="22"/>
      <c r="AO198" s="22"/>
      <c r="AP198" s="22"/>
      <c r="AQ198" s="22"/>
      <c r="AR198" s="22"/>
      <c r="AS198" s="22"/>
      <c r="AT198" s="185" t="s">
        <v>891</v>
      </c>
      <c r="AU198" s="134"/>
      <c r="AV198" s="135">
        <v>38341003</v>
      </c>
      <c r="AW198" s="133"/>
      <c r="AX198" s="133"/>
      <c r="AY198" s="133"/>
      <c r="AZ198" s="133"/>
      <c r="BA198" s="133"/>
      <c r="BB198" s="133"/>
      <c r="BC198" s="133"/>
      <c r="BD198" s="133"/>
      <c r="BE198" s="137" t="s">
        <v>115</v>
      </c>
      <c r="BF198" s="143" t="s">
        <v>892</v>
      </c>
      <c r="BG198" s="139" t="s">
        <v>893</v>
      </c>
      <c r="BH198" s="186" t="s">
        <v>891</v>
      </c>
      <c r="BI198" s="140">
        <v>38341003</v>
      </c>
      <c r="BJ198" s="47"/>
      <c r="BK198" s="46">
        <f t="shared" si="1"/>
        <v>1</v>
      </c>
      <c r="BL198" s="46"/>
      <c r="BM198" s="46"/>
      <c r="BN198" s="46"/>
    </row>
    <row r="199" spans="1:66" ht="25.5" hidden="1" customHeight="1">
      <c r="A199" s="22">
        <v>197</v>
      </c>
      <c r="B199" s="163" t="s">
        <v>1148</v>
      </c>
      <c r="C199" s="163" t="e">
        <f t="shared" ca="1" si="0"/>
        <v>#NAME?</v>
      </c>
      <c r="D199" s="163" t="s">
        <v>894</v>
      </c>
      <c r="E199" s="22" t="s">
        <v>180</v>
      </c>
      <c r="F199" s="194" t="s">
        <v>861</v>
      </c>
      <c r="G199" s="24" t="s">
        <v>772</v>
      </c>
      <c r="H199" s="24"/>
      <c r="I199" s="24">
        <v>1</v>
      </c>
      <c r="J199" s="24" t="s">
        <v>494</v>
      </c>
      <c r="K199" s="24"/>
      <c r="L199" s="24"/>
      <c r="M199" s="24"/>
      <c r="N199" s="24"/>
      <c r="O199" s="24"/>
      <c r="P199" s="133"/>
      <c r="Q199" s="133"/>
      <c r="R199" s="195"/>
      <c r="S199" s="163"/>
      <c r="T199" s="163"/>
      <c r="U199" s="163"/>
      <c r="V199" s="163"/>
      <c r="W199" s="163" t="s">
        <v>894</v>
      </c>
      <c r="X199" s="164"/>
      <c r="Y199" s="163"/>
      <c r="Z199" s="133"/>
      <c r="AA199" s="24"/>
      <c r="AB199" s="163"/>
      <c r="AC199" s="179"/>
      <c r="AD199" s="134"/>
      <c r="AE199" s="24"/>
      <c r="AF199" s="24"/>
      <c r="AG199" s="22"/>
      <c r="AH199" s="45"/>
      <c r="AI199" s="24"/>
      <c r="AJ199" s="134"/>
      <c r="AK199" s="163"/>
      <c r="AL199" s="22"/>
      <c r="AM199" s="22"/>
      <c r="AN199" s="22"/>
      <c r="AO199" s="22"/>
      <c r="AP199" s="22"/>
      <c r="AQ199" s="22"/>
      <c r="AR199" s="22"/>
      <c r="AS199" s="22"/>
      <c r="AT199" s="191" t="s">
        <v>895</v>
      </c>
      <c r="AU199" s="134"/>
      <c r="AV199" s="135">
        <v>90708001</v>
      </c>
      <c r="AW199" s="133"/>
      <c r="AX199" s="133"/>
      <c r="AY199" s="133"/>
      <c r="AZ199" s="133"/>
      <c r="BA199" s="133"/>
      <c r="BB199" s="133"/>
      <c r="BC199" s="133"/>
      <c r="BD199" s="133"/>
      <c r="BE199" s="137" t="s">
        <v>115</v>
      </c>
      <c r="BF199" s="137" t="s">
        <v>896</v>
      </c>
      <c r="BG199" s="139" t="s">
        <v>897</v>
      </c>
      <c r="BH199" s="192" t="s">
        <v>895</v>
      </c>
      <c r="BI199" s="140">
        <v>90708001</v>
      </c>
      <c r="BJ199" s="47"/>
      <c r="BK199" s="46">
        <f t="shared" si="1"/>
        <v>1</v>
      </c>
      <c r="BL199" s="46"/>
      <c r="BM199" s="46"/>
      <c r="BN199" s="46"/>
    </row>
    <row r="200" spans="1:66" ht="25.5" hidden="1" customHeight="1">
      <c r="A200" s="22">
        <v>198</v>
      </c>
      <c r="B200" s="163" t="s">
        <v>535</v>
      </c>
      <c r="C200" s="163" t="e">
        <f t="shared" ca="1" si="0"/>
        <v>#NAME?</v>
      </c>
      <c r="D200" s="163" t="s">
        <v>405</v>
      </c>
      <c r="E200" s="22" t="s">
        <v>180</v>
      </c>
      <c r="F200" s="194" t="s">
        <v>861</v>
      </c>
      <c r="G200" s="24" t="s">
        <v>772</v>
      </c>
      <c r="H200" s="24"/>
      <c r="I200" s="24">
        <v>1</v>
      </c>
      <c r="J200" s="24" t="s">
        <v>494</v>
      </c>
      <c r="K200" s="24"/>
      <c r="L200" s="24"/>
      <c r="M200" s="24"/>
      <c r="N200" s="24"/>
      <c r="O200" s="24"/>
      <c r="P200" s="133"/>
      <c r="Q200" s="133"/>
      <c r="R200" s="195"/>
      <c r="S200" s="163"/>
      <c r="T200" s="163"/>
      <c r="U200" s="163"/>
      <c r="V200" s="163"/>
      <c r="W200" s="163" t="s">
        <v>405</v>
      </c>
      <c r="X200" s="164"/>
      <c r="Y200" s="163"/>
      <c r="Z200" s="133"/>
      <c r="AA200" s="24"/>
      <c r="AB200" s="163"/>
      <c r="AC200" s="179"/>
      <c r="AD200" s="134"/>
      <c r="AE200" s="24"/>
      <c r="AF200" s="24"/>
      <c r="AG200" s="22"/>
      <c r="AH200" s="45"/>
      <c r="AI200" s="24"/>
      <c r="AJ200" s="134"/>
      <c r="AK200" s="163"/>
      <c r="AL200" s="22"/>
      <c r="AM200" s="22"/>
      <c r="AN200" s="22"/>
      <c r="AO200" s="22"/>
      <c r="AP200" s="22"/>
      <c r="AQ200" s="22"/>
      <c r="AR200" s="22"/>
      <c r="AS200" s="22"/>
      <c r="AT200" s="134"/>
      <c r="AU200" s="134"/>
      <c r="AV200" s="108" t="s">
        <v>745</v>
      </c>
      <c r="AW200" s="133"/>
      <c r="AX200" s="133"/>
      <c r="AY200" s="133"/>
      <c r="AZ200" s="133"/>
      <c r="BA200" s="133"/>
      <c r="BB200" s="133"/>
      <c r="BC200" s="133"/>
      <c r="BD200" s="133"/>
      <c r="BE200" s="137" t="s">
        <v>115</v>
      </c>
      <c r="BF200" s="137" t="s">
        <v>406</v>
      </c>
      <c r="BG200" s="139" t="s">
        <v>407</v>
      </c>
      <c r="BH200" s="47"/>
      <c r="BI200" s="171" t="s">
        <v>745</v>
      </c>
      <c r="BJ200" s="47"/>
      <c r="BK200" s="46">
        <f t="shared" si="1"/>
        <v>1</v>
      </c>
      <c r="BL200" s="46"/>
      <c r="BM200" s="46"/>
      <c r="BN200" s="46"/>
    </row>
    <row r="201" spans="1:66" ht="38.25" hidden="1" customHeight="1">
      <c r="A201" s="22">
        <v>199</v>
      </c>
      <c r="B201" s="163" t="s">
        <v>898</v>
      </c>
      <c r="C201" s="163" t="str">
        <f t="shared" si="0"/>
        <v>Any chronic or past health conditions? - Specify</v>
      </c>
      <c r="D201" s="163" t="s">
        <v>898</v>
      </c>
      <c r="E201" s="22" t="s">
        <v>96</v>
      </c>
      <c r="F201" s="24"/>
      <c r="G201" s="24" t="s">
        <v>772</v>
      </c>
      <c r="H201" s="24"/>
      <c r="I201" s="24">
        <v>1</v>
      </c>
      <c r="J201" s="24" t="s">
        <v>494</v>
      </c>
      <c r="K201" s="24"/>
      <c r="L201" s="24"/>
      <c r="M201" s="24"/>
      <c r="N201" s="24"/>
      <c r="O201" s="24"/>
      <c r="P201" s="133"/>
      <c r="Q201" s="133"/>
      <c r="R201" s="162" t="s">
        <v>409</v>
      </c>
      <c r="S201" s="163" t="s">
        <v>899</v>
      </c>
      <c r="T201" s="163" t="s">
        <v>900</v>
      </c>
      <c r="U201" s="163" t="s">
        <v>111</v>
      </c>
      <c r="V201" s="163"/>
      <c r="W201" s="163"/>
      <c r="X201" s="164"/>
      <c r="Y201" s="163"/>
      <c r="Z201" s="133"/>
      <c r="AA201" s="24"/>
      <c r="AB201" s="163" t="s">
        <v>208</v>
      </c>
      <c r="AC201" s="179"/>
      <c r="AD201" s="134"/>
      <c r="AE201" s="24"/>
      <c r="AF201" s="24"/>
      <c r="AG201" s="22"/>
      <c r="AH201" s="45"/>
      <c r="AI201" s="24"/>
      <c r="AJ201" s="134"/>
      <c r="AK201" s="163"/>
      <c r="AL201" s="22"/>
      <c r="AM201" s="22"/>
      <c r="AN201" s="22"/>
      <c r="AO201" s="22"/>
      <c r="AP201" s="22"/>
      <c r="AQ201" s="22"/>
      <c r="AR201" s="22"/>
      <c r="AS201" s="22"/>
      <c r="AT201" s="134"/>
      <c r="AU201" s="134"/>
      <c r="AV201" s="219"/>
      <c r="AW201" s="133"/>
      <c r="AX201" s="133"/>
      <c r="AY201" s="133"/>
      <c r="AZ201" s="133"/>
      <c r="BA201" s="133"/>
      <c r="BB201" s="133"/>
      <c r="BC201" s="133"/>
      <c r="BD201" s="133"/>
      <c r="BE201" s="137" t="s">
        <v>115</v>
      </c>
      <c r="BF201" s="137" t="s">
        <v>115</v>
      </c>
      <c r="BG201" s="139" t="s">
        <v>115</v>
      </c>
      <c r="BH201" s="47"/>
      <c r="BI201" s="220"/>
      <c r="BJ201" s="47"/>
      <c r="BK201" s="46">
        <f t="shared" si="1"/>
        <v>1</v>
      </c>
      <c r="BL201" s="46"/>
      <c r="BM201" s="46"/>
      <c r="BN201" s="46"/>
    </row>
    <row r="202" spans="1:66" ht="38.25" hidden="1" customHeight="1">
      <c r="A202" s="22">
        <v>200</v>
      </c>
      <c r="B202" s="163" t="s">
        <v>901</v>
      </c>
      <c r="C202" s="163" t="str">
        <f t="shared" si="0"/>
        <v>HIV diagnosis date</v>
      </c>
      <c r="D202" s="163" t="s">
        <v>901</v>
      </c>
      <c r="E202" s="22" t="s">
        <v>96</v>
      </c>
      <c r="F202" s="24"/>
      <c r="G202" s="24" t="s">
        <v>772</v>
      </c>
      <c r="H202" s="24"/>
      <c r="I202" s="24">
        <v>1</v>
      </c>
      <c r="J202" s="24" t="s">
        <v>494</v>
      </c>
      <c r="K202" s="24"/>
      <c r="L202" s="24"/>
      <c r="M202" s="24"/>
      <c r="N202" s="24"/>
      <c r="O202" s="24"/>
      <c r="P202" s="133"/>
      <c r="Q202" s="133"/>
      <c r="R202" s="162" t="s">
        <v>901</v>
      </c>
      <c r="S202" s="163" t="s">
        <v>902</v>
      </c>
      <c r="T202" s="163" t="s">
        <v>903</v>
      </c>
      <c r="U202" s="163" t="s">
        <v>140</v>
      </c>
      <c r="V202" s="193"/>
      <c r="W202" s="194"/>
      <c r="X202" s="164"/>
      <c r="Y202" s="163" t="s">
        <v>904</v>
      </c>
      <c r="Z202" s="133"/>
      <c r="AA202" s="24"/>
      <c r="AB202" s="163" t="s">
        <v>905</v>
      </c>
      <c r="AC202" s="179"/>
      <c r="AD202" s="134"/>
      <c r="AE202" s="24"/>
      <c r="AF202" s="24"/>
      <c r="AG202" s="22"/>
      <c r="AH202" s="45"/>
      <c r="AI202" s="24"/>
      <c r="AJ202" s="134"/>
      <c r="AK202" s="163"/>
      <c r="AL202" s="22"/>
      <c r="AM202" s="22"/>
      <c r="AN202" s="22"/>
      <c r="AO202" s="22"/>
      <c r="AP202" s="22"/>
      <c r="AQ202" s="22"/>
      <c r="AR202" s="22"/>
      <c r="AS202" s="22"/>
      <c r="AT202" s="134"/>
      <c r="AU202" s="134"/>
      <c r="AV202" s="108" t="s">
        <v>906</v>
      </c>
      <c r="AW202" s="133"/>
      <c r="AX202" s="133"/>
      <c r="AY202" s="133"/>
      <c r="AZ202" s="133"/>
      <c r="BA202" s="133"/>
      <c r="BB202" s="133"/>
      <c r="BC202" s="133"/>
      <c r="BD202" s="133"/>
      <c r="BE202" s="137" t="s">
        <v>115</v>
      </c>
      <c r="BF202" s="137" t="s">
        <v>907</v>
      </c>
      <c r="BG202" s="139" t="s">
        <v>908</v>
      </c>
      <c r="BH202" s="64"/>
      <c r="BI202" s="159" t="s">
        <v>906</v>
      </c>
      <c r="BJ202" s="125"/>
      <c r="BK202" s="46">
        <f t="shared" si="1"/>
        <v>1</v>
      </c>
      <c r="BL202" s="46"/>
      <c r="BM202" s="46"/>
      <c r="BN202" s="46"/>
    </row>
    <row r="203" spans="1:66" ht="51" hidden="1" customHeight="1">
      <c r="A203" s="22">
        <v>201</v>
      </c>
      <c r="B203" s="163" t="s">
        <v>909</v>
      </c>
      <c r="C203" s="163" t="str">
        <f t="shared" si="0"/>
        <v>[Unknown checkbox for HIV diagnosis date inline with {hiv_diagnosis_date}]</v>
      </c>
      <c r="D203" s="163" t="s">
        <v>909</v>
      </c>
      <c r="E203" s="22" t="s">
        <v>96</v>
      </c>
      <c r="F203" s="24"/>
      <c r="G203" s="24" t="s">
        <v>772</v>
      </c>
      <c r="H203" s="24"/>
      <c r="I203" s="24">
        <v>1</v>
      </c>
      <c r="J203" s="24" t="s">
        <v>494</v>
      </c>
      <c r="K203" s="24"/>
      <c r="L203" s="24"/>
      <c r="M203" s="24"/>
      <c r="N203" s="24"/>
      <c r="O203" s="24"/>
      <c r="P203" s="133"/>
      <c r="Q203" s="133"/>
      <c r="R203" s="162" t="s">
        <v>909</v>
      </c>
      <c r="S203" s="163" t="s">
        <v>910</v>
      </c>
      <c r="T203" s="163" t="s">
        <v>911</v>
      </c>
      <c r="U203" s="163" t="s">
        <v>153</v>
      </c>
      <c r="V203" s="163"/>
      <c r="W203" s="163"/>
      <c r="X203" s="164"/>
      <c r="Y203" s="164"/>
      <c r="Z203" s="133"/>
      <c r="AA203" s="24"/>
      <c r="AB203" s="163" t="s">
        <v>912</v>
      </c>
      <c r="AC203" s="179"/>
      <c r="AD203" s="134"/>
      <c r="AE203" s="24"/>
      <c r="AF203" s="24"/>
      <c r="AG203" s="22"/>
      <c r="AH203" s="45"/>
      <c r="AI203" s="24"/>
      <c r="AJ203" s="134"/>
      <c r="AK203" s="163"/>
      <c r="AL203" s="22"/>
      <c r="AM203" s="22"/>
      <c r="AN203" s="22"/>
      <c r="AO203" s="22"/>
      <c r="AP203" s="22"/>
      <c r="AQ203" s="22"/>
      <c r="AR203" s="22"/>
      <c r="AS203" s="22"/>
      <c r="AT203" s="151"/>
      <c r="AU203" s="151"/>
      <c r="AV203" s="152"/>
      <c r="AW203" s="165"/>
      <c r="AX203" s="165"/>
      <c r="AY203" s="165"/>
      <c r="AZ203" s="165"/>
      <c r="BA203" s="165"/>
      <c r="BB203" s="165"/>
      <c r="BC203" s="165"/>
      <c r="BD203" s="165"/>
      <c r="BE203" s="137" t="s">
        <v>115</v>
      </c>
      <c r="BF203" s="137" t="s">
        <v>913</v>
      </c>
      <c r="BG203" s="139" t="s">
        <v>914</v>
      </c>
      <c r="BH203" s="153"/>
      <c r="BI203" s="154"/>
      <c r="BJ203" s="154"/>
      <c r="BK203" s="46">
        <f t="shared" si="1"/>
        <v>1</v>
      </c>
      <c r="BL203" s="46"/>
      <c r="BM203" s="46"/>
      <c r="BN203" s="46"/>
    </row>
    <row r="204" spans="1:66" ht="63.75" hidden="1" customHeight="1">
      <c r="A204" s="22">
        <v>202</v>
      </c>
      <c r="B204" s="221" t="s">
        <v>915</v>
      </c>
      <c r="C204" s="221" t="str">
        <f t="shared" si="0"/>
        <v>Woman's HIV Status</v>
      </c>
      <c r="D204" s="221" t="s">
        <v>915</v>
      </c>
      <c r="E204" s="22" t="s">
        <v>65</v>
      </c>
      <c r="F204" s="24"/>
      <c r="G204" s="24" t="s">
        <v>772</v>
      </c>
      <c r="H204" s="24"/>
      <c r="I204" s="24">
        <v>1</v>
      </c>
      <c r="J204" s="24" t="s">
        <v>494</v>
      </c>
      <c r="K204" s="24"/>
      <c r="L204" s="24"/>
      <c r="M204" s="24"/>
      <c r="N204" s="24"/>
      <c r="O204" s="24"/>
      <c r="P204" s="133"/>
      <c r="Q204" s="133"/>
      <c r="R204" s="222" t="s">
        <v>115</v>
      </c>
      <c r="S204" s="221" t="s">
        <v>916</v>
      </c>
      <c r="T204" s="221" t="s">
        <v>917</v>
      </c>
      <c r="U204" s="221" t="s">
        <v>65</v>
      </c>
      <c r="V204" s="221"/>
      <c r="W204" s="221"/>
      <c r="X204" s="221" t="s">
        <v>918</v>
      </c>
      <c r="Y204" s="164"/>
      <c r="Z204" s="133"/>
      <c r="AA204" s="24"/>
      <c r="AB204" s="221" t="s">
        <v>115</v>
      </c>
      <c r="AC204" s="179"/>
      <c r="AD204" s="134"/>
      <c r="AE204" s="24"/>
      <c r="AF204" s="24"/>
      <c r="AG204" s="22"/>
      <c r="AH204" s="45"/>
      <c r="AI204" s="24"/>
      <c r="AJ204" s="134"/>
      <c r="AK204" s="221"/>
      <c r="AL204" s="22"/>
      <c r="AM204" s="22"/>
      <c r="AN204" s="22"/>
      <c r="AO204" s="22"/>
      <c r="AP204" s="22"/>
      <c r="AQ204" s="22"/>
      <c r="AR204" s="22"/>
      <c r="AS204" s="22"/>
      <c r="AT204" s="191" t="s">
        <v>919</v>
      </c>
      <c r="AU204" s="134"/>
      <c r="AV204" s="156">
        <v>165816005</v>
      </c>
      <c r="AW204" s="133"/>
      <c r="AX204" s="133"/>
      <c r="AY204" s="133"/>
      <c r="AZ204" s="133"/>
      <c r="BA204" s="133"/>
      <c r="BB204" s="133"/>
      <c r="BC204" s="133"/>
      <c r="BD204" s="133"/>
      <c r="BE204" s="137" t="s">
        <v>115</v>
      </c>
      <c r="BF204" s="137" t="s">
        <v>888</v>
      </c>
      <c r="BG204" s="139" t="s">
        <v>889</v>
      </c>
      <c r="BH204" s="192" t="s">
        <v>919</v>
      </c>
      <c r="BI204" s="157">
        <v>165816005</v>
      </c>
      <c r="BJ204" s="64"/>
      <c r="BK204" s="46">
        <f t="shared" si="1"/>
        <v>1</v>
      </c>
      <c r="BL204" s="46"/>
      <c r="BM204" s="46"/>
      <c r="BN204" s="46"/>
    </row>
    <row r="205" spans="1:66" ht="25.5" hidden="1" customHeight="1">
      <c r="A205" s="22">
        <v>203</v>
      </c>
      <c r="B205" s="163" t="s">
        <v>920</v>
      </c>
      <c r="C205" s="163" t="str">
        <f t="shared" si="0"/>
        <v>TT immunisation status</v>
      </c>
      <c r="D205" s="163" t="s">
        <v>920</v>
      </c>
      <c r="E205" s="22" t="s">
        <v>96</v>
      </c>
      <c r="F205" s="24"/>
      <c r="G205" s="24" t="s">
        <v>921</v>
      </c>
      <c r="H205" s="24"/>
      <c r="I205" s="24">
        <v>1</v>
      </c>
      <c r="J205" s="24" t="s">
        <v>494</v>
      </c>
      <c r="K205" s="24"/>
      <c r="L205" s="24"/>
      <c r="M205" s="24"/>
      <c r="N205" s="24"/>
      <c r="O205" s="24"/>
      <c r="P205" s="133"/>
      <c r="Q205" s="133"/>
      <c r="R205" s="162" t="s">
        <v>920</v>
      </c>
      <c r="S205" s="163" t="s">
        <v>922</v>
      </c>
      <c r="T205" s="163" t="s">
        <v>923</v>
      </c>
      <c r="U205" s="163" t="s">
        <v>202</v>
      </c>
      <c r="V205" s="163"/>
      <c r="W205" s="163"/>
      <c r="X205" s="164"/>
      <c r="Y205" s="164"/>
      <c r="Z205" s="133"/>
      <c r="AA205" s="24"/>
      <c r="AB205" s="163" t="s">
        <v>113</v>
      </c>
      <c r="AC205" s="179"/>
      <c r="AD205" s="134"/>
      <c r="AE205" s="24"/>
      <c r="AF205" s="24"/>
      <c r="AG205" s="22"/>
      <c r="AH205" s="45"/>
      <c r="AI205" s="24"/>
      <c r="AJ205" s="134"/>
      <c r="AK205" s="163"/>
      <c r="AL205" s="22"/>
      <c r="AM205" s="22"/>
      <c r="AN205" s="22"/>
      <c r="AO205" s="22"/>
      <c r="AP205" s="22"/>
      <c r="AQ205" s="22"/>
      <c r="AR205" s="22"/>
      <c r="AS205" s="22"/>
      <c r="AT205" s="151"/>
      <c r="AU205" s="151"/>
      <c r="AV205" s="152"/>
      <c r="AW205" s="165"/>
      <c r="AX205" s="165"/>
      <c r="AY205" s="165"/>
      <c r="AZ205" s="165"/>
      <c r="BA205" s="165"/>
      <c r="BB205" s="165"/>
      <c r="BC205" s="165"/>
      <c r="BD205" s="165"/>
      <c r="BE205" s="137" t="s">
        <v>115</v>
      </c>
      <c r="BF205" s="137" t="s">
        <v>924</v>
      </c>
      <c r="BG205" s="139" t="s">
        <v>925</v>
      </c>
      <c r="BH205" s="153"/>
      <c r="BI205" s="154"/>
      <c r="BJ205" s="154"/>
      <c r="BK205" s="46">
        <f t="shared" si="1"/>
        <v>1</v>
      </c>
      <c r="BL205" s="46"/>
      <c r="BM205" s="46"/>
      <c r="BN205" s="46"/>
    </row>
    <row r="206" spans="1:66" ht="25.5" hidden="1" customHeight="1">
      <c r="A206" s="22">
        <v>204</v>
      </c>
      <c r="B206" s="163" t="s">
        <v>1150</v>
      </c>
      <c r="C206" s="163" t="e">
        <f t="shared" ca="1" si="0"/>
        <v>#NAME?</v>
      </c>
      <c r="D206" s="163" t="s">
        <v>926</v>
      </c>
      <c r="E206" s="22" t="s">
        <v>180</v>
      </c>
      <c r="F206" s="163" t="s">
        <v>920</v>
      </c>
      <c r="G206" s="24" t="s">
        <v>921</v>
      </c>
      <c r="H206" s="24"/>
      <c r="I206" s="24">
        <v>1</v>
      </c>
      <c r="J206" s="24" t="s">
        <v>494</v>
      </c>
      <c r="K206" s="24"/>
      <c r="L206" s="24"/>
      <c r="M206" s="24"/>
      <c r="N206" s="24"/>
      <c r="O206" s="24"/>
      <c r="P206" s="133"/>
      <c r="Q206" s="133"/>
      <c r="R206" s="162"/>
      <c r="S206" s="163"/>
      <c r="T206" s="163"/>
      <c r="U206" s="163"/>
      <c r="V206" s="163"/>
      <c r="W206" s="163" t="s">
        <v>926</v>
      </c>
      <c r="X206" s="164"/>
      <c r="Y206" s="164"/>
      <c r="Z206" s="133"/>
      <c r="AA206" s="24"/>
      <c r="AB206" s="163"/>
      <c r="AC206" s="179"/>
      <c r="AD206" s="134"/>
      <c r="AE206" s="24"/>
      <c r="AF206" s="24"/>
      <c r="AG206" s="22"/>
      <c r="AH206" s="45"/>
      <c r="AI206" s="24"/>
      <c r="AJ206" s="134"/>
      <c r="AK206" s="163"/>
      <c r="AL206" s="22"/>
      <c r="AM206" s="22"/>
      <c r="AN206" s="22"/>
      <c r="AO206" s="22"/>
      <c r="AP206" s="22"/>
      <c r="AQ206" s="22"/>
      <c r="AR206" s="22"/>
      <c r="AS206" s="22"/>
      <c r="AT206" s="134"/>
      <c r="AU206" s="134"/>
      <c r="AV206" s="108" t="s">
        <v>927</v>
      </c>
      <c r="AW206" s="133"/>
      <c r="AX206" s="133"/>
      <c r="AY206" s="133"/>
      <c r="AZ206" s="133"/>
      <c r="BA206" s="133"/>
      <c r="BB206" s="133"/>
      <c r="BC206" s="133"/>
      <c r="BD206" s="133"/>
      <c r="BE206" s="137" t="s">
        <v>115</v>
      </c>
      <c r="BF206" s="137" t="s">
        <v>928</v>
      </c>
      <c r="BG206" s="139" t="s">
        <v>929</v>
      </c>
      <c r="BH206" s="64"/>
      <c r="BI206" s="159" t="s">
        <v>927</v>
      </c>
      <c r="BJ206" s="125"/>
      <c r="BK206" s="46">
        <f t="shared" si="1"/>
        <v>1</v>
      </c>
      <c r="BL206" s="46"/>
      <c r="BM206" s="46"/>
      <c r="BN206" s="46"/>
    </row>
    <row r="207" spans="1:66" ht="25.5" hidden="1" customHeight="1">
      <c r="A207" s="22">
        <v>205</v>
      </c>
      <c r="B207" s="163" t="s">
        <v>1152</v>
      </c>
      <c r="C207" s="163" t="e">
        <f t="shared" ca="1" si="0"/>
        <v>#NAME?</v>
      </c>
      <c r="D207" s="163" t="s">
        <v>930</v>
      </c>
      <c r="E207" s="22" t="s">
        <v>180</v>
      </c>
      <c r="F207" s="163" t="s">
        <v>920</v>
      </c>
      <c r="G207" s="24" t="s">
        <v>921</v>
      </c>
      <c r="H207" s="24"/>
      <c r="I207" s="24">
        <v>1</v>
      </c>
      <c r="J207" s="24" t="s">
        <v>494</v>
      </c>
      <c r="K207" s="24"/>
      <c r="L207" s="24"/>
      <c r="M207" s="24"/>
      <c r="N207" s="24"/>
      <c r="O207" s="24"/>
      <c r="P207" s="133"/>
      <c r="Q207" s="133"/>
      <c r="R207" s="162"/>
      <c r="S207" s="163"/>
      <c r="T207" s="163"/>
      <c r="U207" s="163"/>
      <c r="V207" s="163"/>
      <c r="W207" s="163" t="s">
        <v>930</v>
      </c>
      <c r="X207" s="164"/>
      <c r="Y207" s="164"/>
      <c r="Z207" s="133"/>
      <c r="AA207" s="24"/>
      <c r="AB207" s="163"/>
      <c r="AC207" s="179"/>
      <c r="AD207" s="134"/>
      <c r="AE207" s="24"/>
      <c r="AF207" s="24"/>
      <c r="AG207" s="22"/>
      <c r="AH207" s="45"/>
      <c r="AI207" s="24"/>
      <c r="AJ207" s="134"/>
      <c r="AK207" s="163"/>
      <c r="AL207" s="22"/>
      <c r="AM207" s="22"/>
      <c r="AN207" s="22"/>
      <c r="AO207" s="22"/>
      <c r="AP207" s="22"/>
      <c r="AQ207" s="22"/>
      <c r="AR207" s="22"/>
      <c r="AS207" s="22"/>
      <c r="AT207" s="151"/>
      <c r="AU207" s="151"/>
      <c r="AV207" s="152"/>
      <c r="AW207" s="165"/>
      <c r="AX207" s="165"/>
      <c r="AY207" s="165"/>
      <c r="AZ207" s="165"/>
      <c r="BA207" s="165"/>
      <c r="BB207" s="165"/>
      <c r="BC207" s="165"/>
      <c r="BD207" s="165"/>
      <c r="BE207" s="137" t="s">
        <v>115</v>
      </c>
      <c r="BF207" s="137" t="s">
        <v>931</v>
      </c>
      <c r="BG207" s="139" t="s">
        <v>932</v>
      </c>
      <c r="BH207" s="153"/>
      <c r="BI207" s="154"/>
      <c r="BJ207" s="154"/>
      <c r="BK207" s="46">
        <f t="shared" si="1"/>
        <v>1</v>
      </c>
      <c r="BL207" s="46"/>
      <c r="BM207" s="46"/>
      <c r="BN207" s="46"/>
    </row>
    <row r="208" spans="1:66" ht="12.75" hidden="1" customHeight="1">
      <c r="A208" s="22">
        <v>206</v>
      </c>
      <c r="B208" s="163" t="s">
        <v>1161</v>
      </c>
      <c r="C208" s="163" t="e">
        <f t="shared" ca="1" si="0"/>
        <v>#NAME?</v>
      </c>
      <c r="D208" s="163" t="s">
        <v>933</v>
      </c>
      <c r="E208" s="22" t="s">
        <v>180</v>
      </c>
      <c r="F208" s="163" t="s">
        <v>920</v>
      </c>
      <c r="G208" s="24" t="s">
        <v>921</v>
      </c>
      <c r="H208" s="24"/>
      <c r="I208" s="24">
        <v>1</v>
      </c>
      <c r="J208" s="24" t="s">
        <v>494</v>
      </c>
      <c r="K208" s="24"/>
      <c r="L208" s="24"/>
      <c r="M208" s="24"/>
      <c r="N208" s="24"/>
      <c r="O208" s="24"/>
      <c r="P208" s="133"/>
      <c r="Q208" s="133"/>
      <c r="R208" s="162"/>
      <c r="S208" s="163"/>
      <c r="T208" s="163"/>
      <c r="U208" s="163"/>
      <c r="V208" s="163"/>
      <c r="W208" s="163" t="s">
        <v>933</v>
      </c>
      <c r="X208" s="164"/>
      <c r="Y208" s="164"/>
      <c r="Z208" s="133"/>
      <c r="AA208" s="24"/>
      <c r="AB208" s="163"/>
      <c r="AC208" s="179"/>
      <c r="AD208" s="134"/>
      <c r="AE208" s="24"/>
      <c r="AF208" s="24"/>
      <c r="AG208" s="22"/>
      <c r="AH208" s="45"/>
      <c r="AI208" s="24"/>
      <c r="AJ208" s="134"/>
      <c r="AK208" s="163"/>
      <c r="AL208" s="22"/>
      <c r="AM208" s="22"/>
      <c r="AN208" s="22"/>
      <c r="AO208" s="22"/>
      <c r="AP208" s="22"/>
      <c r="AQ208" s="22"/>
      <c r="AR208" s="22"/>
      <c r="AS208" s="22"/>
      <c r="AT208" s="151"/>
      <c r="AU208" s="151"/>
      <c r="AV208" s="152"/>
      <c r="AW208" s="165"/>
      <c r="AX208" s="165"/>
      <c r="AY208" s="165"/>
      <c r="AZ208" s="165"/>
      <c r="BA208" s="165"/>
      <c r="BB208" s="165"/>
      <c r="BC208" s="165"/>
      <c r="BD208" s="165"/>
      <c r="BE208" s="137" t="s">
        <v>115</v>
      </c>
      <c r="BF208" s="137" t="s">
        <v>934</v>
      </c>
      <c r="BG208" s="139" t="s">
        <v>935</v>
      </c>
      <c r="BH208" s="153"/>
      <c r="BI208" s="154"/>
      <c r="BJ208" s="154"/>
      <c r="BK208" s="46">
        <f t="shared" si="1"/>
        <v>1</v>
      </c>
      <c r="BL208" s="46"/>
      <c r="BM208" s="46"/>
      <c r="BN208" s="46"/>
    </row>
    <row r="209" spans="1:66" ht="25.5" hidden="1" customHeight="1">
      <c r="A209" s="22">
        <v>207</v>
      </c>
      <c r="B209" s="163" t="s">
        <v>1162</v>
      </c>
      <c r="C209" s="163" t="e">
        <f t="shared" ca="1" si="0"/>
        <v>#NAME?</v>
      </c>
      <c r="D209" s="163" t="s">
        <v>936</v>
      </c>
      <c r="E209" s="22" t="s">
        <v>180</v>
      </c>
      <c r="F209" s="163" t="s">
        <v>920</v>
      </c>
      <c r="G209" s="24" t="s">
        <v>921</v>
      </c>
      <c r="H209" s="24"/>
      <c r="I209" s="24">
        <v>1</v>
      </c>
      <c r="J209" s="24" t="s">
        <v>494</v>
      </c>
      <c r="K209" s="24"/>
      <c r="L209" s="24"/>
      <c r="M209" s="24"/>
      <c r="N209" s="24"/>
      <c r="O209" s="24"/>
      <c r="P209" s="133"/>
      <c r="Q209" s="133"/>
      <c r="R209" s="162"/>
      <c r="S209" s="163"/>
      <c r="T209" s="163"/>
      <c r="U209" s="163"/>
      <c r="V209" s="163"/>
      <c r="W209" s="163" t="s">
        <v>936</v>
      </c>
      <c r="X209" s="164"/>
      <c r="Y209" s="164"/>
      <c r="Z209" s="133"/>
      <c r="AA209" s="24"/>
      <c r="AB209" s="163"/>
      <c r="AC209" s="179"/>
      <c r="AD209" s="134"/>
      <c r="AE209" s="24"/>
      <c r="AF209" s="24"/>
      <c r="AG209" s="22"/>
      <c r="AH209" s="45"/>
      <c r="AI209" s="24"/>
      <c r="AJ209" s="134"/>
      <c r="AK209" s="163"/>
      <c r="AL209" s="22"/>
      <c r="AM209" s="22"/>
      <c r="AN209" s="22"/>
      <c r="AO209" s="22"/>
      <c r="AP209" s="22"/>
      <c r="AQ209" s="22"/>
      <c r="AR209" s="22"/>
      <c r="AS209" s="22"/>
      <c r="AT209" s="151"/>
      <c r="AU209" s="151"/>
      <c r="AV209" s="152"/>
      <c r="AW209" s="165"/>
      <c r="AX209" s="165"/>
      <c r="AY209" s="165"/>
      <c r="AZ209" s="165"/>
      <c r="BA209" s="165"/>
      <c r="BB209" s="165"/>
      <c r="BC209" s="165"/>
      <c r="BD209" s="165"/>
      <c r="BE209" s="137" t="s">
        <v>115</v>
      </c>
      <c r="BF209" s="137" t="s">
        <v>115</v>
      </c>
      <c r="BG209" s="139" t="s">
        <v>115</v>
      </c>
      <c r="BH209" s="153"/>
      <c r="BI209" s="154"/>
      <c r="BJ209" s="154"/>
      <c r="BK209" s="46">
        <f t="shared" si="1"/>
        <v>1</v>
      </c>
      <c r="BL209" s="46"/>
      <c r="BM209" s="46"/>
      <c r="BN209" s="46"/>
    </row>
    <row r="210" spans="1:66" ht="140.25" hidden="1" customHeight="1">
      <c r="A210" s="22">
        <v>208</v>
      </c>
      <c r="B210" s="163" t="s">
        <v>937</v>
      </c>
      <c r="C210" s="163" t="str">
        <f t="shared" si="0"/>
        <v>Hep B immunisation status</v>
      </c>
      <c r="D210" s="163" t="s">
        <v>937</v>
      </c>
      <c r="E210" s="22" t="s">
        <v>96</v>
      </c>
      <c r="F210" s="24"/>
      <c r="G210" s="24" t="s">
        <v>921</v>
      </c>
      <c r="H210" s="24"/>
      <c r="I210" s="24">
        <v>1</v>
      </c>
      <c r="J210" s="24" t="s">
        <v>494</v>
      </c>
      <c r="K210" s="24"/>
      <c r="L210" s="24"/>
      <c r="M210" s="24"/>
      <c r="N210" s="24"/>
      <c r="O210" s="24"/>
      <c r="P210" s="133"/>
      <c r="Q210" s="133"/>
      <c r="R210" s="162" t="s">
        <v>937</v>
      </c>
      <c r="S210" s="163" t="s">
        <v>938</v>
      </c>
      <c r="T210" s="163" t="s">
        <v>939</v>
      </c>
      <c r="U210" s="163" t="s">
        <v>202</v>
      </c>
      <c r="V210" s="163"/>
      <c r="W210" s="163"/>
      <c r="X210" s="164"/>
      <c r="Y210" s="164"/>
      <c r="Z210" s="133"/>
      <c r="AA210" s="24"/>
      <c r="AB210" s="163" t="s">
        <v>113</v>
      </c>
      <c r="AC210" s="179"/>
      <c r="AD210" s="134"/>
      <c r="AE210" s="24"/>
      <c r="AF210" s="24"/>
      <c r="AG210" s="22"/>
      <c r="AH210" s="45"/>
      <c r="AI210" s="24"/>
      <c r="AJ210" s="134"/>
      <c r="AK210" s="163"/>
      <c r="AL210" s="22"/>
      <c r="AM210" s="22"/>
      <c r="AN210" s="22"/>
      <c r="AO210" s="22"/>
      <c r="AP210" s="22"/>
      <c r="AQ210" s="22"/>
      <c r="AR210" s="22"/>
      <c r="AS210" s="22"/>
      <c r="AT210" s="151"/>
      <c r="AU210" s="151"/>
      <c r="AV210" s="152"/>
      <c r="AW210" s="165"/>
      <c r="AX210" s="165"/>
      <c r="AY210" s="165"/>
      <c r="AZ210" s="165"/>
      <c r="BA210" s="165"/>
      <c r="BB210" s="165"/>
      <c r="BC210" s="165"/>
      <c r="BD210" s="165"/>
      <c r="BE210" s="137" t="s">
        <v>115</v>
      </c>
      <c r="BF210" s="137" t="s">
        <v>940</v>
      </c>
      <c r="BG210" s="139" t="s">
        <v>932</v>
      </c>
      <c r="BH210" s="153"/>
      <c r="BI210" s="154"/>
      <c r="BJ210" s="154"/>
      <c r="BK210" s="46">
        <f t="shared" si="1"/>
        <v>1</v>
      </c>
      <c r="BL210" s="46"/>
      <c r="BM210" s="46"/>
      <c r="BN210" s="46"/>
    </row>
    <row r="211" spans="1:66" ht="12.75" hidden="1" customHeight="1">
      <c r="A211" s="22">
        <v>209</v>
      </c>
      <c r="B211" s="163" t="s">
        <v>1168</v>
      </c>
      <c r="C211" s="163" t="e">
        <f t="shared" ca="1" si="0"/>
        <v>#NAME?</v>
      </c>
      <c r="D211" s="163" t="s">
        <v>941</v>
      </c>
      <c r="E211" s="22" t="s">
        <v>180</v>
      </c>
      <c r="F211" s="163" t="s">
        <v>937</v>
      </c>
      <c r="G211" s="24" t="s">
        <v>921</v>
      </c>
      <c r="H211" s="24"/>
      <c r="I211" s="24">
        <v>1</v>
      </c>
      <c r="J211" s="24" t="s">
        <v>494</v>
      </c>
      <c r="K211" s="24"/>
      <c r="L211" s="24"/>
      <c r="M211" s="24"/>
      <c r="N211" s="24"/>
      <c r="O211" s="24"/>
      <c r="P211" s="133"/>
      <c r="Q211" s="133"/>
      <c r="R211" s="169"/>
      <c r="S211" s="164"/>
      <c r="T211" s="170"/>
      <c r="U211" s="170"/>
      <c r="V211" s="163"/>
      <c r="W211" s="163" t="s">
        <v>941</v>
      </c>
      <c r="X211" s="164"/>
      <c r="Y211" s="164"/>
      <c r="Z211" s="133"/>
      <c r="AA211" s="24"/>
      <c r="AB211" s="164"/>
      <c r="AC211" s="179"/>
      <c r="AD211" s="134"/>
      <c r="AE211" s="24"/>
      <c r="AF211" s="24"/>
      <c r="AG211" s="22"/>
      <c r="AH211" s="45"/>
      <c r="AI211" s="24"/>
      <c r="AJ211" s="134"/>
      <c r="AK211" s="163"/>
      <c r="AL211" s="22"/>
      <c r="AM211" s="22"/>
      <c r="AN211" s="22"/>
      <c r="AO211" s="22"/>
      <c r="AP211" s="22"/>
      <c r="AQ211" s="22"/>
      <c r="AR211" s="22"/>
      <c r="AS211" s="22"/>
      <c r="AT211" s="134"/>
      <c r="AU211" s="134"/>
      <c r="AV211" s="135">
        <v>255594003</v>
      </c>
      <c r="AW211" s="133"/>
      <c r="AX211" s="133"/>
      <c r="AY211" s="133"/>
      <c r="AZ211" s="133"/>
      <c r="BA211" s="133"/>
      <c r="BB211" s="133"/>
      <c r="BC211" s="133"/>
      <c r="BD211" s="133"/>
      <c r="BE211" s="137" t="s">
        <v>115</v>
      </c>
      <c r="BF211" s="137" t="s">
        <v>942</v>
      </c>
      <c r="BG211" s="139" t="s">
        <v>943</v>
      </c>
      <c r="BH211" s="47"/>
      <c r="BI211" s="140">
        <v>255594003</v>
      </c>
      <c r="BJ211" s="47"/>
      <c r="BK211" s="46">
        <f t="shared" si="1"/>
        <v>1</v>
      </c>
      <c r="BL211" s="46"/>
      <c r="BM211" s="46"/>
      <c r="BN211" s="46"/>
    </row>
    <row r="212" spans="1:66" ht="12.75" hidden="1" customHeight="1">
      <c r="A212" s="22">
        <v>210</v>
      </c>
      <c r="B212" s="170" t="s">
        <v>1172</v>
      </c>
      <c r="C212" s="170" t="e">
        <f t="shared" ca="1" si="0"/>
        <v>#NAME?</v>
      </c>
      <c r="D212" s="170" t="s">
        <v>944</v>
      </c>
      <c r="E212" s="22" t="s">
        <v>180</v>
      </c>
      <c r="F212" s="163" t="s">
        <v>937</v>
      </c>
      <c r="G212" s="24" t="s">
        <v>921</v>
      </c>
      <c r="H212" s="24"/>
      <c r="I212" s="24">
        <v>1</v>
      </c>
      <c r="J212" s="24" t="s">
        <v>494</v>
      </c>
      <c r="K212" s="24"/>
      <c r="L212" s="24"/>
      <c r="M212" s="24"/>
      <c r="N212" s="24"/>
      <c r="O212" s="24"/>
      <c r="P212" s="133"/>
      <c r="Q212" s="133"/>
      <c r="R212" s="169"/>
      <c r="S212" s="164"/>
      <c r="T212" s="170"/>
      <c r="U212" s="170"/>
      <c r="V212" s="170"/>
      <c r="W212" s="170" t="s">
        <v>944</v>
      </c>
      <c r="X212" s="164"/>
      <c r="Y212" s="164"/>
      <c r="Z212" s="133"/>
      <c r="AA212" s="24"/>
      <c r="AB212" s="164"/>
      <c r="AC212" s="179"/>
      <c r="AD212" s="134"/>
      <c r="AE212" s="24"/>
      <c r="AF212" s="24"/>
      <c r="AG212" s="22"/>
      <c r="AH212" s="45"/>
      <c r="AI212" s="24"/>
      <c r="AJ212" s="134"/>
      <c r="AK212" s="170"/>
      <c r="AL212" s="22"/>
      <c r="AM212" s="22"/>
      <c r="AN212" s="22"/>
      <c r="AO212" s="22"/>
      <c r="AP212" s="22"/>
      <c r="AQ212" s="22"/>
      <c r="AR212" s="22"/>
      <c r="AS212" s="22"/>
      <c r="AT212" s="134"/>
      <c r="AU212" s="134"/>
      <c r="AV212" s="135">
        <v>255599008</v>
      </c>
      <c r="AW212" s="133"/>
      <c r="AX212" s="133"/>
      <c r="AY212" s="133"/>
      <c r="AZ212" s="133"/>
      <c r="BA212" s="133"/>
      <c r="BB212" s="133"/>
      <c r="BC212" s="133"/>
      <c r="BD212" s="133"/>
      <c r="BE212" s="137" t="s">
        <v>115</v>
      </c>
      <c r="BF212" s="137" t="s">
        <v>945</v>
      </c>
      <c r="BG212" s="139" t="s">
        <v>946</v>
      </c>
      <c r="BH212" s="47"/>
      <c r="BI212" s="140">
        <v>255599008</v>
      </c>
      <c r="BJ212" s="47"/>
      <c r="BK212" s="46">
        <f t="shared" si="1"/>
        <v>1</v>
      </c>
      <c r="BL212" s="46"/>
      <c r="BM212" s="46"/>
      <c r="BN212" s="46"/>
    </row>
    <row r="213" spans="1:66" ht="12.75" hidden="1" customHeight="1">
      <c r="A213" s="22">
        <v>211</v>
      </c>
      <c r="B213" s="170" t="s">
        <v>1174</v>
      </c>
      <c r="C213" s="170" t="e">
        <f t="shared" ca="1" si="0"/>
        <v>#NAME?</v>
      </c>
      <c r="D213" s="170" t="s">
        <v>947</v>
      </c>
      <c r="E213" s="22" t="s">
        <v>180</v>
      </c>
      <c r="F213" s="163" t="s">
        <v>937</v>
      </c>
      <c r="G213" s="24" t="s">
        <v>921</v>
      </c>
      <c r="H213" s="24"/>
      <c r="I213" s="24">
        <v>1</v>
      </c>
      <c r="J213" s="24" t="s">
        <v>494</v>
      </c>
      <c r="K213" s="24"/>
      <c r="L213" s="24"/>
      <c r="M213" s="24"/>
      <c r="N213" s="24"/>
      <c r="O213" s="24"/>
      <c r="P213" s="133"/>
      <c r="Q213" s="133"/>
      <c r="R213" s="169"/>
      <c r="S213" s="164"/>
      <c r="T213" s="170"/>
      <c r="U213" s="170"/>
      <c r="V213" s="170"/>
      <c r="W213" s="170" t="s">
        <v>947</v>
      </c>
      <c r="X213" s="164"/>
      <c r="Y213" s="164"/>
      <c r="Z213" s="133"/>
      <c r="AA213" s="24"/>
      <c r="AB213" s="164"/>
      <c r="AC213" s="179"/>
      <c r="AD213" s="134"/>
      <c r="AE213" s="24"/>
      <c r="AF213" s="24"/>
      <c r="AG213" s="22"/>
      <c r="AH213" s="45"/>
      <c r="AI213" s="24"/>
      <c r="AJ213" s="134"/>
      <c r="AK213" s="170"/>
      <c r="AL213" s="22"/>
      <c r="AM213" s="22"/>
      <c r="AN213" s="22"/>
      <c r="AO213" s="22"/>
      <c r="AP213" s="22"/>
      <c r="AQ213" s="22"/>
      <c r="AR213" s="22"/>
      <c r="AS213" s="22"/>
      <c r="AT213" s="134"/>
      <c r="AU213" s="134"/>
      <c r="AV213" s="135">
        <v>260413007</v>
      </c>
      <c r="AW213" s="133"/>
      <c r="AX213" s="133"/>
      <c r="AY213" s="133"/>
      <c r="AZ213" s="133"/>
      <c r="BA213" s="133"/>
      <c r="BB213" s="133"/>
      <c r="BC213" s="133"/>
      <c r="BD213" s="133"/>
      <c r="BE213" s="137" t="s">
        <v>115</v>
      </c>
      <c r="BF213" s="137" t="s">
        <v>424</v>
      </c>
      <c r="BG213" s="139" t="s">
        <v>425</v>
      </c>
      <c r="BH213" s="47"/>
      <c r="BI213" s="140">
        <v>260413007</v>
      </c>
      <c r="BJ213" s="47"/>
      <c r="BK213" s="46">
        <f t="shared" si="1"/>
        <v>1</v>
      </c>
      <c r="BL213" s="46"/>
      <c r="BM213" s="46"/>
      <c r="BN213" s="46"/>
    </row>
    <row r="214" spans="1:66" ht="12.75" hidden="1" customHeight="1">
      <c r="A214" s="22">
        <v>212</v>
      </c>
      <c r="B214" s="170" t="s">
        <v>1162</v>
      </c>
      <c r="C214" s="170" t="e">
        <f t="shared" ca="1" si="0"/>
        <v>#NAME?</v>
      </c>
      <c r="D214" s="170" t="s">
        <v>936</v>
      </c>
      <c r="E214" s="22" t="s">
        <v>180</v>
      </c>
      <c r="F214" s="163" t="s">
        <v>937</v>
      </c>
      <c r="G214" s="24" t="s">
        <v>921</v>
      </c>
      <c r="H214" s="24"/>
      <c r="I214" s="24">
        <v>1</v>
      </c>
      <c r="J214" s="24" t="s">
        <v>494</v>
      </c>
      <c r="K214" s="24"/>
      <c r="L214" s="24"/>
      <c r="M214" s="24"/>
      <c r="N214" s="24"/>
      <c r="O214" s="24"/>
      <c r="P214" s="133"/>
      <c r="Q214" s="133"/>
      <c r="R214" s="169"/>
      <c r="S214" s="164"/>
      <c r="T214" s="170"/>
      <c r="U214" s="170"/>
      <c r="V214" s="170"/>
      <c r="W214" s="170" t="s">
        <v>936</v>
      </c>
      <c r="X214" s="164"/>
      <c r="Y214" s="164"/>
      <c r="Z214" s="133"/>
      <c r="AA214" s="24"/>
      <c r="AB214" s="164"/>
      <c r="AC214" s="179"/>
      <c r="AD214" s="134"/>
      <c r="AE214" s="24"/>
      <c r="AF214" s="24"/>
      <c r="AG214" s="22"/>
      <c r="AH214" s="45"/>
      <c r="AI214" s="24"/>
      <c r="AJ214" s="134"/>
      <c r="AK214" s="170"/>
      <c r="AL214" s="22"/>
      <c r="AM214" s="22"/>
      <c r="AN214" s="22"/>
      <c r="AO214" s="22"/>
      <c r="AP214" s="22"/>
      <c r="AQ214" s="22"/>
      <c r="AR214" s="22"/>
      <c r="AS214" s="22"/>
      <c r="AT214" s="134"/>
      <c r="AU214" s="134"/>
      <c r="AV214" s="24"/>
      <c r="AW214" s="133"/>
      <c r="AX214" s="133"/>
      <c r="AY214" s="133"/>
      <c r="AZ214" s="133"/>
      <c r="BA214" s="133"/>
      <c r="BB214" s="133"/>
      <c r="BC214" s="133"/>
      <c r="BD214" s="133"/>
      <c r="BE214" s="137" t="s">
        <v>115</v>
      </c>
      <c r="BF214" s="137" t="s">
        <v>115</v>
      </c>
      <c r="BG214" s="139" t="s">
        <v>115</v>
      </c>
      <c r="BH214" s="64"/>
      <c r="BI214" s="64"/>
      <c r="BJ214" s="64"/>
      <c r="BK214" s="46">
        <f t="shared" si="1"/>
        <v>1</v>
      </c>
      <c r="BL214" s="46"/>
      <c r="BM214" s="46"/>
      <c r="BN214" s="46"/>
    </row>
    <row r="215" spans="1:66" ht="12.75" hidden="1" customHeight="1">
      <c r="A215" s="22">
        <v>213</v>
      </c>
      <c r="B215" s="163" t="s">
        <v>948</v>
      </c>
      <c r="C215" s="163" t="str">
        <f t="shared" si="0"/>
        <v>Flu immunisation status</v>
      </c>
      <c r="D215" s="163" t="s">
        <v>948</v>
      </c>
      <c r="E215" s="22" t="s">
        <v>96</v>
      </c>
      <c r="F215" s="24"/>
      <c r="G215" s="24" t="s">
        <v>921</v>
      </c>
      <c r="H215" s="24"/>
      <c r="I215" s="24">
        <v>1</v>
      </c>
      <c r="J215" s="24" t="s">
        <v>494</v>
      </c>
      <c r="K215" s="24"/>
      <c r="L215" s="24"/>
      <c r="M215" s="24"/>
      <c r="N215" s="24"/>
      <c r="O215" s="24"/>
      <c r="P215" s="133"/>
      <c r="Q215" s="133"/>
      <c r="R215" s="162" t="s">
        <v>948</v>
      </c>
      <c r="S215" s="163" t="s">
        <v>949</v>
      </c>
      <c r="T215" s="163" t="s">
        <v>950</v>
      </c>
      <c r="U215" s="163" t="s">
        <v>202</v>
      </c>
      <c r="V215" s="163"/>
      <c r="W215" s="163"/>
      <c r="X215" s="164"/>
      <c r="Y215" s="164"/>
      <c r="Z215" s="133"/>
      <c r="AA215" s="24"/>
      <c r="AB215" s="163" t="s">
        <v>113</v>
      </c>
      <c r="AC215" s="179"/>
      <c r="AD215" s="134"/>
      <c r="AE215" s="24"/>
      <c r="AF215" s="24"/>
      <c r="AG215" s="22"/>
      <c r="AH215" s="45"/>
      <c r="AI215" s="24"/>
      <c r="AJ215" s="134"/>
      <c r="AK215" s="163"/>
      <c r="AL215" s="22"/>
      <c r="AM215" s="22"/>
      <c r="AN215" s="22"/>
      <c r="AO215" s="22"/>
      <c r="AP215" s="22"/>
      <c r="AQ215" s="22"/>
      <c r="AR215" s="22"/>
      <c r="AS215" s="22"/>
      <c r="AT215" s="151"/>
      <c r="AU215" s="151"/>
      <c r="AV215" s="152"/>
      <c r="AW215" s="165"/>
      <c r="AX215" s="165"/>
      <c r="AY215" s="165"/>
      <c r="AZ215" s="165"/>
      <c r="BA215" s="165"/>
      <c r="BB215" s="165"/>
      <c r="BC215" s="165"/>
      <c r="BD215" s="165"/>
      <c r="BE215" s="137" t="s">
        <v>115</v>
      </c>
      <c r="BF215" s="137" t="s">
        <v>951</v>
      </c>
      <c r="BG215" s="139" t="s">
        <v>935</v>
      </c>
      <c r="BH215" s="153"/>
      <c r="BI215" s="154"/>
      <c r="BJ215" s="154"/>
      <c r="BK215" s="46">
        <f t="shared" si="1"/>
        <v>1</v>
      </c>
      <c r="BL215" s="46"/>
      <c r="BM215" s="46"/>
      <c r="BN215" s="46"/>
    </row>
    <row r="216" spans="1:66" ht="12.75" hidden="1" customHeight="1">
      <c r="A216" s="22">
        <v>214</v>
      </c>
      <c r="B216" s="163" t="s">
        <v>1178</v>
      </c>
      <c r="C216" s="163" t="e">
        <f t="shared" ca="1" si="0"/>
        <v>#NAME?</v>
      </c>
      <c r="D216" s="163" t="s">
        <v>952</v>
      </c>
      <c r="E216" s="22" t="s">
        <v>180</v>
      </c>
      <c r="F216" s="163" t="s">
        <v>948</v>
      </c>
      <c r="G216" s="24" t="s">
        <v>921</v>
      </c>
      <c r="H216" s="24"/>
      <c r="I216" s="24">
        <v>1</v>
      </c>
      <c r="J216" s="24" t="s">
        <v>494</v>
      </c>
      <c r="K216" s="24"/>
      <c r="L216" s="24"/>
      <c r="M216" s="24"/>
      <c r="N216" s="24"/>
      <c r="O216" s="24"/>
      <c r="P216" s="133"/>
      <c r="Q216" s="133"/>
      <c r="R216" s="169"/>
      <c r="S216" s="164"/>
      <c r="T216" s="170"/>
      <c r="U216" s="170"/>
      <c r="V216" s="163"/>
      <c r="W216" s="163" t="s">
        <v>952</v>
      </c>
      <c r="X216" s="164"/>
      <c r="Y216" s="164"/>
      <c r="Z216" s="133"/>
      <c r="AA216" s="24"/>
      <c r="AB216" s="164"/>
      <c r="AC216" s="179"/>
      <c r="AD216" s="134"/>
      <c r="AE216" s="24"/>
      <c r="AF216" s="24"/>
      <c r="AG216" s="22"/>
      <c r="AH216" s="45"/>
      <c r="AI216" s="24"/>
      <c r="AJ216" s="134"/>
      <c r="AK216" s="163"/>
      <c r="AL216" s="22"/>
      <c r="AM216" s="22"/>
      <c r="AN216" s="22"/>
      <c r="AO216" s="22"/>
      <c r="AP216" s="22"/>
      <c r="AQ216" s="22"/>
      <c r="AR216" s="22"/>
      <c r="AS216" s="22"/>
      <c r="AT216" s="151"/>
      <c r="AU216" s="151"/>
      <c r="AV216" s="152"/>
      <c r="AW216" s="165"/>
      <c r="AX216" s="165"/>
      <c r="AY216" s="165"/>
      <c r="AZ216" s="165"/>
      <c r="BA216" s="165"/>
      <c r="BB216" s="165"/>
      <c r="BC216" s="165"/>
      <c r="BD216" s="165"/>
      <c r="BE216" s="137" t="s">
        <v>115</v>
      </c>
      <c r="BF216" s="137" t="s">
        <v>953</v>
      </c>
      <c r="BG216" s="139" t="s">
        <v>954</v>
      </c>
      <c r="BH216" s="153"/>
      <c r="BI216" s="154"/>
      <c r="BJ216" s="154"/>
      <c r="BK216" s="46">
        <f t="shared" si="1"/>
        <v>1</v>
      </c>
      <c r="BL216" s="46"/>
      <c r="BM216" s="46"/>
      <c r="BN216" s="46"/>
    </row>
    <row r="217" spans="1:66" ht="12.75" hidden="1" customHeight="1">
      <c r="A217" s="22">
        <v>215</v>
      </c>
      <c r="B217" s="170" t="s">
        <v>1182</v>
      </c>
      <c r="C217" s="170" t="e">
        <f t="shared" ca="1" si="0"/>
        <v>#NAME?</v>
      </c>
      <c r="D217" s="170" t="s">
        <v>955</v>
      </c>
      <c r="E217" s="22" t="s">
        <v>180</v>
      </c>
      <c r="F217" s="163" t="s">
        <v>948</v>
      </c>
      <c r="G217" s="24" t="s">
        <v>921</v>
      </c>
      <c r="H217" s="24"/>
      <c r="I217" s="24">
        <v>1</v>
      </c>
      <c r="J217" s="24" t="s">
        <v>494</v>
      </c>
      <c r="K217" s="24"/>
      <c r="L217" s="24"/>
      <c r="M217" s="24"/>
      <c r="N217" s="24"/>
      <c r="O217" s="24"/>
      <c r="P217" s="133"/>
      <c r="Q217" s="133"/>
      <c r="R217" s="169"/>
      <c r="S217" s="164"/>
      <c r="T217" s="170"/>
      <c r="U217" s="170"/>
      <c r="V217" s="170"/>
      <c r="W217" s="170" t="s">
        <v>955</v>
      </c>
      <c r="X217" s="164"/>
      <c r="Y217" s="164"/>
      <c r="Z217" s="133"/>
      <c r="AA217" s="24"/>
      <c r="AB217" s="164"/>
      <c r="AC217" s="179"/>
      <c r="AD217" s="134"/>
      <c r="AE217" s="24"/>
      <c r="AF217" s="24"/>
      <c r="AG217" s="22"/>
      <c r="AH217" s="45"/>
      <c r="AI217" s="24"/>
      <c r="AJ217" s="134"/>
      <c r="AK217" s="170"/>
      <c r="AL217" s="22"/>
      <c r="AM217" s="22"/>
      <c r="AN217" s="22"/>
      <c r="AO217" s="22"/>
      <c r="AP217" s="22"/>
      <c r="AQ217" s="22"/>
      <c r="AR217" s="22"/>
      <c r="AS217" s="22"/>
      <c r="AT217" s="151"/>
      <c r="AU217" s="151"/>
      <c r="AV217" s="152"/>
      <c r="AW217" s="165"/>
      <c r="AX217" s="165"/>
      <c r="AY217" s="165"/>
      <c r="AZ217" s="165"/>
      <c r="BA217" s="165"/>
      <c r="BB217" s="165"/>
      <c r="BC217" s="165"/>
      <c r="BD217" s="165"/>
      <c r="BE217" s="137" t="s">
        <v>115</v>
      </c>
      <c r="BF217" s="137" t="s">
        <v>957</v>
      </c>
      <c r="BG217" s="139" t="s">
        <v>958</v>
      </c>
      <c r="BH217" s="153"/>
      <c r="BI217" s="154"/>
      <c r="BJ217" s="154"/>
      <c r="BK217" s="46">
        <f t="shared" si="1"/>
        <v>1</v>
      </c>
      <c r="BL217" s="46"/>
      <c r="BM217" s="46"/>
      <c r="BN217" s="46"/>
    </row>
    <row r="218" spans="1:66" ht="12.75" hidden="1" customHeight="1">
      <c r="A218" s="22">
        <v>216</v>
      </c>
      <c r="B218" s="170" t="s">
        <v>1162</v>
      </c>
      <c r="C218" s="170" t="e">
        <f t="shared" ca="1" si="0"/>
        <v>#NAME?</v>
      </c>
      <c r="D218" s="170" t="s">
        <v>936</v>
      </c>
      <c r="E218" s="22" t="s">
        <v>180</v>
      </c>
      <c r="F218" s="163" t="s">
        <v>948</v>
      </c>
      <c r="G218" s="24" t="s">
        <v>921</v>
      </c>
      <c r="H218" s="24"/>
      <c r="I218" s="24">
        <v>1</v>
      </c>
      <c r="J218" s="24" t="s">
        <v>494</v>
      </c>
      <c r="K218" s="24"/>
      <c r="L218" s="24"/>
      <c r="M218" s="24"/>
      <c r="N218" s="24"/>
      <c r="O218" s="24"/>
      <c r="P218" s="133"/>
      <c r="Q218" s="133"/>
      <c r="R218" s="169"/>
      <c r="S218" s="164"/>
      <c r="T218" s="170"/>
      <c r="U218" s="170"/>
      <c r="V218" s="170"/>
      <c r="W218" s="170" t="s">
        <v>936</v>
      </c>
      <c r="X218" s="164"/>
      <c r="Y218" s="164"/>
      <c r="Z218" s="133"/>
      <c r="AA218" s="24"/>
      <c r="AB218" s="164"/>
      <c r="AC218" s="179"/>
      <c r="AD218" s="134"/>
      <c r="AE218" s="24"/>
      <c r="AF218" s="24"/>
      <c r="AG218" s="22"/>
      <c r="AH218" s="45"/>
      <c r="AI218" s="24"/>
      <c r="AJ218" s="134"/>
      <c r="AK218" s="170"/>
      <c r="AL218" s="22"/>
      <c r="AM218" s="22"/>
      <c r="AN218" s="22"/>
      <c r="AO218" s="22"/>
      <c r="AP218" s="22"/>
      <c r="AQ218" s="22"/>
      <c r="AR218" s="22"/>
      <c r="AS218" s="22"/>
      <c r="AT218" s="134"/>
      <c r="AU218" s="134"/>
      <c r="AV218" s="24"/>
      <c r="AW218" s="133"/>
      <c r="AX218" s="133"/>
      <c r="AY218" s="133"/>
      <c r="AZ218" s="133"/>
      <c r="BA218" s="133"/>
      <c r="BB218" s="133"/>
      <c r="BC218" s="133"/>
      <c r="BD218" s="133"/>
      <c r="BE218" s="137" t="s">
        <v>115</v>
      </c>
      <c r="BF218" s="137" t="s">
        <v>115</v>
      </c>
      <c r="BG218" s="139" t="s">
        <v>115</v>
      </c>
      <c r="BH218" s="47"/>
      <c r="BI218" s="47"/>
      <c r="BJ218" s="47"/>
      <c r="BK218" s="46">
        <f t="shared" si="1"/>
        <v>1</v>
      </c>
      <c r="BL218" s="46"/>
      <c r="BM218" s="46"/>
      <c r="BN218" s="46"/>
    </row>
    <row r="219" spans="1:66" ht="12.75" hidden="1" customHeight="1">
      <c r="A219" s="22">
        <v>217</v>
      </c>
      <c r="B219" s="193" t="s">
        <v>960</v>
      </c>
      <c r="C219" s="193" t="str">
        <f t="shared" si="0"/>
        <v>Current medications</v>
      </c>
      <c r="D219" s="194" t="s">
        <v>960</v>
      </c>
      <c r="E219" s="22" t="s">
        <v>96</v>
      </c>
      <c r="F219" s="163"/>
      <c r="G219" s="24" t="s">
        <v>961</v>
      </c>
      <c r="H219" s="24"/>
      <c r="I219" s="24">
        <v>1</v>
      </c>
      <c r="J219" s="24" t="s">
        <v>494</v>
      </c>
      <c r="K219" s="24"/>
      <c r="L219" s="24"/>
      <c r="M219" s="24"/>
      <c r="N219" s="24"/>
      <c r="O219" s="24"/>
      <c r="P219" s="133"/>
      <c r="Q219" s="133"/>
      <c r="R219" s="195" t="s">
        <v>960</v>
      </c>
      <c r="S219" s="194" t="s">
        <v>962</v>
      </c>
      <c r="T219" s="196" t="s">
        <v>963</v>
      </c>
      <c r="U219" s="196" t="s">
        <v>238</v>
      </c>
      <c r="V219" s="194"/>
      <c r="W219" s="194"/>
      <c r="X219" s="196"/>
      <c r="Y219" s="196" t="s">
        <v>964</v>
      </c>
      <c r="Z219" s="133"/>
      <c r="AA219" s="24"/>
      <c r="AB219" s="163" t="s">
        <v>113</v>
      </c>
      <c r="AC219" s="179"/>
      <c r="AD219" s="134"/>
      <c r="AE219" s="24"/>
      <c r="AF219" s="24"/>
      <c r="AG219" s="22"/>
      <c r="AH219" s="45"/>
      <c r="AI219" s="24"/>
      <c r="AJ219" s="134"/>
      <c r="AK219" s="193"/>
      <c r="AL219" s="22"/>
      <c r="AM219" s="22"/>
      <c r="AN219" s="22"/>
      <c r="AO219" s="22"/>
      <c r="AP219" s="22"/>
      <c r="AQ219" s="22"/>
      <c r="AR219" s="22"/>
      <c r="AS219" s="22"/>
      <c r="AT219" s="134"/>
      <c r="AU219" s="134"/>
      <c r="AV219" s="135">
        <v>129019007</v>
      </c>
      <c r="AW219" s="133"/>
      <c r="AX219" s="133"/>
      <c r="AY219" s="133"/>
      <c r="AZ219" s="133"/>
      <c r="BA219" s="133"/>
      <c r="BB219" s="133"/>
      <c r="BC219" s="133"/>
      <c r="BD219" s="133"/>
      <c r="BE219" s="143" t="s">
        <v>965</v>
      </c>
      <c r="BF219" s="143" t="s">
        <v>966</v>
      </c>
      <c r="BG219" s="167" t="s">
        <v>967</v>
      </c>
      <c r="BH219" s="47"/>
      <c r="BI219" s="140">
        <v>129019007</v>
      </c>
      <c r="BJ219" s="47"/>
      <c r="BK219" s="46">
        <f t="shared" si="1"/>
        <v>1</v>
      </c>
      <c r="BL219" s="46"/>
      <c r="BM219" s="46"/>
      <c r="BN219" s="46"/>
    </row>
    <row r="220" spans="1:66" ht="12.75" hidden="1" customHeight="1">
      <c r="A220" s="22">
        <v>218</v>
      </c>
      <c r="B220" s="193" t="s">
        <v>553</v>
      </c>
      <c r="C220" s="193" t="e">
        <f t="shared" ca="1" si="0"/>
        <v>#NAME?</v>
      </c>
      <c r="D220" s="196" t="s">
        <v>423</v>
      </c>
      <c r="E220" s="22" t="s">
        <v>180</v>
      </c>
      <c r="F220" s="194" t="s">
        <v>960</v>
      </c>
      <c r="G220" s="24" t="s">
        <v>961</v>
      </c>
      <c r="H220" s="24"/>
      <c r="I220" s="24">
        <v>1</v>
      </c>
      <c r="J220" s="24" t="s">
        <v>494</v>
      </c>
      <c r="K220" s="24"/>
      <c r="L220" s="24"/>
      <c r="M220" s="24"/>
      <c r="N220" s="24"/>
      <c r="O220" s="24"/>
      <c r="P220" s="133"/>
      <c r="Q220" s="133"/>
      <c r="R220" s="195"/>
      <c r="S220" s="133"/>
      <c r="T220" s="163"/>
      <c r="U220" s="196"/>
      <c r="V220" s="194"/>
      <c r="W220" s="194" t="s">
        <v>423</v>
      </c>
      <c r="X220" s="196"/>
      <c r="Y220" s="196"/>
      <c r="Z220" s="133"/>
      <c r="AA220" s="24"/>
      <c r="AB220" s="196"/>
      <c r="AC220" s="179"/>
      <c r="AD220" s="134"/>
      <c r="AE220" s="24"/>
      <c r="AF220" s="24"/>
      <c r="AG220" s="22"/>
      <c r="AH220" s="45"/>
      <c r="AI220" s="24"/>
      <c r="AJ220" s="134"/>
      <c r="AK220" s="193"/>
      <c r="AL220" s="22"/>
      <c r="AM220" s="22"/>
      <c r="AN220" s="22"/>
      <c r="AO220" s="22"/>
      <c r="AP220" s="22"/>
      <c r="AQ220" s="22"/>
      <c r="AR220" s="22"/>
      <c r="AS220" s="22"/>
      <c r="AT220" s="134"/>
      <c r="AU220" s="134"/>
      <c r="AV220" s="135">
        <v>260413007</v>
      </c>
      <c r="AW220" s="133"/>
      <c r="AX220" s="133"/>
      <c r="AY220" s="133"/>
      <c r="AZ220" s="133"/>
      <c r="BA220" s="133"/>
      <c r="BB220" s="133"/>
      <c r="BC220" s="133"/>
      <c r="BD220" s="133"/>
      <c r="BE220" s="137" t="s">
        <v>115</v>
      </c>
      <c r="BF220" s="137" t="s">
        <v>424</v>
      </c>
      <c r="BG220" s="139" t="s">
        <v>425</v>
      </c>
      <c r="BH220" s="47"/>
      <c r="BI220" s="140">
        <v>260413007</v>
      </c>
      <c r="BJ220" s="47"/>
      <c r="BK220" s="46">
        <f t="shared" si="1"/>
        <v>1</v>
      </c>
      <c r="BL220" s="46"/>
      <c r="BM220" s="46"/>
      <c r="BN220" s="46"/>
    </row>
    <row r="221" spans="1:66" ht="12.75" hidden="1" customHeight="1">
      <c r="A221" s="22">
        <v>219</v>
      </c>
      <c r="B221" s="193" t="s">
        <v>701</v>
      </c>
      <c r="C221" s="193" t="e">
        <f t="shared" ca="1" si="0"/>
        <v>#NAME?</v>
      </c>
      <c r="D221" s="196" t="s">
        <v>500</v>
      </c>
      <c r="E221" s="22" t="s">
        <v>180</v>
      </c>
      <c r="F221" s="194" t="s">
        <v>960</v>
      </c>
      <c r="G221" s="24" t="s">
        <v>961</v>
      </c>
      <c r="H221" s="24"/>
      <c r="I221" s="24">
        <v>1</v>
      </c>
      <c r="J221" s="24" t="s">
        <v>494</v>
      </c>
      <c r="K221" s="24"/>
      <c r="L221" s="24"/>
      <c r="M221" s="24"/>
      <c r="N221" s="24"/>
      <c r="O221" s="24"/>
      <c r="P221" s="133"/>
      <c r="Q221" s="133"/>
      <c r="R221" s="195"/>
      <c r="S221" s="133"/>
      <c r="T221" s="163"/>
      <c r="U221" s="196"/>
      <c r="V221" s="194"/>
      <c r="W221" s="194" t="s">
        <v>500</v>
      </c>
      <c r="X221" s="196"/>
      <c r="Y221" s="196"/>
      <c r="Z221" s="133"/>
      <c r="AA221" s="24"/>
      <c r="AB221" s="196"/>
      <c r="AC221" s="179"/>
      <c r="AD221" s="134"/>
      <c r="AE221" s="24"/>
      <c r="AF221" s="24"/>
      <c r="AG221" s="22"/>
      <c r="AH221" s="45"/>
      <c r="AI221" s="24"/>
      <c r="AJ221" s="134"/>
      <c r="AK221" s="193"/>
      <c r="AL221" s="22"/>
      <c r="AM221" s="22"/>
      <c r="AN221" s="22"/>
      <c r="AO221" s="22"/>
      <c r="AP221" s="22"/>
      <c r="AQ221" s="22"/>
      <c r="AR221" s="22"/>
      <c r="AS221" s="22"/>
      <c r="AT221" s="134"/>
      <c r="AU221" s="134"/>
      <c r="AV221" s="135">
        <v>261665006</v>
      </c>
      <c r="AW221" s="133"/>
      <c r="AX221" s="133"/>
      <c r="AY221" s="133"/>
      <c r="AZ221" s="133"/>
      <c r="BA221" s="133"/>
      <c r="BB221" s="133"/>
      <c r="BC221" s="133"/>
      <c r="BD221" s="133"/>
      <c r="BE221" s="137" t="s">
        <v>115</v>
      </c>
      <c r="BF221" s="137" t="s">
        <v>501</v>
      </c>
      <c r="BG221" s="139" t="s">
        <v>503</v>
      </c>
      <c r="BH221" s="47"/>
      <c r="BI221" s="140">
        <v>261665006</v>
      </c>
      <c r="BJ221" s="47"/>
      <c r="BK221" s="46">
        <f t="shared" si="1"/>
        <v>1</v>
      </c>
      <c r="BL221" s="46"/>
      <c r="BM221" s="46"/>
      <c r="BN221" s="46"/>
    </row>
    <row r="222" spans="1:66" ht="12.75" hidden="1" customHeight="1">
      <c r="A222" s="22">
        <v>220</v>
      </c>
      <c r="B222" s="193" t="s">
        <v>1192</v>
      </c>
      <c r="C222" s="193" t="e">
        <f t="shared" ca="1" si="0"/>
        <v>#NAME?</v>
      </c>
      <c r="D222" s="196" t="s">
        <v>970</v>
      </c>
      <c r="E222" s="22" t="s">
        <v>180</v>
      </c>
      <c r="F222" s="194" t="s">
        <v>960</v>
      </c>
      <c r="G222" s="24" t="s">
        <v>961</v>
      </c>
      <c r="H222" s="24"/>
      <c r="I222" s="24">
        <v>1</v>
      </c>
      <c r="J222" s="24" t="s">
        <v>494</v>
      </c>
      <c r="K222" s="24"/>
      <c r="L222" s="24"/>
      <c r="M222" s="24"/>
      <c r="N222" s="24"/>
      <c r="O222" s="24"/>
      <c r="P222" s="133"/>
      <c r="Q222" s="133"/>
      <c r="R222" s="195"/>
      <c r="S222" s="133"/>
      <c r="T222" s="163"/>
      <c r="U222" s="196"/>
      <c r="V222" s="194"/>
      <c r="W222" s="194" t="s">
        <v>970</v>
      </c>
      <c r="X222" s="196"/>
      <c r="Y222" s="196"/>
      <c r="Z222" s="133"/>
      <c r="AA222" s="24"/>
      <c r="AB222" s="196"/>
      <c r="AC222" s="179"/>
      <c r="AD222" s="134"/>
      <c r="AE222" s="24"/>
      <c r="AF222" s="24"/>
      <c r="AG222" s="22"/>
      <c r="AH222" s="45"/>
      <c r="AI222" s="24"/>
      <c r="AJ222" s="134"/>
      <c r="AK222" s="193"/>
      <c r="AL222" s="22"/>
      <c r="AM222" s="22"/>
      <c r="AN222" s="22"/>
      <c r="AO222" s="22"/>
      <c r="AP222" s="22"/>
      <c r="AQ222" s="22"/>
      <c r="AR222" s="22"/>
      <c r="AS222" s="22"/>
      <c r="AT222" s="134"/>
      <c r="AU222" s="134"/>
      <c r="AV222" s="135">
        <v>372794006</v>
      </c>
      <c r="AW222" s="133"/>
      <c r="AX222" s="133"/>
      <c r="AY222" s="133"/>
      <c r="AZ222" s="133"/>
      <c r="BA222" s="133"/>
      <c r="BB222" s="133"/>
      <c r="BC222" s="133"/>
      <c r="BD222" s="133"/>
      <c r="BE222" s="137" t="s">
        <v>115</v>
      </c>
      <c r="BF222" s="143" t="s">
        <v>971</v>
      </c>
      <c r="BG222" s="167" t="s">
        <v>972</v>
      </c>
      <c r="BH222" s="47"/>
      <c r="BI222" s="140">
        <v>372794006</v>
      </c>
      <c r="BJ222" s="47"/>
      <c r="BK222" s="46">
        <f t="shared" si="1"/>
        <v>1</v>
      </c>
      <c r="BL222" s="46"/>
      <c r="BM222" s="46"/>
      <c r="BN222" s="46"/>
    </row>
    <row r="223" spans="1:66" ht="12.75" hidden="1" customHeight="1">
      <c r="A223" s="22">
        <v>221</v>
      </c>
      <c r="B223" s="193" t="s">
        <v>1193</v>
      </c>
      <c r="C223" s="193" t="e">
        <f t="shared" ca="1" si="0"/>
        <v>#NAME?</v>
      </c>
      <c r="D223" s="196" t="s">
        <v>973</v>
      </c>
      <c r="E223" s="22" t="s">
        <v>180</v>
      </c>
      <c r="F223" s="194" t="s">
        <v>960</v>
      </c>
      <c r="G223" s="24" t="s">
        <v>961</v>
      </c>
      <c r="H223" s="24"/>
      <c r="I223" s="24">
        <v>1</v>
      </c>
      <c r="J223" s="24" t="s">
        <v>494</v>
      </c>
      <c r="K223" s="24"/>
      <c r="L223" s="24"/>
      <c r="M223" s="24"/>
      <c r="N223" s="24"/>
      <c r="O223" s="24"/>
      <c r="P223" s="133"/>
      <c r="Q223" s="133"/>
      <c r="R223" s="195"/>
      <c r="S223" s="133"/>
      <c r="T223" s="163"/>
      <c r="U223" s="196"/>
      <c r="V223" s="194"/>
      <c r="W223" s="194" t="s">
        <v>973</v>
      </c>
      <c r="X223" s="196"/>
      <c r="Y223" s="196"/>
      <c r="Z223" s="133"/>
      <c r="AA223" s="24"/>
      <c r="AB223" s="196"/>
      <c r="AC223" s="179"/>
      <c r="AD223" s="134"/>
      <c r="AE223" s="24"/>
      <c r="AF223" s="24"/>
      <c r="AG223" s="22"/>
      <c r="AH223" s="45"/>
      <c r="AI223" s="24"/>
      <c r="AJ223" s="134"/>
      <c r="AK223" s="193"/>
      <c r="AL223" s="22"/>
      <c r="AM223" s="22"/>
      <c r="AN223" s="22"/>
      <c r="AO223" s="22"/>
      <c r="AP223" s="22"/>
      <c r="AQ223" s="22"/>
      <c r="AR223" s="22"/>
      <c r="AS223" s="22"/>
      <c r="AT223" s="134"/>
      <c r="AU223" s="134"/>
      <c r="AV223" s="135">
        <v>7947003</v>
      </c>
      <c r="AW223" s="133"/>
      <c r="AX223" s="133"/>
      <c r="AY223" s="133"/>
      <c r="AZ223" s="133"/>
      <c r="BA223" s="133"/>
      <c r="BB223" s="133"/>
      <c r="BC223" s="133"/>
      <c r="BD223" s="133"/>
      <c r="BE223" s="137" t="s">
        <v>115</v>
      </c>
      <c r="BF223" s="143" t="s">
        <v>975</v>
      </c>
      <c r="BG223" s="167" t="s">
        <v>976</v>
      </c>
      <c r="BH223" s="47"/>
      <c r="BI223" s="140">
        <v>7947003</v>
      </c>
      <c r="BJ223" s="47"/>
      <c r="BK223" s="46">
        <f t="shared" si="1"/>
        <v>1</v>
      </c>
      <c r="BL223" s="46"/>
      <c r="BM223" s="46"/>
      <c r="BN223" s="46"/>
    </row>
    <row r="224" spans="1:66" ht="12.75" hidden="1" customHeight="1">
      <c r="A224" s="22">
        <v>222</v>
      </c>
      <c r="B224" s="193" t="s">
        <v>1071</v>
      </c>
      <c r="C224" s="193" t="e">
        <f t="shared" ca="1" si="0"/>
        <v>#NAME?</v>
      </c>
      <c r="D224" s="196" t="s">
        <v>783</v>
      </c>
      <c r="E224" s="22" t="s">
        <v>180</v>
      </c>
      <c r="F224" s="194" t="s">
        <v>960</v>
      </c>
      <c r="G224" s="24" t="s">
        <v>961</v>
      </c>
      <c r="H224" s="24"/>
      <c r="I224" s="24">
        <v>1</v>
      </c>
      <c r="J224" s="24" t="s">
        <v>494</v>
      </c>
      <c r="K224" s="24"/>
      <c r="L224" s="24"/>
      <c r="M224" s="24"/>
      <c r="N224" s="24"/>
      <c r="O224" s="24"/>
      <c r="P224" s="133"/>
      <c r="Q224" s="133"/>
      <c r="R224" s="195"/>
      <c r="S224" s="133"/>
      <c r="T224" s="163"/>
      <c r="U224" s="196"/>
      <c r="V224" s="194"/>
      <c r="W224" s="194" t="s">
        <v>783</v>
      </c>
      <c r="X224" s="196"/>
      <c r="Y224" s="196"/>
      <c r="Z224" s="133"/>
      <c r="AA224" s="24"/>
      <c r="AB224" s="196"/>
      <c r="AC224" s="179"/>
      <c r="AD224" s="134"/>
      <c r="AE224" s="24"/>
      <c r="AF224" s="24"/>
      <c r="AG224" s="22"/>
      <c r="AH224" s="45"/>
      <c r="AI224" s="24"/>
      <c r="AJ224" s="134"/>
      <c r="AK224" s="193"/>
      <c r="AL224" s="22"/>
      <c r="AM224" s="22"/>
      <c r="AN224" s="22"/>
      <c r="AO224" s="22"/>
      <c r="AP224" s="22"/>
      <c r="AQ224" s="22"/>
      <c r="AR224" s="22"/>
      <c r="AS224" s="22"/>
      <c r="AT224" s="134"/>
      <c r="AU224" s="134"/>
      <c r="AV224" s="135">
        <v>5540006</v>
      </c>
      <c r="AW224" s="133"/>
      <c r="AX224" s="133"/>
      <c r="AY224" s="133"/>
      <c r="AZ224" s="133"/>
      <c r="BA224" s="133"/>
      <c r="BB224" s="133"/>
      <c r="BC224" s="133"/>
      <c r="BD224" s="133"/>
      <c r="BE224" s="137" t="s">
        <v>115</v>
      </c>
      <c r="BF224" s="143" t="s">
        <v>784</v>
      </c>
      <c r="BG224" s="167" t="s">
        <v>785</v>
      </c>
      <c r="BH224" s="47"/>
      <c r="BI224" s="140">
        <v>5540006</v>
      </c>
      <c r="BJ224" s="47"/>
      <c r="BK224" s="46">
        <f t="shared" si="1"/>
        <v>1</v>
      </c>
      <c r="BL224" s="46"/>
      <c r="BM224" s="46"/>
      <c r="BN224" s="46"/>
    </row>
    <row r="225" spans="1:66" ht="12.75" hidden="1" customHeight="1">
      <c r="A225" s="22">
        <v>223</v>
      </c>
      <c r="B225" s="163" t="s">
        <v>1203</v>
      </c>
      <c r="C225" s="163" t="e">
        <f t="shared" ca="1" si="0"/>
        <v>#NAME?</v>
      </c>
      <c r="D225" s="163" t="s">
        <v>978</v>
      </c>
      <c r="E225" s="22" t="s">
        <v>180</v>
      </c>
      <c r="F225" s="194" t="s">
        <v>960</v>
      </c>
      <c r="G225" s="24" t="s">
        <v>961</v>
      </c>
      <c r="H225" s="24"/>
      <c r="I225" s="24">
        <v>1</v>
      </c>
      <c r="J225" s="24" t="s">
        <v>494</v>
      </c>
      <c r="K225" s="24"/>
      <c r="L225" s="24"/>
      <c r="M225" s="24"/>
      <c r="N225" s="24"/>
      <c r="O225" s="24"/>
      <c r="P225" s="133"/>
      <c r="Q225" s="133"/>
      <c r="R225" s="195"/>
      <c r="S225" s="133"/>
      <c r="T225" s="163"/>
      <c r="U225" s="196"/>
      <c r="V225" s="163"/>
      <c r="W225" s="163" t="s">
        <v>978</v>
      </c>
      <c r="X225" s="196"/>
      <c r="Y225" s="196"/>
      <c r="Z225" s="133"/>
      <c r="AA225" s="24"/>
      <c r="AB225" s="196"/>
      <c r="AC225" s="179"/>
      <c r="AD225" s="134"/>
      <c r="AE225" s="24"/>
      <c r="AF225" s="24"/>
      <c r="AG225" s="22"/>
      <c r="AH225" s="45"/>
      <c r="AI225" s="24"/>
      <c r="AJ225" s="134"/>
      <c r="AK225" s="163"/>
      <c r="AL225" s="22"/>
      <c r="AM225" s="22"/>
      <c r="AN225" s="22"/>
      <c r="AO225" s="22"/>
      <c r="AP225" s="22"/>
      <c r="AQ225" s="22"/>
      <c r="AR225" s="22"/>
      <c r="AS225" s="22"/>
      <c r="AT225" s="134"/>
      <c r="AU225" s="134"/>
      <c r="AV225" s="135">
        <v>412380009</v>
      </c>
      <c r="AW225" s="133"/>
      <c r="AX225" s="133"/>
      <c r="AY225" s="133"/>
      <c r="AZ225" s="133"/>
      <c r="BA225" s="133"/>
      <c r="BB225" s="133"/>
      <c r="BC225" s="133"/>
      <c r="BD225" s="133"/>
      <c r="BE225" s="137" t="s">
        <v>115</v>
      </c>
      <c r="BF225" s="143" t="s">
        <v>979</v>
      </c>
      <c r="BG225" s="167" t="s">
        <v>980</v>
      </c>
      <c r="BH225" s="47"/>
      <c r="BI225" s="140">
        <v>412380009</v>
      </c>
      <c r="BJ225" s="47"/>
      <c r="BK225" s="46">
        <f t="shared" si="1"/>
        <v>1</v>
      </c>
      <c r="BL225" s="46"/>
      <c r="BM225" s="46"/>
      <c r="BN225" s="46"/>
    </row>
    <row r="226" spans="1:66" ht="12.75" hidden="1" customHeight="1">
      <c r="A226" s="22">
        <v>224</v>
      </c>
      <c r="B226" s="163" t="s">
        <v>1081</v>
      </c>
      <c r="C226" s="163" t="e">
        <f t="shared" ca="1" si="0"/>
        <v>#NAME?</v>
      </c>
      <c r="D226" s="163" t="s">
        <v>790</v>
      </c>
      <c r="E226" s="22" t="s">
        <v>180</v>
      </c>
      <c r="F226" s="194" t="s">
        <v>960</v>
      </c>
      <c r="G226" s="24" t="s">
        <v>961</v>
      </c>
      <c r="H226" s="24"/>
      <c r="I226" s="24">
        <v>1</v>
      </c>
      <c r="J226" s="24" t="s">
        <v>494</v>
      </c>
      <c r="K226" s="24"/>
      <c r="L226" s="24"/>
      <c r="M226" s="24"/>
      <c r="N226" s="24"/>
      <c r="O226" s="24"/>
      <c r="P226" s="133"/>
      <c r="Q226" s="133"/>
      <c r="R226" s="195"/>
      <c r="S226" s="133"/>
      <c r="T226" s="163"/>
      <c r="U226" s="196"/>
      <c r="V226" s="163"/>
      <c r="W226" s="163" t="s">
        <v>790</v>
      </c>
      <c r="X226" s="196"/>
      <c r="Y226" s="196"/>
      <c r="Z226" s="133"/>
      <c r="AA226" s="24"/>
      <c r="AB226" s="196"/>
      <c r="AC226" s="179"/>
      <c r="AD226" s="134"/>
      <c r="AE226" s="24"/>
      <c r="AF226" s="24"/>
      <c r="AG226" s="22"/>
      <c r="AH226" s="45"/>
      <c r="AI226" s="24"/>
      <c r="AJ226" s="134"/>
      <c r="AK226" s="163"/>
      <c r="AL226" s="22"/>
      <c r="AM226" s="22"/>
      <c r="AN226" s="22"/>
      <c r="AO226" s="22"/>
      <c r="AP226" s="22"/>
      <c r="AQ226" s="22"/>
      <c r="AR226" s="22"/>
      <c r="AS226" s="22"/>
      <c r="AT226" s="134"/>
      <c r="AU226" s="134"/>
      <c r="AV226" s="135">
        <v>6247001</v>
      </c>
      <c r="AW226" s="133"/>
      <c r="AX226" s="133"/>
      <c r="AY226" s="133"/>
      <c r="AZ226" s="133"/>
      <c r="BA226" s="133"/>
      <c r="BB226" s="133"/>
      <c r="BC226" s="133"/>
      <c r="BD226" s="133"/>
      <c r="BE226" s="137" t="s">
        <v>115</v>
      </c>
      <c r="BF226" s="143" t="s">
        <v>791</v>
      </c>
      <c r="BG226" s="167" t="s">
        <v>792</v>
      </c>
      <c r="BH226" s="47"/>
      <c r="BI226" s="140">
        <v>6247001</v>
      </c>
      <c r="BJ226" s="47"/>
      <c r="BK226" s="46">
        <f t="shared" si="1"/>
        <v>1</v>
      </c>
      <c r="BL226" s="46"/>
      <c r="BM226" s="46"/>
      <c r="BN226" s="46"/>
    </row>
    <row r="227" spans="1:66" ht="12.75" hidden="1" customHeight="1">
      <c r="A227" s="22">
        <v>225</v>
      </c>
      <c r="B227" s="193" t="s">
        <v>1090</v>
      </c>
      <c r="C227" s="193" t="e">
        <f t="shared" ca="1" si="0"/>
        <v>#NAME?</v>
      </c>
      <c r="D227" s="196" t="s">
        <v>797</v>
      </c>
      <c r="E227" s="22" t="s">
        <v>180</v>
      </c>
      <c r="F227" s="194" t="s">
        <v>960</v>
      </c>
      <c r="G227" s="24" t="s">
        <v>961</v>
      </c>
      <c r="H227" s="24"/>
      <c r="I227" s="24">
        <v>1</v>
      </c>
      <c r="J227" s="24" t="s">
        <v>494</v>
      </c>
      <c r="K227" s="24"/>
      <c r="L227" s="24"/>
      <c r="M227" s="24"/>
      <c r="N227" s="24"/>
      <c r="O227" s="24"/>
      <c r="P227" s="133"/>
      <c r="Q227" s="133"/>
      <c r="R227" s="195"/>
      <c r="S227" s="133"/>
      <c r="T227" s="163"/>
      <c r="U227" s="196"/>
      <c r="V227" s="194"/>
      <c r="W227" s="194" t="s">
        <v>797</v>
      </c>
      <c r="X227" s="196"/>
      <c r="Y227" s="196"/>
      <c r="Z227" s="133"/>
      <c r="AA227" s="24"/>
      <c r="AB227" s="196"/>
      <c r="AC227" s="179"/>
      <c r="AD227" s="134"/>
      <c r="AE227" s="24"/>
      <c r="AF227" s="24"/>
      <c r="AG227" s="22"/>
      <c r="AH227" s="45"/>
      <c r="AI227" s="24"/>
      <c r="AJ227" s="134"/>
      <c r="AK227" s="193"/>
      <c r="AL227" s="22"/>
      <c r="AM227" s="22"/>
      <c r="AN227" s="22"/>
      <c r="AO227" s="22"/>
      <c r="AP227" s="22"/>
      <c r="AQ227" s="22"/>
      <c r="AR227" s="22"/>
      <c r="AS227" s="22"/>
      <c r="AT227" s="134"/>
      <c r="AU227" s="134"/>
      <c r="AV227" s="135">
        <v>30729008</v>
      </c>
      <c r="AW227" s="133"/>
      <c r="AX227" s="133"/>
      <c r="AY227" s="133"/>
      <c r="AZ227" s="133"/>
      <c r="BA227" s="133"/>
      <c r="BB227" s="133"/>
      <c r="BC227" s="133"/>
      <c r="BD227" s="133"/>
      <c r="BE227" s="137" t="s">
        <v>115</v>
      </c>
      <c r="BF227" s="143" t="s">
        <v>798</v>
      </c>
      <c r="BG227" s="167" t="s">
        <v>799</v>
      </c>
      <c r="BH227" s="47"/>
      <c r="BI227" s="140">
        <v>30729008</v>
      </c>
      <c r="BJ227" s="47"/>
      <c r="BK227" s="46">
        <f t="shared" si="1"/>
        <v>1</v>
      </c>
      <c r="BL227" s="46"/>
      <c r="BM227" s="46"/>
      <c r="BN227" s="46"/>
    </row>
    <row r="228" spans="1:66" ht="12.75" hidden="1" customHeight="1">
      <c r="A228" s="22">
        <v>226</v>
      </c>
      <c r="B228" s="193" t="s">
        <v>1212</v>
      </c>
      <c r="C228" s="193" t="e">
        <f t="shared" ca="1" si="0"/>
        <v>#NAME?</v>
      </c>
      <c r="D228" s="196" t="s">
        <v>983</v>
      </c>
      <c r="E228" s="22" t="s">
        <v>180</v>
      </c>
      <c r="F228" s="194" t="s">
        <v>960</v>
      </c>
      <c r="G228" s="24" t="s">
        <v>961</v>
      </c>
      <c r="H228" s="24"/>
      <c r="I228" s="24">
        <v>1</v>
      </c>
      <c r="J228" s="24" t="s">
        <v>494</v>
      </c>
      <c r="K228" s="24"/>
      <c r="L228" s="24"/>
      <c r="M228" s="24"/>
      <c r="N228" s="24"/>
      <c r="O228" s="24"/>
      <c r="P228" s="133"/>
      <c r="Q228" s="133"/>
      <c r="R228" s="195"/>
      <c r="S228" s="133"/>
      <c r="T228" s="163"/>
      <c r="U228" s="196"/>
      <c r="V228" s="194"/>
      <c r="W228" s="194" t="s">
        <v>983</v>
      </c>
      <c r="X228" s="196"/>
      <c r="Y228" s="196"/>
      <c r="Z228" s="133"/>
      <c r="AA228" s="24"/>
      <c r="AB228" s="196"/>
      <c r="AC228" s="179"/>
      <c r="AD228" s="134"/>
      <c r="AE228" s="24"/>
      <c r="AF228" s="24"/>
      <c r="AG228" s="22"/>
      <c r="AH228" s="45"/>
      <c r="AI228" s="24"/>
      <c r="AJ228" s="134"/>
      <c r="AK228" s="193"/>
      <c r="AL228" s="22"/>
      <c r="AM228" s="22"/>
      <c r="AN228" s="22"/>
      <c r="AO228" s="22"/>
      <c r="AP228" s="22"/>
      <c r="AQ228" s="22"/>
      <c r="AR228" s="22"/>
      <c r="AS228" s="22"/>
      <c r="AT228" s="134"/>
      <c r="AU228" s="134"/>
      <c r="AV228" s="135">
        <v>72717003</v>
      </c>
      <c r="AW228" s="133"/>
      <c r="AX228" s="133"/>
      <c r="AY228" s="133"/>
      <c r="AZ228" s="133"/>
      <c r="BA228" s="133"/>
      <c r="BB228" s="133"/>
      <c r="BC228" s="133"/>
      <c r="BD228" s="133"/>
      <c r="BE228" s="137" t="s">
        <v>115</v>
      </c>
      <c r="BF228" s="143" t="s">
        <v>984</v>
      </c>
      <c r="BG228" s="167" t="s">
        <v>985</v>
      </c>
      <c r="BH228" s="47"/>
      <c r="BI228" s="140">
        <v>72717003</v>
      </c>
      <c r="BJ228" s="47"/>
      <c r="BK228" s="46">
        <f t="shared" si="1"/>
        <v>1</v>
      </c>
      <c r="BL228" s="46"/>
      <c r="BM228" s="46"/>
      <c r="BN228" s="46"/>
    </row>
    <row r="229" spans="1:66" ht="12.75" hidden="1" customHeight="1">
      <c r="A229" s="22">
        <v>227</v>
      </c>
      <c r="B229" s="193" t="s">
        <v>1213</v>
      </c>
      <c r="C229" s="193" t="e">
        <f t="shared" ca="1" si="0"/>
        <v>#NAME?</v>
      </c>
      <c r="D229" s="196" t="s">
        <v>986</v>
      </c>
      <c r="E229" s="22" t="s">
        <v>180</v>
      </c>
      <c r="F229" s="194" t="s">
        <v>960</v>
      </c>
      <c r="G229" s="24" t="s">
        <v>961</v>
      </c>
      <c r="H229" s="24"/>
      <c r="I229" s="24">
        <v>1</v>
      </c>
      <c r="J229" s="24" t="s">
        <v>494</v>
      </c>
      <c r="K229" s="24"/>
      <c r="L229" s="24"/>
      <c r="M229" s="24"/>
      <c r="N229" s="24"/>
      <c r="O229" s="24"/>
      <c r="P229" s="133"/>
      <c r="Q229" s="133"/>
      <c r="R229" s="195"/>
      <c r="S229" s="133"/>
      <c r="T229" s="163"/>
      <c r="U229" s="196"/>
      <c r="V229" s="194"/>
      <c r="W229" s="194" t="s">
        <v>986</v>
      </c>
      <c r="X229" s="196"/>
      <c r="Y229" s="196"/>
      <c r="Z229" s="133"/>
      <c r="AA229" s="24"/>
      <c r="AB229" s="196"/>
      <c r="AC229" s="179"/>
      <c r="AD229" s="134"/>
      <c r="AE229" s="24"/>
      <c r="AF229" s="24"/>
      <c r="AG229" s="22"/>
      <c r="AH229" s="45"/>
      <c r="AI229" s="24"/>
      <c r="AJ229" s="134"/>
      <c r="AK229" s="193"/>
      <c r="AL229" s="22"/>
      <c r="AM229" s="22"/>
      <c r="AN229" s="22"/>
      <c r="AO229" s="22"/>
      <c r="AP229" s="22"/>
      <c r="AQ229" s="22"/>
      <c r="AR229" s="22"/>
      <c r="AS229" s="22"/>
      <c r="AT229" s="134"/>
      <c r="AU229" s="134"/>
      <c r="AV229" s="135">
        <v>56549003</v>
      </c>
      <c r="AW229" s="133"/>
      <c r="AX229" s="133"/>
      <c r="AY229" s="133"/>
      <c r="AZ229" s="133"/>
      <c r="BA229" s="133"/>
      <c r="BB229" s="133"/>
      <c r="BC229" s="133"/>
      <c r="BD229" s="133"/>
      <c r="BE229" s="137" t="s">
        <v>115</v>
      </c>
      <c r="BF229" s="143" t="s">
        <v>988</v>
      </c>
      <c r="BG229" s="167" t="s">
        <v>989</v>
      </c>
      <c r="BH229" s="47"/>
      <c r="BI229" s="140">
        <v>56549003</v>
      </c>
      <c r="BJ229" s="47"/>
      <c r="BK229" s="46">
        <f t="shared" si="1"/>
        <v>1</v>
      </c>
      <c r="BL229" s="46"/>
      <c r="BM229" s="46"/>
      <c r="BN229" s="46"/>
    </row>
    <row r="230" spans="1:66" ht="12.75" hidden="1" customHeight="1">
      <c r="A230" s="22">
        <v>228</v>
      </c>
      <c r="B230" s="193" t="s">
        <v>1218</v>
      </c>
      <c r="C230" s="193" t="e">
        <f t="shared" ca="1" si="0"/>
        <v>#NAME?</v>
      </c>
      <c r="D230" s="196" t="s">
        <v>990</v>
      </c>
      <c r="E230" s="22" t="s">
        <v>180</v>
      </c>
      <c r="F230" s="194" t="s">
        <v>960</v>
      </c>
      <c r="G230" s="24" t="s">
        <v>961</v>
      </c>
      <c r="H230" s="24"/>
      <c r="I230" s="24">
        <v>1</v>
      </c>
      <c r="J230" s="24" t="s">
        <v>494</v>
      </c>
      <c r="K230" s="24"/>
      <c r="L230" s="24"/>
      <c r="M230" s="24"/>
      <c r="N230" s="24"/>
      <c r="O230" s="24"/>
      <c r="P230" s="133"/>
      <c r="Q230" s="133"/>
      <c r="R230" s="195"/>
      <c r="S230" s="133"/>
      <c r="T230" s="163"/>
      <c r="U230" s="196"/>
      <c r="V230" s="194"/>
      <c r="W230" s="194" t="s">
        <v>990</v>
      </c>
      <c r="X230" s="196"/>
      <c r="Y230" s="196"/>
      <c r="Z230" s="133"/>
      <c r="AA230" s="24"/>
      <c r="AB230" s="196"/>
      <c r="AC230" s="179"/>
      <c r="AD230" s="134"/>
      <c r="AE230" s="24"/>
      <c r="AF230" s="24"/>
      <c r="AG230" s="22"/>
      <c r="AH230" s="45"/>
      <c r="AI230" s="24"/>
      <c r="AJ230" s="134"/>
      <c r="AK230" s="193"/>
      <c r="AL230" s="22"/>
      <c r="AM230" s="22"/>
      <c r="AN230" s="22"/>
      <c r="AO230" s="22"/>
      <c r="AP230" s="22"/>
      <c r="AQ230" s="22"/>
      <c r="AR230" s="22"/>
      <c r="AS230" s="22"/>
      <c r="AT230" s="134"/>
      <c r="AU230" s="134"/>
      <c r="AV230" s="135">
        <v>82156005</v>
      </c>
      <c r="AW230" s="133"/>
      <c r="AX230" s="133"/>
      <c r="AY230" s="133"/>
      <c r="AZ230" s="133"/>
      <c r="BA230" s="133"/>
      <c r="BB230" s="133"/>
      <c r="BC230" s="133"/>
      <c r="BD230" s="133"/>
      <c r="BE230" s="137" t="s">
        <v>115</v>
      </c>
      <c r="BF230" s="143" t="s">
        <v>992</v>
      </c>
      <c r="BG230" s="167" t="s">
        <v>993</v>
      </c>
      <c r="BH230" s="64"/>
      <c r="BI230" s="145">
        <v>82156005</v>
      </c>
      <c r="BJ230" s="64"/>
      <c r="BK230" s="46">
        <f t="shared" si="1"/>
        <v>1</v>
      </c>
      <c r="BL230" s="46"/>
      <c r="BM230" s="46"/>
      <c r="BN230" s="46"/>
    </row>
    <row r="231" spans="1:66" ht="12.75" hidden="1" customHeight="1">
      <c r="A231" s="22">
        <v>229</v>
      </c>
      <c r="B231" s="193" t="s">
        <v>1222</v>
      </c>
      <c r="C231" s="193" t="e">
        <f t="shared" ca="1" si="0"/>
        <v>#NAME?</v>
      </c>
      <c r="D231" s="196" t="s">
        <v>994</v>
      </c>
      <c r="E231" s="22" t="s">
        <v>180</v>
      </c>
      <c r="F231" s="194" t="s">
        <v>960</v>
      </c>
      <c r="G231" s="24" t="s">
        <v>961</v>
      </c>
      <c r="H231" s="24"/>
      <c r="I231" s="24">
        <v>1</v>
      </c>
      <c r="J231" s="24" t="s">
        <v>494</v>
      </c>
      <c r="K231" s="24"/>
      <c r="L231" s="24"/>
      <c r="M231" s="24"/>
      <c r="N231" s="24"/>
      <c r="O231" s="24"/>
      <c r="P231" s="133"/>
      <c r="Q231" s="133"/>
      <c r="R231" s="195"/>
      <c r="S231" s="133"/>
      <c r="T231" s="163"/>
      <c r="U231" s="196"/>
      <c r="V231" s="194"/>
      <c r="W231" s="194" t="s">
        <v>994</v>
      </c>
      <c r="X231" s="196"/>
      <c r="Y231" s="196"/>
      <c r="Z231" s="133"/>
      <c r="AA231" s="24"/>
      <c r="AB231" s="196"/>
      <c r="AC231" s="179"/>
      <c r="AD231" s="134"/>
      <c r="AE231" s="24"/>
      <c r="AF231" s="24"/>
      <c r="AG231" s="22"/>
      <c r="AH231" s="45"/>
      <c r="AI231" s="24"/>
      <c r="AJ231" s="134"/>
      <c r="AK231" s="193"/>
      <c r="AL231" s="22"/>
      <c r="AM231" s="22"/>
      <c r="AN231" s="22"/>
      <c r="AO231" s="22"/>
      <c r="AP231" s="22"/>
      <c r="AQ231" s="22"/>
      <c r="AR231" s="22"/>
      <c r="AS231" s="22"/>
      <c r="AT231" s="151"/>
      <c r="AU231" s="151"/>
      <c r="AV231" s="152"/>
      <c r="AW231" s="165"/>
      <c r="AX231" s="165"/>
      <c r="AY231" s="165"/>
      <c r="AZ231" s="165"/>
      <c r="BA231" s="165"/>
      <c r="BB231" s="165"/>
      <c r="BC231" s="165"/>
      <c r="BD231" s="165"/>
      <c r="BE231" s="137" t="s">
        <v>115</v>
      </c>
      <c r="BF231" s="143" t="s">
        <v>996</v>
      </c>
      <c r="BG231" s="167" t="s">
        <v>997</v>
      </c>
      <c r="BH231" s="153"/>
      <c r="BI231" s="154"/>
      <c r="BJ231" s="154"/>
      <c r="BK231" s="46">
        <f t="shared" si="1"/>
        <v>1</v>
      </c>
      <c r="BL231" s="46"/>
      <c r="BM231" s="46"/>
      <c r="BN231" s="46"/>
    </row>
    <row r="232" spans="1:66" ht="12.75" hidden="1" customHeight="1">
      <c r="A232" s="22">
        <v>230</v>
      </c>
      <c r="B232" s="193" t="s">
        <v>1226</v>
      </c>
      <c r="C232" s="193" t="e">
        <f t="shared" ca="1" si="0"/>
        <v>#NAME?</v>
      </c>
      <c r="D232" s="196" t="s">
        <v>998</v>
      </c>
      <c r="E232" s="22" t="s">
        <v>180</v>
      </c>
      <c r="F232" s="194" t="s">
        <v>960</v>
      </c>
      <c r="G232" s="24" t="s">
        <v>961</v>
      </c>
      <c r="H232" s="24"/>
      <c r="I232" s="24">
        <v>1</v>
      </c>
      <c r="J232" s="24" t="s">
        <v>494</v>
      </c>
      <c r="K232" s="24"/>
      <c r="L232" s="24"/>
      <c r="M232" s="24"/>
      <c r="N232" s="24"/>
      <c r="O232" s="24"/>
      <c r="P232" s="133"/>
      <c r="Q232" s="133"/>
      <c r="R232" s="195"/>
      <c r="S232" s="133"/>
      <c r="T232" s="163"/>
      <c r="U232" s="196"/>
      <c r="V232" s="194"/>
      <c r="W232" s="194" t="s">
        <v>998</v>
      </c>
      <c r="X232" s="196"/>
      <c r="Y232" s="196"/>
      <c r="Z232" s="133"/>
      <c r="AA232" s="24"/>
      <c r="AB232" s="196"/>
      <c r="AC232" s="179"/>
      <c r="AD232" s="134"/>
      <c r="AE232" s="24"/>
      <c r="AF232" s="24"/>
      <c r="AG232" s="22"/>
      <c r="AH232" s="45"/>
      <c r="AI232" s="24"/>
      <c r="AJ232" s="134"/>
      <c r="AK232" s="193"/>
      <c r="AL232" s="22"/>
      <c r="AM232" s="22"/>
      <c r="AN232" s="22"/>
      <c r="AO232" s="22"/>
      <c r="AP232" s="22"/>
      <c r="AQ232" s="22"/>
      <c r="AR232" s="22"/>
      <c r="AS232" s="22"/>
      <c r="AT232" s="151"/>
      <c r="AU232" s="151"/>
      <c r="AV232" s="152"/>
      <c r="AW232" s="165"/>
      <c r="AX232" s="165"/>
      <c r="AY232" s="165"/>
      <c r="AZ232" s="165"/>
      <c r="BA232" s="165"/>
      <c r="BB232" s="165"/>
      <c r="BC232" s="165"/>
      <c r="BD232" s="165"/>
      <c r="BE232" s="137" t="s">
        <v>115</v>
      </c>
      <c r="BF232" s="143" t="s">
        <v>1000</v>
      </c>
      <c r="BG232" s="167" t="s">
        <v>1001</v>
      </c>
      <c r="BH232" s="153"/>
      <c r="BI232" s="154"/>
      <c r="BJ232" s="154"/>
      <c r="BK232" s="46">
        <f t="shared" si="1"/>
        <v>1</v>
      </c>
      <c r="BL232" s="46"/>
      <c r="BM232" s="46"/>
      <c r="BN232" s="46"/>
    </row>
    <row r="233" spans="1:66" ht="12.75" hidden="1" customHeight="1">
      <c r="A233" s="22">
        <v>231</v>
      </c>
      <c r="B233" s="193" t="s">
        <v>1227</v>
      </c>
      <c r="C233" s="193" t="e">
        <f t="shared" ca="1" si="0"/>
        <v>#NAME?</v>
      </c>
      <c r="D233" s="196" t="s">
        <v>1002</v>
      </c>
      <c r="E233" s="22" t="s">
        <v>180</v>
      </c>
      <c r="F233" s="194" t="s">
        <v>960</v>
      </c>
      <c r="G233" s="24" t="s">
        <v>961</v>
      </c>
      <c r="H233" s="24"/>
      <c r="I233" s="24">
        <v>1</v>
      </c>
      <c r="J233" s="24" t="s">
        <v>494</v>
      </c>
      <c r="K233" s="24"/>
      <c r="L233" s="24"/>
      <c r="M233" s="24"/>
      <c r="N233" s="24"/>
      <c r="O233" s="24"/>
      <c r="P233" s="133"/>
      <c r="Q233" s="133"/>
      <c r="R233" s="195"/>
      <c r="S233" s="133"/>
      <c r="T233" s="163"/>
      <c r="U233" s="196"/>
      <c r="V233" s="194"/>
      <c r="W233" s="194" t="s">
        <v>1002</v>
      </c>
      <c r="X233" s="196"/>
      <c r="Y233" s="196"/>
      <c r="Z233" s="133"/>
      <c r="AA233" s="24"/>
      <c r="AB233" s="196"/>
      <c r="AC233" s="179"/>
      <c r="AD233" s="134"/>
      <c r="AE233" s="24"/>
      <c r="AF233" s="24"/>
      <c r="AG233" s="22"/>
      <c r="AH233" s="45"/>
      <c r="AI233" s="24"/>
      <c r="AJ233" s="134"/>
      <c r="AK233" s="193"/>
      <c r="AL233" s="22"/>
      <c r="AM233" s="22"/>
      <c r="AN233" s="22"/>
      <c r="AO233" s="22"/>
      <c r="AP233" s="22"/>
      <c r="AQ233" s="22"/>
      <c r="AR233" s="22"/>
      <c r="AS233" s="22"/>
      <c r="AT233" s="134"/>
      <c r="AU233" s="134"/>
      <c r="AV233" s="108" t="s">
        <v>1003</v>
      </c>
      <c r="AW233" s="133"/>
      <c r="AX233" s="133"/>
      <c r="AY233" s="133"/>
      <c r="AZ233" s="133"/>
      <c r="BA233" s="133"/>
      <c r="BB233" s="133"/>
      <c r="BC233" s="133"/>
      <c r="BD233" s="133"/>
      <c r="BE233" s="143" t="s">
        <v>115</v>
      </c>
      <c r="BF233" s="143" t="s">
        <v>1004</v>
      </c>
      <c r="BG233" s="167" t="s">
        <v>1005</v>
      </c>
      <c r="BH233" s="64"/>
      <c r="BI233" s="159" t="s">
        <v>1003</v>
      </c>
      <c r="BJ233" s="64"/>
      <c r="BK233" s="46">
        <f t="shared" si="1"/>
        <v>1</v>
      </c>
      <c r="BL233" s="46"/>
      <c r="BM233" s="46"/>
      <c r="BN233" s="46"/>
    </row>
    <row r="234" spans="1:66" ht="12.75" hidden="1" customHeight="1">
      <c r="A234" s="22">
        <v>232</v>
      </c>
      <c r="B234" s="193" t="s">
        <v>1228</v>
      </c>
      <c r="C234" s="193" t="e">
        <f t="shared" ca="1" si="0"/>
        <v>#NAME?</v>
      </c>
      <c r="D234" s="196" t="s">
        <v>1006</v>
      </c>
      <c r="E234" s="22" t="s">
        <v>180</v>
      </c>
      <c r="F234" s="194" t="s">
        <v>960</v>
      </c>
      <c r="G234" s="24" t="s">
        <v>961</v>
      </c>
      <c r="H234" s="24"/>
      <c r="I234" s="24">
        <v>1</v>
      </c>
      <c r="J234" s="24" t="s">
        <v>494</v>
      </c>
      <c r="K234" s="24"/>
      <c r="L234" s="24"/>
      <c r="M234" s="24"/>
      <c r="N234" s="24"/>
      <c r="O234" s="24"/>
      <c r="P234" s="133"/>
      <c r="Q234" s="133"/>
      <c r="R234" s="195"/>
      <c r="S234" s="133"/>
      <c r="T234" s="163"/>
      <c r="U234" s="196"/>
      <c r="V234" s="194"/>
      <c r="W234" s="194" t="s">
        <v>1006</v>
      </c>
      <c r="X234" s="196"/>
      <c r="Y234" s="196"/>
      <c r="Z234" s="133"/>
      <c r="AA234" s="24"/>
      <c r="AB234" s="196"/>
      <c r="AC234" s="179"/>
      <c r="AD234" s="134"/>
      <c r="AE234" s="24"/>
      <c r="AF234" s="24"/>
      <c r="AG234" s="22"/>
      <c r="AH234" s="45"/>
      <c r="AI234" s="24"/>
      <c r="AJ234" s="134"/>
      <c r="AK234" s="193"/>
      <c r="AL234" s="22"/>
      <c r="AM234" s="22"/>
      <c r="AN234" s="22"/>
      <c r="AO234" s="22"/>
      <c r="AP234" s="22"/>
      <c r="AQ234" s="22"/>
      <c r="AR234" s="22"/>
      <c r="AS234" s="22"/>
      <c r="AT234" s="151"/>
      <c r="AU234" s="151"/>
      <c r="AV234" s="237"/>
      <c r="AW234" s="165"/>
      <c r="AX234" s="165"/>
      <c r="AY234" s="165"/>
      <c r="AZ234" s="165"/>
      <c r="BA234" s="165"/>
      <c r="BB234" s="165"/>
      <c r="BC234" s="165"/>
      <c r="BD234" s="165"/>
      <c r="BE234" s="143" t="s">
        <v>115</v>
      </c>
      <c r="BF234" s="137" t="s">
        <v>1007</v>
      </c>
      <c r="BG234" s="167" t="s">
        <v>1008</v>
      </c>
      <c r="BH234" s="153"/>
      <c r="BI234" s="154"/>
      <c r="BJ234" s="154"/>
      <c r="BK234" s="46">
        <f t="shared" si="1"/>
        <v>1</v>
      </c>
      <c r="BL234" s="46"/>
      <c r="BM234" s="46"/>
      <c r="BN234" s="46"/>
    </row>
    <row r="235" spans="1:66" ht="12.75" hidden="1" customHeight="1">
      <c r="A235" s="22">
        <v>233</v>
      </c>
      <c r="B235" s="193" t="s">
        <v>1232</v>
      </c>
      <c r="C235" s="193" t="e">
        <f t="shared" ca="1" si="0"/>
        <v>#NAME?</v>
      </c>
      <c r="D235" s="196" t="s">
        <v>1009</v>
      </c>
      <c r="E235" s="22" t="s">
        <v>180</v>
      </c>
      <c r="F235" s="194" t="s">
        <v>960</v>
      </c>
      <c r="G235" s="24" t="s">
        <v>961</v>
      </c>
      <c r="H235" s="24"/>
      <c r="I235" s="24">
        <v>1</v>
      </c>
      <c r="J235" s="24" t="s">
        <v>494</v>
      </c>
      <c r="K235" s="24"/>
      <c r="L235" s="24"/>
      <c r="M235" s="24"/>
      <c r="N235" s="24"/>
      <c r="O235" s="24"/>
      <c r="P235" s="133"/>
      <c r="Q235" s="133"/>
      <c r="R235" s="195"/>
      <c r="S235" s="133"/>
      <c r="T235" s="163"/>
      <c r="U235" s="196"/>
      <c r="V235" s="194"/>
      <c r="W235" s="194" t="s">
        <v>1009</v>
      </c>
      <c r="X235" s="196"/>
      <c r="Y235" s="196"/>
      <c r="Z235" s="133"/>
      <c r="AA235" s="24"/>
      <c r="AB235" s="196"/>
      <c r="AC235" s="179"/>
      <c r="AD235" s="134"/>
      <c r="AE235" s="24"/>
      <c r="AF235" s="24"/>
      <c r="AG235" s="22"/>
      <c r="AH235" s="45"/>
      <c r="AI235" s="24"/>
      <c r="AJ235" s="134"/>
      <c r="AK235" s="193"/>
      <c r="AL235" s="22"/>
      <c r="AM235" s="22"/>
      <c r="AN235" s="22"/>
      <c r="AO235" s="22"/>
      <c r="AP235" s="22"/>
      <c r="AQ235" s="22"/>
      <c r="AR235" s="22"/>
      <c r="AS235" s="22"/>
      <c r="AT235" s="151"/>
      <c r="AU235" s="151"/>
      <c r="AV235" s="152"/>
      <c r="AW235" s="165"/>
      <c r="AX235" s="165"/>
      <c r="AY235" s="165"/>
      <c r="AZ235" s="165"/>
      <c r="BA235" s="165"/>
      <c r="BB235" s="165"/>
      <c r="BC235" s="165"/>
      <c r="BD235" s="165"/>
      <c r="BE235" s="143" t="s">
        <v>115</v>
      </c>
      <c r="BF235" s="137" t="s">
        <v>1010</v>
      </c>
      <c r="BG235" s="167" t="s">
        <v>1011</v>
      </c>
      <c r="BH235" s="153"/>
      <c r="BI235" s="154"/>
      <c r="BJ235" s="154"/>
      <c r="BK235" s="46">
        <f t="shared" si="1"/>
        <v>1</v>
      </c>
      <c r="BL235" s="46"/>
      <c r="BM235" s="46"/>
      <c r="BN235" s="46"/>
    </row>
    <row r="236" spans="1:66" ht="12.75" hidden="1" customHeight="1">
      <c r="A236" s="22">
        <v>234</v>
      </c>
      <c r="B236" s="193" t="s">
        <v>1234</v>
      </c>
      <c r="C236" s="193" t="e">
        <f t="shared" ca="1" si="0"/>
        <v>#NAME?</v>
      </c>
      <c r="D236" s="196" t="s">
        <v>1012</v>
      </c>
      <c r="E236" s="22" t="s">
        <v>180</v>
      </c>
      <c r="F236" s="194" t="s">
        <v>960</v>
      </c>
      <c r="G236" s="24" t="s">
        <v>961</v>
      </c>
      <c r="H236" s="24"/>
      <c r="I236" s="24">
        <v>1</v>
      </c>
      <c r="J236" s="24" t="s">
        <v>494</v>
      </c>
      <c r="K236" s="24"/>
      <c r="L236" s="24"/>
      <c r="M236" s="24"/>
      <c r="N236" s="24"/>
      <c r="O236" s="24"/>
      <c r="P236" s="133"/>
      <c r="Q236" s="133"/>
      <c r="R236" s="195"/>
      <c r="S236" s="133"/>
      <c r="T236" s="163"/>
      <c r="U236" s="196"/>
      <c r="V236" s="194"/>
      <c r="W236" s="194" t="s">
        <v>1012</v>
      </c>
      <c r="X236" s="196"/>
      <c r="Y236" s="196"/>
      <c r="Z236" s="133"/>
      <c r="AA236" s="24"/>
      <c r="AB236" s="196"/>
      <c r="AC236" s="179"/>
      <c r="AD236" s="134"/>
      <c r="AE236" s="24"/>
      <c r="AF236" s="24"/>
      <c r="AG236" s="22"/>
      <c r="AH236" s="45"/>
      <c r="AI236" s="24"/>
      <c r="AJ236" s="134"/>
      <c r="AK236" s="193"/>
      <c r="AL236" s="22"/>
      <c r="AM236" s="22"/>
      <c r="AN236" s="22"/>
      <c r="AO236" s="22"/>
      <c r="AP236" s="22"/>
      <c r="AQ236" s="22"/>
      <c r="AR236" s="22"/>
      <c r="AS236" s="22"/>
      <c r="AT236" s="134"/>
      <c r="AU236" s="134"/>
      <c r="AV236" s="24" t="s">
        <v>1013</v>
      </c>
      <c r="AW236" s="133"/>
      <c r="AX236" s="133"/>
      <c r="AY236" s="133"/>
      <c r="AZ236" s="133"/>
      <c r="BA236" s="133"/>
      <c r="BB236" s="133"/>
      <c r="BC236" s="133"/>
      <c r="BD236" s="133"/>
      <c r="BE236" s="143" t="s">
        <v>115</v>
      </c>
      <c r="BF236" s="143" t="s">
        <v>1014</v>
      </c>
      <c r="BG236" s="167" t="s">
        <v>1015</v>
      </c>
      <c r="BH236" s="64"/>
      <c r="BI236" s="201" t="s">
        <v>1013</v>
      </c>
      <c r="BJ236" s="64"/>
      <c r="BK236" s="46">
        <f t="shared" si="1"/>
        <v>1</v>
      </c>
      <c r="BL236" s="46"/>
      <c r="BM236" s="46"/>
      <c r="BN236" s="46"/>
    </row>
    <row r="237" spans="1:66" ht="12.75" hidden="1" customHeight="1">
      <c r="A237" s="22">
        <v>235</v>
      </c>
      <c r="B237" s="193" t="s">
        <v>1236</v>
      </c>
      <c r="C237" s="193" t="e">
        <f t="shared" ca="1" si="0"/>
        <v>#NAME?</v>
      </c>
      <c r="D237" s="196" t="s">
        <v>1016</v>
      </c>
      <c r="E237" s="22" t="s">
        <v>180</v>
      </c>
      <c r="F237" s="194" t="s">
        <v>960</v>
      </c>
      <c r="G237" s="24" t="s">
        <v>961</v>
      </c>
      <c r="H237" s="24"/>
      <c r="I237" s="24">
        <v>1</v>
      </c>
      <c r="J237" s="24" t="s">
        <v>494</v>
      </c>
      <c r="K237" s="24"/>
      <c r="L237" s="24"/>
      <c r="M237" s="24"/>
      <c r="N237" s="24"/>
      <c r="O237" s="24"/>
      <c r="P237" s="133"/>
      <c r="Q237" s="133"/>
      <c r="R237" s="195"/>
      <c r="S237" s="133"/>
      <c r="T237" s="163"/>
      <c r="U237" s="196"/>
      <c r="V237" s="194"/>
      <c r="W237" s="194" t="s">
        <v>1016</v>
      </c>
      <c r="X237" s="196"/>
      <c r="Y237" s="196"/>
      <c r="Z237" s="133"/>
      <c r="AA237" s="24"/>
      <c r="AB237" s="196"/>
      <c r="AC237" s="179"/>
      <c r="AD237" s="134"/>
      <c r="AE237" s="24"/>
      <c r="AF237" s="24"/>
      <c r="AG237" s="22"/>
      <c r="AH237" s="45"/>
      <c r="AI237" s="24"/>
      <c r="AJ237" s="134"/>
      <c r="AK237" s="193"/>
      <c r="AL237" s="22"/>
      <c r="AM237" s="22"/>
      <c r="AN237" s="22"/>
      <c r="AO237" s="22"/>
      <c r="AP237" s="22"/>
      <c r="AQ237" s="22"/>
      <c r="AR237" s="22"/>
      <c r="AS237" s="22"/>
      <c r="AT237" s="151"/>
      <c r="AU237" s="151"/>
      <c r="AV237" s="152"/>
      <c r="AW237" s="165"/>
      <c r="AX237" s="165"/>
      <c r="AY237" s="165"/>
      <c r="AZ237" s="165"/>
      <c r="BA237" s="165"/>
      <c r="BB237" s="165"/>
      <c r="BC237" s="165"/>
      <c r="BD237" s="165"/>
      <c r="BE237" s="143" t="s">
        <v>115</v>
      </c>
      <c r="BF237" s="137" t="s">
        <v>1018</v>
      </c>
      <c r="BG237" s="167" t="s">
        <v>1019</v>
      </c>
      <c r="BH237" s="153"/>
      <c r="BI237" s="154"/>
      <c r="BJ237" s="154"/>
      <c r="BK237" s="46">
        <f t="shared" si="1"/>
        <v>1</v>
      </c>
      <c r="BL237" s="46"/>
      <c r="BM237" s="46"/>
      <c r="BN237" s="46"/>
    </row>
    <row r="238" spans="1:66" ht="12.75" hidden="1" customHeight="1">
      <c r="A238" s="22">
        <v>236</v>
      </c>
      <c r="B238" s="193" t="s">
        <v>1238</v>
      </c>
      <c r="C238" s="193" t="e">
        <f t="shared" ca="1" si="0"/>
        <v>#NAME?</v>
      </c>
      <c r="D238" s="196" t="s">
        <v>1020</v>
      </c>
      <c r="E238" s="22" t="s">
        <v>180</v>
      </c>
      <c r="F238" s="194" t="s">
        <v>960</v>
      </c>
      <c r="G238" s="24" t="s">
        <v>961</v>
      </c>
      <c r="H238" s="24"/>
      <c r="I238" s="24">
        <v>1</v>
      </c>
      <c r="J238" s="24" t="s">
        <v>494</v>
      </c>
      <c r="K238" s="24"/>
      <c r="L238" s="24"/>
      <c r="M238" s="24"/>
      <c r="N238" s="24"/>
      <c r="O238" s="24"/>
      <c r="P238" s="133"/>
      <c r="Q238" s="133"/>
      <c r="R238" s="195"/>
      <c r="S238" s="133"/>
      <c r="T238" s="163"/>
      <c r="U238" s="196"/>
      <c r="V238" s="194"/>
      <c r="W238" s="194" t="s">
        <v>1020</v>
      </c>
      <c r="X238" s="196"/>
      <c r="Y238" s="196"/>
      <c r="Z238" s="133"/>
      <c r="AA238" s="24"/>
      <c r="AB238" s="196"/>
      <c r="AC238" s="179"/>
      <c r="AD238" s="134"/>
      <c r="AE238" s="24"/>
      <c r="AF238" s="24"/>
      <c r="AG238" s="22"/>
      <c r="AH238" s="45"/>
      <c r="AI238" s="24"/>
      <c r="AJ238" s="134"/>
      <c r="AK238" s="193"/>
      <c r="AL238" s="22"/>
      <c r="AM238" s="22"/>
      <c r="AN238" s="22"/>
      <c r="AO238" s="22"/>
      <c r="AP238" s="22"/>
      <c r="AQ238" s="22"/>
      <c r="AR238" s="22"/>
      <c r="AS238" s="22"/>
      <c r="AT238" s="134"/>
      <c r="AU238" s="134"/>
      <c r="AV238" s="166">
        <v>416234007</v>
      </c>
      <c r="AW238" s="133"/>
      <c r="AX238" s="133"/>
      <c r="AY238" s="133"/>
      <c r="AZ238" s="133"/>
      <c r="BA238" s="133"/>
      <c r="BB238" s="133"/>
      <c r="BC238" s="133"/>
      <c r="BD238" s="133"/>
      <c r="BE238" s="143" t="s">
        <v>115</v>
      </c>
      <c r="BF238" s="143" t="s">
        <v>1022</v>
      </c>
      <c r="BG238" s="167" t="s">
        <v>1023</v>
      </c>
      <c r="BH238" s="64"/>
      <c r="BI238" s="168">
        <v>416234007</v>
      </c>
      <c r="BJ238" s="64"/>
      <c r="BK238" s="46">
        <f t="shared" si="1"/>
        <v>1</v>
      </c>
      <c r="BL238" s="46"/>
      <c r="BM238" s="46"/>
      <c r="BN238" s="46"/>
    </row>
    <row r="239" spans="1:66" ht="12.75" hidden="1" customHeight="1">
      <c r="A239" s="22">
        <v>237</v>
      </c>
      <c r="B239" s="193" t="s">
        <v>1242</v>
      </c>
      <c r="C239" s="193" t="e">
        <f t="shared" ca="1" si="0"/>
        <v>#NAME?</v>
      </c>
      <c r="D239" s="196" t="s">
        <v>1024</v>
      </c>
      <c r="E239" s="22" t="s">
        <v>180</v>
      </c>
      <c r="F239" s="194" t="s">
        <v>960</v>
      </c>
      <c r="G239" s="24" t="s">
        <v>961</v>
      </c>
      <c r="H239" s="24"/>
      <c r="I239" s="24">
        <v>1</v>
      </c>
      <c r="J239" s="24" t="s">
        <v>494</v>
      </c>
      <c r="K239" s="24"/>
      <c r="L239" s="24"/>
      <c r="M239" s="24"/>
      <c r="N239" s="24"/>
      <c r="O239" s="24"/>
      <c r="P239" s="133"/>
      <c r="Q239" s="133"/>
      <c r="R239" s="195"/>
      <c r="S239" s="133"/>
      <c r="T239" s="163"/>
      <c r="U239" s="196"/>
      <c r="V239" s="194"/>
      <c r="W239" s="194" t="s">
        <v>1024</v>
      </c>
      <c r="X239" s="196"/>
      <c r="Y239" s="196"/>
      <c r="Z239" s="133"/>
      <c r="AA239" s="24"/>
      <c r="AB239" s="196"/>
      <c r="AC239" s="179"/>
      <c r="AD239" s="134"/>
      <c r="AE239" s="24"/>
      <c r="AF239" s="24"/>
      <c r="AG239" s="22"/>
      <c r="AH239" s="45"/>
      <c r="AI239" s="24"/>
      <c r="AJ239" s="134"/>
      <c r="AK239" s="193"/>
      <c r="AL239" s="22"/>
      <c r="AM239" s="22"/>
      <c r="AN239" s="22"/>
      <c r="AO239" s="22"/>
      <c r="AP239" s="22"/>
      <c r="AQ239" s="22"/>
      <c r="AR239" s="22"/>
      <c r="AS239" s="22"/>
      <c r="AT239" s="151"/>
      <c r="AU239" s="151"/>
      <c r="AV239" s="152"/>
      <c r="AW239" s="165"/>
      <c r="AX239" s="165"/>
      <c r="AY239" s="165"/>
      <c r="AZ239" s="165"/>
      <c r="BA239" s="165"/>
      <c r="BB239" s="165"/>
      <c r="BC239" s="165"/>
      <c r="BD239" s="165"/>
      <c r="BE239" s="143" t="s">
        <v>115</v>
      </c>
      <c r="BF239" s="137" t="s">
        <v>1025</v>
      </c>
      <c r="BG239" s="167" t="s">
        <v>1026</v>
      </c>
      <c r="BH239" s="153"/>
      <c r="BI239" s="154"/>
      <c r="BJ239" s="154"/>
      <c r="BK239" s="46">
        <f t="shared" si="1"/>
        <v>1</v>
      </c>
      <c r="BL239" s="46"/>
      <c r="BM239" s="46"/>
      <c r="BN239" s="46"/>
    </row>
    <row r="240" spans="1:66" ht="12.75" hidden="1" customHeight="1">
      <c r="A240" s="22">
        <v>238</v>
      </c>
      <c r="B240" s="193" t="s">
        <v>1243</v>
      </c>
      <c r="C240" s="193" t="e">
        <f t="shared" ca="1" si="0"/>
        <v>#NAME?</v>
      </c>
      <c r="D240" s="196" t="s">
        <v>1028</v>
      </c>
      <c r="E240" s="22" t="s">
        <v>180</v>
      </c>
      <c r="F240" s="194" t="s">
        <v>960</v>
      </c>
      <c r="G240" s="24" t="s">
        <v>961</v>
      </c>
      <c r="H240" s="24"/>
      <c r="I240" s="24">
        <v>1</v>
      </c>
      <c r="J240" s="24" t="s">
        <v>494</v>
      </c>
      <c r="K240" s="24"/>
      <c r="L240" s="24"/>
      <c r="M240" s="24"/>
      <c r="N240" s="24"/>
      <c r="O240" s="24"/>
      <c r="P240" s="133"/>
      <c r="Q240" s="133"/>
      <c r="R240" s="195"/>
      <c r="S240" s="133"/>
      <c r="T240" s="163"/>
      <c r="U240" s="196"/>
      <c r="V240" s="194"/>
      <c r="W240" s="194" t="s">
        <v>1028</v>
      </c>
      <c r="X240" s="196"/>
      <c r="Y240" s="196"/>
      <c r="Z240" s="133"/>
      <c r="AA240" s="24"/>
      <c r="AB240" s="196"/>
      <c r="AC240" s="179"/>
      <c r="AD240" s="134"/>
      <c r="AE240" s="24"/>
      <c r="AF240" s="24"/>
      <c r="AG240" s="22"/>
      <c r="AH240" s="45"/>
      <c r="AI240" s="24"/>
      <c r="AJ240" s="134"/>
      <c r="AK240" s="193"/>
      <c r="AL240" s="22"/>
      <c r="AM240" s="22"/>
      <c r="AN240" s="22"/>
      <c r="AO240" s="22"/>
      <c r="AP240" s="22"/>
      <c r="AQ240" s="22"/>
      <c r="AR240" s="22"/>
      <c r="AS240" s="22"/>
      <c r="AT240" s="151"/>
      <c r="AU240" s="151"/>
      <c r="AV240" s="152"/>
      <c r="AW240" s="165"/>
      <c r="AX240" s="165"/>
      <c r="AY240" s="165"/>
      <c r="AZ240" s="165"/>
      <c r="BA240" s="165"/>
      <c r="BB240" s="165"/>
      <c r="BC240" s="165"/>
      <c r="BD240" s="165"/>
      <c r="BE240" s="143" t="s">
        <v>115</v>
      </c>
      <c r="BF240" s="137" t="s">
        <v>1029</v>
      </c>
      <c r="BG240" s="167" t="s">
        <v>1030</v>
      </c>
      <c r="BH240" s="153"/>
      <c r="BI240" s="154"/>
      <c r="BJ240" s="154"/>
      <c r="BK240" s="46">
        <f t="shared" si="1"/>
        <v>1</v>
      </c>
      <c r="BL240" s="46"/>
      <c r="BM240" s="46"/>
      <c r="BN240" s="46"/>
    </row>
    <row r="241" spans="1:66" ht="12.75" hidden="1" customHeight="1">
      <c r="A241" s="22">
        <v>239</v>
      </c>
      <c r="B241" s="193" t="s">
        <v>1244</v>
      </c>
      <c r="C241" s="193" t="e">
        <f t="shared" ca="1" si="0"/>
        <v>#NAME?</v>
      </c>
      <c r="D241" s="196" t="s">
        <v>1031</v>
      </c>
      <c r="E241" s="22" t="s">
        <v>180</v>
      </c>
      <c r="F241" s="194" t="s">
        <v>960</v>
      </c>
      <c r="G241" s="24" t="s">
        <v>961</v>
      </c>
      <c r="H241" s="24"/>
      <c r="I241" s="24">
        <v>1</v>
      </c>
      <c r="J241" s="24" t="s">
        <v>494</v>
      </c>
      <c r="K241" s="24"/>
      <c r="L241" s="24"/>
      <c r="M241" s="24"/>
      <c r="N241" s="24"/>
      <c r="O241" s="24"/>
      <c r="P241" s="133"/>
      <c r="Q241" s="133"/>
      <c r="R241" s="195"/>
      <c r="S241" s="133"/>
      <c r="T241" s="163"/>
      <c r="U241" s="196"/>
      <c r="V241" s="194"/>
      <c r="W241" s="194" t="s">
        <v>1031</v>
      </c>
      <c r="X241" s="196"/>
      <c r="Y241" s="196"/>
      <c r="Z241" s="133"/>
      <c r="AA241" s="24"/>
      <c r="AB241" s="196"/>
      <c r="AC241" s="179"/>
      <c r="AD241" s="134"/>
      <c r="AE241" s="24"/>
      <c r="AF241" s="24"/>
      <c r="AG241" s="22"/>
      <c r="AH241" s="45"/>
      <c r="AI241" s="24"/>
      <c r="AJ241" s="134"/>
      <c r="AK241" s="193"/>
      <c r="AL241" s="22"/>
      <c r="AM241" s="22"/>
      <c r="AN241" s="22"/>
      <c r="AO241" s="22"/>
      <c r="AP241" s="22"/>
      <c r="AQ241" s="22"/>
      <c r="AR241" s="22"/>
      <c r="AS241" s="22"/>
      <c r="AT241" s="134"/>
      <c r="AU241" s="134"/>
      <c r="AV241" s="148">
        <v>398731002</v>
      </c>
      <c r="AW241" s="133"/>
      <c r="AX241" s="133"/>
      <c r="AY241" s="133"/>
      <c r="AZ241" s="133"/>
      <c r="BA241" s="133"/>
      <c r="BB241" s="133"/>
      <c r="BC241" s="133"/>
      <c r="BD241" s="133"/>
      <c r="BE241" s="143" t="s">
        <v>115</v>
      </c>
      <c r="BF241" s="137" t="s">
        <v>1032</v>
      </c>
      <c r="BG241" s="139" t="s">
        <v>1033</v>
      </c>
      <c r="BH241" s="47"/>
      <c r="BI241" s="150">
        <v>398731002</v>
      </c>
      <c r="BJ241" s="47"/>
      <c r="BK241" s="46">
        <f t="shared" si="1"/>
        <v>1</v>
      </c>
      <c r="BL241" s="46"/>
      <c r="BM241" s="46"/>
      <c r="BN241" s="46"/>
    </row>
    <row r="242" spans="1:66" ht="12.75" hidden="1" customHeight="1">
      <c r="A242" s="22">
        <v>240</v>
      </c>
      <c r="B242" s="193" t="s">
        <v>1248</v>
      </c>
      <c r="C242" s="193" t="e">
        <f t="shared" ca="1" si="0"/>
        <v>#NAME?</v>
      </c>
      <c r="D242" s="196" t="s">
        <v>1034</v>
      </c>
      <c r="E242" s="22" t="s">
        <v>180</v>
      </c>
      <c r="F242" s="194" t="s">
        <v>960</v>
      </c>
      <c r="G242" s="24" t="s">
        <v>961</v>
      </c>
      <c r="H242" s="24"/>
      <c r="I242" s="24">
        <v>1</v>
      </c>
      <c r="J242" s="24" t="s">
        <v>494</v>
      </c>
      <c r="K242" s="24"/>
      <c r="L242" s="24"/>
      <c r="M242" s="24"/>
      <c r="N242" s="24"/>
      <c r="O242" s="24"/>
      <c r="P242" s="133"/>
      <c r="Q242" s="133"/>
      <c r="R242" s="195"/>
      <c r="S242" s="133"/>
      <c r="T242" s="163"/>
      <c r="U242" s="196"/>
      <c r="V242" s="194"/>
      <c r="W242" s="194" t="s">
        <v>1034</v>
      </c>
      <c r="X242" s="196"/>
      <c r="Y242" s="196"/>
      <c r="Z242" s="133"/>
      <c r="AA242" s="24"/>
      <c r="AB242" s="196"/>
      <c r="AC242" s="179"/>
      <c r="AD242" s="134"/>
      <c r="AE242" s="24"/>
      <c r="AF242" s="24"/>
      <c r="AG242" s="22"/>
      <c r="AH242" s="45"/>
      <c r="AI242" s="24"/>
      <c r="AJ242" s="134"/>
      <c r="AK242" s="193"/>
      <c r="AL242" s="22"/>
      <c r="AM242" s="22"/>
      <c r="AN242" s="22"/>
      <c r="AO242" s="22"/>
      <c r="AP242" s="22"/>
      <c r="AQ242" s="22"/>
      <c r="AR242" s="22"/>
      <c r="AS242" s="22"/>
      <c r="AT242" s="134"/>
      <c r="AU242" s="134"/>
      <c r="AV242" s="148">
        <v>255631004</v>
      </c>
      <c r="AW242" s="133"/>
      <c r="AX242" s="133"/>
      <c r="AY242" s="133"/>
      <c r="AZ242" s="133"/>
      <c r="BA242" s="133"/>
      <c r="BB242" s="133"/>
      <c r="BC242" s="133"/>
      <c r="BD242" s="133"/>
      <c r="BE242" s="143" t="s">
        <v>115</v>
      </c>
      <c r="BF242" s="143" t="s">
        <v>1035</v>
      </c>
      <c r="BG242" s="167" t="s">
        <v>1036</v>
      </c>
      <c r="BH242" s="64"/>
      <c r="BI242" s="150">
        <v>255631004</v>
      </c>
      <c r="BJ242" s="64"/>
      <c r="BK242" s="46">
        <f t="shared" si="1"/>
        <v>1</v>
      </c>
      <c r="BL242" s="46"/>
      <c r="BM242" s="46"/>
      <c r="BN242" s="46"/>
    </row>
    <row r="243" spans="1:66" ht="12.75" hidden="1" customHeight="1">
      <c r="A243" s="22">
        <v>241</v>
      </c>
      <c r="B243" s="193" t="s">
        <v>1249</v>
      </c>
      <c r="C243" s="193" t="e">
        <f t="shared" ca="1" si="0"/>
        <v>#NAME?</v>
      </c>
      <c r="D243" s="196" t="s">
        <v>1037</v>
      </c>
      <c r="E243" s="22" t="s">
        <v>180</v>
      </c>
      <c r="F243" s="194" t="s">
        <v>960</v>
      </c>
      <c r="G243" s="24" t="s">
        <v>961</v>
      </c>
      <c r="H243" s="24"/>
      <c r="I243" s="24">
        <v>1</v>
      </c>
      <c r="J243" s="24" t="s">
        <v>494</v>
      </c>
      <c r="K243" s="24"/>
      <c r="L243" s="24"/>
      <c r="M243" s="24"/>
      <c r="N243" s="24"/>
      <c r="O243" s="24"/>
      <c r="P243" s="133"/>
      <c r="Q243" s="133"/>
      <c r="R243" s="195"/>
      <c r="S243" s="133"/>
      <c r="T243" s="163"/>
      <c r="U243" s="196"/>
      <c r="V243" s="194"/>
      <c r="W243" s="194" t="s">
        <v>1037</v>
      </c>
      <c r="X243" s="196"/>
      <c r="Y243" s="196"/>
      <c r="Z243" s="133"/>
      <c r="AA243" s="24"/>
      <c r="AB243" s="196"/>
      <c r="AC243" s="179"/>
      <c r="AD243" s="134"/>
      <c r="AE243" s="24"/>
      <c r="AF243" s="24"/>
      <c r="AG243" s="22"/>
      <c r="AH243" s="45"/>
      <c r="AI243" s="24"/>
      <c r="AJ243" s="134"/>
      <c r="AK243" s="193"/>
      <c r="AL243" s="22"/>
      <c r="AM243" s="22"/>
      <c r="AN243" s="22"/>
      <c r="AO243" s="22"/>
      <c r="AP243" s="22"/>
      <c r="AQ243" s="22"/>
      <c r="AR243" s="22"/>
      <c r="AS243" s="22"/>
      <c r="AT243" s="151"/>
      <c r="AU243" s="151"/>
      <c r="AV243" s="152"/>
      <c r="AW243" s="165"/>
      <c r="AX243" s="165"/>
      <c r="AY243" s="165"/>
      <c r="AZ243" s="165"/>
      <c r="BA243" s="165"/>
      <c r="BB243" s="165"/>
      <c r="BC243" s="165"/>
      <c r="BD243" s="165"/>
      <c r="BE243" s="137" t="s">
        <v>115</v>
      </c>
      <c r="BF243" s="137" t="s">
        <v>1038</v>
      </c>
      <c r="BG243" s="167" t="s">
        <v>1039</v>
      </c>
      <c r="BH243" s="153"/>
      <c r="BI243" s="154"/>
      <c r="BJ243" s="154"/>
      <c r="BK243" s="46">
        <f t="shared" si="1"/>
        <v>1</v>
      </c>
      <c r="BL243" s="46"/>
      <c r="BM243" s="46"/>
      <c r="BN243" s="46"/>
    </row>
    <row r="244" spans="1:66" ht="12.75" hidden="1" customHeight="1">
      <c r="A244" s="22">
        <v>242</v>
      </c>
      <c r="B244" s="193" t="s">
        <v>1252</v>
      </c>
      <c r="C244" s="193" t="e">
        <f t="shared" ca="1" si="0"/>
        <v>#NAME?</v>
      </c>
      <c r="D244" s="196" t="s">
        <v>1040</v>
      </c>
      <c r="E244" s="22" t="s">
        <v>180</v>
      </c>
      <c r="F244" s="194" t="s">
        <v>960</v>
      </c>
      <c r="G244" s="24" t="s">
        <v>961</v>
      </c>
      <c r="H244" s="24"/>
      <c r="I244" s="24">
        <v>1</v>
      </c>
      <c r="J244" s="24" t="s">
        <v>494</v>
      </c>
      <c r="K244" s="24"/>
      <c r="L244" s="24"/>
      <c r="M244" s="24"/>
      <c r="N244" s="24"/>
      <c r="O244" s="24"/>
      <c r="P244" s="134"/>
      <c r="Q244" s="134"/>
      <c r="R244" s="195"/>
      <c r="S244" s="134"/>
      <c r="T244" s="163"/>
      <c r="U244" s="196"/>
      <c r="V244" s="194"/>
      <c r="W244" s="194" t="s">
        <v>1040</v>
      </c>
      <c r="X244" s="196"/>
      <c r="Y244" s="196"/>
      <c r="Z244" s="134"/>
      <c r="AA244" s="24"/>
      <c r="AB244" s="196"/>
      <c r="AC244" s="179"/>
      <c r="AD244" s="134"/>
      <c r="AE244" s="24"/>
      <c r="AF244" s="24"/>
      <c r="AG244" s="22"/>
      <c r="AH244" s="45"/>
      <c r="AI244" s="24"/>
      <c r="AJ244" s="134"/>
      <c r="AK244" s="193"/>
      <c r="AL244" s="22"/>
      <c r="AM244" s="22"/>
      <c r="AN244" s="22"/>
      <c r="AO244" s="22"/>
      <c r="AP244" s="22"/>
      <c r="AQ244" s="22"/>
      <c r="AR244" s="22"/>
      <c r="AS244" s="22"/>
      <c r="AT244" s="151"/>
      <c r="AU244" s="151"/>
      <c r="AV244" s="152"/>
      <c r="AW244" s="151"/>
      <c r="AX244" s="151"/>
      <c r="AY244" s="151"/>
      <c r="AZ244" s="151"/>
      <c r="BA244" s="151"/>
      <c r="BB244" s="151"/>
      <c r="BC244" s="151"/>
      <c r="BD244" s="151"/>
      <c r="BE244" s="137" t="s">
        <v>115</v>
      </c>
      <c r="BF244" s="137" t="s">
        <v>1041</v>
      </c>
      <c r="BG244" s="167" t="s">
        <v>1042</v>
      </c>
      <c r="BH244" s="153"/>
      <c r="BI244" s="154"/>
      <c r="BJ244" s="154"/>
      <c r="BK244" s="46">
        <f t="shared" si="1"/>
        <v>1</v>
      </c>
      <c r="BL244" s="46"/>
      <c r="BM244" s="46"/>
      <c r="BN244" s="46"/>
    </row>
    <row r="245" spans="1:66" ht="12.75" hidden="1" customHeight="1">
      <c r="A245" s="22">
        <v>243</v>
      </c>
      <c r="B245" s="193" t="s">
        <v>1257</v>
      </c>
      <c r="C245" s="193" t="e">
        <f t="shared" ca="1" si="0"/>
        <v>#NAME?</v>
      </c>
      <c r="D245" s="196" t="s">
        <v>1043</v>
      </c>
      <c r="E245" s="22" t="s">
        <v>180</v>
      </c>
      <c r="F245" s="194" t="s">
        <v>960</v>
      </c>
      <c r="G245" s="24" t="s">
        <v>961</v>
      </c>
      <c r="H245" s="24"/>
      <c r="I245" s="24">
        <v>1</v>
      </c>
      <c r="J245" s="24" t="s">
        <v>494</v>
      </c>
      <c r="K245" s="24"/>
      <c r="L245" s="24"/>
      <c r="M245" s="24"/>
      <c r="N245" s="24"/>
      <c r="O245" s="24"/>
      <c r="P245" s="134"/>
      <c r="Q245" s="134"/>
      <c r="R245" s="195"/>
      <c r="S245" s="134"/>
      <c r="T245" s="163"/>
      <c r="U245" s="196"/>
      <c r="V245" s="194"/>
      <c r="W245" s="194" t="s">
        <v>1043</v>
      </c>
      <c r="X245" s="196"/>
      <c r="Y245" s="196"/>
      <c r="Z245" s="134"/>
      <c r="AA245" s="24"/>
      <c r="AB245" s="196"/>
      <c r="AC245" s="179"/>
      <c r="AD245" s="134"/>
      <c r="AE245" s="24"/>
      <c r="AF245" s="24"/>
      <c r="AG245" s="22"/>
      <c r="AH245" s="45"/>
      <c r="AI245" s="24"/>
      <c r="AJ245" s="134"/>
      <c r="AK245" s="193"/>
      <c r="AL245" s="22"/>
      <c r="AM245" s="22"/>
      <c r="AN245" s="22"/>
      <c r="AO245" s="22"/>
      <c r="AP245" s="22"/>
      <c r="AQ245" s="22"/>
      <c r="AR245" s="22"/>
      <c r="AS245" s="22"/>
      <c r="AT245" s="134"/>
      <c r="AU245" s="134"/>
      <c r="AV245" s="148">
        <v>10632007</v>
      </c>
      <c r="AW245" s="134"/>
      <c r="AX245" s="134"/>
      <c r="AY245" s="134"/>
      <c r="AZ245" s="134"/>
      <c r="BA245" s="134"/>
      <c r="BB245" s="134"/>
      <c r="BC245" s="134"/>
      <c r="BD245" s="134"/>
      <c r="BE245" s="143" t="s">
        <v>115</v>
      </c>
      <c r="BF245" s="143" t="s">
        <v>1044</v>
      </c>
      <c r="BG245" s="167" t="s">
        <v>1045</v>
      </c>
      <c r="BH245" s="64"/>
      <c r="BI245" s="150">
        <v>10632007</v>
      </c>
      <c r="BJ245" s="64"/>
      <c r="BK245" s="46">
        <f t="shared" si="1"/>
        <v>1</v>
      </c>
      <c r="BL245" s="46"/>
      <c r="BM245" s="46"/>
      <c r="BN245" s="46"/>
    </row>
    <row r="246" spans="1:66" ht="12.75" hidden="1" customHeight="1">
      <c r="A246" s="22">
        <v>244</v>
      </c>
      <c r="B246" s="193" t="s">
        <v>1263</v>
      </c>
      <c r="C246" s="193" t="e">
        <f t="shared" ca="1" si="0"/>
        <v>#NAME?</v>
      </c>
      <c r="D246" s="196" t="s">
        <v>1046</v>
      </c>
      <c r="E246" s="22" t="s">
        <v>180</v>
      </c>
      <c r="F246" s="194" t="s">
        <v>960</v>
      </c>
      <c r="G246" s="24" t="s">
        <v>961</v>
      </c>
      <c r="H246" s="24"/>
      <c r="I246" s="24">
        <v>1</v>
      </c>
      <c r="J246" s="24" t="s">
        <v>494</v>
      </c>
      <c r="K246" s="24"/>
      <c r="L246" s="24"/>
      <c r="M246" s="24"/>
      <c r="N246" s="24"/>
      <c r="O246" s="24"/>
      <c r="P246" s="134"/>
      <c r="Q246" s="134"/>
      <c r="R246" s="195"/>
      <c r="S246" s="134"/>
      <c r="T246" s="163"/>
      <c r="U246" s="196"/>
      <c r="V246" s="194"/>
      <c r="W246" s="194" t="s">
        <v>1046</v>
      </c>
      <c r="X246" s="196"/>
      <c r="Y246" s="196"/>
      <c r="Z246" s="134"/>
      <c r="AA246" s="24"/>
      <c r="AB246" s="196"/>
      <c r="AC246" s="179"/>
      <c r="AD246" s="134"/>
      <c r="AE246" s="24"/>
      <c r="AF246" s="24"/>
      <c r="AG246" s="22"/>
      <c r="AH246" s="45"/>
      <c r="AI246" s="24"/>
      <c r="AJ246" s="134"/>
      <c r="AK246" s="193"/>
      <c r="AL246" s="22"/>
      <c r="AM246" s="22"/>
      <c r="AN246" s="22"/>
      <c r="AO246" s="22"/>
      <c r="AP246" s="22"/>
      <c r="AQ246" s="22"/>
      <c r="AR246" s="22"/>
      <c r="AS246" s="22"/>
      <c r="AT246" s="151"/>
      <c r="AU246" s="151"/>
      <c r="AV246" s="152"/>
      <c r="AW246" s="151"/>
      <c r="AX246" s="151"/>
      <c r="AY246" s="151"/>
      <c r="AZ246" s="151"/>
      <c r="BA246" s="151"/>
      <c r="BB246" s="151"/>
      <c r="BC246" s="151"/>
      <c r="BD246" s="151"/>
      <c r="BE246" s="143" t="s">
        <v>115</v>
      </c>
      <c r="BF246" s="137" t="s">
        <v>1047</v>
      </c>
      <c r="BG246" s="167" t="s">
        <v>1048</v>
      </c>
      <c r="BH246" s="153"/>
      <c r="BI246" s="154"/>
      <c r="BJ246" s="154"/>
      <c r="BK246" s="46">
        <f t="shared" si="1"/>
        <v>1</v>
      </c>
      <c r="BL246" s="46"/>
      <c r="BM246" s="46"/>
      <c r="BN246" s="46"/>
    </row>
    <row r="247" spans="1:66" ht="12.75" hidden="1" customHeight="1">
      <c r="A247" s="22">
        <v>245</v>
      </c>
      <c r="B247" s="193" t="s">
        <v>535</v>
      </c>
      <c r="C247" s="193" t="e">
        <f t="shared" ca="1" si="0"/>
        <v>#NAME?</v>
      </c>
      <c r="D247" s="196" t="s">
        <v>405</v>
      </c>
      <c r="E247" s="22" t="s">
        <v>180</v>
      </c>
      <c r="F247" s="194" t="s">
        <v>960</v>
      </c>
      <c r="G247" s="24" t="s">
        <v>961</v>
      </c>
      <c r="H247" s="24"/>
      <c r="I247" s="24">
        <v>1</v>
      </c>
      <c r="J247" s="24" t="s">
        <v>494</v>
      </c>
      <c r="K247" s="24"/>
      <c r="L247" s="24"/>
      <c r="M247" s="24"/>
      <c r="N247" s="24"/>
      <c r="O247" s="24"/>
      <c r="P247" s="134"/>
      <c r="Q247" s="134"/>
      <c r="R247" s="195"/>
      <c r="S247" s="134"/>
      <c r="T247" s="163"/>
      <c r="U247" s="196"/>
      <c r="V247" s="194"/>
      <c r="W247" s="194" t="s">
        <v>405</v>
      </c>
      <c r="X247" s="196"/>
      <c r="Y247" s="196"/>
      <c r="Z247" s="134"/>
      <c r="AA247" s="24"/>
      <c r="AB247" s="196"/>
      <c r="AC247" s="179"/>
      <c r="AD247" s="134"/>
      <c r="AE247" s="24"/>
      <c r="AF247" s="24"/>
      <c r="AG247" s="22"/>
      <c r="AH247" s="45"/>
      <c r="AI247" s="24"/>
      <c r="AJ247" s="134"/>
      <c r="AK247" s="193"/>
      <c r="AL247" s="22"/>
      <c r="AM247" s="22"/>
      <c r="AN247" s="22"/>
      <c r="AO247" s="22"/>
      <c r="AP247" s="22"/>
      <c r="AQ247" s="22"/>
      <c r="AR247" s="22"/>
      <c r="AS247" s="22"/>
      <c r="AT247" s="134"/>
      <c r="AU247" s="134"/>
      <c r="AV247" s="108" t="s">
        <v>745</v>
      </c>
      <c r="AW247" s="134"/>
      <c r="AX247" s="134"/>
      <c r="AY247" s="134"/>
      <c r="AZ247" s="134"/>
      <c r="BA247" s="134"/>
      <c r="BB247" s="134"/>
      <c r="BC247" s="134"/>
      <c r="BD247" s="134"/>
      <c r="BE247" s="143" t="s">
        <v>115</v>
      </c>
      <c r="BF247" s="137" t="s">
        <v>406</v>
      </c>
      <c r="BG247" s="139" t="s">
        <v>407</v>
      </c>
      <c r="BH247" s="47"/>
      <c r="BI247" s="171" t="s">
        <v>745</v>
      </c>
      <c r="BJ247" s="47"/>
      <c r="BK247" s="46">
        <f t="shared" si="1"/>
        <v>1</v>
      </c>
      <c r="BL247" s="46"/>
      <c r="BM247" s="46"/>
      <c r="BN247" s="46"/>
    </row>
    <row r="248" spans="1:66" ht="12.75" hidden="1" customHeight="1">
      <c r="A248" s="22">
        <v>246</v>
      </c>
      <c r="B248" s="163" t="s">
        <v>1049</v>
      </c>
      <c r="C248" s="163" t="str">
        <f t="shared" si="0"/>
        <v>Current medications - Specify</v>
      </c>
      <c r="D248" s="163" t="s">
        <v>1049</v>
      </c>
      <c r="E248" s="22" t="s">
        <v>96</v>
      </c>
      <c r="F248" s="24"/>
      <c r="G248" s="24" t="s">
        <v>961</v>
      </c>
      <c r="H248" s="24"/>
      <c r="I248" s="24">
        <v>1</v>
      </c>
      <c r="J248" s="24" t="s">
        <v>494</v>
      </c>
      <c r="K248" s="24"/>
      <c r="L248" s="24"/>
      <c r="M248" s="24"/>
      <c r="N248" s="24"/>
      <c r="O248" s="24"/>
      <c r="P248" s="134"/>
      <c r="Q248" s="134"/>
      <c r="R248" s="162" t="s">
        <v>409</v>
      </c>
      <c r="S248" s="134"/>
      <c r="T248" s="163" t="s">
        <v>1050</v>
      </c>
      <c r="U248" s="196" t="s">
        <v>111</v>
      </c>
      <c r="V248" s="194"/>
      <c r="W248" s="194"/>
      <c r="X248" s="196"/>
      <c r="Y248" s="196"/>
      <c r="Z248" s="134"/>
      <c r="AA248" s="24"/>
      <c r="AB248" s="163" t="s">
        <v>208</v>
      </c>
      <c r="AC248" s="179"/>
      <c r="AD248" s="134"/>
      <c r="AE248" s="24"/>
      <c r="AF248" s="24"/>
      <c r="AG248" s="22"/>
      <c r="AH248" s="45"/>
      <c r="AI248" s="24"/>
      <c r="AJ248" s="134"/>
      <c r="AK248" s="163"/>
      <c r="AL248" s="22"/>
      <c r="AM248" s="22"/>
      <c r="AN248" s="22"/>
      <c r="AO248" s="22"/>
      <c r="AP248" s="22"/>
      <c r="AQ248" s="22"/>
      <c r="AR248" s="22"/>
      <c r="AS248" s="22"/>
      <c r="AT248" s="134"/>
      <c r="AU248" s="134"/>
      <c r="AV248" s="24"/>
      <c r="AW248" s="208" t="s">
        <v>1051</v>
      </c>
      <c r="AX248" s="208"/>
      <c r="AY248" s="208"/>
      <c r="AZ248" s="208"/>
      <c r="BA248" s="208"/>
      <c r="BB248" s="208"/>
      <c r="BC248" s="208"/>
      <c r="BD248" s="208"/>
      <c r="BE248" s="137" t="s">
        <v>1052</v>
      </c>
      <c r="BF248" s="137" t="s">
        <v>415</v>
      </c>
      <c r="BG248" s="139" t="s">
        <v>416</v>
      </c>
      <c r="BH248" s="64"/>
      <c r="BI248" s="64"/>
      <c r="BJ248" s="209" t="s">
        <v>1051</v>
      </c>
      <c r="BK248" s="46">
        <f t="shared" si="1"/>
        <v>1</v>
      </c>
      <c r="BL248" s="46"/>
      <c r="BM248" s="46"/>
      <c r="BN248" s="46"/>
    </row>
    <row r="249" spans="1:66" ht="12.75" hidden="1" customHeight="1">
      <c r="A249" s="22">
        <v>247</v>
      </c>
      <c r="B249" s="193" t="s">
        <v>1053</v>
      </c>
      <c r="C249" s="193" t="str">
        <f t="shared" si="0"/>
        <v>Daily caffeine intake</v>
      </c>
      <c r="D249" s="194" t="s">
        <v>1053</v>
      </c>
      <c r="E249" s="22" t="s">
        <v>96</v>
      </c>
      <c r="F249" s="24"/>
      <c r="G249" s="24" t="s">
        <v>1054</v>
      </c>
      <c r="H249" s="24"/>
      <c r="I249" s="24">
        <v>1</v>
      </c>
      <c r="J249" s="24" t="s">
        <v>494</v>
      </c>
      <c r="K249" s="24"/>
      <c r="L249" s="24"/>
      <c r="M249" s="24"/>
      <c r="N249" s="24"/>
      <c r="O249" s="24"/>
      <c r="P249" s="134"/>
      <c r="Q249" s="134"/>
      <c r="R249" s="195" t="s">
        <v>1053</v>
      </c>
      <c r="S249" s="134"/>
      <c r="T249" s="242" t="s">
        <v>1055</v>
      </c>
      <c r="U249" s="196" t="s">
        <v>238</v>
      </c>
      <c r="V249" s="163"/>
      <c r="W249" s="163"/>
      <c r="X249" s="196"/>
      <c r="Y249" s="196" t="s">
        <v>1056</v>
      </c>
      <c r="Z249" s="134"/>
      <c r="AA249" s="24"/>
      <c r="AB249" s="164" t="s">
        <v>113</v>
      </c>
      <c r="AC249" s="179"/>
      <c r="AD249" s="134"/>
      <c r="AE249" s="24"/>
      <c r="AF249" s="24"/>
      <c r="AG249" s="22"/>
      <c r="AH249" s="45"/>
      <c r="AI249" s="24"/>
      <c r="AJ249" s="134"/>
      <c r="AK249" s="193"/>
      <c r="AL249" s="22"/>
      <c r="AM249" s="22"/>
      <c r="AN249" s="22"/>
      <c r="AO249" s="22"/>
      <c r="AP249" s="22"/>
      <c r="AQ249" s="22"/>
      <c r="AR249" s="22"/>
      <c r="AS249" s="22"/>
      <c r="AT249" s="151"/>
      <c r="AU249" s="151"/>
      <c r="AV249" s="152"/>
      <c r="AW249" s="151"/>
      <c r="AX249" s="151"/>
      <c r="AY249" s="151"/>
      <c r="AZ249" s="151"/>
      <c r="BA249" s="151"/>
      <c r="BB249" s="151"/>
      <c r="BC249" s="151"/>
      <c r="BD249" s="151"/>
      <c r="BE249" s="137" t="s">
        <v>115</v>
      </c>
      <c r="BF249" s="137" t="s">
        <v>1058</v>
      </c>
      <c r="BG249" s="139" t="s">
        <v>1059</v>
      </c>
      <c r="BH249" s="153"/>
      <c r="BI249" s="154"/>
      <c r="BJ249" s="154"/>
      <c r="BK249" s="46">
        <f t="shared" si="1"/>
        <v>1</v>
      </c>
      <c r="BL249" s="46"/>
      <c r="BM249" s="46"/>
      <c r="BN249" s="46"/>
    </row>
    <row r="250" spans="1:66" ht="12.75" hidden="1" customHeight="1">
      <c r="A250" s="22">
        <v>248</v>
      </c>
      <c r="B250" s="163" t="s">
        <v>1270</v>
      </c>
      <c r="C250" s="163" t="e">
        <f t="shared" ca="1" si="0"/>
        <v>#NAME?</v>
      </c>
      <c r="D250" s="163" t="s">
        <v>1060</v>
      </c>
      <c r="E250" s="22" t="s">
        <v>180</v>
      </c>
      <c r="F250" s="24" t="s">
        <v>1053</v>
      </c>
      <c r="G250" s="24" t="s">
        <v>1054</v>
      </c>
      <c r="H250" s="24"/>
      <c r="I250" s="24">
        <v>1</v>
      </c>
      <c r="J250" s="24" t="s">
        <v>494</v>
      </c>
      <c r="K250" s="24"/>
      <c r="L250" s="24"/>
      <c r="M250" s="24"/>
      <c r="N250" s="24"/>
      <c r="O250" s="24"/>
      <c r="P250" s="134"/>
      <c r="Q250" s="134"/>
      <c r="R250" s="169"/>
      <c r="S250" s="134"/>
      <c r="T250" s="164"/>
      <c r="U250" s="164"/>
      <c r="V250" s="163"/>
      <c r="W250" s="163" t="s">
        <v>1060</v>
      </c>
      <c r="X250" s="164"/>
      <c r="Y250" s="164"/>
      <c r="Z250" s="134"/>
      <c r="AA250" s="24"/>
      <c r="AB250" s="164"/>
      <c r="AC250" s="179"/>
      <c r="AD250" s="134"/>
      <c r="AE250" s="24"/>
      <c r="AF250" s="24"/>
      <c r="AG250" s="22"/>
      <c r="AH250" s="45"/>
      <c r="AI250" s="24"/>
      <c r="AJ250" s="134"/>
      <c r="AK250" s="163"/>
      <c r="AL250" s="22"/>
      <c r="AM250" s="22"/>
      <c r="AN250" s="22"/>
      <c r="AO250" s="22"/>
      <c r="AP250" s="22"/>
      <c r="AQ250" s="22"/>
      <c r="AR250" s="22"/>
      <c r="AS250" s="22"/>
      <c r="AT250" s="151"/>
      <c r="AU250" s="151"/>
      <c r="AV250" s="152"/>
      <c r="AW250" s="151"/>
      <c r="AX250" s="151"/>
      <c r="AY250" s="151"/>
      <c r="AZ250" s="151"/>
      <c r="BA250" s="151"/>
      <c r="BB250" s="151"/>
      <c r="BC250" s="151"/>
      <c r="BD250" s="151"/>
      <c r="BE250" s="137" t="s">
        <v>115</v>
      </c>
      <c r="BF250" s="137" t="s">
        <v>1061</v>
      </c>
      <c r="BG250" s="139" t="s">
        <v>1062</v>
      </c>
      <c r="BH250" s="153"/>
      <c r="BI250" s="154"/>
      <c r="BJ250" s="154"/>
      <c r="BK250" s="46">
        <f t="shared" si="1"/>
        <v>1</v>
      </c>
      <c r="BL250" s="46"/>
      <c r="BM250" s="46"/>
      <c r="BN250" s="46"/>
    </row>
    <row r="251" spans="1:66" ht="12.75" hidden="1" customHeight="1">
      <c r="A251" s="22">
        <v>249</v>
      </c>
      <c r="B251" s="163" t="s">
        <v>1272</v>
      </c>
      <c r="C251" s="163" t="e">
        <f t="shared" ca="1" si="0"/>
        <v>#NAME?</v>
      </c>
      <c r="D251" s="163" t="s">
        <v>1063</v>
      </c>
      <c r="E251" s="22" t="s">
        <v>180</v>
      </c>
      <c r="F251" s="24" t="s">
        <v>1053</v>
      </c>
      <c r="G251" s="24" t="s">
        <v>1054</v>
      </c>
      <c r="H251" s="24"/>
      <c r="I251" s="24">
        <v>1</v>
      </c>
      <c r="J251" s="24" t="s">
        <v>494</v>
      </c>
      <c r="K251" s="24"/>
      <c r="L251" s="24"/>
      <c r="M251" s="24"/>
      <c r="N251" s="24"/>
      <c r="O251" s="24"/>
      <c r="P251" s="134"/>
      <c r="Q251" s="134"/>
      <c r="R251" s="169"/>
      <c r="S251" s="134"/>
      <c r="T251" s="164"/>
      <c r="U251" s="164"/>
      <c r="V251" s="163"/>
      <c r="W251" s="163" t="s">
        <v>1063</v>
      </c>
      <c r="X251" s="164"/>
      <c r="Y251" s="164"/>
      <c r="Z251" s="134"/>
      <c r="AA251" s="24"/>
      <c r="AB251" s="164"/>
      <c r="AC251" s="179"/>
      <c r="AD251" s="134"/>
      <c r="AE251" s="24"/>
      <c r="AF251" s="24"/>
      <c r="AG251" s="22"/>
      <c r="AH251" s="45"/>
      <c r="AI251" s="24"/>
      <c r="AJ251" s="134"/>
      <c r="AK251" s="163"/>
      <c r="AL251" s="22"/>
      <c r="AM251" s="22"/>
      <c r="AN251" s="22"/>
      <c r="AO251" s="22"/>
      <c r="AP251" s="22"/>
      <c r="AQ251" s="22"/>
      <c r="AR251" s="22"/>
      <c r="AS251" s="22"/>
      <c r="AT251" s="151"/>
      <c r="AU251" s="151"/>
      <c r="AV251" s="152"/>
      <c r="AW251" s="151"/>
      <c r="AX251" s="151"/>
      <c r="AY251" s="151"/>
      <c r="AZ251" s="151"/>
      <c r="BA251" s="151"/>
      <c r="BB251" s="151"/>
      <c r="BC251" s="151"/>
      <c r="BD251" s="151"/>
      <c r="BE251" s="137" t="s">
        <v>115</v>
      </c>
      <c r="BF251" s="137" t="s">
        <v>1065</v>
      </c>
      <c r="BG251" s="139" t="s">
        <v>1066</v>
      </c>
      <c r="BH251" s="153"/>
      <c r="BI251" s="154"/>
      <c r="BJ251" s="154"/>
      <c r="BK251" s="46">
        <f t="shared" si="1"/>
        <v>1</v>
      </c>
      <c r="BL251" s="46"/>
      <c r="BM251" s="46"/>
      <c r="BN251" s="46"/>
    </row>
    <row r="252" spans="1:66" ht="12.75" hidden="1" customHeight="1">
      <c r="A252" s="22">
        <v>250</v>
      </c>
      <c r="B252" s="163" t="s">
        <v>1278</v>
      </c>
      <c r="C252" s="163" t="e">
        <f t="shared" ca="1" si="0"/>
        <v>#NAME?</v>
      </c>
      <c r="D252" s="163" t="s">
        <v>1067</v>
      </c>
      <c r="E252" s="22" t="s">
        <v>180</v>
      </c>
      <c r="F252" s="24" t="s">
        <v>1053</v>
      </c>
      <c r="G252" s="24" t="s">
        <v>1054</v>
      </c>
      <c r="H252" s="24"/>
      <c r="I252" s="24">
        <v>1</v>
      </c>
      <c r="J252" s="24" t="s">
        <v>494</v>
      </c>
      <c r="K252" s="24"/>
      <c r="L252" s="24"/>
      <c r="M252" s="24"/>
      <c r="N252" s="24"/>
      <c r="O252" s="24"/>
      <c r="P252" s="134"/>
      <c r="Q252" s="134"/>
      <c r="R252" s="169"/>
      <c r="S252" s="134"/>
      <c r="T252" s="164"/>
      <c r="U252" s="164"/>
      <c r="V252" s="163"/>
      <c r="W252" s="163" t="s">
        <v>1067</v>
      </c>
      <c r="X252" s="164"/>
      <c r="Y252" s="164"/>
      <c r="Z252" s="134"/>
      <c r="AA252" s="24"/>
      <c r="AB252" s="164"/>
      <c r="AC252" s="179"/>
      <c r="AD252" s="134"/>
      <c r="AE252" s="24"/>
      <c r="AF252" s="24"/>
      <c r="AG252" s="22"/>
      <c r="AH252" s="45"/>
      <c r="AI252" s="24"/>
      <c r="AJ252" s="134"/>
      <c r="AK252" s="163"/>
      <c r="AL252" s="22"/>
      <c r="AM252" s="22"/>
      <c r="AN252" s="22"/>
      <c r="AO252" s="22"/>
      <c r="AP252" s="22"/>
      <c r="AQ252" s="22"/>
      <c r="AR252" s="22"/>
      <c r="AS252" s="22"/>
      <c r="AT252" s="151"/>
      <c r="AU252" s="151"/>
      <c r="AV252" s="152"/>
      <c r="AW252" s="151"/>
      <c r="AX252" s="151"/>
      <c r="AY252" s="151"/>
      <c r="AZ252" s="151"/>
      <c r="BA252" s="151"/>
      <c r="BB252" s="151"/>
      <c r="BC252" s="151"/>
      <c r="BD252" s="151"/>
      <c r="BE252" s="137" t="s">
        <v>115</v>
      </c>
      <c r="BF252" s="137" t="s">
        <v>1068</v>
      </c>
      <c r="BG252" s="139" t="s">
        <v>1069</v>
      </c>
      <c r="BH252" s="153"/>
      <c r="BI252" s="154"/>
      <c r="BJ252" s="154"/>
      <c r="BK252" s="46">
        <f t="shared" si="1"/>
        <v>1</v>
      </c>
      <c r="BL252" s="46"/>
      <c r="BM252" s="46"/>
      <c r="BN252" s="46"/>
    </row>
    <row r="253" spans="1:66" ht="12.75" hidden="1" customHeight="1">
      <c r="A253" s="22">
        <v>251</v>
      </c>
      <c r="B253" s="163" t="s">
        <v>1280</v>
      </c>
      <c r="C253" s="163" t="e">
        <f t="shared" ca="1" si="0"/>
        <v>#NAME?</v>
      </c>
      <c r="D253" s="163" t="s">
        <v>1070</v>
      </c>
      <c r="E253" s="22" t="s">
        <v>180</v>
      </c>
      <c r="F253" s="24" t="s">
        <v>1053</v>
      </c>
      <c r="G253" s="24" t="s">
        <v>1054</v>
      </c>
      <c r="H253" s="24"/>
      <c r="I253" s="24">
        <v>1</v>
      </c>
      <c r="J253" s="24" t="s">
        <v>494</v>
      </c>
      <c r="K253" s="24"/>
      <c r="L253" s="24"/>
      <c r="M253" s="24"/>
      <c r="N253" s="24"/>
      <c r="O253" s="24"/>
      <c r="P253" s="134"/>
      <c r="Q253" s="134"/>
      <c r="R253" s="169"/>
      <c r="S253" s="134"/>
      <c r="T253" s="164"/>
      <c r="U253" s="164"/>
      <c r="V253" s="163"/>
      <c r="W253" s="163" t="s">
        <v>1070</v>
      </c>
      <c r="X253" s="164"/>
      <c r="Y253" s="164"/>
      <c r="Z253" s="134"/>
      <c r="AA253" s="24"/>
      <c r="AB253" s="164"/>
      <c r="AC253" s="179"/>
      <c r="AD253" s="134"/>
      <c r="AE253" s="24"/>
      <c r="AF253" s="24"/>
      <c r="AG253" s="22"/>
      <c r="AH253" s="45"/>
      <c r="AI253" s="24"/>
      <c r="AJ253" s="134"/>
      <c r="AK253" s="163"/>
      <c r="AL253" s="22"/>
      <c r="AM253" s="22"/>
      <c r="AN253" s="22"/>
      <c r="AO253" s="22"/>
      <c r="AP253" s="22"/>
      <c r="AQ253" s="22"/>
      <c r="AR253" s="22"/>
      <c r="AS253" s="22"/>
      <c r="AT253" s="151"/>
      <c r="AU253" s="151"/>
      <c r="AV253" s="152"/>
      <c r="AW253" s="151"/>
      <c r="AX253" s="151"/>
      <c r="AY253" s="151"/>
      <c r="AZ253" s="151"/>
      <c r="BA253" s="151"/>
      <c r="BB253" s="151"/>
      <c r="BC253" s="151"/>
      <c r="BD253" s="151"/>
      <c r="BE253" s="137" t="s">
        <v>115</v>
      </c>
      <c r="BF253" s="137" t="s">
        <v>1072</v>
      </c>
      <c r="BG253" s="139" t="s">
        <v>1073</v>
      </c>
      <c r="BH253" s="153"/>
      <c r="BI253" s="154"/>
      <c r="BJ253" s="154"/>
      <c r="BK253" s="46">
        <f t="shared" si="1"/>
        <v>1</v>
      </c>
      <c r="BL253" s="46"/>
      <c r="BM253" s="46"/>
      <c r="BN253" s="46"/>
    </row>
    <row r="254" spans="1:66" ht="12.75" hidden="1" customHeight="1">
      <c r="A254" s="22">
        <v>252</v>
      </c>
      <c r="B254" s="163" t="s">
        <v>1281</v>
      </c>
      <c r="C254" s="163" t="e">
        <f t="shared" ca="1" si="0"/>
        <v>#NAME?</v>
      </c>
      <c r="D254" s="163" t="s">
        <v>1074</v>
      </c>
      <c r="E254" s="22" t="s">
        <v>180</v>
      </c>
      <c r="F254" s="24" t="s">
        <v>1053</v>
      </c>
      <c r="G254" s="24" t="s">
        <v>1054</v>
      </c>
      <c r="H254" s="24"/>
      <c r="I254" s="24">
        <v>1</v>
      </c>
      <c r="J254" s="24" t="s">
        <v>494</v>
      </c>
      <c r="K254" s="24"/>
      <c r="L254" s="24"/>
      <c r="M254" s="24"/>
      <c r="N254" s="24"/>
      <c r="O254" s="24"/>
      <c r="P254" s="134"/>
      <c r="Q254" s="134"/>
      <c r="R254" s="169"/>
      <c r="S254" s="134"/>
      <c r="T254" s="164"/>
      <c r="U254" s="164"/>
      <c r="V254" s="163"/>
      <c r="W254" s="163" t="s">
        <v>1074</v>
      </c>
      <c r="X254" s="164"/>
      <c r="Y254" s="164"/>
      <c r="Z254" s="134"/>
      <c r="AA254" s="24"/>
      <c r="AB254" s="164"/>
      <c r="AC254" s="179"/>
      <c r="AD254" s="134"/>
      <c r="AE254" s="24"/>
      <c r="AF254" s="24"/>
      <c r="AG254" s="22"/>
      <c r="AH254" s="45"/>
      <c r="AI254" s="24"/>
      <c r="AJ254" s="134"/>
      <c r="AK254" s="163"/>
      <c r="AL254" s="22"/>
      <c r="AM254" s="22"/>
      <c r="AN254" s="22"/>
      <c r="AO254" s="22"/>
      <c r="AP254" s="22"/>
      <c r="AQ254" s="22"/>
      <c r="AR254" s="22"/>
      <c r="AS254" s="22"/>
      <c r="AT254" s="151"/>
      <c r="AU254" s="151"/>
      <c r="AV254" s="152"/>
      <c r="AW254" s="151"/>
      <c r="AX254" s="151"/>
      <c r="AY254" s="151"/>
      <c r="AZ254" s="151"/>
      <c r="BA254" s="151"/>
      <c r="BB254" s="151"/>
      <c r="BC254" s="151"/>
      <c r="BD254" s="151"/>
      <c r="BE254" s="137" t="s">
        <v>115</v>
      </c>
      <c r="BF254" s="137" t="s">
        <v>115</v>
      </c>
      <c r="BG254" s="139" t="s">
        <v>115</v>
      </c>
      <c r="BH254" s="153"/>
      <c r="BI254" s="154"/>
      <c r="BJ254" s="154"/>
      <c r="BK254" s="46">
        <f t="shared" si="1"/>
        <v>1</v>
      </c>
      <c r="BL254" s="46"/>
      <c r="BM254" s="46"/>
      <c r="BN254" s="46"/>
    </row>
    <row r="255" spans="1:66" ht="12.75" hidden="1" customHeight="1">
      <c r="A255" s="22">
        <v>253</v>
      </c>
      <c r="B255" s="193" t="s">
        <v>1076</v>
      </c>
      <c r="C255" s="193" t="str">
        <f t="shared" si="0"/>
        <v>Uses tobacco products?</v>
      </c>
      <c r="D255" s="194" t="s">
        <v>1076</v>
      </c>
      <c r="E255" s="22" t="s">
        <v>96</v>
      </c>
      <c r="F255" s="24"/>
      <c r="G255" s="24" t="s">
        <v>1054</v>
      </c>
      <c r="H255" s="24"/>
      <c r="I255" s="24">
        <v>1</v>
      </c>
      <c r="J255" s="24" t="s">
        <v>494</v>
      </c>
      <c r="K255" s="24"/>
      <c r="L255" s="24"/>
      <c r="M255" s="24"/>
      <c r="N255" s="24"/>
      <c r="O255" s="24"/>
      <c r="P255" s="134"/>
      <c r="Q255" s="134"/>
      <c r="R255" s="195" t="s">
        <v>1076</v>
      </c>
      <c r="S255" s="134"/>
      <c r="T255" s="196" t="s">
        <v>1077</v>
      </c>
      <c r="U255" s="196" t="s">
        <v>202</v>
      </c>
      <c r="V255" s="194"/>
      <c r="W255" s="194"/>
      <c r="X255" s="196"/>
      <c r="Y255" s="196"/>
      <c r="Z255" s="134"/>
      <c r="AA255" s="24"/>
      <c r="AB255" s="242" t="s">
        <v>113</v>
      </c>
      <c r="AC255" s="179"/>
      <c r="AD255" s="134"/>
      <c r="AE255" s="24"/>
      <c r="AF255" s="24"/>
      <c r="AG255" s="22"/>
      <c r="AH255" s="45"/>
      <c r="AI255" s="24"/>
      <c r="AJ255" s="134"/>
      <c r="AK255" s="193"/>
      <c r="AL255" s="22"/>
      <c r="AM255" s="22"/>
      <c r="AN255" s="22"/>
      <c r="AO255" s="22"/>
      <c r="AP255" s="22"/>
      <c r="AQ255" s="22"/>
      <c r="AR255" s="22"/>
      <c r="AS255" s="22"/>
      <c r="AT255" s="134"/>
      <c r="AU255" s="134"/>
      <c r="AV255" s="172" t="s">
        <v>1078</v>
      </c>
      <c r="AW255" s="134"/>
      <c r="AX255" s="134"/>
      <c r="AY255" s="134"/>
      <c r="AZ255" s="134"/>
      <c r="BA255" s="134"/>
      <c r="BB255" s="134"/>
      <c r="BC255" s="134"/>
      <c r="BD255" s="134"/>
      <c r="BE255" s="137" t="s">
        <v>115</v>
      </c>
      <c r="BF255" s="137" t="s">
        <v>1079</v>
      </c>
      <c r="BG255" s="139" t="s">
        <v>1080</v>
      </c>
      <c r="BH255" s="47"/>
      <c r="BI255" s="173" t="s">
        <v>1078</v>
      </c>
      <c r="BJ255" s="47"/>
      <c r="BK255" s="46">
        <f t="shared" si="1"/>
        <v>1</v>
      </c>
      <c r="BL255" s="46"/>
      <c r="BM255" s="46"/>
      <c r="BN255" s="46"/>
    </row>
    <row r="256" spans="1:66" ht="12.75" hidden="1" customHeight="1">
      <c r="A256" s="22">
        <v>254</v>
      </c>
      <c r="B256" s="193" t="s">
        <v>250</v>
      </c>
      <c r="C256" s="193" t="e">
        <f t="shared" ca="1" si="0"/>
        <v>#NAME?</v>
      </c>
      <c r="D256" s="196" t="s">
        <v>113</v>
      </c>
      <c r="E256" s="22" t="s">
        <v>180</v>
      </c>
      <c r="F256" s="194" t="s">
        <v>1076</v>
      </c>
      <c r="G256" s="24" t="s">
        <v>1054</v>
      </c>
      <c r="H256" s="24"/>
      <c r="I256" s="24">
        <v>1</v>
      </c>
      <c r="J256" s="24" t="s">
        <v>494</v>
      </c>
      <c r="K256" s="24"/>
      <c r="L256" s="24"/>
      <c r="M256" s="24"/>
      <c r="N256" s="24"/>
      <c r="O256" s="24"/>
      <c r="P256" s="134"/>
      <c r="Q256" s="134"/>
      <c r="R256" s="195"/>
      <c r="S256" s="134"/>
      <c r="T256" s="196"/>
      <c r="U256" s="196"/>
      <c r="V256" s="194"/>
      <c r="W256" s="194" t="s">
        <v>113</v>
      </c>
      <c r="X256" s="196"/>
      <c r="Y256" s="196"/>
      <c r="Z256" s="134"/>
      <c r="AA256" s="24"/>
      <c r="AB256" s="242"/>
      <c r="AC256" s="179"/>
      <c r="AD256" s="134"/>
      <c r="AE256" s="24"/>
      <c r="AF256" s="24"/>
      <c r="AG256" s="22"/>
      <c r="AH256" s="45"/>
      <c r="AI256" s="24"/>
      <c r="AJ256" s="134"/>
      <c r="AK256" s="193"/>
      <c r="AL256" s="22"/>
      <c r="AM256" s="22"/>
      <c r="AN256" s="22"/>
      <c r="AO256" s="22"/>
      <c r="AP256" s="22"/>
      <c r="AQ256" s="22"/>
      <c r="AR256" s="22"/>
      <c r="AS256" s="22"/>
      <c r="AT256" s="134"/>
      <c r="AU256" s="134"/>
      <c r="AV256" s="156">
        <v>15240007</v>
      </c>
      <c r="AW256" s="134"/>
      <c r="AX256" s="134"/>
      <c r="AY256" s="134"/>
      <c r="AZ256" s="134"/>
      <c r="BA256" s="134"/>
      <c r="BB256" s="134"/>
      <c r="BC256" s="134"/>
      <c r="BD256" s="134"/>
      <c r="BE256" s="137" t="s">
        <v>115</v>
      </c>
      <c r="BF256" s="137" t="s">
        <v>1082</v>
      </c>
      <c r="BG256" s="139" t="s">
        <v>1083</v>
      </c>
      <c r="BH256" s="64"/>
      <c r="BI256" s="157">
        <v>15240007</v>
      </c>
      <c r="BJ256" s="64"/>
      <c r="BK256" s="46">
        <f t="shared" si="1"/>
        <v>1</v>
      </c>
      <c r="BL256" s="46"/>
      <c r="BM256" s="46"/>
      <c r="BN256" s="46"/>
    </row>
    <row r="257" spans="1:66" ht="12.75" hidden="1" customHeight="1">
      <c r="A257" s="22">
        <v>255</v>
      </c>
      <c r="B257" s="193" t="s">
        <v>255</v>
      </c>
      <c r="C257" s="193" t="e">
        <f t="shared" ca="1" si="0"/>
        <v>#NAME?</v>
      </c>
      <c r="D257" s="196" t="s">
        <v>208</v>
      </c>
      <c r="E257" s="22" t="s">
        <v>180</v>
      </c>
      <c r="F257" s="194" t="s">
        <v>1076</v>
      </c>
      <c r="G257" s="24" t="s">
        <v>1054</v>
      </c>
      <c r="H257" s="24"/>
      <c r="I257" s="24">
        <v>1</v>
      </c>
      <c r="J257" s="24" t="s">
        <v>494</v>
      </c>
      <c r="K257" s="24"/>
      <c r="L257" s="24"/>
      <c r="M257" s="24"/>
      <c r="N257" s="24"/>
      <c r="O257" s="24"/>
      <c r="P257" s="134"/>
      <c r="Q257" s="134"/>
      <c r="R257" s="195"/>
      <c r="S257" s="134"/>
      <c r="T257" s="196"/>
      <c r="U257" s="196"/>
      <c r="V257" s="194"/>
      <c r="W257" s="194" t="s">
        <v>208</v>
      </c>
      <c r="X257" s="196"/>
      <c r="Y257" s="196"/>
      <c r="Z257" s="134"/>
      <c r="AA257" s="24"/>
      <c r="AB257" s="242"/>
      <c r="AC257" s="179"/>
      <c r="AD257" s="134"/>
      <c r="AE257" s="24"/>
      <c r="AF257" s="24"/>
      <c r="AG257" s="22"/>
      <c r="AH257" s="45"/>
      <c r="AI257" s="24"/>
      <c r="AJ257" s="134"/>
      <c r="AK257" s="193"/>
      <c r="AL257" s="22"/>
      <c r="AM257" s="22"/>
      <c r="AN257" s="22"/>
      <c r="AO257" s="22"/>
      <c r="AP257" s="22"/>
      <c r="AQ257" s="22"/>
      <c r="AR257" s="22"/>
      <c r="AS257" s="22"/>
      <c r="AT257" s="151"/>
      <c r="AU257" s="151"/>
      <c r="AV257" s="152"/>
      <c r="AW257" s="151"/>
      <c r="AX257" s="151"/>
      <c r="AY257" s="151"/>
      <c r="AZ257" s="151"/>
      <c r="BA257" s="151"/>
      <c r="BB257" s="151"/>
      <c r="BC257" s="151"/>
      <c r="BD257" s="151"/>
      <c r="BE257" s="137" t="s">
        <v>115</v>
      </c>
      <c r="BF257" s="137" t="s">
        <v>1084</v>
      </c>
      <c r="BG257" s="139" t="s">
        <v>1085</v>
      </c>
      <c r="BH257" s="153"/>
      <c r="BI257" s="154"/>
      <c r="BJ257" s="154"/>
      <c r="BK257" s="46">
        <f t="shared" si="1"/>
        <v>1</v>
      </c>
      <c r="BL257" s="46"/>
      <c r="BM257" s="46"/>
      <c r="BN257" s="46"/>
    </row>
    <row r="258" spans="1:66" ht="12.75" hidden="1" customHeight="1">
      <c r="A258" s="22">
        <v>256</v>
      </c>
      <c r="B258" s="193" t="s">
        <v>1282</v>
      </c>
      <c r="C258" s="193" t="e">
        <f t="shared" ca="1" si="0"/>
        <v>#NAME?</v>
      </c>
      <c r="D258" s="196" t="s">
        <v>1086</v>
      </c>
      <c r="E258" s="22" t="s">
        <v>180</v>
      </c>
      <c r="F258" s="194" t="s">
        <v>1076</v>
      </c>
      <c r="G258" s="24" t="s">
        <v>1054</v>
      </c>
      <c r="H258" s="24"/>
      <c r="I258" s="24">
        <v>1</v>
      </c>
      <c r="J258" s="24" t="s">
        <v>494</v>
      </c>
      <c r="K258" s="24"/>
      <c r="L258" s="24"/>
      <c r="M258" s="24"/>
      <c r="N258" s="24"/>
      <c r="O258" s="24"/>
      <c r="P258" s="134"/>
      <c r="Q258" s="134"/>
      <c r="R258" s="195"/>
      <c r="S258" s="134"/>
      <c r="T258" s="196"/>
      <c r="U258" s="196"/>
      <c r="V258" s="194"/>
      <c r="W258" s="194" t="s">
        <v>1086</v>
      </c>
      <c r="X258" s="196"/>
      <c r="Y258" s="196"/>
      <c r="Z258" s="134"/>
      <c r="AA258" s="24"/>
      <c r="AB258" s="242"/>
      <c r="AC258" s="179"/>
      <c r="AD258" s="134"/>
      <c r="AE258" s="24"/>
      <c r="AF258" s="24"/>
      <c r="AG258" s="22"/>
      <c r="AH258" s="45"/>
      <c r="AI258" s="24"/>
      <c r="AJ258" s="134"/>
      <c r="AK258" s="193"/>
      <c r="AL258" s="22"/>
      <c r="AM258" s="22"/>
      <c r="AN258" s="22"/>
      <c r="AO258" s="22"/>
      <c r="AP258" s="22"/>
      <c r="AQ258" s="22"/>
      <c r="AR258" s="22"/>
      <c r="AS258" s="22"/>
      <c r="AT258" s="151"/>
      <c r="AU258" s="151"/>
      <c r="AV258" s="152"/>
      <c r="AW258" s="151"/>
      <c r="AX258" s="151"/>
      <c r="AY258" s="151"/>
      <c r="AZ258" s="151"/>
      <c r="BA258" s="151"/>
      <c r="BB258" s="151"/>
      <c r="BC258" s="151"/>
      <c r="BD258" s="151"/>
      <c r="BE258" s="137" t="s">
        <v>115</v>
      </c>
      <c r="BF258" s="137" t="s">
        <v>115</v>
      </c>
      <c r="BG258" s="139" t="s">
        <v>115</v>
      </c>
      <c r="BH258" s="153"/>
      <c r="BI258" s="154"/>
      <c r="BJ258" s="154"/>
      <c r="BK258" s="46">
        <f t="shared" si="1"/>
        <v>1</v>
      </c>
      <c r="BL258" s="46"/>
      <c r="BM258" s="46"/>
      <c r="BN258" s="46"/>
    </row>
    <row r="259" spans="1:66" ht="12.75" hidden="1" customHeight="1">
      <c r="A259" s="22">
        <v>257</v>
      </c>
      <c r="B259" s="193" t="s">
        <v>1088</v>
      </c>
      <c r="C259" s="193" t="str">
        <f t="shared" si="0"/>
        <v>Anyone in the household smokes tobacco products?</v>
      </c>
      <c r="D259" s="194" t="s">
        <v>1088</v>
      </c>
      <c r="E259" s="22" t="s">
        <v>96</v>
      </c>
      <c r="F259" s="24"/>
      <c r="G259" s="24" t="s">
        <v>1054</v>
      </c>
      <c r="H259" s="24"/>
      <c r="I259" s="24">
        <v>1</v>
      </c>
      <c r="J259" s="24" t="s">
        <v>494</v>
      </c>
      <c r="K259" s="24"/>
      <c r="L259" s="24"/>
      <c r="M259" s="24"/>
      <c r="N259" s="24"/>
      <c r="O259" s="24"/>
      <c r="P259" s="134"/>
      <c r="Q259" s="134"/>
      <c r="R259" s="195" t="s">
        <v>1088</v>
      </c>
      <c r="S259" s="134"/>
      <c r="T259" s="196" t="s">
        <v>1089</v>
      </c>
      <c r="U259" s="196" t="s">
        <v>202</v>
      </c>
      <c r="V259" s="194"/>
      <c r="W259" s="194"/>
      <c r="X259" s="196"/>
      <c r="Y259" s="196"/>
      <c r="Z259" s="134"/>
      <c r="AA259" s="24"/>
      <c r="AB259" s="196" t="s">
        <v>208</v>
      </c>
      <c r="AC259" s="179"/>
      <c r="AD259" s="134"/>
      <c r="AE259" s="24"/>
      <c r="AF259" s="24"/>
      <c r="AG259" s="22"/>
      <c r="AH259" s="45"/>
      <c r="AI259" s="24"/>
      <c r="AJ259" s="134"/>
      <c r="AK259" s="193"/>
      <c r="AL259" s="22"/>
      <c r="AM259" s="22"/>
      <c r="AN259" s="22"/>
      <c r="AO259" s="22"/>
      <c r="AP259" s="22"/>
      <c r="AQ259" s="22"/>
      <c r="AR259" s="22"/>
      <c r="AS259" s="22"/>
      <c r="AT259" s="134"/>
      <c r="AU259" s="134"/>
      <c r="AV259" s="135">
        <v>43381005</v>
      </c>
      <c r="AW259" s="134"/>
      <c r="AX259" s="134"/>
      <c r="AY259" s="134"/>
      <c r="AZ259" s="134"/>
      <c r="BA259" s="134"/>
      <c r="BB259" s="134"/>
      <c r="BC259" s="134"/>
      <c r="BD259" s="134"/>
      <c r="BE259" s="143" t="s">
        <v>115</v>
      </c>
      <c r="BF259" s="143" t="s">
        <v>1091</v>
      </c>
      <c r="BG259" s="167" t="s">
        <v>1092</v>
      </c>
      <c r="BH259" s="47"/>
      <c r="BI259" s="140">
        <v>43381005</v>
      </c>
      <c r="BJ259" s="47"/>
      <c r="BK259" s="46">
        <f t="shared" si="1"/>
        <v>1</v>
      </c>
      <c r="BL259" s="46"/>
      <c r="BM259" s="46"/>
      <c r="BN259" s="46"/>
    </row>
    <row r="260" spans="1:66" ht="12.75" hidden="1" customHeight="1">
      <c r="A260" s="22">
        <v>258</v>
      </c>
      <c r="B260" s="193" t="s">
        <v>250</v>
      </c>
      <c r="C260" s="193" t="e">
        <f t="shared" ca="1" si="0"/>
        <v>#NAME?</v>
      </c>
      <c r="D260" s="196" t="s">
        <v>113</v>
      </c>
      <c r="E260" s="22" t="s">
        <v>180</v>
      </c>
      <c r="F260" s="194" t="s">
        <v>1088</v>
      </c>
      <c r="G260" s="24" t="s">
        <v>1054</v>
      </c>
      <c r="H260" s="24"/>
      <c r="I260" s="24">
        <v>1</v>
      </c>
      <c r="J260" s="24" t="s">
        <v>494</v>
      </c>
      <c r="K260" s="24"/>
      <c r="L260" s="24"/>
      <c r="M260" s="24"/>
      <c r="N260" s="24"/>
      <c r="O260" s="24"/>
      <c r="P260" s="134"/>
      <c r="Q260" s="134"/>
      <c r="R260" s="195"/>
      <c r="S260" s="134"/>
      <c r="T260" s="196"/>
      <c r="U260" s="196"/>
      <c r="V260" s="194"/>
      <c r="W260" s="194" t="s">
        <v>113</v>
      </c>
      <c r="X260" s="196"/>
      <c r="Y260" s="196"/>
      <c r="Z260" s="134"/>
      <c r="AA260" s="24"/>
      <c r="AB260" s="196"/>
      <c r="AC260" s="179"/>
      <c r="AD260" s="134"/>
      <c r="AE260" s="24"/>
      <c r="AF260" s="24"/>
      <c r="AG260" s="22"/>
      <c r="AH260" s="45"/>
      <c r="AI260" s="24"/>
      <c r="AJ260" s="134"/>
      <c r="AK260" s="193"/>
      <c r="AL260" s="22"/>
      <c r="AM260" s="22"/>
      <c r="AN260" s="22"/>
      <c r="AO260" s="22"/>
      <c r="AP260" s="22"/>
      <c r="AQ260" s="22"/>
      <c r="AR260" s="22"/>
      <c r="AS260" s="22"/>
      <c r="AT260" s="134"/>
      <c r="AU260" s="134"/>
      <c r="AV260" s="135">
        <v>373066001</v>
      </c>
      <c r="AW260" s="134"/>
      <c r="AX260" s="134"/>
      <c r="AY260" s="134"/>
      <c r="AZ260" s="134"/>
      <c r="BA260" s="134"/>
      <c r="BB260" s="134"/>
      <c r="BC260" s="134"/>
      <c r="BD260" s="134"/>
      <c r="BE260" s="143" t="s">
        <v>115</v>
      </c>
      <c r="BF260" s="143" t="s">
        <v>206</v>
      </c>
      <c r="BG260" s="167" t="s">
        <v>207</v>
      </c>
      <c r="BH260" s="64"/>
      <c r="BI260" s="145">
        <v>373066001</v>
      </c>
      <c r="BJ260" s="64"/>
      <c r="BK260" s="46">
        <f t="shared" si="1"/>
        <v>1</v>
      </c>
      <c r="BL260" s="46"/>
      <c r="BM260" s="46"/>
      <c r="BN260" s="46"/>
    </row>
    <row r="261" spans="1:66" ht="12.75" hidden="1" customHeight="1">
      <c r="A261" s="22">
        <v>259</v>
      </c>
      <c r="B261" s="193" t="s">
        <v>255</v>
      </c>
      <c r="C261" s="193" t="e">
        <f t="shared" ca="1" si="0"/>
        <v>#NAME?</v>
      </c>
      <c r="D261" s="196" t="s">
        <v>208</v>
      </c>
      <c r="E261" s="22" t="s">
        <v>180</v>
      </c>
      <c r="F261" s="194" t="s">
        <v>1088</v>
      </c>
      <c r="G261" s="24" t="s">
        <v>1054</v>
      </c>
      <c r="H261" s="24"/>
      <c r="I261" s="24">
        <v>1</v>
      </c>
      <c r="J261" s="24" t="s">
        <v>494</v>
      </c>
      <c r="K261" s="24"/>
      <c r="L261" s="24"/>
      <c r="M261" s="24"/>
      <c r="N261" s="24"/>
      <c r="O261" s="24"/>
      <c r="P261" s="134"/>
      <c r="Q261" s="134"/>
      <c r="R261" s="195"/>
      <c r="S261" s="134"/>
      <c r="T261" s="196"/>
      <c r="U261" s="196"/>
      <c r="V261" s="194"/>
      <c r="W261" s="194" t="s">
        <v>208</v>
      </c>
      <c r="X261" s="196"/>
      <c r="Y261" s="196"/>
      <c r="Z261" s="134"/>
      <c r="AA261" s="24"/>
      <c r="AB261" s="196"/>
      <c r="AC261" s="179"/>
      <c r="AD261" s="134"/>
      <c r="AE261" s="24"/>
      <c r="AF261" s="24"/>
      <c r="AG261" s="22"/>
      <c r="AH261" s="45"/>
      <c r="AI261" s="24"/>
      <c r="AJ261" s="134"/>
      <c r="AK261" s="193"/>
      <c r="AL261" s="22"/>
      <c r="AM261" s="22"/>
      <c r="AN261" s="22"/>
      <c r="AO261" s="22"/>
      <c r="AP261" s="22"/>
      <c r="AQ261" s="22"/>
      <c r="AR261" s="22"/>
      <c r="AS261" s="22"/>
      <c r="AT261" s="151"/>
      <c r="AU261" s="151"/>
      <c r="AV261" s="152"/>
      <c r="AW261" s="151"/>
      <c r="AX261" s="151"/>
      <c r="AY261" s="151"/>
      <c r="AZ261" s="151"/>
      <c r="BA261" s="151"/>
      <c r="BB261" s="151"/>
      <c r="BC261" s="151"/>
      <c r="BD261" s="151"/>
      <c r="BE261" s="137" t="s">
        <v>115</v>
      </c>
      <c r="BF261" s="137" t="s">
        <v>115</v>
      </c>
      <c r="BG261" s="139" t="s">
        <v>115</v>
      </c>
      <c r="BH261" s="153"/>
      <c r="BI261" s="154"/>
      <c r="BJ261" s="154"/>
      <c r="BK261" s="46">
        <f t="shared" si="1"/>
        <v>1</v>
      </c>
      <c r="BL261" s="46"/>
      <c r="BM261" s="46"/>
      <c r="BN261" s="46"/>
    </row>
    <row r="262" spans="1:66" ht="12.75" hidden="1" customHeight="1">
      <c r="A262" s="22">
        <v>260</v>
      </c>
      <c r="B262" s="193" t="s">
        <v>1094</v>
      </c>
      <c r="C262" s="193" t="str">
        <f t="shared" si="0"/>
        <v>Uses condoms during sex?</v>
      </c>
      <c r="D262" s="194" t="s">
        <v>1094</v>
      </c>
      <c r="E262" s="22" t="s">
        <v>96</v>
      </c>
      <c r="F262" s="24"/>
      <c r="G262" s="24" t="s">
        <v>1054</v>
      </c>
      <c r="H262" s="24"/>
      <c r="I262" s="24">
        <v>1</v>
      </c>
      <c r="J262" s="24" t="s">
        <v>494</v>
      </c>
      <c r="K262" s="24"/>
      <c r="L262" s="24"/>
      <c r="M262" s="24"/>
      <c r="N262" s="24"/>
      <c r="O262" s="24"/>
      <c r="P262" s="134"/>
      <c r="Q262" s="134"/>
      <c r="R262" s="195" t="s">
        <v>1094</v>
      </c>
      <c r="S262" s="134"/>
      <c r="T262" s="196" t="s">
        <v>1096</v>
      </c>
      <c r="U262" s="196" t="s">
        <v>202</v>
      </c>
      <c r="V262" s="194"/>
      <c r="W262" s="194"/>
      <c r="X262" s="196"/>
      <c r="Y262" s="196"/>
      <c r="Z262" s="134"/>
      <c r="AA262" s="24"/>
      <c r="AB262" s="196" t="s">
        <v>208</v>
      </c>
      <c r="AC262" s="179"/>
      <c r="AD262" s="134"/>
      <c r="AE262" s="24"/>
      <c r="AF262" s="24"/>
      <c r="AG262" s="22"/>
      <c r="AH262" s="45"/>
      <c r="AI262" s="24"/>
      <c r="AJ262" s="134"/>
      <c r="AK262" s="193"/>
      <c r="AL262" s="22"/>
      <c r="AM262" s="22"/>
      <c r="AN262" s="22"/>
      <c r="AO262" s="22"/>
      <c r="AP262" s="22"/>
      <c r="AQ262" s="22"/>
      <c r="AR262" s="22"/>
      <c r="AS262" s="22"/>
      <c r="AT262" s="134"/>
      <c r="AU262" s="134"/>
      <c r="AV262" s="108" t="s">
        <v>1097</v>
      </c>
      <c r="AW262" s="134"/>
      <c r="AX262" s="134"/>
      <c r="AY262" s="134"/>
      <c r="AZ262" s="134"/>
      <c r="BA262" s="134"/>
      <c r="BB262" s="134"/>
      <c r="BC262" s="134"/>
      <c r="BD262" s="134"/>
      <c r="BE262" s="137" t="s">
        <v>115</v>
      </c>
      <c r="BF262" s="143" t="s">
        <v>1098</v>
      </c>
      <c r="BG262" s="167" t="s">
        <v>1099</v>
      </c>
      <c r="BH262" s="47"/>
      <c r="BI262" s="171" t="s">
        <v>1097</v>
      </c>
      <c r="BJ262" s="47"/>
      <c r="BK262" s="46">
        <f t="shared" si="1"/>
        <v>1</v>
      </c>
      <c r="BL262" s="46"/>
      <c r="BM262" s="46"/>
      <c r="BN262" s="46"/>
    </row>
    <row r="263" spans="1:66" ht="12.75" hidden="1" customHeight="1">
      <c r="A263" s="22">
        <v>261</v>
      </c>
      <c r="B263" s="193" t="s">
        <v>250</v>
      </c>
      <c r="C263" s="193" t="e">
        <f t="shared" ca="1" si="0"/>
        <v>#NAME?</v>
      </c>
      <c r="D263" s="196" t="s">
        <v>113</v>
      </c>
      <c r="E263" s="22" t="s">
        <v>180</v>
      </c>
      <c r="F263" s="194" t="s">
        <v>1094</v>
      </c>
      <c r="G263" s="24" t="s">
        <v>1054</v>
      </c>
      <c r="H263" s="24"/>
      <c r="I263" s="24">
        <v>1</v>
      </c>
      <c r="J263" s="24" t="s">
        <v>494</v>
      </c>
      <c r="K263" s="24"/>
      <c r="L263" s="24"/>
      <c r="M263" s="24"/>
      <c r="N263" s="24"/>
      <c r="O263" s="24"/>
      <c r="P263" s="134"/>
      <c r="Q263" s="134"/>
      <c r="R263" s="195"/>
      <c r="S263" s="134"/>
      <c r="T263" s="196"/>
      <c r="U263" s="196"/>
      <c r="V263" s="194"/>
      <c r="W263" s="194" t="s">
        <v>113</v>
      </c>
      <c r="X263" s="196"/>
      <c r="Y263" s="196"/>
      <c r="Z263" s="134"/>
      <c r="AA263" s="24"/>
      <c r="AB263" s="196"/>
      <c r="AC263" s="179"/>
      <c r="AD263" s="134"/>
      <c r="AE263" s="24"/>
      <c r="AF263" s="24"/>
      <c r="AG263" s="22"/>
      <c r="AH263" s="45"/>
      <c r="AI263" s="24"/>
      <c r="AJ263" s="134"/>
      <c r="AK263" s="193"/>
      <c r="AL263" s="22"/>
      <c r="AM263" s="22"/>
      <c r="AN263" s="22"/>
      <c r="AO263" s="22"/>
      <c r="AP263" s="22"/>
      <c r="AQ263" s="22"/>
      <c r="AR263" s="22"/>
      <c r="AS263" s="22"/>
      <c r="AT263" s="134"/>
      <c r="AU263" s="134"/>
      <c r="AV263" s="135">
        <v>373066001</v>
      </c>
      <c r="AW263" s="134"/>
      <c r="AX263" s="134"/>
      <c r="AY263" s="134"/>
      <c r="AZ263" s="134"/>
      <c r="BA263" s="134"/>
      <c r="BB263" s="134"/>
      <c r="BC263" s="134"/>
      <c r="BD263" s="134"/>
      <c r="BE263" s="143" t="s">
        <v>115</v>
      </c>
      <c r="BF263" s="143" t="s">
        <v>206</v>
      </c>
      <c r="BG263" s="167" t="s">
        <v>207</v>
      </c>
      <c r="BH263" s="64"/>
      <c r="BI263" s="145">
        <v>373066001</v>
      </c>
      <c r="BJ263" s="64"/>
      <c r="BK263" s="46">
        <f t="shared" si="1"/>
        <v>1</v>
      </c>
      <c r="BL263" s="46"/>
      <c r="BM263" s="46"/>
      <c r="BN263" s="46"/>
    </row>
    <row r="264" spans="1:66" ht="12.75" hidden="1" customHeight="1">
      <c r="A264" s="22">
        <v>262</v>
      </c>
      <c r="B264" s="193" t="s">
        <v>255</v>
      </c>
      <c r="C264" s="193" t="e">
        <f t="shared" ca="1" si="0"/>
        <v>#NAME?</v>
      </c>
      <c r="D264" s="196" t="s">
        <v>208</v>
      </c>
      <c r="E264" s="22" t="s">
        <v>180</v>
      </c>
      <c r="F264" s="194" t="s">
        <v>1094</v>
      </c>
      <c r="G264" s="24" t="s">
        <v>1054</v>
      </c>
      <c r="H264" s="24"/>
      <c r="I264" s="24">
        <v>1</v>
      </c>
      <c r="J264" s="24" t="s">
        <v>494</v>
      </c>
      <c r="K264" s="24"/>
      <c r="L264" s="24"/>
      <c r="M264" s="24"/>
      <c r="N264" s="24"/>
      <c r="O264" s="24"/>
      <c r="P264" s="134"/>
      <c r="Q264" s="134"/>
      <c r="R264" s="195"/>
      <c r="S264" s="134"/>
      <c r="T264" s="196"/>
      <c r="U264" s="196"/>
      <c r="V264" s="194"/>
      <c r="W264" s="194" t="s">
        <v>208</v>
      </c>
      <c r="X264" s="196"/>
      <c r="Y264" s="196"/>
      <c r="Z264" s="134"/>
      <c r="AA264" s="24"/>
      <c r="AB264" s="196"/>
      <c r="AC264" s="179"/>
      <c r="AD264" s="134"/>
      <c r="AE264" s="24"/>
      <c r="AF264" s="24"/>
      <c r="AG264" s="22"/>
      <c r="AH264" s="45"/>
      <c r="AI264" s="24"/>
      <c r="AJ264" s="134"/>
      <c r="AK264" s="193"/>
      <c r="AL264" s="22"/>
      <c r="AM264" s="22"/>
      <c r="AN264" s="22"/>
      <c r="AO264" s="22"/>
      <c r="AP264" s="22"/>
      <c r="AQ264" s="22"/>
      <c r="AR264" s="22"/>
      <c r="AS264" s="22"/>
      <c r="AT264" s="151"/>
      <c r="AU264" s="151"/>
      <c r="AV264" s="152"/>
      <c r="AW264" s="151"/>
      <c r="AX264" s="151"/>
      <c r="AY264" s="151"/>
      <c r="AZ264" s="151"/>
      <c r="BA264" s="151"/>
      <c r="BB264" s="151"/>
      <c r="BC264" s="151"/>
      <c r="BD264" s="151"/>
      <c r="BE264" s="137" t="s">
        <v>115</v>
      </c>
      <c r="BF264" s="137" t="s">
        <v>115</v>
      </c>
      <c r="BG264" s="139" t="s">
        <v>115</v>
      </c>
      <c r="BH264" s="153"/>
      <c r="BI264" s="154"/>
      <c r="BJ264" s="154"/>
      <c r="BK264" s="46">
        <f t="shared" si="1"/>
        <v>1</v>
      </c>
      <c r="BL264" s="46"/>
      <c r="BM264" s="46"/>
      <c r="BN264" s="46"/>
    </row>
    <row r="265" spans="1:66" ht="12.75" hidden="1" customHeight="1">
      <c r="A265" s="22">
        <v>263</v>
      </c>
      <c r="B265" s="193" t="s">
        <v>1102</v>
      </c>
      <c r="C265" s="193" t="str">
        <f t="shared" si="0"/>
        <v>Clinical enquiry for alcohol and other substance use done?</v>
      </c>
      <c r="D265" s="194" t="s">
        <v>1102</v>
      </c>
      <c r="E265" s="22" t="s">
        <v>96</v>
      </c>
      <c r="F265" s="24"/>
      <c r="G265" s="24" t="s">
        <v>1054</v>
      </c>
      <c r="H265" s="24"/>
      <c r="I265" s="24">
        <v>1</v>
      </c>
      <c r="J265" s="24" t="s">
        <v>494</v>
      </c>
      <c r="K265" s="24"/>
      <c r="L265" s="24"/>
      <c r="M265" s="24"/>
      <c r="N265" s="24"/>
      <c r="O265" s="24"/>
      <c r="P265" s="134"/>
      <c r="Q265" s="134"/>
      <c r="R265" s="195" t="s">
        <v>1102</v>
      </c>
      <c r="S265" s="134"/>
      <c r="T265" s="196" t="s">
        <v>1103</v>
      </c>
      <c r="U265" s="196" t="s">
        <v>202</v>
      </c>
      <c r="V265" s="194"/>
      <c r="W265" s="194"/>
      <c r="X265" s="196"/>
      <c r="Y265" s="196"/>
      <c r="Z265" s="134"/>
      <c r="AA265" s="24"/>
      <c r="AB265" s="196" t="s">
        <v>113</v>
      </c>
      <c r="AC265" s="179"/>
      <c r="AD265" s="134"/>
      <c r="AE265" s="24"/>
      <c r="AF265" s="24"/>
      <c r="AG265" s="22"/>
      <c r="AH265" s="45"/>
      <c r="AI265" s="24"/>
      <c r="AJ265" s="134"/>
      <c r="AK265" s="193"/>
      <c r="AL265" s="22"/>
      <c r="AM265" s="22"/>
      <c r="AN265" s="22"/>
      <c r="AO265" s="22"/>
      <c r="AP265" s="22"/>
      <c r="AQ265" s="22"/>
      <c r="AR265" s="22"/>
      <c r="AS265" s="22"/>
      <c r="AT265" s="134"/>
      <c r="AU265" s="134"/>
      <c r="AV265" s="24"/>
      <c r="AW265" s="134"/>
      <c r="AX265" s="134"/>
      <c r="AY265" s="134"/>
      <c r="AZ265" s="134"/>
      <c r="BA265" s="134"/>
      <c r="BB265" s="134"/>
      <c r="BC265" s="134"/>
      <c r="BD265" s="134"/>
      <c r="BE265" s="137" t="s">
        <v>115</v>
      </c>
      <c r="BF265" s="137" t="s">
        <v>1104</v>
      </c>
      <c r="BG265" s="167" t="s">
        <v>1105</v>
      </c>
      <c r="BH265" s="47"/>
      <c r="BI265" s="47"/>
      <c r="BJ265" s="47"/>
      <c r="BK265" s="46">
        <f t="shared" si="1"/>
        <v>1</v>
      </c>
      <c r="BL265" s="46"/>
      <c r="BM265" s="46"/>
      <c r="BN265" s="46"/>
    </row>
    <row r="266" spans="1:66" ht="12.75" hidden="1" customHeight="1">
      <c r="A266" s="22">
        <v>264</v>
      </c>
      <c r="B266" s="193" t="s">
        <v>250</v>
      </c>
      <c r="C266" s="193" t="e">
        <f t="shared" ca="1" si="0"/>
        <v>#NAME?</v>
      </c>
      <c r="D266" s="196" t="s">
        <v>113</v>
      </c>
      <c r="E266" s="22" t="s">
        <v>180</v>
      </c>
      <c r="F266" s="194" t="s">
        <v>1102</v>
      </c>
      <c r="G266" s="24" t="s">
        <v>1054</v>
      </c>
      <c r="H266" s="24"/>
      <c r="I266" s="24">
        <v>1</v>
      </c>
      <c r="J266" s="24" t="s">
        <v>494</v>
      </c>
      <c r="K266" s="24"/>
      <c r="L266" s="24"/>
      <c r="M266" s="24"/>
      <c r="N266" s="24"/>
      <c r="O266" s="24"/>
      <c r="P266" s="134"/>
      <c r="Q266" s="134"/>
      <c r="R266" s="195"/>
      <c r="S266" s="134"/>
      <c r="T266" s="196"/>
      <c r="U266" s="196"/>
      <c r="V266" s="194"/>
      <c r="W266" s="194" t="s">
        <v>113</v>
      </c>
      <c r="X266" s="196"/>
      <c r="Y266" s="196"/>
      <c r="Z266" s="134"/>
      <c r="AA266" s="24"/>
      <c r="AB266" s="196"/>
      <c r="AC266" s="179"/>
      <c r="AD266" s="134"/>
      <c r="AE266" s="24"/>
      <c r="AF266" s="24"/>
      <c r="AG266" s="22"/>
      <c r="AH266" s="45"/>
      <c r="AI266" s="24"/>
      <c r="AJ266" s="134"/>
      <c r="AK266" s="193"/>
      <c r="AL266" s="22"/>
      <c r="AM266" s="22"/>
      <c r="AN266" s="22"/>
      <c r="AO266" s="22"/>
      <c r="AP266" s="22"/>
      <c r="AQ266" s="22"/>
      <c r="AR266" s="22"/>
      <c r="AS266" s="22"/>
      <c r="AT266" s="134"/>
      <c r="AU266" s="134"/>
      <c r="AV266" s="135">
        <v>373066001</v>
      </c>
      <c r="AW266" s="134"/>
      <c r="AX266" s="134"/>
      <c r="AY266" s="134"/>
      <c r="AZ266" s="134"/>
      <c r="BA266" s="134"/>
      <c r="BB266" s="134"/>
      <c r="BC266" s="134"/>
      <c r="BD266" s="134"/>
      <c r="BE266" s="143" t="s">
        <v>115</v>
      </c>
      <c r="BF266" s="143" t="s">
        <v>206</v>
      </c>
      <c r="BG266" s="167" t="s">
        <v>207</v>
      </c>
      <c r="BH266" s="47"/>
      <c r="BI266" s="145">
        <v>373066001</v>
      </c>
      <c r="BJ266" s="47"/>
      <c r="BK266" s="46">
        <f t="shared" si="1"/>
        <v>1</v>
      </c>
      <c r="BL266" s="46"/>
      <c r="BM266" s="46"/>
      <c r="BN266" s="46"/>
    </row>
    <row r="267" spans="1:66" ht="12.75" hidden="1" customHeight="1">
      <c r="A267" s="22">
        <v>265</v>
      </c>
      <c r="B267" s="193" t="s">
        <v>255</v>
      </c>
      <c r="C267" s="193" t="e">
        <f t="shared" ca="1" si="0"/>
        <v>#NAME?</v>
      </c>
      <c r="D267" s="196" t="s">
        <v>208</v>
      </c>
      <c r="E267" s="22" t="s">
        <v>180</v>
      </c>
      <c r="F267" s="194" t="s">
        <v>1102</v>
      </c>
      <c r="G267" s="24" t="s">
        <v>1054</v>
      </c>
      <c r="H267" s="24"/>
      <c r="I267" s="24">
        <v>1</v>
      </c>
      <c r="J267" s="24" t="s">
        <v>494</v>
      </c>
      <c r="K267" s="24"/>
      <c r="L267" s="24"/>
      <c r="M267" s="24"/>
      <c r="N267" s="24"/>
      <c r="O267" s="24"/>
      <c r="P267" s="134"/>
      <c r="Q267" s="134"/>
      <c r="R267" s="195"/>
      <c r="S267" s="134"/>
      <c r="T267" s="196"/>
      <c r="U267" s="196"/>
      <c r="V267" s="194"/>
      <c r="W267" s="194" t="s">
        <v>208</v>
      </c>
      <c r="X267" s="196"/>
      <c r="Y267" s="196"/>
      <c r="Z267" s="134"/>
      <c r="AA267" s="24"/>
      <c r="AB267" s="196"/>
      <c r="AC267" s="179"/>
      <c r="AD267" s="134"/>
      <c r="AE267" s="24"/>
      <c r="AF267" s="24"/>
      <c r="AG267" s="22"/>
      <c r="AH267" s="45"/>
      <c r="AI267" s="24"/>
      <c r="AJ267" s="134"/>
      <c r="AK267" s="193"/>
      <c r="AL267" s="22"/>
      <c r="AM267" s="22"/>
      <c r="AN267" s="22"/>
      <c r="AO267" s="22"/>
      <c r="AP267" s="22"/>
      <c r="AQ267" s="22"/>
      <c r="AR267" s="22"/>
      <c r="AS267" s="22"/>
      <c r="AT267" s="134"/>
      <c r="AU267" s="134"/>
      <c r="AV267" s="148">
        <v>373067005</v>
      </c>
      <c r="AW267" s="134"/>
      <c r="AX267" s="134"/>
      <c r="AY267" s="134"/>
      <c r="AZ267" s="134"/>
      <c r="BA267" s="134"/>
      <c r="BB267" s="134"/>
      <c r="BC267" s="134"/>
      <c r="BD267" s="134"/>
      <c r="BE267" s="143" t="s">
        <v>115</v>
      </c>
      <c r="BF267" s="143" t="s">
        <v>209</v>
      </c>
      <c r="BG267" s="167" t="s">
        <v>210</v>
      </c>
      <c r="BH267" s="47"/>
      <c r="BI267" s="150">
        <v>373067005</v>
      </c>
      <c r="BJ267" s="47"/>
      <c r="BK267" s="46">
        <f t="shared" si="1"/>
        <v>1</v>
      </c>
      <c r="BL267" s="46"/>
      <c r="BM267" s="46"/>
      <c r="BN267" s="46"/>
    </row>
    <row r="268" spans="1:66" ht="12.75" hidden="1" customHeight="1">
      <c r="A268" s="22">
        <v>266</v>
      </c>
      <c r="B268" s="193" t="s">
        <v>1107</v>
      </c>
      <c r="C268" s="193" t="str">
        <f t="shared" si="0"/>
        <v>Uses alcohol and/or other substances?</v>
      </c>
      <c r="D268" s="194" t="s">
        <v>1107</v>
      </c>
      <c r="E268" s="22" t="s">
        <v>96</v>
      </c>
      <c r="F268" s="24"/>
      <c r="G268" s="24" t="s">
        <v>1054</v>
      </c>
      <c r="H268" s="24"/>
      <c r="I268" s="24">
        <v>1</v>
      </c>
      <c r="J268" s="24" t="s">
        <v>494</v>
      </c>
      <c r="K268" s="24"/>
      <c r="L268" s="24"/>
      <c r="M268" s="24"/>
      <c r="N268" s="24"/>
      <c r="O268" s="24"/>
      <c r="P268" s="134"/>
      <c r="Q268" s="134"/>
      <c r="R268" s="195" t="s">
        <v>1107</v>
      </c>
      <c r="S268" s="134"/>
      <c r="T268" s="196" t="s">
        <v>1108</v>
      </c>
      <c r="U268" s="196" t="s">
        <v>238</v>
      </c>
      <c r="V268" s="194"/>
      <c r="W268" s="194"/>
      <c r="X268" s="196"/>
      <c r="Y268" s="196" t="s">
        <v>1109</v>
      </c>
      <c r="Z268" s="134"/>
      <c r="AA268" s="24"/>
      <c r="AB268" s="196" t="s">
        <v>113</v>
      </c>
      <c r="AC268" s="179"/>
      <c r="AD268" s="134"/>
      <c r="AE268" s="24"/>
      <c r="AF268" s="24"/>
      <c r="AG268" s="22"/>
      <c r="AH268" s="45"/>
      <c r="AI268" s="24"/>
      <c r="AJ268" s="134"/>
      <c r="AK268" s="193"/>
      <c r="AL268" s="22"/>
      <c r="AM268" s="22"/>
      <c r="AN268" s="22"/>
      <c r="AO268" s="22"/>
      <c r="AP268" s="22"/>
      <c r="AQ268" s="22"/>
      <c r="AR268" s="22"/>
      <c r="AS268" s="22"/>
      <c r="AT268" s="134"/>
      <c r="AU268" s="134"/>
      <c r="AV268" s="24"/>
      <c r="AW268" s="134"/>
      <c r="AX268" s="134"/>
      <c r="AY268" s="134"/>
      <c r="AZ268" s="134"/>
      <c r="BA268" s="134"/>
      <c r="BB268" s="134"/>
      <c r="BC268" s="134"/>
      <c r="BD268" s="134"/>
      <c r="BE268" s="137" t="s">
        <v>115</v>
      </c>
      <c r="BF268" s="137" t="s">
        <v>753</v>
      </c>
      <c r="BG268" s="167" t="s">
        <v>754</v>
      </c>
      <c r="BH268" s="47"/>
      <c r="BI268" s="64"/>
      <c r="BJ268" s="47"/>
      <c r="BK268" s="46">
        <f t="shared" si="1"/>
        <v>1</v>
      </c>
      <c r="BL268" s="46"/>
      <c r="BM268" s="46"/>
      <c r="BN268" s="46"/>
    </row>
    <row r="269" spans="1:66" ht="12.75" hidden="1" customHeight="1">
      <c r="A269" s="22">
        <v>267</v>
      </c>
      <c r="B269" s="193" t="s">
        <v>553</v>
      </c>
      <c r="C269" s="193" t="e">
        <f t="shared" ca="1" si="0"/>
        <v>#NAME?</v>
      </c>
      <c r="D269" s="196" t="s">
        <v>423</v>
      </c>
      <c r="E269" s="22" t="s">
        <v>180</v>
      </c>
      <c r="F269" s="194" t="s">
        <v>1107</v>
      </c>
      <c r="G269" s="24" t="s">
        <v>1054</v>
      </c>
      <c r="H269" s="24"/>
      <c r="I269" s="24">
        <v>1</v>
      </c>
      <c r="J269" s="24" t="s">
        <v>494</v>
      </c>
      <c r="K269" s="24"/>
      <c r="L269" s="24"/>
      <c r="M269" s="24"/>
      <c r="N269" s="24"/>
      <c r="O269" s="24"/>
      <c r="P269" s="134"/>
      <c r="Q269" s="134"/>
      <c r="R269" s="195"/>
      <c r="S269" s="134"/>
      <c r="T269" s="196"/>
      <c r="U269" s="196"/>
      <c r="V269" s="194"/>
      <c r="W269" s="194" t="s">
        <v>423</v>
      </c>
      <c r="X269" s="196"/>
      <c r="Y269" s="196"/>
      <c r="Z269" s="134"/>
      <c r="AA269" s="24"/>
      <c r="AB269" s="196"/>
      <c r="AC269" s="179"/>
      <c r="AD269" s="134"/>
      <c r="AE269" s="24"/>
      <c r="AF269" s="24"/>
      <c r="AG269" s="22"/>
      <c r="AH269" s="45"/>
      <c r="AI269" s="24"/>
      <c r="AJ269" s="134"/>
      <c r="AK269" s="193"/>
      <c r="AL269" s="22"/>
      <c r="AM269" s="22"/>
      <c r="AN269" s="22"/>
      <c r="AO269" s="22"/>
      <c r="AP269" s="22"/>
      <c r="AQ269" s="22"/>
      <c r="AR269" s="22"/>
      <c r="AS269" s="22"/>
      <c r="AT269" s="134"/>
      <c r="AU269" s="134"/>
      <c r="AV269" s="148">
        <v>260413007</v>
      </c>
      <c r="AW269" s="134"/>
      <c r="AX269" s="134"/>
      <c r="AY269" s="134"/>
      <c r="AZ269" s="134"/>
      <c r="BA269" s="134"/>
      <c r="BB269" s="134"/>
      <c r="BC269" s="134"/>
      <c r="BD269" s="134"/>
      <c r="BE269" s="137" t="s">
        <v>115</v>
      </c>
      <c r="BF269" s="137" t="s">
        <v>424</v>
      </c>
      <c r="BG269" s="139" t="s">
        <v>425</v>
      </c>
      <c r="BH269" s="47"/>
      <c r="BI269" s="150">
        <v>260413007</v>
      </c>
      <c r="BJ269" s="47"/>
      <c r="BK269" s="46">
        <f t="shared" si="1"/>
        <v>1</v>
      </c>
      <c r="BL269" s="46"/>
      <c r="BM269" s="46"/>
      <c r="BN269" s="46"/>
    </row>
    <row r="270" spans="1:66" ht="12.75" hidden="1" customHeight="1">
      <c r="A270" s="22">
        <v>268</v>
      </c>
      <c r="B270" s="193" t="s">
        <v>1290</v>
      </c>
      <c r="C270" s="193" t="e">
        <f t="shared" ca="1" si="0"/>
        <v>#NAME?</v>
      </c>
      <c r="D270" s="196" t="s">
        <v>1110</v>
      </c>
      <c r="E270" s="22" t="s">
        <v>180</v>
      </c>
      <c r="F270" s="194" t="s">
        <v>1107</v>
      </c>
      <c r="G270" s="24" t="s">
        <v>1054</v>
      </c>
      <c r="H270" s="24"/>
      <c r="I270" s="24">
        <v>1</v>
      </c>
      <c r="J270" s="24" t="s">
        <v>494</v>
      </c>
      <c r="K270" s="24"/>
      <c r="L270" s="24"/>
      <c r="M270" s="24"/>
      <c r="N270" s="24"/>
      <c r="O270" s="24"/>
      <c r="P270" s="134"/>
      <c r="Q270" s="134"/>
      <c r="R270" s="195"/>
      <c r="S270" s="134"/>
      <c r="T270" s="196"/>
      <c r="U270" s="196"/>
      <c r="V270" s="194"/>
      <c r="W270" s="194" t="s">
        <v>1110</v>
      </c>
      <c r="X270" s="196"/>
      <c r="Y270" s="196"/>
      <c r="Z270" s="134"/>
      <c r="AA270" s="24"/>
      <c r="AB270" s="196"/>
      <c r="AC270" s="179"/>
      <c r="AD270" s="134"/>
      <c r="AE270" s="24"/>
      <c r="AF270" s="24"/>
      <c r="AG270" s="22"/>
      <c r="AH270" s="45"/>
      <c r="AI270" s="24"/>
      <c r="AJ270" s="134"/>
      <c r="AK270" s="193"/>
      <c r="AL270" s="22"/>
      <c r="AM270" s="22"/>
      <c r="AN270" s="22"/>
      <c r="AO270" s="22"/>
      <c r="AP270" s="22"/>
      <c r="AQ270" s="22"/>
      <c r="AR270" s="22"/>
      <c r="AS270" s="22"/>
      <c r="AT270" s="134"/>
      <c r="AU270" s="134"/>
      <c r="AV270" s="148">
        <v>219006</v>
      </c>
      <c r="AW270" s="134"/>
      <c r="AX270" s="134"/>
      <c r="AY270" s="134"/>
      <c r="AZ270" s="134"/>
      <c r="BA270" s="134"/>
      <c r="BB270" s="134"/>
      <c r="BC270" s="134"/>
      <c r="BD270" s="134"/>
      <c r="BE270" s="137" t="s">
        <v>115</v>
      </c>
      <c r="BF270" s="143" t="s">
        <v>721</v>
      </c>
      <c r="BG270" s="167" t="s">
        <v>722</v>
      </c>
      <c r="BH270" s="64"/>
      <c r="BI270" s="150">
        <v>219006</v>
      </c>
      <c r="BJ270" s="64"/>
      <c r="BK270" s="46">
        <f t="shared" si="1"/>
        <v>1</v>
      </c>
      <c r="BL270" s="46"/>
      <c r="BM270" s="46"/>
      <c r="BN270" s="46"/>
    </row>
    <row r="271" spans="1:66" ht="12.75" hidden="1" customHeight="1">
      <c r="A271" s="22">
        <v>269</v>
      </c>
      <c r="B271" s="193" t="s">
        <v>1017</v>
      </c>
      <c r="C271" s="193" t="e">
        <f t="shared" ca="1" si="0"/>
        <v>#NAME?</v>
      </c>
      <c r="D271" s="196" t="s">
        <v>755</v>
      </c>
      <c r="E271" s="22" t="s">
        <v>180</v>
      </c>
      <c r="F271" s="194" t="s">
        <v>1107</v>
      </c>
      <c r="G271" s="24" t="s">
        <v>1054</v>
      </c>
      <c r="H271" s="24"/>
      <c r="I271" s="24">
        <v>1</v>
      </c>
      <c r="J271" s="24" t="s">
        <v>494</v>
      </c>
      <c r="K271" s="24"/>
      <c r="L271" s="24"/>
      <c r="M271" s="24"/>
      <c r="N271" s="24"/>
      <c r="O271" s="24"/>
      <c r="P271" s="134"/>
      <c r="Q271" s="134"/>
      <c r="R271" s="195"/>
      <c r="S271" s="134"/>
      <c r="T271" s="196"/>
      <c r="U271" s="196"/>
      <c r="V271" s="194"/>
      <c r="W271" s="194" t="s">
        <v>755</v>
      </c>
      <c r="X271" s="196"/>
      <c r="Y271" s="196"/>
      <c r="Z271" s="134"/>
      <c r="AA271" s="24"/>
      <c r="AB271" s="196"/>
      <c r="AC271" s="179"/>
      <c r="AD271" s="134"/>
      <c r="AE271" s="24"/>
      <c r="AF271" s="24"/>
      <c r="AG271" s="22"/>
      <c r="AH271" s="45"/>
      <c r="AI271" s="24"/>
      <c r="AJ271" s="134"/>
      <c r="AK271" s="193"/>
      <c r="AL271" s="22"/>
      <c r="AM271" s="22"/>
      <c r="AN271" s="22"/>
      <c r="AO271" s="22"/>
      <c r="AP271" s="22"/>
      <c r="AQ271" s="22"/>
      <c r="AR271" s="22"/>
      <c r="AS271" s="22"/>
      <c r="AT271" s="151"/>
      <c r="AU271" s="151"/>
      <c r="AV271" s="152"/>
      <c r="AW271" s="151"/>
      <c r="AX271" s="151"/>
      <c r="AY271" s="151"/>
      <c r="AZ271" s="151"/>
      <c r="BA271" s="151"/>
      <c r="BB271" s="151"/>
      <c r="BC271" s="151"/>
      <c r="BD271" s="151"/>
      <c r="BE271" s="137" t="s">
        <v>115</v>
      </c>
      <c r="BF271" s="137" t="s">
        <v>757</v>
      </c>
      <c r="BG271" s="167" t="s">
        <v>758</v>
      </c>
      <c r="BH271" s="153"/>
      <c r="BI271" s="154"/>
      <c r="BJ271" s="154"/>
      <c r="BK271" s="46">
        <f t="shared" si="1"/>
        <v>1</v>
      </c>
      <c r="BL271" s="46"/>
      <c r="BM271" s="46"/>
      <c r="BN271" s="46"/>
    </row>
    <row r="272" spans="1:66" ht="12.75" hidden="1" customHeight="1">
      <c r="A272" s="22">
        <v>270</v>
      </c>
      <c r="B272" s="163" t="s">
        <v>1021</v>
      </c>
      <c r="C272" s="163" t="e">
        <f t="shared" ca="1" si="0"/>
        <v>#NAME?</v>
      </c>
      <c r="D272" s="163" t="s">
        <v>759</v>
      </c>
      <c r="E272" s="22" t="s">
        <v>180</v>
      </c>
      <c r="F272" s="194" t="s">
        <v>1107</v>
      </c>
      <c r="G272" s="24" t="s">
        <v>1054</v>
      </c>
      <c r="H272" s="24"/>
      <c r="I272" s="24">
        <v>1</v>
      </c>
      <c r="J272" s="24" t="s">
        <v>494</v>
      </c>
      <c r="K272" s="24"/>
      <c r="L272" s="24"/>
      <c r="M272" s="24"/>
      <c r="N272" s="24"/>
      <c r="O272" s="24"/>
      <c r="P272" s="134"/>
      <c r="Q272" s="134"/>
      <c r="R272" s="195"/>
      <c r="S272" s="134"/>
      <c r="T272" s="196"/>
      <c r="U272" s="196"/>
      <c r="V272" s="163"/>
      <c r="W272" s="163" t="s">
        <v>759</v>
      </c>
      <c r="X272" s="196"/>
      <c r="Y272" s="196"/>
      <c r="Z272" s="134"/>
      <c r="AA272" s="24"/>
      <c r="AB272" s="196"/>
      <c r="AC272" s="179"/>
      <c r="AD272" s="134"/>
      <c r="AE272" s="24"/>
      <c r="AF272" s="24"/>
      <c r="AG272" s="22"/>
      <c r="AH272" s="45"/>
      <c r="AI272" s="24"/>
      <c r="AJ272" s="134"/>
      <c r="AK272" s="163"/>
      <c r="AL272" s="22"/>
      <c r="AM272" s="22"/>
      <c r="AN272" s="22"/>
      <c r="AO272" s="22"/>
      <c r="AP272" s="22"/>
      <c r="AQ272" s="22"/>
      <c r="AR272" s="22"/>
      <c r="AS272" s="22"/>
      <c r="AT272" s="244" t="s">
        <v>760</v>
      </c>
      <c r="AU272" s="134"/>
      <c r="AV272" s="156">
        <v>428493006</v>
      </c>
      <c r="AW272" s="134"/>
      <c r="AX272" s="134"/>
      <c r="AY272" s="134"/>
      <c r="AZ272" s="134"/>
      <c r="BA272" s="134"/>
      <c r="BB272" s="134"/>
      <c r="BC272" s="134"/>
      <c r="BD272" s="134"/>
      <c r="BE272" s="143" t="s">
        <v>115</v>
      </c>
      <c r="BF272" s="143" t="s">
        <v>761</v>
      </c>
      <c r="BG272" s="167" t="s">
        <v>762</v>
      </c>
      <c r="BH272" s="245" t="s">
        <v>760</v>
      </c>
      <c r="BI272" s="157">
        <v>428493006</v>
      </c>
      <c r="BJ272" s="47"/>
      <c r="BK272" s="46">
        <f t="shared" si="1"/>
        <v>1</v>
      </c>
      <c r="BL272" s="46"/>
      <c r="BM272" s="46"/>
      <c r="BN272" s="46"/>
    </row>
    <row r="273" spans="1:66" ht="12.75" hidden="1" customHeight="1">
      <c r="A273" s="22">
        <v>271</v>
      </c>
      <c r="B273" s="193" t="s">
        <v>1027</v>
      </c>
      <c r="C273" s="193" t="e">
        <f t="shared" ca="1" si="0"/>
        <v>#NAME?</v>
      </c>
      <c r="D273" s="196" t="s">
        <v>763</v>
      </c>
      <c r="E273" s="22" t="s">
        <v>180</v>
      </c>
      <c r="F273" s="194" t="s">
        <v>1107</v>
      </c>
      <c r="G273" s="24" t="s">
        <v>1054</v>
      </c>
      <c r="H273" s="24"/>
      <c r="I273" s="24">
        <v>1</v>
      </c>
      <c r="J273" s="24" t="s">
        <v>494</v>
      </c>
      <c r="K273" s="24"/>
      <c r="L273" s="24"/>
      <c r="M273" s="24"/>
      <c r="N273" s="24"/>
      <c r="O273" s="24"/>
      <c r="P273" s="134"/>
      <c r="Q273" s="134"/>
      <c r="R273" s="195"/>
      <c r="S273" s="134"/>
      <c r="T273" s="196"/>
      <c r="U273" s="196"/>
      <c r="V273" s="194"/>
      <c r="W273" s="194" t="s">
        <v>763</v>
      </c>
      <c r="X273" s="196"/>
      <c r="Y273" s="196"/>
      <c r="Z273" s="134"/>
      <c r="AA273" s="24"/>
      <c r="AB273" s="196"/>
      <c r="AC273" s="179"/>
      <c r="AD273" s="134"/>
      <c r="AE273" s="24"/>
      <c r="AF273" s="24"/>
      <c r="AG273" s="22"/>
      <c r="AH273" s="45"/>
      <c r="AI273" s="24"/>
      <c r="AJ273" s="134"/>
      <c r="AK273" s="193"/>
      <c r="AL273" s="22"/>
      <c r="AM273" s="22"/>
      <c r="AN273" s="22"/>
      <c r="AO273" s="22"/>
      <c r="AP273" s="22"/>
      <c r="AQ273" s="22"/>
      <c r="AR273" s="22"/>
      <c r="AS273" s="22"/>
      <c r="AT273" s="244" t="s">
        <v>765</v>
      </c>
      <c r="AU273" s="134"/>
      <c r="AV273" s="156">
        <v>228388006</v>
      </c>
      <c r="AW273" s="134"/>
      <c r="AX273" s="134"/>
      <c r="AY273" s="134"/>
      <c r="AZ273" s="134"/>
      <c r="BA273" s="134"/>
      <c r="BB273" s="134"/>
      <c r="BC273" s="134"/>
      <c r="BD273" s="134"/>
      <c r="BE273" s="143" t="s">
        <v>115</v>
      </c>
      <c r="BF273" s="143" t="s">
        <v>766</v>
      </c>
      <c r="BG273" s="167" t="s">
        <v>767</v>
      </c>
      <c r="BH273" s="245" t="s">
        <v>765</v>
      </c>
      <c r="BI273" s="157">
        <v>228388006</v>
      </c>
      <c r="BJ273" s="47"/>
      <c r="BK273" s="46">
        <f t="shared" si="1"/>
        <v>1</v>
      </c>
      <c r="BL273" s="46"/>
      <c r="BM273" s="46"/>
      <c r="BN273" s="46"/>
    </row>
    <row r="274" spans="1:66" ht="12.75" hidden="1" customHeight="1">
      <c r="A274" s="22">
        <v>272</v>
      </c>
      <c r="B274" s="193" t="s">
        <v>535</v>
      </c>
      <c r="C274" s="193" t="e">
        <f t="shared" ca="1" si="0"/>
        <v>#NAME?</v>
      </c>
      <c r="D274" s="196" t="s">
        <v>405</v>
      </c>
      <c r="E274" s="22" t="s">
        <v>180</v>
      </c>
      <c r="F274" s="194" t="s">
        <v>1107</v>
      </c>
      <c r="G274" s="24" t="s">
        <v>1054</v>
      </c>
      <c r="H274" s="24"/>
      <c r="I274" s="24">
        <v>1</v>
      </c>
      <c r="J274" s="24" t="s">
        <v>494</v>
      </c>
      <c r="K274" s="24"/>
      <c r="L274" s="24"/>
      <c r="M274" s="24"/>
      <c r="N274" s="24"/>
      <c r="O274" s="24"/>
      <c r="P274" s="134"/>
      <c r="Q274" s="134"/>
      <c r="R274" s="195"/>
      <c r="S274" s="134"/>
      <c r="T274" s="196"/>
      <c r="U274" s="196"/>
      <c r="V274" s="194"/>
      <c r="W274" s="194" t="s">
        <v>405</v>
      </c>
      <c r="X274" s="196"/>
      <c r="Y274" s="196"/>
      <c r="Z274" s="134"/>
      <c r="AA274" s="24"/>
      <c r="AB274" s="196"/>
      <c r="AC274" s="179"/>
      <c r="AD274" s="134"/>
      <c r="AE274" s="24"/>
      <c r="AF274" s="24"/>
      <c r="AG274" s="22"/>
      <c r="AH274" s="45"/>
      <c r="AI274" s="24"/>
      <c r="AJ274" s="134"/>
      <c r="AK274" s="193"/>
      <c r="AL274" s="22"/>
      <c r="AM274" s="22"/>
      <c r="AN274" s="22"/>
      <c r="AO274" s="22"/>
      <c r="AP274" s="22"/>
      <c r="AQ274" s="22"/>
      <c r="AR274" s="22"/>
      <c r="AS274" s="22"/>
      <c r="AT274" s="134"/>
      <c r="AU274" s="134"/>
      <c r="AV274" s="108" t="s">
        <v>745</v>
      </c>
      <c r="AW274" s="134"/>
      <c r="AX274" s="134"/>
      <c r="AY274" s="134"/>
      <c r="AZ274" s="134"/>
      <c r="BA274" s="134"/>
      <c r="BB274" s="134"/>
      <c r="BC274" s="134"/>
      <c r="BD274" s="134"/>
      <c r="BE274" s="143" t="s">
        <v>115</v>
      </c>
      <c r="BF274" s="137" t="s">
        <v>406</v>
      </c>
      <c r="BG274" s="139" t="s">
        <v>407</v>
      </c>
      <c r="BH274" s="47"/>
      <c r="BI274" s="171" t="s">
        <v>745</v>
      </c>
      <c r="BJ274" s="47"/>
      <c r="BK274" s="46">
        <f t="shared" si="1"/>
        <v>1</v>
      </c>
      <c r="BL274" s="46"/>
      <c r="BM274" s="46"/>
      <c r="BN274" s="46"/>
    </row>
    <row r="275" spans="1:66" ht="12.75" hidden="1" customHeight="1">
      <c r="A275" s="22">
        <v>273</v>
      </c>
      <c r="B275" s="163" t="s">
        <v>1112</v>
      </c>
      <c r="C275" s="163" t="str">
        <f t="shared" si="0"/>
        <v>Uses alcohol and/or other substances? - Specify</v>
      </c>
      <c r="D275" s="163" t="s">
        <v>1112</v>
      </c>
      <c r="E275" s="22" t="s">
        <v>96</v>
      </c>
      <c r="F275" s="24"/>
      <c r="G275" s="24" t="s">
        <v>1054</v>
      </c>
      <c r="H275" s="24"/>
      <c r="I275" s="24">
        <v>1</v>
      </c>
      <c r="J275" s="24" t="s">
        <v>494</v>
      </c>
      <c r="K275" s="24"/>
      <c r="L275" s="24"/>
      <c r="M275" s="24"/>
      <c r="N275" s="24"/>
      <c r="O275" s="24"/>
      <c r="P275" s="134"/>
      <c r="Q275" s="134"/>
      <c r="R275" s="162" t="s">
        <v>409</v>
      </c>
      <c r="S275" s="134"/>
      <c r="T275" s="196" t="s">
        <v>1113</v>
      </c>
      <c r="U275" s="196" t="s">
        <v>111</v>
      </c>
      <c r="V275" s="194"/>
      <c r="W275" s="194"/>
      <c r="X275" s="196"/>
      <c r="Y275" s="196"/>
      <c r="Z275" s="134"/>
      <c r="AA275" s="24"/>
      <c r="AB275" s="163" t="s">
        <v>208</v>
      </c>
      <c r="AC275" s="179"/>
      <c r="AD275" s="134"/>
      <c r="AE275" s="24"/>
      <c r="AF275" s="24"/>
      <c r="AG275" s="22"/>
      <c r="AH275" s="45"/>
      <c r="AI275" s="24"/>
      <c r="AJ275" s="134"/>
      <c r="AK275" s="163"/>
      <c r="AL275" s="22"/>
      <c r="AM275" s="22"/>
      <c r="AN275" s="22"/>
      <c r="AO275" s="22"/>
      <c r="AP275" s="22"/>
      <c r="AQ275" s="22"/>
      <c r="AR275" s="22"/>
      <c r="AS275" s="22"/>
      <c r="AT275" s="134"/>
      <c r="AU275" s="134"/>
      <c r="AV275" s="24"/>
      <c r="AW275" s="134"/>
      <c r="AX275" s="134"/>
      <c r="AY275" s="134"/>
      <c r="AZ275" s="134"/>
      <c r="BA275" s="134"/>
      <c r="BB275" s="134"/>
      <c r="BC275" s="134"/>
      <c r="BD275" s="134"/>
      <c r="BE275" s="137" t="s">
        <v>115</v>
      </c>
      <c r="BF275" s="137" t="s">
        <v>115</v>
      </c>
      <c r="BG275" s="139" t="s">
        <v>115</v>
      </c>
      <c r="BH275" s="47"/>
      <c r="BI275" s="47"/>
      <c r="BJ275" s="47"/>
      <c r="BK275" s="46">
        <f t="shared" si="1"/>
        <v>1</v>
      </c>
      <c r="BL275" s="46"/>
      <c r="BM275" s="46"/>
      <c r="BN275" s="46"/>
    </row>
    <row r="276" spans="1:66" ht="12.75" hidden="1" customHeight="1">
      <c r="A276" s="22">
        <v>274</v>
      </c>
      <c r="B276" s="193" t="s">
        <v>1115</v>
      </c>
      <c r="C276" s="193" t="str">
        <f t="shared" si="0"/>
        <v>Partner HIV status</v>
      </c>
      <c r="D276" s="194" t="s">
        <v>1115</v>
      </c>
      <c r="E276" s="22" t="s">
        <v>96</v>
      </c>
      <c r="F276" s="24"/>
      <c r="G276" s="24" t="s">
        <v>1116</v>
      </c>
      <c r="H276" s="24"/>
      <c r="I276" s="24">
        <v>1</v>
      </c>
      <c r="J276" s="24" t="s">
        <v>494</v>
      </c>
      <c r="K276" s="24"/>
      <c r="L276" s="24"/>
      <c r="M276" s="24"/>
      <c r="N276" s="24"/>
      <c r="O276" s="24"/>
      <c r="P276" s="134"/>
      <c r="Q276" s="134"/>
      <c r="R276" s="195" t="s">
        <v>1115</v>
      </c>
      <c r="S276" s="134"/>
      <c r="T276" s="196" t="s">
        <v>1117</v>
      </c>
      <c r="U276" s="196" t="s">
        <v>202</v>
      </c>
      <c r="V276" s="163"/>
      <c r="W276" s="163"/>
      <c r="X276" s="196"/>
      <c r="Y276" s="196"/>
      <c r="Z276" s="134"/>
      <c r="AA276" s="24"/>
      <c r="AB276" s="196" t="s">
        <v>208</v>
      </c>
      <c r="AC276" s="179"/>
      <c r="AD276" s="134"/>
      <c r="AE276" s="24"/>
      <c r="AF276" s="24"/>
      <c r="AG276" s="22"/>
      <c r="AH276" s="45"/>
      <c r="AI276" s="24"/>
      <c r="AJ276" s="134"/>
      <c r="AK276" s="193"/>
      <c r="AL276" s="22"/>
      <c r="AM276" s="22"/>
      <c r="AN276" s="22"/>
      <c r="AO276" s="22"/>
      <c r="AP276" s="22"/>
      <c r="AQ276" s="22"/>
      <c r="AR276" s="22"/>
      <c r="AS276" s="22"/>
      <c r="AT276" s="134"/>
      <c r="AU276" s="134"/>
      <c r="AV276" s="108" t="s">
        <v>1118</v>
      </c>
      <c r="AW276" s="134"/>
      <c r="AX276" s="134"/>
      <c r="AY276" s="134"/>
      <c r="AZ276" s="134"/>
      <c r="BA276" s="134"/>
      <c r="BB276" s="134"/>
      <c r="BC276" s="134"/>
      <c r="BD276" s="134"/>
      <c r="BE276" s="143" t="s">
        <v>115</v>
      </c>
      <c r="BF276" s="143" t="s">
        <v>1119</v>
      </c>
      <c r="BG276" s="167" t="s">
        <v>1120</v>
      </c>
      <c r="BH276" s="47"/>
      <c r="BI276" s="171" t="s">
        <v>1118</v>
      </c>
      <c r="BJ276" s="47"/>
      <c r="BK276" s="46">
        <f t="shared" si="1"/>
        <v>1</v>
      </c>
      <c r="BL276" s="46"/>
      <c r="BM276" s="46"/>
      <c r="BN276" s="46"/>
    </row>
    <row r="277" spans="1:66" ht="12.75" hidden="1" customHeight="1">
      <c r="A277" s="22">
        <v>275</v>
      </c>
      <c r="B277" s="163" t="s">
        <v>701</v>
      </c>
      <c r="C277" s="163" t="e">
        <f t="shared" ca="1" si="0"/>
        <v>#NAME?</v>
      </c>
      <c r="D277" s="163" t="s">
        <v>500</v>
      </c>
      <c r="E277" s="22" t="s">
        <v>180</v>
      </c>
      <c r="F277" s="194" t="s">
        <v>1115</v>
      </c>
      <c r="G277" s="24" t="s">
        <v>1116</v>
      </c>
      <c r="H277" s="24"/>
      <c r="I277" s="24">
        <v>1</v>
      </c>
      <c r="J277" s="24" t="s">
        <v>494</v>
      </c>
      <c r="K277" s="24"/>
      <c r="L277" s="24"/>
      <c r="M277" s="24"/>
      <c r="N277" s="24"/>
      <c r="O277" s="24"/>
      <c r="P277" s="134"/>
      <c r="Q277" s="134"/>
      <c r="R277" s="247"/>
      <c r="S277" s="134"/>
      <c r="T277" s="196"/>
      <c r="U277" s="196"/>
      <c r="V277" s="163"/>
      <c r="W277" s="163" t="s">
        <v>500</v>
      </c>
      <c r="X277" s="196"/>
      <c r="Y277" s="196"/>
      <c r="Z277" s="134"/>
      <c r="AA277" s="24"/>
      <c r="AB277" s="196"/>
      <c r="AC277" s="179"/>
      <c r="AD277" s="134"/>
      <c r="AE277" s="24"/>
      <c r="AF277" s="24"/>
      <c r="AG277" s="22"/>
      <c r="AH277" s="45"/>
      <c r="AI277" s="24"/>
      <c r="AJ277" s="134"/>
      <c r="AK277" s="163"/>
      <c r="AL277" s="22"/>
      <c r="AM277" s="22"/>
      <c r="AN277" s="22"/>
      <c r="AO277" s="22"/>
      <c r="AP277" s="22"/>
      <c r="AQ277" s="22"/>
      <c r="AR277" s="22"/>
      <c r="AS277" s="22"/>
      <c r="AT277" s="134"/>
      <c r="AU277" s="134"/>
      <c r="AV277" s="135">
        <v>261665006</v>
      </c>
      <c r="AW277" s="134"/>
      <c r="AX277" s="134"/>
      <c r="AY277" s="134"/>
      <c r="AZ277" s="134"/>
      <c r="BA277" s="134"/>
      <c r="BB277" s="134"/>
      <c r="BC277" s="134"/>
      <c r="BD277" s="134"/>
      <c r="BE277" s="143" t="s">
        <v>115</v>
      </c>
      <c r="BF277" s="143" t="s">
        <v>501</v>
      </c>
      <c r="BG277" s="167" t="s">
        <v>503</v>
      </c>
      <c r="BH277" s="47"/>
      <c r="BI277" s="145">
        <v>261665006</v>
      </c>
      <c r="BJ277" s="47"/>
      <c r="BK277" s="46">
        <f t="shared" si="1"/>
        <v>1</v>
      </c>
      <c r="BL277" s="46"/>
      <c r="BM277" s="46"/>
      <c r="BN277" s="46"/>
    </row>
    <row r="278" spans="1:66" ht="12.75" hidden="1" customHeight="1">
      <c r="A278" s="22">
        <v>276</v>
      </c>
      <c r="B278" s="248" t="s">
        <v>1302</v>
      </c>
      <c r="C278" s="248" t="e">
        <f t="shared" ca="1" si="0"/>
        <v>#NAME?</v>
      </c>
      <c r="D278" s="249" t="s">
        <v>1122</v>
      </c>
      <c r="E278" s="22" t="s">
        <v>180</v>
      </c>
      <c r="F278" s="194" t="s">
        <v>1115</v>
      </c>
      <c r="G278" s="24" t="s">
        <v>1116</v>
      </c>
      <c r="H278" s="24"/>
      <c r="I278" s="24">
        <v>1</v>
      </c>
      <c r="J278" s="24" t="s">
        <v>494</v>
      </c>
      <c r="K278" s="24"/>
      <c r="L278" s="24"/>
      <c r="M278" s="24"/>
      <c r="N278" s="24"/>
      <c r="O278" s="24"/>
      <c r="P278" s="134"/>
      <c r="Q278" s="134"/>
      <c r="R278" s="247"/>
      <c r="S278" s="134"/>
      <c r="T278" s="196"/>
      <c r="U278" s="196"/>
      <c r="V278" s="242"/>
      <c r="W278" s="242" t="s">
        <v>1122</v>
      </c>
      <c r="X278" s="196"/>
      <c r="Y278" s="196"/>
      <c r="Z278" s="134"/>
      <c r="AA278" s="24"/>
      <c r="AB278" s="196"/>
      <c r="AC278" s="179"/>
      <c r="AD278" s="134"/>
      <c r="AE278" s="24"/>
      <c r="AF278" s="24"/>
      <c r="AG278" s="22"/>
      <c r="AH278" s="45"/>
      <c r="AI278" s="24"/>
      <c r="AJ278" s="134"/>
      <c r="AK278" s="248"/>
      <c r="AL278" s="22"/>
      <c r="AM278" s="22"/>
      <c r="AN278" s="22"/>
      <c r="AO278" s="22"/>
      <c r="AP278" s="22"/>
      <c r="AQ278" s="22"/>
      <c r="AR278" s="22"/>
      <c r="AS278" s="22"/>
      <c r="AT278" s="134"/>
      <c r="AU278" s="134"/>
      <c r="AV278" s="156">
        <v>10828004</v>
      </c>
      <c r="AW278" s="134"/>
      <c r="AX278" s="134"/>
      <c r="AY278" s="134"/>
      <c r="AZ278" s="134"/>
      <c r="BA278" s="134"/>
      <c r="BB278" s="134"/>
      <c r="BC278" s="134"/>
      <c r="BD278" s="134"/>
      <c r="BE278" s="143" t="s">
        <v>115</v>
      </c>
      <c r="BF278" s="143" t="s">
        <v>1124</v>
      </c>
      <c r="BG278" s="167" t="s">
        <v>1125</v>
      </c>
      <c r="BH278" s="47"/>
      <c r="BI278" s="157">
        <v>10828004</v>
      </c>
      <c r="BJ278" s="47"/>
      <c r="BK278" s="46">
        <f t="shared" si="1"/>
        <v>1</v>
      </c>
      <c r="BL278" s="46"/>
      <c r="BM278" s="46"/>
      <c r="BN278" s="46"/>
    </row>
    <row r="279" spans="1:66" ht="12.75" hidden="1" customHeight="1">
      <c r="A279" s="22">
        <v>277</v>
      </c>
      <c r="B279" s="193" t="s">
        <v>1305</v>
      </c>
      <c r="C279" s="193" t="e">
        <f t="shared" ca="1" si="0"/>
        <v>#NAME?</v>
      </c>
      <c r="D279" s="196" t="s">
        <v>1126</v>
      </c>
      <c r="E279" s="22" t="s">
        <v>180</v>
      </c>
      <c r="F279" s="194" t="s">
        <v>1115</v>
      </c>
      <c r="G279" s="24" t="s">
        <v>1116</v>
      </c>
      <c r="H279" s="24"/>
      <c r="I279" s="24">
        <v>1</v>
      </c>
      <c r="J279" s="24" t="s">
        <v>494</v>
      </c>
      <c r="K279" s="24"/>
      <c r="L279" s="24"/>
      <c r="M279" s="24"/>
      <c r="N279" s="24"/>
      <c r="O279" s="24"/>
      <c r="P279" s="134"/>
      <c r="Q279" s="134"/>
      <c r="R279" s="247"/>
      <c r="S279" s="134"/>
      <c r="T279" s="196"/>
      <c r="U279" s="196"/>
      <c r="V279" s="194"/>
      <c r="W279" s="194" t="s">
        <v>1126</v>
      </c>
      <c r="X279" s="196"/>
      <c r="Y279" s="196"/>
      <c r="Z279" s="134"/>
      <c r="AA279" s="24"/>
      <c r="AB279" s="196"/>
      <c r="AC279" s="179"/>
      <c r="AD279" s="134"/>
      <c r="AE279" s="24"/>
      <c r="AF279" s="24"/>
      <c r="AG279" s="22"/>
      <c r="AH279" s="45"/>
      <c r="AI279" s="24"/>
      <c r="AJ279" s="134"/>
      <c r="AK279" s="193"/>
      <c r="AL279" s="22"/>
      <c r="AM279" s="22"/>
      <c r="AN279" s="22"/>
      <c r="AO279" s="22"/>
      <c r="AP279" s="22"/>
      <c r="AQ279" s="22"/>
      <c r="AR279" s="22"/>
      <c r="AS279" s="22"/>
      <c r="AT279" s="134"/>
      <c r="AU279" s="134"/>
      <c r="AV279" s="135">
        <v>260385009</v>
      </c>
      <c r="AW279" s="134"/>
      <c r="AX279" s="134"/>
      <c r="AY279" s="134"/>
      <c r="AZ279" s="134"/>
      <c r="BA279" s="134"/>
      <c r="BB279" s="134"/>
      <c r="BC279" s="134"/>
      <c r="BD279" s="134"/>
      <c r="BE279" s="143" t="s">
        <v>115</v>
      </c>
      <c r="BF279" s="143" t="s">
        <v>1128</v>
      </c>
      <c r="BG279" s="167" t="s">
        <v>1129</v>
      </c>
      <c r="BH279" s="64"/>
      <c r="BI279" s="145">
        <v>260385009</v>
      </c>
      <c r="BJ279" s="64"/>
      <c r="BK279" s="46">
        <f t="shared" si="1"/>
        <v>1</v>
      </c>
      <c r="BL279" s="46"/>
      <c r="BM279" s="46"/>
      <c r="BN279" s="46"/>
    </row>
    <row r="280" spans="1:66" ht="12.75" hidden="1" customHeight="1">
      <c r="A280" s="22">
        <v>278</v>
      </c>
      <c r="B280" s="193" t="s">
        <v>1130</v>
      </c>
      <c r="C280" s="193" t="str">
        <f t="shared" si="0"/>
        <v>Partner HIV status positive</v>
      </c>
      <c r="D280" s="194" t="s">
        <v>1130</v>
      </c>
      <c r="E280" s="22" t="s">
        <v>65</v>
      </c>
      <c r="F280" s="24"/>
      <c r="G280" s="24" t="s">
        <v>1116</v>
      </c>
      <c r="H280" s="24"/>
      <c r="I280" s="24">
        <v>1</v>
      </c>
      <c r="J280" s="24" t="s">
        <v>494</v>
      </c>
      <c r="K280" s="24"/>
      <c r="L280" s="24"/>
      <c r="M280" s="24"/>
      <c r="N280" s="24"/>
      <c r="O280" s="24"/>
      <c r="P280" s="134"/>
      <c r="Q280" s="134"/>
      <c r="R280" s="195" t="s">
        <v>1130</v>
      </c>
      <c r="S280" s="134"/>
      <c r="T280" s="196" t="s">
        <v>1131</v>
      </c>
      <c r="U280" s="196"/>
      <c r="V280" s="194"/>
      <c r="W280" s="194"/>
      <c r="X280" s="196" t="s">
        <v>1132</v>
      </c>
      <c r="Y280" s="196"/>
      <c r="Z280" s="134"/>
      <c r="AA280" s="24"/>
      <c r="AB280" s="196" t="s">
        <v>115</v>
      </c>
      <c r="AC280" s="179"/>
      <c r="AD280" s="134"/>
      <c r="AE280" s="24"/>
      <c r="AF280" s="24"/>
      <c r="AG280" s="22"/>
      <c r="AH280" s="45"/>
      <c r="AI280" s="24"/>
      <c r="AJ280" s="134"/>
      <c r="AK280" s="193"/>
      <c r="AL280" s="22"/>
      <c r="AM280" s="22"/>
      <c r="AN280" s="22"/>
      <c r="AO280" s="22"/>
      <c r="AP280" s="22"/>
      <c r="AQ280" s="22"/>
      <c r="AR280" s="22"/>
      <c r="AS280" s="22"/>
      <c r="AT280" s="151"/>
      <c r="AU280" s="151"/>
      <c r="AV280" s="152"/>
      <c r="AW280" s="151"/>
      <c r="AX280" s="151"/>
      <c r="AY280" s="151"/>
      <c r="AZ280" s="151"/>
      <c r="BA280" s="151"/>
      <c r="BB280" s="151"/>
      <c r="BC280" s="151"/>
      <c r="BD280" s="151"/>
      <c r="BE280" s="137" t="s">
        <v>115</v>
      </c>
      <c r="BF280" s="137" t="s">
        <v>115</v>
      </c>
      <c r="BG280" s="139" t="s">
        <v>115</v>
      </c>
      <c r="BH280" s="153"/>
      <c r="BI280" s="154"/>
      <c r="BJ280" s="154"/>
      <c r="BK280" s="46">
        <f t="shared" si="1"/>
        <v>1</v>
      </c>
      <c r="BL280" s="46"/>
      <c r="BM280" s="46"/>
      <c r="BN280" s="46"/>
    </row>
    <row r="281" spans="1:66" ht="12.75" hidden="1" customHeight="1">
      <c r="A281" s="22">
        <v>279</v>
      </c>
      <c r="B281" s="22" t="s">
        <v>1134</v>
      </c>
      <c r="C281" s="22" t="str">
        <f t="shared" si="0"/>
        <v>What medications (including supplements and vitamins) is she still taking?</v>
      </c>
      <c r="D281" s="24" t="s">
        <v>1134</v>
      </c>
      <c r="E281" s="22" t="s">
        <v>96</v>
      </c>
      <c r="F281" s="24"/>
      <c r="G281" s="24"/>
      <c r="H281" s="24"/>
      <c r="I281" s="24">
        <v>1</v>
      </c>
      <c r="J281" s="24" t="s">
        <v>1135</v>
      </c>
      <c r="K281" s="24"/>
      <c r="L281" s="24"/>
      <c r="M281" s="24"/>
      <c r="N281" s="24"/>
      <c r="O281" s="24"/>
      <c r="P281" s="170"/>
      <c r="Q281" s="170"/>
      <c r="R281" s="195" t="s">
        <v>1134</v>
      </c>
      <c r="S281" s="194" t="s">
        <v>962</v>
      </c>
      <c r="T281" s="194" t="s">
        <v>1136</v>
      </c>
      <c r="U281" s="194" t="s">
        <v>238</v>
      </c>
      <c r="V281" s="194"/>
      <c r="W281" s="194"/>
      <c r="X281" s="196"/>
      <c r="Y281" s="24"/>
      <c r="Z281" s="194" t="s">
        <v>964</v>
      </c>
      <c r="AA281" s="133"/>
      <c r="AB281" s="194" t="s">
        <v>113</v>
      </c>
      <c r="AC281" s="251"/>
      <c r="AD281" s="163"/>
      <c r="AE281" s="24"/>
      <c r="AF281" s="24"/>
      <c r="AG281" s="22"/>
      <c r="AH281" s="45"/>
      <c r="AI281" s="24"/>
      <c r="AJ281" s="194" t="s">
        <v>1137</v>
      </c>
      <c r="AK281" s="22"/>
      <c r="AL281" s="22"/>
      <c r="AM281" s="22"/>
      <c r="AN281" s="22"/>
      <c r="AO281" s="22"/>
      <c r="AP281" s="22"/>
      <c r="AQ281" s="22"/>
      <c r="AR281" s="22"/>
      <c r="AS281" s="22"/>
      <c r="AT281" s="22"/>
      <c r="AU281" s="22"/>
      <c r="AV281" s="135">
        <v>129019007</v>
      </c>
      <c r="AW281" s="22"/>
      <c r="AX281" s="22"/>
      <c r="AY281" s="22"/>
      <c r="AZ281" s="22"/>
      <c r="BA281" s="22"/>
      <c r="BB281" s="22"/>
      <c r="BC281" s="22"/>
      <c r="BD281" s="22"/>
      <c r="BE281" s="143" t="s">
        <v>965</v>
      </c>
      <c r="BF281" s="143" t="s">
        <v>966</v>
      </c>
      <c r="BG281" s="167" t="s">
        <v>967</v>
      </c>
      <c r="BH281" s="47"/>
      <c r="BI281" s="140">
        <v>129019007</v>
      </c>
      <c r="BJ281" s="47"/>
      <c r="BK281" s="46">
        <f t="shared" si="1"/>
        <v>1</v>
      </c>
      <c r="BL281" s="46"/>
      <c r="BM281" s="46"/>
      <c r="BN281" s="46"/>
    </row>
    <row r="282" spans="1:66" ht="12.75" hidden="1" customHeight="1">
      <c r="A282" s="22">
        <v>280</v>
      </c>
      <c r="B282" s="22" t="s">
        <v>553</v>
      </c>
      <c r="C282" s="22" t="e">
        <f t="shared" ca="1" si="0"/>
        <v>#NAME?</v>
      </c>
      <c r="D282" s="24" t="s">
        <v>423</v>
      </c>
      <c r="E282" s="22" t="s">
        <v>180</v>
      </c>
      <c r="F282" s="24" t="s">
        <v>1134</v>
      </c>
      <c r="G282" s="24"/>
      <c r="H282" s="24"/>
      <c r="I282" s="24">
        <v>1</v>
      </c>
      <c r="J282" s="24" t="s">
        <v>1135</v>
      </c>
      <c r="K282" s="24"/>
      <c r="L282" s="24"/>
      <c r="M282" s="24"/>
      <c r="N282" s="24"/>
      <c r="O282" s="24"/>
      <c r="P282" s="170"/>
      <c r="Q282" s="170"/>
      <c r="R282" s="247"/>
      <c r="S282" s="194"/>
      <c r="T282" s="194"/>
      <c r="U282" s="194"/>
      <c r="V282" s="194"/>
      <c r="W282" s="194" t="s">
        <v>423</v>
      </c>
      <c r="X282" s="196"/>
      <c r="Y282" s="24"/>
      <c r="Z282" s="194"/>
      <c r="AA282" s="133"/>
      <c r="AB282" s="194"/>
      <c r="AC282" s="251"/>
      <c r="AD282" s="170"/>
      <c r="AE282" s="24"/>
      <c r="AF282" s="24"/>
      <c r="AG282" s="22"/>
      <c r="AH282" s="45"/>
      <c r="AI282" s="24"/>
      <c r="AJ282" s="196"/>
      <c r="AK282" s="22"/>
      <c r="AL282" s="22"/>
      <c r="AM282" s="22"/>
      <c r="AN282" s="22"/>
      <c r="AO282" s="22"/>
      <c r="AP282" s="22"/>
      <c r="AQ282" s="22"/>
      <c r="AR282" s="22"/>
      <c r="AS282" s="22"/>
      <c r="AT282" s="22"/>
      <c r="AU282" s="22"/>
      <c r="AV282" s="135">
        <v>260413007</v>
      </c>
      <c r="AW282" s="22"/>
      <c r="AX282" s="22"/>
      <c r="AY282" s="22"/>
      <c r="AZ282" s="22"/>
      <c r="BA282" s="22"/>
      <c r="BB282" s="22"/>
      <c r="BC282" s="22"/>
      <c r="BD282" s="22"/>
      <c r="BE282" s="143" t="s">
        <v>115</v>
      </c>
      <c r="BF282" s="143" t="s">
        <v>424</v>
      </c>
      <c r="BG282" s="167" t="s">
        <v>425</v>
      </c>
      <c r="BH282" s="47"/>
      <c r="BI282" s="140">
        <v>260413007</v>
      </c>
      <c r="BJ282" s="47"/>
      <c r="BK282" s="46">
        <f t="shared" si="1"/>
        <v>1</v>
      </c>
      <c r="BL282" s="46"/>
      <c r="BM282" s="46"/>
      <c r="BN282" s="46"/>
    </row>
    <row r="283" spans="1:66" ht="12.75" hidden="1" customHeight="1">
      <c r="A283" s="22">
        <v>281</v>
      </c>
      <c r="B283" s="22" t="s">
        <v>701</v>
      </c>
      <c r="C283" s="22" t="e">
        <f t="shared" ca="1" si="0"/>
        <v>#NAME?</v>
      </c>
      <c r="D283" s="206" t="s">
        <v>500</v>
      </c>
      <c r="E283" s="22" t="s">
        <v>180</v>
      </c>
      <c r="F283" s="24" t="s">
        <v>1134</v>
      </c>
      <c r="G283" s="24"/>
      <c r="H283" s="24"/>
      <c r="I283" s="24">
        <v>1</v>
      </c>
      <c r="J283" s="24" t="s">
        <v>1135</v>
      </c>
      <c r="K283" s="24"/>
      <c r="L283" s="24"/>
      <c r="M283" s="24"/>
      <c r="N283" s="24"/>
      <c r="O283" s="24"/>
      <c r="P283" s="170"/>
      <c r="Q283" s="170"/>
      <c r="R283" s="247"/>
      <c r="S283" s="194"/>
      <c r="T283" s="194"/>
      <c r="U283" s="194"/>
      <c r="V283" s="194"/>
      <c r="W283" s="194" t="s">
        <v>500</v>
      </c>
      <c r="X283" s="196"/>
      <c r="Y283" s="24"/>
      <c r="Z283" s="194"/>
      <c r="AA283" s="134"/>
      <c r="AB283" s="194"/>
      <c r="AC283" s="251"/>
      <c r="AD283" s="170"/>
      <c r="AE283" s="24"/>
      <c r="AF283" s="24"/>
      <c r="AG283" s="22"/>
      <c r="AH283" s="45"/>
      <c r="AI283" s="24"/>
      <c r="AJ283" s="196"/>
      <c r="AK283" s="22"/>
      <c r="AL283" s="22"/>
      <c r="AM283" s="22"/>
      <c r="AN283" s="22"/>
      <c r="AO283" s="22"/>
      <c r="AP283" s="22"/>
      <c r="AQ283" s="22"/>
      <c r="AR283" s="22"/>
      <c r="AS283" s="22"/>
      <c r="AT283" s="22"/>
      <c r="AU283" s="24"/>
      <c r="AV283" s="135">
        <v>261665006</v>
      </c>
      <c r="AW283" s="22"/>
      <c r="AX283" s="22"/>
      <c r="AY283" s="22"/>
      <c r="AZ283" s="22"/>
      <c r="BA283" s="22"/>
      <c r="BB283" s="22"/>
      <c r="BC283" s="22"/>
      <c r="BD283" s="22"/>
      <c r="BE283" s="143" t="s">
        <v>115</v>
      </c>
      <c r="BF283" s="143" t="s">
        <v>501</v>
      </c>
      <c r="BG283" s="167" t="s">
        <v>503</v>
      </c>
      <c r="BH283" s="47"/>
      <c r="BI283" s="140">
        <v>261665006</v>
      </c>
      <c r="BJ283" s="47"/>
      <c r="BK283" s="46">
        <f t="shared" si="1"/>
        <v>1</v>
      </c>
      <c r="BL283" s="46"/>
      <c r="BM283" s="46"/>
      <c r="BN283" s="46"/>
    </row>
    <row r="284" spans="1:66" ht="12.75" hidden="1" customHeight="1">
      <c r="A284" s="22">
        <v>282</v>
      </c>
      <c r="B284" s="22" t="s">
        <v>1192</v>
      </c>
      <c r="C284" s="22" t="e">
        <f t="shared" ca="1" si="0"/>
        <v>#NAME?</v>
      </c>
      <c r="D284" s="206" t="s">
        <v>970</v>
      </c>
      <c r="E284" s="22" t="s">
        <v>180</v>
      </c>
      <c r="F284" s="24" t="s">
        <v>1134</v>
      </c>
      <c r="G284" s="24"/>
      <c r="H284" s="24"/>
      <c r="I284" s="24">
        <v>1</v>
      </c>
      <c r="J284" s="24" t="s">
        <v>1135</v>
      </c>
      <c r="K284" s="24"/>
      <c r="L284" s="24"/>
      <c r="M284" s="24"/>
      <c r="N284" s="24"/>
      <c r="O284" s="24"/>
      <c r="P284" s="170"/>
      <c r="Q284" s="170"/>
      <c r="R284" s="247"/>
      <c r="S284" s="194"/>
      <c r="T284" s="194"/>
      <c r="U284" s="194"/>
      <c r="V284" s="194"/>
      <c r="W284" s="194" t="s">
        <v>970</v>
      </c>
      <c r="X284" s="196"/>
      <c r="Y284" s="24"/>
      <c r="Z284" s="194"/>
      <c r="AA284" s="134"/>
      <c r="AB284" s="196"/>
      <c r="AC284" s="251"/>
      <c r="AD284" s="170"/>
      <c r="AE284" s="24"/>
      <c r="AF284" s="24"/>
      <c r="AG284" s="22"/>
      <c r="AH284" s="45"/>
      <c r="AI284" s="24"/>
      <c r="AJ284" s="196"/>
      <c r="AK284" s="22"/>
      <c r="AL284" s="22"/>
      <c r="AM284" s="22"/>
      <c r="AN284" s="22"/>
      <c r="AO284" s="22"/>
      <c r="AP284" s="22"/>
      <c r="AQ284" s="22"/>
      <c r="AR284" s="22"/>
      <c r="AS284" s="22"/>
      <c r="AT284" s="22"/>
      <c r="AU284" s="24"/>
      <c r="AV284" s="135">
        <v>372794006</v>
      </c>
      <c r="AW284" s="22"/>
      <c r="AX284" s="22"/>
      <c r="AY284" s="22"/>
      <c r="AZ284" s="22"/>
      <c r="BA284" s="22"/>
      <c r="BB284" s="22"/>
      <c r="BC284" s="22"/>
      <c r="BD284" s="22"/>
      <c r="BE284" s="143" t="s">
        <v>115</v>
      </c>
      <c r="BF284" s="143" t="s">
        <v>971</v>
      </c>
      <c r="BG284" s="167" t="s">
        <v>972</v>
      </c>
      <c r="BH284" s="47"/>
      <c r="BI284" s="140">
        <v>372794006</v>
      </c>
      <c r="BJ284" s="47"/>
      <c r="BK284" s="46">
        <f t="shared" si="1"/>
        <v>1</v>
      </c>
      <c r="BL284" s="46"/>
      <c r="BM284" s="46"/>
      <c r="BN284" s="46"/>
    </row>
    <row r="285" spans="1:66" ht="12.75" hidden="1" customHeight="1">
      <c r="A285" s="22">
        <v>283</v>
      </c>
      <c r="B285" s="22" t="s">
        <v>1193</v>
      </c>
      <c r="C285" s="22" t="e">
        <f t="shared" ca="1" si="0"/>
        <v>#NAME?</v>
      </c>
      <c r="D285" s="206" t="s">
        <v>973</v>
      </c>
      <c r="E285" s="22" t="s">
        <v>180</v>
      </c>
      <c r="F285" s="24" t="s">
        <v>1134</v>
      </c>
      <c r="G285" s="24"/>
      <c r="H285" s="24"/>
      <c r="I285" s="24">
        <v>1</v>
      </c>
      <c r="J285" s="24" t="s">
        <v>1135</v>
      </c>
      <c r="K285" s="24"/>
      <c r="L285" s="24"/>
      <c r="M285" s="24"/>
      <c r="N285" s="24"/>
      <c r="O285" s="24"/>
      <c r="P285" s="170"/>
      <c r="Q285" s="170"/>
      <c r="R285" s="247"/>
      <c r="S285" s="194"/>
      <c r="T285" s="194"/>
      <c r="U285" s="194"/>
      <c r="V285" s="194"/>
      <c r="W285" s="194" t="s">
        <v>973</v>
      </c>
      <c r="X285" s="196"/>
      <c r="Y285" s="24"/>
      <c r="Z285" s="194"/>
      <c r="AA285" s="134"/>
      <c r="AB285" s="196"/>
      <c r="AC285" s="251"/>
      <c r="AD285" s="170"/>
      <c r="AE285" s="24"/>
      <c r="AF285" s="24"/>
      <c r="AG285" s="22"/>
      <c r="AH285" s="45"/>
      <c r="AI285" s="24"/>
      <c r="AJ285" s="196"/>
      <c r="AK285" s="22"/>
      <c r="AL285" s="22"/>
      <c r="AM285" s="22"/>
      <c r="AN285" s="22"/>
      <c r="AO285" s="22"/>
      <c r="AP285" s="22"/>
      <c r="AQ285" s="22"/>
      <c r="AR285" s="22"/>
      <c r="AS285" s="22"/>
      <c r="AT285" s="22"/>
      <c r="AU285" s="24"/>
      <c r="AV285" s="135">
        <v>7947003</v>
      </c>
      <c r="AW285" s="22"/>
      <c r="AX285" s="22"/>
      <c r="AY285" s="22"/>
      <c r="AZ285" s="22"/>
      <c r="BA285" s="22"/>
      <c r="BB285" s="22"/>
      <c r="BC285" s="22"/>
      <c r="BD285" s="22"/>
      <c r="BE285" s="143" t="s">
        <v>115</v>
      </c>
      <c r="BF285" s="143" t="s">
        <v>1140</v>
      </c>
      <c r="BG285" s="167" t="s">
        <v>976</v>
      </c>
      <c r="BH285" s="47"/>
      <c r="BI285" s="140">
        <v>7947003</v>
      </c>
      <c r="BJ285" s="47"/>
      <c r="BK285" s="46">
        <f t="shared" si="1"/>
        <v>1</v>
      </c>
      <c r="BL285" s="46"/>
      <c r="BM285" s="46"/>
      <c r="BN285" s="46"/>
    </row>
    <row r="286" spans="1:66" ht="12.75" hidden="1" customHeight="1">
      <c r="A286" s="22">
        <v>284</v>
      </c>
      <c r="B286" s="22" t="s">
        <v>1071</v>
      </c>
      <c r="C286" s="22" t="e">
        <f t="shared" ca="1" si="0"/>
        <v>#NAME?</v>
      </c>
      <c r="D286" s="206" t="s">
        <v>783</v>
      </c>
      <c r="E286" s="22" t="s">
        <v>180</v>
      </c>
      <c r="F286" s="24" t="s">
        <v>1134</v>
      </c>
      <c r="G286" s="24"/>
      <c r="H286" s="24"/>
      <c r="I286" s="24">
        <v>1</v>
      </c>
      <c r="J286" s="24" t="s">
        <v>1135</v>
      </c>
      <c r="K286" s="24"/>
      <c r="L286" s="24"/>
      <c r="M286" s="24"/>
      <c r="N286" s="24"/>
      <c r="O286" s="24"/>
      <c r="P286" s="170"/>
      <c r="Q286" s="170"/>
      <c r="R286" s="247"/>
      <c r="S286" s="194"/>
      <c r="T286" s="194"/>
      <c r="U286" s="194"/>
      <c r="V286" s="194"/>
      <c r="W286" s="194" t="s">
        <v>783</v>
      </c>
      <c r="X286" s="196"/>
      <c r="Y286" s="24"/>
      <c r="Z286" s="194"/>
      <c r="AA286" s="134"/>
      <c r="AB286" s="196"/>
      <c r="AC286" s="251"/>
      <c r="AD286" s="170"/>
      <c r="AE286" s="24"/>
      <c r="AF286" s="24"/>
      <c r="AG286" s="22"/>
      <c r="AH286" s="45"/>
      <c r="AI286" s="24"/>
      <c r="AJ286" s="196"/>
      <c r="AK286" s="22"/>
      <c r="AL286" s="22"/>
      <c r="AM286" s="22"/>
      <c r="AN286" s="22"/>
      <c r="AO286" s="22"/>
      <c r="AP286" s="22"/>
      <c r="AQ286" s="22"/>
      <c r="AR286" s="22"/>
      <c r="AS286" s="22"/>
      <c r="AT286" s="22"/>
      <c r="AU286" s="24"/>
      <c r="AV286" s="135">
        <v>5540006</v>
      </c>
      <c r="AW286" s="22"/>
      <c r="AX286" s="22"/>
      <c r="AY286" s="22"/>
      <c r="AZ286" s="22"/>
      <c r="BA286" s="22"/>
      <c r="BB286" s="22"/>
      <c r="BC286" s="22"/>
      <c r="BD286" s="22"/>
      <c r="BE286" s="143" t="s">
        <v>115</v>
      </c>
      <c r="BF286" s="143" t="s">
        <v>784</v>
      </c>
      <c r="BG286" s="167" t="s">
        <v>785</v>
      </c>
      <c r="BH286" s="47"/>
      <c r="BI286" s="140">
        <v>5540006</v>
      </c>
      <c r="BJ286" s="47"/>
      <c r="BK286" s="46">
        <f t="shared" si="1"/>
        <v>1</v>
      </c>
      <c r="BL286" s="46"/>
      <c r="BM286" s="46"/>
      <c r="BN286" s="46"/>
    </row>
    <row r="287" spans="1:66" ht="12.75" hidden="1" customHeight="1">
      <c r="A287" s="22">
        <v>285</v>
      </c>
      <c r="B287" s="22" t="s">
        <v>1203</v>
      </c>
      <c r="C287" s="22" t="e">
        <f t="shared" ca="1" si="0"/>
        <v>#NAME?</v>
      </c>
      <c r="D287" s="206" t="s">
        <v>978</v>
      </c>
      <c r="E287" s="22" t="s">
        <v>180</v>
      </c>
      <c r="F287" s="24" t="s">
        <v>1134</v>
      </c>
      <c r="G287" s="24"/>
      <c r="H287" s="24"/>
      <c r="I287" s="24">
        <v>1</v>
      </c>
      <c r="J287" s="24" t="s">
        <v>1135</v>
      </c>
      <c r="K287" s="24"/>
      <c r="L287" s="24"/>
      <c r="M287" s="24"/>
      <c r="N287" s="24"/>
      <c r="O287" s="24"/>
      <c r="P287" s="170"/>
      <c r="Q287" s="170"/>
      <c r="R287" s="247"/>
      <c r="S287" s="194"/>
      <c r="T287" s="194"/>
      <c r="U287" s="194"/>
      <c r="V287" s="194"/>
      <c r="W287" s="194" t="s">
        <v>978</v>
      </c>
      <c r="X287" s="196"/>
      <c r="Y287" s="24"/>
      <c r="Z287" s="194"/>
      <c r="AA287" s="134"/>
      <c r="AB287" s="196"/>
      <c r="AC287" s="251"/>
      <c r="AD287" s="163"/>
      <c r="AE287" s="24"/>
      <c r="AF287" s="24"/>
      <c r="AG287" s="22"/>
      <c r="AH287" s="45"/>
      <c r="AI287" s="24"/>
      <c r="AJ287" s="196"/>
      <c r="AK287" s="22"/>
      <c r="AL287" s="22"/>
      <c r="AM287" s="22"/>
      <c r="AN287" s="22"/>
      <c r="AO287" s="22"/>
      <c r="AP287" s="22"/>
      <c r="AQ287" s="22"/>
      <c r="AR287" s="22"/>
      <c r="AS287" s="22"/>
      <c r="AT287" s="22"/>
      <c r="AU287" s="24"/>
      <c r="AV287" s="135">
        <v>412380009</v>
      </c>
      <c r="AW287" s="22"/>
      <c r="AX287" s="22"/>
      <c r="AY287" s="22"/>
      <c r="AZ287" s="22"/>
      <c r="BA287" s="22"/>
      <c r="BB287" s="22"/>
      <c r="BC287" s="22"/>
      <c r="BD287" s="22"/>
      <c r="BE287" s="143" t="s">
        <v>115</v>
      </c>
      <c r="BF287" s="143" t="s">
        <v>979</v>
      </c>
      <c r="BG287" s="167" t="s">
        <v>980</v>
      </c>
      <c r="BH287" s="47"/>
      <c r="BI287" s="140">
        <v>412380009</v>
      </c>
      <c r="BJ287" s="47"/>
      <c r="BK287" s="46">
        <f t="shared" si="1"/>
        <v>1</v>
      </c>
      <c r="BL287" s="46"/>
      <c r="BM287" s="46"/>
      <c r="BN287" s="46"/>
    </row>
    <row r="288" spans="1:66" ht="12.75" hidden="1" customHeight="1">
      <c r="A288" s="22">
        <v>286</v>
      </c>
      <c r="B288" s="22" t="s">
        <v>1081</v>
      </c>
      <c r="C288" s="22" t="e">
        <f t="shared" ca="1" si="0"/>
        <v>#NAME?</v>
      </c>
      <c r="D288" s="206" t="s">
        <v>790</v>
      </c>
      <c r="E288" s="22" t="s">
        <v>180</v>
      </c>
      <c r="F288" s="24" t="s">
        <v>1134</v>
      </c>
      <c r="G288" s="24"/>
      <c r="H288" s="24"/>
      <c r="I288" s="24">
        <v>1</v>
      </c>
      <c r="J288" s="24" t="s">
        <v>1135</v>
      </c>
      <c r="K288" s="24"/>
      <c r="L288" s="24"/>
      <c r="M288" s="24"/>
      <c r="N288" s="24"/>
      <c r="O288" s="24"/>
      <c r="P288" s="170"/>
      <c r="Q288" s="170"/>
      <c r="R288" s="247"/>
      <c r="S288" s="194"/>
      <c r="T288" s="194"/>
      <c r="U288" s="194"/>
      <c r="V288" s="194"/>
      <c r="W288" s="194" t="s">
        <v>790</v>
      </c>
      <c r="X288" s="196"/>
      <c r="Y288" s="24"/>
      <c r="Z288" s="194"/>
      <c r="AA288" s="134"/>
      <c r="AB288" s="196"/>
      <c r="AC288" s="251"/>
      <c r="AD288" s="170"/>
      <c r="AE288" s="24"/>
      <c r="AF288" s="24"/>
      <c r="AG288" s="22"/>
      <c r="AH288" s="45"/>
      <c r="AI288" s="24"/>
      <c r="AJ288" s="196"/>
      <c r="AK288" s="22"/>
      <c r="AL288" s="22"/>
      <c r="AM288" s="22"/>
      <c r="AN288" s="22"/>
      <c r="AO288" s="22"/>
      <c r="AP288" s="22"/>
      <c r="AQ288" s="22"/>
      <c r="AR288" s="22"/>
      <c r="AS288" s="22"/>
      <c r="AT288" s="22"/>
      <c r="AU288" s="24"/>
      <c r="AV288" s="135">
        <v>6247001</v>
      </c>
      <c r="AW288" s="22"/>
      <c r="AX288" s="22"/>
      <c r="AY288" s="22"/>
      <c r="AZ288" s="22"/>
      <c r="BA288" s="22"/>
      <c r="BB288" s="22"/>
      <c r="BC288" s="22"/>
      <c r="BD288" s="22"/>
      <c r="BE288" s="143" t="s">
        <v>115</v>
      </c>
      <c r="BF288" s="143" t="s">
        <v>791</v>
      </c>
      <c r="BG288" s="167" t="s">
        <v>792</v>
      </c>
      <c r="BH288" s="47"/>
      <c r="BI288" s="140">
        <v>6247001</v>
      </c>
      <c r="BJ288" s="47"/>
      <c r="BK288" s="46">
        <f t="shared" si="1"/>
        <v>1</v>
      </c>
      <c r="BL288" s="46"/>
      <c r="BM288" s="46"/>
      <c r="BN288" s="46"/>
    </row>
    <row r="289" spans="1:66" ht="12.75" hidden="1" customHeight="1">
      <c r="A289" s="22">
        <v>287</v>
      </c>
      <c r="B289" s="22" t="s">
        <v>1090</v>
      </c>
      <c r="C289" s="22" t="e">
        <f t="shared" ca="1" si="0"/>
        <v>#NAME?</v>
      </c>
      <c r="D289" s="206" t="s">
        <v>797</v>
      </c>
      <c r="E289" s="22" t="s">
        <v>180</v>
      </c>
      <c r="F289" s="24" t="s">
        <v>1134</v>
      </c>
      <c r="G289" s="24"/>
      <c r="H289" s="24"/>
      <c r="I289" s="24">
        <v>1</v>
      </c>
      <c r="J289" s="24" t="s">
        <v>1135</v>
      </c>
      <c r="K289" s="24"/>
      <c r="L289" s="24"/>
      <c r="M289" s="24"/>
      <c r="N289" s="24"/>
      <c r="O289" s="24"/>
      <c r="P289" s="170"/>
      <c r="Q289" s="170"/>
      <c r="R289" s="247"/>
      <c r="S289" s="194"/>
      <c r="T289" s="194"/>
      <c r="U289" s="194"/>
      <c r="V289" s="194"/>
      <c r="W289" s="194" t="s">
        <v>797</v>
      </c>
      <c r="X289" s="196"/>
      <c r="Y289" s="24"/>
      <c r="Z289" s="194"/>
      <c r="AA289" s="134"/>
      <c r="AB289" s="196"/>
      <c r="AC289" s="251"/>
      <c r="AD289" s="170"/>
      <c r="AE289" s="24"/>
      <c r="AF289" s="24"/>
      <c r="AG289" s="22"/>
      <c r="AH289" s="45"/>
      <c r="AI289" s="24"/>
      <c r="AJ289" s="196"/>
      <c r="AK289" s="22"/>
      <c r="AL289" s="22"/>
      <c r="AM289" s="22"/>
      <c r="AN289" s="22"/>
      <c r="AO289" s="22"/>
      <c r="AP289" s="22"/>
      <c r="AQ289" s="22"/>
      <c r="AR289" s="22"/>
      <c r="AS289" s="22"/>
      <c r="AT289" s="22"/>
      <c r="AU289" s="24"/>
      <c r="AV289" s="135">
        <v>30729008</v>
      </c>
      <c r="AW289" s="22"/>
      <c r="AX289" s="22"/>
      <c r="AY289" s="22"/>
      <c r="AZ289" s="22"/>
      <c r="BA289" s="22"/>
      <c r="BB289" s="22"/>
      <c r="BC289" s="22"/>
      <c r="BD289" s="22"/>
      <c r="BE289" s="143" t="s">
        <v>115</v>
      </c>
      <c r="BF289" s="143" t="s">
        <v>798</v>
      </c>
      <c r="BG289" s="167" t="s">
        <v>799</v>
      </c>
      <c r="BH289" s="47"/>
      <c r="BI289" s="140">
        <v>30729008</v>
      </c>
      <c r="BJ289" s="47"/>
      <c r="BK289" s="46">
        <f t="shared" si="1"/>
        <v>1</v>
      </c>
      <c r="BL289" s="46"/>
      <c r="BM289" s="46"/>
      <c r="BN289" s="46"/>
    </row>
    <row r="290" spans="1:66" ht="12.75" hidden="1" customHeight="1">
      <c r="A290" s="22">
        <v>288</v>
      </c>
      <c r="B290" s="22" t="s">
        <v>1212</v>
      </c>
      <c r="C290" s="22" t="e">
        <f t="shared" ca="1" si="0"/>
        <v>#NAME?</v>
      </c>
      <c r="D290" s="206" t="s">
        <v>983</v>
      </c>
      <c r="E290" s="22" t="s">
        <v>180</v>
      </c>
      <c r="F290" s="24" t="s">
        <v>1134</v>
      </c>
      <c r="G290" s="24"/>
      <c r="H290" s="24"/>
      <c r="I290" s="24">
        <v>1</v>
      </c>
      <c r="J290" s="24" t="s">
        <v>1135</v>
      </c>
      <c r="K290" s="24"/>
      <c r="L290" s="24"/>
      <c r="M290" s="24"/>
      <c r="N290" s="24"/>
      <c r="O290" s="24"/>
      <c r="P290" s="215"/>
      <c r="Q290" s="215"/>
      <c r="R290" s="247"/>
      <c r="S290" s="194"/>
      <c r="T290" s="194"/>
      <c r="U290" s="194"/>
      <c r="V290" s="194"/>
      <c r="W290" s="194" t="s">
        <v>983</v>
      </c>
      <c r="X290" s="196"/>
      <c r="Y290" s="24"/>
      <c r="Z290" s="194"/>
      <c r="AA290" s="134"/>
      <c r="AB290" s="196"/>
      <c r="AC290" s="251"/>
      <c r="AD290" s="163"/>
      <c r="AE290" s="24"/>
      <c r="AF290" s="24"/>
      <c r="AG290" s="22"/>
      <c r="AH290" s="45"/>
      <c r="AI290" s="24"/>
      <c r="AJ290" s="196"/>
      <c r="AK290" s="22"/>
      <c r="AL290" s="22"/>
      <c r="AM290" s="22"/>
      <c r="AN290" s="22"/>
      <c r="AO290" s="22"/>
      <c r="AP290" s="22"/>
      <c r="AQ290" s="22"/>
      <c r="AR290" s="22"/>
      <c r="AS290" s="22"/>
      <c r="AT290" s="22"/>
      <c r="AU290" s="24"/>
      <c r="AV290" s="135">
        <v>72717003</v>
      </c>
      <c r="AW290" s="22"/>
      <c r="AX290" s="22"/>
      <c r="AY290" s="22"/>
      <c r="AZ290" s="22"/>
      <c r="BA290" s="22"/>
      <c r="BB290" s="22"/>
      <c r="BC290" s="22"/>
      <c r="BD290" s="22"/>
      <c r="BE290" s="143" t="s">
        <v>115</v>
      </c>
      <c r="BF290" s="143" t="s">
        <v>984</v>
      </c>
      <c r="BG290" s="167" t="s">
        <v>985</v>
      </c>
      <c r="BH290" s="47"/>
      <c r="BI290" s="140">
        <v>72717003</v>
      </c>
      <c r="BJ290" s="47"/>
      <c r="BK290" s="46">
        <f t="shared" si="1"/>
        <v>1</v>
      </c>
      <c r="BL290" s="46"/>
      <c r="BM290" s="46"/>
      <c r="BN290" s="46"/>
    </row>
    <row r="291" spans="1:66" ht="12.75" hidden="1" customHeight="1">
      <c r="A291" s="22">
        <v>289</v>
      </c>
      <c r="B291" s="22" t="s">
        <v>1213</v>
      </c>
      <c r="C291" s="22" t="e">
        <f t="shared" ca="1" si="0"/>
        <v>#NAME?</v>
      </c>
      <c r="D291" s="206" t="s">
        <v>986</v>
      </c>
      <c r="E291" s="22" t="s">
        <v>180</v>
      </c>
      <c r="F291" s="24" t="s">
        <v>1134</v>
      </c>
      <c r="G291" s="24"/>
      <c r="H291" s="24"/>
      <c r="I291" s="24">
        <v>1</v>
      </c>
      <c r="J291" s="24" t="s">
        <v>1135</v>
      </c>
      <c r="K291" s="24"/>
      <c r="L291" s="24"/>
      <c r="M291" s="24"/>
      <c r="N291" s="24"/>
      <c r="O291" s="24"/>
      <c r="P291" s="133"/>
      <c r="Q291" s="133"/>
      <c r="R291" s="247"/>
      <c r="S291" s="194"/>
      <c r="T291" s="194"/>
      <c r="U291" s="194"/>
      <c r="V291" s="194"/>
      <c r="W291" s="194" t="s">
        <v>986</v>
      </c>
      <c r="X291" s="196"/>
      <c r="Y291" s="24"/>
      <c r="Z291" s="194"/>
      <c r="AA291" s="133"/>
      <c r="AB291" s="196"/>
      <c r="AC291" s="179"/>
      <c r="AD291" s="133"/>
      <c r="AE291" s="24"/>
      <c r="AF291" s="24"/>
      <c r="AG291" s="22"/>
      <c r="AH291" s="45"/>
      <c r="AI291" s="24"/>
      <c r="AJ291" s="196"/>
      <c r="AK291" s="22"/>
      <c r="AL291" s="22"/>
      <c r="AM291" s="22"/>
      <c r="AN291" s="22"/>
      <c r="AO291" s="22"/>
      <c r="AP291" s="22"/>
      <c r="AQ291" s="22"/>
      <c r="AR291" s="22"/>
      <c r="AS291" s="22"/>
      <c r="AT291" s="22"/>
      <c r="AU291" s="24"/>
      <c r="AV291" s="135">
        <v>56549003</v>
      </c>
      <c r="AW291" s="22"/>
      <c r="AX291" s="22"/>
      <c r="AY291" s="22"/>
      <c r="AZ291" s="22"/>
      <c r="BA291" s="22"/>
      <c r="BB291" s="22"/>
      <c r="BC291" s="22"/>
      <c r="BD291" s="22"/>
      <c r="BE291" s="143" t="s">
        <v>115</v>
      </c>
      <c r="BF291" s="143" t="s">
        <v>988</v>
      </c>
      <c r="BG291" s="167" t="s">
        <v>989</v>
      </c>
      <c r="BH291" s="47"/>
      <c r="BI291" s="140">
        <v>56549003</v>
      </c>
      <c r="BJ291" s="47"/>
      <c r="BK291" s="46">
        <f t="shared" si="1"/>
        <v>1</v>
      </c>
      <c r="BL291" s="46"/>
      <c r="BM291" s="46"/>
      <c r="BN291" s="46"/>
    </row>
    <row r="292" spans="1:66" ht="12.75" hidden="1" customHeight="1">
      <c r="A292" s="22">
        <v>290</v>
      </c>
      <c r="B292" s="22" t="s">
        <v>1218</v>
      </c>
      <c r="C292" s="22" t="e">
        <f t="shared" ca="1" si="0"/>
        <v>#NAME?</v>
      </c>
      <c r="D292" s="206" t="s">
        <v>990</v>
      </c>
      <c r="E292" s="22" t="s">
        <v>180</v>
      </c>
      <c r="F292" s="24" t="s">
        <v>1134</v>
      </c>
      <c r="G292" s="24"/>
      <c r="H292" s="24"/>
      <c r="I292" s="24">
        <v>1</v>
      </c>
      <c r="J292" s="24" t="s">
        <v>1135</v>
      </c>
      <c r="K292" s="24"/>
      <c r="L292" s="24"/>
      <c r="M292" s="24"/>
      <c r="N292" s="24"/>
      <c r="O292" s="24"/>
      <c r="P292" s="133"/>
      <c r="Q292" s="133"/>
      <c r="R292" s="247"/>
      <c r="S292" s="194"/>
      <c r="T292" s="194"/>
      <c r="U292" s="194"/>
      <c r="V292" s="194"/>
      <c r="W292" s="194" t="s">
        <v>990</v>
      </c>
      <c r="X292" s="196"/>
      <c r="Y292" s="24"/>
      <c r="Z292" s="194"/>
      <c r="AA292" s="133"/>
      <c r="AB292" s="196"/>
      <c r="AC292" s="179"/>
      <c r="AD292" s="133"/>
      <c r="AE292" s="24"/>
      <c r="AF292" s="24"/>
      <c r="AG292" s="22"/>
      <c r="AH292" s="45"/>
      <c r="AI292" s="24"/>
      <c r="AJ292" s="196"/>
      <c r="AK292" s="22"/>
      <c r="AL292" s="22"/>
      <c r="AM292" s="22"/>
      <c r="AN292" s="22"/>
      <c r="AO292" s="22"/>
      <c r="AP292" s="22"/>
      <c r="AQ292" s="22"/>
      <c r="AR292" s="22"/>
      <c r="AS292" s="22"/>
      <c r="AT292" s="22"/>
      <c r="AU292" s="24"/>
      <c r="AV292" s="135">
        <v>82156005</v>
      </c>
      <c r="AW292" s="22"/>
      <c r="AX292" s="22"/>
      <c r="AY292" s="22"/>
      <c r="AZ292" s="22"/>
      <c r="BA292" s="22"/>
      <c r="BB292" s="22"/>
      <c r="BC292" s="22"/>
      <c r="BD292" s="22"/>
      <c r="BE292" s="143" t="s">
        <v>115</v>
      </c>
      <c r="BF292" s="143" t="s">
        <v>992</v>
      </c>
      <c r="BG292" s="167" t="s">
        <v>993</v>
      </c>
      <c r="BH292" s="64"/>
      <c r="BI292" s="145">
        <v>82156005</v>
      </c>
      <c r="BJ292" s="64"/>
      <c r="BK292" s="46">
        <f t="shared" si="1"/>
        <v>1</v>
      </c>
      <c r="BL292" s="46"/>
      <c r="BM292" s="46"/>
      <c r="BN292" s="46"/>
    </row>
    <row r="293" spans="1:66" ht="12.75" hidden="1" customHeight="1">
      <c r="A293" s="22">
        <v>291</v>
      </c>
      <c r="B293" s="22" t="s">
        <v>1222</v>
      </c>
      <c r="C293" s="22" t="e">
        <f t="shared" ca="1" si="0"/>
        <v>#NAME?</v>
      </c>
      <c r="D293" s="206" t="s">
        <v>994</v>
      </c>
      <c r="E293" s="22" t="s">
        <v>180</v>
      </c>
      <c r="F293" s="24" t="s">
        <v>1134</v>
      </c>
      <c r="G293" s="24"/>
      <c r="H293" s="24"/>
      <c r="I293" s="24">
        <v>1</v>
      </c>
      <c r="J293" s="24" t="s">
        <v>1135</v>
      </c>
      <c r="K293" s="24"/>
      <c r="L293" s="24"/>
      <c r="M293" s="24"/>
      <c r="N293" s="24"/>
      <c r="O293" s="24"/>
      <c r="P293" s="215"/>
      <c r="Q293" s="215"/>
      <c r="R293" s="247"/>
      <c r="S293" s="194"/>
      <c r="T293" s="194"/>
      <c r="U293" s="194"/>
      <c r="V293" s="194"/>
      <c r="W293" s="194" t="s">
        <v>994</v>
      </c>
      <c r="X293" s="196"/>
      <c r="Y293" s="24"/>
      <c r="Z293" s="194"/>
      <c r="AA293" s="134"/>
      <c r="AB293" s="196"/>
      <c r="AC293" s="251"/>
      <c r="AD293" s="163"/>
      <c r="AE293" s="24"/>
      <c r="AF293" s="24"/>
      <c r="AG293" s="22"/>
      <c r="AH293" s="45"/>
      <c r="AI293" s="24"/>
      <c r="AJ293" s="196"/>
      <c r="AK293" s="22"/>
      <c r="AL293" s="22"/>
      <c r="AM293" s="22"/>
      <c r="AN293" s="22"/>
      <c r="AO293" s="22"/>
      <c r="AP293" s="22"/>
      <c r="AQ293" s="22"/>
      <c r="AR293" s="22"/>
      <c r="AS293" s="22"/>
      <c r="AT293" s="257"/>
      <c r="AU293" s="257"/>
      <c r="AV293" s="257"/>
      <c r="AW293" s="257"/>
      <c r="AX293" s="257"/>
      <c r="AY293" s="257"/>
      <c r="AZ293" s="257"/>
      <c r="BA293" s="257"/>
      <c r="BB293" s="257"/>
      <c r="BC293" s="257"/>
      <c r="BD293" s="257"/>
      <c r="BE293" s="143" t="s">
        <v>115</v>
      </c>
      <c r="BF293" s="143" t="s">
        <v>996</v>
      </c>
      <c r="BG293" s="167" t="s">
        <v>997</v>
      </c>
      <c r="BH293" s="153"/>
      <c r="BI293" s="154"/>
      <c r="BJ293" s="154"/>
      <c r="BK293" s="46">
        <f t="shared" si="1"/>
        <v>1</v>
      </c>
      <c r="BL293" s="46"/>
      <c r="BM293" s="46"/>
      <c r="BN293" s="46"/>
    </row>
    <row r="294" spans="1:66" ht="12.75" hidden="1" customHeight="1">
      <c r="A294" s="22">
        <v>292</v>
      </c>
      <c r="B294" s="22" t="s">
        <v>1226</v>
      </c>
      <c r="C294" s="22" t="e">
        <f t="shared" ca="1" si="0"/>
        <v>#NAME?</v>
      </c>
      <c r="D294" s="206" t="s">
        <v>998</v>
      </c>
      <c r="E294" s="22" t="s">
        <v>180</v>
      </c>
      <c r="F294" s="24" t="s">
        <v>1134</v>
      </c>
      <c r="G294" s="24"/>
      <c r="H294" s="24"/>
      <c r="I294" s="24">
        <v>1</v>
      </c>
      <c r="J294" s="24" t="s">
        <v>1135</v>
      </c>
      <c r="K294" s="24"/>
      <c r="L294" s="24"/>
      <c r="M294" s="24"/>
      <c r="N294" s="24"/>
      <c r="O294" s="24"/>
      <c r="P294" s="170"/>
      <c r="Q294" s="170"/>
      <c r="R294" s="247"/>
      <c r="S294" s="194"/>
      <c r="T294" s="194"/>
      <c r="U294" s="194"/>
      <c r="V294" s="194"/>
      <c r="W294" s="194" t="s">
        <v>998</v>
      </c>
      <c r="X294" s="196"/>
      <c r="Y294" s="24"/>
      <c r="Z294" s="194"/>
      <c r="AA294" s="134"/>
      <c r="AB294" s="196"/>
      <c r="AC294" s="251"/>
      <c r="AD294" s="163"/>
      <c r="AE294" s="24"/>
      <c r="AF294" s="24"/>
      <c r="AG294" s="22"/>
      <c r="AH294" s="45"/>
      <c r="AI294" s="24"/>
      <c r="AJ294" s="196"/>
      <c r="AK294" s="22"/>
      <c r="AL294" s="22"/>
      <c r="AM294" s="22"/>
      <c r="AN294" s="22"/>
      <c r="AO294" s="22"/>
      <c r="AP294" s="22"/>
      <c r="AQ294" s="22"/>
      <c r="AR294" s="22"/>
      <c r="AS294" s="22"/>
      <c r="AT294" s="257"/>
      <c r="AU294" s="257"/>
      <c r="AV294" s="257"/>
      <c r="AW294" s="257"/>
      <c r="AX294" s="257"/>
      <c r="AY294" s="257"/>
      <c r="AZ294" s="257"/>
      <c r="BA294" s="257"/>
      <c r="BB294" s="257"/>
      <c r="BC294" s="257"/>
      <c r="BD294" s="257"/>
      <c r="BE294" s="143" t="s">
        <v>115</v>
      </c>
      <c r="BF294" s="143" t="s">
        <v>1000</v>
      </c>
      <c r="BG294" s="167" t="s">
        <v>1001</v>
      </c>
      <c r="BH294" s="153"/>
      <c r="BI294" s="154"/>
      <c r="BJ294" s="154"/>
      <c r="BK294" s="46">
        <f t="shared" si="1"/>
        <v>1</v>
      </c>
      <c r="BL294" s="46"/>
      <c r="BM294" s="46"/>
      <c r="BN294" s="46"/>
    </row>
    <row r="295" spans="1:66" ht="12.75" hidden="1" customHeight="1">
      <c r="A295" s="22">
        <v>293</v>
      </c>
      <c r="B295" s="22" t="s">
        <v>1227</v>
      </c>
      <c r="C295" s="22" t="e">
        <f t="shared" ca="1" si="0"/>
        <v>#NAME?</v>
      </c>
      <c r="D295" s="206" t="s">
        <v>1002</v>
      </c>
      <c r="E295" s="22" t="s">
        <v>180</v>
      </c>
      <c r="F295" s="24" t="s">
        <v>1134</v>
      </c>
      <c r="G295" s="24"/>
      <c r="H295" s="24"/>
      <c r="I295" s="24">
        <v>1</v>
      </c>
      <c r="J295" s="24" t="s">
        <v>1135</v>
      </c>
      <c r="K295" s="24"/>
      <c r="L295" s="24"/>
      <c r="M295" s="24"/>
      <c r="N295" s="24"/>
      <c r="O295" s="24"/>
      <c r="P295" s="170"/>
      <c r="Q295" s="170"/>
      <c r="R295" s="247"/>
      <c r="S295" s="194"/>
      <c r="T295" s="194"/>
      <c r="U295" s="194"/>
      <c r="V295" s="194"/>
      <c r="W295" s="194" t="s">
        <v>1002</v>
      </c>
      <c r="X295" s="196"/>
      <c r="Y295" s="24"/>
      <c r="Z295" s="194"/>
      <c r="AA295" s="134"/>
      <c r="AB295" s="196"/>
      <c r="AC295" s="251"/>
      <c r="AD295" s="163"/>
      <c r="AE295" s="24"/>
      <c r="AF295" s="24"/>
      <c r="AG295" s="22"/>
      <c r="AH295" s="45"/>
      <c r="AI295" s="24"/>
      <c r="AJ295" s="196"/>
      <c r="AK295" s="22"/>
      <c r="AL295" s="22"/>
      <c r="AM295" s="22"/>
      <c r="AN295" s="22"/>
      <c r="AO295" s="22"/>
      <c r="AP295" s="22"/>
      <c r="AQ295" s="22"/>
      <c r="AR295" s="22"/>
      <c r="AS295" s="22"/>
      <c r="AT295" s="22"/>
      <c r="AU295" s="24"/>
      <c r="AV295" s="108" t="s">
        <v>1003</v>
      </c>
      <c r="AW295" s="22"/>
      <c r="AX295" s="22"/>
      <c r="AY295" s="22"/>
      <c r="AZ295" s="22"/>
      <c r="BA295" s="22"/>
      <c r="BB295" s="22"/>
      <c r="BC295" s="22"/>
      <c r="BD295" s="22"/>
      <c r="BE295" s="143" t="s">
        <v>115</v>
      </c>
      <c r="BF295" s="143" t="s">
        <v>1004</v>
      </c>
      <c r="BG295" s="167" t="s">
        <v>1005</v>
      </c>
      <c r="BH295" s="64"/>
      <c r="BI295" s="159" t="s">
        <v>1003</v>
      </c>
      <c r="BJ295" s="64"/>
      <c r="BK295" s="46">
        <f t="shared" si="1"/>
        <v>1</v>
      </c>
      <c r="BL295" s="46"/>
      <c r="BM295" s="46"/>
      <c r="BN295" s="46"/>
    </row>
    <row r="296" spans="1:66" ht="12.75" hidden="1" customHeight="1">
      <c r="A296" s="22">
        <v>294</v>
      </c>
      <c r="B296" s="22" t="s">
        <v>1228</v>
      </c>
      <c r="C296" s="22" t="e">
        <f t="shared" ca="1" si="0"/>
        <v>#NAME?</v>
      </c>
      <c r="D296" s="206" t="s">
        <v>1006</v>
      </c>
      <c r="E296" s="22" t="s">
        <v>180</v>
      </c>
      <c r="F296" s="24" t="s">
        <v>1134</v>
      </c>
      <c r="G296" s="24"/>
      <c r="H296" s="24"/>
      <c r="I296" s="24">
        <v>1</v>
      </c>
      <c r="J296" s="24" t="s">
        <v>1135</v>
      </c>
      <c r="K296" s="24"/>
      <c r="L296" s="24"/>
      <c r="M296" s="24"/>
      <c r="N296" s="24"/>
      <c r="O296" s="24"/>
      <c r="P296" s="170"/>
      <c r="Q296" s="170"/>
      <c r="R296" s="247"/>
      <c r="S296" s="194"/>
      <c r="T296" s="194"/>
      <c r="U296" s="194"/>
      <c r="V296" s="194"/>
      <c r="W296" s="194" t="s">
        <v>1006</v>
      </c>
      <c r="X296" s="196"/>
      <c r="Y296" s="24"/>
      <c r="Z296" s="194"/>
      <c r="AA296" s="134"/>
      <c r="AB296" s="194"/>
      <c r="AC296" s="251"/>
      <c r="AD296" s="163"/>
      <c r="AE296" s="24"/>
      <c r="AF296" s="24"/>
      <c r="AG296" s="22"/>
      <c r="AH296" s="45"/>
      <c r="AI296" s="24"/>
      <c r="AJ296" s="196"/>
      <c r="AK296" s="22"/>
      <c r="AL296" s="22"/>
      <c r="AM296" s="22"/>
      <c r="AN296" s="22"/>
      <c r="AO296" s="22"/>
      <c r="AP296" s="22"/>
      <c r="AQ296" s="22"/>
      <c r="AR296" s="22"/>
      <c r="AS296" s="22"/>
      <c r="AT296" s="257"/>
      <c r="AU296" s="257"/>
      <c r="AV296" s="257"/>
      <c r="AW296" s="257"/>
      <c r="AX296" s="257"/>
      <c r="AY296" s="257"/>
      <c r="AZ296" s="257"/>
      <c r="BA296" s="257"/>
      <c r="BB296" s="257"/>
      <c r="BC296" s="257"/>
      <c r="BD296" s="257"/>
      <c r="BE296" s="143" t="s">
        <v>115</v>
      </c>
      <c r="BF296" s="143" t="s">
        <v>1007</v>
      </c>
      <c r="BG296" s="167" t="s">
        <v>1008</v>
      </c>
      <c r="BH296" s="153"/>
      <c r="BI296" s="154"/>
      <c r="BJ296" s="154"/>
      <c r="BK296" s="46">
        <f t="shared" si="1"/>
        <v>1</v>
      </c>
      <c r="BL296" s="46"/>
      <c r="BM296" s="46"/>
      <c r="BN296" s="46"/>
    </row>
    <row r="297" spans="1:66" ht="12.75" hidden="1" customHeight="1">
      <c r="A297" s="22">
        <v>295</v>
      </c>
      <c r="B297" s="22" t="s">
        <v>1232</v>
      </c>
      <c r="C297" s="22" t="e">
        <f t="shared" ca="1" si="0"/>
        <v>#NAME?</v>
      </c>
      <c r="D297" s="206" t="s">
        <v>1009</v>
      </c>
      <c r="E297" s="22" t="s">
        <v>180</v>
      </c>
      <c r="F297" s="24" t="s">
        <v>1134</v>
      </c>
      <c r="G297" s="24"/>
      <c r="H297" s="24"/>
      <c r="I297" s="24">
        <v>1</v>
      </c>
      <c r="J297" s="24" t="s">
        <v>1135</v>
      </c>
      <c r="K297" s="24"/>
      <c r="L297" s="24"/>
      <c r="M297" s="24"/>
      <c r="N297" s="24"/>
      <c r="O297" s="24"/>
      <c r="P297" s="170"/>
      <c r="Q297" s="170"/>
      <c r="R297" s="247"/>
      <c r="S297" s="194"/>
      <c r="T297" s="194"/>
      <c r="U297" s="194"/>
      <c r="V297" s="194"/>
      <c r="W297" s="194" t="s">
        <v>1009</v>
      </c>
      <c r="X297" s="196"/>
      <c r="Y297" s="24"/>
      <c r="Z297" s="194"/>
      <c r="AA297" s="134"/>
      <c r="AB297" s="194"/>
      <c r="AC297" s="251"/>
      <c r="AD297" s="163"/>
      <c r="AE297" s="24"/>
      <c r="AF297" s="24"/>
      <c r="AG297" s="22"/>
      <c r="AH297" s="45"/>
      <c r="AI297" s="24"/>
      <c r="AJ297" s="196"/>
      <c r="AK297" s="22"/>
      <c r="AL297" s="22"/>
      <c r="AM297" s="22"/>
      <c r="AN297" s="22"/>
      <c r="AO297" s="22"/>
      <c r="AP297" s="22"/>
      <c r="AQ297" s="22"/>
      <c r="AR297" s="22"/>
      <c r="AS297" s="22"/>
      <c r="AT297" s="257"/>
      <c r="AU297" s="257"/>
      <c r="AV297" s="257"/>
      <c r="AW297" s="257"/>
      <c r="AX297" s="257"/>
      <c r="AY297" s="257"/>
      <c r="AZ297" s="257"/>
      <c r="BA297" s="257"/>
      <c r="BB297" s="257"/>
      <c r="BC297" s="257"/>
      <c r="BD297" s="257"/>
      <c r="BE297" s="143" t="s">
        <v>115</v>
      </c>
      <c r="BF297" s="143" t="s">
        <v>1010</v>
      </c>
      <c r="BG297" s="167" t="s">
        <v>1011</v>
      </c>
      <c r="BH297" s="153"/>
      <c r="BI297" s="154"/>
      <c r="BJ297" s="154"/>
      <c r="BK297" s="46">
        <f t="shared" si="1"/>
        <v>1</v>
      </c>
      <c r="BL297" s="46"/>
      <c r="BM297" s="46"/>
      <c r="BN297" s="46"/>
    </row>
    <row r="298" spans="1:66" ht="12.75" hidden="1" customHeight="1">
      <c r="A298" s="22">
        <v>296</v>
      </c>
      <c r="B298" s="22" t="s">
        <v>1234</v>
      </c>
      <c r="C298" s="22" t="e">
        <f t="shared" ca="1" si="0"/>
        <v>#NAME?</v>
      </c>
      <c r="D298" s="206" t="s">
        <v>1012</v>
      </c>
      <c r="E298" s="22" t="s">
        <v>180</v>
      </c>
      <c r="F298" s="24" t="s">
        <v>1134</v>
      </c>
      <c r="G298" s="24"/>
      <c r="H298" s="24"/>
      <c r="I298" s="24">
        <v>1</v>
      </c>
      <c r="J298" s="24" t="s">
        <v>1135</v>
      </c>
      <c r="K298" s="24"/>
      <c r="L298" s="24"/>
      <c r="M298" s="24"/>
      <c r="N298" s="24"/>
      <c r="O298" s="24"/>
      <c r="P298" s="170"/>
      <c r="Q298" s="170"/>
      <c r="R298" s="247"/>
      <c r="S298" s="194"/>
      <c r="T298" s="194"/>
      <c r="U298" s="194"/>
      <c r="V298" s="194"/>
      <c r="W298" s="194" t="s">
        <v>1012</v>
      </c>
      <c r="X298" s="196"/>
      <c r="Y298" s="24"/>
      <c r="Z298" s="194"/>
      <c r="AA298" s="134"/>
      <c r="AB298" s="194"/>
      <c r="AC298" s="251"/>
      <c r="AD298" s="163"/>
      <c r="AE298" s="24"/>
      <c r="AF298" s="24"/>
      <c r="AG298" s="22"/>
      <c r="AH298" s="45"/>
      <c r="AI298" s="24"/>
      <c r="AJ298" s="196"/>
      <c r="AK298" s="22"/>
      <c r="AL298" s="22"/>
      <c r="AM298" s="22"/>
      <c r="AN298" s="22"/>
      <c r="AO298" s="22"/>
      <c r="AP298" s="22"/>
      <c r="AQ298" s="22"/>
      <c r="AR298" s="22"/>
      <c r="AS298" s="22"/>
      <c r="AT298" s="22"/>
      <c r="AU298" s="24"/>
      <c r="AV298" s="24" t="s">
        <v>1013</v>
      </c>
      <c r="AW298" s="22"/>
      <c r="AX298" s="22"/>
      <c r="AY298" s="22"/>
      <c r="AZ298" s="22"/>
      <c r="BA298" s="22"/>
      <c r="BB298" s="22"/>
      <c r="BC298" s="22"/>
      <c r="BD298" s="22"/>
      <c r="BE298" s="143" t="s">
        <v>115</v>
      </c>
      <c r="BF298" s="143" t="s">
        <v>1014</v>
      </c>
      <c r="BG298" s="167" t="s">
        <v>1015</v>
      </c>
      <c r="BH298" s="64"/>
      <c r="BI298" s="201" t="s">
        <v>1013</v>
      </c>
      <c r="BJ298" s="64"/>
      <c r="BK298" s="46">
        <f t="shared" si="1"/>
        <v>1</v>
      </c>
      <c r="BL298" s="46"/>
      <c r="BM298" s="46"/>
      <c r="BN298" s="46"/>
    </row>
    <row r="299" spans="1:66" ht="12.75" hidden="1" customHeight="1">
      <c r="A299" s="22">
        <v>297</v>
      </c>
      <c r="B299" s="22" t="s">
        <v>1236</v>
      </c>
      <c r="C299" s="22" t="e">
        <f t="shared" ca="1" si="0"/>
        <v>#NAME?</v>
      </c>
      <c r="D299" s="206" t="s">
        <v>1016</v>
      </c>
      <c r="E299" s="22" t="s">
        <v>180</v>
      </c>
      <c r="F299" s="24" t="s">
        <v>1134</v>
      </c>
      <c r="G299" s="24"/>
      <c r="H299" s="24"/>
      <c r="I299" s="24">
        <v>1</v>
      </c>
      <c r="J299" s="24" t="s">
        <v>1135</v>
      </c>
      <c r="K299" s="24"/>
      <c r="L299" s="24"/>
      <c r="M299" s="24"/>
      <c r="N299" s="24"/>
      <c r="O299" s="24"/>
      <c r="P299" s="170"/>
      <c r="Q299" s="170"/>
      <c r="R299" s="247"/>
      <c r="S299" s="194"/>
      <c r="T299" s="194"/>
      <c r="U299" s="194"/>
      <c r="V299" s="194"/>
      <c r="W299" s="194" t="s">
        <v>1016</v>
      </c>
      <c r="X299" s="196"/>
      <c r="Y299" s="24"/>
      <c r="Z299" s="194"/>
      <c r="AA299" s="134"/>
      <c r="AB299" s="194"/>
      <c r="AC299" s="251"/>
      <c r="AD299" s="163"/>
      <c r="AE299" s="24"/>
      <c r="AF299" s="24"/>
      <c r="AG299" s="22"/>
      <c r="AH299" s="45"/>
      <c r="AI299" s="24"/>
      <c r="AJ299" s="196"/>
      <c r="AK299" s="22"/>
      <c r="AL299" s="22"/>
      <c r="AM299" s="22"/>
      <c r="AN299" s="22"/>
      <c r="AO299" s="22"/>
      <c r="AP299" s="22"/>
      <c r="AQ299" s="22"/>
      <c r="AR299" s="22"/>
      <c r="AS299" s="22"/>
      <c r="AT299" s="257"/>
      <c r="AU299" s="257"/>
      <c r="AV299" s="257"/>
      <c r="AW299" s="257"/>
      <c r="AX299" s="257"/>
      <c r="AY299" s="257"/>
      <c r="AZ299" s="257"/>
      <c r="BA299" s="257"/>
      <c r="BB299" s="257"/>
      <c r="BC299" s="257"/>
      <c r="BD299" s="257"/>
      <c r="BE299" s="143" t="s">
        <v>115</v>
      </c>
      <c r="BF299" s="143" t="s">
        <v>1018</v>
      </c>
      <c r="BG299" s="167" t="s">
        <v>1019</v>
      </c>
      <c r="BH299" s="153"/>
      <c r="BI299" s="154"/>
      <c r="BJ299" s="154"/>
      <c r="BK299" s="46">
        <f t="shared" si="1"/>
        <v>1</v>
      </c>
      <c r="BL299" s="46"/>
      <c r="BM299" s="46"/>
      <c r="BN299" s="46"/>
    </row>
    <row r="300" spans="1:66" ht="12.75" hidden="1" customHeight="1">
      <c r="A300" s="22">
        <v>298</v>
      </c>
      <c r="B300" s="22" t="s">
        <v>1238</v>
      </c>
      <c r="C300" s="22" t="e">
        <f t="shared" ca="1" si="0"/>
        <v>#NAME?</v>
      </c>
      <c r="D300" s="206" t="s">
        <v>1020</v>
      </c>
      <c r="E300" s="22" t="s">
        <v>180</v>
      </c>
      <c r="F300" s="24" t="s">
        <v>1134</v>
      </c>
      <c r="G300" s="24"/>
      <c r="H300" s="24"/>
      <c r="I300" s="24">
        <v>1</v>
      </c>
      <c r="J300" s="24" t="s">
        <v>1135</v>
      </c>
      <c r="K300" s="24"/>
      <c r="L300" s="24"/>
      <c r="M300" s="24"/>
      <c r="N300" s="24"/>
      <c r="O300" s="24"/>
      <c r="P300" s="170"/>
      <c r="Q300" s="170"/>
      <c r="R300" s="247"/>
      <c r="S300" s="194"/>
      <c r="T300" s="194"/>
      <c r="U300" s="194"/>
      <c r="V300" s="194"/>
      <c r="W300" s="194" t="s">
        <v>1020</v>
      </c>
      <c r="X300" s="196"/>
      <c r="Y300" s="24"/>
      <c r="Z300" s="194"/>
      <c r="AA300" s="134"/>
      <c r="AB300" s="194"/>
      <c r="AC300" s="251"/>
      <c r="AD300" s="163"/>
      <c r="AE300" s="24"/>
      <c r="AF300" s="24"/>
      <c r="AG300" s="22"/>
      <c r="AH300" s="45"/>
      <c r="AI300" s="24"/>
      <c r="AJ300" s="196"/>
      <c r="AK300" s="22"/>
      <c r="AL300" s="22"/>
      <c r="AM300" s="22"/>
      <c r="AN300" s="22"/>
      <c r="AO300" s="22"/>
      <c r="AP300" s="22"/>
      <c r="AQ300" s="22"/>
      <c r="AR300" s="22"/>
      <c r="AS300" s="22"/>
      <c r="AT300" s="43"/>
      <c r="AU300" s="24"/>
      <c r="AV300" s="166">
        <v>416234007</v>
      </c>
      <c r="AW300" s="43"/>
      <c r="AX300" s="43"/>
      <c r="AY300" s="43"/>
      <c r="AZ300" s="43"/>
      <c r="BA300" s="43"/>
      <c r="BB300" s="43"/>
      <c r="BC300" s="43"/>
      <c r="BD300" s="43"/>
      <c r="BE300" s="143" t="s">
        <v>115</v>
      </c>
      <c r="BF300" s="143" t="s">
        <v>1022</v>
      </c>
      <c r="BG300" s="167" t="s">
        <v>1023</v>
      </c>
      <c r="BH300" s="64"/>
      <c r="BI300" s="168">
        <v>416234007</v>
      </c>
      <c r="BJ300" s="64"/>
      <c r="BK300" s="46">
        <f t="shared" si="1"/>
        <v>1</v>
      </c>
      <c r="BL300" s="46"/>
      <c r="BM300" s="46"/>
      <c r="BN300" s="46"/>
    </row>
    <row r="301" spans="1:66" ht="12.75" hidden="1" customHeight="1">
      <c r="A301" s="22">
        <v>299</v>
      </c>
      <c r="B301" s="22" t="s">
        <v>1242</v>
      </c>
      <c r="C301" s="22" t="e">
        <f t="shared" ca="1" si="0"/>
        <v>#NAME?</v>
      </c>
      <c r="D301" s="206" t="s">
        <v>1024</v>
      </c>
      <c r="E301" s="22" t="s">
        <v>180</v>
      </c>
      <c r="F301" s="24" t="s">
        <v>1134</v>
      </c>
      <c r="G301" s="24"/>
      <c r="H301" s="24"/>
      <c r="I301" s="24">
        <v>1</v>
      </c>
      <c r="J301" s="24" t="s">
        <v>1135</v>
      </c>
      <c r="K301" s="24"/>
      <c r="L301" s="24"/>
      <c r="M301" s="24"/>
      <c r="N301" s="24"/>
      <c r="O301" s="24"/>
      <c r="P301" s="170"/>
      <c r="Q301" s="170"/>
      <c r="R301" s="247"/>
      <c r="S301" s="194"/>
      <c r="T301" s="194"/>
      <c r="U301" s="194"/>
      <c r="V301" s="194"/>
      <c r="W301" s="194" t="s">
        <v>1024</v>
      </c>
      <c r="X301" s="196"/>
      <c r="Y301" s="24"/>
      <c r="Z301" s="194"/>
      <c r="AA301" s="134"/>
      <c r="AB301" s="194"/>
      <c r="AC301" s="251"/>
      <c r="AD301" s="163"/>
      <c r="AE301" s="24"/>
      <c r="AF301" s="24"/>
      <c r="AG301" s="22"/>
      <c r="AH301" s="45"/>
      <c r="AI301" s="24"/>
      <c r="AJ301" s="196"/>
      <c r="AK301" s="22"/>
      <c r="AL301" s="22"/>
      <c r="AM301" s="22"/>
      <c r="AN301" s="22"/>
      <c r="AO301" s="22"/>
      <c r="AP301" s="22"/>
      <c r="AQ301" s="22"/>
      <c r="AR301" s="22"/>
      <c r="AS301" s="22"/>
      <c r="AT301" s="257"/>
      <c r="AU301" s="257"/>
      <c r="AV301" s="257"/>
      <c r="AW301" s="257"/>
      <c r="AX301" s="257"/>
      <c r="AY301" s="257"/>
      <c r="AZ301" s="257"/>
      <c r="BA301" s="257"/>
      <c r="BB301" s="257"/>
      <c r="BC301" s="257"/>
      <c r="BD301" s="257"/>
      <c r="BE301" s="143" t="s">
        <v>115</v>
      </c>
      <c r="BF301" s="143" t="s">
        <v>1025</v>
      </c>
      <c r="BG301" s="167" t="s">
        <v>1026</v>
      </c>
      <c r="BH301" s="153"/>
      <c r="BI301" s="154"/>
      <c r="BJ301" s="154"/>
      <c r="BK301" s="46">
        <f t="shared" si="1"/>
        <v>1</v>
      </c>
      <c r="BL301" s="46"/>
      <c r="BM301" s="46"/>
      <c r="BN301" s="46"/>
    </row>
    <row r="302" spans="1:66" ht="12.75" hidden="1" customHeight="1">
      <c r="A302" s="22">
        <v>300</v>
      </c>
      <c r="B302" s="22" t="s">
        <v>1243</v>
      </c>
      <c r="C302" s="22" t="e">
        <f t="shared" ca="1" si="0"/>
        <v>#NAME?</v>
      </c>
      <c r="D302" s="206" t="s">
        <v>1028</v>
      </c>
      <c r="E302" s="22" t="s">
        <v>180</v>
      </c>
      <c r="F302" s="24" t="s">
        <v>1134</v>
      </c>
      <c r="G302" s="24"/>
      <c r="H302" s="24"/>
      <c r="I302" s="24">
        <v>1</v>
      </c>
      <c r="J302" s="24" t="s">
        <v>1135</v>
      </c>
      <c r="K302" s="24"/>
      <c r="L302" s="24"/>
      <c r="M302" s="24"/>
      <c r="N302" s="24"/>
      <c r="O302" s="24"/>
      <c r="P302" s="170"/>
      <c r="Q302" s="170"/>
      <c r="R302" s="247"/>
      <c r="S302" s="194"/>
      <c r="T302" s="194"/>
      <c r="U302" s="194"/>
      <c r="V302" s="194"/>
      <c r="W302" s="194" t="s">
        <v>1028</v>
      </c>
      <c r="X302" s="196"/>
      <c r="Y302" s="24"/>
      <c r="Z302" s="194"/>
      <c r="AA302" s="134"/>
      <c r="AB302" s="194"/>
      <c r="AC302" s="251"/>
      <c r="AD302" s="163"/>
      <c r="AE302" s="24"/>
      <c r="AF302" s="24"/>
      <c r="AG302" s="22"/>
      <c r="AH302" s="45"/>
      <c r="AI302" s="24"/>
      <c r="AJ302" s="196"/>
      <c r="AK302" s="22"/>
      <c r="AL302" s="22"/>
      <c r="AM302" s="22"/>
      <c r="AN302" s="22"/>
      <c r="AO302" s="22"/>
      <c r="AP302" s="22"/>
      <c r="AQ302" s="22"/>
      <c r="AR302" s="22"/>
      <c r="AS302" s="22"/>
      <c r="AT302" s="257"/>
      <c r="AU302" s="257"/>
      <c r="AV302" s="257"/>
      <c r="AW302" s="257"/>
      <c r="AX302" s="257"/>
      <c r="AY302" s="257"/>
      <c r="AZ302" s="257"/>
      <c r="BA302" s="257"/>
      <c r="BB302" s="257"/>
      <c r="BC302" s="257"/>
      <c r="BD302" s="257"/>
      <c r="BE302" s="143" t="s">
        <v>115</v>
      </c>
      <c r="BF302" s="143" t="s">
        <v>1029</v>
      </c>
      <c r="BG302" s="167" t="s">
        <v>1030</v>
      </c>
      <c r="BH302" s="153"/>
      <c r="BI302" s="154"/>
      <c r="BJ302" s="154"/>
      <c r="BK302" s="46">
        <f t="shared" si="1"/>
        <v>1</v>
      </c>
      <c r="BL302" s="46"/>
      <c r="BM302" s="46"/>
      <c r="BN302" s="46"/>
    </row>
    <row r="303" spans="1:66" ht="12.75" hidden="1" customHeight="1">
      <c r="A303" s="22">
        <v>301</v>
      </c>
      <c r="B303" s="22" t="s">
        <v>1244</v>
      </c>
      <c r="C303" s="22" t="e">
        <f t="shared" ca="1" si="0"/>
        <v>#NAME?</v>
      </c>
      <c r="D303" s="206" t="s">
        <v>1031</v>
      </c>
      <c r="E303" s="22" t="s">
        <v>180</v>
      </c>
      <c r="F303" s="24" t="s">
        <v>1134</v>
      </c>
      <c r="G303" s="24"/>
      <c r="H303" s="24"/>
      <c r="I303" s="24">
        <v>1</v>
      </c>
      <c r="J303" s="24" t="s">
        <v>1135</v>
      </c>
      <c r="K303" s="24"/>
      <c r="L303" s="24"/>
      <c r="M303" s="24"/>
      <c r="N303" s="24"/>
      <c r="O303" s="24"/>
      <c r="P303" s="170"/>
      <c r="Q303" s="170"/>
      <c r="R303" s="247"/>
      <c r="S303" s="194"/>
      <c r="T303" s="194"/>
      <c r="U303" s="194"/>
      <c r="V303" s="194"/>
      <c r="W303" s="194" t="s">
        <v>1031</v>
      </c>
      <c r="X303" s="196"/>
      <c r="Y303" s="24"/>
      <c r="Z303" s="194"/>
      <c r="AA303" s="134"/>
      <c r="AB303" s="194"/>
      <c r="AC303" s="251"/>
      <c r="AD303" s="163"/>
      <c r="AE303" s="24"/>
      <c r="AF303" s="24"/>
      <c r="AG303" s="22"/>
      <c r="AH303" s="45"/>
      <c r="AI303" s="24"/>
      <c r="AJ303" s="196"/>
      <c r="AK303" s="22"/>
      <c r="AL303" s="22"/>
      <c r="AM303" s="22"/>
      <c r="AN303" s="22"/>
      <c r="AO303" s="22"/>
      <c r="AP303" s="22"/>
      <c r="AQ303" s="22"/>
      <c r="AR303" s="22"/>
      <c r="AS303" s="22"/>
      <c r="AT303" s="22"/>
      <c r="AU303" s="24"/>
      <c r="AV303" s="148">
        <v>398731002</v>
      </c>
      <c r="AW303" s="22"/>
      <c r="AX303" s="22"/>
      <c r="AY303" s="22"/>
      <c r="AZ303" s="22"/>
      <c r="BA303" s="22"/>
      <c r="BB303" s="22"/>
      <c r="BC303" s="22"/>
      <c r="BD303" s="22"/>
      <c r="BE303" s="143" t="s">
        <v>115</v>
      </c>
      <c r="BF303" s="143" t="s">
        <v>1032</v>
      </c>
      <c r="BG303" s="167" t="s">
        <v>1033</v>
      </c>
      <c r="BH303" s="47"/>
      <c r="BI303" s="150">
        <v>398731002</v>
      </c>
      <c r="BJ303" s="47"/>
      <c r="BK303" s="46">
        <f t="shared" si="1"/>
        <v>1</v>
      </c>
      <c r="BL303" s="46"/>
      <c r="BM303" s="46"/>
      <c r="BN303" s="46"/>
    </row>
    <row r="304" spans="1:66" ht="12.75" hidden="1" customHeight="1">
      <c r="A304" s="22">
        <v>302</v>
      </c>
      <c r="B304" s="22" t="s">
        <v>1248</v>
      </c>
      <c r="C304" s="22" t="e">
        <f t="shared" ca="1" si="0"/>
        <v>#NAME?</v>
      </c>
      <c r="D304" s="206" t="s">
        <v>1034</v>
      </c>
      <c r="E304" s="22" t="s">
        <v>180</v>
      </c>
      <c r="F304" s="24" t="s">
        <v>1134</v>
      </c>
      <c r="G304" s="24"/>
      <c r="H304" s="24"/>
      <c r="I304" s="24">
        <v>1</v>
      </c>
      <c r="J304" s="24" t="s">
        <v>1135</v>
      </c>
      <c r="K304" s="24"/>
      <c r="L304" s="24"/>
      <c r="M304" s="24"/>
      <c r="N304" s="24"/>
      <c r="O304" s="24"/>
      <c r="P304" s="170"/>
      <c r="Q304" s="170"/>
      <c r="R304" s="247"/>
      <c r="S304" s="194"/>
      <c r="T304" s="194"/>
      <c r="U304" s="194"/>
      <c r="V304" s="194"/>
      <c r="W304" s="194" t="s">
        <v>1034</v>
      </c>
      <c r="X304" s="196"/>
      <c r="Y304" s="24"/>
      <c r="Z304" s="194"/>
      <c r="AA304" s="134"/>
      <c r="AB304" s="194"/>
      <c r="AC304" s="251"/>
      <c r="AD304" s="163"/>
      <c r="AE304" s="24"/>
      <c r="AF304" s="24"/>
      <c r="AG304" s="22"/>
      <c r="AH304" s="45"/>
      <c r="AI304" s="24"/>
      <c r="AJ304" s="196"/>
      <c r="AK304" s="22"/>
      <c r="AL304" s="22"/>
      <c r="AM304" s="22"/>
      <c r="AN304" s="22"/>
      <c r="AO304" s="22"/>
      <c r="AP304" s="22"/>
      <c r="AQ304" s="22"/>
      <c r="AR304" s="22"/>
      <c r="AS304" s="22"/>
      <c r="AT304" s="22"/>
      <c r="AU304" s="24"/>
      <c r="AV304" s="148">
        <v>255631004</v>
      </c>
      <c r="AW304" s="22"/>
      <c r="AX304" s="22"/>
      <c r="AY304" s="22"/>
      <c r="AZ304" s="22"/>
      <c r="BA304" s="22"/>
      <c r="BB304" s="22"/>
      <c r="BC304" s="22"/>
      <c r="BD304" s="22"/>
      <c r="BE304" s="143" t="s">
        <v>115</v>
      </c>
      <c r="BF304" s="143" t="s">
        <v>1035</v>
      </c>
      <c r="BG304" s="167" t="s">
        <v>1036</v>
      </c>
      <c r="BH304" s="64"/>
      <c r="BI304" s="150">
        <v>255631004</v>
      </c>
      <c r="BJ304" s="64"/>
      <c r="BK304" s="46">
        <f t="shared" si="1"/>
        <v>1</v>
      </c>
      <c r="BL304" s="46"/>
      <c r="BM304" s="46"/>
      <c r="BN304" s="46"/>
    </row>
    <row r="305" spans="1:66" ht="12.75" hidden="1" customHeight="1">
      <c r="A305" s="22">
        <v>303</v>
      </c>
      <c r="B305" s="22" t="s">
        <v>1249</v>
      </c>
      <c r="C305" s="22" t="e">
        <f t="shared" ca="1" si="0"/>
        <v>#NAME?</v>
      </c>
      <c r="D305" s="206" t="s">
        <v>1037</v>
      </c>
      <c r="E305" s="22" t="s">
        <v>180</v>
      </c>
      <c r="F305" s="24" t="s">
        <v>1134</v>
      </c>
      <c r="G305" s="24"/>
      <c r="H305" s="24"/>
      <c r="I305" s="24">
        <v>1</v>
      </c>
      <c r="J305" s="24" t="s">
        <v>1135</v>
      </c>
      <c r="K305" s="24"/>
      <c r="L305" s="24"/>
      <c r="M305" s="24"/>
      <c r="N305" s="24"/>
      <c r="O305" s="24"/>
      <c r="P305" s="170"/>
      <c r="Q305" s="170"/>
      <c r="R305" s="247"/>
      <c r="S305" s="194"/>
      <c r="T305" s="194"/>
      <c r="U305" s="194"/>
      <c r="V305" s="194"/>
      <c r="W305" s="194" t="s">
        <v>1037</v>
      </c>
      <c r="X305" s="196"/>
      <c r="Y305" s="24"/>
      <c r="Z305" s="194"/>
      <c r="AA305" s="134"/>
      <c r="AB305" s="194"/>
      <c r="AC305" s="251"/>
      <c r="AD305" s="163"/>
      <c r="AE305" s="24"/>
      <c r="AF305" s="24"/>
      <c r="AG305" s="22"/>
      <c r="AH305" s="45"/>
      <c r="AI305" s="24"/>
      <c r="AJ305" s="196"/>
      <c r="AK305" s="22"/>
      <c r="AL305" s="22"/>
      <c r="AM305" s="22"/>
      <c r="AN305" s="22"/>
      <c r="AO305" s="22"/>
      <c r="AP305" s="22"/>
      <c r="AQ305" s="22"/>
      <c r="AR305" s="22"/>
      <c r="AS305" s="22"/>
      <c r="AT305" s="257"/>
      <c r="AU305" s="257"/>
      <c r="AV305" s="257"/>
      <c r="AW305" s="257"/>
      <c r="AX305" s="257"/>
      <c r="AY305" s="257"/>
      <c r="AZ305" s="257"/>
      <c r="BA305" s="257"/>
      <c r="BB305" s="257"/>
      <c r="BC305" s="257"/>
      <c r="BD305" s="257"/>
      <c r="BE305" s="143" t="s">
        <v>115</v>
      </c>
      <c r="BF305" s="143" t="s">
        <v>1038</v>
      </c>
      <c r="BG305" s="167" t="s">
        <v>1039</v>
      </c>
      <c r="BH305" s="153"/>
      <c r="BI305" s="154"/>
      <c r="BJ305" s="154"/>
      <c r="BK305" s="46">
        <f t="shared" si="1"/>
        <v>1</v>
      </c>
      <c r="BL305" s="46"/>
      <c r="BM305" s="46"/>
      <c r="BN305" s="46"/>
    </row>
    <row r="306" spans="1:66" ht="12.75" hidden="1" customHeight="1">
      <c r="A306" s="22">
        <v>304</v>
      </c>
      <c r="B306" s="22" t="s">
        <v>1252</v>
      </c>
      <c r="C306" s="22" t="e">
        <f t="shared" ca="1" si="0"/>
        <v>#NAME?</v>
      </c>
      <c r="D306" s="206" t="s">
        <v>1040</v>
      </c>
      <c r="E306" s="22" t="s">
        <v>180</v>
      </c>
      <c r="F306" s="24" t="s">
        <v>1134</v>
      </c>
      <c r="G306" s="24"/>
      <c r="H306" s="24"/>
      <c r="I306" s="24">
        <v>1</v>
      </c>
      <c r="J306" s="24" t="s">
        <v>1135</v>
      </c>
      <c r="K306" s="24"/>
      <c r="L306" s="24"/>
      <c r="M306" s="24"/>
      <c r="N306" s="24"/>
      <c r="O306" s="24"/>
      <c r="P306" s="170"/>
      <c r="Q306" s="170"/>
      <c r="R306" s="247"/>
      <c r="S306" s="194"/>
      <c r="T306" s="194"/>
      <c r="U306" s="194"/>
      <c r="V306" s="194"/>
      <c r="W306" s="194" t="s">
        <v>1040</v>
      </c>
      <c r="X306" s="196"/>
      <c r="Y306" s="24"/>
      <c r="Z306" s="194"/>
      <c r="AA306" s="133"/>
      <c r="AB306" s="194"/>
      <c r="AC306" s="251"/>
      <c r="AD306" s="163"/>
      <c r="AE306" s="24"/>
      <c r="AF306" s="24"/>
      <c r="AG306" s="22"/>
      <c r="AH306" s="45"/>
      <c r="AI306" s="24"/>
      <c r="AJ306" s="196"/>
      <c r="AK306" s="22"/>
      <c r="AL306" s="22"/>
      <c r="AM306" s="22"/>
      <c r="AN306" s="22"/>
      <c r="AO306" s="22"/>
      <c r="AP306" s="22"/>
      <c r="AQ306" s="22"/>
      <c r="AR306" s="22"/>
      <c r="AS306" s="22"/>
      <c r="AT306" s="257"/>
      <c r="AU306" s="257"/>
      <c r="AV306" s="257"/>
      <c r="AW306" s="257"/>
      <c r="AX306" s="257"/>
      <c r="AY306" s="257"/>
      <c r="AZ306" s="257"/>
      <c r="BA306" s="257"/>
      <c r="BB306" s="257"/>
      <c r="BC306" s="257"/>
      <c r="BD306" s="257"/>
      <c r="BE306" s="143" t="s">
        <v>115</v>
      </c>
      <c r="BF306" s="143" t="s">
        <v>1041</v>
      </c>
      <c r="BG306" s="167" t="s">
        <v>1042</v>
      </c>
      <c r="BH306" s="153"/>
      <c r="BI306" s="154"/>
      <c r="BJ306" s="154"/>
      <c r="BK306" s="46">
        <f t="shared" si="1"/>
        <v>1</v>
      </c>
      <c r="BL306" s="46"/>
      <c r="BM306" s="46"/>
      <c r="BN306" s="46"/>
    </row>
    <row r="307" spans="1:66" ht="12.75" hidden="1" customHeight="1">
      <c r="A307" s="22">
        <v>305</v>
      </c>
      <c r="B307" s="22" t="s">
        <v>1257</v>
      </c>
      <c r="C307" s="22" t="e">
        <f t="shared" ca="1" si="0"/>
        <v>#NAME?</v>
      </c>
      <c r="D307" s="206" t="s">
        <v>1043</v>
      </c>
      <c r="E307" s="22" t="s">
        <v>180</v>
      </c>
      <c r="F307" s="24" t="s">
        <v>1134</v>
      </c>
      <c r="G307" s="24"/>
      <c r="H307" s="24"/>
      <c r="I307" s="24">
        <v>1</v>
      </c>
      <c r="J307" s="24" t="s">
        <v>1135</v>
      </c>
      <c r="K307" s="24"/>
      <c r="L307" s="24"/>
      <c r="M307" s="24"/>
      <c r="N307" s="24"/>
      <c r="O307" s="24"/>
      <c r="P307" s="136"/>
      <c r="Q307" s="136"/>
      <c r="R307" s="247"/>
      <c r="S307" s="194"/>
      <c r="T307" s="194"/>
      <c r="U307" s="194"/>
      <c r="V307" s="194"/>
      <c r="W307" s="194" t="s">
        <v>1043</v>
      </c>
      <c r="X307" s="196"/>
      <c r="Y307" s="24"/>
      <c r="Z307" s="194"/>
      <c r="AA307" s="133"/>
      <c r="AB307" s="194"/>
      <c r="AC307" s="179"/>
      <c r="AD307" s="136"/>
      <c r="AE307" s="24"/>
      <c r="AF307" s="24"/>
      <c r="AG307" s="22"/>
      <c r="AH307" s="45"/>
      <c r="AI307" s="24"/>
      <c r="AJ307" s="196"/>
      <c r="AK307" s="22"/>
      <c r="AL307" s="22"/>
      <c r="AM307" s="22"/>
      <c r="AN307" s="22"/>
      <c r="AO307" s="22"/>
      <c r="AP307" s="22"/>
      <c r="AQ307" s="22"/>
      <c r="AR307" s="22"/>
      <c r="AS307" s="22"/>
      <c r="AT307" s="22"/>
      <c r="AU307" s="22"/>
      <c r="AV307" s="148">
        <v>10632007</v>
      </c>
      <c r="AW307" s="22"/>
      <c r="AX307" s="22"/>
      <c r="AY307" s="22"/>
      <c r="AZ307" s="22"/>
      <c r="BA307" s="22"/>
      <c r="BB307" s="22"/>
      <c r="BC307" s="22"/>
      <c r="BD307" s="22"/>
      <c r="BE307" s="143" t="s">
        <v>115</v>
      </c>
      <c r="BF307" s="143" t="s">
        <v>1044</v>
      </c>
      <c r="BG307" s="167" t="s">
        <v>1045</v>
      </c>
      <c r="BH307" s="64"/>
      <c r="BI307" s="150">
        <v>10632007</v>
      </c>
      <c r="BJ307" s="64"/>
      <c r="BK307" s="46">
        <f t="shared" si="1"/>
        <v>1</v>
      </c>
      <c r="BL307" s="46"/>
      <c r="BM307" s="46"/>
      <c r="BN307" s="46"/>
    </row>
    <row r="308" spans="1:66" ht="12.75" hidden="1" customHeight="1">
      <c r="A308" s="22">
        <v>306</v>
      </c>
      <c r="B308" s="22" t="s">
        <v>1263</v>
      </c>
      <c r="C308" s="22" t="e">
        <f t="shared" ca="1" si="0"/>
        <v>#NAME?</v>
      </c>
      <c r="D308" s="206" t="s">
        <v>1046</v>
      </c>
      <c r="E308" s="22" t="s">
        <v>180</v>
      </c>
      <c r="F308" s="24" t="s">
        <v>1134</v>
      </c>
      <c r="G308" s="24"/>
      <c r="H308" s="24"/>
      <c r="I308" s="24">
        <v>1</v>
      </c>
      <c r="J308" s="24" t="s">
        <v>1135</v>
      </c>
      <c r="K308" s="24"/>
      <c r="L308" s="24"/>
      <c r="M308" s="24"/>
      <c r="N308" s="24"/>
      <c r="O308" s="24"/>
      <c r="P308" s="136"/>
      <c r="Q308" s="136"/>
      <c r="R308" s="247"/>
      <c r="S308" s="194"/>
      <c r="T308" s="194"/>
      <c r="U308" s="194"/>
      <c r="V308" s="194"/>
      <c r="W308" s="194" t="s">
        <v>1046</v>
      </c>
      <c r="X308" s="196"/>
      <c r="Y308" s="24"/>
      <c r="Z308" s="194"/>
      <c r="AA308" s="133"/>
      <c r="AB308" s="194"/>
      <c r="AC308" s="179"/>
      <c r="AD308" s="136"/>
      <c r="AE308" s="24"/>
      <c r="AF308" s="24"/>
      <c r="AG308" s="22"/>
      <c r="AH308" s="45"/>
      <c r="AI308" s="24"/>
      <c r="AJ308" s="196"/>
      <c r="AK308" s="22"/>
      <c r="AL308" s="22"/>
      <c r="AM308" s="22"/>
      <c r="AN308" s="22"/>
      <c r="AO308" s="22"/>
      <c r="AP308" s="22"/>
      <c r="AQ308" s="22"/>
      <c r="AR308" s="22"/>
      <c r="AS308" s="22"/>
      <c r="AT308" s="257"/>
      <c r="AU308" s="257"/>
      <c r="AV308" s="257"/>
      <c r="AW308" s="257"/>
      <c r="AX308" s="257"/>
      <c r="AY308" s="257"/>
      <c r="AZ308" s="257"/>
      <c r="BA308" s="257"/>
      <c r="BB308" s="257"/>
      <c r="BC308" s="257"/>
      <c r="BD308" s="257"/>
      <c r="BE308" s="143" t="s">
        <v>115</v>
      </c>
      <c r="BF308" s="143" t="s">
        <v>1047</v>
      </c>
      <c r="BG308" s="167" t="s">
        <v>1048</v>
      </c>
      <c r="BH308" s="153"/>
      <c r="BI308" s="154"/>
      <c r="BJ308" s="154"/>
      <c r="BK308" s="46">
        <f t="shared" si="1"/>
        <v>1</v>
      </c>
      <c r="BL308" s="46"/>
      <c r="BM308" s="46"/>
      <c r="BN308" s="46"/>
    </row>
    <row r="309" spans="1:66" ht="12.75" hidden="1" customHeight="1">
      <c r="A309" s="22">
        <v>307</v>
      </c>
      <c r="B309" s="22" t="s">
        <v>535</v>
      </c>
      <c r="C309" s="22" t="e">
        <f t="shared" ca="1" si="0"/>
        <v>#NAME?</v>
      </c>
      <c r="D309" s="206" t="s">
        <v>405</v>
      </c>
      <c r="E309" s="22" t="s">
        <v>180</v>
      </c>
      <c r="F309" s="24" t="s">
        <v>1134</v>
      </c>
      <c r="G309" s="24"/>
      <c r="H309" s="24"/>
      <c r="I309" s="24">
        <v>1</v>
      </c>
      <c r="J309" s="24" t="s">
        <v>1135</v>
      </c>
      <c r="K309" s="24"/>
      <c r="L309" s="24"/>
      <c r="M309" s="24"/>
      <c r="N309" s="24"/>
      <c r="O309" s="24"/>
      <c r="P309" s="136"/>
      <c r="Q309" s="136"/>
      <c r="R309" s="247"/>
      <c r="S309" s="194"/>
      <c r="T309" s="194"/>
      <c r="U309" s="194"/>
      <c r="V309" s="194"/>
      <c r="W309" s="194" t="s">
        <v>405</v>
      </c>
      <c r="X309" s="196"/>
      <c r="Y309" s="24"/>
      <c r="Z309" s="194"/>
      <c r="AA309" s="133"/>
      <c r="AB309" s="194"/>
      <c r="AC309" s="179"/>
      <c r="AD309" s="136"/>
      <c r="AE309" s="24"/>
      <c r="AF309" s="24"/>
      <c r="AG309" s="22"/>
      <c r="AH309" s="45"/>
      <c r="AI309" s="24"/>
      <c r="AJ309" s="196"/>
      <c r="AK309" s="22"/>
      <c r="AL309" s="22"/>
      <c r="AM309" s="22"/>
      <c r="AN309" s="22"/>
      <c r="AO309" s="22"/>
      <c r="AP309" s="22"/>
      <c r="AQ309" s="22"/>
      <c r="AR309" s="22"/>
      <c r="AS309" s="22"/>
      <c r="AT309" s="22"/>
      <c r="AU309" s="22"/>
      <c r="AV309" s="108" t="s">
        <v>745</v>
      </c>
      <c r="AW309" s="22"/>
      <c r="AX309" s="22"/>
      <c r="AY309" s="22"/>
      <c r="AZ309" s="22"/>
      <c r="BA309" s="22"/>
      <c r="BB309" s="22"/>
      <c r="BC309" s="22"/>
      <c r="BD309" s="22"/>
      <c r="BE309" s="143" t="s">
        <v>115</v>
      </c>
      <c r="BF309" s="143" t="s">
        <v>406</v>
      </c>
      <c r="BG309" s="167" t="s">
        <v>407</v>
      </c>
      <c r="BH309" s="47"/>
      <c r="BI309" s="171" t="s">
        <v>745</v>
      </c>
      <c r="BJ309" s="47"/>
      <c r="BK309" s="46">
        <f t="shared" si="1"/>
        <v>1</v>
      </c>
      <c r="BL309" s="46"/>
      <c r="BM309" s="46"/>
      <c r="BN309" s="46"/>
    </row>
    <row r="310" spans="1:66" ht="12.75" hidden="1" customHeight="1">
      <c r="A310" s="22">
        <v>308</v>
      </c>
      <c r="B310" s="22" t="s">
        <v>1158</v>
      </c>
      <c r="C310" s="22" t="str">
        <f t="shared" si="0"/>
        <v>Specify - Medications she is taking</v>
      </c>
      <c r="D310" s="206" t="s">
        <v>1158</v>
      </c>
      <c r="E310" s="22" t="s">
        <v>96</v>
      </c>
      <c r="F310" s="24"/>
      <c r="G310" s="24"/>
      <c r="H310" s="24"/>
      <c r="I310" s="24">
        <v>1</v>
      </c>
      <c r="J310" s="24" t="s">
        <v>1135</v>
      </c>
      <c r="K310" s="24"/>
      <c r="L310" s="24"/>
      <c r="M310" s="24"/>
      <c r="N310" s="24"/>
      <c r="O310" s="24"/>
      <c r="P310" s="136"/>
      <c r="Q310" s="136"/>
      <c r="R310" s="247" t="s">
        <v>409</v>
      </c>
      <c r="S310" s="194" t="s">
        <v>1149</v>
      </c>
      <c r="T310" s="194" t="s">
        <v>1050</v>
      </c>
      <c r="U310" s="194" t="s">
        <v>111</v>
      </c>
      <c r="V310" s="194"/>
      <c r="W310" s="194"/>
      <c r="X310" s="196"/>
      <c r="Y310" s="24"/>
      <c r="Z310" s="194"/>
      <c r="AA310" s="133"/>
      <c r="AB310" s="194" t="s">
        <v>208</v>
      </c>
      <c r="AC310" s="267" t="s">
        <v>1151</v>
      </c>
      <c r="AD310" s="136"/>
      <c r="AE310" s="24"/>
      <c r="AF310" s="24"/>
      <c r="AG310" s="22"/>
      <c r="AH310" s="45"/>
      <c r="AI310" s="24"/>
      <c r="AJ310" s="196" t="s">
        <v>115</v>
      </c>
      <c r="AK310" s="22"/>
      <c r="AL310" s="22"/>
      <c r="AM310" s="22"/>
      <c r="AN310" s="22"/>
      <c r="AO310" s="22"/>
      <c r="AP310" s="22"/>
      <c r="AQ310" s="22"/>
      <c r="AR310" s="22"/>
      <c r="AS310" s="22"/>
      <c r="AT310" s="22"/>
      <c r="AU310" s="22"/>
      <c r="AV310" s="24"/>
      <c r="AW310" s="108" t="s">
        <v>1051</v>
      </c>
      <c r="AX310" s="108"/>
      <c r="AY310" s="108"/>
      <c r="AZ310" s="108"/>
      <c r="BA310" s="108"/>
      <c r="BB310" s="108"/>
      <c r="BC310" s="108"/>
      <c r="BD310" s="108"/>
      <c r="BE310" s="143" t="s">
        <v>1052</v>
      </c>
      <c r="BF310" s="268" t="s">
        <v>415</v>
      </c>
      <c r="BG310" s="167" t="s">
        <v>416</v>
      </c>
      <c r="BH310" s="64"/>
      <c r="BI310" s="64"/>
      <c r="BJ310" s="209" t="s">
        <v>1051</v>
      </c>
      <c r="BK310" s="46">
        <f t="shared" si="1"/>
        <v>1</v>
      </c>
      <c r="BL310" s="46"/>
      <c r="BM310" s="46"/>
      <c r="BN310" s="46"/>
    </row>
    <row r="311" spans="1:66" ht="12.75" hidden="1" customHeight="1">
      <c r="A311" s="22">
        <v>309</v>
      </c>
      <c r="B311" s="22" t="s">
        <v>1153</v>
      </c>
      <c r="C311" s="22" t="str">
        <f t="shared" si="0"/>
        <v>Is she taking her calcium supplements?</v>
      </c>
      <c r="D311" s="206" t="s">
        <v>1153</v>
      </c>
      <c r="E311" s="22" t="s">
        <v>96</v>
      </c>
      <c r="F311" s="24"/>
      <c r="G311" s="24"/>
      <c r="H311" s="24"/>
      <c r="I311" s="24">
        <v>1</v>
      </c>
      <c r="J311" s="24" t="s">
        <v>1135</v>
      </c>
      <c r="K311" s="24"/>
      <c r="L311" s="24"/>
      <c r="M311" s="24"/>
      <c r="N311" s="24"/>
      <c r="O311" s="24"/>
      <c r="P311" s="136"/>
      <c r="Q311" s="136"/>
      <c r="R311" s="247" t="s">
        <v>1153</v>
      </c>
      <c r="S311" s="194" t="s">
        <v>1154</v>
      </c>
      <c r="T311" s="194" t="s">
        <v>1155</v>
      </c>
      <c r="U311" s="194" t="s">
        <v>202</v>
      </c>
      <c r="V311" s="194"/>
      <c r="W311" s="194"/>
      <c r="X311" s="196"/>
      <c r="Y311" s="24"/>
      <c r="Z311" s="194"/>
      <c r="AA311" s="133"/>
      <c r="AB311" s="194" t="s">
        <v>208</v>
      </c>
      <c r="AC311" s="269" t="s">
        <v>1156</v>
      </c>
      <c r="AD311" s="136"/>
      <c r="AE311" s="24"/>
      <c r="AF311" s="24"/>
      <c r="AG311" s="22"/>
      <c r="AH311" s="45"/>
      <c r="AI311" s="24"/>
      <c r="AJ311" s="196" t="s">
        <v>115</v>
      </c>
      <c r="AK311" s="22"/>
      <c r="AL311" s="22"/>
      <c r="AM311" s="22"/>
      <c r="AN311" s="22"/>
      <c r="AO311" s="22"/>
      <c r="AP311" s="22"/>
      <c r="AQ311" s="22"/>
      <c r="AR311" s="22"/>
      <c r="AS311" s="22"/>
      <c r="AT311" s="257"/>
      <c r="AU311" s="257"/>
      <c r="AV311" s="257"/>
      <c r="AW311" s="257"/>
      <c r="AX311" s="257"/>
      <c r="AY311" s="257"/>
      <c r="AZ311" s="257"/>
      <c r="BA311" s="257"/>
      <c r="BB311" s="257"/>
      <c r="BC311" s="257"/>
      <c r="BD311" s="257"/>
      <c r="BE311" s="143" t="s">
        <v>1157</v>
      </c>
      <c r="BF311" s="268" t="s">
        <v>1159</v>
      </c>
      <c r="BG311" s="167" t="s">
        <v>1160</v>
      </c>
      <c r="BH311" s="153"/>
      <c r="BI311" s="154"/>
      <c r="BJ311" s="154"/>
      <c r="BK311" s="46">
        <f t="shared" si="1"/>
        <v>1</v>
      </c>
      <c r="BL311" s="46"/>
      <c r="BM311" s="46"/>
      <c r="BN311" s="46"/>
    </row>
    <row r="312" spans="1:66" ht="12.75" hidden="1" customHeight="1">
      <c r="A312" s="22">
        <v>310</v>
      </c>
      <c r="B312" s="22" t="s">
        <v>250</v>
      </c>
      <c r="C312" s="22" t="e">
        <f t="shared" ca="1" si="0"/>
        <v>#NAME?</v>
      </c>
      <c r="D312" s="206" t="s">
        <v>113</v>
      </c>
      <c r="E312" s="22" t="s">
        <v>180</v>
      </c>
      <c r="F312" s="24" t="s">
        <v>1153</v>
      </c>
      <c r="G312" s="24"/>
      <c r="H312" s="24"/>
      <c r="I312" s="24">
        <v>1</v>
      </c>
      <c r="J312" s="24" t="s">
        <v>1135</v>
      </c>
      <c r="K312" s="24"/>
      <c r="L312" s="24"/>
      <c r="M312" s="24"/>
      <c r="N312" s="24"/>
      <c r="O312" s="24"/>
      <c r="P312" s="136"/>
      <c r="Q312" s="136"/>
      <c r="R312" s="247"/>
      <c r="S312" s="194"/>
      <c r="T312" s="194"/>
      <c r="U312" s="194"/>
      <c r="V312" s="194"/>
      <c r="W312" s="194" t="s">
        <v>113</v>
      </c>
      <c r="X312" s="196"/>
      <c r="Y312" s="24"/>
      <c r="Z312" s="194"/>
      <c r="AA312" s="133"/>
      <c r="AB312" s="194"/>
      <c r="AC312" s="251"/>
      <c r="AD312" s="133"/>
      <c r="AE312" s="24"/>
      <c r="AF312" s="24"/>
      <c r="AG312" s="22"/>
      <c r="AH312" s="45"/>
      <c r="AI312" s="24"/>
      <c r="AJ312" s="196"/>
      <c r="AK312" s="22"/>
      <c r="AL312" s="22"/>
      <c r="AM312" s="22"/>
      <c r="AN312" s="22"/>
      <c r="AO312" s="22"/>
      <c r="AP312" s="22"/>
      <c r="AQ312" s="22"/>
      <c r="AR312" s="22"/>
      <c r="AS312" s="22"/>
      <c r="AT312" s="22"/>
      <c r="AU312" s="22"/>
      <c r="AV312" s="135">
        <v>373066001</v>
      </c>
      <c r="AW312" s="22"/>
      <c r="AX312" s="22"/>
      <c r="AY312" s="22"/>
      <c r="AZ312" s="22"/>
      <c r="BA312" s="22"/>
      <c r="BB312" s="22"/>
      <c r="BC312" s="22"/>
      <c r="BD312" s="22"/>
      <c r="BE312" s="143" t="s">
        <v>115</v>
      </c>
      <c r="BF312" s="268" t="s">
        <v>206</v>
      </c>
      <c r="BG312" s="167" t="s">
        <v>207</v>
      </c>
      <c r="BH312" s="47"/>
      <c r="BI312" s="140">
        <v>373066001</v>
      </c>
      <c r="BJ312" s="47"/>
      <c r="BK312" s="46">
        <f t="shared" si="1"/>
        <v>1</v>
      </c>
      <c r="BL312" s="46"/>
      <c r="BM312" s="46"/>
      <c r="BN312" s="46"/>
    </row>
    <row r="313" spans="1:66" ht="12.75" hidden="1" customHeight="1">
      <c r="A313" s="22">
        <v>311</v>
      </c>
      <c r="B313" s="22" t="s">
        <v>255</v>
      </c>
      <c r="C313" s="22" t="e">
        <f t="shared" ca="1" si="0"/>
        <v>#NAME?</v>
      </c>
      <c r="D313" s="206" t="s">
        <v>208</v>
      </c>
      <c r="E313" s="22" t="s">
        <v>180</v>
      </c>
      <c r="F313" s="24" t="s">
        <v>1153</v>
      </c>
      <c r="G313" s="24"/>
      <c r="H313" s="24"/>
      <c r="I313" s="24">
        <v>1</v>
      </c>
      <c r="J313" s="24" t="s">
        <v>1135</v>
      </c>
      <c r="K313" s="24"/>
      <c r="L313" s="24"/>
      <c r="M313" s="24"/>
      <c r="N313" s="24"/>
      <c r="O313" s="24"/>
      <c r="P313" s="136"/>
      <c r="Q313" s="136"/>
      <c r="R313" s="247"/>
      <c r="S313" s="194"/>
      <c r="T313" s="194"/>
      <c r="U313" s="194"/>
      <c r="V313" s="194"/>
      <c r="W313" s="194" t="s">
        <v>208</v>
      </c>
      <c r="X313" s="196"/>
      <c r="Y313" s="24"/>
      <c r="Z313" s="194"/>
      <c r="AA313" s="133"/>
      <c r="AB313" s="194"/>
      <c r="AC313" s="179"/>
      <c r="AD313" s="136"/>
      <c r="AE313" s="24"/>
      <c r="AF313" s="24"/>
      <c r="AG313" s="22"/>
      <c r="AH313" s="45"/>
      <c r="AI313" s="24"/>
      <c r="AJ313" s="196"/>
      <c r="AK313" s="22"/>
      <c r="AL313" s="22"/>
      <c r="AM313" s="22"/>
      <c r="AN313" s="22"/>
      <c r="AO313" s="22"/>
      <c r="AP313" s="22"/>
      <c r="AQ313" s="22"/>
      <c r="AR313" s="22"/>
      <c r="AS313" s="22"/>
      <c r="AT313" s="22"/>
      <c r="AU313" s="22"/>
      <c r="AV313" s="135">
        <v>373067005</v>
      </c>
      <c r="AW313" s="22"/>
      <c r="AX313" s="22"/>
      <c r="AY313" s="22"/>
      <c r="AZ313" s="22"/>
      <c r="BA313" s="22"/>
      <c r="BB313" s="22"/>
      <c r="BC313" s="22"/>
      <c r="BD313" s="22"/>
      <c r="BE313" s="143" t="s">
        <v>115</v>
      </c>
      <c r="BF313" s="268" t="s">
        <v>209</v>
      </c>
      <c r="BG313" s="167" t="s">
        <v>210</v>
      </c>
      <c r="BH313" s="64"/>
      <c r="BI313" s="145">
        <v>373067005</v>
      </c>
      <c r="BJ313" s="64"/>
      <c r="BK313" s="46">
        <f t="shared" si="1"/>
        <v>1</v>
      </c>
      <c r="BL313" s="46"/>
      <c r="BM313" s="46"/>
      <c r="BN313" s="46"/>
    </row>
    <row r="314" spans="1:66" ht="12.75" hidden="1" customHeight="1">
      <c r="A314" s="22">
        <v>312</v>
      </c>
      <c r="B314" s="22" t="s">
        <v>1163</v>
      </c>
      <c r="C314" s="22" t="str">
        <f t="shared" si="0"/>
        <v>Any calcium supplement side effects?</v>
      </c>
      <c r="D314" s="206" t="s">
        <v>1163</v>
      </c>
      <c r="E314" s="22" t="s">
        <v>96</v>
      </c>
      <c r="F314" s="24"/>
      <c r="G314" s="24"/>
      <c r="H314" s="24"/>
      <c r="I314" s="24">
        <v>1</v>
      </c>
      <c r="J314" s="24" t="s">
        <v>1135</v>
      </c>
      <c r="K314" s="24"/>
      <c r="L314" s="24"/>
      <c r="M314" s="24"/>
      <c r="N314" s="24"/>
      <c r="O314" s="24"/>
      <c r="P314" s="136"/>
      <c r="Q314" s="136"/>
      <c r="R314" s="247" t="s">
        <v>1163</v>
      </c>
      <c r="S314" s="194" t="s">
        <v>1164</v>
      </c>
      <c r="T314" s="194" t="s">
        <v>1165</v>
      </c>
      <c r="U314" s="194" t="s">
        <v>202</v>
      </c>
      <c r="V314" s="194"/>
      <c r="W314" s="194"/>
      <c r="X314" s="196"/>
      <c r="Y314" s="24"/>
      <c r="Z314" s="194"/>
      <c r="AA314" s="133"/>
      <c r="AB314" s="194" t="s">
        <v>208</v>
      </c>
      <c r="AC314" s="269" t="s">
        <v>1156</v>
      </c>
      <c r="AD314" s="133"/>
      <c r="AE314" s="24"/>
      <c r="AF314" s="24"/>
      <c r="AG314" s="22"/>
      <c r="AH314" s="45"/>
      <c r="AI314" s="24"/>
      <c r="AJ314" s="196" t="s">
        <v>115</v>
      </c>
      <c r="AK314" s="22"/>
      <c r="AL314" s="22"/>
      <c r="AM314" s="22"/>
      <c r="AN314" s="22"/>
      <c r="AO314" s="22"/>
      <c r="AP314" s="22"/>
      <c r="AQ314" s="22"/>
      <c r="AR314" s="22"/>
      <c r="AS314" s="22"/>
      <c r="AT314" s="257"/>
      <c r="AU314" s="257"/>
      <c r="AV314" s="257"/>
      <c r="AW314" s="257"/>
      <c r="AX314" s="257"/>
      <c r="AY314" s="257"/>
      <c r="AZ314" s="257"/>
      <c r="BA314" s="257"/>
      <c r="BB314" s="257"/>
      <c r="BC314" s="257"/>
      <c r="BD314" s="257"/>
      <c r="BE314" s="143" t="s">
        <v>1157</v>
      </c>
      <c r="BF314" s="268" t="s">
        <v>1166</v>
      </c>
      <c r="BG314" s="167" t="s">
        <v>1167</v>
      </c>
      <c r="BH314" s="153"/>
      <c r="BI314" s="154"/>
      <c r="BJ314" s="154"/>
      <c r="BK314" s="46">
        <f t="shared" si="1"/>
        <v>1</v>
      </c>
      <c r="BL314" s="46"/>
      <c r="BM314" s="46"/>
      <c r="BN314" s="46"/>
    </row>
    <row r="315" spans="1:66" ht="12.75" hidden="1" customHeight="1">
      <c r="A315" s="22">
        <v>313</v>
      </c>
      <c r="B315" s="22" t="s">
        <v>250</v>
      </c>
      <c r="C315" s="22" t="e">
        <f t="shared" ca="1" si="0"/>
        <v>#NAME?</v>
      </c>
      <c r="D315" s="206" t="s">
        <v>113</v>
      </c>
      <c r="E315" s="22" t="s">
        <v>180</v>
      </c>
      <c r="F315" s="24" t="s">
        <v>1163</v>
      </c>
      <c r="G315" s="24"/>
      <c r="H315" s="24"/>
      <c r="I315" s="24">
        <v>1</v>
      </c>
      <c r="J315" s="24" t="s">
        <v>1135</v>
      </c>
      <c r="K315" s="24"/>
      <c r="L315" s="24"/>
      <c r="M315" s="24"/>
      <c r="N315" s="24"/>
      <c r="O315" s="24"/>
      <c r="P315" s="133"/>
      <c r="Q315" s="133"/>
      <c r="R315" s="247"/>
      <c r="S315" s="194"/>
      <c r="T315" s="194"/>
      <c r="U315" s="194"/>
      <c r="V315" s="194"/>
      <c r="W315" s="194" t="s">
        <v>113</v>
      </c>
      <c r="X315" s="196"/>
      <c r="Y315" s="24"/>
      <c r="Z315" s="194"/>
      <c r="AA315" s="133"/>
      <c r="AB315" s="194"/>
      <c r="AC315" s="179"/>
      <c r="AD315" s="133"/>
      <c r="AE315" s="24"/>
      <c r="AF315" s="24"/>
      <c r="AG315" s="22"/>
      <c r="AH315" s="45"/>
      <c r="AI315" s="24"/>
      <c r="AJ315" s="196"/>
      <c r="AK315" s="22"/>
      <c r="AL315" s="22"/>
      <c r="AM315" s="22"/>
      <c r="AN315" s="22"/>
      <c r="AO315" s="22"/>
      <c r="AP315" s="22"/>
      <c r="AQ315" s="22"/>
      <c r="AR315" s="22"/>
      <c r="AS315" s="22"/>
      <c r="AT315" s="43"/>
      <c r="AU315" s="22"/>
      <c r="AV315" s="135">
        <v>373066001</v>
      </c>
      <c r="AW315" s="22"/>
      <c r="AX315" s="22"/>
      <c r="AY315" s="22"/>
      <c r="AZ315" s="22"/>
      <c r="BA315" s="22"/>
      <c r="BB315" s="22"/>
      <c r="BC315" s="22"/>
      <c r="BD315" s="22"/>
      <c r="BE315" s="143" t="s">
        <v>115</v>
      </c>
      <c r="BF315" s="268" t="s">
        <v>206</v>
      </c>
      <c r="BG315" s="167" t="s">
        <v>207</v>
      </c>
      <c r="BH315" s="47"/>
      <c r="BI315" s="140">
        <v>373066001</v>
      </c>
      <c r="BJ315" s="47"/>
      <c r="BK315" s="46">
        <f t="shared" si="1"/>
        <v>1</v>
      </c>
      <c r="BL315" s="46"/>
      <c r="BM315" s="46"/>
      <c r="BN315" s="46"/>
    </row>
    <row r="316" spans="1:66" ht="12.75" hidden="1" customHeight="1">
      <c r="A316" s="22">
        <v>314</v>
      </c>
      <c r="B316" s="22" t="s">
        <v>255</v>
      </c>
      <c r="C316" s="22" t="e">
        <f t="shared" ca="1" si="0"/>
        <v>#NAME?</v>
      </c>
      <c r="D316" s="206" t="s">
        <v>208</v>
      </c>
      <c r="E316" s="22" t="s">
        <v>180</v>
      </c>
      <c r="F316" s="24" t="s">
        <v>1163</v>
      </c>
      <c r="G316" s="24"/>
      <c r="H316" s="24"/>
      <c r="I316" s="24">
        <v>1</v>
      </c>
      <c r="J316" s="24" t="s">
        <v>1135</v>
      </c>
      <c r="K316" s="24"/>
      <c r="L316" s="24"/>
      <c r="M316" s="24"/>
      <c r="N316" s="24"/>
      <c r="O316" s="24"/>
      <c r="P316" s="226"/>
      <c r="Q316" s="226"/>
      <c r="R316" s="247"/>
      <c r="S316" s="196"/>
      <c r="T316" s="196"/>
      <c r="U316" s="196"/>
      <c r="V316" s="194"/>
      <c r="W316" s="194" t="s">
        <v>208</v>
      </c>
      <c r="X316" s="196"/>
      <c r="Y316" s="24"/>
      <c r="Z316" s="196"/>
      <c r="AA316" s="133"/>
      <c r="AB316" s="196"/>
      <c r="AC316" s="179"/>
      <c r="AD316" s="133"/>
      <c r="AE316" s="24"/>
      <c r="AF316" s="24"/>
      <c r="AG316" s="22"/>
      <c r="AH316" s="45"/>
      <c r="AI316" s="24"/>
      <c r="AJ316" s="196"/>
      <c r="AK316" s="22"/>
      <c r="AL316" s="22"/>
      <c r="AM316" s="22"/>
      <c r="AN316" s="22"/>
      <c r="AO316" s="22"/>
      <c r="AP316" s="22"/>
      <c r="AQ316" s="22"/>
      <c r="AR316" s="22"/>
      <c r="AS316" s="22"/>
      <c r="AT316" s="271"/>
      <c r="AU316" s="22"/>
      <c r="AV316" s="135">
        <v>373067005</v>
      </c>
      <c r="AW316" s="22"/>
      <c r="AX316" s="22"/>
      <c r="AY316" s="22"/>
      <c r="AZ316" s="22"/>
      <c r="BA316" s="22"/>
      <c r="BB316" s="22"/>
      <c r="BC316" s="22"/>
      <c r="BD316" s="22"/>
      <c r="BE316" s="143" t="s">
        <v>115</v>
      </c>
      <c r="BF316" s="268" t="s">
        <v>209</v>
      </c>
      <c r="BG316" s="167" t="s">
        <v>210</v>
      </c>
      <c r="BH316" s="47"/>
      <c r="BI316" s="140">
        <v>373067005</v>
      </c>
      <c r="BJ316" s="47"/>
      <c r="BK316" s="46">
        <f t="shared" si="1"/>
        <v>1</v>
      </c>
      <c r="BL316" s="46"/>
      <c r="BM316" s="46"/>
      <c r="BN316" s="46"/>
    </row>
    <row r="317" spans="1:66" ht="12.75" hidden="1" customHeight="1">
      <c r="A317" s="22">
        <v>315</v>
      </c>
      <c r="B317" s="22" t="s">
        <v>1169</v>
      </c>
      <c r="C317" s="22" t="str">
        <f t="shared" si="0"/>
        <v>Is she taking her IFA tablets?</v>
      </c>
      <c r="D317" s="206" t="s">
        <v>1169</v>
      </c>
      <c r="E317" s="22" t="s">
        <v>96</v>
      </c>
      <c r="F317" s="24"/>
      <c r="G317" s="24"/>
      <c r="H317" s="24"/>
      <c r="I317" s="24">
        <v>1</v>
      </c>
      <c r="J317" s="24" t="s">
        <v>1135</v>
      </c>
      <c r="K317" s="24"/>
      <c r="L317" s="24"/>
      <c r="M317" s="24"/>
      <c r="N317" s="24"/>
      <c r="O317" s="24"/>
      <c r="P317" s="226"/>
      <c r="Q317" s="226"/>
      <c r="R317" s="195" t="s">
        <v>1169</v>
      </c>
      <c r="S317" s="194" t="s">
        <v>1170</v>
      </c>
      <c r="T317" s="194" t="s">
        <v>1171</v>
      </c>
      <c r="U317" s="194" t="s">
        <v>202</v>
      </c>
      <c r="V317" s="194"/>
      <c r="W317" s="194"/>
      <c r="X317" s="196"/>
      <c r="Y317" s="24"/>
      <c r="Z317" s="196"/>
      <c r="AA317" s="133"/>
      <c r="AB317" s="194" t="s">
        <v>208</v>
      </c>
      <c r="AC317" s="179"/>
      <c r="AD317" s="133"/>
      <c r="AE317" s="24"/>
      <c r="AF317" s="24"/>
      <c r="AG317" s="22"/>
      <c r="AH317" s="45"/>
      <c r="AI317" s="24"/>
      <c r="AJ317" s="196" t="s">
        <v>115</v>
      </c>
      <c r="AK317" s="22"/>
      <c r="AL317" s="22"/>
      <c r="AM317" s="22"/>
      <c r="AN317" s="22"/>
      <c r="AO317" s="22"/>
      <c r="AP317" s="22"/>
      <c r="AQ317" s="22"/>
      <c r="AR317" s="22"/>
      <c r="AS317" s="22"/>
      <c r="AT317" s="271"/>
      <c r="AU317" s="24"/>
      <c r="AV317" s="43"/>
      <c r="AW317" s="43"/>
      <c r="AX317" s="43"/>
      <c r="AY317" s="43"/>
      <c r="AZ317" s="43"/>
      <c r="BA317" s="43"/>
      <c r="BB317" s="43"/>
      <c r="BC317" s="43"/>
      <c r="BD317" s="43"/>
      <c r="BE317" s="143" t="s">
        <v>1173</v>
      </c>
      <c r="BF317" s="268" t="s">
        <v>1159</v>
      </c>
      <c r="BG317" s="167" t="s">
        <v>1160</v>
      </c>
      <c r="BH317" s="47"/>
      <c r="BI317" s="47"/>
      <c r="BJ317" s="47"/>
      <c r="BK317" s="46">
        <f t="shared" si="1"/>
        <v>1</v>
      </c>
      <c r="BL317" s="46"/>
      <c r="BM317" s="46"/>
      <c r="BN317" s="46"/>
    </row>
    <row r="318" spans="1:66" ht="12.75" hidden="1" customHeight="1">
      <c r="A318" s="22">
        <v>316</v>
      </c>
      <c r="B318" s="22" t="s">
        <v>250</v>
      </c>
      <c r="C318" s="22" t="e">
        <f t="shared" ca="1" si="0"/>
        <v>#NAME?</v>
      </c>
      <c r="D318" s="206" t="s">
        <v>113</v>
      </c>
      <c r="E318" s="22" t="s">
        <v>180</v>
      </c>
      <c r="F318" s="24" t="s">
        <v>1169</v>
      </c>
      <c r="G318" s="24"/>
      <c r="H318" s="24"/>
      <c r="I318" s="24">
        <v>1</v>
      </c>
      <c r="J318" s="24" t="s">
        <v>1135</v>
      </c>
      <c r="K318" s="24"/>
      <c r="L318" s="24"/>
      <c r="M318" s="24"/>
      <c r="N318" s="24"/>
      <c r="O318" s="24"/>
      <c r="P318" s="226"/>
      <c r="Q318" s="226"/>
      <c r="R318" s="195"/>
      <c r="S318" s="194"/>
      <c r="T318" s="194"/>
      <c r="U318" s="194"/>
      <c r="V318" s="194"/>
      <c r="W318" s="194" t="s">
        <v>113</v>
      </c>
      <c r="X318" s="196"/>
      <c r="Y318" s="24"/>
      <c r="Z318" s="196"/>
      <c r="AA318" s="133"/>
      <c r="AB318" s="194"/>
      <c r="AC318" s="179"/>
      <c r="AD318" s="133"/>
      <c r="AE318" s="24"/>
      <c r="AF318" s="24"/>
      <c r="AG318" s="22"/>
      <c r="AH318" s="45"/>
      <c r="AI318" s="24"/>
      <c r="AJ318" s="196"/>
      <c r="AK318" s="22"/>
      <c r="AL318" s="22"/>
      <c r="AM318" s="22"/>
      <c r="AN318" s="22"/>
      <c r="AO318" s="22"/>
      <c r="AP318" s="22"/>
      <c r="AQ318" s="22"/>
      <c r="AR318" s="22"/>
      <c r="AS318" s="22"/>
      <c r="AT318" s="271"/>
      <c r="AU318" s="24"/>
      <c r="AV318" s="135">
        <v>373066001</v>
      </c>
      <c r="AW318" s="22"/>
      <c r="AX318" s="22"/>
      <c r="AY318" s="22"/>
      <c r="AZ318" s="22"/>
      <c r="BA318" s="22"/>
      <c r="BB318" s="22"/>
      <c r="BC318" s="22"/>
      <c r="BD318" s="22"/>
      <c r="BE318" s="143" t="s">
        <v>115</v>
      </c>
      <c r="BF318" s="268" t="s">
        <v>206</v>
      </c>
      <c r="BG318" s="167" t="s">
        <v>207</v>
      </c>
      <c r="BH318" s="47"/>
      <c r="BI318" s="140">
        <v>373066001</v>
      </c>
      <c r="BJ318" s="47"/>
      <c r="BK318" s="46">
        <f t="shared" si="1"/>
        <v>1</v>
      </c>
      <c r="BL318" s="46"/>
      <c r="BM318" s="46"/>
      <c r="BN318" s="46"/>
    </row>
    <row r="319" spans="1:66" ht="12.75" hidden="1" customHeight="1">
      <c r="A319" s="22">
        <v>317</v>
      </c>
      <c r="B319" s="22" t="s">
        <v>255</v>
      </c>
      <c r="C319" s="22" t="e">
        <f t="shared" ca="1" si="0"/>
        <v>#NAME?</v>
      </c>
      <c r="D319" s="206" t="s">
        <v>208</v>
      </c>
      <c r="E319" s="22" t="s">
        <v>180</v>
      </c>
      <c r="F319" s="24" t="s">
        <v>1169</v>
      </c>
      <c r="G319" s="24"/>
      <c r="H319" s="24"/>
      <c r="I319" s="24">
        <v>1</v>
      </c>
      <c r="J319" s="24" t="s">
        <v>1135</v>
      </c>
      <c r="K319" s="24"/>
      <c r="L319" s="24"/>
      <c r="M319" s="24"/>
      <c r="N319" s="24"/>
      <c r="O319" s="24"/>
      <c r="P319" s="226"/>
      <c r="Q319" s="226"/>
      <c r="R319" s="247"/>
      <c r="S319" s="196"/>
      <c r="T319" s="196"/>
      <c r="U319" s="196"/>
      <c r="V319" s="194"/>
      <c r="W319" s="194" t="s">
        <v>208</v>
      </c>
      <c r="X319" s="196"/>
      <c r="Y319" s="24"/>
      <c r="Z319" s="196"/>
      <c r="AA319" s="133"/>
      <c r="AB319" s="196"/>
      <c r="AC319" s="179"/>
      <c r="AD319" s="133"/>
      <c r="AE319" s="24"/>
      <c r="AF319" s="24"/>
      <c r="AG319" s="22"/>
      <c r="AH319" s="45"/>
      <c r="AI319" s="24"/>
      <c r="AJ319" s="196"/>
      <c r="AK319" s="22"/>
      <c r="AL319" s="22"/>
      <c r="AM319" s="22"/>
      <c r="AN319" s="22"/>
      <c r="AO319" s="22"/>
      <c r="AP319" s="22"/>
      <c r="AQ319" s="22"/>
      <c r="AR319" s="22"/>
      <c r="AS319" s="22"/>
      <c r="AT319" s="271"/>
      <c r="AU319" s="24"/>
      <c r="AV319" s="135">
        <v>373067005</v>
      </c>
      <c r="AW319" s="22"/>
      <c r="AX319" s="22"/>
      <c r="AY319" s="22"/>
      <c r="AZ319" s="22"/>
      <c r="BA319" s="22"/>
      <c r="BB319" s="22"/>
      <c r="BC319" s="22"/>
      <c r="BD319" s="22"/>
      <c r="BE319" s="143" t="s">
        <v>115</v>
      </c>
      <c r="BF319" s="268" t="s">
        <v>209</v>
      </c>
      <c r="BG319" s="167" t="s">
        <v>210</v>
      </c>
      <c r="BH319" s="64"/>
      <c r="BI319" s="145">
        <v>373067005</v>
      </c>
      <c r="BJ319" s="64"/>
      <c r="BK319" s="46">
        <f t="shared" si="1"/>
        <v>1</v>
      </c>
      <c r="BL319" s="46"/>
      <c r="BM319" s="46"/>
      <c r="BN319" s="46"/>
    </row>
    <row r="320" spans="1:66" ht="12.75" hidden="1" customHeight="1">
      <c r="A320" s="22">
        <v>318</v>
      </c>
      <c r="B320" s="22" t="s">
        <v>1175</v>
      </c>
      <c r="C320" s="22" t="str">
        <f t="shared" si="0"/>
        <v>Any IFA side effects?</v>
      </c>
      <c r="D320" s="206" t="s">
        <v>1175</v>
      </c>
      <c r="E320" s="22" t="s">
        <v>96</v>
      </c>
      <c r="F320" s="24"/>
      <c r="G320" s="24"/>
      <c r="H320" s="24"/>
      <c r="I320" s="24">
        <v>1</v>
      </c>
      <c r="J320" s="24" t="s">
        <v>1135</v>
      </c>
      <c r="K320" s="24"/>
      <c r="L320" s="24"/>
      <c r="M320" s="24"/>
      <c r="N320" s="24"/>
      <c r="O320" s="24"/>
      <c r="P320" s="226"/>
      <c r="Q320" s="226"/>
      <c r="R320" s="247" t="s">
        <v>1175</v>
      </c>
      <c r="S320" s="194" t="s">
        <v>1176</v>
      </c>
      <c r="T320" s="194" t="s">
        <v>1177</v>
      </c>
      <c r="U320" s="194" t="s">
        <v>202</v>
      </c>
      <c r="V320" s="194"/>
      <c r="W320" s="194"/>
      <c r="X320" s="196"/>
      <c r="Y320" s="24"/>
      <c r="Z320" s="194"/>
      <c r="AA320" s="133"/>
      <c r="AB320" s="194" t="s">
        <v>208</v>
      </c>
      <c r="AC320" s="179"/>
      <c r="AD320" s="133"/>
      <c r="AE320" s="24"/>
      <c r="AF320" s="24"/>
      <c r="AG320" s="22"/>
      <c r="AH320" s="45"/>
      <c r="AI320" s="24"/>
      <c r="AJ320" s="196" t="s">
        <v>115</v>
      </c>
      <c r="AK320" s="22"/>
      <c r="AL320" s="22"/>
      <c r="AM320" s="22"/>
      <c r="AN320" s="22"/>
      <c r="AO320" s="22"/>
      <c r="AP320" s="22"/>
      <c r="AQ320" s="22"/>
      <c r="AR320" s="22"/>
      <c r="AS320" s="22"/>
      <c r="AT320" s="272"/>
      <c r="AU320" s="152"/>
      <c r="AV320" s="257"/>
      <c r="AW320" s="257"/>
      <c r="AX320" s="257"/>
      <c r="AY320" s="257"/>
      <c r="AZ320" s="257"/>
      <c r="BA320" s="257"/>
      <c r="BB320" s="257"/>
      <c r="BC320" s="257"/>
      <c r="BD320" s="257"/>
      <c r="BE320" s="143" t="s">
        <v>1173</v>
      </c>
      <c r="BF320" s="268" t="s">
        <v>1166</v>
      </c>
      <c r="BG320" s="167" t="s">
        <v>1167</v>
      </c>
      <c r="BH320" s="153"/>
      <c r="BI320" s="154"/>
      <c r="BJ320" s="154"/>
      <c r="BK320" s="46">
        <f t="shared" si="1"/>
        <v>1</v>
      </c>
      <c r="BL320" s="46"/>
      <c r="BM320" s="46"/>
      <c r="BN320" s="46"/>
    </row>
    <row r="321" spans="1:66" ht="12.75" hidden="1" customHeight="1">
      <c r="A321" s="22">
        <v>319</v>
      </c>
      <c r="B321" s="22" t="s">
        <v>250</v>
      </c>
      <c r="C321" s="22" t="e">
        <f t="shared" ca="1" si="0"/>
        <v>#NAME?</v>
      </c>
      <c r="D321" s="206" t="s">
        <v>113</v>
      </c>
      <c r="E321" s="22" t="s">
        <v>180</v>
      </c>
      <c r="F321" s="24" t="s">
        <v>1175</v>
      </c>
      <c r="G321" s="24"/>
      <c r="H321" s="24"/>
      <c r="I321" s="24">
        <v>1</v>
      </c>
      <c r="J321" s="24" t="s">
        <v>1135</v>
      </c>
      <c r="K321" s="24"/>
      <c r="L321" s="24"/>
      <c r="M321" s="24"/>
      <c r="N321" s="24"/>
      <c r="O321" s="24"/>
      <c r="P321" s="226"/>
      <c r="Q321" s="226"/>
      <c r="R321" s="247"/>
      <c r="S321" s="194"/>
      <c r="T321" s="194"/>
      <c r="U321" s="194"/>
      <c r="V321" s="194"/>
      <c r="W321" s="194" t="s">
        <v>113</v>
      </c>
      <c r="X321" s="196"/>
      <c r="Y321" s="24"/>
      <c r="Z321" s="194"/>
      <c r="AA321" s="133"/>
      <c r="AB321" s="194"/>
      <c r="AC321" s="179"/>
      <c r="AD321" s="133"/>
      <c r="AE321" s="24"/>
      <c r="AF321" s="24"/>
      <c r="AG321" s="22"/>
      <c r="AH321" s="45"/>
      <c r="AI321" s="24"/>
      <c r="AJ321" s="196"/>
      <c r="AK321" s="22"/>
      <c r="AL321" s="22"/>
      <c r="AM321" s="22"/>
      <c r="AN321" s="22"/>
      <c r="AO321" s="22"/>
      <c r="AP321" s="22"/>
      <c r="AQ321" s="22"/>
      <c r="AR321" s="22"/>
      <c r="AS321" s="22"/>
      <c r="AT321" s="271"/>
      <c r="AU321" s="24"/>
      <c r="AV321" s="135">
        <v>373066001</v>
      </c>
      <c r="AW321" s="22"/>
      <c r="AX321" s="22"/>
      <c r="AY321" s="22"/>
      <c r="AZ321" s="22"/>
      <c r="BA321" s="22"/>
      <c r="BB321" s="22"/>
      <c r="BC321" s="22"/>
      <c r="BD321" s="22"/>
      <c r="BE321" s="143" t="s">
        <v>115</v>
      </c>
      <c r="BF321" s="268" t="s">
        <v>206</v>
      </c>
      <c r="BG321" s="167" t="s">
        <v>207</v>
      </c>
      <c r="BH321" s="47"/>
      <c r="BI321" s="140">
        <v>373066001</v>
      </c>
      <c r="BJ321" s="47"/>
      <c r="BK321" s="46">
        <f t="shared" si="1"/>
        <v>1</v>
      </c>
      <c r="BL321" s="46"/>
      <c r="BM321" s="46"/>
      <c r="BN321" s="46"/>
    </row>
    <row r="322" spans="1:66" ht="12.75" hidden="1" customHeight="1">
      <c r="A322" s="22">
        <v>320</v>
      </c>
      <c r="B322" s="22" t="s">
        <v>255</v>
      </c>
      <c r="C322" s="22" t="e">
        <f t="shared" ca="1" si="0"/>
        <v>#NAME?</v>
      </c>
      <c r="D322" s="206" t="s">
        <v>208</v>
      </c>
      <c r="E322" s="22" t="s">
        <v>180</v>
      </c>
      <c r="F322" s="24" t="s">
        <v>1175</v>
      </c>
      <c r="G322" s="24"/>
      <c r="H322" s="24"/>
      <c r="I322" s="24">
        <v>1</v>
      </c>
      <c r="J322" s="24" t="s">
        <v>1135</v>
      </c>
      <c r="K322" s="24"/>
      <c r="L322" s="24"/>
      <c r="M322" s="24"/>
      <c r="N322" s="24"/>
      <c r="O322" s="24"/>
      <c r="P322" s="226"/>
      <c r="Q322" s="226"/>
      <c r="R322" s="247"/>
      <c r="S322" s="196"/>
      <c r="T322" s="196"/>
      <c r="U322" s="196"/>
      <c r="V322" s="194"/>
      <c r="W322" s="194" t="s">
        <v>208</v>
      </c>
      <c r="X322" s="196"/>
      <c r="Y322" s="24"/>
      <c r="Z322" s="196"/>
      <c r="AA322" s="133"/>
      <c r="AB322" s="196"/>
      <c r="AC322" s="179"/>
      <c r="AD322" s="133"/>
      <c r="AE322" s="24"/>
      <c r="AF322" s="24"/>
      <c r="AG322" s="22"/>
      <c r="AH322" s="45"/>
      <c r="AI322" s="24"/>
      <c r="AJ322" s="196"/>
      <c r="AK322" s="22"/>
      <c r="AL322" s="22"/>
      <c r="AM322" s="22"/>
      <c r="AN322" s="22"/>
      <c r="AO322" s="22"/>
      <c r="AP322" s="22"/>
      <c r="AQ322" s="22"/>
      <c r="AR322" s="22"/>
      <c r="AS322" s="22"/>
      <c r="AT322" s="271"/>
      <c r="AU322" s="24"/>
      <c r="AV322" s="135">
        <v>373067005</v>
      </c>
      <c r="AW322" s="22"/>
      <c r="AX322" s="22"/>
      <c r="AY322" s="22"/>
      <c r="AZ322" s="22"/>
      <c r="BA322" s="22"/>
      <c r="BB322" s="22"/>
      <c r="BC322" s="22"/>
      <c r="BD322" s="22"/>
      <c r="BE322" s="143" t="s">
        <v>115</v>
      </c>
      <c r="BF322" s="268" t="s">
        <v>209</v>
      </c>
      <c r="BG322" s="167" t="s">
        <v>210</v>
      </c>
      <c r="BH322" s="64"/>
      <c r="BI322" s="145">
        <v>373067005</v>
      </c>
      <c r="BJ322" s="64"/>
      <c r="BK322" s="46">
        <f t="shared" si="1"/>
        <v>1</v>
      </c>
      <c r="BL322" s="46"/>
      <c r="BM322" s="46"/>
      <c r="BN322" s="46"/>
    </row>
    <row r="323" spans="1:66" ht="12.75" hidden="1" customHeight="1">
      <c r="A323" s="22">
        <v>321</v>
      </c>
      <c r="B323" s="22" t="s">
        <v>1179</v>
      </c>
      <c r="C323" s="22" t="str">
        <f t="shared" si="0"/>
        <v>Is she taking her aspirin tablets?</v>
      </c>
      <c r="D323" s="206" t="s">
        <v>1179</v>
      </c>
      <c r="E323" s="22" t="s">
        <v>96</v>
      </c>
      <c r="F323" s="24"/>
      <c r="G323" s="24"/>
      <c r="H323" s="24"/>
      <c r="I323" s="24">
        <v>1</v>
      </c>
      <c r="J323" s="24" t="s">
        <v>1135</v>
      </c>
      <c r="K323" s="24"/>
      <c r="L323" s="24"/>
      <c r="M323" s="24"/>
      <c r="N323" s="24"/>
      <c r="O323" s="24"/>
      <c r="P323" s="226"/>
      <c r="Q323" s="226"/>
      <c r="R323" s="247" t="s">
        <v>1179</v>
      </c>
      <c r="S323" s="194" t="s">
        <v>1180</v>
      </c>
      <c r="T323" s="194" t="s">
        <v>1181</v>
      </c>
      <c r="U323" s="194" t="s">
        <v>202</v>
      </c>
      <c r="V323" s="194"/>
      <c r="W323" s="194"/>
      <c r="X323" s="196"/>
      <c r="Y323" s="24"/>
      <c r="Z323" s="194"/>
      <c r="AA323" s="226"/>
      <c r="AB323" s="194" t="s">
        <v>208</v>
      </c>
      <c r="AC323" s="273"/>
      <c r="AD323" s="229"/>
      <c r="AE323" s="24"/>
      <c r="AF323" s="24"/>
      <c r="AG323" s="22"/>
      <c r="AH323" s="45"/>
      <c r="AI323" s="24"/>
      <c r="AJ323" s="196" t="s">
        <v>115</v>
      </c>
      <c r="AK323" s="22"/>
      <c r="AL323" s="22"/>
      <c r="AM323" s="22"/>
      <c r="AN323" s="22"/>
      <c r="AO323" s="22"/>
      <c r="AP323" s="22"/>
      <c r="AQ323" s="22"/>
      <c r="AR323" s="22"/>
      <c r="AS323" s="22"/>
      <c r="AT323" s="272"/>
      <c r="AU323" s="152"/>
      <c r="AV323" s="257"/>
      <c r="AW323" s="257"/>
      <c r="AX323" s="257"/>
      <c r="AY323" s="257"/>
      <c r="AZ323" s="257"/>
      <c r="BA323" s="257"/>
      <c r="BB323" s="257"/>
      <c r="BC323" s="257"/>
      <c r="BD323" s="257"/>
      <c r="BE323" s="143" t="s">
        <v>1183</v>
      </c>
      <c r="BF323" s="268" t="s">
        <v>1159</v>
      </c>
      <c r="BG323" s="167" t="s">
        <v>1160</v>
      </c>
      <c r="BH323" s="153"/>
      <c r="BI323" s="154"/>
      <c r="BJ323" s="154"/>
      <c r="BK323" s="46">
        <f t="shared" si="1"/>
        <v>1</v>
      </c>
      <c r="BL323" s="46"/>
      <c r="BM323" s="46"/>
      <c r="BN323" s="46"/>
    </row>
    <row r="324" spans="1:66" ht="12.75" hidden="1" customHeight="1">
      <c r="A324" s="22">
        <v>322</v>
      </c>
      <c r="B324" s="22" t="s">
        <v>250</v>
      </c>
      <c r="C324" s="22" t="e">
        <f t="shared" ca="1" si="0"/>
        <v>#NAME?</v>
      </c>
      <c r="D324" s="206" t="s">
        <v>113</v>
      </c>
      <c r="E324" s="22" t="s">
        <v>180</v>
      </c>
      <c r="F324" s="24" t="s">
        <v>1179</v>
      </c>
      <c r="G324" s="24"/>
      <c r="H324" s="24"/>
      <c r="I324" s="24">
        <v>1</v>
      </c>
      <c r="J324" s="24" t="s">
        <v>1135</v>
      </c>
      <c r="K324" s="24"/>
      <c r="L324" s="24"/>
      <c r="M324" s="24"/>
      <c r="N324" s="24"/>
      <c r="O324" s="24"/>
      <c r="P324" s="226"/>
      <c r="Q324" s="226"/>
      <c r="R324" s="247"/>
      <c r="S324" s="196"/>
      <c r="T324" s="196"/>
      <c r="U324" s="196"/>
      <c r="V324" s="194"/>
      <c r="W324" s="194" t="s">
        <v>113</v>
      </c>
      <c r="X324" s="196"/>
      <c r="Y324" s="24"/>
      <c r="Z324" s="196"/>
      <c r="AA324" s="226"/>
      <c r="AB324" s="196"/>
      <c r="AC324" s="273"/>
      <c r="AD324" s="229"/>
      <c r="AE324" s="24"/>
      <c r="AF324" s="24"/>
      <c r="AG324" s="22"/>
      <c r="AH324" s="45"/>
      <c r="AI324" s="24"/>
      <c r="AJ324" s="196"/>
      <c r="AK324" s="22"/>
      <c r="AL324" s="22"/>
      <c r="AM324" s="22"/>
      <c r="AN324" s="22"/>
      <c r="AO324" s="22"/>
      <c r="AP324" s="22"/>
      <c r="AQ324" s="22"/>
      <c r="AR324" s="22"/>
      <c r="AS324" s="22"/>
      <c r="AT324" s="271"/>
      <c r="AU324" s="24"/>
      <c r="AV324" s="135">
        <v>373066001</v>
      </c>
      <c r="AW324" s="22"/>
      <c r="AX324" s="22"/>
      <c r="AY324" s="22"/>
      <c r="AZ324" s="22"/>
      <c r="BA324" s="22"/>
      <c r="BB324" s="22"/>
      <c r="BC324" s="22"/>
      <c r="BD324" s="22"/>
      <c r="BE324" s="143" t="s">
        <v>115</v>
      </c>
      <c r="BF324" s="268" t="s">
        <v>206</v>
      </c>
      <c r="BG324" s="167" t="s">
        <v>207</v>
      </c>
      <c r="BH324" s="47"/>
      <c r="BI324" s="140">
        <v>373066001</v>
      </c>
      <c r="BJ324" s="47"/>
      <c r="BK324" s="46">
        <f t="shared" si="1"/>
        <v>1</v>
      </c>
      <c r="BL324" s="46"/>
      <c r="BM324" s="46"/>
      <c r="BN324" s="46"/>
    </row>
    <row r="325" spans="1:66" ht="12.75" hidden="1" customHeight="1">
      <c r="A325" s="22">
        <v>323</v>
      </c>
      <c r="B325" s="22" t="s">
        <v>255</v>
      </c>
      <c r="C325" s="22" t="e">
        <f t="shared" ca="1" si="0"/>
        <v>#NAME?</v>
      </c>
      <c r="D325" s="206" t="s">
        <v>208</v>
      </c>
      <c r="E325" s="22" t="s">
        <v>180</v>
      </c>
      <c r="F325" s="24" t="s">
        <v>1179</v>
      </c>
      <c r="G325" s="24"/>
      <c r="H325" s="24"/>
      <c r="I325" s="24">
        <v>1</v>
      </c>
      <c r="J325" s="24" t="s">
        <v>1135</v>
      </c>
      <c r="K325" s="24"/>
      <c r="L325" s="24"/>
      <c r="M325" s="24"/>
      <c r="N325" s="24"/>
      <c r="O325" s="24"/>
      <c r="P325" s="226"/>
      <c r="Q325" s="226"/>
      <c r="R325" s="247"/>
      <c r="S325" s="196"/>
      <c r="T325" s="196"/>
      <c r="U325" s="196"/>
      <c r="V325" s="194"/>
      <c r="W325" s="194" t="s">
        <v>208</v>
      </c>
      <c r="X325" s="196"/>
      <c r="Y325" s="24"/>
      <c r="Z325" s="196"/>
      <c r="AA325" s="226"/>
      <c r="AB325" s="196"/>
      <c r="AC325" s="273"/>
      <c r="AD325" s="229"/>
      <c r="AE325" s="24"/>
      <c r="AF325" s="24"/>
      <c r="AG325" s="22"/>
      <c r="AH325" s="45"/>
      <c r="AI325" s="24"/>
      <c r="AJ325" s="196"/>
      <c r="AK325" s="22"/>
      <c r="AL325" s="22"/>
      <c r="AM325" s="22"/>
      <c r="AN325" s="22"/>
      <c r="AO325" s="22"/>
      <c r="AP325" s="22"/>
      <c r="AQ325" s="22"/>
      <c r="AR325" s="22"/>
      <c r="AS325" s="22"/>
      <c r="AT325" s="271"/>
      <c r="AU325" s="24"/>
      <c r="AV325" s="135">
        <v>373067005</v>
      </c>
      <c r="AW325" s="22"/>
      <c r="AX325" s="22"/>
      <c r="AY325" s="22"/>
      <c r="AZ325" s="22"/>
      <c r="BA325" s="22"/>
      <c r="BB325" s="22"/>
      <c r="BC325" s="22"/>
      <c r="BD325" s="22"/>
      <c r="BE325" s="143" t="s">
        <v>115</v>
      </c>
      <c r="BF325" s="268" t="s">
        <v>209</v>
      </c>
      <c r="BG325" s="167" t="s">
        <v>210</v>
      </c>
      <c r="BH325" s="64"/>
      <c r="BI325" s="145">
        <v>373067005</v>
      </c>
      <c r="BJ325" s="64"/>
      <c r="BK325" s="46">
        <f t="shared" si="1"/>
        <v>1</v>
      </c>
      <c r="BL325" s="46"/>
      <c r="BM325" s="46"/>
      <c r="BN325" s="46"/>
    </row>
    <row r="326" spans="1:66" ht="12.75" hidden="1" customHeight="1">
      <c r="A326" s="22">
        <v>324</v>
      </c>
      <c r="B326" s="22" t="s">
        <v>1184</v>
      </c>
      <c r="C326" s="22" t="str">
        <f t="shared" si="0"/>
        <v>Is she taking her Vitamin A supplements?</v>
      </c>
      <c r="D326" s="206" t="s">
        <v>1184</v>
      </c>
      <c r="E326" s="22" t="s">
        <v>96</v>
      </c>
      <c r="F326" s="24"/>
      <c r="G326" s="24"/>
      <c r="H326" s="24"/>
      <c r="I326" s="24">
        <v>1</v>
      </c>
      <c r="J326" s="24" t="s">
        <v>1135</v>
      </c>
      <c r="K326" s="24"/>
      <c r="L326" s="24"/>
      <c r="M326" s="24"/>
      <c r="N326" s="24"/>
      <c r="O326" s="24"/>
      <c r="P326" s="226"/>
      <c r="Q326" s="226"/>
      <c r="R326" s="195" t="s">
        <v>1184</v>
      </c>
      <c r="S326" s="194" t="s">
        <v>1185</v>
      </c>
      <c r="T326" s="194" t="s">
        <v>1186</v>
      </c>
      <c r="U326" s="194" t="s">
        <v>202</v>
      </c>
      <c r="V326" s="194"/>
      <c r="W326" s="194"/>
      <c r="X326" s="196"/>
      <c r="Y326" s="24"/>
      <c r="Z326" s="196"/>
      <c r="AA326" s="226"/>
      <c r="AB326" s="194" t="s">
        <v>208</v>
      </c>
      <c r="AC326" s="273"/>
      <c r="AD326" s="229"/>
      <c r="AE326" s="24"/>
      <c r="AF326" s="24"/>
      <c r="AG326" s="22"/>
      <c r="AH326" s="45"/>
      <c r="AI326" s="24"/>
      <c r="AJ326" s="196" t="s">
        <v>115</v>
      </c>
      <c r="AK326" s="22"/>
      <c r="AL326" s="22"/>
      <c r="AM326" s="22"/>
      <c r="AN326" s="22"/>
      <c r="AO326" s="22"/>
      <c r="AP326" s="22"/>
      <c r="AQ326" s="22"/>
      <c r="AR326" s="22"/>
      <c r="AS326" s="22"/>
      <c r="AT326" s="272"/>
      <c r="AU326" s="152"/>
      <c r="AV326" s="257"/>
      <c r="AW326" s="257"/>
      <c r="AX326" s="257"/>
      <c r="AY326" s="257"/>
      <c r="AZ326" s="257"/>
      <c r="BA326" s="257"/>
      <c r="BB326" s="257"/>
      <c r="BC326" s="257"/>
      <c r="BD326" s="257"/>
      <c r="BE326" s="143" t="s">
        <v>1187</v>
      </c>
      <c r="BF326" s="268" t="s">
        <v>1159</v>
      </c>
      <c r="BG326" s="167" t="s">
        <v>1160</v>
      </c>
      <c r="BH326" s="153"/>
      <c r="BI326" s="154"/>
      <c r="BJ326" s="154"/>
      <c r="BK326" s="46">
        <f t="shared" si="1"/>
        <v>1</v>
      </c>
      <c r="BL326" s="46"/>
      <c r="BM326" s="46"/>
      <c r="BN326" s="46"/>
    </row>
    <row r="327" spans="1:66" ht="12.75" hidden="1" customHeight="1">
      <c r="A327" s="22">
        <v>325</v>
      </c>
      <c r="B327" s="22" t="s">
        <v>250</v>
      </c>
      <c r="C327" s="22" t="e">
        <f t="shared" ca="1" si="0"/>
        <v>#NAME?</v>
      </c>
      <c r="D327" s="206" t="s">
        <v>113</v>
      </c>
      <c r="E327" s="22" t="s">
        <v>180</v>
      </c>
      <c r="F327" s="24" t="s">
        <v>1184</v>
      </c>
      <c r="G327" s="24"/>
      <c r="H327" s="24"/>
      <c r="I327" s="24">
        <v>1</v>
      </c>
      <c r="J327" s="24" t="s">
        <v>1135</v>
      </c>
      <c r="K327" s="24"/>
      <c r="L327" s="24"/>
      <c r="M327" s="24"/>
      <c r="N327" s="24"/>
      <c r="O327" s="24"/>
      <c r="P327" s="226"/>
      <c r="Q327" s="226"/>
      <c r="R327" s="247"/>
      <c r="S327" s="196"/>
      <c r="T327" s="196"/>
      <c r="U327" s="196"/>
      <c r="V327" s="194"/>
      <c r="W327" s="194" t="s">
        <v>113</v>
      </c>
      <c r="X327" s="196"/>
      <c r="Y327" s="24"/>
      <c r="Z327" s="196"/>
      <c r="AA327" s="226"/>
      <c r="AB327" s="196"/>
      <c r="AC327" s="273"/>
      <c r="AD327" s="229"/>
      <c r="AE327" s="24"/>
      <c r="AF327" s="24"/>
      <c r="AG327" s="22"/>
      <c r="AH327" s="45"/>
      <c r="AI327" s="24"/>
      <c r="AJ327" s="196"/>
      <c r="AK327" s="22"/>
      <c r="AL327" s="22"/>
      <c r="AM327" s="22"/>
      <c r="AN327" s="22"/>
      <c r="AO327" s="22"/>
      <c r="AP327" s="22"/>
      <c r="AQ327" s="22"/>
      <c r="AR327" s="22"/>
      <c r="AS327" s="22"/>
      <c r="AT327" s="271"/>
      <c r="AU327" s="24"/>
      <c r="AV327" s="135">
        <v>373066001</v>
      </c>
      <c r="AW327" s="22"/>
      <c r="AX327" s="22"/>
      <c r="AY327" s="22"/>
      <c r="AZ327" s="22"/>
      <c r="BA327" s="22"/>
      <c r="BB327" s="22"/>
      <c r="BC327" s="22"/>
      <c r="BD327" s="22"/>
      <c r="BE327" s="143" t="s">
        <v>115</v>
      </c>
      <c r="BF327" s="268" t="s">
        <v>206</v>
      </c>
      <c r="BG327" s="167" t="s">
        <v>207</v>
      </c>
      <c r="BH327" s="47"/>
      <c r="BI327" s="140">
        <v>373066001</v>
      </c>
      <c r="BJ327" s="47"/>
      <c r="BK327" s="46">
        <f t="shared" si="1"/>
        <v>1</v>
      </c>
      <c r="BL327" s="46"/>
      <c r="BM327" s="46"/>
      <c r="BN327" s="46"/>
    </row>
    <row r="328" spans="1:66" ht="12.75" hidden="1" customHeight="1">
      <c r="A328" s="22">
        <v>326</v>
      </c>
      <c r="B328" s="22" t="s">
        <v>255</v>
      </c>
      <c r="C328" s="22" t="e">
        <f t="shared" ca="1" si="0"/>
        <v>#NAME?</v>
      </c>
      <c r="D328" s="206" t="s">
        <v>208</v>
      </c>
      <c r="E328" s="22" t="s">
        <v>180</v>
      </c>
      <c r="F328" s="24" t="s">
        <v>1184</v>
      </c>
      <c r="G328" s="24"/>
      <c r="H328" s="24"/>
      <c r="I328" s="24">
        <v>1</v>
      </c>
      <c r="J328" s="24" t="s">
        <v>1135</v>
      </c>
      <c r="K328" s="24"/>
      <c r="L328" s="24"/>
      <c r="M328" s="24"/>
      <c r="N328" s="24"/>
      <c r="O328" s="24"/>
      <c r="P328" s="226"/>
      <c r="Q328" s="226"/>
      <c r="R328" s="247"/>
      <c r="S328" s="196"/>
      <c r="T328" s="196"/>
      <c r="U328" s="196"/>
      <c r="V328" s="194"/>
      <c r="W328" s="194" t="s">
        <v>208</v>
      </c>
      <c r="X328" s="196"/>
      <c r="Y328" s="24"/>
      <c r="Z328" s="196"/>
      <c r="AA328" s="226"/>
      <c r="AB328" s="196"/>
      <c r="AC328" s="273"/>
      <c r="AD328" s="229"/>
      <c r="AE328" s="24"/>
      <c r="AF328" s="24"/>
      <c r="AG328" s="22"/>
      <c r="AH328" s="45"/>
      <c r="AI328" s="24"/>
      <c r="AJ328" s="196"/>
      <c r="AK328" s="22"/>
      <c r="AL328" s="22"/>
      <c r="AM328" s="22"/>
      <c r="AN328" s="22"/>
      <c r="AO328" s="22"/>
      <c r="AP328" s="22"/>
      <c r="AQ328" s="22"/>
      <c r="AR328" s="22"/>
      <c r="AS328" s="22"/>
      <c r="AT328" s="271"/>
      <c r="AU328" s="24"/>
      <c r="AV328" s="135">
        <v>373067005</v>
      </c>
      <c r="AW328" s="22"/>
      <c r="AX328" s="22"/>
      <c r="AY328" s="22"/>
      <c r="AZ328" s="22"/>
      <c r="BA328" s="22"/>
      <c r="BB328" s="22"/>
      <c r="BC328" s="22"/>
      <c r="BD328" s="22"/>
      <c r="BE328" s="143" t="s">
        <v>115</v>
      </c>
      <c r="BF328" s="268" t="s">
        <v>209</v>
      </c>
      <c r="BG328" s="167" t="s">
        <v>210</v>
      </c>
      <c r="BH328" s="64"/>
      <c r="BI328" s="145">
        <v>373067005</v>
      </c>
      <c r="BJ328" s="64"/>
      <c r="BK328" s="46">
        <f t="shared" si="1"/>
        <v>1</v>
      </c>
      <c r="BL328" s="46"/>
      <c r="BM328" s="46"/>
      <c r="BN328" s="46"/>
    </row>
    <row r="329" spans="1:66" ht="12.75" hidden="1" customHeight="1">
      <c r="A329" s="22">
        <v>327</v>
      </c>
      <c r="B329" s="22" t="s">
        <v>1188</v>
      </c>
      <c r="C329" s="22" t="str">
        <f t="shared" si="0"/>
        <v>Is she taking her penicillin treatment for syphilis?</v>
      </c>
      <c r="D329" s="206" t="s">
        <v>1188</v>
      </c>
      <c r="E329" s="22" t="s">
        <v>96</v>
      </c>
      <c r="F329" s="24"/>
      <c r="G329" s="24"/>
      <c r="H329" s="24"/>
      <c r="I329" s="24">
        <v>1</v>
      </c>
      <c r="J329" s="24" t="s">
        <v>1135</v>
      </c>
      <c r="K329" s="24"/>
      <c r="L329" s="24"/>
      <c r="M329" s="24"/>
      <c r="N329" s="24"/>
      <c r="O329" s="24"/>
      <c r="P329" s="226"/>
      <c r="Q329" s="226"/>
      <c r="R329" s="247" t="s">
        <v>1188</v>
      </c>
      <c r="S329" s="194" t="s">
        <v>1189</v>
      </c>
      <c r="T329" s="194" t="s">
        <v>1190</v>
      </c>
      <c r="U329" s="194" t="s">
        <v>202</v>
      </c>
      <c r="V329" s="194"/>
      <c r="W329" s="194"/>
      <c r="X329" s="196"/>
      <c r="Y329" s="24"/>
      <c r="Z329" s="196"/>
      <c r="AA329" s="226"/>
      <c r="AB329" s="194" t="s">
        <v>208</v>
      </c>
      <c r="AC329" s="273"/>
      <c r="AD329" s="229"/>
      <c r="AE329" s="24"/>
      <c r="AF329" s="24"/>
      <c r="AG329" s="22"/>
      <c r="AH329" s="45"/>
      <c r="AI329" s="24"/>
      <c r="AJ329" s="196" t="s">
        <v>115</v>
      </c>
      <c r="AK329" s="22"/>
      <c r="AL329" s="22"/>
      <c r="AM329" s="22"/>
      <c r="AN329" s="22"/>
      <c r="AO329" s="22"/>
      <c r="AP329" s="22"/>
      <c r="AQ329" s="22"/>
      <c r="AR329" s="22"/>
      <c r="AS329" s="22"/>
      <c r="AT329" s="272"/>
      <c r="AU329" s="152"/>
      <c r="AV329" s="257"/>
      <c r="AW329" s="257"/>
      <c r="AX329" s="257"/>
      <c r="AY329" s="257"/>
      <c r="AZ329" s="257"/>
      <c r="BA329" s="257"/>
      <c r="BB329" s="257"/>
      <c r="BC329" s="257"/>
      <c r="BD329" s="257"/>
      <c r="BE329" s="143" t="s">
        <v>1191</v>
      </c>
      <c r="BF329" s="268" t="s">
        <v>1159</v>
      </c>
      <c r="BG329" s="167" t="s">
        <v>1160</v>
      </c>
      <c r="BH329" s="153"/>
      <c r="BI329" s="154"/>
      <c r="BJ329" s="154"/>
      <c r="BK329" s="46">
        <f t="shared" si="1"/>
        <v>1</v>
      </c>
      <c r="BL329" s="46"/>
      <c r="BM329" s="46"/>
      <c r="BN329" s="46"/>
    </row>
    <row r="330" spans="1:66" ht="12.75" hidden="1" customHeight="1">
      <c r="A330" s="22">
        <v>328</v>
      </c>
      <c r="B330" s="22" t="s">
        <v>250</v>
      </c>
      <c r="C330" s="22" t="e">
        <f t="shared" ca="1" si="0"/>
        <v>#NAME?</v>
      </c>
      <c r="D330" s="206" t="s">
        <v>113</v>
      </c>
      <c r="E330" s="22" t="s">
        <v>180</v>
      </c>
      <c r="F330" s="24" t="s">
        <v>1188</v>
      </c>
      <c r="G330" s="24"/>
      <c r="H330" s="24"/>
      <c r="I330" s="24">
        <v>1</v>
      </c>
      <c r="J330" s="24" t="s">
        <v>1135</v>
      </c>
      <c r="K330" s="24"/>
      <c r="L330" s="24"/>
      <c r="M330" s="24"/>
      <c r="N330" s="24"/>
      <c r="O330" s="24"/>
      <c r="P330" s="226"/>
      <c r="Q330" s="226"/>
      <c r="R330" s="247"/>
      <c r="S330" s="196"/>
      <c r="T330" s="196"/>
      <c r="U330" s="196"/>
      <c r="V330" s="194"/>
      <c r="W330" s="194" t="s">
        <v>113</v>
      </c>
      <c r="X330" s="196"/>
      <c r="Y330" s="24"/>
      <c r="Z330" s="196"/>
      <c r="AA330" s="226"/>
      <c r="AB330" s="196"/>
      <c r="AC330" s="273"/>
      <c r="AD330" s="229"/>
      <c r="AE330" s="24"/>
      <c r="AF330" s="24"/>
      <c r="AG330" s="22"/>
      <c r="AH330" s="45"/>
      <c r="AI330" s="24"/>
      <c r="AJ330" s="196"/>
      <c r="AK330" s="22"/>
      <c r="AL330" s="22"/>
      <c r="AM330" s="22"/>
      <c r="AN330" s="22"/>
      <c r="AO330" s="22"/>
      <c r="AP330" s="22"/>
      <c r="AQ330" s="22"/>
      <c r="AR330" s="22"/>
      <c r="AS330" s="22"/>
      <c r="AT330" s="271"/>
      <c r="AU330" s="24"/>
      <c r="AV330" s="135">
        <v>373066001</v>
      </c>
      <c r="AW330" s="22"/>
      <c r="AX330" s="22"/>
      <c r="AY330" s="22"/>
      <c r="AZ330" s="22"/>
      <c r="BA330" s="22"/>
      <c r="BB330" s="22"/>
      <c r="BC330" s="22"/>
      <c r="BD330" s="22"/>
      <c r="BE330" s="143" t="s">
        <v>115</v>
      </c>
      <c r="BF330" s="268" t="s">
        <v>206</v>
      </c>
      <c r="BG330" s="167" t="s">
        <v>207</v>
      </c>
      <c r="BH330" s="47"/>
      <c r="BI330" s="140">
        <v>373066001</v>
      </c>
      <c r="BJ330" s="47"/>
      <c r="BK330" s="46">
        <f t="shared" si="1"/>
        <v>1</v>
      </c>
      <c r="BL330" s="46"/>
      <c r="BM330" s="46"/>
      <c r="BN330" s="46"/>
    </row>
    <row r="331" spans="1:66" ht="12.75" hidden="1" customHeight="1">
      <c r="A331" s="22">
        <v>329</v>
      </c>
      <c r="B331" s="22" t="s">
        <v>255</v>
      </c>
      <c r="C331" s="22" t="e">
        <f t="shared" ca="1" si="0"/>
        <v>#NAME?</v>
      </c>
      <c r="D331" s="206" t="s">
        <v>208</v>
      </c>
      <c r="E331" s="22" t="s">
        <v>180</v>
      </c>
      <c r="F331" s="24" t="s">
        <v>1188</v>
      </c>
      <c r="G331" s="24"/>
      <c r="H331" s="24"/>
      <c r="I331" s="24">
        <v>1</v>
      </c>
      <c r="J331" s="24" t="s">
        <v>1135</v>
      </c>
      <c r="K331" s="24"/>
      <c r="L331" s="24"/>
      <c r="M331" s="24"/>
      <c r="N331" s="24"/>
      <c r="O331" s="24"/>
      <c r="P331" s="226"/>
      <c r="Q331" s="226"/>
      <c r="R331" s="247"/>
      <c r="S331" s="196"/>
      <c r="T331" s="196"/>
      <c r="U331" s="196"/>
      <c r="V331" s="194"/>
      <c r="W331" s="194" t="s">
        <v>208</v>
      </c>
      <c r="X331" s="196"/>
      <c r="Y331" s="24"/>
      <c r="Z331" s="196"/>
      <c r="AA331" s="226"/>
      <c r="AB331" s="196"/>
      <c r="AC331" s="273"/>
      <c r="AD331" s="229"/>
      <c r="AE331" s="24"/>
      <c r="AF331" s="24"/>
      <c r="AG331" s="22"/>
      <c r="AH331" s="45"/>
      <c r="AI331" s="24"/>
      <c r="AJ331" s="196"/>
      <c r="AK331" s="22"/>
      <c r="AL331" s="22"/>
      <c r="AM331" s="22"/>
      <c r="AN331" s="22"/>
      <c r="AO331" s="22"/>
      <c r="AP331" s="22"/>
      <c r="AQ331" s="22"/>
      <c r="AR331" s="22"/>
      <c r="AS331" s="22"/>
      <c r="AT331" s="271"/>
      <c r="AU331" s="24"/>
      <c r="AV331" s="135">
        <v>373067005</v>
      </c>
      <c r="AW331" s="22"/>
      <c r="AX331" s="22"/>
      <c r="AY331" s="22"/>
      <c r="AZ331" s="22"/>
      <c r="BA331" s="22"/>
      <c r="BB331" s="22"/>
      <c r="BC331" s="22"/>
      <c r="BD331" s="22"/>
      <c r="BE331" s="143" t="s">
        <v>115</v>
      </c>
      <c r="BF331" s="268" t="s">
        <v>209</v>
      </c>
      <c r="BG331" s="167" t="s">
        <v>210</v>
      </c>
      <c r="BH331" s="64"/>
      <c r="BI331" s="145">
        <v>373067005</v>
      </c>
      <c r="BJ331" s="64"/>
      <c r="BK331" s="46">
        <f t="shared" si="1"/>
        <v>1</v>
      </c>
      <c r="BL331" s="46"/>
      <c r="BM331" s="46"/>
      <c r="BN331" s="46"/>
    </row>
    <row r="332" spans="1:66" ht="12.75" hidden="1" customHeight="1">
      <c r="A332" s="22">
        <v>330</v>
      </c>
      <c r="B332" s="22" t="s">
        <v>1194</v>
      </c>
      <c r="C332" s="22" t="str">
        <f t="shared" si="0"/>
        <v>Which of the following behaviours persist?</v>
      </c>
      <c r="D332" s="206" t="s">
        <v>1194</v>
      </c>
      <c r="E332" s="22" t="s">
        <v>96</v>
      </c>
      <c r="F332" s="24"/>
      <c r="G332" s="24" t="s">
        <v>1195</v>
      </c>
      <c r="H332" s="24"/>
      <c r="I332" s="24">
        <v>1</v>
      </c>
      <c r="J332" s="24" t="s">
        <v>1135</v>
      </c>
      <c r="K332" s="24"/>
      <c r="L332" s="24"/>
      <c r="M332" s="24"/>
      <c r="N332" s="24"/>
      <c r="O332" s="24"/>
      <c r="P332" s="226"/>
      <c r="Q332" s="226"/>
      <c r="R332" s="195" t="s">
        <v>1194</v>
      </c>
      <c r="S332" s="194" t="s">
        <v>1196</v>
      </c>
      <c r="T332" s="194" t="s">
        <v>1197</v>
      </c>
      <c r="U332" s="194" t="s">
        <v>238</v>
      </c>
      <c r="V332" s="194"/>
      <c r="W332" s="194"/>
      <c r="X332" s="196"/>
      <c r="Y332" s="24"/>
      <c r="Z332" s="194" t="s">
        <v>1109</v>
      </c>
      <c r="AA332" s="226"/>
      <c r="AB332" s="194" t="s">
        <v>113</v>
      </c>
      <c r="AC332" s="273"/>
      <c r="AD332" s="229"/>
      <c r="AE332" s="24"/>
      <c r="AF332" s="24"/>
      <c r="AG332" s="22"/>
      <c r="AH332" s="45"/>
      <c r="AI332" s="24"/>
      <c r="AJ332" s="194" t="s">
        <v>115</v>
      </c>
      <c r="AK332" s="22"/>
      <c r="AL332" s="22"/>
      <c r="AM332" s="22"/>
      <c r="AN332" s="22"/>
      <c r="AO332" s="22"/>
      <c r="AP332" s="22"/>
      <c r="AQ332" s="22"/>
      <c r="AR332" s="22"/>
      <c r="AS332" s="22"/>
      <c r="AT332" s="272"/>
      <c r="AU332" s="152"/>
      <c r="AV332" s="257"/>
      <c r="AW332" s="257"/>
      <c r="AX332" s="257"/>
      <c r="AY332" s="257"/>
      <c r="AZ332" s="257"/>
      <c r="BA332" s="257"/>
      <c r="BB332" s="257"/>
      <c r="BC332" s="257"/>
      <c r="BD332" s="257"/>
      <c r="BE332" s="143" t="s">
        <v>115</v>
      </c>
      <c r="BF332" s="143" t="s">
        <v>1198</v>
      </c>
      <c r="BG332" s="167" t="s">
        <v>1199</v>
      </c>
      <c r="BH332" s="153"/>
      <c r="BI332" s="154"/>
      <c r="BJ332" s="154"/>
      <c r="BK332" s="46">
        <f t="shared" si="1"/>
        <v>1</v>
      </c>
      <c r="BL332" s="46"/>
      <c r="BM332" s="46"/>
      <c r="BN332" s="46"/>
    </row>
    <row r="333" spans="1:66" ht="15" hidden="1" customHeight="1">
      <c r="A333" s="22">
        <v>331</v>
      </c>
      <c r="B333" s="22" t="s">
        <v>553</v>
      </c>
      <c r="C333" s="22" t="e">
        <f t="shared" ca="1" si="0"/>
        <v>#NAME?</v>
      </c>
      <c r="D333" s="206" t="s">
        <v>423</v>
      </c>
      <c r="E333" s="22" t="s">
        <v>180</v>
      </c>
      <c r="F333" s="24" t="s">
        <v>1194</v>
      </c>
      <c r="G333" s="24" t="s">
        <v>1195</v>
      </c>
      <c r="H333" s="24"/>
      <c r="I333" s="24">
        <v>1</v>
      </c>
      <c r="J333" s="24" t="s">
        <v>1135</v>
      </c>
      <c r="K333" s="24"/>
      <c r="L333" s="24"/>
      <c r="M333" s="24"/>
      <c r="N333" s="24"/>
      <c r="O333" s="24"/>
      <c r="P333" s="226"/>
      <c r="Q333" s="226"/>
      <c r="R333" s="195"/>
      <c r="S333" s="194"/>
      <c r="T333" s="194"/>
      <c r="U333" s="194"/>
      <c r="V333" s="194"/>
      <c r="W333" s="194" t="s">
        <v>423</v>
      </c>
      <c r="X333" s="196"/>
      <c r="Y333" s="24"/>
      <c r="Z333" s="194"/>
      <c r="AA333" s="226"/>
      <c r="AB333" s="194"/>
      <c r="AC333" s="273"/>
      <c r="AD333" s="229"/>
      <c r="AE333" s="24"/>
      <c r="AF333" s="24"/>
      <c r="AG333" s="22"/>
      <c r="AH333" s="45"/>
      <c r="AI333" s="24"/>
      <c r="AJ333" s="194"/>
      <c r="AK333" s="22"/>
      <c r="AL333" s="22"/>
      <c r="AM333" s="22"/>
      <c r="AN333" s="22"/>
      <c r="AO333" s="22"/>
      <c r="AP333" s="22"/>
      <c r="AQ333" s="22"/>
      <c r="AR333" s="22"/>
      <c r="AS333" s="22"/>
      <c r="AT333" s="271"/>
      <c r="AU333" s="271"/>
      <c r="AV333" s="135">
        <v>260413007</v>
      </c>
      <c r="AW333" s="271"/>
      <c r="AX333" s="271"/>
      <c r="AY333" s="271"/>
      <c r="AZ333" s="271"/>
      <c r="BA333" s="271"/>
      <c r="BB333" s="271"/>
      <c r="BC333" s="271"/>
      <c r="BD333" s="271"/>
      <c r="BE333" s="143" t="s">
        <v>115</v>
      </c>
      <c r="BF333" s="143" t="s">
        <v>424</v>
      </c>
      <c r="BG333" s="167" t="s">
        <v>425</v>
      </c>
      <c r="BH333" s="47"/>
      <c r="BI333" s="140">
        <v>260413007</v>
      </c>
      <c r="BJ333" s="47"/>
      <c r="BK333" s="46">
        <f t="shared" si="1"/>
        <v>1</v>
      </c>
      <c r="BL333" s="46"/>
      <c r="BM333" s="46"/>
      <c r="BN333" s="46"/>
    </row>
    <row r="334" spans="1:66" ht="12.75" hidden="1" customHeight="1">
      <c r="A334" s="22">
        <v>332</v>
      </c>
      <c r="B334" s="22" t="s">
        <v>1629</v>
      </c>
      <c r="C334" s="22" t="e">
        <f t="shared" ca="1" si="0"/>
        <v>#NAME?</v>
      </c>
      <c r="D334" s="206" t="s">
        <v>1200</v>
      </c>
      <c r="E334" s="22" t="s">
        <v>180</v>
      </c>
      <c r="F334" s="24" t="s">
        <v>1194</v>
      </c>
      <c r="G334" s="24" t="s">
        <v>1195</v>
      </c>
      <c r="H334" s="24"/>
      <c r="I334" s="24">
        <v>1</v>
      </c>
      <c r="J334" s="24" t="s">
        <v>1135</v>
      </c>
      <c r="K334" s="24"/>
      <c r="L334" s="24"/>
      <c r="M334" s="24"/>
      <c r="N334" s="24"/>
      <c r="O334" s="24"/>
      <c r="P334" s="226"/>
      <c r="Q334" s="226"/>
      <c r="R334" s="247"/>
      <c r="S334" s="196"/>
      <c r="T334" s="196"/>
      <c r="U334" s="196"/>
      <c r="V334" s="194"/>
      <c r="W334" s="194" t="s">
        <v>1200</v>
      </c>
      <c r="X334" s="196"/>
      <c r="Y334" s="24"/>
      <c r="Z334" s="196"/>
      <c r="AA334" s="226"/>
      <c r="AB334" s="196"/>
      <c r="AC334" s="273"/>
      <c r="AD334" s="229"/>
      <c r="AE334" s="24"/>
      <c r="AF334" s="24"/>
      <c r="AG334" s="22"/>
      <c r="AH334" s="45"/>
      <c r="AI334" s="24"/>
      <c r="AJ334" s="196"/>
      <c r="AK334" s="22"/>
      <c r="AL334" s="22"/>
      <c r="AM334" s="22"/>
      <c r="AN334" s="22"/>
      <c r="AO334" s="22"/>
      <c r="AP334" s="22"/>
      <c r="AQ334" s="22"/>
      <c r="AR334" s="22"/>
      <c r="AS334" s="22"/>
      <c r="AT334" s="271"/>
      <c r="AU334" s="271"/>
      <c r="AV334" s="271"/>
      <c r="AW334" s="271"/>
      <c r="AX334" s="271"/>
      <c r="AY334" s="271"/>
      <c r="AZ334" s="271"/>
      <c r="BA334" s="271"/>
      <c r="BB334" s="271"/>
      <c r="BC334" s="271"/>
      <c r="BD334" s="271"/>
      <c r="BE334" s="143" t="s">
        <v>115</v>
      </c>
      <c r="BF334" s="143" t="s">
        <v>1201</v>
      </c>
      <c r="BG334" s="167" t="s">
        <v>1202</v>
      </c>
      <c r="BH334" s="47"/>
      <c r="BI334" s="47"/>
      <c r="BJ334" s="47"/>
      <c r="BK334" s="46">
        <f t="shared" si="1"/>
        <v>1</v>
      </c>
      <c r="BL334" s="46"/>
      <c r="BM334" s="46"/>
      <c r="BN334" s="46"/>
    </row>
    <row r="335" spans="1:66" ht="39" hidden="1" customHeight="1">
      <c r="A335" s="22">
        <v>333</v>
      </c>
      <c r="B335" s="22" t="s">
        <v>1632</v>
      </c>
      <c r="C335" s="22" t="e">
        <f t="shared" ca="1" si="0"/>
        <v>#NAME?</v>
      </c>
      <c r="D335" s="206" t="s">
        <v>1204</v>
      </c>
      <c r="E335" s="22" t="s">
        <v>180</v>
      </c>
      <c r="F335" s="24" t="s">
        <v>1194</v>
      </c>
      <c r="G335" s="24" t="s">
        <v>1195</v>
      </c>
      <c r="H335" s="24"/>
      <c r="I335" s="24">
        <v>1</v>
      </c>
      <c r="J335" s="24" t="s">
        <v>1135</v>
      </c>
      <c r="K335" s="24"/>
      <c r="L335" s="24"/>
      <c r="M335" s="24"/>
      <c r="N335" s="24"/>
      <c r="O335" s="24"/>
      <c r="P335" s="226"/>
      <c r="Q335" s="226"/>
      <c r="R335" s="247"/>
      <c r="S335" s="196"/>
      <c r="T335" s="196"/>
      <c r="U335" s="196"/>
      <c r="V335" s="194"/>
      <c r="W335" s="194" t="s">
        <v>1204</v>
      </c>
      <c r="X335" s="196"/>
      <c r="Y335" s="24"/>
      <c r="Z335" s="196"/>
      <c r="AA335" s="226"/>
      <c r="AB335" s="196"/>
      <c r="AC335" s="273"/>
      <c r="AD335" s="229"/>
      <c r="AE335" s="24"/>
      <c r="AF335" s="24"/>
      <c r="AG335" s="22"/>
      <c r="AH335" s="45"/>
      <c r="AI335" s="24"/>
      <c r="AJ335" s="196"/>
      <c r="AK335" s="22"/>
      <c r="AL335" s="22"/>
      <c r="AM335" s="22"/>
      <c r="AN335" s="22"/>
      <c r="AO335" s="22"/>
      <c r="AP335" s="22"/>
      <c r="AQ335" s="22"/>
      <c r="AR335" s="22"/>
      <c r="AS335" s="22"/>
      <c r="AT335" s="135" t="s">
        <v>717</v>
      </c>
      <c r="AU335" s="271"/>
      <c r="AV335" s="135">
        <v>77176002</v>
      </c>
      <c r="AW335" s="271"/>
      <c r="AX335" s="271"/>
      <c r="AY335" s="271"/>
      <c r="AZ335" s="271"/>
      <c r="BA335" s="271"/>
      <c r="BB335" s="271"/>
      <c r="BC335" s="271"/>
      <c r="BD335" s="271"/>
      <c r="BE335" s="143" t="s">
        <v>115</v>
      </c>
      <c r="BF335" s="143" t="s">
        <v>1205</v>
      </c>
      <c r="BG335" s="167" t="s">
        <v>1206</v>
      </c>
      <c r="BH335" s="140" t="s">
        <v>717</v>
      </c>
      <c r="BI335" s="140">
        <v>77176002</v>
      </c>
      <c r="BJ335" s="47"/>
      <c r="BK335" s="46">
        <f t="shared" si="1"/>
        <v>1</v>
      </c>
      <c r="BL335" s="46"/>
      <c r="BM335" s="46"/>
      <c r="BN335" s="46"/>
    </row>
    <row r="336" spans="1:66" ht="51.75" hidden="1" customHeight="1">
      <c r="A336" s="22">
        <v>334</v>
      </c>
      <c r="B336" s="22" t="s">
        <v>1639</v>
      </c>
      <c r="C336" s="22" t="e">
        <f t="shared" ca="1" si="0"/>
        <v>#NAME?</v>
      </c>
      <c r="D336" s="206" t="s">
        <v>1207</v>
      </c>
      <c r="E336" s="22" t="s">
        <v>180</v>
      </c>
      <c r="F336" s="24" t="s">
        <v>1194</v>
      </c>
      <c r="G336" s="24" t="s">
        <v>1195</v>
      </c>
      <c r="H336" s="24"/>
      <c r="I336" s="24">
        <v>1</v>
      </c>
      <c r="J336" s="24" t="s">
        <v>1135</v>
      </c>
      <c r="K336" s="24"/>
      <c r="L336" s="24"/>
      <c r="M336" s="24"/>
      <c r="N336" s="24"/>
      <c r="O336" s="24"/>
      <c r="P336" s="226"/>
      <c r="Q336" s="226"/>
      <c r="R336" s="247"/>
      <c r="S336" s="196"/>
      <c r="T336" s="196"/>
      <c r="U336" s="196"/>
      <c r="V336" s="194"/>
      <c r="W336" s="194" t="s">
        <v>1207</v>
      </c>
      <c r="X336" s="196"/>
      <c r="Y336" s="24"/>
      <c r="Z336" s="196"/>
      <c r="AA336" s="226"/>
      <c r="AB336" s="196"/>
      <c r="AC336" s="273"/>
      <c r="AD336" s="229"/>
      <c r="AE336" s="24"/>
      <c r="AF336" s="24"/>
      <c r="AG336" s="22"/>
      <c r="AH336" s="45"/>
      <c r="AI336" s="24"/>
      <c r="AJ336" s="196"/>
      <c r="AK336" s="22"/>
      <c r="AL336" s="22"/>
      <c r="AM336" s="22"/>
      <c r="AN336" s="22"/>
      <c r="AO336" s="22"/>
      <c r="AP336" s="22"/>
      <c r="AQ336" s="22"/>
      <c r="AR336" s="22"/>
      <c r="AS336" s="22"/>
      <c r="AT336" s="210" t="s">
        <v>1208</v>
      </c>
      <c r="AU336" s="271"/>
      <c r="AV336" s="135">
        <v>43381005</v>
      </c>
      <c r="AW336" s="271"/>
      <c r="AX336" s="271"/>
      <c r="AY336" s="271"/>
      <c r="AZ336" s="271"/>
      <c r="BA336" s="271"/>
      <c r="BB336" s="271"/>
      <c r="BC336" s="271"/>
      <c r="BD336" s="271"/>
      <c r="BE336" s="143" t="s">
        <v>115</v>
      </c>
      <c r="BF336" s="143" t="s">
        <v>1091</v>
      </c>
      <c r="BG336" s="167" t="s">
        <v>1092</v>
      </c>
      <c r="BH336" s="274" t="s">
        <v>1208</v>
      </c>
      <c r="BI336" s="145">
        <v>43381005</v>
      </c>
      <c r="BJ336" s="64"/>
      <c r="BK336" s="46">
        <f t="shared" si="1"/>
        <v>1</v>
      </c>
      <c r="BL336" s="46"/>
      <c r="BM336" s="46"/>
      <c r="BN336" s="46"/>
    </row>
    <row r="337" spans="1:66" ht="12.75" hidden="1" customHeight="1">
      <c r="A337" s="22">
        <v>335</v>
      </c>
      <c r="B337" s="22" t="s">
        <v>1646</v>
      </c>
      <c r="C337" s="22" t="e">
        <f t="shared" ca="1" si="0"/>
        <v>#NAME?</v>
      </c>
      <c r="D337" s="206" t="s">
        <v>1209</v>
      </c>
      <c r="E337" s="22" t="s">
        <v>180</v>
      </c>
      <c r="F337" s="24" t="s">
        <v>1194</v>
      </c>
      <c r="G337" s="24" t="s">
        <v>1195</v>
      </c>
      <c r="H337" s="24"/>
      <c r="I337" s="24">
        <v>1</v>
      </c>
      <c r="J337" s="24" t="s">
        <v>1135</v>
      </c>
      <c r="K337" s="24"/>
      <c r="L337" s="24"/>
      <c r="M337" s="24"/>
      <c r="N337" s="24"/>
      <c r="O337" s="24"/>
      <c r="P337" s="226"/>
      <c r="Q337" s="226"/>
      <c r="R337" s="247"/>
      <c r="S337" s="196"/>
      <c r="T337" s="196"/>
      <c r="U337" s="196"/>
      <c r="V337" s="194"/>
      <c r="W337" s="194" t="s">
        <v>1209</v>
      </c>
      <c r="X337" s="196"/>
      <c r="Y337" s="24"/>
      <c r="Z337" s="196"/>
      <c r="AA337" s="229"/>
      <c r="AB337" s="196"/>
      <c r="AC337" s="273"/>
      <c r="AD337" s="229"/>
      <c r="AE337" s="24"/>
      <c r="AF337" s="24"/>
      <c r="AG337" s="22"/>
      <c r="AH337" s="45"/>
      <c r="AI337" s="24"/>
      <c r="AJ337" s="196"/>
      <c r="AK337" s="22"/>
      <c r="AL337" s="22"/>
      <c r="AM337" s="22"/>
      <c r="AN337" s="22"/>
      <c r="AO337" s="22"/>
      <c r="AP337" s="22"/>
      <c r="AQ337" s="22"/>
      <c r="AR337" s="22"/>
      <c r="AS337" s="22"/>
      <c r="AT337" s="272"/>
      <c r="AU337" s="272"/>
      <c r="AV337" s="275"/>
      <c r="AW337" s="275"/>
      <c r="AX337" s="275"/>
      <c r="AY337" s="275"/>
      <c r="AZ337" s="275"/>
      <c r="BA337" s="275"/>
      <c r="BB337" s="275"/>
      <c r="BC337" s="275"/>
      <c r="BD337" s="275"/>
      <c r="BE337" s="143" t="s">
        <v>115</v>
      </c>
      <c r="BF337" s="143" t="s">
        <v>1210</v>
      </c>
      <c r="BG337" s="167" t="s">
        <v>1211</v>
      </c>
      <c r="BH337" s="153"/>
      <c r="BI337" s="276"/>
      <c r="BJ337" s="276"/>
      <c r="BK337" s="46">
        <f t="shared" si="1"/>
        <v>1</v>
      </c>
      <c r="BL337" s="46"/>
      <c r="BM337" s="46"/>
      <c r="BN337" s="46"/>
    </row>
    <row r="338" spans="1:66" ht="15" hidden="1" customHeight="1">
      <c r="A338" s="22">
        <v>336</v>
      </c>
      <c r="B338" s="22" t="s">
        <v>977</v>
      </c>
      <c r="C338" s="22" t="e">
        <f t="shared" ca="1" si="0"/>
        <v>#NAME?</v>
      </c>
      <c r="D338" s="206" t="s">
        <v>720</v>
      </c>
      <c r="E338" s="22" t="s">
        <v>180</v>
      </c>
      <c r="F338" s="24" t="s">
        <v>1194</v>
      </c>
      <c r="G338" s="24" t="s">
        <v>1195</v>
      </c>
      <c r="H338" s="24"/>
      <c r="I338" s="24">
        <v>1</v>
      </c>
      <c r="J338" s="24" t="s">
        <v>1135</v>
      </c>
      <c r="K338" s="24"/>
      <c r="L338" s="24"/>
      <c r="M338" s="24"/>
      <c r="N338" s="24"/>
      <c r="O338" s="24"/>
      <c r="P338" s="226"/>
      <c r="Q338" s="226"/>
      <c r="R338" s="247"/>
      <c r="S338" s="196"/>
      <c r="T338" s="196"/>
      <c r="U338" s="196"/>
      <c r="V338" s="194"/>
      <c r="W338" s="194" t="s">
        <v>720</v>
      </c>
      <c r="X338" s="196"/>
      <c r="Y338" s="24"/>
      <c r="Z338" s="196"/>
      <c r="AA338" s="229"/>
      <c r="AB338" s="196"/>
      <c r="AC338" s="273"/>
      <c r="AD338" s="229"/>
      <c r="AE338" s="24"/>
      <c r="AF338" s="24"/>
      <c r="AG338" s="22"/>
      <c r="AH338" s="45"/>
      <c r="AI338" s="24"/>
      <c r="AJ338" s="196"/>
      <c r="AK338" s="22"/>
      <c r="AL338" s="22"/>
      <c r="AM338" s="22"/>
      <c r="AN338" s="22"/>
      <c r="AO338" s="22"/>
      <c r="AP338" s="22"/>
      <c r="AQ338" s="22"/>
      <c r="AR338" s="22"/>
      <c r="AS338" s="22"/>
      <c r="AT338" s="271"/>
      <c r="AU338" s="24"/>
      <c r="AV338" s="135">
        <v>219006</v>
      </c>
      <c r="AW338" s="22"/>
      <c r="AX338" s="22"/>
      <c r="AY338" s="22"/>
      <c r="AZ338" s="22"/>
      <c r="BA338" s="22"/>
      <c r="BB338" s="22"/>
      <c r="BC338" s="22"/>
      <c r="BD338" s="22"/>
      <c r="BE338" s="143" t="s">
        <v>115</v>
      </c>
      <c r="BF338" s="143" t="s">
        <v>721</v>
      </c>
      <c r="BG338" s="167" t="s">
        <v>722</v>
      </c>
      <c r="BH338" s="47"/>
      <c r="BI338" s="140">
        <v>219006</v>
      </c>
      <c r="BJ338" s="47"/>
      <c r="BK338" s="46">
        <f t="shared" si="1"/>
        <v>1</v>
      </c>
      <c r="BL338" s="46"/>
      <c r="BM338" s="46"/>
      <c r="BN338" s="46"/>
    </row>
    <row r="339" spans="1:66" ht="15" hidden="1" customHeight="1">
      <c r="A339" s="22">
        <v>337</v>
      </c>
      <c r="B339" s="22" t="s">
        <v>981</v>
      </c>
      <c r="C339" s="22" t="e">
        <f t="shared" ca="1" si="0"/>
        <v>#NAME?</v>
      </c>
      <c r="D339" s="206" t="s">
        <v>723</v>
      </c>
      <c r="E339" s="22" t="s">
        <v>180</v>
      </c>
      <c r="F339" s="24" t="s">
        <v>1194</v>
      </c>
      <c r="G339" s="24" t="s">
        <v>1195</v>
      </c>
      <c r="H339" s="24"/>
      <c r="I339" s="24">
        <v>1</v>
      </c>
      <c r="J339" s="24" t="s">
        <v>1135</v>
      </c>
      <c r="K339" s="24"/>
      <c r="L339" s="24"/>
      <c r="M339" s="24"/>
      <c r="N339" s="24"/>
      <c r="O339" s="24"/>
      <c r="P339" s="226"/>
      <c r="Q339" s="226"/>
      <c r="R339" s="247"/>
      <c r="S339" s="196"/>
      <c r="T339" s="196"/>
      <c r="U339" s="196"/>
      <c r="V339" s="194"/>
      <c r="W339" s="194" t="s">
        <v>723</v>
      </c>
      <c r="X339" s="196"/>
      <c r="Y339" s="24"/>
      <c r="Z339" s="196"/>
      <c r="AA339" s="229"/>
      <c r="AB339" s="196"/>
      <c r="AC339" s="273"/>
      <c r="AD339" s="229"/>
      <c r="AE339" s="24"/>
      <c r="AF339" s="24"/>
      <c r="AG339" s="22"/>
      <c r="AH339" s="45"/>
      <c r="AI339" s="24"/>
      <c r="AJ339" s="196"/>
      <c r="AK339" s="22"/>
      <c r="AL339" s="22"/>
      <c r="AM339" s="22"/>
      <c r="AN339" s="22"/>
      <c r="AO339" s="22"/>
      <c r="AP339" s="22"/>
      <c r="AQ339" s="22"/>
      <c r="AR339" s="22"/>
      <c r="AS339" s="22"/>
      <c r="AT339" s="271"/>
      <c r="AU339" s="24"/>
      <c r="AV339" s="135">
        <v>371422002</v>
      </c>
      <c r="AW339" s="22"/>
      <c r="AX339" s="22"/>
      <c r="AY339" s="22"/>
      <c r="AZ339" s="22"/>
      <c r="BA339" s="22"/>
      <c r="BB339" s="22"/>
      <c r="BC339" s="22"/>
      <c r="BD339" s="22"/>
      <c r="BE339" s="143" t="s">
        <v>115</v>
      </c>
      <c r="BF339" s="143" t="s">
        <v>724</v>
      </c>
      <c r="BG339" s="167" t="s">
        <v>725</v>
      </c>
      <c r="BH339" s="64"/>
      <c r="BI339" s="145">
        <v>371422002</v>
      </c>
      <c r="BJ339" s="64"/>
      <c r="BK339" s="46">
        <f t="shared" si="1"/>
        <v>1</v>
      </c>
      <c r="BL339" s="46"/>
      <c r="BM339" s="46"/>
      <c r="BN339" s="46"/>
    </row>
    <row r="340" spans="1:66" ht="12.75" hidden="1" customHeight="1">
      <c r="A340" s="22">
        <v>338</v>
      </c>
      <c r="B340" s="22" t="s">
        <v>1214</v>
      </c>
      <c r="C340" s="22" t="str">
        <f t="shared" si="0"/>
        <v>Which of the following physiological symptoms persist?</v>
      </c>
      <c r="D340" s="206" t="s">
        <v>1214</v>
      </c>
      <c r="E340" s="22" t="s">
        <v>96</v>
      </c>
      <c r="F340" s="24"/>
      <c r="G340" s="24" t="s">
        <v>1215</v>
      </c>
      <c r="H340" s="24"/>
      <c r="I340" s="24">
        <v>1</v>
      </c>
      <c r="J340" s="24" t="s">
        <v>1135</v>
      </c>
      <c r="K340" s="24"/>
      <c r="L340" s="24"/>
      <c r="M340" s="24"/>
      <c r="N340" s="24"/>
      <c r="O340" s="24"/>
      <c r="P340" s="226"/>
      <c r="Q340" s="226"/>
      <c r="R340" s="195" t="s">
        <v>1214</v>
      </c>
      <c r="S340" s="242" t="s">
        <v>1216</v>
      </c>
      <c r="T340" s="194" t="s">
        <v>1217</v>
      </c>
      <c r="U340" s="194" t="s">
        <v>238</v>
      </c>
      <c r="V340" s="194"/>
      <c r="W340" s="194"/>
      <c r="X340" s="196"/>
      <c r="Y340" s="24"/>
      <c r="Z340" s="194" t="s">
        <v>1056</v>
      </c>
      <c r="AA340" s="229"/>
      <c r="AB340" s="194" t="s">
        <v>113</v>
      </c>
      <c r="AC340" s="273"/>
      <c r="AD340" s="229"/>
      <c r="AE340" s="24"/>
      <c r="AF340" s="24"/>
      <c r="AG340" s="22"/>
      <c r="AH340" s="45"/>
      <c r="AI340" s="24"/>
      <c r="AJ340" s="194" t="s">
        <v>115</v>
      </c>
      <c r="AK340" s="22"/>
      <c r="AL340" s="22"/>
      <c r="AM340" s="22"/>
      <c r="AN340" s="22"/>
      <c r="AO340" s="22"/>
      <c r="AP340" s="22"/>
      <c r="AQ340" s="22"/>
      <c r="AR340" s="22"/>
      <c r="AS340" s="22"/>
      <c r="AT340" s="272"/>
      <c r="AU340" s="152"/>
      <c r="AV340" s="257"/>
      <c r="AW340" s="257"/>
      <c r="AX340" s="257"/>
      <c r="AY340" s="257"/>
      <c r="AZ340" s="257"/>
      <c r="BA340" s="257"/>
      <c r="BB340" s="257"/>
      <c r="BC340" s="257"/>
      <c r="BD340" s="257"/>
      <c r="BE340" s="277" t="s">
        <v>1219</v>
      </c>
      <c r="BF340" s="278" t="s">
        <v>1220</v>
      </c>
      <c r="BG340" s="279" t="s">
        <v>1221</v>
      </c>
      <c r="BH340" s="153"/>
      <c r="BI340" s="154"/>
      <c r="BJ340" s="154"/>
      <c r="BK340" s="46">
        <f t="shared" si="1"/>
        <v>1</v>
      </c>
      <c r="BL340" s="46"/>
      <c r="BM340" s="46"/>
      <c r="BN340" s="46"/>
    </row>
    <row r="341" spans="1:66" ht="15" hidden="1" customHeight="1">
      <c r="A341" s="22">
        <v>339</v>
      </c>
      <c r="B341" s="22" t="s">
        <v>553</v>
      </c>
      <c r="C341" s="22" t="e">
        <f t="shared" ca="1" si="0"/>
        <v>#NAME?</v>
      </c>
      <c r="D341" s="206" t="s">
        <v>423</v>
      </c>
      <c r="E341" s="22" t="s">
        <v>180</v>
      </c>
      <c r="F341" s="24" t="s">
        <v>1214</v>
      </c>
      <c r="G341" s="24" t="s">
        <v>1215</v>
      </c>
      <c r="H341" s="24"/>
      <c r="I341" s="24">
        <v>1</v>
      </c>
      <c r="J341" s="24" t="s">
        <v>1135</v>
      </c>
      <c r="K341" s="24"/>
      <c r="L341" s="24"/>
      <c r="M341" s="24"/>
      <c r="N341" s="24"/>
      <c r="O341" s="24"/>
      <c r="P341" s="226"/>
      <c r="Q341" s="226"/>
      <c r="R341" s="195"/>
      <c r="S341" s="194"/>
      <c r="T341" s="194"/>
      <c r="U341" s="196"/>
      <c r="V341" s="194"/>
      <c r="W341" s="194" t="s">
        <v>423</v>
      </c>
      <c r="X341" s="196"/>
      <c r="Y341" s="24"/>
      <c r="Z341" s="194"/>
      <c r="AA341" s="229"/>
      <c r="AB341" s="194"/>
      <c r="AC341" s="273"/>
      <c r="AD341" s="229"/>
      <c r="AE341" s="24"/>
      <c r="AF341" s="24"/>
      <c r="AG341" s="22"/>
      <c r="AH341" s="45"/>
      <c r="AI341" s="24"/>
      <c r="AJ341" s="194"/>
      <c r="AK341" s="22"/>
      <c r="AL341" s="22"/>
      <c r="AM341" s="22"/>
      <c r="AN341" s="22"/>
      <c r="AO341" s="22"/>
      <c r="AP341" s="22"/>
      <c r="AQ341" s="22"/>
      <c r="AR341" s="22"/>
      <c r="AS341" s="22"/>
      <c r="AT341" s="271"/>
      <c r="AU341" s="24"/>
      <c r="AV341" s="135">
        <v>260413007</v>
      </c>
      <c r="AW341" s="22"/>
      <c r="AX341" s="22"/>
      <c r="AY341" s="22"/>
      <c r="AZ341" s="22"/>
      <c r="BA341" s="22"/>
      <c r="BB341" s="22"/>
      <c r="BC341" s="22"/>
      <c r="BD341" s="22"/>
      <c r="BE341" s="143" t="s">
        <v>115</v>
      </c>
      <c r="BF341" s="268" t="s">
        <v>424</v>
      </c>
      <c r="BG341" s="167" t="s">
        <v>425</v>
      </c>
      <c r="BH341" s="47"/>
      <c r="BI341" s="140">
        <v>260413007</v>
      </c>
      <c r="BJ341" s="47"/>
      <c r="BK341" s="46">
        <f t="shared" si="1"/>
        <v>1</v>
      </c>
      <c r="BL341" s="46"/>
      <c r="BM341" s="46"/>
      <c r="BN341" s="46"/>
    </row>
    <row r="342" spans="1:66" ht="15" hidden="1" customHeight="1">
      <c r="A342" s="22">
        <v>340</v>
      </c>
      <c r="B342" s="22" t="s">
        <v>1674</v>
      </c>
      <c r="C342" s="22" t="e">
        <f t="shared" ca="1" si="0"/>
        <v>#NAME?</v>
      </c>
      <c r="D342" s="206" t="s">
        <v>1223</v>
      </c>
      <c r="E342" s="22" t="s">
        <v>180</v>
      </c>
      <c r="F342" s="24" t="s">
        <v>1214</v>
      </c>
      <c r="G342" s="24" t="s">
        <v>1215</v>
      </c>
      <c r="H342" s="24"/>
      <c r="I342" s="24">
        <v>1</v>
      </c>
      <c r="J342" s="24" t="s">
        <v>1135</v>
      </c>
      <c r="K342" s="24"/>
      <c r="L342" s="24"/>
      <c r="M342" s="24"/>
      <c r="N342" s="24"/>
      <c r="O342" s="24"/>
      <c r="P342" s="226"/>
      <c r="Q342" s="226"/>
      <c r="R342" s="195"/>
      <c r="S342" s="194"/>
      <c r="T342" s="194"/>
      <c r="U342" s="196"/>
      <c r="V342" s="194"/>
      <c r="W342" s="194" t="s">
        <v>1223</v>
      </c>
      <c r="X342" s="196"/>
      <c r="Y342" s="24"/>
      <c r="Z342" s="194"/>
      <c r="AA342" s="229"/>
      <c r="AB342" s="194"/>
      <c r="AC342" s="273"/>
      <c r="AD342" s="229"/>
      <c r="AE342" s="24"/>
      <c r="AF342" s="24"/>
      <c r="AG342" s="22"/>
      <c r="AH342" s="45"/>
      <c r="AI342" s="24"/>
      <c r="AJ342" s="194"/>
      <c r="AK342" s="22"/>
      <c r="AL342" s="22"/>
      <c r="AM342" s="22"/>
      <c r="AN342" s="22"/>
      <c r="AO342" s="22"/>
      <c r="AP342" s="22"/>
      <c r="AQ342" s="22"/>
      <c r="AR342" s="22"/>
      <c r="AS342" s="22"/>
      <c r="AT342" s="135" t="s">
        <v>331</v>
      </c>
      <c r="AU342" s="24"/>
      <c r="AV342" s="22">
        <v>16932000</v>
      </c>
      <c r="AW342" s="22"/>
      <c r="AX342" s="22"/>
      <c r="AY342" s="22"/>
      <c r="AZ342" s="22"/>
      <c r="BA342" s="22"/>
      <c r="BB342" s="22"/>
      <c r="BC342" s="22"/>
      <c r="BD342" s="22"/>
      <c r="BE342" s="143" t="s">
        <v>115</v>
      </c>
      <c r="BF342" s="268" t="s">
        <v>1224</v>
      </c>
      <c r="BG342" s="167" t="s">
        <v>1225</v>
      </c>
      <c r="BH342" s="140" t="s">
        <v>331</v>
      </c>
      <c r="BI342" s="47">
        <v>16932000</v>
      </c>
      <c r="BJ342" s="47"/>
      <c r="BK342" s="46">
        <f t="shared" si="1"/>
        <v>1</v>
      </c>
      <c r="BL342" s="46"/>
      <c r="BM342" s="46"/>
      <c r="BN342" s="46"/>
    </row>
    <row r="343" spans="1:66" ht="15" hidden="1" customHeight="1">
      <c r="A343" s="22">
        <v>341</v>
      </c>
      <c r="B343" s="22" t="s">
        <v>401</v>
      </c>
      <c r="C343" s="22" t="e">
        <f t="shared" ca="1" si="0"/>
        <v>#NAME?</v>
      </c>
      <c r="D343" s="206" t="s">
        <v>302</v>
      </c>
      <c r="E343" s="22" t="s">
        <v>180</v>
      </c>
      <c r="F343" s="24" t="s">
        <v>1214</v>
      </c>
      <c r="G343" s="24" t="s">
        <v>1215</v>
      </c>
      <c r="H343" s="24"/>
      <c r="I343" s="24">
        <v>1</v>
      </c>
      <c r="J343" s="24" t="s">
        <v>1135</v>
      </c>
      <c r="K343" s="24"/>
      <c r="L343" s="24"/>
      <c r="M343" s="24"/>
      <c r="N343" s="24"/>
      <c r="O343" s="24"/>
      <c r="P343" s="226"/>
      <c r="Q343" s="226"/>
      <c r="R343" s="195"/>
      <c r="S343" s="194"/>
      <c r="T343" s="194"/>
      <c r="U343" s="196"/>
      <c r="V343" s="194"/>
      <c r="W343" s="194" t="s">
        <v>302</v>
      </c>
      <c r="X343" s="196"/>
      <c r="Y343" s="24"/>
      <c r="Z343" s="194"/>
      <c r="AA343" s="229"/>
      <c r="AB343" s="194"/>
      <c r="AC343" s="273"/>
      <c r="AD343" s="229"/>
      <c r="AE343" s="24"/>
      <c r="AF343" s="24"/>
      <c r="AG343" s="22"/>
      <c r="AH343" s="45"/>
      <c r="AI343" s="24"/>
      <c r="AJ343" s="194"/>
      <c r="AK343" s="22"/>
      <c r="AL343" s="22"/>
      <c r="AM343" s="22"/>
      <c r="AN343" s="22"/>
      <c r="AO343" s="22"/>
      <c r="AP343" s="22"/>
      <c r="AQ343" s="22"/>
      <c r="AR343" s="22"/>
      <c r="AS343" s="22"/>
      <c r="AT343" s="135" t="s">
        <v>303</v>
      </c>
      <c r="AU343" s="24"/>
      <c r="AV343" s="135">
        <v>16331000</v>
      </c>
      <c r="AW343" s="22"/>
      <c r="AX343" s="22"/>
      <c r="AY343" s="22"/>
      <c r="AZ343" s="22"/>
      <c r="BA343" s="22"/>
      <c r="BB343" s="22"/>
      <c r="BC343" s="22"/>
      <c r="BD343" s="22"/>
      <c r="BE343" s="143" t="s">
        <v>115</v>
      </c>
      <c r="BF343" s="268" t="s">
        <v>305</v>
      </c>
      <c r="BG343" s="167" t="s">
        <v>306</v>
      </c>
      <c r="BH343" s="140" t="s">
        <v>303</v>
      </c>
      <c r="BI343" s="140">
        <v>16331000</v>
      </c>
      <c r="BJ343" s="47"/>
      <c r="BK343" s="46">
        <f t="shared" si="1"/>
        <v>1</v>
      </c>
      <c r="BL343" s="46"/>
      <c r="BM343" s="46"/>
      <c r="BN343" s="46"/>
    </row>
    <row r="344" spans="1:66" ht="15" hidden="1" customHeight="1">
      <c r="A344" s="22">
        <v>342</v>
      </c>
      <c r="B344" s="22" t="s">
        <v>411</v>
      </c>
      <c r="C344" s="22" t="e">
        <f t="shared" ca="1" si="0"/>
        <v>#NAME?</v>
      </c>
      <c r="D344" s="206" t="s">
        <v>307</v>
      </c>
      <c r="E344" s="22" t="s">
        <v>180</v>
      </c>
      <c r="F344" s="24" t="s">
        <v>1214</v>
      </c>
      <c r="G344" s="24" t="s">
        <v>1215</v>
      </c>
      <c r="H344" s="24"/>
      <c r="I344" s="24">
        <v>1</v>
      </c>
      <c r="J344" s="24" t="s">
        <v>1135</v>
      </c>
      <c r="K344" s="24"/>
      <c r="L344" s="24"/>
      <c r="M344" s="24"/>
      <c r="N344" s="24"/>
      <c r="O344" s="24"/>
      <c r="P344" s="226"/>
      <c r="Q344" s="226"/>
      <c r="R344" s="195"/>
      <c r="S344" s="194"/>
      <c r="T344" s="194"/>
      <c r="U344" s="196"/>
      <c r="V344" s="194"/>
      <c r="W344" s="194" t="s">
        <v>307</v>
      </c>
      <c r="X344" s="196"/>
      <c r="Y344" s="24"/>
      <c r="Z344" s="194"/>
      <c r="AA344" s="229"/>
      <c r="AB344" s="194"/>
      <c r="AC344" s="273"/>
      <c r="AD344" s="229"/>
      <c r="AE344" s="24"/>
      <c r="AF344" s="24"/>
      <c r="AG344" s="22"/>
      <c r="AH344" s="45"/>
      <c r="AI344" s="24"/>
      <c r="AJ344" s="194"/>
      <c r="AK344" s="22"/>
      <c r="AL344" s="22"/>
      <c r="AM344" s="22"/>
      <c r="AN344" s="22"/>
      <c r="AO344" s="22"/>
      <c r="AP344" s="22"/>
      <c r="AQ344" s="22"/>
      <c r="AR344" s="22"/>
      <c r="AS344" s="22"/>
      <c r="AT344" s="210" t="s">
        <v>309</v>
      </c>
      <c r="AU344" s="24"/>
      <c r="AV344" s="135">
        <v>449917004</v>
      </c>
      <c r="AW344" s="22"/>
      <c r="AX344" s="22"/>
      <c r="AY344" s="22"/>
      <c r="AZ344" s="22"/>
      <c r="BA344" s="22"/>
      <c r="BB344" s="22"/>
      <c r="BC344" s="22"/>
      <c r="BD344" s="22"/>
      <c r="BE344" s="143" t="s">
        <v>115</v>
      </c>
      <c r="BF344" s="268" t="s">
        <v>310</v>
      </c>
      <c r="BG344" s="167" t="s">
        <v>311</v>
      </c>
      <c r="BH344" s="245" t="s">
        <v>309</v>
      </c>
      <c r="BI344" s="140">
        <v>449917004</v>
      </c>
      <c r="BJ344" s="47"/>
      <c r="BK344" s="46">
        <f t="shared" si="1"/>
        <v>1</v>
      </c>
      <c r="BL344" s="46"/>
      <c r="BM344" s="46"/>
      <c r="BN344" s="46"/>
    </row>
    <row r="345" spans="1:66" ht="15" hidden="1" customHeight="1">
      <c r="A345" s="22">
        <v>343</v>
      </c>
      <c r="B345" s="22" t="s">
        <v>321</v>
      </c>
      <c r="C345" s="22" t="e">
        <f t="shared" ca="1" si="0"/>
        <v>#NAME?</v>
      </c>
      <c r="D345" s="206" t="s">
        <v>249</v>
      </c>
      <c r="E345" s="22" t="s">
        <v>180</v>
      </c>
      <c r="F345" s="24" t="s">
        <v>1214</v>
      </c>
      <c r="G345" s="24" t="s">
        <v>1215</v>
      </c>
      <c r="H345" s="24"/>
      <c r="I345" s="24">
        <v>1</v>
      </c>
      <c r="J345" s="24" t="s">
        <v>1135</v>
      </c>
      <c r="K345" s="24"/>
      <c r="L345" s="24"/>
      <c r="M345" s="24"/>
      <c r="N345" s="24"/>
      <c r="O345" s="24"/>
      <c r="P345" s="226"/>
      <c r="Q345" s="226"/>
      <c r="R345" s="195"/>
      <c r="S345" s="194"/>
      <c r="T345" s="194"/>
      <c r="U345" s="196"/>
      <c r="V345" s="194"/>
      <c r="W345" s="194" t="s">
        <v>249</v>
      </c>
      <c r="X345" s="196"/>
      <c r="Y345" s="24"/>
      <c r="Z345" s="194"/>
      <c r="AA345" s="229"/>
      <c r="AB345" s="194"/>
      <c r="AC345" s="273"/>
      <c r="AD345" s="229"/>
      <c r="AE345" s="24"/>
      <c r="AF345" s="24"/>
      <c r="AG345" s="22"/>
      <c r="AH345" s="45"/>
      <c r="AI345" s="24"/>
      <c r="AJ345" s="194"/>
      <c r="AK345" s="22"/>
      <c r="AL345" s="22"/>
      <c r="AM345" s="22"/>
      <c r="AN345" s="22"/>
      <c r="AO345" s="22"/>
      <c r="AP345" s="22"/>
      <c r="AQ345" s="22"/>
      <c r="AR345" s="22"/>
      <c r="AS345" s="22"/>
      <c r="AT345" s="135" t="s">
        <v>251</v>
      </c>
      <c r="AU345" s="24"/>
      <c r="AV345" s="135">
        <v>14760008</v>
      </c>
      <c r="AW345" s="22"/>
      <c r="AX345" s="22"/>
      <c r="AY345" s="22"/>
      <c r="AZ345" s="22"/>
      <c r="BA345" s="22"/>
      <c r="BB345" s="22"/>
      <c r="BC345" s="22"/>
      <c r="BD345" s="22"/>
      <c r="BE345" s="143" t="s">
        <v>115</v>
      </c>
      <c r="BF345" s="268" t="s">
        <v>252</v>
      </c>
      <c r="BG345" s="167" t="s">
        <v>253</v>
      </c>
      <c r="BH345" s="140" t="s">
        <v>251</v>
      </c>
      <c r="BI345" s="140">
        <v>14760008</v>
      </c>
      <c r="BJ345" s="47"/>
      <c r="BK345" s="46">
        <f t="shared" si="1"/>
        <v>1</v>
      </c>
      <c r="BL345" s="46"/>
      <c r="BM345" s="46"/>
      <c r="BN345" s="46"/>
    </row>
    <row r="346" spans="1:66" ht="15" hidden="1" customHeight="1">
      <c r="A346" s="22">
        <v>344</v>
      </c>
      <c r="B346" s="22" t="s">
        <v>434</v>
      </c>
      <c r="C346" s="22" t="e">
        <f t="shared" ca="1" si="0"/>
        <v>#NAME?</v>
      </c>
      <c r="D346" s="206" t="s">
        <v>320</v>
      </c>
      <c r="E346" s="22" t="s">
        <v>180</v>
      </c>
      <c r="F346" s="24" t="s">
        <v>1214</v>
      </c>
      <c r="G346" s="24" t="s">
        <v>1215</v>
      </c>
      <c r="H346" s="24"/>
      <c r="I346" s="24">
        <v>1</v>
      </c>
      <c r="J346" s="24" t="s">
        <v>1135</v>
      </c>
      <c r="K346" s="24"/>
      <c r="L346" s="24"/>
      <c r="M346" s="24"/>
      <c r="N346" s="24"/>
      <c r="O346" s="24"/>
      <c r="P346" s="226"/>
      <c r="Q346" s="226"/>
      <c r="R346" s="195"/>
      <c r="S346" s="194"/>
      <c r="T346" s="194"/>
      <c r="U346" s="196"/>
      <c r="V346" s="194"/>
      <c r="W346" s="194" t="s">
        <v>320</v>
      </c>
      <c r="X346" s="196"/>
      <c r="Y346" s="24"/>
      <c r="Z346" s="194"/>
      <c r="AA346" s="229"/>
      <c r="AB346" s="194"/>
      <c r="AC346" s="273"/>
      <c r="AD346" s="229"/>
      <c r="AE346" s="24"/>
      <c r="AF346" s="24"/>
      <c r="AG346" s="22"/>
      <c r="AH346" s="45"/>
      <c r="AI346" s="24"/>
      <c r="AJ346" s="194"/>
      <c r="AK346" s="22"/>
      <c r="AL346" s="22"/>
      <c r="AM346" s="22"/>
      <c r="AN346" s="22"/>
      <c r="AO346" s="22"/>
      <c r="AP346" s="22"/>
      <c r="AQ346" s="22"/>
      <c r="AR346" s="22"/>
      <c r="AS346" s="22"/>
      <c r="AT346" s="135" t="s">
        <v>322</v>
      </c>
      <c r="AU346" s="24"/>
      <c r="AV346" s="135">
        <v>279039007</v>
      </c>
      <c r="AW346" s="22"/>
      <c r="AX346" s="22"/>
      <c r="AY346" s="22"/>
      <c r="AZ346" s="22"/>
      <c r="BA346" s="22"/>
      <c r="BB346" s="22"/>
      <c r="BC346" s="22"/>
      <c r="BD346" s="22"/>
      <c r="BE346" s="143" t="s">
        <v>115</v>
      </c>
      <c r="BF346" s="268" t="s">
        <v>323</v>
      </c>
      <c r="BG346" s="167" t="s">
        <v>324</v>
      </c>
      <c r="BH346" s="140" t="s">
        <v>322</v>
      </c>
      <c r="BI346" s="140">
        <v>279039007</v>
      </c>
      <c r="BJ346" s="47"/>
      <c r="BK346" s="46">
        <f t="shared" si="1"/>
        <v>1</v>
      </c>
      <c r="BL346" s="46"/>
      <c r="BM346" s="46"/>
      <c r="BN346" s="46"/>
    </row>
    <row r="347" spans="1:66" ht="15" hidden="1" customHeight="1">
      <c r="A347" s="22">
        <v>345</v>
      </c>
      <c r="B347" s="22" t="s">
        <v>438</v>
      </c>
      <c r="C347" s="22" t="e">
        <f t="shared" ca="1" si="0"/>
        <v>#NAME?</v>
      </c>
      <c r="D347" s="206" t="s">
        <v>325</v>
      </c>
      <c r="E347" s="22" t="s">
        <v>180</v>
      </c>
      <c r="F347" s="24" t="s">
        <v>1214</v>
      </c>
      <c r="G347" s="24" t="s">
        <v>1215</v>
      </c>
      <c r="H347" s="24"/>
      <c r="I347" s="24">
        <v>1</v>
      </c>
      <c r="J347" s="24" t="s">
        <v>1135</v>
      </c>
      <c r="K347" s="24"/>
      <c r="L347" s="24"/>
      <c r="M347" s="24"/>
      <c r="N347" s="24"/>
      <c r="O347" s="24"/>
      <c r="P347" s="226"/>
      <c r="Q347" s="226"/>
      <c r="R347" s="195"/>
      <c r="S347" s="194"/>
      <c r="T347" s="194"/>
      <c r="U347" s="196"/>
      <c r="V347" s="194"/>
      <c r="W347" s="194" t="s">
        <v>325</v>
      </c>
      <c r="X347" s="196"/>
      <c r="Y347" s="24"/>
      <c r="Z347" s="194"/>
      <c r="AA347" s="229"/>
      <c r="AB347" s="194"/>
      <c r="AC347" s="273"/>
      <c r="AD347" s="229"/>
      <c r="AE347" s="24"/>
      <c r="AF347" s="24"/>
      <c r="AG347" s="22"/>
      <c r="AH347" s="45"/>
      <c r="AI347" s="24"/>
      <c r="AJ347" s="194"/>
      <c r="AK347" s="22"/>
      <c r="AL347" s="22"/>
      <c r="AM347" s="22"/>
      <c r="AN347" s="22"/>
      <c r="AO347" s="22"/>
      <c r="AP347" s="22"/>
      <c r="AQ347" s="22"/>
      <c r="AR347" s="22"/>
      <c r="AS347" s="22"/>
      <c r="AT347" s="210" t="s">
        <v>326</v>
      </c>
      <c r="AU347" s="24"/>
      <c r="AV347" s="135">
        <v>30473006</v>
      </c>
      <c r="AW347" s="22"/>
      <c r="AX347" s="22"/>
      <c r="AY347" s="22"/>
      <c r="AZ347" s="22"/>
      <c r="BA347" s="22"/>
      <c r="BB347" s="22"/>
      <c r="BC347" s="22"/>
      <c r="BD347" s="22"/>
      <c r="BE347" s="143" t="s">
        <v>115</v>
      </c>
      <c r="BF347" s="268" t="s">
        <v>328</v>
      </c>
      <c r="BG347" s="167" t="s">
        <v>329</v>
      </c>
      <c r="BH347" s="245" t="s">
        <v>326</v>
      </c>
      <c r="BI347" s="140">
        <v>30473006</v>
      </c>
      <c r="BJ347" s="47"/>
      <c r="BK347" s="46">
        <f t="shared" si="1"/>
        <v>1</v>
      </c>
      <c r="BL347" s="46"/>
      <c r="BM347" s="46"/>
      <c r="BN347" s="46"/>
    </row>
    <row r="348" spans="1:66" ht="15" hidden="1" customHeight="1">
      <c r="A348" s="22">
        <v>346</v>
      </c>
      <c r="B348" s="22" t="s">
        <v>1700</v>
      </c>
      <c r="C348" s="22" t="e">
        <f t="shared" ca="1" si="0"/>
        <v>#NAME?</v>
      </c>
      <c r="D348" s="206" t="s">
        <v>1229</v>
      </c>
      <c r="E348" s="22" t="s">
        <v>180</v>
      </c>
      <c r="F348" s="24" t="s">
        <v>1214</v>
      </c>
      <c r="G348" s="24" t="s">
        <v>1215</v>
      </c>
      <c r="H348" s="24"/>
      <c r="I348" s="24">
        <v>1</v>
      </c>
      <c r="J348" s="24" t="s">
        <v>1135</v>
      </c>
      <c r="K348" s="24"/>
      <c r="L348" s="24"/>
      <c r="M348" s="24"/>
      <c r="N348" s="24"/>
      <c r="O348" s="24"/>
      <c r="P348" s="226"/>
      <c r="Q348" s="226"/>
      <c r="R348" s="195"/>
      <c r="S348" s="194"/>
      <c r="T348" s="194"/>
      <c r="U348" s="196"/>
      <c r="V348" s="194"/>
      <c r="W348" s="194" t="s">
        <v>1229</v>
      </c>
      <c r="X348" s="196"/>
      <c r="Y348" s="24"/>
      <c r="Z348" s="194"/>
      <c r="AA348" s="229"/>
      <c r="AB348" s="194"/>
      <c r="AC348" s="273"/>
      <c r="AD348" s="229"/>
      <c r="AE348" s="24"/>
      <c r="AF348" s="24"/>
      <c r="AG348" s="22"/>
      <c r="AH348" s="45"/>
      <c r="AI348" s="24"/>
      <c r="AJ348" s="194"/>
      <c r="AK348" s="22"/>
      <c r="AL348" s="22"/>
      <c r="AM348" s="22"/>
      <c r="AN348" s="22"/>
      <c r="AO348" s="22"/>
      <c r="AP348" s="22"/>
      <c r="AQ348" s="22"/>
      <c r="AR348" s="22"/>
      <c r="AS348" s="22"/>
      <c r="AT348" s="135" t="s">
        <v>1230</v>
      </c>
      <c r="AU348" s="24"/>
      <c r="AV348" s="135">
        <v>72866009</v>
      </c>
      <c r="AW348" s="22"/>
      <c r="AX348" s="22"/>
      <c r="AY348" s="22"/>
      <c r="AZ348" s="22"/>
      <c r="BA348" s="22"/>
      <c r="BB348" s="22"/>
      <c r="BC348" s="22"/>
      <c r="BD348" s="22"/>
      <c r="BE348" s="277" t="s">
        <v>115</v>
      </c>
      <c r="BF348" s="278" t="s">
        <v>1231</v>
      </c>
      <c r="BG348" s="279" t="s">
        <v>1233</v>
      </c>
      <c r="BH348" s="140" t="s">
        <v>1230</v>
      </c>
      <c r="BI348" s="140">
        <v>72866009</v>
      </c>
      <c r="BJ348" s="47"/>
      <c r="BK348" s="46">
        <f t="shared" si="1"/>
        <v>1</v>
      </c>
      <c r="BL348" s="46"/>
      <c r="BM348" s="46"/>
      <c r="BN348" s="46"/>
    </row>
    <row r="349" spans="1:66" ht="15" hidden="1" customHeight="1">
      <c r="A349" s="22">
        <v>347</v>
      </c>
      <c r="B349" s="22" t="s">
        <v>449</v>
      </c>
      <c r="C349" s="22" t="e">
        <f t="shared" ca="1" si="0"/>
        <v>#NAME?</v>
      </c>
      <c r="D349" s="206" t="s">
        <v>340</v>
      </c>
      <c r="E349" s="22" t="s">
        <v>180</v>
      </c>
      <c r="F349" s="24" t="s">
        <v>1214</v>
      </c>
      <c r="G349" s="24" t="s">
        <v>1215</v>
      </c>
      <c r="H349" s="24"/>
      <c r="I349" s="24">
        <v>1</v>
      </c>
      <c r="J349" s="24" t="s">
        <v>1135</v>
      </c>
      <c r="K349" s="24"/>
      <c r="L349" s="24"/>
      <c r="M349" s="24"/>
      <c r="N349" s="24"/>
      <c r="O349" s="24"/>
      <c r="P349" s="226"/>
      <c r="Q349" s="226"/>
      <c r="R349" s="195"/>
      <c r="S349" s="194"/>
      <c r="T349" s="194"/>
      <c r="U349" s="196"/>
      <c r="V349" s="194"/>
      <c r="W349" s="194" t="s">
        <v>340</v>
      </c>
      <c r="X349" s="196"/>
      <c r="Y349" s="24"/>
      <c r="Z349" s="194"/>
      <c r="AA349" s="229"/>
      <c r="AB349" s="194"/>
      <c r="AC349" s="273"/>
      <c r="AD349" s="229"/>
      <c r="AE349" s="24"/>
      <c r="AF349" s="24"/>
      <c r="AG349" s="22"/>
      <c r="AH349" s="45"/>
      <c r="AI349" s="24"/>
      <c r="AJ349" s="194"/>
      <c r="AK349" s="22"/>
      <c r="AL349" s="22"/>
      <c r="AM349" s="22"/>
      <c r="AN349" s="22"/>
      <c r="AO349" s="22"/>
      <c r="AP349" s="22"/>
      <c r="AQ349" s="22"/>
      <c r="AR349" s="22"/>
      <c r="AS349" s="22"/>
      <c r="AT349" s="210" t="s">
        <v>342</v>
      </c>
      <c r="AU349" s="24"/>
      <c r="AV349" s="135">
        <v>267038008</v>
      </c>
      <c r="AW349" s="22"/>
      <c r="AX349" s="22"/>
      <c r="AY349" s="22"/>
      <c r="AZ349" s="22"/>
      <c r="BA349" s="22"/>
      <c r="BB349" s="22"/>
      <c r="BC349" s="22"/>
      <c r="BD349" s="22"/>
      <c r="BE349" s="280" t="s">
        <v>115</v>
      </c>
      <c r="BF349" s="268" t="s">
        <v>343</v>
      </c>
      <c r="BG349" s="167" t="s">
        <v>344</v>
      </c>
      <c r="BH349" s="245" t="s">
        <v>342</v>
      </c>
      <c r="BI349" s="140">
        <v>267038008</v>
      </c>
      <c r="BJ349" s="47"/>
      <c r="BK349" s="46">
        <f t="shared" si="1"/>
        <v>1</v>
      </c>
      <c r="BL349" s="46"/>
      <c r="BM349" s="46"/>
      <c r="BN349" s="46"/>
    </row>
    <row r="350" spans="1:66" ht="51.75" hidden="1" customHeight="1">
      <c r="A350" s="22">
        <v>348</v>
      </c>
      <c r="B350" s="22" t="s">
        <v>553</v>
      </c>
      <c r="C350" s="22" t="e">
        <f t="shared" ca="1" si="0"/>
        <v>#NAME?</v>
      </c>
      <c r="D350" s="206" t="s">
        <v>423</v>
      </c>
      <c r="E350" s="22" t="s">
        <v>180</v>
      </c>
      <c r="F350" s="24" t="s">
        <v>1214</v>
      </c>
      <c r="G350" s="24" t="s">
        <v>1215</v>
      </c>
      <c r="H350" s="24"/>
      <c r="I350" s="24">
        <v>1</v>
      </c>
      <c r="J350" s="24" t="s">
        <v>1135</v>
      </c>
      <c r="K350" s="24"/>
      <c r="L350" s="24"/>
      <c r="M350" s="24"/>
      <c r="N350" s="24"/>
      <c r="O350" s="24"/>
      <c r="P350" s="226"/>
      <c r="Q350" s="226"/>
      <c r="R350" s="247"/>
      <c r="S350" s="194"/>
      <c r="T350" s="194" t="s">
        <v>1235</v>
      </c>
      <c r="U350" s="194" t="s">
        <v>238</v>
      </c>
      <c r="V350" s="194"/>
      <c r="W350" s="194" t="s">
        <v>423</v>
      </c>
      <c r="X350" s="196"/>
      <c r="Y350" s="24"/>
      <c r="Z350" s="239" t="s">
        <v>1056</v>
      </c>
      <c r="AA350" s="229"/>
      <c r="AB350" s="194"/>
      <c r="AC350" s="273"/>
      <c r="AD350" s="229"/>
      <c r="AE350" s="24"/>
      <c r="AF350" s="24"/>
      <c r="AG350" s="22"/>
      <c r="AH350" s="45"/>
      <c r="AI350" s="24"/>
      <c r="AJ350" s="196"/>
      <c r="AK350" s="22"/>
      <c r="AL350" s="22"/>
      <c r="AM350" s="22"/>
      <c r="AN350" s="22"/>
      <c r="AO350" s="22"/>
      <c r="AP350" s="22"/>
      <c r="AQ350" s="22"/>
      <c r="AR350" s="22"/>
      <c r="AS350" s="22"/>
      <c r="AT350" s="271"/>
      <c r="AU350" s="24"/>
      <c r="AV350" s="135">
        <v>260413007</v>
      </c>
      <c r="AW350" s="22"/>
      <c r="AX350" s="22"/>
      <c r="AY350" s="22"/>
      <c r="AZ350" s="22"/>
      <c r="BA350" s="22"/>
      <c r="BB350" s="22"/>
      <c r="BC350" s="22"/>
      <c r="BD350" s="22"/>
      <c r="BE350" s="143" t="s">
        <v>115</v>
      </c>
      <c r="BF350" s="268" t="s">
        <v>424</v>
      </c>
      <c r="BG350" s="167" t="s">
        <v>425</v>
      </c>
      <c r="BH350" s="47"/>
      <c r="BI350" s="140">
        <v>260413007</v>
      </c>
      <c r="BJ350" s="47"/>
      <c r="BK350" s="46">
        <f t="shared" si="1"/>
        <v>1</v>
      </c>
      <c r="BL350" s="46"/>
      <c r="BM350" s="46"/>
      <c r="BN350" s="46"/>
    </row>
    <row r="351" spans="1:66" ht="15" hidden="1" customHeight="1">
      <c r="A351" s="22">
        <v>349</v>
      </c>
      <c r="B351" s="22" t="s">
        <v>327</v>
      </c>
      <c r="C351" s="22" t="e">
        <f t="shared" ca="1" si="0"/>
        <v>#NAME?</v>
      </c>
      <c r="D351" s="206" t="s">
        <v>254</v>
      </c>
      <c r="E351" s="22" t="s">
        <v>180</v>
      </c>
      <c r="F351" s="24" t="s">
        <v>1214</v>
      </c>
      <c r="G351" s="24" t="s">
        <v>1215</v>
      </c>
      <c r="H351" s="24"/>
      <c r="I351" s="24">
        <v>1</v>
      </c>
      <c r="J351" s="24" t="s">
        <v>1135</v>
      </c>
      <c r="K351" s="24"/>
      <c r="L351" s="24"/>
      <c r="M351" s="24"/>
      <c r="N351" s="24"/>
      <c r="O351" s="24"/>
      <c r="P351" s="226"/>
      <c r="Q351" s="226"/>
      <c r="R351" s="247"/>
      <c r="S351" s="194"/>
      <c r="T351" s="194"/>
      <c r="U351" s="194"/>
      <c r="V351" s="194"/>
      <c r="W351" s="194" t="s">
        <v>254</v>
      </c>
      <c r="X351" s="196"/>
      <c r="Y351" s="24"/>
      <c r="Z351" s="196"/>
      <c r="AA351" s="229"/>
      <c r="AB351" s="194"/>
      <c r="AC351" s="273"/>
      <c r="AD351" s="229"/>
      <c r="AE351" s="24"/>
      <c r="AF351" s="24"/>
      <c r="AG351" s="22"/>
      <c r="AH351" s="45"/>
      <c r="AI351" s="24"/>
      <c r="AJ351" s="196"/>
      <c r="AK351" s="22"/>
      <c r="AL351" s="22"/>
      <c r="AM351" s="22"/>
      <c r="AN351" s="22"/>
      <c r="AO351" s="22"/>
      <c r="AP351" s="22"/>
      <c r="AQ351" s="22"/>
      <c r="AR351" s="22"/>
      <c r="AS351" s="22"/>
      <c r="AT351" s="271"/>
      <c r="AU351" s="24"/>
      <c r="AV351" s="135">
        <v>289741005</v>
      </c>
      <c r="AW351" s="22"/>
      <c r="AX351" s="22"/>
      <c r="AY351" s="22"/>
      <c r="AZ351" s="22"/>
      <c r="BA351" s="22"/>
      <c r="BB351" s="22"/>
      <c r="BC351" s="22"/>
      <c r="BD351" s="22"/>
      <c r="BE351" s="143" t="s">
        <v>115</v>
      </c>
      <c r="BF351" s="268" t="s">
        <v>256</v>
      </c>
      <c r="BG351" s="167" t="s">
        <v>257</v>
      </c>
      <c r="BH351" s="47"/>
      <c r="BI351" s="140">
        <v>289741005</v>
      </c>
      <c r="BJ351" s="47"/>
      <c r="BK351" s="46">
        <f t="shared" si="1"/>
        <v>1</v>
      </c>
      <c r="BL351" s="46"/>
      <c r="BM351" s="46"/>
      <c r="BN351" s="46"/>
    </row>
    <row r="352" spans="1:66" ht="15" hidden="1" customHeight="1">
      <c r="A352" s="22">
        <v>350</v>
      </c>
      <c r="B352" s="22" t="s">
        <v>491</v>
      </c>
      <c r="C352" s="22" t="e">
        <f t="shared" ca="1" si="0"/>
        <v>#NAME?</v>
      </c>
      <c r="D352" s="206" t="s">
        <v>369</v>
      </c>
      <c r="E352" s="22" t="s">
        <v>180</v>
      </c>
      <c r="F352" s="24" t="s">
        <v>1214</v>
      </c>
      <c r="G352" s="24" t="s">
        <v>1215</v>
      </c>
      <c r="H352" s="24"/>
      <c r="I352" s="24">
        <v>1</v>
      </c>
      <c r="J352" s="24" t="s">
        <v>1135</v>
      </c>
      <c r="K352" s="24"/>
      <c r="L352" s="24"/>
      <c r="M352" s="24"/>
      <c r="N352" s="24"/>
      <c r="O352" s="24"/>
      <c r="P352" s="226"/>
      <c r="Q352" s="226"/>
      <c r="R352" s="247"/>
      <c r="S352" s="194"/>
      <c r="T352" s="194"/>
      <c r="U352" s="194"/>
      <c r="V352" s="194"/>
      <c r="W352" s="194" t="s">
        <v>369</v>
      </c>
      <c r="X352" s="196"/>
      <c r="Y352" s="24"/>
      <c r="Z352" s="196"/>
      <c r="AA352" s="229"/>
      <c r="AB352" s="194"/>
      <c r="AC352" s="273"/>
      <c r="AD352" s="229"/>
      <c r="AE352" s="24"/>
      <c r="AF352" s="24"/>
      <c r="AG352" s="22"/>
      <c r="AH352" s="45"/>
      <c r="AI352" s="24"/>
      <c r="AJ352" s="196"/>
      <c r="AK352" s="22"/>
      <c r="AL352" s="22"/>
      <c r="AM352" s="22"/>
      <c r="AN352" s="22"/>
      <c r="AO352" s="22"/>
      <c r="AP352" s="22"/>
      <c r="AQ352" s="22"/>
      <c r="AR352" s="22"/>
      <c r="AS352" s="22"/>
      <c r="AT352" s="135" t="s">
        <v>370</v>
      </c>
      <c r="AU352" s="24"/>
      <c r="AV352" s="135">
        <v>49650001</v>
      </c>
      <c r="AW352" s="22"/>
      <c r="AX352" s="22"/>
      <c r="AY352" s="22"/>
      <c r="AZ352" s="22"/>
      <c r="BA352" s="22"/>
      <c r="BB352" s="22"/>
      <c r="BC352" s="22"/>
      <c r="BD352" s="22"/>
      <c r="BE352" s="143" t="s">
        <v>115</v>
      </c>
      <c r="BF352" s="268" t="s">
        <v>371</v>
      </c>
      <c r="BG352" s="167" t="s">
        <v>372</v>
      </c>
      <c r="BH352" s="145" t="s">
        <v>370</v>
      </c>
      <c r="BI352" s="145">
        <v>49650001</v>
      </c>
      <c r="BJ352" s="64"/>
      <c r="BK352" s="46">
        <f t="shared" si="1"/>
        <v>1</v>
      </c>
      <c r="BL352" s="46"/>
      <c r="BM352" s="46"/>
      <c r="BN352" s="46"/>
    </row>
    <row r="353" spans="1:66" ht="12.75" hidden="1" customHeight="1">
      <c r="A353" s="22">
        <v>351</v>
      </c>
      <c r="B353" s="22" t="s">
        <v>1721</v>
      </c>
      <c r="C353" s="22" t="e">
        <f t="shared" ca="1" si="0"/>
        <v>#NAME?</v>
      </c>
      <c r="D353" s="206" t="s">
        <v>1237</v>
      </c>
      <c r="E353" s="22" t="s">
        <v>180</v>
      </c>
      <c r="F353" s="24" t="s">
        <v>1214</v>
      </c>
      <c r="G353" s="24" t="s">
        <v>1215</v>
      </c>
      <c r="H353" s="24"/>
      <c r="I353" s="24">
        <v>1</v>
      </c>
      <c r="J353" s="24" t="s">
        <v>1135</v>
      </c>
      <c r="K353" s="24"/>
      <c r="L353" s="24"/>
      <c r="M353" s="24"/>
      <c r="N353" s="24"/>
      <c r="O353" s="24"/>
      <c r="P353" s="226"/>
      <c r="Q353" s="226"/>
      <c r="R353" s="247"/>
      <c r="S353" s="194"/>
      <c r="T353" s="194"/>
      <c r="U353" s="194"/>
      <c r="V353" s="194"/>
      <c r="W353" s="194" t="s">
        <v>1237</v>
      </c>
      <c r="X353" s="196"/>
      <c r="Y353" s="24"/>
      <c r="Z353" s="196"/>
      <c r="AA353" s="229"/>
      <c r="AB353" s="194"/>
      <c r="AC353" s="273"/>
      <c r="AD353" s="229"/>
      <c r="AE353" s="24"/>
      <c r="AF353" s="24"/>
      <c r="AG353" s="22"/>
      <c r="AH353" s="45"/>
      <c r="AI353" s="24"/>
      <c r="AJ353" s="196"/>
      <c r="AK353" s="22"/>
      <c r="AL353" s="22"/>
      <c r="AM353" s="22"/>
      <c r="AN353" s="22"/>
      <c r="AO353" s="22"/>
      <c r="AP353" s="22"/>
      <c r="AQ353" s="22"/>
      <c r="AR353" s="22"/>
      <c r="AS353" s="22"/>
      <c r="AT353" s="272"/>
      <c r="AU353" s="152"/>
      <c r="AV353" s="257"/>
      <c r="AW353" s="257"/>
      <c r="AX353" s="257"/>
      <c r="AY353" s="257"/>
      <c r="AZ353" s="257"/>
      <c r="BA353" s="257"/>
      <c r="BB353" s="257"/>
      <c r="BC353" s="257"/>
      <c r="BD353" s="257"/>
      <c r="BE353" s="280" t="s">
        <v>115</v>
      </c>
      <c r="BF353" s="268" t="s">
        <v>279</v>
      </c>
      <c r="BG353" s="167" t="s">
        <v>280</v>
      </c>
      <c r="BH353" s="153"/>
      <c r="BI353" s="154"/>
      <c r="BJ353" s="154"/>
      <c r="BK353" s="46">
        <f t="shared" si="1"/>
        <v>1</v>
      </c>
      <c r="BL353" s="46"/>
      <c r="BM353" s="46"/>
      <c r="BN353" s="46"/>
    </row>
    <row r="354" spans="1:66" ht="12.75" hidden="1" customHeight="1">
      <c r="A354" s="22">
        <v>352</v>
      </c>
      <c r="B354" s="22" t="s">
        <v>1239</v>
      </c>
      <c r="C354" s="22" t="str">
        <f t="shared" si="0"/>
        <v>Symptoms in addition to varicose veins or oedema.</v>
      </c>
      <c r="D354" s="206" t="s">
        <v>1239</v>
      </c>
      <c r="E354" s="22" t="s">
        <v>96</v>
      </c>
      <c r="F354" s="24"/>
      <c r="G354" s="24" t="s">
        <v>1215</v>
      </c>
      <c r="H354" s="24"/>
      <c r="I354" s="24">
        <v>1</v>
      </c>
      <c r="J354" s="24" t="s">
        <v>1135</v>
      </c>
      <c r="K354" s="24"/>
      <c r="L354" s="24"/>
      <c r="M354" s="24"/>
      <c r="N354" s="24"/>
      <c r="O354" s="24"/>
      <c r="P354" s="226"/>
      <c r="Q354" s="226"/>
      <c r="R354" s="247"/>
      <c r="S354" s="194"/>
      <c r="T354" s="194" t="s">
        <v>1240</v>
      </c>
      <c r="U354" s="194" t="s">
        <v>238</v>
      </c>
      <c r="V354" s="194"/>
      <c r="W354" s="194"/>
      <c r="X354" s="196"/>
      <c r="Y354" s="24"/>
      <c r="Z354" s="196"/>
      <c r="AA354" s="229"/>
      <c r="AB354" s="194" t="s">
        <v>113</v>
      </c>
      <c r="AC354" s="273"/>
      <c r="AD354" s="229"/>
      <c r="AE354" s="24"/>
      <c r="AF354" s="24"/>
      <c r="AG354" s="22"/>
      <c r="AH354" s="45"/>
      <c r="AI354" s="24"/>
      <c r="AJ354" s="196" t="s">
        <v>115</v>
      </c>
      <c r="AK354" s="22"/>
      <c r="AL354" s="22"/>
      <c r="AM354" s="22"/>
      <c r="AN354" s="22"/>
      <c r="AO354" s="22"/>
      <c r="AP354" s="22"/>
      <c r="AQ354" s="22"/>
      <c r="AR354" s="22"/>
      <c r="AS354" s="22"/>
      <c r="AT354" s="272"/>
      <c r="AU354" s="152"/>
      <c r="AV354" s="257"/>
      <c r="AW354" s="257"/>
      <c r="AX354" s="257"/>
      <c r="AY354" s="257"/>
      <c r="AZ354" s="257"/>
      <c r="BA354" s="257"/>
      <c r="BB354" s="257"/>
      <c r="BC354" s="257"/>
      <c r="BD354" s="257"/>
      <c r="BE354" s="277" t="s">
        <v>1241</v>
      </c>
      <c r="BF354" s="278" t="s">
        <v>1220</v>
      </c>
      <c r="BG354" s="279" t="s">
        <v>1221</v>
      </c>
      <c r="BH354" s="153"/>
      <c r="BI354" s="154"/>
      <c r="BJ354" s="154"/>
      <c r="BK354" s="46">
        <f t="shared" si="1"/>
        <v>1</v>
      </c>
      <c r="BL354" s="46"/>
      <c r="BM354" s="46"/>
      <c r="BN354" s="46"/>
    </row>
    <row r="355" spans="1:66" ht="39" hidden="1" customHeight="1">
      <c r="A355" s="22">
        <v>353</v>
      </c>
      <c r="B355" s="22" t="s">
        <v>553</v>
      </c>
      <c r="C355" s="22" t="e">
        <f t="shared" ca="1" si="0"/>
        <v>#NAME?</v>
      </c>
      <c r="D355" s="206" t="s">
        <v>423</v>
      </c>
      <c r="E355" s="22" t="s">
        <v>180</v>
      </c>
      <c r="F355" s="24" t="s">
        <v>423</v>
      </c>
      <c r="G355" s="24" t="s">
        <v>1215</v>
      </c>
      <c r="H355" s="24"/>
      <c r="I355" s="24">
        <v>1</v>
      </c>
      <c r="J355" s="24" t="s">
        <v>1135</v>
      </c>
      <c r="K355" s="24"/>
      <c r="L355" s="24"/>
      <c r="M355" s="24"/>
      <c r="N355" s="24"/>
      <c r="O355" s="24"/>
      <c r="P355" s="226"/>
      <c r="Q355" s="226"/>
      <c r="R355" s="247"/>
      <c r="S355" s="196"/>
      <c r="T355" s="196"/>
      <c r="U355" s="196"/>
      <c r="V355" s="194"/>
      <c r="W355" s="194" t="s">
        <v>423</v>
      </c>
      <c r="X355" s="196"/>
      <c r="Y355" s="24"/>
      <c r="Z355" s="239" t="s">
        <v>1056</v>
      </c>
      <c r="AA355" s="229"/>
      <c r="AB355" s="196"/>
      <c r="AC355" s="273"/>
      <c r="AD355" s="229"/>
      <c r="AE355" s="24"/>
      <c r="AF355" s="24"/>
      <c r="AG355" s="22"/>
      <c r="AH355" s="45"/>
      <c r="AI355" s="24"/>
      <c r="AJ355" s="196"/>
      <c r="AK355" s="22"/>
      <c r="AL355" s="22"/>
      <c r="AM355" s="22"/>
      <c r="AN355" s="22"/>
      <c r="AO355" s="22"/>
      <c r="AP355" s="22"/>
      <c r="AQ355" s="22"/>
      <c r="AR355" s="22"/>
      <c r="AS355" s="22"/>
      <c r="AT355" s="271"/>
      <c r="AU355" s="24"/>
      <c r="AV355" s="135">
        <v>260413007</v>
      </c>
      <c r="AW355" s="22"/>
      <c r="AX355" s="22"/>
      <c r="AY355" s="22"/>
      <c r="AZ355" s="22"/>
      <c r="BA355" s="22"/>
      <c r="BB355" s="22"/>
      <c r="BC355" s="22"/>
      <c r="BD355" s="22"/>
      <c r="BE355" s="143" t="s">
        <v>115</v>
      </c>
      <c r="BF355" s="268" t="s">
        <v>424</v>
      </c>
      <c r="BG355" s="167" t="s">
        <v>425</v>
      </c>
      <c r="BH355" s="64"/>
      <c r="BI355" s="145">
        <v>260413007</v>
      </c>
      <c r="BJ355" s="47"/>
      <c r="BK355" s="46">
        <f t="shared" si="1"/>
        <v>1</v>
      </c>
      <c r="BL355" s="46"/>
      <c r="BM355" s="46"/>
      <c r="BN355" s="46"/>
    </row>
    <row r="356" spans="1:66" ht="15" hidden="1" customHeight="1">
      <c r="A356" s="22">
        <v>354</v>
      </c>
      <c r="B356" s="22" t="s">
        <v>420</v>
      </c>
      <c r="C356" s="22" t="e">
        <f t="shared" ca="1" si="0"/>
        <v>#NAME?</v>
      </c>
      <c r="D356" s="206" t="s">
        <v>312</v>
      </c>
      <c r="E356" s="22" t="s">
        <v>180</v>
      </c>
      <c r="F356" s="24" t="s">
        <v>312</v>
      </c>
      <c r="G356" s="24" t="s">
        <v>1215</v>
      </c>
      <c r="H356" s="24"/>
      <c r="I356" s="24">
        <v>1</v>
      </c>
      <c r="J356" s="24" t="s">
        <v>1135</v>
      </c>
      <c r="K356" s="24"/>
      <c r="L356" s="24"/>
      <c r="M356" s="24"/>
      <c r="N356" s="24"/>
      <c r="O356" s="24"/>
      <c r="P356" s="226"/>
      <c r="Q356" s="226"/>
      <c r="R356" s="247"/>
      <c r="S356" s="196"/>
      <c r="T356" s="196"/>
      <c r="U356" s="196"/>
      <c r="V356" s="242"/>
      <c r="W356" s="242" t="s">
        <v>312</v>
      </c>
      <c r="X356" s="196"/>
      <c r="Y356" s="24"/>
      <c r="Z356" s="196"/>
      <c r="AA356" s="229"/>
      <c r="AB356" s="196"/>
      <c r="AC356" s="273"/>
      <c r="AD356" s="229"/>
      <c r="AE356" s="24"/>
      <c r="AF356" s="24"/>
      <c r="AG356" s="22"/>
      <c r="AH356" s="45"/>
      <c r="AI356" s="24"/>
      <c r="AJ356" s="196"/>
      <c r="AK356" s="22"/>
      <c r="AL356" s="22"/>
      <c r="AM356" s="22"/>
      <c r="AN356" s="22"/>
      <c r="AO356" s="22"/>
      <c r="AP356" s="22"/>
      <c r="AQ356" s="22"/>
      <c r="AR356" s="22"/>
      <c r="AS356" s="22"/>
      <c r="AT356" s="172" t="s">
        <v>314</v>
      </c>
      <c r="AU356" s="24"/>
      <c r="AV356" s="156">
        <v>10601006</v>
      </c>
      <c r="AW356" s="22"/>
      <c r="AX356" s="22"/>
      <c r="AY356" s="22"/>
      <c r="AZ356" s="22"/>
      <c r="BA356" s="22"/>
      <c r="BB356" s="22"/>
      <c r="BC356" s="22"/>
      <c r="BD356" s="22"/>
      <c r="BE356" s="143" t="s">
        <v>115</v>
      </c>
      <c r="BF356" s="268" t="s">
        <v>315</v>
      </c>
      <c r="BG356" s="167" t="s">
        <v>316</v>
      </c>
      <c r="BH356" s="188" t="s">
        <v>314</v>
      </c>
      <c r="BI356" s="157">
        <v>10601006</v>
      </c>
      <c r="BJ356" s="64"/>
      <c r="BK356" s="46">
        <f t="shared" si="1"/>
        <v>1</v>
      </c>
      <c r="BL356" s="46"/>
      <c r="BM356" s="46"/>
      <c r="BN356" s="46"/>
    </row>
    <row r="357" spans="1:66" ht="12.75" hidden="1" customHeight="1">
      <c r="A357" s="22">
        <v>355</v>
      </c>
      <c r="B357" s="22" t="s">
        <v>427</v>
      </c>
      <c r="C357" s="22" t="e">
        <f t="shared" ca="1" si="0"/>
        <v>#NAME?</v>
      </c>
      <c r="D357" s="206" t="s">
        <v>317</v>
      </c>
      <c r="E357" s="22" t="s">
        <v>180</v>
      </c>
      <c r="F357" s="24" t="s">
        <v>317</v>
      </c>
      <c r="G357" s="24" t="s">
        <v>1215</v>
      </c>
      <c r="H357" s="24"/>
      <c r="I357" s="24">
        <v>1</v>
      </c>
      <c r="J357" s="24" t="s">
        <v>1135</v>
      </c>
      <c r="K357" s="24"/>
      <c r="L357" s="24"/>
      <c r="M357" s="24"/>
      <c r="N357" s="24"/>
      <c r="O357" s="24"/>
      <c r="P357" s="226"/>
      <c r="Q357" s="226"/>
      <c r="R357" s="247"/>
      <c r="S357" s="196"/>
      <c r="T357" s="196"/>
      <c r="U357" s="196"/>
      <c r="V357" s="242"/>
      <c r="W357" s="242" t="s">
        <v>317</v>
      </c>
      <c r="X357" s="196"/>
      <c r="Y357" s="24"/>
      <c r="Z357" s="196"/>
      <c r="AA357" s="229"/>
      <c r="AB357" s="196"/>
      <c r="AC357" s="273"/>
      <c r="AD357" s="229"/>
      <c r="AE357" s="24"/>
      <c r="AF357" s="24"/>
      <c r="AG357" s="22"/>
      <c r="AH357" s="45"/>
      <c r="AI357" s="24"/>
      <c r="AJ357" s="196"/>
      <c r="AK357" s="22"/>
      <c r="AL357" s="22"/>
      <c r="AM357" s="22"/>
      <c r="AN357" s="22"/>
      <c r="AO357" s="22"/>
      <c r="AP357" s="22"/>
      <c r="AQ357" s="22"/>
      <c r="AR357" s="22"/>
      <c r="AS357" s="22"/>
      <c r="AT357" s="272"/>
      <c r="AU357" s="152"/>
      <c r="AV357" s="257"/>
      <c r="AW357" s="257"/>
      <c r="AX357" s="257"/>
      <c r="AY357" s="257"/>
      <c r="AZ357" s="257"/>
      <c r="BA357" s="257"/>
      <c r="BB357" s="257"/>
      <c r="BC357" s="257"/>
      <c r="BD357" s="257"/>
      <c r="BE357" s="280" t="s">
        <v>115</v>
      </c>
      <c r="BF357" s="268" t="s">
        <v>318</v>
      </c>
      <c r="BG357" s="167" t="s">
        <v>319</v>
      </c>
      <c r="BH357" s="153"/>
      <c r="BI357" s="154"/>
      <c r="BJ357" s="154"/>
      <c r="BK357" s="46">
        <f t="shared" si="1"/>
        <v>1</v>
      </c>
      <c r="BL357" s="46"/>
      <c r="BM357" s="46"/>
      <c r="BN357" s="46"/>
    </row>
    <row r="358" spans="1:66" ht="12.75" hidden="1" customHeight="1">
      <c r="A358" s="22">
        <v>356</v>
      </c>
      <c r="B358" s="22" t="s">
        <v>1245</v>
      </c>
      <c r="C358" s="22" t="str">
        <f t="shared" si="0"/>
        <v>Which of the following other symptoms persist?</v>
      </c>
      <c r="D358" s="206" t="s">
        <v>1245</v>
      </c>
      <c r="E358" s="22" t="s">
        <v>96</v>
      </c>
      <c r="F358" s="24"/>
      <c r="G358" s="24" t="s">
        <v>1215</v>
      </c>
      <c r="H358" s="24"/>
      <c r="I358" s="24">
        <v>1</v>
      </c>
      <c r="J358" s="24" t="s">
        <v>1135</v>
      </c>
      <c r="K358" s="24"/>
      <c r="L358" s="24"/>
      <c r="M358" s="24"/>
      <c r="N358" s="24"/>
      <c r="O358" s="24"/>
      <c r="P358" s="226"/>
      <c r="Q358" s="226"/>
      <c r="R358" s="195" t="s">
        <v>1245</v>
      </c>
      <c r="S358" s="194" t="s">
        <v>1246</v>
      </c>
      <c r="T358" s="194" t="s">
        <v>1247</v>
      </c>
      <c r="U358" s="196" t="s">
        <v>238</v>
      </c>
      <c r="V358" s="194"/>
      <c r="W358" s="194"/>
      <c r="X358" s="196"/>
      <c r="Y358" s="24"/>
      <c r="Z358" s="194"/>
      <c r="AA358" s="229"/>
      <c r="AB358" s="194"/>
      <c r="AC358" s="273"/>
      <c r="AD358" s="229"/>
      <c r="AE358" s="24"/>
      <c r="AF358" s="24"/>
      <c r="AG358" s="22"/>
      <c r="AH358" s="45"/>
      <c r="AI358" s="24"/>
      <c r="AJ358" s="194" t="s">
        <v>115</v>
      </c>
      <c r="AK358" s="22"/>
      <c r="AL358" s="22"/>
      <c r="AM358" s="22"/>
      <c r="AN358" s="22"/>
      <c r="AO358" s="22"/>
      <c r="AP358" s="22"/>
      <c r="AQ358" s="22"/>
      <c r="AR358" s="22"/>
      <c r="AS358" s="22"/>
      <c r="AT358" s="272"/>
      <c r="AU358" s="152"/>
      <c r="AV358" s="257"/>
      <c r="AW358" s="257"/>
      <c r="AX358" s="257"/>
      <c r="AY358" s="257"/>
      <c r="AZ358" s="257"/>
      <c r="BA358" s="257"/>
      <c r="BB358" s="257"/>
      <c r="BC358" s="257"/>
      <c r="BD358" s="257"/>
      <c r="BE358" s="277" t="s">
        <v>1219</v>
      </c>
      <c r="BF358" s="278" t="s">
        <v>1220</v>
      </c>
      <c r="BG358" s="279" t="s">
        <v>1221</v>
      </c>
      <c r="BH358" s="153"/>
      <c r="BI358" s="154"/>
      <c r="BJ358" s="154"/>
      <c r="BK358" s="46">
        <f t="shared" si="1"/>
        <v>1</v>
      </c>
      <c r="BL358" s="46"/>
      <c r="BM358" s="46"/>
      <c r="BN358" s="46"/>
    </row>
    <row r="359" spans="1:66" ht="39" hidden="1" customHeight="1">
      <c r="A359" s="22">
        <v>357</v>
      </c>
      <c r="B359" s="22" t="s">
        <v>553</v>
      </c>
      <c r="C359" s="22" t="e">
        <f t="shared" ca="1" si="0"/>
        <v>#NAME?</v>
      </c>
      <c r="D359" s="206" t="s">
        <v>423</v>
      </c>
      <c r="E359" s="22" t="s">
        <v>180</v>
      </c>
      <c r="F359" s="24" t="s">
        <v>1245</v>
      </c>
      <c r="G359" s="24" t="s">
        <v>1215</v>
      </c>
      <c r="H359" s="24"/>
      <c r="I359" s="24">
        <v>1</v>
      </c>
      <c r="J359" s="24" t="s">
        <v>1135</v>
      </c>
      <c r="K359" s="24"/>
      <c r="L359" s="24"/>
      <c r="M359" s="24"/>
      <c r="N359" s="24"/>
      <c r="O359" s="24"/>
      <c r="P359" s="226"/>
      <c r="Q359" s="226"/>
      <c r="R359" s="195"/>
      <c r="S359" s="194"/>
      <c r="T359" s="194"/>
      <c r="U359" s="196"/>
      <c r="V359" s="194"/>
      <c r="W359" s="194" t="s">
        <v>423</v>
      </c>
      <c r="X359" s="196"/>
      <c r="Y359" s="24"/>
      <c r="Z359" s="194" t="s">
        <v>1056</v>
      </c>
      <c r="AA359" s="229"/>
      <c r="AB359" s="194"/>
      <c r="AC359" s="273"/>
      <c r="AD359" s="229"/>
      <c r="AE359" s="24"/>
      <c r="AF359" s="24"/>
      <c r="AG359" s="22"/>
      <c r="AH359" s="45"/>
      <c r="AI359" s="24"/>
      <c r="AJ359" s="194"/>
      <c r="AK359" s="22"/>
      <c r="AL359" s="22"/>
      <c r="AM359" s="22"/>
      <c r="AN359" s="22"/>
      <c r="AO359" s="22"/>
      <c r="AP359" s="22"/>
      <c r="AQ359" s="22"/>
      <c r="AR359" s="22"/>
      <c r="AS359" s="22"/>
      <c r="AT359" s="271"/>
      <c r="AU359" s="24"/>
      <c r="AV359" s="135">
        <v>260413007</v>
      </c>
      <c r="AW359" s="22"/>
      <c r="AX359" s="22"/>
      <c r="AY359" s="22"/>
      <c r="AZ359" s="22"/>
      <c r="BA359" s="22"/>
      <c r="BB359" s="22"/>
      <c r="BC359" s="22"/>
      <c r="BD359" s="22"/>
      <c r="BE359" s="143" t="s">
        <v>115</v>
      </c>
      <c r="BF359" s="268" t="s">
        <v>424</v>
      </c>
      <c r="BG359" s="167" t="s">
        <v>425</v>
      </c>
      <c r="BH359" s="47"/>
      <c r="BI359" s="140">
        <v>260413007</v>
      </c>
      <c r="BJ359" s="47"/>
      <c r="BK359" s="46">
        <f t="shared" si="1"/>
        <v>1</v>
      </c>
      <c r="BL359" s="46"/>
      <c r="BM359" s="46"/>
      <c r="BN359" s="46"/>
    </row>
    <row r="360" spans="1:66" ht="15" hidden="1" customHeight="1">
      <c r="A360" s="22">
        <v>358</v>
      </c>
      <c r="B360" s="22" t="s">
        <v>304</v>
      </c>
      <c r="C360" s="22" t="e">
        <f t="shared" ca="1" si="0"/>
        <v>#NAME?</v>
      </c>
      <c r="D360" s="206" t="s">
        <v>239</v>
      </c>
      <c r="E360" s="22" t="s">
        <v>180</v>
      </c>
      <c r="F360" s="24" t="s">
        <v>1245</v>
      </c>
      <c r="G360" s="24" t="s">
        <v>1215</v>
      </c>
      <c r="H360" s="24"/>
      <c r="I360" s="24">
        <v>1</v>
      </c>
      <c r="J360" s="24" t="s">
        <v>1135</v>
      </c>
      <c r="K360" s="24"/>
      <c r="L360" s="24"/>
      <c r="M360" s="24"/>
      <c r="N360" s="24"/>
      <c r="O360" s="24"/>
      <c r="P360" s="226"/>
      <c r="Q360" s="226"/>
      <c r="R360" s="195"/>
      <c r="S360" s="194"/>
      <c r="T360" s="194"/>
      <c r="U360" s="196"/>
      <c r="V360" s="194"/>
      <c r="W360" s="194" t="s">
        <v>239</v>
      </c>
      <c r="X360" s="196"/>
      <c r="Y360" s="24"/>
      <c r="Z360" s="194"/>
      <c r="AA360" s="229"/>
      <c r="AB360" s="194"/>
      <c r="AC360" s="273"/>
      <c r="AD360" s="229"/>
      <c r="AE360" s="24"/>
      <c r="AF360" s="24"/>
      <c r="AG360" s="22"/>
      <c r="AH360" s="45"/>
      <c r="AI360" s="24"/>
      <c r="AJ360" s="194"/>
      <c r="AK360" s="22"/>
      <c r="AL360" s="22"/>
      <c r="AM360" s="22"/>
      <c r="AN360" s="22"/>
      <c r="AO360" s="22"/>
      <c r="AP360" s="22"/>
      <c r="AQ360" s="22"/>
      <c r="AR360" s="22"/>
      <c r="AS360" s="22"/>
      <c r="AT360" s="210" t="s">
        <v>397</v>
      </c>
      <c r="AU360" s="24"/>
      <c r="AV360" s="135">
        <v>289567003</v>
      </c>
      <c r="AW360" s="22"/>
      <c r="AX360" s="22"/>
      <c r="AY360" s="22"/>
      <c r="AZ360" s="22"/>
      <c r="BA360" s="22"/>
      <c r="BB360" s="22"/>
      <c r="BC360" s="22"/>
      <c r="BD360" s="22"/>
      <c r="BE360" s="143" t="s">
        <v>115</v>
      </c>
      <c r="BF360" s="268" t="s">
        <v>1250</v>
      </c>
      <c r="BG360" s="167" t="s">
        <v>241</v>
      </c>
      <c r="BH360" s="245" t="s">
        <v>397</v>
      </c>
      <c r="BI360" s="140">
        <v>289567003</v>
      </c>
      <c r="BJ360" s="47"/>
      <c r="BK360" s="46">
        <f t="shared" si="1"/>
        <v>1</v>
      </c>
      <c r="BL360" s="46"/>
      <c r="BM360" s="46"/>
      <c r="BN360" s="46"/>
    </row>
    <row r="361" spans="1:66" ht="15" hidden="1" customHeight="1">
      <c r="A361" s="22">
        <v>359</v>
      </c>
      <c r="B361" s="22" t="s">
        <v>1771</v>
      </c>
      <c r="C361" s="22" t="e">
        <f t="shared" ca="1" si="0"/>
        <v>#NAME?</v>
      </c>
      <c r="D361" s="206" t="s">
        <v>1251</v>
      </c>
      <c r="E361" s="22" t="s">
        <v>180</v>
      </c>
      <c r="F361" s="24" t="s">
        <v>1245</v>
      </c>
      <c r="G361" s="24" t="s">
        <v>1215</v>
      </c>
      <c r="H361" s="24"/>
      <c r="I361" s="24">
        <v>1</v>
      </c>
      <c r="J361" s="24" t="s">
        <v>1135</v>
      </c>
      <c r="K361" s="24"/>
      <c r="L361" s="24"/>
      <c r="M361" s="24"/>
      <c r="N361" s="24"/>
      <c r="O361" s="24"/>
      <c r="P361" s="226"/>
      <c r="Q361" s="226"/>
      <c r="R361" s="195"/>
      <c r="S361" s="194"/>
      <c r="T361" s="194"/>
      <c r="U361" s="196"/>
      <c r="V361" s="194"/>
      <c r="W361" s="194" t="s">
        <v>1251</v>
      </c>
      <c r="X361" s="196"/>
      <c r="Y361" s="24"/>
      <c r="Z361" s="194"/>
      <c r="AA361" s="229"/>
      <c r="AB361" s="194"/>
      <c r="AC361" s="273"/>
      <c r="AD361" s="229"/>
      <c r="AE361" s="24"/>
      <c r="AF361" s="24"/>
      <c r="AG361" s="22"/>
      <c r="AH361" s="45"/>
      <c r="AI361" s="24"/>
      <c r="AJ361" s="194"/>
      <c r="AK361" s="22"/>
      <c r="AL361" s="22"/>
      <c r="AM361" s="22"/>
      <c r="AN361" s="22"/>
      <c r="AO361" s="22"/>
      <c r="AP361" s="22"/>
      <c r="AQ361" s="22"/>
      <c r="AR361" s="22"/>
      <c r="AS361" s="22"/>
      <c r="AT361" s="210" t="s">
        <v>1253</v>
      </c>
      <c r="AU361" s="24"/>
      <c r="AV361" s="135">
        <v>230145002</v>
      </c>
      <c r="AW361" s="22"/>
      <c r="AX361" s="22"/>
      <c r="AY361" s="22"/>
      <c r="AZ361" s="22"/>
      <c r="BA361" s="22"/>
      <c r="BB361" s="22"/>
      <c r="BC361" s="22"/>
      <c r="BD361" s="22"/>
      <c r="BE361" s="143" t="s">
        <v>115</v>
      </c>
      <c r="BF361" s="268" t="s">
        <v>1254</v>
      </c>
      <c r="BG361" s="167" t="s">
        <v>1255</v>
      </c>
      <c r="BH361" s="245" t="s">
        <v>1253</v>
      </c>
      <c r="BI361" s="140">
        <v>230145002</v>
      </c>
      <c r="BJ361" s="47"/>
      <c r="BK361" s="46">
        <f t="shared" si="1"/>
        <v>1</v>
      </c>
      <c r="BL361" s="46"/>
      <c r="BM361" s="46"/>
      <c r="BN361" s="46"/>
    </row>
    <row r="362" spans="1:66" ht="15" hidden="1" customHeight="1">
      <c r="A362" s="22">
        <v>360</v>
      </c>
      <c r="B362" s="22" t="s">
        <v>1776</v>
      </c>
      <c r="C362" s="22" t="e">
        <f t="shared" ca="1" si="0"/>
        <v>#NAME?</v>
      </c>
      <c r="D362" s="206" t="s">
        <v>1256</v>
      </c>
      <c r="E362" s="22" t="s">
        <v>180</v>
      </c>
      <c r="F362" s="24" t="s">
        <v>1245</v>
      </c>
      <c r="G362" s="24" t="s">
        <v>1215</v>
      </c>
      <c r="H362" s="24"/>
      <c r="I362" s="24">
        <v>1</v>
      </c>
      <c r="J362" s="24" t="s">
        <v>1135</v>
      </c>
      <c r="K362" s="24"/>
      <c r="L362" s="24"/>
      <c r="M362" s="24"/>
      <c r="N362" s="24"/>
      <c r="O362" s="24"/>
      <c r="P362" s="226"/>
      <c r="Q362" s="226"/>
      <c r="R362" s="195"/>
      <c r="S362" s="194"/>
      <c r="T362" s="194"/>
      <c r="U362" s="196"/>
      <c r="V362" s="194"/>
      <c r="W362" s="194" t="s">
        <v>1256</v>
      </c>
      <c r="X362" s="196"/>
      <c r="Y362" s="24"/>
      <c r="Z362" s="194"/>
      <c r="AA362" s="229"/>
      <c r="AB362" s="194"/>
      <c r="AC362" s="273"/>
      <c r="AD362" s="229"/>
      <c r="AE362" s="24"/>
      <c r="AF362" s="24"/>
      <c r="AG362" s="22"/>
      <c r="AH362" s="45"/>
      <c r="AI362" s="24"/>
      <c r="AJ362" s="194"/>
      <c r="AK362" s="22"/>
      <c r="AL362" s="22"/>
      <c r="AM362" s="22"/>
      <c r="AN362" s="22"/>
      <c r="AO362" s="22"/>
      <c r="AP362" s="22"/>
      <c r="AQ362" s="22"/>
      <c r="AR362" s="22"/>
      <c r="AS362" s="22"/>
      <c r="AT362" s="135" t="s">
        <v>383</v>
      </c>
      <c r="AU362" s="24"/>
      <c r="AV362" s="135">
        <v>60845006</v>
      </c>
      <c r="AW362" s="22"/>
      <c r="AX362" s="22"/>
      <c r="AY362" s="22"/>
      <c r="AZ362" s="22"/>
      <c r="BA362" s="22"/>
      <c r="BB362" s="22"/>
      <c r="BC362" s="22"/>
      <c r="BD362" s="22"/>
      <c r="BE362" s="143" t="s">
        <v>115</v>
      </c>
      <c r="BF362" s="268" t="s">
        <v>1258</v>
      </c>
      <c r="BG362" s="167" t="s">
        <v>1259</v>
      </c>
      <c r="BH362" s="140" t="s">
        <v>383</v>
      </c>
      <c r="BI362" s="140">
        <v>60845006</v>
      </c>
      <c r="BJ362" s="47"/>
      <c r="BK362" s="46">
        <f t="shared" si="1"/>
        <v>1</v>
      </c>
      <c r="BL362" s="46"/>
      <c r="BM362" s="46"/>
      <c r="BN362" s="46"/>
    </row>
    <row r="363" spans="1:66" ht="15" hidden="1" customHeight="1">
      <c r="A363" s="22">
        <v>361</v>
      </c>
      <c r="B363" s="22" t="s">
        <v>1780</v>
      </c>
      <c r="C363" s="22" t="e">
        <f t="shared" ca="1" si="0"/>
        <v>#NAME?</v>
      </c>
      <c r="D363" s="206" t="s">
        <v>1260</v>
      </c>
      <c r="E363" s="22" t="s">
        <v>180</v>
      </c>
      <c r="F363" s="24" t="s">
        <v>1245</v>
      </c>
      <c r="G363" s="24" t="s">
        <v>1215</v>
      </c>
      <c r="H363" s="24"/>
      <c r="I363" s="24">
        <v>1</v>
      </c>
      <c r="J363" s="24" t="s">
        <v>1135</v>
      </c>
      <c r="K363" s="24"/>
      <c r="L363" s="24"/>
      <c r="M363" s="24"/>
      <c r="N363" s="24"/>
      <c r="O363" s="24"/>
      <c r="P363" s="226"/>
      <c r="Q363" s="226"/>
      <c r="R363" s="195"/>
      <c r="S363" s="194"/>
      <c r="T363" s="194"/>
      <c r="U363" s="196"/>
      <c r="V363" s="194"/>
      <c r="W363" s="194" t="s">
        <v>1260</v>
      </c>
      <c r="X363" s="196"/>
      <c r="Y363" s="24"/>
      <c r="Z363" s="194"/>
      <c r="AA363" s="229"/>
      <c r="AB363" s="194"/>
      <c r="AC363" s="273"/>
      <c r="AD363" s="229"/>
      <c r="AE363" s="24"/>
      <c r="AF363" s="24"/>
      <c r="AG363" s="22"/>
      <c r="AH363" s="45"/>
      <c r="AI363" s="24"/>
      <c r="AJ363" s="194"/>
      <c r="AK363" s="22"/>
      <c r="AL363" s="22"/>
      <c r="AM363" s="22"/>
      <c r="AN363" s="22"/>
      <c r="AO363" s="22"/>
      <c r="AP363" s="22"/>
      <c r="AQ363" s="22"/>
      <c r="AR363" s="22"/>
      <c r="AS363" s="22"/>
      <c r="AT363" s="135" t="s">
        <v>259</v>
      </c>
      <c r="AU363" s="24"/>
      <c r="AV363" s="135">
        <v>68154008</v>
      </c>
      <c r="AW363" s="22"/>
      <c r="AX363" s="22"/>
      <c r="AY363" s="22"/>
      <c r="AZ363" s="22"/>
      <c r="BA363" s="22"/>
      <c r="BB363" s="22"/>
      <c r="BC363" s="22"/>
      <c r="BD363" s="22"/>
      <c r="BE363" s="143" t="s">
        <v>115</v>
      </c>
      <c r="BF363" s="268" t="s">
        <v>1261</v>
      </c>
      <c r="BG363" s="167" t="s">
        <v>1262</v>
      </c>
      <c r="BH363" s="140" t="s">
        <v>259</v>
      </c>
      <c r="BI363" s="140">
        <v>68154008</v>
      </c>
      <c r="BJ363" s="47"/>
      <c r="BK363" s="46">
        <f t="shared" si="1"/>
        <v>1</v>
      </c>
      <c r="BL363" s="46"/>
      <c r="BM363" s="46"/>
      <c r="BN363" s="46"/>
    </row>
    <row r="364" spans="1:66" ht="15" hidden="1" customHeight="1">
      <c r="A364" s="22">
        <v>362</v>
      </c>
      <c r="B364" s="22" t="s">
        <v>367</v>
      </c>
      <c r="C364" s="22" t="e">
        <f t="shared" ca="1" si="0"/>
        <v>#NAME?</v>
      </c>
      <c r="D364" s="206" t="s">
        <v>281</v>
      </c>
      <c r="E364" s="22" t="s">
        <v>180</v>
      </c>
      <c r="F364" s="24" t="s">
        <v>1245</v>
      </c>
      <c r="G364" s="24" t="s">
        <v>1215</v>
      </c>
      <c r="H364" s="24"/>
      <c r="I364" s="24">
        <v>1</v>
      </c>
      <c r="J364" s="24" t="s">
        <v>1135</v>
      </c>
      <c r="K364" s="24"/>
      <c r="L364" s="24"/>
      <c r="M364" s="24"/>
      <c r="N364" s="24"/>
      <c r="O364" s="24"/>
      <c r="P364" s="226"/>
      <c r="Q364" s="226"/>
      <c r="R364" s="195"/>
      <c r="S364" s="194"/>
      <c r="T364" s="194"/>
      <c r="U364" s="196"/>
      <c r="V364" s="194"/>
      <c r="W364" s="194" t="s">
        <v>281</v>
      </c>
      <c r="X364" s="196"/>
      <c r="Y364" s="24"/>
      <c r="Z364" s="194"/>
      <c r="AA364" s="229"/>
      <c r="AB364" s="194"/>
      <c r="AC364" s="273"/>
      <c r="AD364" s="229"/>
      <c r="AE364" s="24"/>
      <c r="AF364" s="24"/>
      <c r="AG364" s="22"/>
      <c r="AH364" s="45"/>
      <c r="AI364" s="24"/>
      <c r="AJ364" s="194"/>
      <c r="AK364" s="22"/>
      <c r="AL364" s="22"/>
      <c r="AM364" s="22"/>
      <c r="AN364" s="22"/>
      <c r="AO364" s="22"/>
      <c r="AP364" s="22"/>
      <c r="AQ364" s="22"/>
      <c r="AR364" s="22"/>
      <c r="AS364" s="22"/>
      <c r="AT364" s="135" t="s">
        <v>283</v>
      </c>
      <c r="AU364" s="24"/>
      <c r="AV364" s="135">
        <v>386661006</v>
      </c>
      <c r="AW364" s="22"/>
      <c r="AX364" s="22"/>
      <c r="AY364" s="22"/>
      <c r="AZ364" s="22"/>
      <c r="BA364" s="22"/>
      <c r="BB364" s="22"/>
      <c r="BC364" s="22"/>
      <c r="BD364" s="22"/>
      <c r="BE364" s="143" t="s">
        <v>115</v>
      </c>
      <c r="BF364" s="268" t="s">
        <v>284</v>
      </c>
      <c r="BG364" s="167" t="s">
        <v>285</v>
      </c>
      <c r="BH364" s="140" t="s">
        <v>283</v>
      </c>
      <c r="BI364" s="140">
        <v>386661006</v>
      </c>
      <c r="BJ364" s="47"/>
      <c r="BK364" s="46">
        <f t="shared" si="1"/>
        <v>1</v>
      </c>
      <c r="BL364" s="46"/>
      <c r="BM364" s="46"/>
      <c r="BN364" s="46"/>
    </row>
    <row r="365" spans="1:66" ht="15" hidden="1" customHeight="1">
      <c r="A365" s="22">
        <v>363</v>
      </c>
      <c r="B365" s="22" t="s">
        <v>1790</v>
      </c>
      <c r="C365" s="22" t="e">
        <f t="shared" ca="1" si="0"/>
        <v>#NAME?</v>
      </c>
      <c r="D365" s="206" t="s">
        <v>1264</v>
      </c>
      <c r="E365" s="22" t="s">
        <v>180</v>
      </c>
      <c r="F365" s="24" t="s">
        <v>1245</v>
      </c>
      <c r="G365" s="24" t="s">
        <v>1215</v>
      </c>
      <c r="H365" s="24"/>
      <c r="I365" s="24">
        <v>1</v>
      </c>
      <c r="J365" s="24" t="s">
        <v>1135</v>
      </c>
      <c r="K365" s="24"/>
      <c r="L365" s="24"/>
      <c r="M365" s="24"/>
      <c r="N365" s="24"/>
      <c r="O365" s="24"/>
      <c r="P365" s="226"/>
      <c r="Q365" s="226"/>
      <c r="R365" s="195"/>
      <c r="S365" s="194"/>
      <c r="T365" s="194"/>
      <c r="U365" s="196"/>
      <c r="V365" s="194"/>
      <c r="W365" s="194" t="s">
        <v>1264</v>
      </c>
      <c r="X365" s="196"/>
      <c r="Y365" s="24"/>
      <c r="Z365" s="194"/>
      <c r="AA365" s="229"/>
      <c r="AB365" s="194"/>
      <c r="AC365" s="273"/>
      <c r="AD365" s="229"/>
      <c r="AE365" s="24"/>
      <c r="AF365" s="24"/>
      <c r="AG365" s="22"/>
      <c r="AH365" s="45"/>
      <c r="AI365" s="24"/>
      <c r="AJ365" s="194"/>
      <c r="AK365" s="22"/>
      <c r="AL365" s="22"/>
      <c r="AM365" s="22"/>
      <c r="AN365" s="22"/>
      <c r="AO365" s="22"/>
      <c r="AP365" s="22"/>
      <c r="AQ365" s="22"/>
      <c r="AR365" s="22"/>
      <c r="AS365" s="22"/>
      <c r="AT365" s="210" t="s">
        <v>387</v>
      </c>
      <c r="AU365" s="24"/>
      <c r="AV365" s="135">
        <v>84229001</v>
      </c>
      <c r="AW365" s="22"/>
      <c r="AX365" s="22"/>
      <c r="AY365" s="22"/>
      <c r="AZ365" s="22"/>
      <c r="BA365" s="22"/>
      <c r="BB365" s="22"/>
      <c r="BC365" s="22"/>
      <c r="BD365" s="22"/>
      <c r="BE365" s="143" t="s">
        <v>115</v>
      </c>
      <c r="BF365" s="268" t="s">
        <v>1265</v>
      </c>
      <c r="BG365" s="167" t="s">
        <v>1266</v>
      </c>
      <c r="BH365" s="245" t="s">
        <v>387</v>
      </c>
      <c r="BI365" s="140">
        <v>84229001</v>
      </c>
      <c r="BJ365" s="47"/>
      <c r="BK365" s="46">
        <f t="shared" si="1"/>
        <v>1</v>
      </c>
      <c r="BL365" s="46"/>
      <c r="BM365" s="46"/>
      <c r="BN365" s="46"/>
    </row>
    <row r="366" spans="1:66" ht="15" hidden="1" customHeight="1">
      <c r="A366" s="22">
        <v>364</v>
      </c>
      <c r="B366" s="22" t="s">
        <v>393</v>
      </c>
      <c r="C366" s="22" t="e">
        <f t="shared" ca="1" si="0"/>
        <v>#NAME?</v>
      </c>
      <c r="D366" s="206" t="s">
        <v>298</v>
      </c>
      <c r="E366" s="22" t="s">
        <v>180</v>
      </c>
      <c r="F366" s="24" t="s">
        <v>1245</v>
      </c>
      <c r="G366" s="24" t="s">
        <v>1215</v>
      </c>
      <c r="H366" s="24"/>
      <c r="I366" s="24">
        <v>1</v>
      </c>
      <c r="J366" s="24" t="s">
        <v>1135</v>
      </c>
      <c r="K366" s="24"/>
      <c r="L366" s="24"/>
      <c r="M366" s="24"/>
      <c r="N366" s="24"/>
      <c r="O366" s="24"/>
      <c r="P366" s="226"/>
      <c r="Q366" s="226"/>
      <c r="R366" s="195"/>
      <c r="S366" s="194"/>
      <c r="T366" s="194"/>
      <c r="U366" s="196"/>
      <c r="V366" s="194"/>
      <c r="W366" s="194" t="s">
        <v>298</v>
      </c>
      <c r="X366" s="196"/>
      <c r="Y366" s="24"/>
      <c r="Z366" s="194"/>
      <c r="AA366" s="229"/>
      <c r="AB366" s="194"/>
      <c r="AC366" s="273"/>
      <c r="AD366" s="229"/>
      <c r="AE366" s="24"/>
      <c r="AF366" s="24"/>
      <c r="AG366" s="22"/>
      <c r="AH366" s="45"/>
      <c r="AI366" s="24"/>
      <c r="AJ366" s="194"/>
      <c r="AK366" s="22"/>
      <c r="AL366" s="22"/>
      <c r="AM366" s="22"/>
      <c r="AN366" s="22"/>
      <c r="AO366" s="22"/>
      <c r="AP366" s="22"/>
      <c r="AQ366" s="22"/>
      <c r="AR366" s="22"/>
      <c r="AS366" s="22"/>
      <c r="AT366" s="135" t="s">
        <v>299</v>
      </c>
      <c r="AU366" s="24"/>
      <c r="AV366" s="135">
        <v>25064002</v>
      </c>
      <c r="AW366" s="22"/>
      <c r="AX366" s="22"/>
      <c r="AY366" s="22"/>
      <c r="AZ366" s="22"/>
      <c r="BA366" s="22"/>
      <c r="BB366" s="22"/>
      <c r="BC366" s="22"/>
      <c r="BD366" s="22"/>
      <c r="BE366" s="143" t="s">
        <v>115</v>
      </c>
      <c r="BF366" s="268" t="s">
        <v>300</v>
      </c>
      <c r="BG366" s="167" t="s">
        <v>301</v>
      </c>
      <c r="BH366" s="140" t="s">
        <v>299</v>
      </c>
      <c r="BI366" s="140">
        <v>25064002</v>
      </c>
      <c r="BJ366" s="47"/>
      <c r="BK366" s="46">
        <f t="shared" si="1"/>
        <v>1</v>
      </c>
      <c r="BL366" s="46"/>
      <c r="BM366" s="46"/>
      <c r="BN366" s="46"/>
    </row>
    <row r="367" spans="1:66" ht="15" hidden="1" customHeight="1">
      <c r="A367" s="22">
        <v>365</v>
      </c>
      <c r="B367" s="22" t="s">
        <v>523</v>
      </c>
      <c r="C367" s="22" t="e">
        <f t="shared" ca="1" si="0"/>
        <v>#NAME?</v>
      </c>
      <c r="D367" s="206" t="s">
        <v>396</v>
      </c>
      <c r="E367" s="22" t="s">
        <v>180</v>
      </c>
      <c r="F367" s="24" t="s">
        <v>1245</v>
      </c>
      <c r="G367" s="24" t="s">
        <v>1215</v>
      </c>
      <c r="H367" s="24"/>
      <c r="I367" s="24">
        <v>1</v>
      </c>
      <c r="J367" s="24" t="s">
        <v>1135</v>
      </c>
      <c r="K367" s="24"/>
      <c r="L367" s="24"/>
      <c r="M367" s="24"/>
      <c r="N367" s="24"/>
      <c r="O367" s="24"/>
      <c r="P367" s="226"/>
      <c r="Q367" s="226"/>
      <c r="R367" s="195"/>
      <c r="S367" s="194"/>
      <c r="T367" s="194"/>
      <c r="U367" s="196"/>
      <c r="V367" s="194"/>
      <c r="W367" s="194" t="s">
        <v>396</v>
      </c>
      <c r="X367" s="196"/>
      <c r="Y367" s="24"/>
      <c r="Z367" s="194"/>
      <c r="AA367" s="229"/>
      <c r="AB367" s="194"/>
      <c r="AC367" s="273"/>
      <c r="AD367" s="229"/>
      <c r="AE367" s="24"/>
      <c r="AF367" s="24"/>
      <c r="AG367" s="22"/>
      <c r="AH367" s="45"/>
      <c r="AI367" s="24"/>
      <c r="AJ367" s="194"/>
      <c r="AK367" s="22"/>
      <c r="AL367" s="22"/>
      <c r="AM367" s="22"/>
      <c r="AN367" s="22"/>
      <c r="AO367" s="22"/>
      <c r="AP367" s="22"/>
      <c r="AQ367" s="22"/>
      <c r="AR367" s="22"/>
      <c r="AS367" s="22"/>
      <c r="AT367" s="210" t="s">
        <v>397</v>
      </c>
      <c r="AU367" s="24"/>
      <c r="AV367" s="135">
        <v>289530006</v>
      </c>
      <c r="AW367" s="22"/>
      <c r="AX367" s="22"/>
      <c r="AY367" s="22"/>
      <c r="AZ367" s="22"/>
      <c r="BA367" s="22"/>
      <c r="BB367" s="22"/>
      <c r="BC367" s="22"/>
      <c r="BD367" s="22"/>
      <c r="BE367" s="143" t="s">
        <v>115</v>
      </c>
      <c r="BF367" s="268" t="s">
        <v>1267</v>
      </c>
      <c r="BG367" s="167" t="s">
        <v>399</v>
      </c>
      <c r="BH367" s="245" t="s">
        <v>397</v>
      </c>
      <c r="BI367" s="140">
        <v>289530006</v>
      </c>
      <c r="BJ367" s="47"/>
      <c r="BK367" s="46">
        <f t="shared" si="1"/>
        <v>1</v>
      </c>
      <c r="BL367" s="46"/>
      <c r="BM367" s="46"/>
      <c r="BN367" s="46"/>
    </row>
    <row r="368" spans="1:66" ht="15" hidden="1" customHeight="1">
      <c r="A368" s="22">
        <v>366</v>
      </c>
      <c r="B368" s="22" t="s">
        <v>1802</v>
      </c>
      <c r="C368" s="22" t="e">
        <f t="shared" ca="1" si="0"/>
        <v>#NAME?</v>
      </c>
      <c r="D368" s="206" t="s">
        <v>1268</v>
      </c>
      <c r="E368" s="22" t="s">
        <v>180</v>
      </c>
      <c r="F368" s="24" t="s">
        <v>1245</v>
      </c>
      <c r="G368" s="24" t="s">
        <v>1215</v>
      </c>
      <c r="H368" s="24"/>
      <c r="I368" s="24">
        <v>1</v>
      </c>
      <c r="J368" s="24" t="s">
        <v>1135</v>
      </c>
      <c r="K368" s="24"/>
      <c r="L368" s="24"/>
      <c r="M368" s="24"/>
      <c r="N368" s="24"/>
      <c r="O368" s="24"/>
      <c r="P368" s="226"/>
      <c r="Q368" s="226"/>
      <c r="R368" s="195"/>
      <c r="S368" s="194"/>
      <c r="T368" s="194"/>
      <c r="U368" s="196"/>
      <c r="V368" s="194"/>
      <c r="W368" s="194" t="s">
        <v>1268</v>
      </c>
      <c r="X368" s="196"/>
      <c r="Y368" s="24"/>
      <c r="Z368" s="194"/>
      <c r="AA368" s="229"/>
      <c r="AB368" s="194"/>
      <c r="AC368" s="273"/>
      <c r="AD368" s="229"/>
      <c r="AE368" s="24"/>
      <c r="AF368" s="24"/>
      <c r="AG368" s="22"/>
      <c r="AH368" s="45"/>
      <c r="AI368" s="24"/>
      <c r="AJ368" s="194"/>
      <c r="AK368" s="22"/>
      <c r="AL368" s="22"/>
      <c r="AM368" s="22"/>
      <c r="AN368" s="22"/>
      <c r="AO368" s="22"/>
      <c r="AP368" s="22"/>
      <c r="AQ368" s="22"/>
      <c r="AR368" s="22"/>
      <c r="AS368" s="22"/>
      <c r="AT368" s="210" t="s">
        <v>397</v>
      </c>
      <c r="AU368" s="24"/>
      <c r="AV368" s="135">
        <v>271939006</v>
      </c>
      <c r="AW368" s="22"/>
      <c r="AX368" s="22"/>
      <c r="AY368" s="22"/>
      <c r="AZ368" s="22"/>
      <c r="BA368" s="22"/>
      <c r="BB368" s="22"/>
      <c r="BC368" s="22"/>
      <c r="BD368" s="22"/>
      <c r="BE368" s="143" t="s">
        <v>115</v>
      </c>
      <c r="BF368" s="268" t="s">
        <v>1269</v>
      </c>
      <c r="BG368" s="167" t="s">
        <v>1271</v>
      </c>
      <c r="BH368" s="245" t="s">
        <v>397</v>
      </c>
      <c r="BI368" s="140">
        <v>271939006</v>
      </c>
      <c r="BJ368" s="47"/>
      <c r="BK368" s="46">
        <f t="shared" si="1"/>
        <v>1</v>
      </c>
      <c r="BL368" s="46"/>
      <c r="BM368" s="46"/>
      <c r="BN368" s="46"/>
    </row>
    <row r="369" spans="1:66" ht="15" hidden="1" customHeight="1">
      <c r="A369" s="22">
        <v>367</v>
      </c>
      <c r="B369" s="22" t="s">
        <v>531</v>
      </c>
      <c r="C369" s="22" t="e">
        <f t="shared" ca="1" si="0"/>
        <v>#NAME?</v>
      </c>
      <c r="D369" s="206" t="s">
        <v>400</v>
      </c>
      <c r="E369" s="22" t="s">
        <v>180</v>
      </c>
      <c r="F369" s="24" t="s">
        <v>1245</v>
      </c>
      <c r="G369" s="24" t="s">
        <v>1215</v>
      </c>
      <c r="H369" s="24"/>
      <c r="I369" s="24">
        <v>1</v>
      </c>
      <c r="J369" s="24" t="s">
        <v>1135</v>
      </c>
      <c r="K369" s="24"/>
      <c r="L369" s="24"/>
      <c r="M369" s="24"/>
      <c r="N369" s="24"/>
      <c r="O369" s="24"/>
      <c r="P369" s="226"/>
      <c r="Q369" s="226"/>
      <c r="R369" s="195"/>
      <c r="S369" s="194"/>
      <c r="T369" s="194"/>
      <c r="U369" s="196"/>
      <c r="V369" s="194"/>
      <c r="W369" s="194" t="s">
        <v>400</v>
      </c>
      <c r="X369" s="196"/>
      <c r="Y369" s="24"/>
      <c r="Z369" s="194"/>
      <c r="AA369" s="229"/>
      <c r="AB369" s="194"/>
      <c r="AC369" s="273"/>
      <c r="AD369" s="229"/>
      <c r="AE369" s="24"/>
      <c r="AF369" s="24"/>
      <c r="AG369" s="22"/>
      <c r="AH369" s="45"/>
      <c r="AI369" s="24"/>
      <c r="AJ369" s="194"/>
      <c r="AK369" s="22"/>
      <c r="AL369" s="22"/>
      <c r="AM369" s="22"/>
      <c r="AN369" s="22"/>
      <c r="AO369" s="22"/>
      <c r="AP369" s="22"/>
      <c r="AQ369" s="22"/>
      <c r="AR369" s="22"/>
      <c r="AS369" s="22"/>
      <c r="AT369" s="210" t="s">
        <v>402</v>
      </c>
      <c r="AU369" s="24"/>
      <c r="AV369" s="135">
        <v>63102001</v>
      </c>
      <c r="AW369" s="22"/>
      <c r="AX369" s="22"/>
      <c r="AY369" s="22"/>
      <c r="AZ369" s="22"/>
      <c r="BA369" s="22"/>
      <c r="BB369" s="22"/>
      <c r="BC369" s="22"/>
      <c r="BD369" s="22"/>
      <c r="BE369" s="143" t="s">
        <v>115</v>
      </c>
      <c r="BF369" s="268" t="s">
        <v>403</v>
      </c>
      <c r="BG369" s="167" t="s">
        <v>404</v>
      </c>
      <c r="BH369" s="274" t="s">
        <v>402</v>
      </c>
      <c r="BI369" s="145">
        <v>63102001</v>
      </c>
      <c r="BJ369" s="64"/>
      <c r="BK369" s="46">
        <f t="shared" si="1"/>
        <v>1</v>
      </c>
      <c r="BL369" s="46"/>
      <c r="BM369" s="46"/>
      <c r="BN369" s="46"/>
    </row>
    <row r="370" spans="1:66" ht="12.75" hidden="1" customHeight="1">
      <c r="A370" s="22">
        <v>368</v>
      </c>
      <c r="B370" s="22" t="s">
        <v>1273</v>
      </c>
      <c r="C370" s="22" t="str">
        <f t="shared" si="0"/>
        <v>Any physiological symptoms?</v>
      </c>
      <c r="D370" s="206" t="s">
        <v>1273</v>
      </c>
      <c r="E370" s="22" t="s">
        <v>96</v>
      </c>
      <c r="F370" s="24"/>
      <c r="G370" s="24" t="s">
        <v>1274</v>
      </c>
      <c r="H370" s="24"/>
      <c r="I370" s="24">
        <v>1</v>
      </c>
      <c r="J370" s="24" t="s">
        <v>1135</v>
      </c>
      <c r="K370" s="24"/>
      <c r="L370" s="24"/>
      <c r="M370" s="24"/>
      <c r="N370" s="24"/>
      <c r="O370" s="24"/>
      <c r="P370" s="226"/>
      <c r="Q370" s="226"/>
      <c r="R370" s="290" t="s">
        <v>1273</v>
      </c>
      <c r="S370" s="242" t="s">
        <v>1275</v>
      </c>
      <c r="T370" s="242" t="s">
        <v>1276</v>
      </c>
      <c r="U370" s="242" t="s">
        <v>238</v>
      </c>
      <c r="V370" s="194"/>
      <c r="W370" s="194"/>
      <c r="X370" s="196"/>
      <c r="Y370" s="24"/>
      <c r="Z370" s="242"/>
      <c r="AA370" s="229"/>
      <c r="AB370" s="242" t="s">
        <v>113</v>
      </c>
      <c r="AC370" s="273"/>
      <c r="AD370" s="229"/>
      <c r="AE370" s="24"/>
      <c r="AF370" s="24"/>
      <c r="AG370" s="22"/>
      <c r="AH370" s="45"/>
      <c r="AI370" s="24"/>
      <c r="AJ370" s="242" t="s">
        <v>1277</v>
      </c>
      <c r="AK370" s="22"/>
      <c r="AL370" s="22"/>
      <c r="AM370" s="22"/>
      <c r="AN370" s="22"/>
      <c r="AO370" s="22"/>
      <c r="AP370" s="22"/>
      <c r="AQ370" s="22"/>
      <c r="AR370" s="22"/>
      <c r="AS370" s="22"/>
      <c r="AT370" s="272"/>
      <c r="AU370" s="152"/>
      <c r="AV370" s="257"/>
      <c r="AW370" s="257"/>
      <c r="AX370" s="257"/>
      <c r="AY370" s="257"/>
      <c r="AZ370" s="257"/>
      <c r="BA370" s="257"/>
      <c r="BB370" s="257"/>
      <c r="BC370" s="257"/>
      <c r="BD370" s="257"/>
      <c r="BE370" s="277" t="s">
        <v>1241</v>
      </c>
      <c r="BF370" s="278" t="s">
        <v>1220</v>
      </c>
      <c r="BG370" s="279" t="s">
        <v>1221</v>
      </c>
      <c r="BH370" s="153"/>
      <c r="BI370" s="154"/>
      <c r="BJ370" s="154"/>
      <c r="BK370" s="46">
        <f t="shared" si="1"/>
        <v>1</v>
      </c>
      <c r="BL370" s="46"/>
      <c r="BM370" s="46"/>
      <c r="BN370" s="46"/>
    </row>
    <row r="371" spans="1:66" ht="128.25" hidden="1" customHeight="1">
      <c r="A371" s="22">
        <v>369</v>
      </c>
      <c r="B371" s="22" t="s">
        <v>553</v>
      </c>
      <c r="C371" s="22" t="e">
        <f t="shared" ca="1" si="0"/>
        <v>#NAME?</v>
      </c>
      <c r="D371" s="206" t="s">
        <v>423</v>
      </c>
      <c r="E371" s="22" t="s">
        <v>180</v>
      </c>
      <c r="F371" s="24" t="s">
        <v>1273</v>
      </c>
      <c r="G371" s="24" t="s">
        <v>1274</v>
      </c>
      <c r="H371" s="24"/>
      <c r="I371" s="24">
        <v>1</v>
      </c>
      <c r="J371" s="24" t="s">
        <v>1135</v>
      </c>
      <c r="K371" s="24"/>
      <c r="L371" s="24"/>
      <c r="M371" s="24"/>
      <c r="N371" s="24"/>
      <c r="O371" s="24"/>
      <c r="P371" s="226"/>
      <c r="Q371" s="226"/>
      <c r="R371" s="247"/>
      <c r="S371" s="196"/>
      <c r="T371" s="196"/>
      <c r="U371" s="196"/>
      <c r="V371" s="194"/>
      <c r="W371" s="194" t="s">
        <v>423</v>
      </c>
      <c r="X371" s="196"/>
      <c r="Y371" s="24"/>
      <c r="Z371" s="242" t="s">
        <v>1279</v>
      </c>
      <c r="AA371" s="229"/>
      <c r="AB371" s="196"/>
      <c r="AC371" s="273"/>
      <c r="AD371" s="229"/>
      <c r="AE371" s="24"/>
      <c r="AF371" s="24"/>
      <c r="AG371" s="22"/>
      <c r="AH371" s="45"/>
      <c r="AI371" s="24"/>
      <c r="AJ371" s="196"/>
      <c r="AK371" s="22"/>
      <c r="AL371" s="22"/>
      <c r="AM371" s="22"/>
      <c r="AN371" s="22"/>
      <c r="AO371" s="22"/>
      <c r="AP371" s="22"/>
      <c r="AQ371" s="22"/>
      <c r="AR371" s="22"/>
      <c r="AS371" s="22"/>
      <c r="AT371" s="271"/>
      <c r="AU371" s="24"/>
      <c r="AV371" s="135">
        <v>260413007</v>
      </c>
      <c r="AW371" s="22"/>
      <c r="AX371" s="22"/>
      <c r="AY371" s="22"/>
      <c r="AZ371" s="22"/>
      <c r="BA371" s="22"/>
      <c r="BB371" s="22"/>
      <c r="BC371" s="22"/>
      <c r="BD371" s="22"/>
      <c r="BE371" s="143" t="s">
        <v>115</v>
      </c>
      <c r="BF371" s="268" t="s">
        <v>424</v>
      </c>
      <c r="BG371" s="167" t="s">
        <v>425</v>
      </c>
      <c r="BH371" s="47"/>
      <c r="BI371" s="140">
        <v>260413007</v>
      </c>
      <c r="BJ371" s="47"/>
      <c r="BK371" s="46">
        <f t="shared" si="1"/>
        <v>1</v>
      </c>
      <c r="BL371" s="46"/>
      <c r="BM371" s="46"/>
      <c r="BN371" s="46"/>
    </row>
    <row r="372" spans="1:66" ht="26.25" hidden="1" customHeight="1">
      <c r="A372" s="22">
        <v>370</v>
      </c>
      <c r="B372" s="22" t="s">
        <v>1674</v>
      </c>
      <c r="C372" s="22" t="e">
        <f t="shared" ca="1" si="0"/>
        <v>#NAME?</v>
      </c>
      <c r="D372" s="206" t="s">
        <v>1223</v>
      </c>
      <c r="E372" s="22" t="s">
        <v>180</v>
      </c>
      <c r="F372" s="24" t="s">
        <v>1273</v>
      </c>
      <c r="G372" s="24" t="s">
        <v>1274</v>
      </c>
      <c r="H372" s="24"/>
      <c r="I372" s="24">
        <v>1</v>
      </c>
      <c r="J372" s="24" t="s">
        <v>1135</v>
      </c>
      <c r="K372" s="24"/>
      <c r="L372" s="24"/>
      <c r="M372" s="24"/>
      <c r="N372" s="24"/>
      <c r="O372" s="24"/>
      <c r="P372" s="226"/>
      <c r="Q372" s="226"/>
      <c r="R372" s="247"/>
      <c r="S372" s="196"/>
      <c r="T372" s="196"/>
      <c r="U372" s="196"/>
      <c r="V372" s="242"/>
      <c r="W372" s="242" t="s">
        <v>1223</v>
      </c>
      <c r="X372" s="196"/>
      <c r="Y372" s="24"/>
      <c r="Z372" s="242"/>
      <c r="AA372" s="229"/>
      <c r="AB372" s="196"/>
      <c r="AC372" s="273"/>
      <c r="AD372" s="229"/>
      <c r="AE372" s="24"/>
      <c r="AF372" s="24"/>
      <c r="AG372" s="22"/>
      <c r="AH372" s="45"/>
      <c r="AI372" s="24"/>
      <c r="AJ372" s="196"/>
      <c r="AK372" s="22"/>
      <c r="AL372" s="22"/>
      <c r="AM372" s="22"/>
      <c r="AN372" s="22"/>
      <c r="AO372" s="22"/>
      <c r="AP372" s="22"/>
      <c r="AQ372" s="22"/>
      <c r="AR372" s="22"/>
      <c r="AS372" s="22"/>
      <c r="AT372" s="135" t="s">
        <v>331</v>
      </c>
      <c r="AU372" s="24"/>
      <c r="AV372" s="22">
        <v>16932000</v>
      </c>
      <c r="AW372" s="22"/>
      <c r="AX372" s="22"/>
      <c r="AY372" s="22"/>
      <c r="AZ372" s="22"/>
      <c r="BA372" s="22"/>
      <c r="BB372" s="22"/>
      <c r="BC372" s="22"/>
      <c r="BD372" s="22"/>
      <c r="BE372" s="143" t="s">
        <v>115</v>
      </c>
      <c r="BF372" s="268" t="s">
        <v>1224</v>
      </c>
      <c r="BG372" s="167" t="s">
        <v>1225</v>
      </c>
      <c r="BH372" s="140" t="s">
        <v>331</v>
      </c>
      <c r="BI372" s="47">
        <v>16932000</v>
      </c>
      <c r="BJ372" s="47"/>
      <c r="BK372" s="46">
        <f t="shared" si="1"/>
        <v>1</v>
      </c>
      <c r="BL372" s="46"/>
      <c r="BM372" s="46"/>
      <c r="BN372" s="46"/>
    </row>
    <row r="373" spans="1:66" ht="15" hidden="1" customHeight="1">
      <c r="A373" s="22">
        <v>371</v>
      </c>
      <c r="B373" s="22" t="s">
        <v>401</v>
      </c>
      <c r="C373" s="22" t="e">
        <f t="shared" ca="1" si="0"/>
        <v>#NAME?</v>
      </c>
      <c r="D373" s="206" t="s">
        <v>302</v>
      </c>
      <c r="E373" s="22" t="s">
        <v>180</v>
      </c>
      <c r="F373" s="24" t="s">
        <v>1273</v>
      </c>
      <c r="G373" s="24" t="s">
        <v>1274</v>
      </c>
      <c r="H373" s="24"/>
      <c r="I373" s="24">
        <v>1</v>
      </c>
      <c r="J373" s="24" t="s">
        <v>1135</v>
      </c>
      <c r="K373" s="24"/>
      <c r="L373" s="24"/>
      <c r="M373" s="24"/>
      <c r="N373" s="24"/>
      <c r="O373" s="24"/>
      <c r="P373" s="226"/>
      <c r="Q373" s="226"/>
      <c r="R373" s="247"/>
      <c r="S373" s="196"/>
      <c r="T373" s="196"/>
      <c r="U373" s="196"/>
      <c r="V373" s="242"/>
      <c r="W373" s="242" t="s">
        <v>302</v>
      </c>
      <c r="X373" s="196"/>
      <c r="Y373" s="24"/>
      <c r="Z373" s="242"/>
      <c r="AA373" s="229"/>
      <c r="AB373" s="196"/>
      <c r="AC373" s="273"/>
      <c r="AD373" s="229"/>
      <c r="AE373" s="24"/>
      <c r="AF373" s="24"/>
      <c r="AG373" s="22"/>
      <c r="AH373" s="45"/>
      <c r="AI373" s="24"/>
      <c r="AJ373" s="196"/>
      <c r="AK373" s="22"/>
      <c r="AL373" s="22"/>
      <c r="AM373" s="22"/>
      <c r="AN373" s="22"/>
      <c r="AO373" s="22"/>
      <c r="AP373" s="22"/>
      <c r="AQ373" s="22"/>
      <c r="AR373" s="22"/>
      <c r="AS373" s="22"/>
      <c r="AT373" s="135" t="s">
        <v>303</v>
      </c>
      <c r="AU373" s="24"/>
      <c r="AV373" s="135">
        <v>16331000</v>
      </c>
      <c r="AW373" s="22"/>
      <c r="AX373" s="22"/>
      <c r="AY373" s="22"/>
      <c r="AZ373" s="22"/>
      <c r="BA373" s="22"/>
      <c r="BB373" s="22"/>
      <c r="BC373" s="22"/>
      <c r="BD373" s="22"/>
      <c r="BE373" s="143" t="s">
        <v>115</v>
      </c>
      <c r="BF373" s="268" t="s">
        <v>305</v>
      </c>
      <c r="BG373" s="167" t="s">
        <v>306</v>
      </c>
      <c r="BH373" s="140" t="s">
        <v>303</v>
      </c>
      <c r="BI373" s="140">
        <v>16331000</v>
      </c>
      <c r="BJ373" s="47"/>
      <c r="BK373" s="46">
        <f t="shared" si="1"/>
        <v>1</v>
      </c>
      <c r="BL373" s="46"/>
      <c r="BM373" s="46"/>
      <c r="BN373" s="46"/>
    </row>
    <row r="374" spans="1:66" ht="15" hidden="1" customHeight="1">
      <c r="A374" s="22">
        <v>372</v>
      </c>
      <c r="B374" s="22" t="s">
        <v>411</v>
      </c>
      <c r="C374" s="22" t="e">
        <f t="shared" ca="1" si="0"/>
        <v>#NAME?</v>
      </c>
      <c r="D374" s="206" t="s">
        <v>307</v>
      </c>
      <c r="E374" s="22" t="s">
        <v>180</v>
      </c>
      <c r="F374" s="24" t="s">
        <v>1273</v>
      </c>
      <c r="G374" s="24" t="s">
        <v>1274</v>
      </c>
      <c r="H374" s="24"/>
      <c r="I374" s="24">
        <v>1</v>
      </c>
      <c r="J374" s="24" t="s">
        <v>1135</v>
      </c>
      <c r="K374" s="24"/>
      <c r="L374" s="24"/>
      <c r="M374" s="24"/>
      <c r="N374" s="24"/>
      <c r="O374" s="24"/>
      <c r="P374" s="226"/>
      <c r="Q374" s="226"/>
      <c r="R374" s="247"/>
      <c r="S374" s="196"/>
      <c r="T374" s="196"/>
      <c r="U374" s="196"/>
      <c r="V374" s="242"/>
      <c r="W374" s="242" t="s">
        <v>307</v>
      </c>
      <c r="X374" s="196"/>
      <c r="Y374" s="24"/>
      <c r="Z374" s="242"/>
      <c r="AA374" s="229"/>
      <c r="AB374" s="196"/>
      <c r="AC374" s="273"/>
      <c r="AD374" s="229"/>
      <c r="AE374" s="24"/>
      <c r="AF374" s="24"/>
      <c r="AG374" s="22"/>
      <c r="AH374" s="45"/>
      <c r="AI374" s="24"/>
      <c r="AJ374" s="196"/>
      <c r="AK374" s="22"/>
      <c r="AL374" s="22"/>
      <c r="AM374" s="22"/>
      <c r="AN374" s="22"/>
      <c r="AO374" s="22"/>
      <c r="AP374" s="22"/>
      <c r="AQ374" s="22"/>
      <c r="AR374" s="22"/>
      <c r="AS374" s="22"/>
      <c r="AT374" s="210" t="s">
        <v>309</v>
      </c>
      <c r="AU374" s="24"/>
      <c r="AV374" s="135">
        <v>449917004</v>
      </c>
      <c r="AW374" s="22"/>
      <c r="AX374" s="22"/>
      <c r="AY374" s="22"/>
      <c r="AZ374" s="22"/>
      <c r="BA374" s="22"/>
      <c r="BB374" s="22"/>
      <c r="BC374" s="22"/>
      <c r="BD374" s="22"/>
      <c r="BE374" s="143" t="s">
        <v>115</v>
      </c>
      <c r="BF374" s="268" t="s">
        <v>310</v>
      </c>
      <c r="BG374" s="167" t="s">
        <v>311</v>
      </c>
      <c r="BH374" s="245" t="s">
        <v>309</v>
      </c>
      <c r="BI374" s="140">
        <v>449917004</v>
      </c>
      <c r="BJ374" s="47"/>
      <c r="BK374" s="46">
        <f t="shared" si="1"/>
        <v>1</v>
      </c>
      <c r="BL374" s="46"/>
      <c r="BM374" s="46"/>
      <c r="BN374" s="46"/>
    </row>
    <row r="375" spans="1:66" ht="15" hidden="1" customHeight="1">
      <c r="A375" s="22">
        <v>373</v>
      </c>
      <c r="B375" s="22" t="s">
        <v>321</v>
      </c>
      <c r="C375" s="22" t="e">
        <f t="shared" ca="1" si="0"/>
        <v>#NAME?</v>
      </c>
      <c r="D375" s="206" t="s">
        <v>249</v>
      </c>
      <c r="E375" s="22" t="s">
        <v>180</v>
      </c>
      <c r="F375" s="24" t="s">
        <v>1273</v>
      </c>
      <c r="G375" s="24" t="s">
        <v>1274</v>
      </c>
      <c r="H375" s="24"/>
      <c r="I375" s="24">
        <v>1</v>
      </c>
      <c r="J375" s="24" t="s">
        <v>1135</v>
      </c>
      <c r="K375" s="24"/>
      <c r="L375" s="24"/>
      <c r="M375" s="24"/>
      <c r="N375" s="24"/>
      <c r="O375" s="24"/>
      <c r="P375" s="226"/>
      <c r="Q375" s="226"/>
      <c r="R375" s="247"/>
      <c r="S375" s="196"/>
      <c r="T375" s="196"/>
      <c r="U375" s="196"/>
      <c r="V375" s="242"/>
      <c r="W375" s="242" t="s">
        <v>249</v>
      </c>
      <c r="X375" s="196"/>
      <c r="Y375" s="24"/>
      <c r="Z375" s="242"/>
      <c r="AA375" s="229"/>
      <c r="AB375" s="196"/>
      <c r="AC375" s="273"/>
      <c r="AD375" s="229"/>
      <c r="AE375" s="24"/>
      <c r="AF375" s="24"/>
      <c r="AG375" s="22"/>
      <c r="AH375" s="45"/>
      <c r="AI375" s="24"/>
      <c r="AJ375" s="196"/>
      <c r="AK375" s="22"/>
      <c r="AL375" s="22"/>
      <c r="AM375" s="22"/>
      <c r="AN375" s="22"/>
      <c r="AO375" s="22"/>
      <c r="AP375" s="22"/>
      <c r="AQ375" s="22"/>
      <c r="AR375" s="22"/>
      <c r="AS375" s="22"/>
      <c r="AT375" s="135" t="s">
        <v>251</v>
      </c>
      <c r="AU375" s="24"/>
      <c r="AV375" s="135">
        <v>14760008</v>
      </c>
      <c r="AW375" s="22"/>
      <c r="AX375" s="22"/>
      <c r="AY375" s="22"/>
      <c r="AZ375" s="22"/>
      <c r="BA375" s="22"/>
      <c r="BB375" s="22"/>
      <c r="BC375" s="22"/>
      <c r="BD375" s="22"/>
      <c r="BE375" s="143" t="s">
        <v>115</v>
      </c>
      <c r="BF375" s="268" t="s">
        <v>252</v>
      </c>
      <c r="BG375" s="167" t="s">
        <v>253</v>
      </c>
      <c r="BH375" s="140" t="s">
        <v>251</v>
      </c>
      <c r="BI375" s="140">
        <v>14760008</v>
      </c>
      <c r="BJ375" s="47"/>
      <c r="BK375" s="46">
        <f t="shared" si="1"/>
        <v>1</v>
      </c>
      <c r="BL375" s="46"/>
      <c r="BM375" s="46"/>
      <c r="BN375" s="46"/>
    </row>
    <row r="376" spans="1:66" ht="15" hidden="1" customHeight="1">
      <c r="A376" s="22">
        <v>374</v>
      </c>
      <c r="B376" s="22" t="s">
        <v>434</v>
      </c>
      <c r="C376" s="22" t="e">
        <f t="shared" ca="1" si="0"/>
        <v>#NAME?</v>
      </c>
      <c r="D376" s="206" t="s">
        <v>320</v>
      </c>
      <c r="E376" s="22" t="s">
        <v>180</v>
      </c>
      <c r="F376" s="24" t="s">
        <v>1273</v>
      </c>
      <c r="G376" s="24" t="s">
        <v>1274</v>
      </c>
      <c r="H376" s="24"/>
      <c r="I376" s="24">
        <v>1</v>
      </c>
      <c r="J376" s="24" t="s">
        <v>1135</v>
      </c>
      <c r="K376" s="24"/>
      <c r="L376" s="24"/>
      <c r="M376" s="24"/>
      <c r="N376" s="24"/>
      <c r="O376" s="24"/>
      <c r="P376" s="226"/>
      <c r="Q376" s="226"/>
      <c r="R376" s="247"/>
      <c r="S376" s="196"/>
      <c r="T376" s="196"/>
      <c r="U376" s="196"/>
      <c r="V376" s="242"/>
      <c r="W376" s="242" t="s">
        <v>320</v>
      </c>
      <c r="X376" s="196"/>
      <c r="Y376" s="24"/>
      <c r="Z376" s="242"/>
      <c r="AA376" s="229"/>
      <c r="AB376" s="196"/>
      <c r="AC376" s="273"/>
      <c r="AD376" s="229"/>
      <c r="AE376" s="24"/>
      <c r="AF376" s="24"/>
      <c r="AG376" s="22"/>
      <c r="AH376" s="45"/>
      <c r="AI376" s="24"/>
      <c r="AJ376" s="196"/>
      <c r="AK376" s="22"/>
      <c r="AL376" s="22"/>
      <c r="AM376" s="22"/>
      <c r="AN376" s="22"/>
      <c r="AO376" s="22"/>
      <c r="AP376" s="22"/>
      <c r="AQ376" s="22"/>
      <c r="AR376" s="22"/>
      <c r="AS376" s="22"/>
      <c r="AT376" s="135" t="s">
        <v>322</v>
      </c>
      <c r="AU376" s="24"/>
      <c r="AV376" s="135">
        <v>279039007</v>
      </c>
      <c r="AW376" s="22"/>
      <c r="AX376" s="22"/>
      <c r="AY376" s="22"/>
      <c r="AZ376" s="22"/>
      <c r="BA376" s="22"/>
      <c r="BB376" s="22"/>
      <c r="BC376" s="22"/>
      <c r="BD376" s="22"/>
      <c r="BE376" s="143" t="s">
        <v>115</v>
      </c>
      <c r="BF376" s="268" t="s">
        <v>323</v>
      </c>
      <c r="BG376" s="167" t="s">
        <v>324</v>
      </c>
      <c r="BH376" s="140" t="s">
        <v>322</v>
      </c>
      <c r="BI376" s="140">
        <v>279039007</v>
      </c>
      <c r="BJ376" s="47"/>
      <c r="BK376" s="46">
        <f t="shared" si="1"/>
        <v>1</v>
      </c>
      <c r="BL376" s="46"/>
      <c r="BM376" s="46"/>
      <c r="BN376" s="46"/>
    </row>
    <row r="377" spans="1:66" ht="15" hidden="1" customHeight="1">
      <c r="A377" s="22">
        <v>375</v>
      </c>
      <c r="B377" s="22" t="s">
        <v>438</v>
      </c>
      <c r="C377" s="22" t="e">
        <f t="shared" ca="1" si="0"/>
        <v>#NAME?</v>
      </c>
      <c r="D377" s="206" t="s">
        <v>325</v>
      </c>
      <c r="E377" s="22" t="s">
        <v>180</v>
      </c>
      <c r="F377" s="24" t="s">
        <v>1273</v>
      </c>
      <c r="G377" s="24" t="s">
        <v>1274</v>
      </c>
      <c r="H377" s="24"/>
      <c r="I377" s="24">
        <v>1</v>
      </c>
      <c r="J377" s="24" t="s">
        <v>1135</v>
      </c>
      <c r="K377" s="24"/>
      <c r="L377" s="24"/>
      <c r="M377" s="24"/>
      <c r="N377" s="24"/>
      <c r="O377" s="24"/>
      <c r="P377" s="226"/>
      <c r="Q377" s="226"/>
      <c r="R377" s="247"/>
      <c r="S377" s="196"/>
      <c r="T377" s="196"/>
      <c r="U377" s="196"/>
      <c r="V377" s="242"/>
      <c r="W377" s="242" t="s">
        <v>325</v>
      </c>
      <c r="X377" s="196"/>
      <c r="Y377" s="24"/>
      <c r="Z377" s="242"/>
      <c r="AA377" s="229"/>
      <c r="AB377" s="196"/>
      <c r="AC377" s="273"/>
      <c r="AD377" s="229"/>
      <c r="AE377" s="24"/>
      <c r="AF377" s="24"/>
      <c r="AG377" s="22"/>
      <c r="AH377" s="45"/>
      <c r="AI377" s="24"/>
      <c r="AJ377" s="196"/>
      <c r="AK377" s="22"/>
      <c r="AL377" s="22"/>
      <c r="AM377" s="22"/>
      <c r="AN377" s="22"/>
      <c r="AO377" s="22"/>
      <c r="AP377" s="22"/>
      <c r="AQ377" s="22"/>
      <c r="AR377" s="22"/>
      <c r="AS377" s="22"/>
      <c r="AT377" s="210" t="s">
        <v>326</v>
      </c>
      <c r="AU377" s="24"/>
      <c r="AV377" s="135">
        <v>30473006</v>
      </c>
      <c r="AW377" s="22"/>
      <c r="AX377" s="22"/>
      <c r="AY377" s="22"/>
      <c r="AZ377" s="22"/>
      <c r="BA377" s="22"/>
      <c r="BB377" s="22"/>
      <c r="BC377" s="22"/>
      <c r="BD377" s="22"/>
      <c r="BE377" s="143" t="s">
        <v>115</v>
      </c>
      <c r="BF377" s="268" t="s">
        <v>328</v>
      </c>
      <c r="BG377" s="167" t="s">
        <v>329</v>
      </c>
      <c r="BH377" s="245" t="s">
        <v>326</v>
      </c>
      <c r="BI377" s="140">
        <v>30473006</v>
      </c>
      <c r="BJ377" s="47"/>
      <c r="BK377" s="46">
        <f t="shared" si="1"/>
        <v>1</v>
      </c>
      <c r="BL377" s="46"/>
      <c r="BM377" s="46"/>
      <c r="BN377" s="46"/>
    </row>
    <row r="378" spans="1:66" ht="15" hidden="1" customHeight="1">
      <c r="A378" s="22">
        <v>376</v>
      </c>
      <c r="B378" s="22" t="s">
        <v>1700</v>
      </c>
      <c r="C378" s="22" t="e">
        <f t="shared" ca="1" si="0"/>
        <v>#NAME?</v>
      </c>
      <c r="D378" s="206" t="s">
        <v>1229</v>
      </c>
      <c r="E378" s="22" t="s">
        <v>180</v>
      </c>
      <c r="F378" s="24" t="s">
        <v>1273</v>
      </c>
      <c r="G378" s="24" t="s">
        <v>1274</v>
      </c>
      <c r="H378" s="24"/>
      <c r="I378" s="24">
        <v>1</v>
      </c>
      <c r="J378" s="24" t="s">
        <v>1135</v>
      </c>
      <c r="K378" s="24"/>
      <c r="L378" s="24"/>
      <c r="M378" s="24"/>
      <c r="N378" s="24"/>
      <c r="O378" s="24"/>
      <c r="P378" s="226"/>
      <c r="Q378" s="226"/>
      <c r="R378" s="247"/>
      <c r="S378" s="196"/>
      <c r="T378" s="196"/>
      <c r="U378" s="196"/>
      <c r="V378" s="242"/>
      <c r="W378" s="242" t="s">
        <v>1229</v>
      </c>
      <c r="X378" s="196"/>
      <c r="Y378" s="24"/>
      <c r="Z378" s="242"/>
      <c r="AA378" s="229"/>
      <c r="AB378" s="196"/>
      <c r="AC378" s="273"/>
      <c r="AD378" s="229"/>
      <c r="AE378" s="24"/>
      <c r="AF378" s="24"/>
      <c r="AG378" s="22"/>
      <c r="AH378" s="45"/>
      <c r="AI378" s="24"/>
      <c r="AJ378" s="196"/>
      <c r="AK378" s="22"/>
      <c r="AL378" s="22"/>
      <c r="AM378" s="22"/>
      <c r="AN378" s="22"/>
      <c r="AO378" s="22"/>
      <c r="AP378" s="22"/>
      <c r="AQ378" s="22"/>
      <c r="AR378" s="22"/>
      <c r="AS378" s="22"/>
      <c r="AT378" s="135" t="s">
        <v>1230</v>
      </c>
      <c r="AU378" s="24"/>
      <c r="AV378" s="135">
        <v>72866009</v>
      </c>
      <c r="AW378" s="22"/>
      <c r="AX378" s="22"/>
      <c r="AY378" s="22"/>
      <c r="AZ378" s="22"/>
      <c r="BA378" s="22"/>
      <c r="BB378" s="22"/>
      <c r="BC378" s="22"/>
      <c r="BD378" s="22"/>
      <c r="BE378" s="277" t="s">
        <v>115</v>
      </c>
      <c r="BF378" s="278" t="s">
        <v>1231</v>
      </c>
      <c r="BG378" s="279" t="s">
        <v>1233</v>
      </c>
      <c r="BH378" s="140" t="s">
        <v>1230</v>
      </c>
      <c r="BI378" s="140">
        <v>72866009</v>
      </c>
      <c r="BJ378" s="47"/>
      <c r="BK378" s="46">
        <f t="shared" si="1"/>
        <v>1</v>
      </c>
      <c r="BL378" s="46"/>
      <c r="BM378" s="46"/>
      <c r="BN378" s="46"/>
    </row>
    <row r="379" spans="1:66" ht="15" hidden="1" customHeight="1">
      <c r="A379" s="22">
        <v>377</v>
      </c>
      <c r="B379" s="22" t="s">
        <v>449</v>
      </c>
      <c r="C379" s="22" t="e">
        <f t="shared" ca="1" si="0"/>
        <v>#NAME?</v>
      </c>
      <c r="D379" s="206" t="s">
        <v>340</v>
      </c>
      <c r="E379" s="22" t="s">
        <v>180</v>
      </c>
      <c r="F379" s="24" t="s">
        <v>1273</v>
      </c>
      <c r="G379" s="24" t="s">
        <v>1274</v>
      </c>
      <c r="H379" s="24"/>
      <c r="I379" s="24">
        <v>1</v>
      </c>
      <c r="J379" s="24" t="s">
        <v>1135</v>
      </c>
      <c r="K379" s="24"/>
      <c r="L379" s="24"/>
      <c r="M379" s="24"/>
      <c r="N379" s="24"/>
      <c r="O379" s="24"/>
      <c r="P379" s="226"/>
      <c r="Q379" s="226"/>
      <c r="R379" s="247"/>
      <c r="S379" s="196"/>
      <c r="T379" s="196"/>
      <c r="U379" s="196"/>
      <c r="V379" s="242"/>
      <c r="W379" s="242" t="s">
        <v>340</v>
      </c>
      <c r="X379" s="196"/>
      <c r="Y379" s="24"/>
      <c r="Z379" s="242"/>
      <c r="AA379" s="229"/>
      <c r="AB379" s="196"/>
      <c r="AC379" s="273"/>
      <c r="AD379" s="229"/>
      <c r="AE379" s="24"/>
      <c r="AF379" s="24"/>
      <c r="AG379" s="22"/>
      <c r="AH379" s="45"/>
      <c r="AI379" s="24"/>
      <c r="AJ379" s="196"/>
      <c r="AK379" s="22"/>
      <c r="AL379" s="22"/>
      <c r="AM379" s="22"/>
      <c r="AN379" s="22"/>
      <c r="AO379" s="22"/>
      <c r="AP379" s="22"/>
      <c r="AQ379" s="22"/>
      <c r="AR379" s="22"/>
      <c r="AS379" s="22"/>
      <c r="AT379" s="210" t="s">
        <v>342</v>
      </c>
      <c r="AU379" s="24"/>
      <c r="AV379" s="135">
        <v>267038008</v>
      </c>
      <c r="AW379" s="22"/>
      <c r="AX379" s="22"/>
      <c r="AY379" s="22"/>
      <c r="AZ379" s="22"/>
      <c r="BA379" s="22"/>
      <c r="BB379" s="22"/>
      <c r="BC379" s="22"/>
      <c r="BD379" s="22"/>
      <c r="BE379" s="143" t="s">
        <v>115</v>
      </c>
      <c r="BF379" s="268" t="s">
        <v>343</v>
      </c>
      <c r="BG379" s="167" t="s">
        <v>344</v>
      </c>
      <c r="BH379" s="245" t="s">
        <v>342</v>
      </c>
      <c r="BI379" s="140">
        <v>267038008</v>
      </c>
      <c r="BJ379" s="47"/>
      <c r="BK379" s="46">
        <f t="shared" si="1"/>
        <v>1</v>
      </c>
      <c r="BL379" s="46"/>
      <c r="BM379" s="46"/>
      <c r="BN379" s="46"/>
    </row>
    <row r="380" spans="1:66" ht="39" hidden="1" customHeight="1">
      <c r="A380" s="22">
        <v>378</v>
      </c>
      <c r="B380" s="22" t="s">
        <v>1283</v>
      </c>
      <c r="C380" s="22" t="str">
        <f t="shared" si="0"/>
        <v>Any other symptoms related to low back and pelvic pain?</v>
      </c>
      <c r="D380" s="206" t="s">
        <v>1283</v>
      </c>
      <c r="E380" s="22" t="s">
        <v>96</v>
      </c>
      <c r="F380" s="24"/>
      <c r="G380" s="24" t="s">
        <v>1274</v>
      </c>
      <c r="H380" s="24"/>
      <c r="I380" s="24">
        <v>1</v>
      </c>
      <c r="J380" s="24" t="s">
        <v>1135</v>
      </c>
      <c r="K380" s="24"/>
      <c r="L380" s="24"/>
      <c r="M380" s="24"/>
      <c r="N380" s="24"/>
      <c r="O380" s="24"/>
      <c r="P380" s="226"/>
      <c r="Q380" s="226"/>
      <c r="R380" s="247" t="s">
        <v>1283</v>
      </c>
      <c r="S380" s="196" t="s">
        <v>1284</v>
      </c>
      <c r="T380" s="196" t="s">
        <v>1235</v>
      </c>
      <c r="U380" s="196" t="s">
        <v>238</v>
      </c>
      <c r="V380" s="242"/>
      <c r="W380" s="242"/>
      <c r="X380" s="196"/>
      <c r="Y380" s="24"/>
      <c r="Z380" s="242" t="s">
        <v>1056</v>
      </c>
      <c r="AA380" s="229"/>
      <c r="AB380" s="196" t="s">
        <v>113</v>
      </c>
      <c r="AC380" s="273"/>
      <c r="AD380" s="229"/>
      <c r="AE380" s="24"/>
      <c r="AF380" s="24"/>
      <c r="AG380" s="22"/>
      <c r="AH380" s="45"/>
      <c r="AI380" s="24"/>
      <c r="AJ380" s="196" t="s">
        <v>115</v>
      </c>
      <c r="AK380" s="22"/>
      <c r="AL380" s="22"/>
      <c r="AM380" s="22"/>
      <c r="AN380" s="22"/>
      <c r="AO380" s="22"/>
      <c r="AP380" s="22"/>
      <c r="AQ380" s="22"/>
      <c r="AR380" s="22"/>
      <c r="AS380" s="22"/>
      <c r="AT380" s="271"/>
      <c r="AU380" s="24"/>
      <c r="AV380" s="135">
        <v>260413007</v>
      </c>
      <c r="AW380" s="22"/>
      <c r="AX380" s="22"/>
      <c r="AY380" s="22"/>
      <c r="AZ380" s="22"/>
      <c r="BA380" s="22"/>
      <c r="BB380" s="22"/>
      <c r="BC380" s="22"/>
      <c r="BD380" s="22"/>
      <c r="BE380" s="277" t="s">
        <v>1241</v>
      </c>
      <c r="BF380" s="278" t="s">
        <v>1220</v>
      </c>
      <c r="BG380" s="279" t="s">
        <v>1221</v>
      </c>
      <c r="BH380" s="47"/>
      <c r="BI380" s="140">
        <v>260413007</v>
      </c>
      <c r="BJ380" s="47"/>
      <c r="BK380" s="46">
        <f t="shared" si="1"/>
        <v>1</v>
      </c>
      <c r="BL380" s="46"/>
      <c r="BM380" s="46"/>
      <c r="BN380" s="46"/>
    </row>
    <row r="381" spans="1:66" ht="12.75" hidden="1" customHeight="1">
      <c r="A381" s="22">
        <v>379</v>
      </c>
      <c r="B381" s="22" t="s">
        <v>553</v>
      </c>
      <c r="C381" s="22" t="e">
        <f t="shared" ca="1" si="0"/>
        <v>#NAME?</v>
      </c>
      <c r="D381" s="206" t="s">
        <v>423</v>
      </c>
      <c r="E381" s="22" t="s">
        <v>180</v>
      </c>
      <c r="F381" s="24" t="s">
        <v>1283</v>
      </c>
      <c r="G381" s="24" t="s">
        <v>1274</v>
      </c>
      <c r="H381" s="24"/>
      <c r="I381" s="24">
        <v>1</v>
      </c>
      <c r="J381" s="24" t="s">
        <v>1135</v>
      </c>
      <c r="K381" s="24"/>
      <c r="L381" s="24"/>
      <c r="M381" s="24"/>
      <c r="N381" s="24"/>
      <c r="O381" s="24"/>
      <c r="P381" s="226"/>
      <c r="Q381" s="226"/>
      <c r="R381" s="247"/>
      <c r="S381" s="196"/>
      <c r="T381" s="196"/>
      <c r="U381" s="196"/>
      <c r="V381" s="242"/>
      <c r="W381" s="242" t="s">
        <v>423</v>
      </c>
      <c r="X381" s="196"/>
      <c r="Y381" s="24"/>
      <c r="Z381" s="242"/>
      <c r="AA381" s="229"/>
      <c r="AB381" s="194"/>
      <c r="AC381" s="273"/>
      <c r="AD381" s="229"/>
      <c r="AE381" s="24"/>
      <c r="AF381" s="24"/>
      <c r="AG381" s="22"/>
      <c r="AH381" s="45"/>
      <c r="AI381" s="24"/>
      <c r="AJ381" s="196"/>
      <c r="AK381" s="22"/>
      <c r="AL381" s="22"/>
      <c r="AM381" s="22"/>
      <c r="AN381" s="22"/>
      <c r="AO381" s="22"/>
      <c r="AP381" s="22"/>
      <c r="AQ381" s="22"/>
      <c r="AR381" s="22"/>
      <c r="AS381" s="22"/>
      <c r="AT381" s="271"/>
      <c r="AU381" s="24"/>
      <c r="AV381" s="22">
        <v>16932000</v>
      </c>
      <c r="AW381" s="22"/>
      <c r="AX381" s="22"/>
      <c r="AY381" s="22"/>
      <c r="AZ381" s="22"/>
      <c r="BA381" s="22"/>
      <c r="BB381" s="22"/>
      <c r="BC381" s="22"/>
      <c r="BD381" s="22"/>
      <c r="BE381" s="143" t="s">
        <v>115</v>
      </c>
      <c r="BF381" s="268" t="s">
        <v>424</v>
      </c>
      <c r="BG381" s="167" t="s">
        <v>425</v>
      </c>
      <c r="BH381" s="47"/>
      <c r="BI381" s="47">
        <v>16932000</v>
      </c>
      <c r="BJ381" s="47"/>
      <c r="BK381" s="46">
        <f t="shared" si="1"/>
        <v>1</v>
      </c>
      <c r="BL381" s="46"/>
      <c r="BM381" s="46"/>
      <c r="BN381" s="46"/>
    </row>
    <row r="382" spans="1:66" ht="15" hidden="1" customHeight="1">
      <c r="A382" s="22">
        <v>380</v>
      </c>
      <c r="B382" s="22" t="s">
        <v>327</v>
      </c>
      <c r="C382" s="22" t="e">
        <f t="shared" ca="1" si="0"/>
        <v>#NAME?</v>
      </c>
      <c r="D382" s="206" t="s">
        <v>254</v>
      </c>
      <c r="E382" s="22" t="s">
        <v>180</v>
      </c>
      <c r="F382" s="24" t="s">
        <v>1283</v>
      </c>
      <c r="G382" s="24" t="s">
        <v>1274</v>
      </c>
      <c r="H382" s="24"/>
      <c r="I382" s="24">
        <v>1</v>
      </c>
      <c r="J382" s="24" t="s">
        <v>1135</v>
      </c>
      <c r="K382" s="24"/>
      <c r="L382" s="24"/>
      <c r="M382" s="24"/>
      <c r="N382" s="24"/>
      <c r="O382" s="24"/>
      <c r="P382" s="226"/>
      <c r="Q382" s="226"/>
      <c r="R382" s="247"/>
      <c r="S382" s="196"/>
      <c r="T382" s="196"/>
      <c r="U382" s="196"/>
      <c r="V382" s="242"/>
      <c r="W382" s="242" t="s">
        <v>254</v>
      </c>
      <c r="X382" s="196"/>
      <c r="Y382" s="24"/>
      <c r="Z382" s="242"/>
      <c r="AA382" s="229"/>
      <c r="AB382" s="194"/>
      <c r="AC382" s="273"/>
      <c r="AD382" s="229"/>
      <c r="AE382" s="24"/>
      <c r="AF382" s="24"/>
      <c r="AG382" s="22"/>
      <c r="AH382" s="45"/>
      <c r="AI382" s="24"/>
      <c r="AJ382" s="196"/>
      <c r="AK382" s="22"/>
      <c r="AL382" s="22"/>
      <c r="AM382" s="22"/>
      <c r="AN382" s="22"/>
      <c r="AO382" s="22"/>
      <c r="AP382" s="22"/>
      <c r="AQ382" s="22"/>
      <c r="AR382" s="22"/>
      <c r="AS382" s="22"/>
      <c r="AT382" s="271"/>
      <c r="AU382" s="24"/>
      <c r="AV382" s="135">
        <v>289741005</v>
      </c>
      <c r="AW382" s="22"/>
      <c r="AX382" s="22"/>
      <c r="AY382" s="22"/>
      <c r="AZ382" s="22"/>
      <c r="BA382" s="22"/>
      <c r="BB382" s="22"/>
      <c r="BC382" s="22"/>
      <c r="BD382" s="22"/>
      <c r="BE382" s="143" t="s">
        <v>115</v>
      </c>
      <c r="BF382" s="268" t="s">
        <v>256</v>
      </c>
      <c r="BG382" s="167" t="s">
        <v>257</v>
      </c>
      <c r="BH382" s="47"/>
      <c r="BI382" s="140">
        <v>289741005</v>
      </c>
      <c r="BJ382" s="47"/>
      <c r="BK382" s="46">
        <f t="shared" si="1"/>
        <v>1</v>
      </c>
      <c r="BL382" s="46"/>
      <c r="BM382" s="46"/>
      <c r="BN382" s="46"/>
    </row>
    <row r="383" spans="1:66" ht="39" hidden="1" customHeight="1">
      <c r="A383" s="22">
        <v>381</v>
      </c>
      <c r="B383" s="22" t="s">
        <v>491</v>
      </c>
      <c r="C383" s="22" t="e">
        <f t="shared" ca="1" si="0"/>
        <v>#NAME?</v>
      </c>
      <c r="D383" s="206" t="s">
        <v>369</v>
      </c>
      <c r="E383" s="22" t="s">
        <v>180</v>
      </c>
      <c r="F383" s="24" t="s">
        <v>1283</v>
      </c>
      <c r="G383" s="24" t="s">
        <v>1274</v>
      </c>
      <c r="H383" s="24"/>
      <c r="I383" s="24">
        <v>1</v>
      </c>
      <c r="J383" s="24" t="s">
        <v>1135</v>
      </c>
      <c r="K383" s="24"/>
      <c r="L383" s="24"/>
      <c r="M383" s="24"/>
      <c r="N383" s="24"/>
      <c r="O383" s="24"/>
      <c r="P383" s="226"/>
      <c r="Q383" s="226"/>
      <c r="R383" s="247"/>
      <c r="S383" s="196"/>
      <c r="T383" s="196"/>
      <c r="U383" s="196"/>
      <c r="V383" s="242"/>
      <c r="W383" s="242" t="s">
        <v>369</v>
      </c>
      <c r="X383" s="196"/>
      <c r="Y383" s="24"/>
      <c r="Z383" s="242"/>
      <c r="AA383" s="229"/>
      <c r="AB383" s="194"/>
      <c r="AC383" s="273"/>
      <c r="AD383" s="229"/>
      <c r="AE383" s="24"/>
      <c r="AF383" s="24"/>
      <c r="AG383" s="22"/>
      <c r="AH383" s="45"/>
      <c r="AI383" s="24"/>
      <c r="AJ383" s="196"/>
      <c r="AK383" s="22"/>
      <c r="AL383" s="22"/>
      <c r="AM383" s="22"/>
      <c r="AN383" s="22"/>
      <c r="AO383" s="22"/>
      <c r="AP383" s="22"/>
      <c r="AQ383" s="22"/>
      <c r="AR383" s="22"/>
      <c r="AS383" s="22"/>
      <c r="AT383" s="135" t="s">
        <v>370</v>
      </c>
      <c r="AU383" s="24"/>
      <c r="AV383" s="135">
        <v>49650001</v>
      </c>
      <c r="AW383" s="22"/>
      <c r="AX383" s="22"/>
      <c r="AY383" s="22"/>
      <c r="AZ383" s="22"/>
      <c r="BA383" s="22"/>
      <c r="BB383" s="22"/>
      <c r="BC383" s="22"/>
      <c r="BD383" s="22"/>
      <c r="BE383" s="143" t="s">
        <v>115</v>
      </c>
      <c r="BF383" s="268" t="s">
        <v>371</v>
      </c>
      <c r="BG383" s="167" t="s">
        <v>372</v>
      </c>
      <c r="BH383" s="145" t="s">
        <v>370</v>
      </c>
      <c r="BI383" s="145">
        <v>49650001</v>
      </c>
      <c r="BJ383" s="64"/>
      <c r="BK383" s="46">
        <f t="shared" si="1"/>
        <v>1</v>
      </c>
      <c r="BL383" s="46"/>
      <c r="BM383" s="46"/>
      <c r="BN383" s="46"/>
    </row>
    <row r="384" spans="1:66" ht="12.75" hidden="1" customHeight="1">
      <c r="A384" s="22">
        <v>382</v>
      </c>
      <c r="B384" s="22" t="s">
        <v>1721</v>
      </c>
      <c r="C384" s="22" t="e">
        <f t="shared" ca="1" si="0"/>
        <v>#NAME?</v>
      </c>
      <c r="D384" s="206" t="s">
        <v>1237</v>
      </c>
      <c r="E384" s="22" t="s">
        <v>180</v>
      </c>
      <c r="F384" s="24" t="s">
        <v>1283</v>
      </c>
      <c r="G384" s="24" t="s">
        <v>1274</v>
      </c>
      <c r="H384" s="24"/>
      <c r="I384" s="24">
        <v>1</v>
      </c>
      <c r="J384" s="24" t="s">
        <v>1135</v>
      </c>
      <c r="K384" s="24"/>
      <c r="L384" s="24"/>
      <c r="M384" s="24"/>
      <c r="N384" s="24"/>
      <c r="O384" s="24"/>
      <c r="P384" s="226"/>
      <c r="Q384" s="226"/>
      <c r="R384" s="247"/>
      <c r="S384" s="196"/>
      <c r="T384" s="196"/>
      <c r="U384" s="196"/>
      <c r="V384" s="242"/>
      <c r="W384" s="242" t="s">
        <v>1237</v>
      </c>
      <c r="X384" s="196"/>
      <c r="Y384" s="24"/>
      <c r="Z384" s="242"/>
      <c r="AA384" s="229"/>
      <c r="AB384" s="194"/>
      <c r="AC384" s="273"/>
      <c r="AD384" s="229"/>
      <c r="AE384" s="24"/>
      <c r="AF384" s="24"/>
      <c r="AG384" s="22"/>
      <c r="AH384" s="45"/>
      <c r="AI384" s="24"/>
      <c r="AJ384" s="196"/>
      <c r="AK384" s="22"/>
      <c r="AL384" s="22"/>
      <c r="AM384" s="22"/>
      <c r="AN384" s="22"/>
      <c r="AO384" s="22"/>
      <c r="AP384" s="22"/>
      <c r="AQ384" s="22"/>
      <c r="AR384" s="22"/>
      <c r="AS384" s="22"/>
      <c r="AT384" s="272"/>
      <c r="AU384" s="152"/>
      <c r="AV384" s="257"/>
      <c r="AW384" s="257"/>
      <c r="AX384" s="257"/>
      <c r="AY384" s="257"/>
      <c r="AZ384" s="257"/>
      <c r="BA384" s="257"/>
      <c r="BB384" s="257"/>
      <c r="BC384" s="257"/>
      <c r="BD384" s="257"/>
      <c r="BE384" s="143" t="s">
        <v>115</v>
      </c>
      <c r="BF384" s="268" t="s">
        <v>279</v>
      </c>
      <c r="BG384" s="167" t="s">
        <v>280</v>
      </c>
      <c r="BH384" s="153"/>
      <c r="BI384" s="154"/>
      <c r="BJ384" s="154"/>
      <c r="BK384" s="46">
        <f t="shared" si="1"/>
        <v>1</v>
      </c>
      <c r="BL384" s="46"/>
      <c r="BM384" s="46"/>
      <c r="BN384" s="46"/>
    </row>
    <row r="385" spans="1:66" ht="12.75" hidden="1" customHeight="1">
      <c r="A385" s="22">
        <v>383</v>
      </c>
      <c r="B385" s="22" t="s">
        <v>1285</v>
      </c>
      <c r="C385" s="22" t="str">
        <f t="shared" si="0"/>
        <v>Any other symptoms related to varicose veins or oedema?</v>
      </c>
      <c r="D385" s="206" t="s">
        <v>1285</v>
      </c>
      <c r="E385" s="22" t="s">
        <v>96</v>
      </c>
      <c r="F385" s="24"/>
      <c r="G385" s="24" t="s">
        <v>1274</v>
      </c>
      <c r="H385" s="24"/>
      <c r="I385" s="24">
        <v>1</v>
      </c>
      <c r="J385" s="24" t="s">
        <v>1135</v>
      </c>
      <c r="K385" s="24"/>
      <c r="L385" s="24"/>
      <c r="M385" s="24"/>
      <c r="N385" s="24"/>
      <c r="O385" s="24"/>
      <c r="P385" s="226"/>
      <c r="Q385" s="226"/>
      <c r="R385" s="247" t="s">
        <v>1285</v>
      </c>
      <c r="S385" s="196" t="s">
        <v>1286</v>
      </c>
      <c r="T385" s="196" t="s">
        <v>1240</v>
      </c>
      <c r="U385" s="196" t="s">
        <v>238</v>
      </c>
      <c r="V385" s="242"/>
      <c r="W385" s="242"/>
      <c r="X385" s="196"/>
      <c r="Y385" s="24"/>
      <c r="Z385" s="242" t="s">
        <v>1056</v>
      </c>
      <c r="AA385" s="229"/>
      <c r="AB385" s="194" t="s">
        <v>113</v>
      </c>
      <c r="AC385" s="273"/>
      <c r="AD385" s="229"/>
      <c r="AE385" s="24"/>
      <c r="AF385" s="24"/>
      <c r="AG385" s="22"/>
      <c r="AH385" s="45"/>
      <c r="AI385" s="24"/>
      <c r="AJ385" s="196" t="s">
        <v>115</v>
      </c>
      <c r="AK385" s="22"/>
      <c r="AL385" s="22"/>
      <c r="AM385" s="22"/>
      <c r="AN385" s="22"/>
      <c r="AO385" s="22"/>
      <c r="AP385" s="22"/>
      <c r="AQ385" s="22"/>
      <c r="AR385" s="22"/>
      <c r="AS385" s="22"/>
      <c r="AT385" s="272"/>
      <c r="AU385" s="152"/>
      <c r="AV385" s="257"/>
      <c r="AW385" s="257"/>
      <c r="AX385" s="257"/>
      <c r="AY385" s="257"/>
      <c r="AZ385" s="257"/>
      <c r="BA385" s="257"/>
      <c r="BB385" s="257"/>
      <c r="BC385" s="257"/>
      <c r="BD385" s="257"/>
      <c r="BE385" s="277" t="s">
        <v>1241</v>
      </c>
      <c r="BF385" s="278" t="s">
        <v>1220</v>
      </c>
      <c r="BG385" s="279" t="s">
        <v>1221</v>
      </c>
      <c r="BH385" s="153"/>
      <c r="BI385" s="154"/>
      <c r="BJ385" s="154"/>
      <c r="BK385" s="46">
        <f t="shared" si="1"/>
        <v>1</v>
      </c>
      <c r="BL385" s="46"/>
      <c r="BM385" s="46"/>
      <c r="BN385" s="46"/>
    </row>
    <row r="386" spans="1:66" ht="15" hidden="1" customHeight="1">
      <c r="A386" s="22">
        <v>384</v>
      </c>
      <c r="B386" s="22" t="s">
        <v>553</v>
      </c>
      <c r="C386" s="22" t="e">
        <f t="shared" ca="1" si="0"/>
        <v>#NAME?</v>
      </c>
      <c r="D386" s="206" t="s">
        <v>423</v>
      </c>
      <c r="E386" s="22" t="s">
        <v>180</v>
      </c>
      <c r="F386" s="24" t="s">
        <v>1285</v>
      </c>
      <c r="G386" s="24" t="s">
        <v>1274</v>
      </c>
      <c r="H386" s="24"/>
      <c r="I386" s="24">
        <v>1</v>
      </c>
      <c r="J386" s="24" t="s">
        <v>1135</v>
      </c>
      <c r="K386" s="24"/>
      <c r="L386" s="24"/>
      <c r="M386" s="24"/>
      <c r="N386" s="24"/>
      <c r="O386" s="24"/>
      <c r="P386" s="226"/>
      <c r="Q386" s="226"/>
      <c r="R386" s="247"/>
      <c r="S386" s="196"/>
      <c r="T386" s="196"/>
      <c r="U386" s="196"/>
      <c r="V386" s="242"/>
      <c r="W386" s="242" t="s">
        <v>423</v>
      </c>
      <c r="X386" s="196"/>
      <c r="Y386" s="24"/>
      <c r="Z386" s="196"/>
      <c r="AA386" s="229"/>
      <c r="AB386" s="196"/>
      <c r="AC386" s="273"/>
      <c r="AD386" s="229"/>
      <c r="AE386" s="24"/>
      <c r="AF386" s="24"/>
      <c r="AG386" s="22"/>
      <c r="AH386" s="45"/>
      <c r="AI386" s="24"/>
      <c r="AJ386" s="196"/>
      <c r="AK386" s="22"/>
      <c r="AL386" s="22"/>
      <c r="AM386" s="22"/>
      <c r="AN386" s="22"/>
      <c r="AO386" s="22"/>
      <c r="AP386" s="22"/>
      <c r="AQ386" s="22"/>
      <c r="AR386" s="22"/>
      <c r="AS386" s="22"/>
      <c r="AT386" s="271"/>
      <c r="AU386" s="24"/>
      <c r="AV386" s="135">
        <v>260413007</v>
      </c>
      <c r="AW386" s="22"/>
      <c r="AX386" s="22"/>
      <c r="AY386" s="22"/>
      <c r="AZ386" s="22"/>
      <c r="BA386" s="22"/>
      <c r="BB386" s="22"/>
      <c r="BC386" s="22"/>
      <c r="BD386" s="22"/>
      <c r="BE386" s="143" t="s">
        <v>115</v>
      </c>
      <c r="BF386" s="268" t="s">
        <v>424</v>
      </c>
      <c r="BG386" s="167" t="s">
        <v>425</v>
      </c>
      <c r="BH386" s="64"/>
      <c r="BI386" s="145">
        <v>260413007</v>
      </c>
      <c r="BJ386" s="47"/>
      <c r="BK386" s="46">
        <f t="shared" si="1"/>
        <v>1</v>
      </c>
      <c r="BL386" s="46"/>
      <c r="BM386" s="46"/>
      <c r="BN386" s="46"/>
    </row>
    <row r="387" spans="1:66" ht="15" hidden="1" customHeight="1">
      <c r="A387" s="22">
        <v>385</v>
      </c>
      <c r="B387" s="22" t="s">
        <v>420</v>
      </c>
      <c r="C387" s="22" t="e">
        <f t="shared" ca="1" si="0"/>
        <v>#NAME?</v>
      </c>
      <c r="D387" s="206" t="s">
        <v>312</v>
      </c>
      <c r="E387" s="22" t="s">
        <v>180</v>
      </c>
      <c r="F387" s="24" t="s">
        <v>1285</v>
      </c>
      <c r="G387" s="24" t="s">
        <v>1274</v>
      </c>
      <c r="H387" s="24"/>
      <c r="I387" s="24">
        <v>1</v>
      </c>
      <c r="J387" s="24" t="s">
        <v>1135</v>
      </c>
      <c r="K387" s="24"/>
      <c r="L387" s="24"/>
      <c r="M387" s="24"/>
      <c r="N387" s="24"/>
      <c r="O387" s="24"/>
      <c r="P387" s="226"/>
      <c r="Q387" s="226"/>
      <c r="R387" s="247"/>
      <c r="S387" s="196"/>
      <c r="T387" s="196"/>
      <c r="U387" s="196"/>
      <c r="V387" s="242"/>
      <c r="W387" s="242" t="s">
        <v>312</v>
      </c>
      <c r="X387" s="196"/>
      <c r="Y387" s="24"/>
      <c r="Z387" s="196"/>
      <c r="AA387" s="229"/>
      <c r="AB387" s="196"/>
      <c r="AC387" s="273"/>
      <c r="AD387" s="229"/>
      <c r="AE387" s="24"/>
      <c r="AF387" s="24"/>
      <c r="AG387" s="22"/>
      <c r="AH387" s="45"/>
      <c r="AI387" s="24"/>
      <c r="AJ387" s="196"/>
      <c r="AK387" s="22"/>
      <c r="AL387" s="22"/>
      <c r="AM387" s="22"/>
      <c r="AN387" s="22"/>
      <c r="AO387" s="22"/>
      <c r="AP387" s="22"/>
      <c r="AQ387" s="22"/>
      <c r="AR387" s="22"/>
      <c r="AS387" s="22"/>
      <c r="AT387" s="172" t="s">
        <v>314</v>
      </c>
      <c r="AU387" s="24"/>
      <c r="AV387" s="156">
        <v>10601006</v>
      </c>
      <c r="AW387" s="22"/>
      <c r="AX387" s="22"/>
      <c r="AY387" s="22"/>
      <c r="AZ387" s="22"/>
      <c r="BA387" s="22"/>
      <c r="BB387" s="22"/>
      <c r="BC387" s="22"/>
      <c r="BD387" s="22"/>
      <c r="BE387" s="143" t="s">
        <v>115</v>
      </c>
      <c r="BF387" s="268" t="s">
        <v>315</v>
      </c>
      <c r="BG387" s="167" t="s">
        <v>316</v>
      </c>
      <c r="BH387" s="188" t="s">
        <v>314</v>
      </c>
      <c r="BI387" s="157">
        <v>10601006</v>
      </c>
      <c r="BJ387" s="64"/>
      <c r="BK387" s="46">
        <f t="shared" si="1"/>
        <v>1</v>
      </c>
      <c r="BL387" s="46"/>
      <c r="BM387" s="46"/>
      <c r="BN387" s="46"/>
    </row>
    <row r="388" spans="1:66" ht="12.75" hidden="1" customHeight="1">
      <c r="A388" s="22">
        <v>386</v>
      </c>
      <c r="B388" s="22" t="s">
        <v>427</v>
      </c>
      <c r="C388" s="22" t="e">
        <f t="shared" ca="1" si="0"/>
        <v>#NAME?</v>
      </c>
      <c r="D388" s="206" t="s">
        <v>317</v>
      </c>
      <c r="E388" s="22" t="s">
        <v>180</v>
      </c>
      <c r="F388" s="24" t="s">
        <v>1285</v>
      </c>
      <c r="G388" s="24" t="s">
        <v>1274</v>
      </c>
      <c r="H388" s="24"/>
      <c r="I388" s="24">
        <v>1</v>
      </c>
      <c r="J388" s="24" t="s">
        <v>1135</v>
      </c>
      <c r="K388" s="24"/>
      <c r="L388" s="24"/>
      <c r="M388" s="24"/>
      <c r="N388" s="24"/>
      <c r="O388" s="24"/>
      <c r="P388" s="226"/>
      <c r="Q388" s="226"/>
      <c r="R388" s="247"/>
      <c r="S388" s="196"/>
      <c r="T388" s="196"/>
      <c r="U388" s="196"/>
      <c r="V388" s="242"/>
      <c r="W388" s="242" t="s">
        <v>317</v>
      </c>
      <c r="X388" s="196"/>
      <c r="Y388" s="24"/>
      <c r="Z388" s="196"/>
      <c r="AA388" s="229"/>
      <c r="AB388" s="196"/>
      <c r="AC388" s="273"/>
      <c r="AD388" s="229"/>
      <c r="AE388" s="24"/>
      <c r="AF388" s="24"/>
      <c r="AG388" s="22"/>
      <c r="AH388" s="45"/>
      <c r="AI388" s="24"/>
      <c r="AJ388" s="196"/>
      <c r="AK388" s="22"/>
      <c r="AL388" s="22"/>
      <c r="AM388" s="22"/>
      <c r="AN388" s="22"/>
      <c r="AO388" s="22"/>
      <c r="AP388" s="22"/>
      <c r="AQ388" s="22"/>
      <c r="AR388" s="22"/>
      <c r="AS388" s="22"/>
      <c r="AT388" s="272"/>
      <c r="AU388" s="152"/>
      <c r="AV388" s="257"/>
      <c r="AW388" s="257"/>
      <c r="AX388" s="257"/>
      <c r="AY388" s="257"/>
      <c r="AZ388" s="257"/>
      <c r="BA388" s="257"/>
      <c r="BB388" s="257"/>
      <c r="BC388" s="257"/>
      <c r="BD388" s="257"/>
      <c r="BE388" s="280" t="s">
        <v>115</v>
      </c>
      <c r="BF388" s="268" t="s">
        <v>318</v>
      </c>
      <c r="BG388" s="167" t="s">
        <v>319</v>
      </c>
      <c r="BH388" s="153"/>
      <c r="BI388" s="154"/>
      <c r="BJ388" s="154"/>
      <c r="BK388" s="46">
        <f t="shared" si="1"/>
        <v>1</v>
      </c>
      <c r="BL388" s="46"/>
      <c r="BM388" s="46"/>
      <c r="BN388" s="46"/>
    </row>
    <row r="389" spans="1:66" ht="12.75" hidden="1" customHeight="1">
      <c r="A389" s="22">
        <v>387</v>
      </c>
      <c r="B389" s="22" t="s">
        <v>1287</v>
      </c>
      <c r="C389" s="22" t="str">
        <f t="shared" si="0"/>
        <v xml:space="preserve">Any other symptoms? </v>
      </c>
      <c r="D389" s="206" t="s">
        <v>1287</v>
      </c>
      <c r="E389" s="22" t="s">
        <v>96</v>
      </c>
      <c r="F389" s="24"/>
      <c r="G389" s="24" t="s">
        <v>1274</v>
      </c>
      <c r="H389" s="24"/>
      <c r="I389" s="24">
        <v>1</v>
      </c>
      <c r="J389" s="24" t="s">
        <v>1135</v>
      </c>
      <c r="K389" s="24"/>
      <c r="L389" s="24"/>
      <c r="M389" s="24"/>
      <c r="N389" s="24"/>
      <c r="O389" s="24"/>
      <c r="P389" s="226"/>
      <c r="Q389" s="226"/>
      <c r="R389" s="290" t="s">
        <v>1287</v>
      </c>
      <c r="S389" s="242" t="s">
        <v>1288</v>
      </c>
      <c r="T389" s="242" t="s">
        <v>1289</v>
      </c>
      <c r="U389" s="242" t="s">
        <v>238</v>
      </c>
      <c r="V389" s="194"/>
      <c r="W389" s="194"/>
      <c r="X389" s="196"/>
      <c r="Y389" s="24"/>
      <c r="Z389" s="242" t="s">
        <v>1279</v>
      </c>
      <c r="AA389" s="229"/>
      <c r="AB389" s="242" t="s">
        <v>113</v>
      </c>
      <c r="AC389" s="273"/>
      <c r="AD389" s="229"/>
      <c r="AE389" s="24"/>
      <c r="AF389" s="24"/>
      <c r="AG389" s="22"/>
      <c r="AH389" s="45"/>
      <c r="AI389" s="24"/>
      <c r="AJ389" s="242" t="s">
        <v>1277</v>
      </c>
      <c r="AK389" s="22"/>
      <c r="AL389" s="22"/>
      <c r="AM389" s="22"/>
      <c r="AN389" s="22"/>
      <c r="AO389" s="22"/>
      <c r="AP389" s="22"/>
      <c r="AQ389" s="22"/>
      <c r="AR389" s="22"/>
      <c r="AS389" s="22"/>
      <c r="AT389" s="272"/>
      <c r="AU389" s="152"/>
      <c r="AV389" s="257"/>
      <c r="AW389" s="257"/>
      <c r="AX389" s="257"/>
      <c r="AY389" s="257"/>
      <c r="AZ389" s="257"/>
      <c r="BA389" s="257"/>
      <c r="BB389" s="257"/>
      <c r="BC389" s="257"/>
      <c r="BD389" s="257"/>
      <c r="BE389" s="277" t="s">
        <v>1241</v>
      </c>
      <c r="BF389" s="278" t="s">
        <v>1220</v>
      </c>
      <c r="BG389" s="279" t="s">
        <v>1221</v>
      </c>
      <c r="BH389" s="153"/>
      <c r="BI389" s="154"/>
      <c r="BJ389" s="154"/>
      <c r="BK389" s="46">
        <f t="shared" si="1"/>
        <v>1</v>
      </c>
      <c r="BL389" s="46"/>
      <c r="BM389" s="46"/>
      <c r="BN389" s="46"/>
    </row>
    <row r="390" spans="1:66" ht="15" hidden="1" customHeight="1">
      <c r="A390" s="22">
        <v>388</v>
      </c>
      <c r="B390" s="22" t="s">
        <v>553</v>
      </c>
      <c r="C390" s="22" t="e">
        <f t="shared" ca="1" si="0"/>
        <v>#NAME?</v>
      </c>
      <c r="D390" s="206" t="s">
        <v>423</v>
      </c>
      <c r="E390" s="22" t="s">
        <v>180</v>
      </c>
      <c r="F390" s="24" t="s">
        <v>1287</v>
      </c>
      <c r="G390" s="24" t="s">
        <v>1274</v>
      </c>
      <c r="H390" s="24"/>
      <c r="I390" s="24">
        <v>1</v>
      </c>
      <c r="J390" s="24" t="s">
        <v>1135</v>
      </c>
      <c r="K390" s="24"/>
      <c r="L390" s="24"/>
      <c r="M390" s="24"/>
      <c r="N390" s="24"/>
      <c r="O390" s="24"/>
      <c r="P390" s="226"/>
      <c r="Q390" s="226"/>
      <c r="R390" s="247"/>
      <c r="S390" s="196"/>
      <c r="T390" s="196"/>
      <c r="U390" s="196"/>
      <c r="V390" s="194"/>
      <c r="W390" s="194" t="s">
        <v>423</v>
      </c>
      <c r="X390" s="196"/>
      <c r="Y390" s="24"/>
      <c r="Z390" s="196"/>
      <c r="AA390" s="229"/>
      <c r="AB390" s="196"/>
      <c r="AC390" s="273"/>
      <c r="AD390" s="229"/>
      <c r="AE390" s="24"/>
      <c r="AF390" s="24"/>
      <c r="AG390" s="22"/>
      <c r="AH390" s="45"/>
      <c r="AI390" s="24"/>
      <c r="AJ390" s="196"/>
      <c r="AK390" s="22"/>
      <c r="AL390" s="22"/>
      <c r="AM390" s="22"/>
      <c r="AN390" s="22"/>
      <c r="AO390" s="22"/>
      <c r="AP390" s="22"/>
      <c r="AQ390" s="22"/>
      <c r="AR390" s="22"/>
      <c r="AS390" s="22"/>
      <c r="AT390" s="271"/>
      <c r="AU390" s="24"/>
      <c r="AV390" s="135">
        <v>260413007</v>
      </c>
      <c r="AW390" s="271"/>
      <c r="AX390" s="271"/>
      <c r="AY390" s="271"/>
      <c r="AZ390" s="271"/>
      <c r="BA390" s="271"/>
      <c r="BB390" s="271"/>
      <c r="BC390" s="271"/>
      <c r="BD390" s="271"/>
      <c r="BE390" s="143" t="s">
        <v>115</v>
      </c>
      <c r="BF390" s="268" t="s">
        <v>424</v>
      </c>
      <c r="BG390" s="167" t="s">
        <v>425</v>
      </c>
      <c r="BH390" s="47"/>
      <c r="BI390" s="140">
        <v>260413007</v>
      </c>
      <c r="BJ390" s="47"/>
      <c r="BK390" s="46">
        <f t="shared" si="1"/>
        <v>1</v>
      </c>
      <c r="BL390" s="46"/>
      <c r="BM390" s="46"/>
      <c r="BN390" s="46"/>
    </row>
    <row r="391" spans="1:66" ht="39" hidden="1" customHeight="1">
      <c r="A391" s="22">
        <v>389</v>
      </c>
      <c r="B391" s="22" t="s">
        <v>304</v>
      </c>
      <c r="C391" s="22" t="e">
        <f t="shared" ca="1" si="0"/>
        <v>#NAME?</v>
      </c>
      <c r="D391" s="206" t="s">
        <v>239</v>
      </c>
      <c r="E391" s="22" t="s">
        <v>180</v>
      </c>
      <c r="F391" s="24" t="s">
        <v>1287</v>
      </c>
      <c r="G391" s="24" t="s">
        <v>1274</v>
      </c>
      <c r="H391" s="24"/>
      <c r="I391" s="24">
        <v>1</v>
      </c>
      <c r="J391" s="24" t="s">
        <v>1135</v>
      </c>
      <c r="K391" s="24"/>
      <c r="L391" s="24"/>
      <c r="M391" s="24"/>
      <c r="N391" s="24"/>
      <c r="O391" s="24"/>
      <c r="P391" s="226"/>
      <c r="Q391" s="226"/>
      <c r="R391" s="247"/>
      <c r="S391" s="196"/>
      <c r="T391" s="196"/>
      <c r="U391" s="196"/>
      <c r="V391" s="194"/>
      <c r="W391" s="194" t="s">
        <v>239</v>
      </c>
      <c r="X391" s="196"/>
      <c r="Y391" s="24"/>
      <c r="Z391" s="196"/>
      <c r="AA391" s="229"/>
      <c r="AB391" s="196"/>
      <c r="AC391" s="273"/>
      <c r="AD391" s="229"/>
      <c r="AE391" s="24"/>
      <c r="AF391" s="24"/>
      <c r="AG391" s="22"/>
      <c r="AH391" s="45"/>
      <c r="AI391" s="24"/>
      <c r="AJ391" s="196"/>
      <c r="AK391" s="22"/>
      <c r="AL391" s="22"/>
      <c r="AM391" s="22"/>
      <c r="AN391" s="22"/>
      <c r="AO391" s="22"/>
      <c r="AP391" s="22"/>
      <c r="AQ391" s="22"/>
      <c r="AR391" s="22"/>
      <c r="AS391" s="22"/>
      <c r="AT391" s="210" t="s">
        <v>397</v>
      </c>
      <c r="AU391" s="24"/>
      <c r="AV391" s="135">
        <v>289567003</v>
      </c>
      <c r="AW391" s="271"/>
      <c r="AX391" s="271"/>
      <c r="AY391" s="271"/>
      <c r="AZ391" s="271"/>
      <c r="BA391" s="271"/>
      <c r="BB391" s="271"/>
      <c r="BC391" s="271"/>
      <c r="BD391" s="271"/>
      <c r="BE391" s="280" t="s">
        <v>115</v>
      </c>
      <c r="BF391" s="268" t="s">
        <v>240</v>
      </c>
      <c r="BG391" s="167" t="s">
        <v>241</v>
      </c>
      <c r="BH391" s="245" t="s">
        <v>397</v>
      </c>
      <c r="BI391" s="140">
        <v>289567003</v>
      </c>
      <c r="BJ391" s="47"/>
      <c r="BK391" s="46">
        <f t="shared" si="1"/>
        <v>1</v>
      </c>
      <c r="BL391" s="46"/>
      <c r="BM391" s="46"/>
      <c r="BN391" s="46"/>
    </row>
    <row r="392" spans="1:66" ht="26.25" hidden="1" customHeight="1">
      <c r="A392" s="22">
        <v>390</v>
      </c>
      <c r="B392" s="22" t="s">
        <v>1771</v>
      </c>
      <c r="C392" s="22" t="e">
        <f t="shared" ca="1" si="0"/>
        <v>#NAME?</v>
      </c>
      <c r="D392" s="206" t="s">
        <v>1251</v>
      </c>
      <c r="E392" s="22" t="s">
        <v>180</v>
      </c>
      <c r="F392" s="24" t="s">
        <v>1287</v>
      </c>
      <c r="G392" s="24" t="s">
        <v>1274</v>
      </c>
      <c r="H392" s="24"/>
      <c r="I392" s="24">
        <v>1</v>
      </c>
      <c r="J392" s="24" t="s">
        <v>1135</v>
      </c>
      <c r="K392" s="24"/>
      <c r="L392" s="24"/>
      <c r="M392" s="24"/>
      <c r="N392" s="24"/>
      <c r="O392" s="24"/>
      <c r="P392" s="226"/>
      <c r="Q392" s="226"/>
      <c r="R392" s="247"/>
      <c r="S392" s="196"/>
      <c r="T392" s="196"/>
      <c r="U392" s="196"/>
      <c r="V392" s="194"/>
      <c r="W392" s="194" t="s">
        <v>1251</v>
      </c>
      <c r="X392" s="196"/>
      <c r="Y392" s="24"/>
      <c r="Z392" s="196"/>
      <c r="AA392" s="229"/>
      <c r="AB392" s="196"/>
      <c r="AC392" s="273"/>
      <c r="AD392" s="229"/>
      <c r="AE392" s="24"/>
      <c r="AF392" s="24"/>
      <c r="AG392" s="22"/>
      <c r="AH392" s="45"/>
      <c r="AI392" s="24"/>
      <c r="AJ392" s="196"/>
      <c r="AK392" s="22"/>
      <c r="AL392" s="22"/>
      <c r="AM392" s="22"/>
      <c r="AN392" s="22"/>
      <c r="AO392" s="22"/>
      <c r="AP392" s="22"/>
      <c r="AQ392" s="22"/>
      <c r="AR392" s="22"/>
      <c r="AS392" s="22"/>
      <c r="AT392" s="210" t="s">
        <v>1253</v>
      </c>
      <c r="AU392" s="24"/>
      <c r="AV392" s="135">
        <v>230145002</v>
      </c>
      <c r="AW392" s="271"/>
      <c r="AX392" s="271"/>
      <c r="AY392" s="271"/>
      <c r="AZ392" s="271"/>
      <c r="BA392" s="271"/>
      <c r="BB392" s="271"/>
      <c r="BC392" s="271"/>
      <c r="BD392" s="271"/>
      <c r="BE392" s="143" t="s">
        <v>115</v>
      </c>
      <c r="BF392" s="268" t="s">
        <v>1254</v>
      </c>
      <c r="BG392" s="167" t="s">
        <v>1255</v>
      </c>
      <c r="BH392" s="245" t="s">
        <v>1253</v>
      </c>
      <c r="BI392" s="140">
        <v>230145002</v>
      </c>
      <c r="BJ392" s="47"/>
      <c r="BK392" s="46">
        <f t="shared" si="1"/>
        <v>1</v>
      </c>
      <c r="BL392" s="46"/>
      <c r="BM392" s="46"/>
      <c r="BN392" s="46"/>
    </row>
    <row r="393" spans="1:66" ht="39" hidden="1" customHeight="1">
      <c r="A393" s="22">
        <v>391</v>
      </c>
      <c r="B393" s="22" t="s">
        <v>1776</v>
      </c>
      <c r="C393" s="22" t="e">
        <f t="shared" ca="1" si="0"/>
        <v>#NAME?</v>
      </c>
      <c r="D393" s="206" t="s">
        <v>1256</v>
      </c>
      <c r="E393" s="22" t="s">
        <v>180</v>
      </c>
      <c r="F393" s="24" t="s">
        <v>1287</v>
      </c>
      <c r="G393" s="24" t="s">
        <v>1274</v>
      </c>
      <c r="H393" s="24"/>
      <c r="I393" s="24">
        <v>1</v>
      </c>
      <c r="J393" s="24" t="s">
        <v>1135</v>
      </c>
      <c r="K393" s="24"/>
      <c r="L393" s="24"/>
      <c r="M393" s="24"/>
      <c r="N393" s="24"/>
      <c r="O393" s="24"/>
      <c r="P393" s="226"/>
      <c r="Q393" s="226"/>
      <c r="R393" s="247"/>
      <c r="S393" s="196"/>
      <c r="T393" s="196"/>
      <c r="U393" s="196"/>
      <c r="V393" s="194"/>
      <c r="W393" s="194" t="s">
        <v>1256</v>
      </c>
      <c r="X393" s="196"/>
      <c r="Y393" s="24"/>
      <c r="Z393" s="196"/>
      <c r="AA393" s="229"/>
      <c r="AB393" s="196"/>
      <c r="AC393" s="273"/>
      <c r="AD393" s="229"/>
      <c r="AE393" s="24"/>
      <c r="AF393" s="24"/>
      <c r="AG393" s="22"/>
      <c r="AH393" s="45"/>
      <c r="AI393" s="24"/>
      <c r="AJ393" s="196"/>
      <c r="AK393" s="22"/>
      <c r="AL393" s="22"/>
      <c r="AM393" s="22"/>
      <c r="AN393" s="22"/>
      <c r="AO393" s="22"/>
      <c r="AP393" s="22"/>
      <c r="AQ393" s="22"/>
      <c r="AR393" s="22"/>
      <c r="AS393" s="22"/>
      <c r="AT393" s="135" t="s">
        <v>383</v>
      </c>
      <c r="AU393" s="24"/>
      <c r="AV393" s="135">
        <v>60845006</v>
      </c>
      <c r="AW393" s="271"/>
      <c r="AX393" s="271"/>
      <c r="AY393" s="271"/>
      <c r="AZ393" s="271"/>
      <c r="BA393" s="271"/>
      <c r="BB393" s="271"/>
      <c r="BC393" s="271"/>
      <c r="BD393" s="271"/>
      <c r="BE393" s="143" t="s">
        <v>115</v>
      </c>
      <c r="BF393" s="268" t="s">
        <v>1258</v>
      </c>
      <c r="BG393" s="167" t="s">
        <v>1259</v>
      </c>
      <c r="BH393" s="140" t="s">
        <v>383</v>
      </c>
      <c r="BI393" s="140">
        <v>60845006</v>
      </c>
      <c r="BJ393" s="47"/>
      <c r="BK393" s="46">
        <f t="shared" si="1"/>
        <v>1</v>
      </c>
      <c r="BL393" s="46"/>
      <c r="BM393" s="46"/>
      <c r="BN393" s="46"/>
    </row>
    <row r="394" spans="1:66" ht="39" hidden="1" customHeight="1">
      <c r="A394" s="22">
        <v>392</v>
      </c>
      <c r="B394" s="22" t="s">
        <v>1780</v>
      </c>
      <c r="C394" s="22" t="e">
        <f t="shared" ca="1" si="0"/>
        <v>#NAME?</v>
      </c>
      <c r="D394" s="206" t="s">
        <v>1260</v>
      </c>
      <c r="E394" s="22" t="s">
        <v>180</v>
      </c>
      <c r="F394" s="24" t="s">
        <v>1287</v>
      </c>
      <c r="G394" s="24" t="s">
        <v>1274</v>
      </c>
      <c r="H394" s="24"/>
      <c r="I394" s="24">
        <v>1</v>
      </c>
      <c r="J394" s="24" t="s">
        <v>1135</v>
      </c>
      <c r="K394" s="24"/>
      <c r="L394" s="24"/>
      <c r="M394" s="24"/>
      <c r="N394" s="24"/>
      <c r="O394" s="24"/>
      <c r="P394" s="226"/>
      <c r="Q394" s="226"/>
      <c r="R394" s="247"/>
      <c r="S394" s="196"/>
      <c r="T394" s="196"/>
      <c r="U394" s="196"/>
      <c r="V394" s="194"/>
      <c r="W394" s="194" t="s">
        <v>1260</v>
      </c>
      <c r="X394" s="196"/>
      <c r="Y394" s="24"/>
      <c r="Z394" s="196"/>
      <c r="AA394" s="229"/>
      <c r="AB394" s="196"/>
      <c r="AC394" s="273"/>
      <c r="AD394" s="229"/>
      <c r="AE394" s="24"/>
      <c r="AF394" s="24"/>
      <c r="AG394" s="22"/>
      <c r="AH394" s="45"/>
      <c r="AI394" s="24"/>
      <c r="AJ394" s="196"/>
      <c r="AK394" s="22"/>
      <c r="AL394" s="22"/>
      <c r="AM394" s="22"/>
      <c r="AN394" s="22"/>
      <c r="AO394" s="22"/>
      <c r="AP394" s="22"/>
      <c r="AQ394" s="22"/>
      <c r="AR394" s="22"/>
      <c r="AS394" s="22"/>
      <c r="AT394" s="135" t="s">
        <v>259</v>
      </c>
      <c r="AU394" s="24"/>
      <c r="AV394" s="135">
        <v>68154008</v>
      </c>
      <c r="AW394" s="271"/>
      <c r="AX394" s="271"/>
      <c r="AY394" s="271"/>
      <c r="AZ394" s="271"/>
      <c r="BA394" s="271"/>
      <c r="BB394" s="271"/>
      <c r="BC394" s="271"/>
      <c r="BD394" s="271"/>
      <c r="BE394" s="143" t="s">
        <v>115</v>
      </c>
      <c r="BF394" s="268" t="s">
        <v>1261</v>
      </c>
      <c r="BG394" s="167" t="s">
        <v>1262</v>
      </c>
      <c r="BH394" s="140" t="s">
        <v>259</v>
      </c>
      <c r="BI394" s="140">
        <v>68154008</v>
      </c>
      <c r="BJ394" s="47"/>
      <c r="BK394" s="46">
        <f t="shared" si="1"/>
        <v>1</v>
      </c>
      <c r="BL394" s="46"/>
      <c r="BM394" s="46"/>
      <c r="BN394" s="46"/>
    </row>
    <row r="395" spans="1:66" ht="15" hidden="1" customHeight="1">
      <c r="A395" s="22">
        <v>393</v>
      </c>
      <c r="B395" s="22" t="s">
        <v>367</v>
      </c>
      <c r="C395" s="22" t="e">
        <f t="shared" ca="1" si="0"/>
        <v>#NAME?</v>
      </c>
      <c r="D395" s="206" t="s">
        <v>281</v>
      </c>
      <c r="E395" s="22" t="s">
        <v>180</v>
      </c>
      <c r="F395" s="24" t="s">
        <v>1287</v>
      </c>
      <c r="G395" s="24" t="s">
        <v>1274</v>
      </c>
      <c r="H395" s="24"/>
      <c r="I395" s="24">
        <v>1</v>
      </c>
      <c r="J395" s="24" t="s">
        <v>1135</v>
      </c>
      <c r="K395" s="24"/>
      <c r="L395" s="24"/>
      <c r="M395" s="24"/>
      <c r="N395" s="24"/>
      <c r="O395" s="24"/>
      <c r="P395" s="226"/>
      <c r="Q395" s="226"/>
      <c r="R395" s="247"/>
      <c r="S395" s="196"/>
      <c r="T395" s="196"/>
      <c r="U395" s="196"/>
      <c r="V395" s="194"/>
      <c r="W395" s="194" t="s">
        <v>281</v>
      </c>
      <c r="X395" s="196"/>
      <c r="Y395" s="24"/>
      <c r="Z395" s="196"/>
      <c r="AA395" s="229"/>
      <c r="AB395" s="196"/>
      <c r="AC395" s="273"/>
      <c r="AD395" s="229"/>
      <c r="AE395" s="24"/>
      <c r="AF395" s="24"/>
      <c r="AG395" s="22"/>
      <c r="AH395" s="45"/>
      <c r="AI395" s="24"/>
      <c r="AJ395" s="196"/>
      <c r="AK395" s="22"/>
      <c r="AL395" s="22"/>
      <c r="AM395" s="22"/>
      <c r="AN395" s="22"/>
      <c r="AO395" s="22"/>
      <c r="AP395" s="22"/>
      <c r="AQ395" s="22"/>
      <c r="AR395" s="22"/>
      <c r="AS395" s="22"/>
      <c r="AT395" s="135" t="s">
        <v>283</v>
      </c>
      <c r="AU395" s="24"/>
      <c r="AV395" s="135">
        <v>386661006</v>
      </c>
      <c r="AW395" s="271"/>
      <c r="AX395" s="271"/>
      <c r="AY395" s="271"/>
      <c r="AZ395" s="271"/>
      <c r="BA395" s="271"/>
      <c r="BB395" s="271"/>
      <c r="BC395" s="271"/>
      <c r="BD395" s="271"/>
      <c r="BE395" s="143" t="s">
        <v>115</v>
      </c>
      <c r="BF395" s="268" t="s">
        <v>284</v>
      </c>
      <c r="BG395" s="167" t="s">
        <v>285</v>
      </c>
      <c r="BH395" s="140" t="s">
        <v>283</v>
      </c>
      <c r="BI395" s="140">
        <v>386661006</v>
      </c>
      <c r="BJ395" s="47"/>
      <c r="BK395" s="46">
        <f t="shared" si="1"/>
        <v>1</v>
      </c>
      <c r="BL395" s="46"/>
      <c r="BM395" s="46"/>
      <c r="BN395" s="46"/>
    </row>
    <row r="396" spans="1:66" ht="15" hidden="1" customHeight="1">
      <c r="A396" s="22">
        <v>394</v>
      </c>
      <c r="B396" s="22" t="s">
        <v>1790</v>
      </c>
      <c r="C396" s="22" t="e">
        <f t="shared" ca="1" si="0"/>
        <v>#NAME?</v>
      </c>
      <c r="D396" s="206" t="s">
        <v>1264</v>
      </c>
      <c r="E396" s="22" t="s">
        <v>180</v>
      </c>
      <c r="F396" s="24" t="s">
        <v>1287</v>
      </c>
      <c r="G396" s="24" t="s">
        <v>1274</v>
      </c>
      <c r="H396" s="24"/>
      <c r="I396" s="24">
        <v>1</v>
      </c>
      <c r="J396" s="24" t="s">
        <v>1135</v>
      </c>
      <c r="K396" s="24"/>
      <c r="L396" s="24"/>
      <c r="M396" s="24"/>
      <c r="N396" s="24"/>
      <c r="O396" s="24"/>
      <c r="P396" s="226"/>
      <c r="Q396" s="226"/>
      <c r="R396" s="247"/>
      <c r="S396" s="196"/>
      <c r="T396" s="196"/>
      <c r="U396" s="196"/>
      <c r="V396" s="194"/>
      <c r="W396" s="194" t="s">
        <v>1264</v>
      </c>
      <c r="X396" s="196"/>
      <c r="Y396" s="24"/>
      <c r="Z396" s="196"/>
      <c r="AA396" s="229"/>
      <c r="AB396" s="196"/>
      <c r="AC396" s="273"/>
      <c r="AD396" s="229"/>
      <c r="AE396" s="24"/>
      <c r="AF396" s="24"/>
      <c r="AG396" s="22"/>
      <c r="AH396" s="45"/>
      <c r="AI396" s="24"/>
      <c r="AJ396" s="196"/>
      <c r="AK396" s="22"/>
      <c r="AL396" s="22"/>
      <c r="AM396" s="22"/>
      <c r="AN396" s="22"/>
      <c r="AO396" s="22"/>
      <c r="AP396" s="22"/>
      <c r="AQ396" s="22"/>
      <c r="AR396" s="22"/>
      <c r="AS396" s="22"/>
      <c r="AT396" s="210" t="s">
        <v>387</v>
      </c>
      <c r="AU396" s="24"/>
      <c r="AV396" s="135">
        <v>84229001</v>
      </c>
      <c r="AW396" s="271"/>
      <c r="AX396" s="271"/>
      <c r="AY396" s="271"/>
      <c r="AZ396" s="271"/>
      <c r="BA396" s="271"/>
      <c r="BB396" s="271"/>
      <c r="BC396" s="271"/>
      <c r="BD396" s="271"/>
      <c r="BE396" s="143" t="s">
        <v>115</v>
      </c>
      <c r="BF396" s="268" t="s">
        <v>1265</v>
      </c>
      <c r="BG396" s="167" t="s">
        <v>1266</v>
      </c>
      <c r="BH396" s="245" t="s">
        <v>387</v>
      </c>
      <c r="BI396" s="140">
        <v>84229001</v>
      </c>
      <c r="BJ396" s="47"/>
      <c r="BK396" s="46">
        <f t="shared" si="1"/>
        <v>1</v>
      </c>
      <c r="BL396" s="46"/>
      <c r="BM396" s="46"/>
      <c r="BN396" s="46"/>
    </row>
    <row r="397" spans="1:66" ht="15" hidden="1" customHeight="1">
      <c r="A397" s="22">
        <v>395</v>
      </c>
      <c r="B397" s="22" t="s">
        <v>393</v>
      </c>
      <c r="C397" s="22" t="e">
        <f t="shared" ca="1" si="0"/>
        <v>#NAME?</v>
      </c>
      <c r="D397" s="206" t="s">
        <v>298</v>
      </c>
      <c r="E397" s="22" t="s">
        <v>180</v>
      </c>
      <c r="F397" s="24" t="s">
        <v>1287</v>
      </c>
      <c r="G397" s="24" t="s">
        <v>1274</v>
      </c>
      <c r="H397" s="24"/>
      <c r="I397" s="24">
        <v>1</v>
      </c>
      <c r="J397" s="24" t="s">
        <v>1135</v>
      </c>
      <c r="K397" s="24"/>
      <c r="L397" s="24"/>
      <c r="M397" s="24"/>
      <c r="N397" s="24"/>
      <c r="O397" s="24"/>
      <c r="P397" s="226"/>
      <c r="Q397" s="226"/>
      <c r="R397" s="247"/>
      <c r="S397" s="196"/>
      <c r="T397" s="196"/>
      <c r="U397" s="196"/>
      <c r="V397" s="194"/>
      <c r="W397" s="194" t="s">
        <v>298</v>
      </c>
      <c r="X397" s="196"/>
      <c r="Y397" s="24"/>
      <c r="Z397" s="196"/>
      <c r="AA397" s="229"/>
      <c r="AB397" s="196"/>
      <c r="AC397" s="273"/>
      <c r="AD397" s="229"/>
      <c r="AE397" s="24"/>
      <c r="AF397" s="24"/>
      <c r="AG397" s="22"/>
      <c r="AH397" s="45"/>
      <c r="AI397" s="24"/>
      <c r="AJ397" s="196"/>
      <c r="AK397" s="22"/>
      <c r="AL397" s="22"/>
      <c r="AM397" s="22"/>
      <c r="AN397" s="22"/>
      <c r="AO397" s="22"/>
      <c r="AP397" s="22"/>
      <c r="AQ397" s="22"/>
      <c r="AR397" s="22"/>
      <c r="AS397" s="22"/>
      <c r="AT397" s="135" t="s">
        <v>299</v>
      </c>
      <c r="AU397" s="24"/>
      <c r="AV397" s="135">
        <v>25064002</v>
      </c>
      <c r="AW397" s="271"/>
      <c r="AX397" s="271"/>
      <c r="AY397" s="271"/>
      <c r="AZ397" s="271"/>
      <c r="BA397" s="271"/>
      <c r="BB397" s="271"/>
      <c r="BC397" s="271"/>
      <c r="BD397" s="271"/>
      <c r="BE397" s="143" t="s">
        <v>115</v>
      </c>
      <c r="BF397" s="268" t="s">
        <v>300</v>
      </c>
      <c r="BG397" s="167" t="s">
        <v>301</v>
      </c>
      <c r="BH397" s="140" t="s">
        <v>299</v>
      </c>
      <c r="BI397" s="140">
        <v>25064002</v>
      </c>
      <c r="BJ397" s="47"/>
      <c r="BK397" s="46">
        <f t="shared" si="1"/>
        <v>1</v>
      </c>
      <c r="BL397" s="46"/>
      <c r="BM397" s="46"/>
      <c r="BN397" s="46"/>
    </row>
    <row r="398" spans="1:66" ht="15" hidden="1" customHeight="1">
      <c r="A398" s="22">
        <v>396</v>
      </c>
      <c r="B398" s="22" t="s">
        <v>523</v>
      </c>
      <c r="C398" s="22" t="e">
        <f t="shared" ca="1" si="0"/>
        <v>#NAME?</v>
      </c>
      <c r="D398" s="206" t="s">
        <v>396</v>
      </c>
      <c r="E398" s="22" t="s">
        <v>180</v>
      </c>
      <c r="F398" s="24" t="s">
        <v>1287</v>
      </c>
      <c r="G398" s="24" t="s">
        <v>1274</v>
      </c>
      <c r="H398" s="24"/>
      <c r="I398" s="24">
        <v>1</v>
      </c>
      <c r="J398" s="24" t="s">
        <v>1135</v>
      </c>
      <c r="K398" s="24"/>
      <c r="L398" s="24"/>
      <c r="M398" s="24"/>
      <c r="N398" s="24"/>
      <c r="O398" s="24"/>
      <c r="P398" s="226"/>
      <c r="Q398" s="226"/>
      <c r="R398" s="247"/>
      <c r="S398" s="196"/>
      <c r="T398" s="196"/>
      <c r="U398" s="196"/>
      <c r="V398" s="194"/>
      <c r="W398" s="194" t="s">
        <v>396</v>
      </c>
      <c r="X398" s="196"/>
      <c r="Y398" s="24"/>
      <c r="Z398" s="196"/>
      <c r="AA398" s="229"/>
      <c r="AB398" s="196"/>
      <c r="AC398" s="273"/>
      <c r="AD398" s="229"/>
      <c r="AE398" s="24"/>
      <c r="AF398" s="24"/>
      <c r="AG398" s="22"/>
      <c r="AH398" s="45"/>
      <c r="AI398" s="24"/>
      <c r="AJ398" s="196"/>
      <c r="AK398" s="22"/>
      <c r="AL398" s="22"/>
      <c r="AM398" s="22"/>
      <c r="AN398" s="22"/>
      <c r="AO398" s="22"/>
      <c r="AP398" s="22"/>
      <c r="AQ398" s="22"/>
      <c r="AR398" s="22"/>
      <c r="AS398" s="22"/>
      <c r="AT398" s="210" t="s">
        <v>397</v>
      </c>
      <c r="AU398" s="24"/>
      <c r="AV398" s="135">
        <v>289530006</v>
      </c>
      <c r="AW398" s="271"/>
      <c r="AX398" s="271"/>
      <c r="AY398" s="271"/>
      <c r="AZ398" s="271"/>
      <c r="BA398" s="271"/>
      <c r="BB398" s="271"/>
      <c r="BC398" s="271"/>
      <c r="BD398" s="271"/>
      <c r="BE398" s="143" t="s">
        <v>115</v>
      </c>
      <c r="BF398" s="268" t="s">
        <v>1267</v>
      </c>
      <c r="BG398" s="167" t="s">
        <v>399</v>
      </c>
      <c r="BH398" s="245" t="s">
        <v>397</v>
      </c>
      <c r="BI398" s="140">
        <v>289530006</v>
      </c>
      <c r="BJ398" s="47"/>
      <c r="BK398" s="46">
        <f t="shared" si="1"/>
        <v>1</v>
      </c>
      <c r="BL398" s="46"/>
      <c r="BM398" s="46"/>
      <c r="BN398" s="46"/>
    </row>
    <row r="399" spans="1:66" ht="26.25" hidden="1" customHeight="1">
      <c r="A399" s="22">
        <v>397</v>
      </c>
      <c r="B399" s="22" t="s">
        <v>1802</v>
      </c>
      <c r="C399" s="22" t="e">
        <f t="shared" ca="1" si="0"/>
        <v>#NAME?</v>
      </c>
      <c r="D399" s="206" t="s">
        <v>1268</v>
      </c>
      <c r="E399" s="22" t="s">
        <v>180</v>
      </c>
      <c r="F399" s="24" t="s">
        <v>1287</v>
      </c>
      <c r="G399" s="24" t="s">
        <v>1274</v>
      </c>
      <c r="H399" s="24"/>
      <c r="I399" s="24">
        <v>1</v>
      </c>
      <c r="J399" s="24" t="s">
        <v>1135</v>
      </c>
      <c r="K399" s="24"/>
      <c r="L399" s="24"/>
      <c r="M399" s="24"/>
      <c r="N399" s="24"/>
      <c r="O399" s="24"/>
      <c r="P399" s="226"/>
      <c r="Q399" s="226"/>
      <c r="R399" s="247"/>
      <c r="S399" s="196"/>
      <c r="T399" s="196"/>
      <c r="U399" s="196"/>
      <c r="V399" s="194"/>
      <c r="W399" s="194" t="s">
        <v>1268</v>
      </c>
      <c r="X399" s="196"/>
      <c r="Y399" s="24"/>
      <c r="Z399" s="196"/>
      <c r="AA399" s="229"/>
      <c r="AB399" s="196"/>
      <c r="AC399" s="273"/>
      <c r="AD399" s="229"/>
      <c r="AE399" s="24"/>
      <c r="AF399" s="24"/>
      <c r="AG399" s="22"/>
      <c r="AH399" s="45"/>
      <c r="AI399" s="24"/>
      <c r="AJ399" s="196"/>
      <c r="AK399" s="22"/>
      <c r="AL399" s="22"/>
      <c r="AM399" s="22"/>
      <c r="AN399" s="22"/>
      <c r="AO399" s="22"/>
      <c r="AP399" s="22"/>
      <c r="AQ399" s="22"/>
      <c r="AR399" s="22"/>
      <c r="AS399" s="22"/>
      <c r="AT399" s="210" t="s">
        <v>397</v>
      </c>
      <c r="AU399" s="24"/>
      <c r="AV399" s="135">
        <v>271939006</v>
      </c>
      <c r="AW399" s="271"/>
      <c r="AX399" s="271"/>
      <c r="AY399" s="271"/>
      <c r="AZ399" s="271"/>
      <c r="BA399" s="271"/>
      <c r="BB399" s="271"/>
      <c r="BC399" s="271"/>
      <c r="BD399" s="271"/>
      <c r="BE399" s="143" t="s">
        <v>115</v>
      </c>
      <c r="BF399" s="268" t="s">
        <v>1269</v>
      </c>
      <c r="BG399" s="167" t="s">
        <v>1271</v>
      </c>
      <c r="BH399" s="245" t="s">
        <v>397</v>
      </c>
      <c r="BI399" s="140">
        <v>271939006</v>
      </c>
      <c r="BJ399" s="47"/>
      <c r="BK399" s="46">
        <f t="shared" si="1"/>
        <v>1</v>
      </c>
      <c r="BL399" s="46"/>
      <c r="BM399" s="46"/>
      <c r="BN399" s="46"/>
    </row>
    <row r="400" spans="1:66" ht="26.25" hidden="1" customHeight="1">
      <c r="A400" s="22">
        <v>398</v>
      </c>
      <c r="B400" s="22" t="s">
        <v>531</v>
      </c>
      <c r="C400" s="22" t="e">
        <f t="shared" ca="1" si="0"/>
        <v>#NAME?</v>
      </c>
      <c r="D400" s="206" t="s">
        <v>400</v>
      </c>
      <c r="E400" s="22" t="s">
        <v>180</v>
      </c>
      <c r="F400" s="24" t="s">
        <v>1287</v>
      </c>
      <c r="G400" s="24" t="s">
        <v>1274</v>
      </c>
      <c r="H400" s="24"/>
      <c r="I400" s="24">
        <v>1</v>
      </c>
      <c r="J400" s="24" t="s">
        <v>1135</v>
      </c>
      <c r="K400" s="24"/>
      <c r="L400" s="24"/>
      <c r="M400" s="24"/>
      <c r="N400" s="24"/>
      <c r="O400" s="24"/>
      <c r="P400" s="226"/>
      <c r="Q400" s="226"/>
      <c r="R400" s="247"/>
      <c r="S400" s="196"/>
      <c r="T400" s="196"/>
      <c r="U400" s="196"/>
      <c r="V400" s="194"/>
      <c r="W400" s="194" t="s">
        <v>400</v>
      </c>
      <c r="X400" s="196"/>
      <c r="Y400" s="24"/>
      <c r="Z400" s="196"/>
      <c r="AA400" s="229"/>
      <c r="AB400" s="196"/>
      <c r="AC400" s="273"/>
      <c r="AD400" s="229"/>
      <c r="AE400" s="24"/>
      <c r="AF400" s="24"/>
      <c r="AG400" s="22"/>
      <c r="AH400" s="45"/>
      <c r="AI400" s="24"/>
      <c r="AJ400" s="196"/>
      <c r="AK400" s="22"/>
      <c r="AL400" s="22"/>
      <c r="AM400" s="22"/>
      <c r="AN400" s="22"/>
      <c r="AO400" s="22"/>
      <c r="AP400" s="22"/>
      <c r="AQ400" s="22"/>
      <c r="AR400" s="22"/>
      <c r="AS400" s="22"/>
      <c r="AT400" s="210" t="s">
        <v>402</v>
      </c>
      <c r="AU400" s="24"/>
      <c r="AV400" s="135">
        <v>63102001</v>
      </c>
      <c r="AW400" s="271"/>
      <c r="AX400" s="271"/>
      <c r="AY400" s="271"/>
      <c r="AZ400" s="271"/>
      <c r="BA400" s="271"/>
      <c r="BB400" s="271"/>
      <c r="BC400" s="271"/>
      <c r="BD400" s="271"/>
      <c r="BE400" s="143" t="s">
        <v>115</v>
      </c>
      <c r="BF400" s="268" t="s">
        <v>403</v>
      </c>
      <c r="BG400" s="167" t="s">
        <v>404</v>
      </c>
      <c r="BH400" s="245" t="s">
        <v>402</v>
      </c>
      <c r="BI400" s="140">
        <v>63102001</v>
      </c>
      <c r="BJ400" s="47"/>
      <c r="BK400" s="46">
        <f t="shared" si="1"/>
        <v>1</v>
      </c>
      <c r="BL400" s="46"/>
      <c r="BM400" s="46"/>
      <c r="BN400" s="46"/>
    </row>
    <row r="401" spans="1:66" ht="12.75" hidden="1" customHeight="1">
      <c r="A401" s="22">
        <v>399</v>
      </c>
      <c r="B401" s="22" t="s">
        <v>535</v>
      </c>
      <c r="C401" s="22" t="e">
        <f t="shared" ca="1" si="0"/>
        <v>#NAME?</v>
      </c>
      <c r="D401" s="206" t="s">
        <v>405</v>
      </c>
      <c r="E401" s="22" t="s">
        <v>180</v>
      </c>
      <c r="F401" s="24" t="s">
        <v>1287</v>
      </c>
      <c r="G401" s="24" t="s">
        <v>1274</v>
      </c>
      <c r="H401" s="24"/>
      <c r="I401" s="24">
        <v>1</v>
      </c>
      <c r="J401" s="24" t="s">
        <v>1135</v>
      </c>
      <c r="K401" s="24"/>
      <c r="L401" s="24"/>
      <c r="M401" s="24"/>
      <c r="N401" s="24"/>
      <c r="O401" s="24"/>
      <c r="P401" s="226"/>
      <c r="Q401" s="226"/>
      <c r="R401" s="247"/>
      <c r="S401" s="196"/>
      <c r="T401" s="196"/>
      <c r="U401" s="196"/>
      <c r="V401" s="194"/>
      <c r="W401" s="194" t="s">
        <v>405</v>
      </c>
      <c r="X401" s="196"/>
      <c r="Y401" s="24"/>
      <c r="Z401" s="196"/>
      <c r="AA401" s="229"/>
      <c r="AB401" s="196"/>
      <c r="AC401" s="273"/>
      <c r="AD401" s="229"/>
      <c r="AE401" s="24"/>
      <c r="AF401" s="24"/>
      <c r="AG401" s="22"/>
      <c r="AH401" s="45"/>
      <c r="AI401" s="24"/>
      <c r="AJ401" s="196"/>
      <c r="AK401" s="22"/>
      <c r="AL401" s="22"/>
      <c r="AM401" s="22"/>
      <c r="AN401" s="22"/>
      <c r="AO401" s="22"/>
      <c r="AP401" s="22"/>
      <c r="AQ401" s="22"/>
      <c r="AR401" s="22"/>
      <c r="AS401" s="22"/>
      <c r="AT401" s="271"/>
      <c r="AU401" s="271"/>
      <c r="AV401" s="306" t="s">
        <v>745</v>
      </c>
      <c r="AW401" s="271"/>
      <c r="AX401" s="271"/>
      <c r="AY401" s="271"/>
      <c r="AZ401" s="271"/>
      <c r="BA401" s="271"/>
      <c r="BB401" s="271"/>
      <c r="BC401" s="271"/>
      <c r="BD401" s="271"/>
      <c r="BE401" s="277" t="s">
        <v>1241</v>
      </c>
      <c r="BF401" s="268" t="s">
        <v>406</v>
      </c>
      <c r="BG401" s="167" t="s">
        <v>407</v>
      </c>
      <c r="BH401" s="47"/>
      <c r="BI401" s="308" t="s">
        <v>745</v>
      </c>
      <c r="BJ401" s="47"/>
      <c r="BK401" s="46">
        <f t="shared" si="1"/>
        <v>1</v>
      </c>
      <c r="BL401" s="46"/>
      <c r="BM401" s="46"/>
      <c r="BN401" s="46"/>
    </row>
    <row r="402" spans="1:66" ht="15" hidden="1" customHeight="1">
      <c r="A402" s="22">
        <v>400</v>
      </c>
      <c r="B402" s="22" t="s">
        <v>1300</v>
      </c>
      <c r="C402" s="22" t="str">
        <f t="shared" si="0"/>
        <v xml:space="preserve">Specify - Any other symptoms? </v>
      </c>
      <c r="D402" s="206" t="s">
        <v>1300</v>
      </c>
      <c r="E402" s="22" t="s">
        <v>96</v>
      </c>
      <c r="F402" s="24" t="s">
        <v>1287</v>
      </c>
      <c r="G402" s="24" t="s">
        <v>1274</v>
      </c>
      <c r="H402" s="24"/>
      <c r="I402" s="24">
        <v>1</v>
      </c>
      <c r="J402" s="24" t="s">
        <v>1135</v>
      </c>
      <c r="K402" s="24"/>
      <c r="L402" s="24"/>
      <c r="M402" s="24"/>
      <c r="N402" s="24"/>
      <c r="O402" s="24"/>
      <c r="P402" s="226"/>
      <c r="Q402" s="226"/>
      <c r="R402" s="247" t="s">
        <v>409</v>
      </c>
      <c r="S402" s="196" t="s">
        <v>1291</v>
      </c>
      <c r="T402" s="196" t="s">
        <v>1292</v>
      </c>
      <c r="U402" s="196" t="s">
        <v>111</v>
      </c>
      <c r="V402" s="194"/>
      <c r="W402" s="194"/>
      <c r="X402" s="196"/>
      <c r="Y402" s="24"/>
      <c r="Z402" s="196"/>
      <c r="AA402" s="229"/>
      <c r="AB402" s="196" t="s">
        <v>208</v>
      </c>
      <c r="AC402" s="273"/>
      <c r="AD402" s="229"/>
      <c r="AE402" s="24"/>
      <c r="AF402" s="24"/>
      <c r="AG402" s="22"/>
      <c r="AH402" s="45"/>
      <c r="AI402" s="24"/>
      <c r="AJ402" s="196" t="s">
        <v>115</v>
      </c>
      <c r="AK402" s="22"/>
      <c r="AL402" s="22"/>
      <c r="AM402" s="22"/>
      <c r="AN402" s="22"/>
      <c r="AO402" s="22"/>
      <c r="AP402" s="22"/>
      <c r="AQ402" s="22"/>
      <c r="AR402" s="22"/>
      <c r="AS402" s="22"/>
      <c r="AT402" s="271"/>
      <c r="AU402" s="271"/>
      <c r="AV402" s="271"/>
      <c r="AW402" s="210" t="s">
        <v>413</v>
      </c>
      <c r="AX402" s="210"/>
      <c r="AY402" s="210"/>
      <c r="AZ402" s="210"/>
      <c r="BA402" s="210"/>
      <c r="BB402" s="210"/>
      <c r="BC402" s="210"/>
      <c r="BD402" s="210"/>
      <c r="BE402" s="277" t="s">
        <v>1241</v>
      </c>
      <c r="BF402" s="268" t="s">
        <v>415</v>
      </c>
      <c r="BG402" s="167" t="s">
        <v>416</v>
      </c>
      <c r="BH402" s="47"/>
      <c r="BI402" s="47"/>
      <c r="BJ402" s="245" t="s">
        <v>413</v>
      </c>
      <c r="BK402" s="46">
        <f t="shared" si="1"/>
        <v>1</v>
      </c>
      <c r="BL402" s="46"/>
      <c r="BM402" s="46"/>
      <c r="BN402" s="46"/>
    </row>
    <row r="403" spans="1:66" ht="12.75" hidden="1" customHeight="1">
      <c r="A403" s="22">
        <v>401</v>
      </c>
      <c r="B403" s="22" t="s">
        <v>1293</v>
      </c>
      <c r="C403" s="22" t="str">
        <f t="shared" si="0"/>
        <v xml:space="preserve">Has the woman felt the baby move? </v>
      </c>
      <c r="D403" s="206" t="s">
        <v>1293</v>
      </c>
      <c r="E403" s="22" t="s">
        <v>96</v>
      </c>
      <c r="F403" s="24"/>
      <c r="G403" s="24" t="s">
        <v>1274</v>
      </c>
      <c r="H403" s="24"/>
      <c r="I403" s="24">
        <v>1</v>
      </c>
      <c r="J403" s="24" t="s">
        <v>1135</v>
      </c>
      <c r="K403" s="24"/>
      <c r="L403" s="24"/>
      <c r="M403" s="24"/>
      <c r="N403" s="24"/>
      <c r="O403" s="24"/>
      <c r="P403" s="226"/>
      <c r="Q403" s="226"/>
      <c r="R403" s="290" t="s">
        <v>1293</v>
      </c>
      <c r="S403" s="242" t="s">
        <v>1294</v>
      </c>
      <c r="T403" s="242" t="s">
        <v>1295</v>
      </c>
      <c r="U403" s="242" t="s">
        <v>202</v>
      </c>
      <c r="V403" s="194"/>
      <c r="W403" s="194"/>
      <c r="X403" s="196"/>
      <c r="Y403" s="24"/>
      <c r="Z403" s="196"/>
      <c r="AA403" s="229"/>
      <c r="AB403" s="242" t="s">
        <v>113</v>
      </c>
      <c r="AC403" s="273"/>
      <c r="AD403" s="229"/>
      <c r="AE403" s="24"/>
      <c r="AF403" s="24"/>
      <c r="AG403" s="22"/>
      <c r="AH403" s="45"/>
      <c r="AI403" s="24"/>
      <c r="AJ403" s="196" t="s">
        <v>1296</v>
      </c>
      <c r="AK403" s="22"/>
      <c r="AL403" s="22"/>
      <c r="AM403" s="22"/>
      <c r="AN403" s="22"/>
      <c r="AO403" s="22"/>
      <c r="AP403" s="22"/>
      <c r="AQ403" s="22"/>
      <c r="AR403" s="22"/>
      <c r="AS403" s="22"/>
      <c r="AT403" s="271"/>
      <c r="AU403" s="271"/>
      <c r="AV403" s="306" t="s">
        <v>1297</v>
      </c>
      <c r="AW403" s="271"/>
      <c r="AX403" s="271"/>
      <c r="AY403" s="271"/>
      <c r="AZ403" s="271"/>
      <c r="BA403" s="271"/>
      <c r="BB403" s="271"/>
      <c r="BC403" s="271"/>
      <c r="BD403" s="271"/>
      <c r="BE403" s="143" t="s">
        <v>115</v>
      </c>
      <c r="BF403" s="268" t="s">
        <v>1298</v>
      </c>
      <c r="BG403" s="167" t="s">
        <v>1299</v>
      </c>
      <c r="BH403" s="47"/>
      <c r="BI403" s="308" t="s">
        <v>1297</v>
      </c>
      <c r="BJ403" s="47"/>
      <c r="BK403" s="46">
        <f t="shared" si="1"/>
        <v>1</v>
      </c>
      <c r="BL403" s="46"/>
      <c r="BM403" s="46"/>
      <c r="BN403" s="46"/>
    </row>
    <row r="404" spans="1:66" ht="15" hidden="1" customHeight="1">
      <c r="A404" s="22">
        <v>402</v>
      </c>
      <c r="B404" s="22" t="s">
        <v>1950</v>
      </c>
      <c r="C404" s="22" t="e">
        <f t="shared" ca="1" si="0"/>
        <v>#NAME?</v>
      </c>
      <c r="D404" s="206" t="s">
        <v>1301</v>
      </c>
      <c r="E404" s="22" t="s">
        <v>180</v>
      </c>
      <c r="F404" s="24" t="s">
        <v>1293</v>
      </c>
      <c r="G404" s="24" t="s">
        <v>1274</v>
      </c>
      <c r="H404" s="24"/>
      <c r="I404" s="24">
        <v>1</v>
      </c>
      <c r="J404" s="24" t="s">
        <v>1135</v>
      </c>
      <c r="K404" s="24"/>
      <c r="L404" s="24"/>
      <c r="M404" s="24"/>
      <c r="N404" s="24"/>
      <c r="O404" s="24"/>
      <c r="P404" s="226"/>
      <c r="Q404" s="226"/>
      <c r="R404" s="247"/>
      <c r="S404" s="196"/>
      <c r="T404" s="196"/>
      <c r="U404" s="196"/>
      <c r="V404" s="194"/>
      <c r="W404" s="194" t="s">
        <v>1301</v>
      </c>
      <c r="X404" s="196"/>
      <c r="Y404" s="24"/>
      <c r="Z404" s="196"/>
      <c r="AA404" s="229"/>
      <c r="AB404" s="196"/>
      <c r="AC404" s="273"/>
      <c r="AD404" s="229"/>
      <c r="AE404" s="24"/>
      <c r="AF404" s="24"/>
      <c r="AG404" s="22"/>
      <c r="AH404" s="45"/>
      <c r="AI404" s="24"/>
      <c r="AJ404" s="196"/>
      <c r="AK404" s="22"/>
      <c r="AL404" s="22"/>
      <c r="AM404" s="22"/>
      <c r="AN404" s="22"/>
      <c r="AO404" s="22"/>
      <c r="AP404" s="22"/>
      <c r="AQ404" s="22"/>
      <c r="AR404" s="22"/>
      <c r="AS404" s="22"/>
      <c r="AT404" s="271"/>
      <c r="AU404" s="271"/>
      <c r="AV404" s="135">
        <v>289431008</v>
      </c>
      <c r="AW404" s="271"/>
      <c r="AX404" s="271"/>
      <c r="AY404" s="271"/>
      <c r="AZ404" s="271"/>
      <c r="BA404" s="271"/>
      <c r="BB404" s="271"/>
      <c r="BC404" s="271"/>
      <c r="BD404" s="271"/>
      <c r="BE404" s="143" t="s">
        <v>115</v>
      </c>
      <c r="BF404" s="268" t="s">
        <v>1303</v>
      </c>
      <c r="BG404" s="167" t="s">
        <v>1304</v>
      </c>
      <c r="BH404" s="47"/>
      <c r="BI404" s="140">
        <v>289431008</v>
      </c>
      <c r="BJ404" s="47"/>
      <c r="BK404" s="46">
        <f t="shared" si="1"/>
        <v>1</v>
      </c>
      <c r="BL404" s="46"/>
      <c r="BM404" s="46"/>
      <c r="BN404" s="46"/>
    </row>
    <row r="405" spans="1:66" ht="26.25" hidden="1" customHeight="1">
      <c r="A405" s="22">
        <v>403</v>
      </c>
      <c r="B405" s="22" t="s">
        <v>502</v>
      </c>
      <c r="C405" s="22" t="e">
        <f t="shared" ca="1" si="0"/>
        <v>#NAME?</v>
      </c>
      <c r="D405" s="206" t="s">
        <v>378</v>
      </c>
      <c r="E405" s="22" t="s">
        <v>180</v>
      </c>
      <c r="F405" s="24" t="s">
        <v>1293</v>
      </c>
      <c r="G405" s="24" t="s">
        <v>1274</v>
      </c>
      <c r="H405" s="24"/>
      <c r="I405" s="24">
        <v>1</v>
      </c>
      <c r="J405" s="24" t="s">
        <v>1135</v>
      </c>
      <c r="K405" s="24"/>
      <c r="L405" s="24"/>
      <c r="M405" s="24"/>
      <c r="N405" s="24"/>
      <c r="O405" s="24"/>
      <c r="P405" s="226"/>
      <c r="Q405" s="226"/>
      <c r="R405" s="247"/>
      <c r="S405" s="196"/>
      <c r="T405" s="196"/>
      <c r="U405" s="196"/>
      <c r="V405" s="242"/>
      <c r="W405" s="242" t="s">
        <v>378</v>
      </c>
      <c r="X405" s="196"/>
      <c r="Y405" s="24"/>
      <c r="Z405" s="196"/>
      <c r="AA405" s="229"/>
      <c r="AB405" s="196"/>
      <c r="AC405" s="273"/>
      <c r="AD405" s="229"/>
      <c r="AE405" s="24"/>
      <c r="AF405" s="24"/>
      <c r="AG405" s="22"/>
      <c r="AH405" s="45"/>
      <c r="AI405" s="24"/>
      <c r="AJ405" s="196"/>
      <c r="AK405" s="22"/>
      <c r="AL405" s="22"/>
      <c r="AM405" s="22"/>
      <c r="AN405" s="22"/>
      <c r="AO405" s="22"/>
      <c r="AP405" s="22"/>
      <c r="AQ405" s="22"/>
      <c r="AR405" s="22"/>
      <c r="AS405" s="22"/>
      <c r="AT405" s="135" t="s">
        <v>336</v>
      </c>
      <c r="AU405" s="271"/>
      <c r="AV405" s="135">
        <v>276369006</v>
      </c>
      <c r="AW405" s="271"/>
      <c r="AX405" s="271"/>
      <c r="AY405" s="271"/>
      <c r="AZ405" s="271"/>
      <c r="BA405" s="271"/>
      <c r="BB405" s="271"/>
      <c r="BC405" s="271"/>
      <c r="BD405" s="271"/>
      <c r="BE405" s="143" t="s">
        <v>115</v>
      </c>
      <c r="BF405" s="268" t="s">
        <v>379</v>
      </c>
      <c r="BG405" s="167" t="s">
        <v>380</v>
      </c>
      <c r="BH405" s="140" t="s">
        <v>336</v>
      </c>
      <c r="BI405" s="140">
        <v>276369006</v>
      </c>
      <c r="BJ405" s="47"/>
      <c r="BK405" s="46">
        <f t="shared" si="1"/>
        <v>1</v>
      </c>
      <c r="BL405" s="46"/>
      <c r="BM405" s="46"/>
      <c r="BN405" s="46"/>
    </row>
    <row r="406" spans="1:66" ht="26.25" hidden="1" customHeight="1">
      <c r="A406" s="22">
        <v>404</v>
      </c>
      <c r="B406" s="22" t="s">
        <v>444</v>
      </c>
      <c r="C406" s="22" t="e">
        <f t="shared" ca="1" si="0"/>
        <v>#NAME?</v>
      </c>
      <c r="D406" s="206" t="s">
        <v>335</v>
      </c>
      <c r="E406" s="22" t="s">
        <v>180</v>
      </c>
      <c r="F406" s="24" t="s">
        <v>1293</v>
      </c>
      <c r="G406" s="24" t="s">
        <v>1274</v>
      </c>
      <c r="H406" s="24"/>
      <c r="I406" s="24">
        <v>1</v>
      </c>
      <c r="J406" s="24" t="s">
        <v>1135</v>
      </c>
      <c r="K406" s="24"/>
      <c r="L406" s="24"/>
      <c r="M406" s="24"/>
      <c r="N406" s="24"/>
      <c r="O406" s="24"/>
      <c r="P406" s="226"/>
      <c r="Q406" s="226"/>
      <c r="R406" s="247"/>
      <c r="S406" s="196"/>
      <c r="T406" s="196"/>
      <c r="U406" s="196"/>
      <c r="V406" s="194"/>
      <c r="W406" s="194" t="s">
        <v>335</v>
      </c>
      <c r="X406" s="196"/>
      <c r="Y406" s="24"/>
      <c r="Z406" s="196"/>
      <c r="AA406" s="229"/>
      <c r="AB406" s="196"/>
      <c r="AC406" s="273"/>
      <c r="AD406" s="229"/>
      <c r="AE406" s="24"/>
      <c r="AF406" s="24"/>
      <c r="AG406" s="22"/>
      <c r="AH406" s="45"/>
      <c r="AI406" s="24"/>
      <c r="AJ406" s="196"/>
      <c r="AK406" s="22"/>
      <c r="AL406" s="22"/>
      <c r="AM406" s="22"/>
      <c r="AN406" s="22"/>
      <c r="AO406" s="22"/>
      <c r="AP406" s="22"/>
      <c r="AQ406" s="22"/>
      <c r="AR406" s="22"/>
      <c r="AS406" s="22"/>
      <c r="AT406" s="135" t="s">
        <v>336</v>
      </c>
      <c r="AU406" s="271"/>
      <c r="AV406" s="135">
        <v>289433006</v>
      </c>
      <c r="AW406" s="271"/>
      <c r="AX406" s="271"/>
      <c r="AY406" s="271"/>
      <c r="AZ406" s="271"/>
      <c r="BA406" s="271"/>
      <c r="BB406" s="271"/>
      <c r="BC406" s="271"/>
      <c r="BD406" s="271"/>
      <c r="BE406" s="143" t="s">
        <v>115</v>
      </c>
      <c r="BF406" s="268" t="s">
        <v>338</v>
      </c>
      <c r="BG406" s="167" t="s">
        <v>339</v>
      </c>
      <c r="BH406" s="140" t="s">
        <v>336</v>
      </c>
      <c r="BI406" s="140">
        <v>289433006</v>
      </c>
      <c r="BJ406" s="47"/>
      <c r="BK406" s="46">
        <f t="shared" si="1"/>
        <v>1</v>
      </c>
      <c r="BL406" s="46"/>
      <c r="BM406" s="46"/>
      <c r="BN406" s="46"/>
    </row>
    <row r="407" spans="1:66" ht="12.75" hidden="1" customHeight="1">
      <c r="A407" s="22">
        <v>405</v>
      </c>
      <c r="B407" s="22" t="s">
        <v>1306</v>
      </c>
      <c r="C407" s="22" t="str">
        <f t="shared" si="0"/>
        <v>Height (cm)</v>
      </c>
      <c r="D407" s="24" t="s">
        <v>1306</v>
      </c>
      <c r="E407" s="22" t="s">
        <v>96</v>
      </c>
      <c r="F407" s="24"/>
      <c r="G407" s="24" t="s">
        <v>1307</v>
      </c>
      <c r="H407" s="24"/>
      <c r="I407" s="24">
        <v>1</v>
      </c>
      <c r="J407" s="24" t="s">
        <v>1308</v>
      </c>
      <c r="K407" s="24"/>
      <c r="L407" s="24"/>
      <c r="M407" s="24"/>
      <c r="N407" s="24"/>
      <c r="O407" s="24"/>
      <c r="P407" s="136"/>
      <c r="Q407" s="136"/>
      <c r="R407" s="162" t="s">
        <v>1306</v>
      </c>
      <c r="S407" s="163" t="s">
        <v>1309</v>
      </c>
      <c r="T407" s="163" t="s">
        <v>1310</v>
      </c>
      <c r="U407" s="163" t="s">
        <v>168</v>
      </c>
      <c r="V407" s="163"/>
      <c r="W407" s="163"/>
      <c r="X407" s="164"/>
      <c r="Y407" s="24"/>
      <c r="Z407" s="163" t="s">
        <v>1311</v>
      </c>
      <c r="AA407" s="136"/>
      <c r="AB407" s="163" t="s">
        <v>113</v>
      </c>
      <c r="AC407" s="310"/>
      <c r="AD407" s="136"/>
      <c r="AE407" s="24"/>
      <c r="AF407" s="136"/>
      <c r="AG407" s="22"/>
      <c r="AH407" s="45"/>
      <c r="AI407" s="24"/>
      <c r="AJ407" s="163" t="s">
        <v>1312</v>
      </c>
      <c r="AK407" s="22"/>
      <c r="AL407" s="22"/>
      <c r="AM407" s="22"/>
      <c r="AN407" s="22"/>
      <c r="AO407" s="22"/>
      <c r="AP407" s="22"/>
      <c r="AQ407" s="22"/>
      <c r="AR407" s="22"/>
      <c r="AS407" s="22"/>
      <c r="AT407" s="219"/>
      <c r="AU407" s="219"/>
      <c r="AV407" s="135">
        <v>50373000</v>
      </c>
      <c r="AW407" s="219"/>
      <c r="AX407" s="219"/>
      <c r="AY407" s="219"/>
      <c r="AZ407" s="219"/>
      <c r="BA407" s="219"/>
      <c r="BB407" s="219"/>
      <c r="BC407" s="219"/>
      <c r="BD407" s="219"/>
      <c r="BE407" s="137" t="s">
        <v>115</v>
      </c>
      <c r="BF407" s="137" t="s">
        <v>1313</v>
      </c>
      <c r="BG407" s="139" t="s">
        <v>1314</v>
      </c>
      <c r="BH407" s="311"/>
      <c r="BI407" s="145">
        <v>50373000</v>
      </c>
      <c r="BJ407" s="311"/>
      <c r="BK407" s="46">
        <f t="shared" si="1"/>
        <v>1</v>
      </c>
      <c r="BL407" s="46"/>
      <c r="BM407" s="46"/>
      <c r="BN407" s="46"/>
    </row>
    <row r="408" spans="1:66" ht="12.75" hidden="1" customHeight="1">
      <c r="A408" s="22">
        <v>406</v>
      </c>
      <c r="B408" s="22" t="s">
        <v>1315</v>
      </c>
      <c r="C408" s="22" t="str">
        <f t="shared" si="0"/>
        <v>Pre-gestational weight (kg)</v>
      </c>
      <c r="D408" s="24" t="s">
        <v>1315</v>
      </c>
      <c r="E408" s="22" t="s">
        <v>96</v>
      </c>
      <c r="F408" s="24"/>
      <c r="G408" s="24" t="s">
        <v>1307</v>
      </c>
      <c r="H408" s="24"/>
      <c r="I408" s="24">
        <v>1</v>
      </c>
      <c r="J408" s="24" t="s">
        <v>1308</v>
      </c>
      <c r="K408" s="24"/>
      <c r="L408" s="24"/>
      <c r="M408" s="24"/>
      <c r="N408" s="24"/>
      <c r="O408" s="24"/>
      <c r="P408" s="136"/>
      <c r="Q408" s="136"/>
      <c r="R408" s="162" t="s">
        <v>1315</v>
      </c>
      <c r="S408" s="163" t="s">
        <v>1316</v>
      </c>
      <c r="T408" s="163" t="s">
        <v>1317</v>
      </c>
      <c r="U408" s="163" t="s">
        <v>1318</v>
      </c>
      <c r="V408" s="163"/>
      <c r="W408" s="163"/>
      <c r="X408" s="164"/>
      <c r="Y408" s="24"/>
      <c r="Z408" s="163" t="s">
        <v>1319</v>
      </c>
      <c r="AA408" s="136"/>
      <c r="AB408" s="163" t="s">
        <v>1320</v>
      </c>
      <c r="AC408" s="310"/>
      <c r="AD408" s="136"/>
      <c r="AE408" s="24"/>
      <c r="AF408" s="136"/>
      <c r="AG408" s="22"/>
      <c r="AH408" s="45"/>
      <c r="AI408" s="24"/>
      <c r="AJ408" s="163" t="s">
        <v>1312</v>
      </c>
      <c r="AK408" s="22"/>
      <c r="AL408" s="22"/>
      <c r="AM408" s="22"/>
      <c r="AN408" s="22"/>
      <c r="AO408" s="22"/>
      <c r="AP408" s="22"/>
      <c r="AQ408" s="22"/>
      <c r="AR408" s="22"/>
      <c r="AS408" s="22"/>
      <c r="AT408" s="275"/>
      <c r="AU408" s="275"/>
      <c r="AV408" s="312"/>
      <c r="AW408" s="275"/>
      <c r="AX408" s="275"/>
      <c r="AY408" s="275"/>
      <c r="AZ408" s="275"/>
      <c r="BA408" s="275"/>
      <c r="BB408" s="275"/>
      <c r="BC408" s="275"/>
      <c r="BD408" s="275"/>
      <c r="BE408" s="137" t="s">
        <v>115</v>
      </c>
      <c r="BF408" s="137" t="s">
        <v>1321</v>
      </c>
      <c r="BG408" s="139" t="s">
        <v>1322</v>
      </c>
      <c r="BH408" s="313"/>
      <c r="BI408" s="154"/>
      <c r="BJ408" s="276"/>
      <c r="BK408" s="46">
        <f t="shared" si="1"/>
        <v>1</v>
      </c>
      <c r="BL408" s="46"/>
      <c r="BM408" s="46"/>
      <c r="BN408" s="46"/>
    </row>
    <row r="409" spans="1:66" ht="12.75" hidden="1" customHeight="1">
      <c r="A409" s="22">
        <v>407</v>
      </c>
      <c r="B409" s="22" t="s">
        <v>1323</v>
      </c>
      <c r="C409" s="22" t="str">
        <f t="shared" si="0"/>
        <v>[Unknown checkbox inline with {pregest_weight}]</v>
      </c>
      <c r="D409" s="24" t="s">
        <v>1323</v>
      </c>
      <c r="E409" s="22" t="s">
        <v>96</v>
      </c>
      <c r="F409" s="24"/>
      <c r="G409" s="24" t="s">
        <v>1307</v>
      </c>
      <c r="H409" s="24"/>
      <c r="I409" s="24">
        <v>1</v>
      </c>
      <c r="J409" s="24" t="s">
        <v>1308</v>
      </c>
      <c r="K409" s="24"/>
      <c r="L409" s="24"/>
      <c r="M409" s="24"/>
      <c r="N409" s="24"/>
      <c r="O409" s="24"/>
      <c r="P409" s="136"/>
      <c r="Q409" s="136"/>
      <c r="R409" s="162" t="s">
        <v>1323</v>
      </c>
      <c r="S409" s="163" t="s">
        <v>1324</v>
      </c>
      <c r="T409" s="163" t="s">
        <v>1325</v>
      </c>
      <c r="U409" s="163" t="s">
        <v>153</v>
      </c>
      <c r="V409" s="163"/>
      <c r="W409" s="163"/>
      <c r="X409" s="164"/>
      <c r="Y409" s="24"/>
      <c r="Z409" s="164"/>
      <c r="AA409" s="136"/>
      <c r="AB409" s="163" t="s">
        <v>1320</v>
      </c>
      <c r="AC409" s="310"/>
      <c r="AD409" s="136"/>
      <c r="AE409" s="24"/>
      <c r="AF409" s="136"/>
      <c r="AG409" s="22"/>
      <c r="AH409" s="45"/>
      <c r="AI409" s="24"/>
      <c r="AJ409" s="163" t="s">
        <v>1312</v>
      </c>
      <c r="AK409" s="22"/>
      <c r="AL409" s="22"/>
      <c r="AM409" s="22"/>
      <c r="AN409" s="22"/>
      <c r="AO409" s="22"/>
      <c r="AP409" s="22"/>
      <c r="AQ409" s="22"/>
      <c r="AR409" s="22"/>
      <c r="AS409" s="22"/>
      <c r="AT409" s="219"/>
      <c r="AU409" s="219"/>
      <c r="AV409" s="135">
        <v>261665006</v>
      </c>
      <c r="AW409" s="219"/>
      <c r="AX409" s="219"/>
      <c r="AY409" s="219"/>
      <c r="AZ409" s="219"/>
      <c r="BA409" s="219"/>
      <c r="BB409" s="219"/>
      <c r="BC409" s="219"/>
      <c r="BD409" s="219"/>
      <c r="BE409" s="137" t="s">
        <v>1326</v>
      </c>
      <c r="BF409" s="137" t="s">
        <v>501</v>
      </c>
      <c r="BG409" s="139" t="s">
        <v>503</v>
      </c>
      <c r="BH409" s="220"/>
      <c r="BI409" s="145">
        <v>261665006</v>
      </c>
      <c r="BJ409" s="220"/>
      <c r="BK409" s="46">
        <f t="shared" si="1"/>
        <v>1</v>
      </c>
      <c r="BL409" s="46"/>
      <c r="BM409" s="46"/>
      <c r="BN409" s="46"/>
    </row>
    <row r="410" spans="1:66" ht="12.75" hidden="1" customHeight="1">
      <c r="A410" s="22">
        <v>408</v>
      </c>
      <c r="B410" s="22" t="s">
        <v>1327</v>
      </c>
      <c r="C410" s="22" t="str">
        <f t="shared" si="0"/>
        <v>Current weight (kg)</v>
      </c>
      <c r="D410" s="24" t="s">
        <v>1327</v>
      </c>
      <c r="E410" s="22" t="s">
        <v>96</v>
      </c>
      <c r="F410" s="24"/>
      <c r="G410" s="24" t="s">
        <v>1307</v>
      </c>
      <c r="H410" s="24"/>
      <c r="I410" s="24">
        <v>1</v>
      </c>
      <c r="J410" s="24" t="s">
        <v>1308</v>
      </c>
      <c r="K410" s="24"/>
      <c r="L410" s="24"/>
      <c r="M410" s="24"/>
      <c r="N410" s="24"/>
      <c r="O410" s="24"/>
      <c r="P410" s="136"/>
      <c r="Q410" s="136"/>
      <c r="R410" s="162" t="s">
        <v>1327</v>
      </c>
      <c r="S410" s="163" t="s">
        <v>1328</v>
      </c>
      <c r="T410" s="163" t="s">
        <v>1329</v>
      </c>
      <c r="U410" s="163" t="s">
        <v>1318</v>
      </c>
      <c r="V410" s="163"/>
      <c r="W410" s="163"/>
      <c r="X410" s="164"/>
      <c r="Y410" s="24"/>
      <c r="Z410" s="163" t="s">
        <v>1319</v>
      </c>
      <c r="AA410" s="136"/>
      <c r="AB410" s="163" t="s">
        <v>113</v>
      </c>
      <c r="AC410" s="310"/>
      <c r="AD410" s="136"/>
      <c r="AE410" s="24"/>
      <c r="AF410" s="136"/>
      <c r="AG410" s="22"/>
      <c r="AH410" s="45"/>
      <c r="AI410" s="24"/>
      <c r="AJ410" s="163" t="s">
        <v>1277</v>
      </c>
      <c r="AK410" s="22"/>
      <c r="AL410" s="22"/>
      <c r="AM410" s="22"/>
      <c r="AN410" s="22"/>
      <c r="AO410" s="22"/>
      <c r="AP410" s="22"/>
      <c r="AQ410" s="22"/>
      <c r="AR410" s="22"/>
      <c r="AS410" s="22"/>
      <c r="AT410" s="219"/>
      <c r="AU410" s="219"/>
      <c r="AV410" s="156">
        <v>27113001</v>
      </c>
      <c r="AW410" s="219"/>
      <c r="AX410" s="219"/>
      <c r="AY410" s="219"/>
      <c r="AZ410" s="219"/>
      <c r="BA410" s="219"/>
      <c r="BB410" s="219"/>
      <c r="BC410" s="219"/>
      <c r="BD410" s="219"/>
      <c r="BE410" s="137" t="s">
        <v>115</v>
      </c>
      <c r="BF410" s="137" t="s">
        <v>1330</v>
      </c>
      <c r="BG410" s="139" t="s">
        <v>1331</v>
      </c>
      <c r="BH410" s="311"/>
      <c r="BI410" s="157">
        <v>27113001</v>
      </c>
      <c r="BJ410" s="311"/>
      <c r="BK410" s="46">
        <f t="shared" si="1"/>
        <v>1</v>
      </c>
      <c r="BL410" s="46"/>
      <c r="BM410" s="46"/>
      <c r="BN410" s="46"/>
    </row>
    <row r="411" spans="1:66" ht="12.75" hidden="1" customHeight="1">
      <c r="A411" s="22">
        <v>409</v>
      </c>
      <c r="B411" s="22" t="s">
        <v>1335</v>
      </c>
      <c r="C411" s="22" t="str">
        <f t="shared" si="0"/>
        <v>First weight</v>
      </c>
      <c r="D411" s="24" t="s">
        <v>1335</v>
      </c>
      <c r="E411" s="22" t="s">
        <v>65</v>
      </c>
      <c r="F411" s="24"/>
      <c r="G411" s="24" t="s">
        <v>1307</v>
      </c>
      <c r="H411" s="24"/>
      <c r="I411" s="24">
        <v>1</v>
      </c>
      <c r="J411" s="24" t="s">
        <v>1308</v>
      </c>
      <c r="K411" s="24"/>
      <c r="L411" s="24"/>
      <c r="M411" s="24"/>
      <c r="N411" s="24"/>
      <c r="O411" s="24"/>
      <c r="P411" s="136"/>
      <c r="Q411" s="136"/>
      <c r="R411" s="162" t="s">
        <v>115</v>
      </c>
      <c r="S411" s="163" t="s">
        <v>1332</v>
      </c>
      <c r="T411" s="163" t="s">
        <v>1333</v>
      </c>
      <c r="U411" s="163" t="s">
        <v>65</v>
      </c>
      <c r="V411" s="163"/>
      <c r="W411" s="163"/>
      <c r="X411" s="163" t="s">
        <v>1334</v>
      </c>
      <c r="Y411" s="24"/>
      <c r="Z411" s="24"/>
      <c r="AA411" s="136"/>
      <c r="AB411" s="163" t="s">
        <v>203</v>
      </c>
      <c r="AC411" s="310"/>
      <c r="AD411" s="136"/>
      <c r="AE411" s="24"/>
      <c r="AF411" s="136"/>
      <c r="AG411" s="22"/>
      <c r="AH411" s="45"/>
      <c r="AI411" s="24"/>
      <c r="AJ411" s="163" t="s">
        <v>115</v>
      </c>
      <c r="AK411" s="22"/>
      <c r="AL411" s="22"/>
      <c r="AM411" s="22"/>
      <c r="AN411" s="22"/>
      <c r="AO411" s="22"/>
      <c r="AP411" s="22"/>
      <c r="AQ411" s="22"/>
      <c r="AR411" s="22"/>
      <c r="AS411" s="22"/>
      <c r="AT411" s="275"/>
      <c r="AU411" s="275"/>
      <c r="AV411" s="312"/>
      <c r="AW411" s="275"/>
      <c r="AX411" s="275"/>
      <c r="AY411" s="275"/>
      <c r="AZ411" s="275"/>
      <c r="BA411" s="275"/>
      <c r="BB411" s="275"/>
      <c r="BC411" s="275"/>
      <c r="BD411" s="275"/>
      <c r="BE411" s="137" t="s">
        <v>115</v>
      </c>
      <c r="BF411" s="137" t="s">
        <v>115</v>
      </c>
      <c r="BG411" s="139" t="s">
        <v>115</v>
      </c>
      <c r="BH411" s="313"/>
      <c r="BI411" s="154"/>
      <c r="BJ411" s="276"/>
      <c r="BK411" s="46">
        <f t="shared" si="1"/>
        <v>1</v>
      </c>
      <c r="BL411" s="46"/>
      <c r="BM411" s="46"/>
      <c r="BN411" s="46"/>
    </row>
    <row r="412" spans="1:66" ht="12.75" hidden="1" customHeight="1">
      <c r="A412" s="22">
        <v>410</v>
      </c>
      <c r="B412" s="22" t="s">
        <v>1341</v>
      </c>
      <c r="C412" s="22" t="str">
        <f t="shared" si="0"/>
        <v>BMI</v>
      </c>
      <c r="D412" s="24" t="s">
        <v>1341</v>
      </c>
      <c r="E412" s="22" t="s">
        <v>65</v>
      </c>
      <c r="F412" s="24"/>
      <c r="G412" s="24" t="s">
        <v>1307</v>
      </c>
      <c r="H412" s="24"/>
      <c r="I412" s="24">
        <v>1</v>
      </c>
      <c r="J412" s="24" t="s">
        <v>1308</v>
      </c>
      <c r="K412" s="24"/>
      <c r="L412" s="24"/>
      <c r="M412" s="24"/>
      <c r="N412" s="24"/>
      <c r="O412" s="24"/>
      <c r="P412" s="136"/>
      <c r="Q412" s="136"/>
      <c r="R412" s="162" t="s">
        <v>115</v>
      </c>
      <c r="S412" s="163" t="s">
        <v>1336</v>
      </c>
      <c r="T412" s="163" t="s">
        <v>1337</v>
      </c>
      <c r="U412" s="163" t="s">
        <v>65</v>
      </c>
      <c r="V412" s="163"/>
      <c r="W412" s="163"/>
      <c r="X412" s="163" t="s">
        <v>1338</v>
      </c>
      <c r="Y412" s="24"/>
      <c r="Z412" s="24"/>
      <c r="AA412" s="136"/>
      <c r="AB412" s="163" t="s">
        <v>203</v>
      </c>
      <c r="AC412" s="310"/>
      <c r="AD412" s="136"/>
      <c r="AE412" s="24"/>
      <c r="AF412" s="136"/>
      <c r="AG412" s="22"/>
      <c r="AH412" s="45"/>
      <c r="AI412" s="24"/>
      <c r="AJ412" s="163" t="s">
        <v>115</v>
      </c>
      <c r="AK412" s="22"/>
      <c r="AL412" s="22"/>
      <c r="AM412" s="22"/>
      <c r="AN412" s="22"/>
      <c r="AO412" s="22"/>
      <c r="AP412" s="22"/>
      <c r="AQ412" s="22"/>
      <c r="AR412" s="22"/>
      <c r="AS412" s="22"/>
      <c r="AT412" s="219"/>
      <c r="AU412" s="219"/>
      <c r="AV412" s="156">
        <v>60621009</v>
      </c>
      <c r="AW412" s="219"/>
      <c r="AX412" s="219"/>
      <c r="AY412" s="219"/>
      <c r="AZ412" s="219"/>
      <c r="BA412" s="219"/>
      <c r="BB412" s="219"/>
      <c r="BC412" s="219"/>
      <c r="BD412" s="219"/>
      <c r="BE412" s="137" t="s">
        <v>115</v>
      </c>
      <c r="BF412" s="137" t="s">
        <v>1339</v>
      </c>
      <c r="BG412" s="139" t="s">
        <v>1340</v>
      </c>
      <c r="BH412" s="311"/>
      <c r="BI412" s="157">
        <v>60621009</v>
      </c>
      <c r="BJ412" s="311"/>
      <c r="BK412" s="46">
        <f t="shared" si="1"/>
        <v>1</v>
      </c>
      <c r="BL412" s="46"/>
      <c r="BM412" s="46"/>
      <c r="BN412" s="46"/>
    </row>
    <row r="413" spans="1:66" ht="12.75" hidden="1" customHeight="1">
      <c r="A413" s="22">
        <v>411</v>
      </c>
      <c r="B413" s="22" t="s">
        <v>1345</v>
      </c>
      <c r="C413" s="22" t="str">
        <f t="shared" si="0"/>
        <v>Weight category</v>
      </c>
      <c r="D413" s="24" t="s">
        <v>1345</v>
      </c>
      <c r="E413" s="22" t="s">
        <v>65</v>
      </c>
      <c r="F413" s="24"/>
      <c r="G413" s="24" t="s">
        <v>1307</v>
      </c>
      <c r="H413" s="24"/>
      <c r="I413" s="24">
        <v>1</v>
      </c>
      <c r="J413" s="24" t="s">
        <v>1308</v>
      </c>
      <c r="K413" s="24"/>
      <c r="L413" s="24"/>
      <c r="M413" s="24"/>
      <c r="N413" s="24"/>
      <c r="O413" s="24"/>
      <c r="P413" s="136"/>
      <c r="Q413" s="136"/>
      <c r="R413" s="162" t="s">
        <v>115</v>
      </c>
      <c r="S413" s="163" t="s">
        <v>1342</v>
      </c>
      <c r="T413" s="163" t="s">
        <v>1343</v>
      </c>
      <c r="U413" s="163" t="s">
        <v>65</v>
      </c>
      <c r="V413" s="163"/>
      <c r="W413" s="163"/>
      <c r="X413" s="163" t="s">
        <v>1344</v>
      </c>
      <c r="Y413" s="24"/>
      <c r="Z413" s="24"/>
      <c r="AA413" s="136"/>
      <c r="AB413" s="163" t="s">
        <v>203</v>
      </c>
      <c r="AC413" s="310"/>
      <c r="AD413" s="136"/>
      <c r="AE413" s="24"/>
      <c r="AF413" s="136"/>
      <c r="AG413" s="22"/>
      <c r="AH413" s="45"/>
      <c r="AI413" s="24"/>
      <c r="AJ413" s="163" t="s">
        <v>115</v>
      </c>
      <c r="AK413" s="22"/>
      <c r="AL413" s="22"/>
      <c r="AM413" s="22"/>
      <c r="AN413" s="22"/>
      <c r="AO413" s="22"/>
      <c r="AP413" s="22"/>
      <c r="AQ413" s="22"/>
      <c r="AR413" s="22"/>
      <c r="AS413" s="22"/>
      <c r="AT413" s="275"/>
      <c r="AU413" s="275"/>
      <c r="AV413" s="312"/>
      <c r="AW413" s="275"/>
      <c r="AX413" s="275"/>
      <c r="AY413" s="275"/>
      <c r="AZ413" s="275"/>
      <c r="BA413" s="275"/>
      <c r="BB413" s="275"/>
      <c r="BC413" s="275"/>
      <c r="BD413" s="275"/>
      <c r="BE413" s="137" t="s">
        <v>115</v>
      </c>
      <c r="BF413" s="137" t="s">
        <v>115</v>
      </c>
      <c r="BG413" s="139" t="s">
        <v>115</v>
      </c>
      <c r="BH413" s="313"/>
      <c r="BI413" s="154"/>
      <c r="BJ413" s="276"/>
      <c r="BK413" s="46">
        <f t="shared" si="1"/>
        <v>1</v>
      </c>
      <c r="BL413" s="46"/>
      <c r="BM413" s="46"/>
      <c r="BN413" s="46"/>
    </row>
    <row r="414" spans="1:66" ht="12.75" hidden="1" customHeight="1">
      <c r="A414" s="22">
        <v>412</v>
      </c>
      <c r="B414" s="22" t="s">
        <v>1349</v>
      </c>
      <c r="C414" s="22" t="str">
        <f t="shared" si="0"/>
        <v>Expected weight gain</v>
      </c>
      <c r="D414" s="24" t="s">
        <v>1349</v>
      </c>
      <c r="E414" s="22" t="s">
        <v>65</v>
      </c>
      <c r="F414" s="24"/>
      <c r="G414" s="24" t="s">
        <v>1307</v>
      </c>
      <c r="H414" s="24"/>
      <c r="I414" s="24">
        <v>1</v>
      </c>
      <c r="J414" s="24" t="s">
        <v>1308</v>
      </c>
      <c r="K414" s="24"/>
      <c r="L414" s="24"/>
      <c r="M414" s="24"/>
      <c r="N414" s="24"/>
      <c r="O414" s="24"/>
      <c r="P414" s="136"/>
      <c r="Q414" s="136"/>
      <c r="R414" s="162" t="s">
        <v>115</v>
      </c>
      <c r="S414" s="163" t="s">
        <v>1346</v>
      </c>
      <c r="T414" s="163" t="s">
        <v>1347</v>
      </c>
      <c r="U414" s="163" t="s">
        <v>65</v>
      </c>
      <c r="V414" s="163"/>
      <c r="W414" s="163"/>
      <c r="X414" s="163" t="s">
        <v>1348</v>
      </c>
      <c r="Y414" s="24"/>
      <c r="Z414" s="24"/>
      <c r="AA414" s="136"/>
      <c r="AB414" s="163" t="s">
        <v>203</v>
      </c>
      <c r="AC414" s="310"/>
      <c r="AD414" s="136"/>
      <c r="AE414" s="24"/>
      <c r="AF414" s="136"/>
      <c r="AG414" s="22"/>
      <c r="AH414" s="45"/>
      <c r="AI414" s="24"/>
      <c r="AJ414" s="163" t="s">
        <v>115</v>
      </c>
      <c r="AK414" s="22"/>
      <c r="AL414" s="22"/>
      <c r="AM414" s="22"/>
      <c r="AN414" s="22"/>
      <c r="AO414" s="22"/>
      <c r="AP414" s="22"/>
      <c r="AQ414" s="22"/>
      <c r="AR414" s="22"/>
      <c r="AS414" s="22"/>
      <c r="AT414" s="275"/>
      <c r="AU414" s="275"/>
      <c r="AV414" s="312"/>
      <c r="AW414" s="275"/>
      <c r="AX414" s="275"/>
      <c r="AY414" s="275"/>
      <c r="AZ414" s="275"/>
      <c r="BA414" s="275"/>
      <c r="BB414" s="275"/>
      <c r="BC414" s="275"/>
      <c r="BD414" s="275"/>
      <c r="BE414" s="137" t="s">
        <v>115</v>
      </c>
      <c r="BF414" s="137" t="s">
        <v>115</v>
      </c>
      <c r="BG414" s="139" t="s">
        <v>115</v>
      </c>
      <c r="BH414" s="313"/>
      <c r="BI414" s="154"/>
      <c r="BJ414" s="276"/>
      <c r="BK414" s="46">
        <f t="shared" si="1"/>
        <v>1</v>
      </c>
      <c r="BL414" s="46"/>
      <c r="BM414" s="46"/>
      <c r="BN414" s="46"/>
    </row>
    <row r="415" spans="1:66" ht="12.75" hidden="1" customHeight="1">
      <c r="A415" s="22">
        <v>413</v>
      </c>
      <c r="B415" s="22" t="s">
        <v>1353</v>
      </c>
      <c r="C415" s="22" t="str">
        <f t="shared" si="0"/>
        <v>Weight gain</v>
      </c>
      <c r="D415" s="24" t="s">
        <v>1353</v>
      </c>
      <c r="E415" s="22" t="s">
        <v>65</v>
      </c>
      <c r="F415" s="24"/>
      <c r="G415" s="24" t="s">
        <v>1307</v>
      </c>
      <c r="H415" s="24"/>
      <c r="I415" s="24">
        <v>1</v>
      </c>
      <c r="J415" s="24" t="s">
        <v>1308</v>
      </c>
      <c r="K415" s="24"/>
      <c r="L415" s="24"/>
      <c r="M415" s="24"/>
      <c r="N415" s="24"/>
      <c r="O415" s="24"/>
      <c r="P415" s="136"/>
      <c r="Q415" s="136"/>
      <c r="R415" s="162" t="s">
        <v>115</v>
      </c>
      <c r="S415" s="163" t="s">
        <v>1350</v>
      </c>
      <c r="T415" s="163" t="s">
        <v>1351</v>
      </c>
      <c r="U415" s="163" t="s">
        <v>65</v>
      </c>
      <c r="V415" s="163"/>
      <c r="W415" s="163"/>
      <c r="X415" s="163" t="s">
        <v>1352</v>
      </c>
      <c r="Y415" s="24"/>
      <c r="Z415" s="24"/>
      <c r="AA415" s="136"/>
      <c r="AB415" s="163" t="s">
        <v>203</v>
      </c>
      <c r="AC415" s="310"/>
      <c r="AD415" s="136"/>
      <c r="AE415" s="24"/>
      <c r="AF415" s="136"/>
      <c r="AG415" s="22"/>
      <c r="AH415" s="45"/>
      <c r="AI415" s="24"/>
      <c r="AJ415" s="163" t="s">
        <v>115</v>
      </c>
      <c r="AK415" s="22"/>
      <c r="AL415" s="22"/>
      <c r="AM415" s="22"/>
      <c r="AN415" s="22"/>
      <c r="AO415" s="22"/>
      <c r="AP415" s="22"/>
      <c r="AQ415" s="22"/>
      <c r="AR415" s="22"/>
      <c r="AS415" s="22"/>
      <c r="AT415" s="275"/>
      <c r="AU415" s="275"/>
      <c r="AV415" s="312"/>
      <c r="AW415" s="275"/>
      <c r="AX415" s="275"/>
      <c r="AY415" s="275"/>
      <c r="AZ415" s="275"/>
      <c r="BA415" s="275"/>
      <c r="BB415" s="275"/>
      <c r="BC415" s="275"/>
      <c r="BD415" s="275"/>
      <c r="BE415" s="137" t="s">
        <v>115</v>
      </c>
      <c r="BF415" s="137" t="s">
        <v>115</v>
      </c>
      <c r="BG415" s="139" t="s">
        <v>115</v>
      </c>
      <c r="BH415" s="313"/>
      <c r="BI415" s="154"/>
      <c r="BJ415" s="276"/>
      <c r="BK415" s="46">
        <f t="shared" si="1"/>
        <v>1</v>
      </c>
      <c r="BL415" s="46"/>
      <c r="BM415" s="46"/>
      <c r="BN415" s="46"/>
    </row>
    <row r="416" spans="1:66" ht="12.75" hidden="1" customHeight="1">
      <c r="A416" s="22">
        <v>414</v>
      </c>
      <c r="B416" s="22" t="s">
        <v>1357</v>
      </c>
      <c r="C416" s="22" t="str">
        <f t="shared" si="0"/>
        <v>Total weight gain</v>
      </c>
      <c r="D416" s="24" t="s">
        <v>1357</v>
      </c>
      <c r="E416" s="22" t="s">
        <v>65</v>
      </c>
      <c r="F416" s="24"/>
      <c r="G416" s="24" t="s">
        <v>1307</v>
      </c>
      <c r="H416" s="24"/>
      <c r="I416" s="24">
        <v>1</v>
      </c>
      <c r="J416" s="24" t="s">
        <v>1308</v>
      </c>
      <c r="K416" s="24"/>
      <c r="L416" s="24"/>
      <c r="M416" s="24"/>
      <c r="N416" s="24"/>
      <c r="O416" s="24"/>
      <c r="P416" s="136"/>
      <c r="Q416" s="136"/>
      <c r="R416" s="162" t="s">
        <v>115</v>
      </c>
      <c r="S416" s="163" t="s">
        <v>1354</v>
      </c>
      <c r="T416" s="163" t="s">
        <v>1355</v>
      </c>
      <c r="U416" s="163" t="s">
        <v>65</v>
      </c>
      <c r="V416" s="163"/>
      <c r="W416" s="163"/>
      <c r="X416" s="163" t="s">
        <v>1356</v>
      </c>
      <c r="Y416" s="24"/>
      <c r="Z416" s="24"/>
      <c r="AA416" s="136"/>
      <c r="AB416" s="163" t="s">
        <v>203</v>
      </c>
      <c r="AC416" s="310"/>
      <c r="AD416" s="136"/>
      <c r="AE416" s="24"/>
      <c r="AF416" s="136"/>
      <c r="AG416" s="22"/>
      <c r="AH416" s="45"/>
      <c r="AI416" s="24"/>
      <c r="AJ416" s="163" t="s">
        <v>115</v>
      </c>
      <c r="AK416" s="22"/>
      <c r="AL416" s="22"/>
      <c r="AM416" s="22"/>
      <c r="AN416" s="22"/>
      <c r="AO416" s="22"/>
      <c r="AP416" s="22"/>
      <c r="AQ416" s="22"/>
      <c r="AR416" s="22"/>
      <c r="AS416" s="22"/>
      <c r="AT416" s="275"/>
      <c r="AU416" s="275"/>
      <c r="AV416" s="312"/>
      <c r="AW416" s="275"/>
      <c r="AX416" s="275"/>
      <c r="AY416" s="275"/>
      <c r="AZ416" s="275"/>
      <c r="BA416" s="275"/>
      <c r="BB416" s="275"/>
      <c r="BC416" s="275"/>
      <c r="BD416" s="275"/>
      <c r="BE416" s="137" t="s">
        <v>115</v>
      </c>
      <c r="BF416" s="137" t="s">
        <v>115</v>
      </c>
      <c r="BG416" s="139" t="s">
        <v>115</v>
      </c>
      <c r="BH416" s="313"/>
      <c r="BI416" s="154"/>
      <c r="BJ416" s="276"/>
      <c r="BK416" s="46">
        <f t="shared" si="1"/>
        <v>1</v>
      </c>
      <c r="BL416" s="46"/>
      <c r="BM416" s="46"/>
      <c r="BN416" s="46"/>
    </row>
    <row r="417" spans="1:66" ht="12.75" hidden="1" customHeight="1">
      <c r="A417" s="22">
        <v>415</v>
      </c>
      <c r="B417" s="22" t="s">
        <v>1358</v>
      </c>
      <c r="C417" s="22" t="str">
        <f t="shared" si="0"/>
        <v>Systolic blood pressure (SBP) (mmHg)</v>
      </c>
      <c r="D417" s="24" t="s">
        <v>1358</v>
      </c>
      <c r="E417" s="22" t="s">
        <v>96</v>
      </c>
      <c r="F417" s="24"/>
      <c r="G417" s="24" t="s">
        <v>1359</v>
      </c>
      <c r="H417" s="24"/>
      <c r="I417" s="24">
        <v>1</v>
      </c>
      <c r="J417" s="24" t="s">
        <v>1308</v>
      </c>
      <c r="K417" s="24"/>
      <c r="L417" s="24"/>
      <c r="M417" s="24"/>
      <c r="N417" s="24"/>
      <c r="O417" s="24"/>
      <c r="P417" s="136"/>
      <c r="Q417" s="136"/>
      <c r="R417" s="162" t="s">
        <v>1358</v>
      </c>
      <c r="S417" s="163" t="s">
        <v>1360</v>
      </c>
      <c r="T417" s="163" t="s">
        <v>1361</v>
      </c>
      <c r="U417" s="163" t="s">
        <v>168</v>
      </c>
      <c r="V417" s="163"/>
      <c r="W417" s="163"/>
      <c r="X417" s="164"/>
      <c r="Y417" s="24"/>
      <c r="Z417" s="163" t="s">
        <v>1362</v>
      </c>
      <c r="AA417" s="136"/>
      <c r="AB417" s="163" t="s">
        <v>1363</v>
      </c>
      <c r="AC417" s="310"/>
      <c r="AD417" s="136"/>
      <c r="AE417" s="24"/>
      <c r="AF417" s="136"/>
      <c r="AG417" s="22"/>
      <c r="AH417" s="45"/>
      <c r="AI417" s="24"/>
      <c r="AJ417" s="163" t="s">
        <v>1277</v>
      </c>
      <c r="AK417" s="22"/>
      <c r="AL417" s="22"/>
      <c r="AM417" s="22"/>
      <c r="AN417" s="22"/>
      <c r="AO417" s="22"/>
      <c r="AP417" s="22"/>
      <c r="AQ417" s="22"/>
      <c r="AR417" s="22"/>
      <c r="AS417" s="22"/>
      <c r="AT417" s="219"/>
      <c r="AU417" s="219"/>
      <c r="AV417" s="314">
        <v>271649006</v>
      </c>
      <c r="AW417" s="315">
        <v>2403450</v>
      </c>
      <c r="AX417" s="315"/>
      <c r="AY417" s="315"/>
      <c r="AZ417" s="315"/>
      <c r="BA417" s="315"/>
      <c r="BB417" s="315"/>
      <c r="BC417" s="315"/>
      <c r="BD417" s="315"/>
      <c r="BE417" s="137" t="s">
        <v>115</v>
      </c>
      <c r="BF417" s="137" t="s">
        <v>1364</v>
      </c>
      <c r="BG417" s="139" t="s">
        <v>1365</v>
      </c>
      <c r="BH417" s="220"/>
      <c r="BI417" s="316">
        <v>271649006</v>
      </c>
      <c r="BJ417" s="317">
        <v>2403450</v>
      </c>
      <c r="BK417" s="46">
        <f t="shared" si="1"/>
        <v>1</v>
      </c>
      <c r="BL417" s="46"/>
      <c r="BM417" s="46"/>
      <c r="BN417" s="46"/>
    </row>
    <row r="418" spans="1:66" ht="12.75" hidden="1" customHeight="1">
      <c r="A418" s="22">
        <v>416</v>
      </c>
      <c r="B418" s="22" t="s">
        <v>1366</v>
      </c>
      <c r="C418" s="22" t="str">
        <f t="shared" si="0"/>
        <v>Diastolic blood pressure (DBP) (mmHg)</v>
      </c>
      <c r="D418" s="24" t="s">
        <v>1366</v>
      </c>
      <c r="E418" s="22" t="s">
        <v>96</v>
      </c>
      <c r="F418" s="24"/>
      <c r="G418" s="24" t="s">
        <v>1359</v>
      </c>
      <c r="H418" s="24"/>
      <c r="I418" s="24">
        <v>1</v>
      </c>
      <c r="J418" s="24" t="s">
        <v>1308</v>
      </c>
      <c r="K418" s="24"/>
      <c r="L418" s="24"/>
      <c r="M418" s="24"/>
      <c r="N418" s="24"/>
      <c r="O418" s="24"/>
      <c r="P418" s="136"/>
      <c r="Q418" s="136"/>
      <c r="R418" s="162" t="s">
        <v>1366</v>
      </c>
      <c r="S418" s="163" t="s">
        <v>1367</v>
      </c>
      <c r="T418" s="163" t="s">
        <v>1368</v>
      </c>
      <c r="U418" s="163" t="s">
        <v>168</v>
      </c>
      <c r="V418" s="163"/>
      <c r="W418" s="163"/>
      <c r="X418" s="164"/>
      <c r="Y418" s="24"/>
      <c r="Z418" s="163" t="s">
        <v>1362</v>
      </c>
      <c r="AA418" s="136"/>
      <c r="AB418" s="163" t="s">
        <v>1363</v>
      </c>
      <c r="AC418" s="310"/>
      <c r="AD418" s="136"/>
      <c r="AE418" s="24"/>
      <c r="AF418" s="136"/>
      <c r="AG418" s="22"/>
      <c r="AH418" s="45"/>
      <c r="AI418" s="24"/>
      <c r="AJ418" s="163" t="s">
        <v>1277</v>
      </c>
      <c r="AK418" s="22"/>
      <c r="AL418" s="22"/>
      <c r="AM418" s="22"/>
      <c r="AN418" s="22"/>
      <c r="AO418" s="22"/>
      <c r="AP418" s="22"/>
      <c r="AQ418" s="22"/>
      <c r="AR418" s="22"/>
      <c r="AS418" s="22"/>
      <c r="AT418" s="219"/>
      <c r="AU418" s="219"/>
      <c r="AV418" s="314">
        <v>271650006</v>
      </c>
      <c r="AW418" s="314" t="s">
        <v>1369</v>
      </c>
      <c r="AX418" s="314"/>
      <c r="AY418" s="314"/>
      <c r="AZ418" s="314"/>
      <c r="BA418" s="314"/>
      <c r="BB418" s="314"/>
      <c r="BC418" s="314"/>
      <c r="BD418" s="314"/>
      <c r="BE418" s="137" t="s">
        <v>115</v>
      </c>
      <c r="BF418" s="137" t="s">
        <v>1370</v>
      </c>
      <c r="BG418" s="139" t="s">
        <v>1371</v>
      </c>
      <c r="BH418" s="311"/>
      <c r="BI418" s="318">
        <v>271650006</v>
      </c>
      <c r="BJ418" s="318" t="s">
        <v>1369</v>
      </c>
      <c r="BK418" s="46">
        <f t="shared" si="1"/>
        <v>1</v>
      </c>
      <c r="BL418" s="46"/>
      <c r="BM418" s="46"/>
      <c r="BN418" s="46"/>
    </row>
    <row r="419" spans="1:66" ht="12.75" hidden="1" customHeight="1">
      <c r="A419" s="22">
        <v>417</v>
      </c>
      <c r="B419" s="22" t="s">
        <v>1372</v>
      </c>
      <c r="C419" s="22" t="str">
        <f t="shared" si="0"/>
        <v>["Unable to record BP" checkbox underneath {bp_systolic} and
{bp_diastolic} fields]</v>
      </c>
      <c r="D419" s="24" t="s">
        <v>1372</v>
      </c>
      <c r="E419" s="22" t="s">
        <v>96</v>
      </c>
      <c r="F419" s="24"/>
      <c r="G419" s="24" t="s">
        <v>1359</v>
      </c>
      <c r="H419" s="24"/>
      <c r="I419" s="24">
        <v>1</v>
      </c>
      <c r="J419" s="24" t="s">
        <v>1308</v>
      </c>
      <c r="K419" s="24"/>
      <c r="L419" s="24"/>
      <c r="M419" s="24"/>
      <c r="N419" s="24"/>
      <c r="O419" s="24"/>
      <c r="P419" s="136"/>
      <c r="Q419" s="136"/>
      <c r="R419" s="162" t="s">
        <v>1372</v>
      </c>
      <c r="S419" s="163" t="s">
        <v>1373</v>
      </c>
      <c r="T419" s="163" t="s">
        <v>1374</v>
      </c>
      <c r="U419" s="163" t="s">
        <v>153</v>
      </c>
      <c r="V419" s="163"/>
      <c r="W419" s="163"/>
      <c r="X419" s="164"/>
      <c r="Y419" s="24"/>
      <c r="Z419" s="24"/>
      <c r="AA419" s="136"/>
      <c r="AB419" s="163" t="s">
        <v>1363</v>
      </c>
      <c r="AC419" s="310"/>
      <c r="AD419" s="136"/>
      <c r="AE419" s="24"/>
      <c r="AF419" s="136"/>
      <c r="AG419" s="22"/>
      <c r="AH419" s="45"/>
      <c r="AI419" s="24"/>
      <c r="AJ419" s="163" t="s">
        <v>1277</v>
      </c>
      <c r="AK419" s="22"/>
      <c r="AL419" s="22"/>
      <c r="AM419" s="22"/>
      <c r="AN419" s="22"/>
      <c r="AO419" s="22"/>
      <c r="AP419" s="22"/>
      <c r="AQ419" s="22"/>
      <c r="AR419" s="22"/>
      <c r="AS419" s="22"/>
      <c r="AT419" s="275"/>
      <c r="AU419" s="275"/>
      <c r="AV419" s="312"/>
      <c r="AW419" s="319"/>
      <c r="AX419" s="319"/>
      <c r="AY419" s="319"/>
      <c r="AZ419" s="319"/>
      <c r="BA419" s="319"/>
      <c r="BB419" s="319"/>
      <c r="BC419" s="319"/>
      <c r="BD419" s="319"/>
      <c r="BE419" s="143" t="s">
        <v>115</v>
      </c>
      <c r="BF419" s="143" t="s">
        <v>115</v>
      </c>
      <c r="BG419" s="167" t="s">
        <v>115</v>
      </c>
      <c r="BH419" s="313"/>
      <c r="BI419" s="154"/>
      <c r="BJ419" s="276"/>
      <c r="BK419" s="46">
        <f t="shared" si="1"/>
        <v>1</v>
      </c>
      <c r="BL419" s="46"/>
      <c r="BM419" s="46"/>
      <c r="BN419" s="46"/>
    </row>
    <row r="420" spans="1:66" ht="12.75" hidden="1" customHeight="1">
      <c r="A420" s="22">
        <v>418</v>
      </c>
      <c r="B420" s="22" t="s">
        <v>1375</v>
      </c>
      <c r="C420" s="22" t="str">
        <f t="shared" si="0"/>
        <v>Reason - Can't record BP</v>
      </c>
      <c r="D420" s="24" t="s">
        <v>1375</v>
      </c>
      <c r="E420" s="22" t="s">
        <v>96</v>
      </c>
      <c r="F420" s="24"/>
      <c r="G420" s="24" t="s">
        <v>1359</v>
      </c>
      <c r="H420" s="24"/>
      <c r="I420" s="24">
        <v>1</v>
      </c>
      <c r="J420" s="24" t="s">
        <v>1308</v>
      </c>
      <c r="K420" s="24"/>
      <c r="L420" s="24"/>
      <c r="M420" s="24"/>
      <c r="N420" s="24"/>
      <c r="O420" s="24"/>
      <c r="P420" s="136"/>
      <c r="Q420" s="136"/>
      <c r="R420" s="162" t="s">
        <v>1376</v>
      </c>
      <c r="S420" s="163" t="s">
        <v>1377</v>
      </c>
      <c r="T420" s="163" t="s">
        <v>1378</v>
      </c>
      <c r="U420" s="163" t="s">
        <v>238</v>
      </c>
      <c r="V420" s="163"/>
      <c r="W420" s="163"/>
      <c r="X420" s="164"/>
      <c r="Y420" s="24"/>
      <c r="Z420" s="24"/>
      <c r="AA420" s="136"/>
      <c r="AB420" s="163" t="s">
        <v>113</v>
      </c>
      <c r="AC420" s="310"/>
      <c r="AD420" s="136"/>
      <c r="AE420" s="24"/>
      <c r="AF420" s="136"/>
      <c r="AG420" s="22"/>
      <c r="AH420" s="45"/>
      <c r="AI420" s="24"/>
      <c r="AJ420" s="163" t="s">
        <v>115</v>
      </c>
      <c r="AK420" s="22"/>
      <c r="AL420" s="22"/>
      <c r="AM420" s="22"/>
      <c r="AN420" s="22"/>
      <c r="AO420" s="22"/>
      <c r="AP420" s="22"/>
      <c r="AQ420" s="22"/>
      <c r="AR420" s="22"/>
      <c r="AS420" s="22"/>
      <c r="AT420" s="275"/>
      <c r="AU420" s="275"/>
      <c r="AV420" s="312"/>
      <c r="AW420" s="275"/>
      <c r="AX420" s="275"/>
      <c r="AY420" s="275"/>
      <c r="AZ420" s="275"/>
      <c r="BA420" s="275"/>
      <c r="BB420" s="275"/>
      <c r="BC420" s="275"/>
      <c r="BD420" s="275"/>
      <c r="BE420" s="143" t="s">
        <v>115</v>
      </c>
      <c r="BF420" s="143" t="s">
        <v>1379</v>
      </c>
      <c r="BG420" s="167" t="s">
        <v>1380</v>
      </c>
      <c r="BH420" s="313"/>
      <c r="BI420" s="154"/>
      <c r="BJ420" s="276"/>
      <c r="BK420" s="46">
        <f t="shared" si="1"/>
        <v>1</v>
      </c>
      <c r="BL420" s="46"/>
      <c r="BM420" s="46"/>
      <c r="BN420" s="46"/>
    </row>
    <row r="421" spans="1:66" ht="12.75" hidden="1" customHeight="1">
      <c r="A421" s="22">
        <v>419</v>
      </c>
      <c r="B421" s="22" t="s">
        <v>2001</v>
      </c>
      <c r="C421" s="22" t="e">
        <f t="shared" ca="1" si="0"/>
        <v>#NAME?</v>
      </c>
      <c r="D421" s="24" t="s">
        <v>1381</v>
      </c>
      <c r="E421" s="22" t="s">
        <v>180</v>
      </c>
      <c r="F421" s="24" t="s">
        <v>1375</v>
      </c>
      <c r="G421" s="24" t="s">
        <v>1359</v>
      </c>
      <c r="H421" s="24"/>
      <c r="I421" s="24">
        <v>1</v>
      </c>
      <c r="J421" s="24" t="s">
        <v>1308</v>
      </c>
      <c r="K421" s="24"/>
      <c r="L421" s="24"/>
      <c r="M421" s="24"/>
      <c r="N421" s="24"/>
      <c r="O421" s="24"/>
      <c r="P421" s="136"/>
      <c r="Q421" s="136"/>
      <c r="R421" s="162"/>
      <c r="S421" s="163"/>
      <c r="T421" s="163"/>
      <c r="U421" s="163"/>
      <c r="V421" s="163"/>
      <c r="W421" s="163" t="s">
        <v>1381</v>
      </c>
      <c r="X421" s="164"/>
      <c r="Y421" s="24"/>
      <c r="Z421" s="24"/>
      <c r="AA421" s="136"/>
      <c r="AB421" s="163"/>
      <c r="AC421" s="310"/>
      <c r="AD421" s="136"/>
      <c r="AE421" s="24"/>
      <c r="AF421" s="136"/>
      <c r="AG421" s="22"/>
      <c r="AH421" s="45"/>
      <c r="AI421" s="24"/>
      <c r="AJ421" s="163"/>
      <c r="AK421" s="22"/>
      <c r="AL421" s="22"/>
      <c r="AM421" s="22"/>
      <c r="AN421" s="22"/>
      <c r="AO421" s="22"/>
      <c r="AP421" s="22"/>
      <c r="AQ421" s="22"/>
      <c r="AR421" s="22"/>
      <c r="AS421" s="22"/>
      <c r="AT421" s="275"/>
      <c r="AU421" s="275"/>
      <c r="AV421" s="312"/>
      <c r="AW421" s="275"/>
      <c r="AX421" s="275"/>
      <c r="AY421" s="275"/>
      <c r="AZ421" s="275"/>
      <c r="BA421" s="275"/>
      <c r="BB421" s="275"/>
      <c r="BC421" s="275"/>
      <c r="BD421" s="275"/>
      <c r="BE421" s="143" t="s">
        <v>115</v>
      </c>
      <c r="BF421" s="143" t="s">
        <v>1382</v>
      </c>
      <c r="BG421" s="167" t="s">
        <v>1383</v>
      </c>
      <c r="BH421" s="313"/>
      <c r="BI421" s="154"/>
      <c r="BJ421" s="276"/>
      <c r="BK421" s="46">
        <f t="shared" si="1"/>
        <v>1</v>
      </c>
      <c r="BL421" s="46"/>
      <c r="BM421" s="46"/>
      <c r="BN421" s="46"/>
    </row>
    <row r="422" spans="1:66" ht="12.75" hidden="1" customHeight="1">
      <c r="A422" s="22">
        <v>420</v>
      </c>
      <c r="B422" s="22" t="s">
        <v>2004</v>
      </c>
      <c r="C422" s="22" t="e">
        <f t="shared" ca="1" si="0"/>
        <v>#NAME?</v>
      </c>
      <c r="D422" s="24" t="s">
        <v>1384</v>
      </c>
      <c r="E422" s="22" t="s">
        <v>180</v>
      </c>
      <c r="F422" s="24" t="s">
        <v>1375</v>
      </c>
      <c r="G422" s="24" t="s">
        <v>1359</v>
      </c>
      <c r="H422" s="24"/>
      <c r="I422" s="24">
        <v>1</v>
      </c>
      <c r="J422" s="24" t="s">
        <v>1308</v>
      </c>
      <c r="K422" s="24"/>
      <c r="L422" s="24"/>
      <c r="M422" s="24"/>
      <c r="N422" s="24"/>
      <c r="O422" s="24"/>
      <c r="P422" s="136"/>
      <c r="Q422" s="136"/>
      <c r="R422" s="162"/>
      <c r="S422" s="163"/>
      <c r="T422" s="163"/>
      <c r="U422" s="163"/>
      <c r="V422" s="163"/>
      <c r="W422" s="163" t="s">
        <v>1384</v>
      </c>
      <c r="X422" s="164"/>
      <c r="Y422" s="24"/>
      <c r="Z422" s="24"/>
      <c r="AA422" s="136"/>
      <c r="AB422" s="163"/>
      <c r="AC422" s="310"/>
      <c r="AD422" s="136"/>
      <c r="AE422" s="24"/>
      <c r="AF422" s="136"/>
      <c r="AG422" s="22"/>
      <c r="AH422" s="45"/>
      <c r="AI422" s="24"/>
      <c r="AJ422" s="163"/>
      <c r="AK422" s="22"/>
      <c r="AL422" s="22"/>
      <c r="AM422" s="22"/>
      <c r="AN422" s="22"/>
      <c r="AO422" s="22"/>
      <c r="AP422" s="22"/>
      <c r="AQ422" s="22"/>
      <c r="AR422" s="22"/>
      <c r="AS422" s="22"/>
      <c r="AT422" s="275"/>
      <c r="AU422" s="275"/>
      <c r="AV422" s="312"/>
      <c r="AW422" s="275"/>
      <c r="AX422" s="275"/>
      <c r="AY422" s="275"/>
      <c r="AZ422" s="275"/>
      <c r="BA422" s="275"/>
      <c r="BB422" s="275"/>
      <c r="BC422" s="275"/>
      <c r="BD422" s="275"/>
      <c r="BE422" s="143" t="s">
        <v>115</v>
      </c>
      <c r="BF422" s="143" t="s">
        <v>1385</v>
      </c>
      <c r="BG422" s="167" t="s">
        <v>1386</v>
      </c>
      <c r="BH422" s="313"/>
      <c r="BI422" s="154"/>
      <c r="BJ422" s="276"/>
      <c r="BK422" s="46">
        <f t="shared" si="1"/>
        <v>1</v>
      </c>
      <c r="BL422" s="46"/>
      <c r="BM422" s="46"/>
      <c r="BN422" s="46"/>
    </row>
    <row r="423" spans="1:66" ht="12.75" hidden="1" customHeight="1">
      <c r="A423" s="22">
        <v>421</v>
      </c>
      <c r="B423" s="22" t="s">
        <v>2005</v>
      </c>
      <c r="C423" s="22" t="e">
        <f t="shared" ca="1" si="0"/>
        <v>#NAME?</v>
      </c>
      <c r="D423" s="24" t="s">
        <v>1387</v>
      </c>
      <c r="E423" s="22" t="s">
        <v>180</v>
      </c>
      <c r="F423" s="24" t="s">
        <v>1375</v>
      </c>
      <c r="G423" s="24" t="s">
        <v>1359</v>
      </c>
      <c r="H423" s="24"/>
      <c r="I423" s="24">
        <v>1</v>
      </c>
      <c r="J423" s="24" t="s">
        <v>1308</v>
      </c>
      <c r="K423" s="24"/>
      <c r="L423" s="24"/>
      <c r="M423" s="24"/>
      <c r="N423" s="24"/>
      <c r="O423" s="24"/>
      <c r="P423" s="136"/>
      <c r="Q423" s="136"/>
      <c r="R423" s="162"/>
      <c r="S423" s="163"/>
      <c r="T423" s="163"/>
      <c r="U423" s="163"/>
      <c r="V423" s="163"/>
      <c r="W423" s="163" t="s">
        <v>1387</v>
      </c>
      <c r="X423" s="164"/>
      <c r="Y423" s="24"/>
      <c r="Z423" s="24"/>
      <c r="AA423" s="136"/>
      <c r="AB423" s="163"/>
      <c r="AC423" s="310"/>
      <c r="AD423" s="136"/>
      <c r="AE423" s="24"/>
      <c r="AF423" s="136"/>
      <c r="AG423" s="22"/>
      <c r="AH423" s="45"/>
      <c r="AI423" s="24"/>
      <c r="AJ423" s="163"/>
      <c r="AK423" s="22"/>
      <c r="AL423" s="22"/>
      <c r="AM423" s="22"/>
      <c r="AN423" s="22"/>
      <c r="AO423" s="22"/>
      <c r="AP423" s="22"/>
      <c r="AQ423" s="22"/>
      <c r="AR423" s="22"/>
      <c r="AS423" s="22"/>
      <c r="AT423" s="219"/>
      <c r="AU423" s="219"/>
      <c r="AV423" s="166" t="s">
        <v>745</v>
      </c>
      <c r="AW423" s="210"/>
      <c r="AX423" s="210"/>
      <c r="AY423" s="210"/>
      <c r="AZ423" s="210"/>
      <c r="BA423" s="210"/>
      <c r="BB423" s="210"/>
      <c r="BC423" s="210"/>
      <c r="BD423" s="210"/>
      <c r="BE423" s="143" t="s">
        <v>115</v>
      </c>
      <c r="BF423" s="143" t="s">
        <v>406</v>
      </c>
      <c r="BG423" s="167" t="s">
        <v>407</v>
      </c>
      <c r="BH423" s="311"/>
      <c r="BI423" s="325" t="s">
        <v>745</v>
      </c>
      <c r="BJ423" s="274"/>
      <c r="BK423" s="46">
        <f t="shared" si="1"/>
        <v>1</v>
      </c>
      <c r="BL423" s="46"/>
      <c r="BM423" s="46"/>
      <c r="BN423" s="46"/>
    </row>
    <row r="424" spans="1:66" ht="12.75" hidden="1" customHeight="1">
      <c r="A424" s="22">
        <v>422</v>
      </c>
      <c r="B424" s="22" t="s">
        <v>1388</v>
      </c>
      <c r="C424" s="22" t="str">
        <f t="shared" si="0"/>
        <v>SBP after 10-15 minutes rest</v>
      </c>
      <c r="D424" s="24" t="s">
        <v>1388</v>
      </c>
      <c r="E424" s="22" t="s">
        <v>96</v>
      </c>
      <c r="F424" s="24"/>
      <c r="G424" s="24" t="s">
        <v>1359</v>
      </c>
      <c r="H424" s="24"/>
      <c r="I424" s="24">
        <v>1</v>
      </c>
      <c r="J424" s="24" t="s">
        <v>1308</v>
      </c>
      <c r="K424" s="24"/>
      <c r="L424" s="24"/>
      <c r="M424" s="24"/>
      <c r="N424" s="24"/>
      <c r="O424" s="24"/>
      <c r="P424" s="136"/>
      <c r="Q424" s="136"/>
      <c r="R424" s="162" t="s">
        <v>1388</v>
      </c>
      <c r="S424" s="163" t="s">
        <v>1389</v>
      </c>
      <c r="T424" s="163" t="s">
        <v>1390</v>
      </c>
      <c r="U424" s="163" t="s">
        <v>168</v>
      </c>
      <c r="V424" s="163"/>
      <c r="W424" s="163"/>
      <c r="X424" s="164"/>
      <c r="Y424" s="24"/>
      <c r="Z424" s="163" t="s">
        <v>1362</v>
      </c>
      <c r="AA424" s="136"/>
      <c r="AB424" s="163" t="s">
        <v>113</v>
      </c>
      <c r="AC424" s="310"/>
      <c r="AD424" s="136"/>
      <c r="AE424" s="24"/>
      <c r="AF424" s="136"/>
      <c r="AG424" s="22"/>
      <c r="AH424" s="45"/>
      <c r="AI424" s="24"/>
      <c r="AJ424" s="163" t="s">
        <v>115</v>
      </c>
      <c r="AK424" s="22"/>
      <c r="AL424" s="22"/>
      <c r="AM424" s="22"/>
      <c r="AN424" s="22"/>
      <c r="AO424" s="22"/>
      <c r="AP424" s="22"/>
      <c r="AQ424" s="22"/>
      <c r="AR424" s="22"/>
      <c r="AS424" s="22"/>
      <c r="AT424" s="275"/>
      <c r="AU424" s="275"/>
      <c r="AV424" s="312"/>
      <c r="AW424" s="275"/>
      <c r="AX424" s="275"/>
      <c r="AY424" s="275"/>
      <c r="AZ424" s="275"/>
      <c r="BA424" s="275"/>
      <c r="BB424" s="275"/>
      <c r="BC424" s="275"/>
      <c r="BD424" s="275"/>
      <c r="BE424" s="143" t="s">
        <v>115</v>
      </c>
      <c r="BF424" s="143" t="s">
        <v>1391</v>
      </c>
      <c r="BG424" s="167" t="s">
        <v>1392</v>
      </c>
      <c r="BH424" s="313"/>
      <c r="BI424" s="154"/>
      <c r="BJ424" s="276"/>
      <c r="BK424" s="46">
        <f t="shared" si="1"/>
        <v>1</v>
      </c>
      <c r="BL424" s="46"/>
      <c r="BM424" s="46"/>
      <c r="BN424" s="46"/>
    </row>
    <row r="425" spans="1:66" ht="12.75" hidden="1" customHeight="1">
      <c r="A425" s="22">
        <v>423</v>
      </c>
      <c r="B425" s="22" t="s">
        <v>1393</v>
      </c>
      <c r="C425" s="22" t="str">
        <f t="shared" si="0"/>
        <v>DBP after 10-15 minutes rest</v>
      </c>
      <c r="D425" s="24" t="s">
        <v>1393</v>
      </c>
      <c r="E425" s="22" t="s">
        <v>96</v>
      </c>
      <c r="F425" s="24"/>
      <c r="G425" s="24" t="s">
        <v>1359</v>
      </c>
      <c r="H425" s="24"/>
      <c r="I425" s="24">
        <v>1</v>
      </c>
      <c r="J425" s="24" t="s">
        <v>1308</v>
      </c>
      <c r="K425" s="24"/>
      <c r="L425" s="24"/>
      <c r="M425" s="24"/>
      <c r="N425" s="24"/>
      <c r="O425" s="24"/>
      <c r="P425" s="136"/>
      <c r="Q425" s="136"/>
      <c r="R425" s="162" t="s">
        <v>1393</v>
      </c>
      <c r="S425" s="163" t="s">
        <v>1394</v>
      </c>
      <c r="T425" s="163" t="s">
        <v>1395</v>
      </c>
      <c r="U425" s="163" t="s">
        <v>168</v>
      </c>
      <c r="V425" s="163"/>
      <c r="W425" s="163"/>
      <c r="X425" s="164"/>
      <c r="Y425" s="24"/>
      <c r="Z425" s="163" t="s">
        <v>1362</v>
      </c>
      <c r="AA425" s="136"/>
      <c r="AB425" s="163" t="s">
        <v>113</v>
      </c>
      <c r="AC425" s="310"/>
      <c r="AD425" s="136"/>
      <c r="AE425" s="24"/>
      <c r="AF425" s="136"/>
      <c r="AG425" s="22"/>
      <c r="AH425" s="45"/>
      <c r="AI425" s="24"/>
      <c r="AJ425" s="163" t="s">
        <v>115</v>
      </c>
      <c r="AK425" s="22"/>
      <c r="AL425" s="22"/>
      <c r="AM425" s="22"/>
      <c r="AN425" s="22"/>
      <c r="AO425" s="22"/>
      <c r="AP425" s="22"/>
      <c r="AQ425" s="22"/>
      <c r="AR425" s="22"/>
      <c r="AS425" s="22"/>
      <c r="AT425" s="275"/>
      <c r="AU425" s="275"/>
      <c r="AV425" s="312"/>
      <c r="AW425" s="275"/>
      <c r="AX425" s="275"/>
      <c r="AY425" s="275"/>
      <c r="AZ425" s="275"/>
      <c r="BA425" s="275"/>
      <c r="BB425" s="275"/>
      <c r="BC425" s="275"/>
      <c r="BD425" s="275"/>
      <c r="BE425" s="143" t="s">
        <v>115</v>
      </c>
      <c r="BF425" s="143" t="s">
        <v>1396</v>
      </c>
      <c r="BG425" s="167" t="s">
        <v>1397</v>
      </c>
      <c r="BH425" s="313"/>
      <c r="BI425" s="154"/>
      <c r="BJ425" s="276"/>
      <c r="BK425" s="46">
        <f t="shared" si="1"/>
        <v>1</v>
      </c>
      <c r="BL425" s="46"/>
      <c r="BM425" s="46"/>
      <c r="BN425" s="46"/>
    </row>
    <row r="426" spans="1:66" ht="12.75" hidden="1" customHeight="1">
      <c r="A426" s="22">
        <v>424</v>
      </c>
      <c r="B426" s="22" t="s">
        <v>1398</v>
      </c>
      <c r="C426" s="22" t="str">
        <f t="shared" si="0"/>
        <v>Any symptoms of severe pre-eclampsia?</v>
      </c>
      <c r="D426" s="24" t="s">
        <v>1398</v>
      </c>
      <c r="E426" s="22" t="s">
        <v>96</v>
      </c>
      <c r="F426" s="24"/>
      <c r="G426" s="24" t="s">
        <v>1359</v>
      </c>
      <c r="H426" s="24"/>
      <c r="I426" s="24">
        <v>1</v>
      </c>
      <c r="J426" s="24" t="s">
        <v>1308</v>
      </c>
      <c r="K426" s="24"/>
      <c r="L426" s="24"/>
      <c r="M426" s="24"/>
      <c r="N426" s="24"/>
      <c r="O426" s="24"/>
      <c r="P426" s="164"/>
      <c r="Q426" s="164"/>
      <c r="R426" s="162" t="s">
        <v>1398</v>
      </c>
      <c r="S426" s="163" t="s">
        <v>1399</v>
      </c>
      <c r="T426" s="163" t="s">
        <v>1400</v>
      </c>
      <c r="U426" s="163" t="s">
        <v>238</v>
      </c>
      <c r="V426" s="163"/>
      <c r="W426" s="163"/>
      <c r="X426" s="164"/>
      <c r="Y426" s="24"/>
      <c r="Z426" s="163" t="s">
        <v>1401</v>
      </c>
      <c r="AA426" s="164"/>
      <c r="AB426" s="163" t="s">
        <v>113</v>
      </c>
      <c r="AC426" s="269"/>
      <c r="AD426" s="164"/>
      <c r="AE426" s="24"/>
      <c r="AF426" s="164"/>
      <c r="AG426" s="22"/>
      <c r="AH426" s="45"/>
      <c r="AI426" s="24"/>
      <c r="AJ426" s="163" t="s">
        <v>115</v>
      </c>
      <c r="AK426" s="22"/>
      <c r="AL426" s="22"/>
      <c r="AM426" s="22"/>
      <c r="AN426" s="22"/>
      <c r="AO426" s="22"/>
      <c r="AP426" s="22"/>
      <c r="AQ426" s="22"/>
      <c r="AR426" s="22"/>
      <c r="AS426" s="22"/>
      <c r="AT426" s="275"/>
      <c r="AU426" s="275"/>
      <c r="AV426" s="275"/>
      <c r="AW426" s="275"/>
      <c r="AX426" s="275"/>
      <c r="AY426" s="275"/>
      <c r="AZ426" s="275"/>
      <c r="BA426" s="275"/>
      <c r="BB426" s="275"/>
      <c r="BC426" s="275"/>
      <c r="BD426" s="275"/>
      <c r="BE426" s="143" t="s">
        <v>115</v>
      </c>
      <c r="BF426" s="143" t="s">
        <v>1402</v>
      </c>
      <c r="BG426" s="167" t="s">
        <v>1403</v>
      </c>
      <c r="BH426" s="313"/>
      <c r="BI426" s="276"/>
      <c r="BJ426" s="276"/>
      <c r="BK426" s="46">
        <f t="shared" si="1"/>
        <v>1</v>
      </c>
      <c r="BL426" s="46"/>
      <c r="BM426" s="46"/>
      <c r="BN426" s="46"/>
    </row>
    <row r="427" spans="1:66" ht="12.75" hidden="1" customHeight="1">
      <c r="A427" s="22">
        <v>425</v>
      </c>
      <c r="B427" s="22" t="s">
        <v>553</v>
      </c>
      <c r="C427" s="22" t="e">
        <f t="shared" ca="1" si="0"/>
        <v>#NAME?</v>
      </c>
      <c r="D427" s="24" t="s">
        <v>423</v>
      </c>
      <c r="E427" s="22" t="s">
        <v>180</v>
      </c>
      <c r="F427" s="24" t="s">
        <v>1398</v>
      </c>
      <c r="G427" s="24" t="s">
        <v>1359</v>
      </c>
      <c r="H427" s="24"/>
      <c r="I427" s="24">
        <v>1</v>
      </c>
      <c r="J427" s="24" t="s">
        <v>1308</v>
      </c>
      <c r="K427" s="24"/>
      <c r="L427" s="24"/>
      <c r="M427" s="24"/>
      <c r="N427" s="24"/>
      <c r="O427" s="24"/>
      <c r="P427" s="164"/>
      <c r="Q427" s="164"/>
      <c r="R427" s="162"/>
      <c r="S427" s="163"/>
      <c r="T427" s="163"/>
      <c r="U427" s="163"/>
      <c r="V427" s="163"/>
      <c r="W427" s="163" t="s">
        <v>423</v>
      </c>
      <c r="X427" s="164"/>
      <c r="Y427" s="24"/>
      <c r="Z427" s="24"/>
      <c r="AA427" s="164"/>
      <c r="AB427" s="163"/>
      <c r="AC427" s="269"/>
      <c r="AD427" s="164"/>
      <c r="AE427" s="24"/>
      <c r="AF427" s="164"/>
      <c r="AG427" s="22"/>
      <c r="AH427" s="45"/>
      <c r="AI427" s="24"/>
      <c r="AJ427" s="163"/>
      <c r="AK427" s="22"/>
      <c r="AL427" s="22"/>
      <c r="AM427" s="22"/>
      <c r="AN427" s="22"/>
      <c r="AO427" s="22"/>
      <c r="AP427" s="22"/>
      <c r="AQ427" s="22"/>
      <c r="AR427" s="22"/>
      <c r="AS427" s="22"/>
      <c r="AT427" s="219"/>
      <c r="AU427" s="219"/>
      <c r="AV427" s="135">
        <v>260413007</v>
      </c>
      <c r="AW427" s="219"/>
      <c r="AX427" s="219"/>
      <c r="AY427" s="219"/>
      <c r="AZ427" s="219"/>
      <c r="BA427" s="219"/>
      <c r="BB427" s="219"/>
      <c r="BC427" s="219"/>
      <c r="BD427" s="219"/>
      <c r="BE427" s="137" t="s">
        <v>115</v>
      </c>
      <c r="BF427" s="137" t="s">
        <v>424</v>
      </c>
      <c r="BG427" s="139" t="s">
        <v>425</v>
      </c>
      <c r="BH427" s="220"/>
      <c r="BI427" s="140">
        <v>260413007</v>
      </c>
      <c r="BJ427" s="220"/>
      <c r="BK427" s="46">
        <f t="shared" si="1"/>
        <v>1</v>
      </c>
      <c r="BL427" s="46"/>
      <c r="BM427" s="46"/>
      <c r="BN427" s="46"/>
    </row>
    <row r="428" spans="1:66" ht="12.75" hidden="1" customHeight="1">
      <c r="A428" s="22">
        <v>426</v>
      </c>
      <c r="B428" s="22" t="s">
        <v>577</v>
      </c>
      <c r="C428" s="22" t="e">
        <f t="shared" ca="1" si="0"/>
        <v>#NAME?</v>
      </c>
      <c r="D428" s="24" t="s">
        <v>439</v>
      </c>
      <c r="E428" s="22" t="s">
        <v>180</v>
      </c>
      <c r="F428" s="24" t="s">
        <v>1398</v>
      </c>
      <c r="G428" s="24" t="s">
        <v>1359</v>
      </c>
      <c r="H428" s="24"/>
      <c r="I428" s="24">
        <v>1</v>
      </c>
      <c r="J428" s="24" t="s">
        <v>1308</v>
      </c>
      <c r="K428" s="24"/>
      <c r="L428" s="24"/>
      <c r="M428" s="24"/>
      <c r="N428" s="24"/>
      <c r="O428" s="24"/>
      <c r="P428" s="164"/>
      <c r="Q428" s="164"/>
      <c r="R428" s="162"/>
      <c r="S428" s="163"/>
      <c r="T428" s="163"/>
      <c r="U428" s="163"/>
      <c r="V428" s="163"/>
      <c r="W428" s="163" t="s">
        <v>439</v>
      </c>
      <c r="X428" s="164"/>
      <c r="Y428" s="24"/>
      <c r="Z428" s="24"/>
      <c r="AA428" s="164"/>
      <c r="AB428" s="163"/>
      <c r="AC428" s="269"/>
      <c r="AD428" s="164"/>
      <c r="AE428" s="24"/>
      <c r="AF428" s="164"/>
      <c r="AG428" s="22"/>
      <c r="AH428" s="45"/>
      <c r="AI428" s="24"/>
      <c r="AJ428" s="163"/>
      <c r="AK428" s="22"/>
      <c r="AL428" s="22"/>
      <c r="AM428" s="22"/>
      <c r="AN428" s="22"/>
      <c r="AO428" s="22"/>
      <c r="AP428" s="22"/>
      <c r="AQ428" s="22"/>
      <c r="AR428" s="22"/>
      <c r="AS428" s="22"/>
      <c r="AT428" s="210" t="s">
        <v>299</v>
      </c>
      <c r="AU428" s="219"/>
      <c r="AV428" s="219"/>
      <c r="AW428" s="219"/>
      <c r="AX428" s="219"/>
      <c r="AY428" s="219"/>
      <c r="AZ428" s="219"/>
      <c r="BA428" s="219"/>
      <c r="BB428" s="219"/>
      <c r="BC428" s="219"/>
      <c r="BD428" s="219"/>
      <c r="BE428" s="137" t="s">
        <v>115</v>
      </c>
      <c r="BF428" s="137" t="s">
        <v>441</v>
      </c>
      <c r="BG428" s="139" t="s">
        <v>442</v>
      </c>
      <c r="BH428" s="245" t="s">
        <v>299</v>
      </c>
      <c r="BI428" s="220"/>
      <c r="BJ428" s="220"/>
      <c r="BK428" s="46">
        <f t="shared" si="1"/>
        <v>1</v>
      </c>
      <c r="BL428" s="46"/>
      <c r="BM428" s="46"/>
      <c r="BN428" s="46"/>
    </row>
    <row r="429" spans="1:66" ht="12.75" hidden="1" customHeight="1">
      <c r="A429" s="22">
        <v>427</v>
      </c>
      <c r="B429" s="22" t="s">
        <v>2020</v>
      </c>
      <c r="C429" s="22" t="e">
        <f t="shared" ca="1" si="0"/>
        <v>#NAME?</v>
      </c>
      <c r="D429" s="24" t="s">
        <v>1404</v>
      </c>
      <c r="E429" s="22" t="s">
        <v>180</v>
      </c>
      <c r="F429" s="24" t="s">
        <v>1398</v>
      </c>
      <c r="G429" s="24" t="s">
        <v>1359</v>
      </c>
      <c r="H429" s="24"/>
      <c r="I429" s="24">
        <v>1</v>
      </c>
      <c r="J429" s="24" t="s">
        <v>1308</v>
      </c>
      <c r="K429" s="24"/>
      <c r="L429" s="24"/>
      <c r="M429" s="24"/>
      <c r="N429" s="24"/>
      <c r="O429" s="24"/>
      <c r="P429" s="164"/>
      <c r="Q429" s="164"/>
      <c r="R429" s="162"/>
      <c r="S429" s="163"/>
      <c r="T429" s="163"/>
      <c r="U429" s="163"/>
      <c r="V429" s="163"/>
      <c r="W429" s="163" t="s">
        <v>1404</v>
      </c>
      <c r="X429" s="164"/>
      <c r="Y429" s="24"/>
      <c r="Z429" s="24"/>
      <c r="AA429" s="164"/>
      <c r="AB429" s="163"/>
      <c r="AC429" s="269"/>
      <c r="AD429" s="164"/>
      <c r="AE429" s="24"/>
      <c r="AF429" s="164"/>
      <c r="AG429" s="22"/>
      <c r="AH429" s="45"/>
      <c r="AI429" s="24"/>
      <c r="AJ429" s="163"/>
      <c r="AK429" s="22"/>
      <c r="AL429" s="22"/>
      <c r="AM429" s="22"/>
      <c r="AN429" s="22"/>
      <c r="AO429" s="22"/>
      <c r="AP429" s="22"/>
      <c r="AQ429" s="22"/>
      <c r="AR429" s="22"/>
      <c r="AS429" s="22"/>
      <c r="AT429" s="210" t="s">
        <v>1405</v>
      </c>
      <c r="AU429" s="219"/>
      <c r="AV429" s="135">
        <v>111516008</v>
      </c>
      <c r="AW429" s="219"/>
      <c r="AX429" s="219"/>
      <c r="AY429" s="219"/>
      <c r="AZ429" s="219"/>
      <c r="BA429" s="219"/>
      <c r="BB429" s="219"/>
      <c r="BC429" s="219"/>
      <c r="BD429" s="219"/>
      <c r="BE429" s="137" t="s">
        <v>115</v>
      </c>
      <c r="BF429" s="137" t="s">
        <v>1406</v>
      </c>
      <c r="BG429" s="139" t="s">
        <v>1407</v>
      </c>
      <c r="BH429" s="245" t="s">
        <v>1405</v>
      </c>
      <c r="BI429" s="140">
        <v>111516008</v>
      </c>
      <c r="BJ429" s="220"/>
      <c r="BK429" s="46">
        <f t="shared" si="1"/>
        <v>1</v>
      </c>
      <c r="BL429" s="46"/>
      <c r="BM429" s="46"/>
      <c r="BN429" s="46"/>
    </row>
    <row r="430" spans="1:66" ht="12.75" hidden="1" customHeight="1">
      <c r="A430" s="22">
        <v>428</v>
      </c>
      <c r="B430" s="22" t="s">
        <v>2025</v>
      </c>
      <c r="C430" s="22" t="e">
        <f t="shared" ca="1" si="0"/>
        <v>#NAME?</v>
      </c>
      <c r="D430" s="24" t="s">
        <v>1408</v>
      </c>
      <c r="E430" s="22" t="s">
        <v>180</v>
      </c>
      <c r="F430" s="24" t="s">
        <v>1398</v>
      </c>
      <c r="G430" s="24" t="s">
        <v>1359</v>
      </c>
      <c r="H430" s="24"/>
      <c r="I430" s="24">
        <v>1</v>
      </c>
      <c r="J430" s="24" t="s">
        <v>1308</v>
      </c>
      <c r="K430" s="24"/>
      <c r="L430" s="24"/>
      <c r="M430" s="24"/>
      <c r="N430" s="24"/>
      <c r="O430" s="24"/>
      <c r="P430" s="164"/>
      <c r="Q430" s="164"/>
      <c r="R430" s="162"/>
      <c r="S430" s="163"/>
      <c r="T430" s="163"/>
      <c r="U430" s="163"/>
      <c r="V430" s="163"/>
      <c r="W430" s="163" t="s">
        <v>1408</v>
      </c>
      <c r="X430" s="164"/>
      <c r="Y430" s="24"/>
      <c r="Z430" s="24"/>
      <c r="AA430" s="164"/>
      <c r="AB430" s="163"/>
      <c r="AC430" s="269"/>
      <c r="AD430" s="164"/>
      <c r="AE430" s="24"/>
      <c r="AF430" s="164"/>
      <c r="AG430" s="22"/>
      <c r="AH430" s="45"/>
      <c r="AI430" s="24"/>
      <c r="AJ430" s="163"/>
      <c r="AK430" s="22"/>
      <c r="AL430" s="22"/>
      <c r="AM430" s="22"/>
      <c r="AN430" s="22"/>
      <c r="AO430" s="22"/>
      <c r="AP430" s="22"/>
      <c r="AQ430" s="22"/>
      <c r="AR430" s="22"/>
      <c r="AS430" s="22"/>
      <c r="AT430" s="108" t="s">
        <v>1409</v>
      </c>
      <c r="AU430" s="219"/>
      <c r="AV430" s="135">
        <v>79922009</v>
      </c>
      <c r="AW430" s="219"/>
      <c r="AX430" s="219"/>
      <c r="AY430" s="219"/>
      <c r="AZ430" s="219"/>
      <c r="BA430" s="219"/>
      <c r="BB430" s="219"/>
      <c r="BC430" s="219"/>
      <c r="BD430" s="219"/>
      <c r="BE430" s="137" t="s">
        <v>115</v>
      </c>
      <c r="BF430" s="137" t="s">
        <v>1410</v>
      </c>
      <c r="BG430" s="139" t="s">
        <v>1411</v>
      </c>
      <c r="BH430" s="326" t="s">
        <v>1409</v>
      </c>
      <c r="BI430" s="140">
        <v>79922009</v>
      </c>
      <c r="BJ430" s="220"/>
      <c r="BK430" s="46">
        <f t="shared" si="1"/>
        <v>1</v>
      </c>
      <c r="BL430" s="46"/>
      <c r="BM430" s="46"/>
      <c r="BN430" s="46"/>
    </row>
    <row r="431" spans="1:66" ht="12.75" hidden="1" customHeight="1">
      <c r="A431" s="22">
        <v>429</v>
      </c>
      <c r="B431" s="22" t="s">
        <v>347</v>
      </c>
      <c r="C431" s="22" t="e">
        <f t="shared" ca="1" si="0"/>
        <v>#NAME?</v>
      </c>
      <c r="D431" s="24" t="s">
        <v>270</v>
      </c>
      <c r="E431" s="22" t="s">
        <v>180</v>
      </c>
      <c r="F431" s="24" t="s">
        <v>1398</v>
      </c>
      <c r="G431" s="24" t="s">
        <v>1359</v>
      </c>
      <c r="H431" s="24"/>
      <c r="I431" s="24">
        <v>1</v>
      </c>
      <c r="J431" s="24" t="s">
        <v>1308</v>
      </c>
      <c r="K431" s="24"/>
      <c r="L431" s="24"/>
      <c r="M431" s="24"/>
      <c r="N431" s="24"/>
      <c r="O431" s="24"/>
      <c r="P431" s="164"/>
      <c r="Q431" s="164"/>
      <c r="R431" s="162"/>
      <c r="S431" s="163"/>
      <c r="T431" s="163"/>
      <c r="U431" s="163"/>
      <c r="V431" s="163"/>
      <c r="W431" s="163" t="s">
        <v>270</v>
      </c>
      <c r="X431" s="164"/>
      <c r="Y431" s="24"/>
      <c r="Z431" s="24"/>
      <c r="AA431" s="164"/>
      <c r="AB431" s="163"/>
      <c r="AC431" s="269"/>
      <c r="AD431" s="164"/>
      <c r="AE431" s="24"/>
      <c r="AF431" s="164"/>
      <c r="AG431" s="22"/>
      <c r="AH431" s="45"/>
      <c r="AI431" s="24"/>
      <c r="AJ431" s="163"/>
      <c r="AK431" s="22"/>
      <c r="AL431" s="22"/>
      <c r="AM431" s="22"/>
      <c r="AN431" s="22"/>
      <c r="AO431" s="22"/>
      <c r="AP431" s="22"/>
      <c r="AQ431" s="22"/>
      <c r="AR431" s="22"/>
      <c r="AS431" s="22"/>
      <c r="AT431" s="210" t="s">
        <v>271</v>
      </c>
      <c r="AU431" s="219"/>
      <c r="AV431" s="135">
        <v>315018008</v>
      </c>
      <c r="AW431" s="219"/>
      <c r="AX431" s="219"/>
      <c r="AY431" s="219"/>
      <c r="AZ431" s="219"/>
      <c r="BA431" s="219"/>
      <c r="BB431" s="219"/>
      <c r="BC431" s="219"/>
      <c r="BD431" s="219"/>
      <c r="BE431" s="137" t="s">
        <v>115</v>
      </c>
      <c r="BF431" s="137" t="s">
        <v>272</v>
      </c>
      <c r="BG431" s="330" t="s">
        <v>273</v>
      </c>
      <c r="BH431" s="331" t="s">
        <v>271</v>
      </c>
      <c r="BI431" s="332">
        <v>315018008</v>
      </c>
      <c r="BJ431" s="333"/>
      <c r="BK431" s="46">
        <f t="shared" si="1"/>
        <v>1</v>
      </c>
      <c r="BL431" s="46"/>
      <c r="BM431" s="46"/>
      <c r="BN431" s="46"/>
    </row>
    <row r="432" spans="1:66" ht="12.75" hidden="1" customHeight="1">
      <c r="A432" s="22">
        <v>430</v>
      </c>
      <c r="B432" s="22" t="s">
        <v>2044</v>
      </c>
      <c r="C432" s="22" t="e">
        <f t="shared" ca="1" si="0"/>
        <v>#NAME?</v>
      </c>
      <c r="D432" s="24" t="s">
        <v>1412</v>
      </c>
      <c r="E432" s="22" t="s">
        <v>180</v>
      </c>
      <c r="F432" s="24" t="s">
        <v>1398</v>
      </c>
      <c r="G432" s="24" t="s">
        <v>1359</v>
      </c>
      <c r="H432" s="24"/>
      <c r="I432" s="24">
        <v>1</v>
      </c>
      <c r="J432" s="24" t="s">
        <v>1308</v>
      </c>
      <c r="K432" s="24"/>
      <c r="L432" s="24"/>
      <c r="M432" s="24"/>
      <c r="N432" s="24"/>
      <c r="O432" s="24"/>
      <c r="P432" s="164"/>
      <c r="Q432" s="164"/>
      <c r="R432" s="162"/>
      <c r="S432" s="163"/>
      <c r="T432" s="163"/>
      <c r="U432" s="163"/>
      <c r="V432" s="163"/>
      <c r="W432" s="163" t="s">
        <v>1412</v>
      </c>
      <c r="X432" s="164"/>
      <c r="Y432" s="24"/>
      <c r="Z432" s="24"/>
      <c r="AA432" s="164"/>
      <c r="AB432" s="163"/>
      <c r="AC432" s="269"/>
      <c r="AD432" s="164"/>
      <c r="AE432" s="24"/>
      <c r="AF432" s="164"/>
      <c r="AG432" s="22"/>
      <c r="AH432" s="45"/>
      <c r="AI432" s="24"/>
      <c r="AJ432" s="163"/>
      <c r="AK432" s="22"/>
      <c r="AL432" s="22"/>
      <c r="AM432" s="22"/>
      <c r="AN432" s="22"/>
      <c r="AO432" s="22"/>
      <c r="AP432" s="22"/>
      <c r="AQ432" s="22"/>
      <c r="AR432" s="22"/>
      <c r="AS432" s="22"/>
      <c r="AT432" s="135" t="s">
        <v>331</v>
      </c>
      <c r="AU432" s="219"/>
      <c r="AV432" s="148">
        <v>422400008</v>
      </c>
      <c r="AW432" s="219"/>
      <c r="AX432" s="219"/>
      <c r="AY432" s="219"/>
      <c r="AZ432" s="219"/>
      <c r="BA432" s="219"/>
      <c r="BB432" s="219"/>
      <c r="BC432" s="219"/>
      <c r="BD432" s="219"/>
      <c r="BE432" s="137" t="s">
        <v>115</v>
      </c>
      <c r="BF432" s="137" t="s">
        <v>1413</v>
      </c>
      <c r="BG432" s="139" t="s">
        <v>1414</v>
      </c>
      <c r="BH432" s="140" t="s">
        <v>331</v>
      </c>
      <c r="BI432" s="150">
        <v>422400008</v>
      </c>
      <c r="BJ432" s="220"/>
      <c r="BK432" s="46">
        <f t="shared" si="1"/>
        <v>1</v>
      </c>
      <c r="BL432" s="46"/>
      <c r="BM432" s="46"/>
      <c r="BN432" s="46"/>
    </row>
    <row r="433" spans="1:66" ht="12.75" hidden="1" customHeight="1">
      <c r="A433" s="22">
        <v>431</v>
      </c>
      <c r="B433" s="22" t="s">
        <v>1415</v>
      </c>
      <c r="C433" s="22" t="str">
        <f t="shared" si="0"/>
        <v>Urine dipstick result - protein - Blood Pressure</v>
      </c>
      <c r="D433" s="24" t="s">
        <v>1415</v>
      </c>
      <c r="E433" s="22" t="s">
        <v>96</v>
      </c>
      <c r="F433" s="24"/>
      <c r="G433" s="24" t="s">
        <v>1359</v>
      </c>
      <c r="H433" s="24"/>
      <c r="I433" s="24">
        <v>1</v>
      </c>
      <c r="J433" s="24" t="s">
        <v>1308</v>
      </c>
      <c r="K433" s="24"/>
      <c r="L433" s="24"/>
      <c r="M433" s="24"/>
      <c r="N433" s="24"/>
      <c r="O433" s="24"/>
      <c r="P433" s="164"/>
      <c r="Q433" s="164"/>
      <c r="R433" s="162" t="s">
        <v>1416</v>
      </c>
      <c r="S433" s="163" t="s">
        <v>1417</v>
      </c>
      <c r="T433" s="163" t="s">
        <v>1418</v>
      </c>
      <c r="U433" s="163" t="s">
        <v>202</v>
      </c>
      <c r="V433" s="163"/>
      <c r="W433" s="163"/>
      <c r="X433" s="164"/>
      <c r="Y433" s="24"/>
      <c r="Z433" s="24"/>
      <c r="AA433" s="164"/>
      <c r="AB433" s="163" t="s">
        <v>113</v>
      </c>
      <c r="AC433" s="269"/>
      <c r="AD433" s="164"/>
      <c r="AE433" s="24"/>
      <c r="AF433" s="164"/>
      <c r="AG433" s="22"/>
      <c r="AH433" s="45"/>
      <c r="AI433" s="24"/>
      <c r="AJ433" s="163" t="s">
        <v>115</v>
      </c>
      <c r="AK433" s="22"/>
      <c r="AL433" s="22"/>
      <c r="AM433" s="22"/>
      <c r="AN433" s="22"/>
      <c r="AO433" s="22"/>
      <c r="AP433" s="22"/>
      <c r="AQ433" s="22"/>
      <c r="AR433" s="22"/>
      <c r="AS433" s="22"/>
      <c r="AT433" s="219"/>
      <c r="AU433" s="219"/>
      <c r="AV433" s="156">
        <v>271346009</v>
      </c>
      <c r="AW433" s="219"/>
      <c r="AX433" s="219"/>
      <c r="AY433" s="219"/>
      <c r="AZ433" s="219"/>
      <c r="BA433" s="219"/>
      <c r="BB433" s="219"/>
      <c r="BC433" s="219"/>
      <c r="BD433" s="219"/>
      <c r="BE433" s="137" t="s">
        <v>115</v>
      </c>
      <c r="BF433" s="137" t="s">
        <v>1419</v>
      </c>
      <c r="BG433" s="139" t="s">
        <v>1420</v>
      </c>
      <c r="BH433" s="220"/>
      <c r="BI433" s="157">
        <v>271346009</v>
      </c>
      <c r="BJ433" s="220"/>
      <c r="BK433" s="46">
        <f t="shared" si="1"/>
        <v>1</v>
      </c>
      <c r="BL433" s="46"/>
      <c r="BM433" s="46"/>
      <c r="BN433" s="46"/>
    </row>
    <row r="434" spans="1:66" ht="12.75" hidden="1" customHeight="1">
      <c r="A434" s="22">
        <v>432</v>
      </c>
      <c r="B434" s="22" t="s">
        <v>553</v>
      </c>
      <c r="C434" s="22" t="e">
        <f t="shared" ca="1" si="0"/>
        <v>#NAME?</v>
      </c>
      <c r="D434" s="24" t="s">
        <v>423</v>
      </c>
      <c r="E434" s="22" t="s">
        <v>180</v>
      </c>
      <c r="F434" s="24" t="s">
        <v>1416</v>
      </c>
      <c r="G434" s="24" t="s">
        <v>1359</v>
      </c>
      <c r="H434" s="24"/>
      <c r="I434" s="24">
        <v>1</v>
      </c>
      <c r="J434" s="24" t="s">
        <v>1308</v>
      </c>
      <c r="K434" s="24"/>
      <c r="L434" s="24"/>
      <c r="M434" s="24"/>
      <c r="N434" s="24"/>
      <c r="O434" s="24"/>
      <c r="P434" s="164"/>
      <c r="Q434" s="164"/>
      <c r="R434" s="162"/>
      <c r="S434" s="163"/>
      <c r="T434" s="163"/>
      <c r="U434" s="163"/>
      <c r="V434" s="163"/>
      <c r="W434" s="163" t="s">
        <v>423</v>
      </c>
      <c r="X434" s="164"/>
      <c r="Y434" s="24"/>
      <c r="Z434" s="24"/>
      <c r="AA434" s="164"/>
      <c r="AB434" s="163"/>
      <c r="AC434" s="269"/>
      <c r="AD434" s="164"/>
      <c r="AE434" s="24"/>
      <c r="AF434" s="164"/>
      <c r="AG434" s="22"/>
      <c r="AH434" s="45"/>
      <c r="AI434" s="24"/>
      <c r="AJ434" s="163"/>
      <c r="AK434" s="22"/>
      <c r="AL434" s="22"/>
      <c r="AM434" s="22"/>
      <c r="AN434" s="22"/>
      <c r="AO434" s="22"/>
      <c r="AP434" s="22"/>
      <c r="AQ434" s="22"/>
      <c r="AR434" s="22"/>
      <c r="AS434" s="22"/>
      <c r="AT434" s="219"/>
      <c r="AU434" s="219"/>
      <c r="AV434" s="148">
        <v>260385009</v>
      </c>
      <c r="AW434" s="219"/>
      <c r="AX434" s="219"/>
      <c r="AY434" s="219"/>
      <c r="AZ434" s="219"/>
      <c r="BA434" s="219"/>
      <c r="BB434" s="219"/>
      <c r="BC434" s="219"/>
      <c r="BD434" s="219"/>
      <c r="BE434" s="137" t="s">
        <v>115</v>
      </c>
      <c r="BF434" s="137" t="s">
        <v>1128</v>
      </c>
      <c r="BG434" s="139" t="s">
        <v>1129</v>
      </c>
      <c r="BH434" s="220"/>
      <c r="BI434" s="150">
        <v>260385009</v>
      </c>
      <c r="BJ434" s="220"/>
      <c r="BK434" s="46">
        <f t="shared" si="1"/>
        <v>1</v>
      </c>
      <c r="BL434" s="46"/>
      <c r="BM434" s="46"/>
      <c r="BN434" s="46"/>
    </row>
    <row r="435" spans="1:66" ht="12.75" hidden="1" customHeight="1">
      <c r="A435" s="22">
        <v>433</v>
      </c>
      <c r="B435" s="22" t="s">
        <v>2049</v>
      </c>
      <c r="C435" s="22" t="e">
        <f t="shared" ca="1" si="0"/>
        <v>#NAME?</v>
      </c>
      <c r="D435" s="24" t="s">
        <v>1421</v>
      </c>
      <c r="E435" s="22" t="s">
        <v>180</v>
      </c>
      <c r="F435" s="24" t="s">
        <v>1416</v>
      </c>
      <c r="G435" s="24" t="s">
        <v>1359</v>
      </c>
      <c r="H435" s="24"/>
      <c r="I435" s="24">
        <v>1</v>
      </c>
      <c r="J435" s="24" t="s">
        <v>1308</v>
      </c>
      <c r="K435" s="24"/>
      <c r="L435" s="24"/>
      <c r="M435" s="24"/>
      <c r="N435" s="24"/>
      <c r="O435" s="24"/>
      <c r="P435" s="164"/>
      <c r="Q435" s="164"/>
      <c r="R435" s="162"/>
      <c r="S435" s="163"/>
      <c r="T435" s="163"/>
      <c r="U435" s="163"/>
      <c r="V435" s="163"/>
      <c r="W435" s="334" t="s">
        <v>1421</v>
      </c>
      <c r="X435" s="164"/>
      <c r="Y435" s="24"/>
      <c r="Z435" s="24"/>
      <c r="AA435" s="164"/>
      <c r="AB435" s="163"/>
      <c r="AC435" s="269"/>
      <c r="AD435" s="164"/>
      <c r="AE435" s="24"/>
      <c r="AF435" s="164"/>
      <c r="AG435" s="22"/>
      <c r="AH435" s="45"/>
      <c r="AI435" s="24"/>
      <c r="AJ435" s="163"/>
      <c r="AK435" s="22"/>
      <c r="AL435" s="22"/>
      <c r="AM435" s="22"/>
      <c r="AN435" s="22"/>
      <c r="AO435" s="22"/>
      <c r="AP435" s="22"/>
      <c r="AQ435" s="22"/>
      <c r="AR435" s="22"/>
      <c r="AS435" s="22"/>
      <c r="AT435" s="219"/>
      <c r="AU435" s="219"/>
      <c r="AV435" s="156">
        <v>260408008</v>
      </c>
      <c r="AW435" s="219"/>
      <c r="AX435" s="219"/>
      <c r="AY435" s="219"/>
      <c r="AZ435" s="219"/>
      <c r="BA435" s="219"/>
      <c r="BB435" s="219"/>
      <c r="BC435" s="219"/>
      <c r="BD435" s="219"/>
      <c r="BE435" s="137" t="s">
        <v>115</v>
      </c>
      <c r="BF435" s="137" t="s">
        <v>1422</v>
      </c>
      <c r="BG435" s="139" t="s">
        <v>1423</v>
      </c>
      <c r="BH435" s="220"/>
      <c r="BI435" s="157">
        <v>260408008</v>
      </c>
      <c r="BJ435" s="220"/>
      <c r="BK435" s="46">
        <f t="shared" si="1"/>
        <v>1</v>
      </c>
      <c r="BL435" s="46"/>
      <c r="BM435" s="46"/>
      <c r="BN435" s="46"/>
    </row>
    <row r="436" spans="1:66" ht="12.75" hidden="1" customHeight="1">
      <c r="A436" s="22">
        <v>434</v>
      </c>
      <c r="B436" s="22" t="s">
        <v>2061</v>
      </c>
      <c r="C436" s="22" t="e">
        <f t="shared" ca="1" si="0"/>
        <v>#NAME?</v>
      </c>
      <c r="D436" s="24" t="s">
        <v>1424</v>
      </c>
      <c r="E436" s="22" t="s">
        <v>180</v>
      </c>
      <c r="F436" s="24" t="s">
        <v>1416</v>
      </c>
      <c r="G436" s="24" t="s">
        <v>1359</v>
      </c>
      <c r="H436" s="24"/>
      <c r="I436" s="24">
        <v>1</v>
      </c>
      <c r="J436" s="24" t="s">
        <v>1308</v>
      </c>
      <c r="K436" s="24"/>
      <c r="L436" s="24"/>
      <c r="M436" s="24"/>
      <c r="N436" s="24"/>
      <c r="O436" s="24"/>
      <c r="P436" s="164"/>
      <c r="Q436" s="164"/>
      <c r="R436" s="162"/>
      <c r="S436" s="163"/>
      <c r="T436" s="163"/>
      <c r="U436" s="163"/>
      <c r="V436" s="163"/>
      <c r="W436" s="334" t="s">
        <v>1424</v>
      </c>
      <c r="X436" s="164"/>
      <c r="Y436" s="24"/>
      <c r="Z436" s="24"/>
      <c r="AA436" s="164"/>
      <c r="AB436" s="163"/>
      <c r="AC436" s="269"/>
      <c r="AD436" s="164"/>
      <c r="AE436" s="24"/>
      <c r="AF436" s="164"/>
      <c r="AG436" s="22"/>
      <c r="AH436" s="45"/>
      <c r="AI436" s="24"/>
      <c r="AJ436" s="163"/>
      <c r="AK436" s="22"/>
      <c r="AL436" s="22"/>
      <c r="AM436" s="22"/>
      <c r="AN436" s="22"/>
      <c r="AO436" s="22"/>
      <c r="AP436" s="22"/>
      <c r="AQ436" s="22"/>
      <c r="AR436" s="22"/>
      <c r="AS436" s="22"/>
      <c r="AT436" s="219"/>
      <c r="AU436" s="219"/>
      <c r="AV436" s="156">
        <v>441517005</v>
      </c>
      <c r="AW436" s="219"/>
      <c r="AX436" s="219"/>
      <c r="AY436" s="219"/>
      <c r="AZ436" s="219"/>
      <c r="BA436" s="219"/>
      <c r="BB436" s="219"/>
      <c r="BC436" s="219"/>
      <c r="BD436" s="219"/>
      <c r="BE436" s="137" t="s">
        <v>115</v>
      </c>
      <c r="BF436" s="137" t="s">
        <v>1425</v>
      </c>
      <c r="BG436" s="139" t="s">
        <v>1426</v>
      </c>
      <c r="BH436" s="220"/>
      <c r="BI436" s="157">
        <v>441517005</v>
      </c>
      <c r="BJ436" s="220"/>
      <c r="BK436" s="46">
        <f t="shared" si="1"/>
        <v>1</v>
      </c>
      <c r="BL436" s="46"/>
      <c r="BM436" s="46"/>
      <c r="BN436" s="46"/>
    </row>
    <row r="437" spans="1:66" ht="12.75" hidden="1" customHeight="1">
      <c r="A437" s="22">
        <v>435</v>
      </c>
      <c r="B437" s="22" t="s">
        <v>2062</v>
      </c>
      <c r="C437" s="22" t="e">
        <f t="shared" ca="1" si="0"/>
        <v>#NAME?</v>
      </c>
      <c r="D437" s="24" t="s">
        <v>1427</v>
      </c>
      <c r="E437" s="22" t="s">
        <v>180</v>
      </c>
      <c r="F437" s="24" t="s">
        <v>1416</v>
      </c>
      <c r="G437" s="24" t="s">
        <v>1359</v>
      </c>
      <c r="H437" s="24"/>
      <c r="I437" s="24">
        <v>1</v>
      </c>
      <c r="J437" s="24" t="s">
        <v>1308</v>
      </c>
      <c r="K437" s="24"/>
      <c r="L437" s="24"/>
      <c r="M437" s="24"/>
      <c r="N437" s="24"/>
      <c r="O437" s="24"/>
      <c r="P437" s="164"/>
      <c r="Q437" s="164"/>
      <c r="R437" s="162"/>
      <c r="S437" s="163"/>
      <c r="T437" s="163"/>
      <c r="U437" s="163"/>
      <c r="V437" s="163"/>
      <c r="W437" s="334" t="s">
        <v>1427</v>
      </c>
      <c r="X437" s="164"/>
      <c r="Y437" s="24"/>
      <c r="Z437" s="24"/>
      <c r="AA437" s="164"/>
      <c r="AB437" s="163"/>
      <c r="AC437" s="269"/>
      <c r="AD437" s="164"/>
      <c r="AE437" s="24"/>
      <c r="AF437" s="164"/>
      <c r="AG437" s="22"/>
      <c r="AH437" s="45"/>
      <c r="AI437" s="24"/>
      <c r="AJ437" s="163"/>
      <c r="AK437" s="22"/>
      <c r="AL437" s="22"/>
      <c r="AM437" s="22"/>
      <c r="AN437" s="22"/>
      <c r="AO437" s="22"/>
      <c r="AP437" s="22"/>
      <c r="AQ437" s="22"/>
      <c r="AR437" s="22"/>
      <c r="AS437" s="22"/>
      <c r="AT437" s="219"/>
      <c r="AU437" s="219"/>
      <c r="AV437" s="148">
        <v>441521003</v>
      </c>
      <c r="AW437" s="219"/>
      <c r="AX437" s="219"/>
      <c r="AY437" s="219"/>
      <c r="AZ437" s="219"/>
      <c r="BA437" s="219"/>
      <c r="BB437" s="219"/>
      <c r="BC437" s="219"/>
      <c r="BD437" s="219"/>
      <c r="BE437" s="137" t="s">
        <v>115</v>
      </c>
      <c r="BF437" s="137" t="s">
        <v>1428</v>
      </c>
      <c r="BG437" s="139" t="s">
        <v>1429</v>
      </c>
      <c r="BH437" s="311"/>
      <c r="BI437" s="150">
        <v>441521003</v>
      </c>
      <c r="BJ437" s="311"/>
      <c r="BK437" s="46">
        <f t="shared" si="1"/>
        <v>1</v>
      </c>
      <c r="BL437" s="46"/>
      <c r="BM437" s="46"/>
      <c r="BN437" s="46"/>
    </row>
    <row r="438" spans="1:66" ht="12.75" hidden="1" customHeight="1">
      <c r="A438" s="22">
        <v>436</v>
      </c>
      <c r="B438" s="22" t="s">
        <v>2063</v>
      </c>
      <c r="C438" s="22" t="e">
        <f t="shared" ca="1" si="0"/>
        <v>#NAME?</v>
      </c>
      <c r="D438" s="24" t="s">
        <v>1430</v>
      </c>
      <c r="E438" s="22" t="s">
        <v>180</v>
      </c>
      <c r="F438" s="24" t="s">
        <v>1416</v>
      </c>
      <c r="G438" s="24" t="s">
        <v>1359</v>
      </c>
      <c r="H438" s="24"/>
      <c r="I438" s="24">
        <v>1</v>
      </c>
      <c r="J438" s="24" t="s">
        <v>1308</v>
      </c>
      <c r="K438" s="24"/>
      <c r="L438" s="24"/>
      <c r="M438" s="24"/>
      <c r="N438" s="24"/>
      <c r="O438" s="24"/>
      <c r="P438" s="164"/>
      <c r="Q438" s="164"/>
      <c r="R438" s="162"/>
      <c r="S438" s="163"/>
      <c r="T438" s="163"/>
      <c r="U438" s="163"/>
      <c r="V438" s="163"/>
      <c r="W438" s="334" t="s">
        <v>1430</v>
      </c>
      <c r="X438" s="164"/>
      <c r="Y438" s="24"/>
      <c r="Z438" s="24"/>
      <c r="AA438" s="164"/>
      <c r="AB438" s="163"/>
      <c r="AC438" s="269"/>
      <c r="AD438" s="164"/>
      <c r="AE438" s="24"/>
      <c r="AF438" s="164"/>
      <c r="AG438" s="22"/>
      <c r="AH438" s="45"/>
      <c r="AI438" s="24"/>
      <c r="AJ438" s="163"/>
      <c r="AK438" s="22"/>
      <c r="AL438" s="22"/>
      <c r="AM438" s="22"/>
      <c r="AN438" s="22"/>
      <c r="AO438" s="22"/>
      <c r="AP438" s="22"/>
      <c r="AQ438" s="22"/>
      <c r="AR438" s="22"/>
      <c r="AS438" s="22"/>
      <c r="AT438" s="275"/>
      <c r="AU438" s="275"/>
      <c r="AV438" s="275"/>
      <c r="AW438" s="275"/>
      <c r="AX438" s="275"/>
      <c r="AY438" s="275"/>
      <c r="AZ438" s="275"/>
      <c r="BA438" s="275"/>
      <c r="BB438" s="275"/>
      <c r="BC438" s="275"/>
      <c r="BD438" s="275"/>
      <c r="BE438" s="137" t="s">
        <v>115</v>
      </c>
      <c r="BF438" s="137" t="s">
        <v>1431</v>
      </c>
      <c r="BG438" s="139" t="s">
        <v>1432</v>
      </c>
      <c r="BH438" s="313"/>
      <c r="BI438" s="276"/>
      <c r="BJ438" s="276"/>
      <c r="BK438" s="46">
        <f t="shared" si="1"/>
        <v>1</v>
      </c>
      <c r="BL438" s="46"/>
      <c r="BM438" s="46"/>
      <c r="BN438" s="46"/>
    </row>
    <row r="439" spans="1:66" ht="12.75" hidden="1" customHeight="1">
      <c r="A439" s="22">
        <v>437</v>
      </c>
      <c r="B439" s="22" t="s">
        <v>1433</v>
      </c>
      <c r="C439" s="22" t="str">
        <f t="shared" si="0"/>
        <v>Temperature (ºC)</v>
      </c>
      <c r="D439" s="24" t="s">
        <v>1433</v>
      </c>
      <c r="E439" s="22" t="s">
        <v>96</v>
      </c>
      <c r="F439" s="24"/>
      <c r="G439" s="24" t="s">
        <v>1434</v>
      </c>
      <c r="H439" s="24"/>
      <c r="I439" s="24">
        <v>1</v>
      </c>
      <c r="J439" s="24" t="s">
        <v>1308</v>
      </c>
      <c r="K439" s="24"/>
      <c r="L439" s="24"/>
      <c r="M439" s="24"/>
      <c r="N439" s="24"/>
      <c r="O439" s="24"/>
      <c r="P439" s="164"/>
      <c r="Q439" s="164"/>
      <c r="R439" s="162" t="s">
        <v>1433</v>
      </c>
      <c r="S439" s="163" t="s">
        <v>1435</v>
      </c>
      <c r="T439" s="163" t="s">
        <v>1436</v>
      </c>
      <c r="U439" s="163" t="s">
        <v>1318</v>
      </c>
      <c r="V439" s="163"/>
      <c r="W439" s="163"/>
      <c r="X439" s="163"/>
      <c r="Y439" s="24"/>
      <c r="Z439" s="163" t="s">
        <v>1437</v>
      </c>
      <c r="AA439" s="164"/>
      <c r="AB439" s="163" t="s">
        <v>113</v>
      </c>
      <c r="AC439" s="269"/>
      <c r="AD439" s="164"/>
      <c r="AE439" s="24"/>
      <c r="AF439" s="164"/>
      <c r="AG439" s="22"/>
      <c r="AH439" s="45"/>
      <c r="AI439" s="24"/>
      <c r="AJ439" s="163" t="s">
        <v>1277</v>
      </c>
      <c r="AK439" s="22"/>
      <c r="AL439" s="22"/>
      <c r="AM439" s="22"/>
      <c r="AN439" s="22"/>
      <c r="AO439" s="22"/>
      <c r="AP439" s="22"/>
      <c r="AQ439" s="22"/>
      <c r="AR439" s="22"/>
      <c r="AS439" s="22"/>
      <c r="AT439" s="219"/>
      <c r="AU439" s="219"/>
      <c r="AV439" s="210" t="s">
        <v>1438</v>
      </c>
      <c r="AW439" s="335">
        <v>2341326</v>
      </c>
      <c r="AX439" s="335"/>
      <c r="AY439" s="335"/>
      <c r="AZ439" s="335"/>
      <c r="BA439" s="335"/>
      <c r="BB439" s="335"/>
      <c r="BC439" s="335"/>
      <c r="BD439" s="335"/>
      <c r="BE439" s="137" t="s">
        <v>115</v>
      </c>
      <c r="BF439" s="137" t="s">
        <v>1439</v>
      </c>
      <c r="BG439" s="139" t="s">
        <v>1440</v>
      </c>
      <c r="BH439" s="220"/>
      <c r="BI439" s="212" t="s">
        <v>1438</v>
      </c>
      <c r="BJ439" s="336">
        <v>2341326</v>
      </c>
      <c r="BK439" s="46">
        <f t="shared" si="1"/>
        <v>1</v>
      </c>
      <c r="BL439" s="46"/>
      <c r="BM439" s="46"/>
      <c r="BN439" s="46"/>
    </row>
    <row r="440" spans="1:66" ht="12.75" hidden="1" customHeight="1">
      <c r="A440" s="22">
        <v>438</v>
      </c>
      <c r="B440" s="22" t="s">
        <v>1441</v>
      </c>
      <c r="C440" s="22" t="str">
        <f t="shared" si="0"/>
        <v>Second temperature (ºC)</v>
      </c>
      <c r="D440" s="24" t="s">
        <v>1441</v>
      </c>
      <c r="E440" s="22" t="s">
        <v>96</v>
      </c>
      <c r="F440" s="24"/>
      <c r="G440" s="24" t="s">
        <v>1434</v>
      </c>
      <c r="H440" s="24"/>
      <c r="I440" s="24">
        <v>1</v>
      </c>
      <c r="J440" s="24" t="s">
        <v>1308</v>
      </c>
      <c r="K440" s="24"/>
      <c r="L440" s="24"/>
      <c r="M440" s="24"/>
      <c r="N440" s="24"/>
      <c r="O440" s="24"/>
      <c r="P440" s="164"/>
      <c r="Q440" s="164"/>
      <c r="R440" s="162" t="s">
        <v>1441</v>
      </c>
      <c r="S440" s="163" t="s">
        <v>1442</v>
      </c>
      <c r="T440" s="163" t="s">
        <v>1443</v>
      </c>
      <c r="U440" s="163" t="s">
        <v>1318</v>
      </c>
      <c r="V440" s="163"/>
      <c r="W440" s="163"/>
      <c r="X440" s="163"/>
      <c r="Y440" s="24"/>
      <c r="Z440" s="163" t="s">
        <v>1437</v>
      </c>
      <c r="AA440" s="164"/>
      <c r="AB440" s="163" t="s">
        <v>113</v>
      </c>
      <c r="AC440" s="269"/>
      <c r="AD440" s="164"/>
      <c r="AE440" s="24"/>
      <c r="AF440" s="164"/>
      <c r="AG440" s="22"/>
      <c r="AH440" s="45"/>
      <c r="AI440" s="24"/>
      <c r="AJ440" s="163" t="s">
        <v>115</v>
      </c>
      <c r="AK440" s="22"/>
      <c r="AL440" s="22"/>
      <c r="AM440" s="22"/>
      <c r="AN440" s="22"/>
      <c r="AO440" s="22"/>
      <c r="AP440" s="22"/>
      <c r="AQ440" s="22"/>
      <c r="AR440" s="22"/>
      <c r="AS440" s="22"/>
      <c r="AT440" s="219"/>
      <c r="AU440" s="219"/>
      <c r="AV440" s="210" t="s">
        <v>1438</v>
      </c>
      <c r="AW440" s="335">
        <v>2341326</v>
      </c>
      <c r="AX440" s="335"/>
      <c r="AY440" s="335"/>
      <c r="AZ440" s="335"/>
      <c r="BA440" s="335"/>
      <c r="BB440" s="335"/>
      <c r="BC440" s="335"/>
      <c r="BD440" s="335"/>
      <c r="BE440" s="137" t="s">
        <v>115</v>
      </c>
      <c r="BF440" s="137" t="s">
        <v>1439</v>
      </c>
      <c r="BG440" s="139" t="s">
        <v>1440</v>
      </c>
      <c r="BH440" s="311"/>
      <c r="BI440" s="337" t="s">
        <v>1438</v>
      </c>
      <c r="BJ440" s="336">
        <v>2341326</v>
      </c>
      <c r="BK440" s="46">
        <f t="shared" si="1"/>
        <v>1</v>
      </c>
      <c r="BL440" s="46"/>
      <c r="BM440" s="46"/>
      <c r="BN440" s="46"/>
    </row>
    <row r="441" spans="1:66" ht="12.75" hidden="1" customHeight="1">
      <c r="A441" s="22">
        <v>439</v>
      </c>
      <c r="B441" s="22" t="s">
        <v>1444</v>
      </c>
      <c r="C441" s="22" t="str">
        <f t="shared" si="0"/>
        <v>Woman has a fever. Provide treatment and refer urgently to hospital!</v>
      </c>
      <c r="D441" s="24" t="s">
        <v>1444</v>
      </c>
      <c r="E441" s="22" t="s">
        <v>1445</v>
      </c>
      <c r="F441" s="24"/>
      <c r="G441" s="24" t="s">
        <v>1434</v>
      </c>
      <c r="H441" s="24"/>
      <c r="I441" s="24">
        <v>1</v>
      </c>
      <c r="J441" s="24" t="s">
        <v>1308</v>
      </c>
      <c r="K441" s="24"/>
      <c r="L441" s="24"/>
      <c r="M441" s="24"/>
      <c r="N441" s="24"/>
      <c r="O441" s="24"/>
      <c r="P441" s="164"/>
      <c r="Q441" s="164"/>
      <c r="R441" s="338" t="s">
        <v>1444</v>
      </c>
      <c r="S441" s="339" t="s">
        <v>115</v>
      </c>
      <c r="T441" s="339" t="s">
        <v>1446</v>
      </c>
      <c r="U441" s="339" t="s">
        <v>1445</v>
      </c>
      <c r="V441" s="340"/>
      <c r="W441" s="340"/>
      <c r="X441" s="303"/>
      <c r="Y441" s="24"/>
      <c r="Z441" s="303"/>
      <c r="AA441" s="164"/>
      <c r="AB441" s="339" t="s">
        <v>115</v>
      </c>
      <c r="AC441" s="269"/>
      <c r="AD441" s="164"/>
      <c r="AE441" s="24"/>
      <c r="AF441" s="164"/>
      <c r="AG441" s="22"/>
      <c r="AH441" s="45"/>
      <c r="AI441" s="24"/>
      <c r="AJ441" s="339" t="s">
        <v>115</v>
      </c>
      <c r="AK441" s="22"/>
      <c r="AL441" s="22"/>
      <c r="AM441" s="22"/>
      <c r="AN441" s="22"/>
      <c r="AO441" s="22"/>
      <c r="AP441" s="22"/>
      <c r="AQ441" s="22"/>
      <c r="AR441" s="22"/>
      <c r="AS441" s="22"/>
      <c r="AT441" s="275"/>
      <c r="AU441" s="275"/>
      <c r="AV441" s="275"/>
      <c r="AW441" s="275"/>
      <c r="AX441" s="275"/>
      <c r="AY441" s="275"/>
      <c r="AZ441" s="275"/>
      <c r="BA441" s="275"/>
      <c r="BB441" s="275"/>
      <c r="BC441" s="275"/>
      <c r="BD441" s="275"/>
      <c r="BE441" s="143" t="s">
        <v>115</v>
      </c>
      <c r="BF441" s="143" t="s">
        <v>115</v>
      </c>
      <c r="BG441" s="167" t="s">
        <v>115</v>
      </c>
      <c r="BH441" s="313"/>
      <c r="BI441" s="276"/>
      <c r="BJ441" s="276"/>
      <c r="BK441" s="46">
        <f t="shared" si="1"/>
        <v>1</v>
      </c>
      <c r="BL441" s="46"/>
      <c r="BM441" s="46"/>
      <c r="BN441" s="46"/>
    </row>
    <row r="442" spans="1:66" ht="12.75" hidden="1" customHeight="1">
      <c r="A442" s="22">
        <v>440</v>
      </c>
      <c r="B442" s="22" t="s">
        <v>1447</v>
      </c>
      <c r="C442" s="22" t="str">
        <f t="shared" si="0"/>
        <v>Pulse rate (bpm)</v>
      </c>
      <c r="D442" s="24" t="s">
        <v>1447</v>
      </c>
      <c r="E442" s="22" t="s">
        <v>96</v>
      </c>
      <c r="F442" s="24"/>
      <c r="G442" s="24" t="s">
        <v>1434</v>
      </c>
      <c r="H442" s="24"/>
      <c r="I442" s="24">
        <v>1</v>
      </c>
      <c r="J442" s="24" t="s">
        <v>1308</v>
      </c>
      <c r="K442" s="24"/>
      <c r="L442" s="24"/>
      <c r="M442" s="24"/>
      <c r="N442" s="24"/>
      <c r="O442" s="24"/>
      <c r="P442" s="164"/>
      <c r="Q442" s="164"/>
      <c r="R442" s="162" t="s">
        <v>1447</v>
      </c>
      <c r="S442" s="163" t="s">
        <v>1448</v>
      </c>
      <c r="T442" s="163" t="s">
        <v>1449</v>
      </c>
      <c r="U442" s="163" t="s">
        <v>168</v>
      </c>
      <c r="V442" s="163"/>
      <c r="W442" s="163"/>
      <c r="X442" s="163"/>
      <c r="Y442" s="24"/>
      <c r="Z442" s="163" t="s">
        <v>1450</v>
      </c>
      <c r="AA442" s="164"/>
      <c r="AB442" s="163" t="s">
        <v>113</v>
      </c>
      <c r="AC442" s="269"/>
      <c r="AD442" s="164"/>
      <c r="AE442" s="24"/>
      <c r="AF442" s="164"/>
      <c r="AG442" s="22"/>
      <c r="AH442" s="45"/>
      <c r="AI442" s="24"/>
      <c r="AJ442" s="163" t="s">
        <v>1277</v>
      </c>
      <c r="AK442" s="22"/>
      <c r="AL442" s="22"/>
      <c r="AM442" s="22"/>
      <c r="AN442" s="22"/>
      <c r="AO442" s="22"/>
      <c r="AP442" s="22"/>
      <c r="AQ442" s="22"/>
      <c r="AR442" s="22"/>
      <c r="AS442" s="22"/>
      <c r="AT442" s="219"/>
      <c r="AU442" s="219"/>
      <c r="AV442" s="341">
        <v>78564009</v>
      </c>
      <c r="AW442" s="342">
        <v>2544737</v>
      </c>
      <c r="AX442" s="342"/>
      <c r="AY442" s="342"/>
      <c r="AZ442" s="342"/>
      <c r="BA442" s="342"/>
      <c r="BB442" s="342"/>
      <c r="BC442" s="342"/>
      <c r="BD442" s="342"/>
      <c r="BE442" s="137" t="s">
        <v>115</v>
      </c>
      <c r="BF442" s="137" t="s">
        <v>1451</v>
      </c>
      <c r="BG442" s="139" t="s">
        <v>1452</v>
      </c>
      <c r="BH442" s="220"/>
      <c r="BI442" s="343">
        <v>78564009</v>
      </c>
      <c r="BJ442" s="344">
        <v>2544737</v>
      </c>
      <c r="BK442" s="46">
        <f t="shared" si="1"/>
        <v>1</v>
      </c>
      <c r="BL442" s="46"/>
      <c r="BM442" s="46"/>
      <c r="BN442" s="46"/>
    </row>
    <row r="443" spans="1:66" ht="12.75" hidden="1" customHeight="1">
      <c r="A443" s="22">
        <v>441</v>
      </c>
      <c r="B443" s="22" t="s">
        <v>1453</v>
      </c>
      <c r="C443" s="22" t="str">
        <f t="shared" si="0"/>
        <v>Second pulse rate (bpm)</v>
      </c>
      <c r="D443" s="24" t="s">
        <v>1453</v>
      </c>
      <c r="E443" s="22" t="s">
        <v>96</v>
      </c>
      <c r="F443" s="24"/>
      <c r="G443" s="24" t="s">
        <v>1434</v>
      </c>
      <c r="H443" s="24"/>
      <c r="I443" s="24">
        <v>1</v>
      </c>
      <c r="J443" s="24" t="s">
        <v>1308</v>
      </c>
      <c r="K443" s="24"/>
      <c r="L443" s="24"/>
      <c r="M443" s="24"/>
      <c r="N443" s="24"/>
      <c r="O443" s="24"/>
      <c r="P443" s="164"/>
      <c r="Q443" s="164"/>
      <c r="R443" s="178" t="s">
        <v>1453</v>
      </c>
      <c r="S443" s="170" t="s">
        <v>1454</v>
      </c>
      <c r="T443" s="163" t="s">
        <v>1455</v>
      </c>
      <c r="U443" s="170" t="s">
        <v>168</v>
      </c>
      <c r="V443" s="163"/>
      <c r="W443" s="163"/>
      <c r="X443" s="164"/>
      <c r="Y443" s="24"/>
      <c r="Z443" s="170" t="s">
        <v>1450</v>
      </c>
      <c r="AA443" s="164"/>
      <c r="AB443" s="170" t="s">
        <v>113</v>
      </c>
      <c r="AC443" s="269"/>
      <c r="AD443" s="164"/>
      <c r="AE443" s="24"/>
      <c r="AF443" s="164"/>
      <c r="AG443" s="22"/>
      <c r="AH443" s="45"/>
      <c r="AI443" s="24"/>
      <c r="AJ443" s="170" t="s">
        <v>115</v>
      </c>
      <c r="AK443" s="22"/>
      <c r="AL443" s="22"/>
      <c r="AM443" s="22"/>
      <c r="AN443" s="22"/>
      <c r="AO443" s="22"/>
      <c r="AP443" s="22"/>
      <c r="AQ443" s="22"/>
      <c r="AR443" s="22"/>
      <c r="AS443" s="22"/>
      <c r="AT443" s="219"/>
      <c r="AU443" s="219"/>
      <c r="AV443" s="341">
        <v>78564009</v>
      </c>
      <c r="AW443" s="342">
        <v>2544737</v>
      </c>
      <c r="AX443" s="342"/>
      <c r="AY443" s="342"/>
      <c r="AZ443" s="342"/>
      <c r="BA443" s="342"/>
      <c r="BB443" s="342"/>
      <c r="BC443" s="342"/>
      <c r="BD443" s="342"/>
      <c r="BE443" s="137" t="s">
        <v>115</v>
      </c>
      <c r="BF443" s="137" t="s">
        <v>1451</v>
      </c>
      <c r="BG443" s="139" t="s">
        <v>1452</v>
      </c>
      <c r="BH443" s="220"/>
      <c r="BI443" s="345">
        <v>78564009</v>
      </c>
      <c r="BJ443" s="344">
        <v>2544737</v>
      </c>
      <c r="BK443" s="46">
        <f t="shared" si="1"/>
        <v>1</v>
      </c>
      <c r="BL443" s="46"/>
      <c r="BM443" s="46"/>
      <c r="BN443" s="46"/>
    </row>
    <row r="444" spans="1:66" ht="12.75" hidden="1" customHeight="1">
      <c r="A444" s="22">
        <v>442</v>
      </c>
      <c r="B444" s="22" t="s">
        <v>1456</v>
      </c>
      <c r="C444" s="22" t="str">
        <f t="shared" si="0"/>
        <v>Pallor present?</v>
      </c>
      <c r="D444" s="24" t="s">
        <v>1456</v>
      </c>
      <c r="E444" s="22" t="s">
        <v>96</v>
      </c>
      <c r="F444" s="24"/>
      <c r="G444" s="24" t="s">
        <v>1434</v>
      </c>
      <c r="H444" s="24"/>
      <c r="I444" s="24">
        <v>1</v>
      </c>
      <c r="J444" s="24" t="s">
        <v>1308</v>
      </c>
      <c r="K444" s="24"/>
      <c r="L444" s="24"/>
      <c r="M444" s="24"/>
      <c r="N444" s="24"/>
      <c r="O444" s="24"/>
      <c r="P444" s="164"/>
      <c r="Q444" s="164"/>
      <c r="R444" s="162" t="s">
        <v>1456</v>
      </c>
      <c r="S444" s="163" t="s">
        <v>1457</v>
      </c>
      <c r="T444" s="163" t="s">
        <v>1458</v>
      </c>
      <c r="U444" s="163" t="s">
        <v>202</v>
      </c>
      <c r="V444" s="163"/>
      <c r="W444" s="163"/>
      <c r="X444" s="163"/>
      <c r="Y444" s="24"/>
      <c r="Z444" s="24"/>
      <c r="AA444" s="164"/>
      <c r="AB444" s="163" t="s">
        <v>1459</v>
      </c>
      <c r="AC444" s="269"/>
      <c r="AD444" s="164"/>
      <c r="AE444" s="24"/>
      <c r="AF444" s="164"/>
      <c r="AG444" s="22"/>
      <c r="AH444" s="45"/>
      <c r="AI444" s="24"/>
      <c r="AJ444" s="163" t="s">
        <v>1277</v>
      </c>
      <c r="AK444" s="22"/>
      <c r="AL444" s="22"/>
      <c r="AM444" s="22"/>
      <c r="AN444" s="22"/>
      <c r="AO444" s="22"/>
      <c r="AP444" s="22"/>
      <c r="AQ444" s="22"/>
      <c r="AR444" s="22"/>
      <c r="AS444" s="22"/>
      <c r="AT444" s="210" t="s">
        <v>1460</v>
      </c>
      <c r="AU444" s="219"/>
      <c r="AV444" s="156">
        <v>398979000</v>
      </c>
      <c r="AW444" s="219"/>
      <c r="AX444" s="219"/>
      <c r="AY444" s="219"/>
      <c r="AZ444" s="219"/>
      <c r="BA444" s="219"/>
      <c r="BB444" s="219"/>
      <c r="BC444" s="219"/>
      <c r="BD444" s="219"/>
      <c r="BE444" s="137" t="s">
        <v>115</v>
      </c>
      <c r="BF444" s="137" t="s">
        <v>1461</v>
      </c>
      <c r="BG444" s="139" t="s">
        <v>1462</v>
      </c>
      <c r="BH444" s="245" t="s">
        <v>1460</v>
      </c>
      <c r="BI444" s="157">
        <v>398979000</v>
      </c>
      <c r="BJ444" s="220"/>
      <c r="BK444" s="46">
        <f t="shared" si="1"/>
        <v>1</v>
      </c>
      <c r="BL444" s="46"/>
      <c r="BM444" s="46"/>
      <c r="BN444" s="46"/>
    </row>
    <row r="445" spans="1:66" ht="12.75" hidden="1" customHeight="1">
      <c r="A445" s="22">
        <v>443</v>
      </c>
      <c r="B445" s="22" t="s">
        <v>250</v>
      </c>
      <c r="C445" s="22" t="e">
        <f t="shared" ca="1" si="0"/>
        <v>#NAME?</v>
      </c>
      <c r="D445" s="24" t="s">
        <v>113</v>
      </c>
      <c r="E445" s="22" t="s">
        <v>180</v>
      </c>
      <c r="F445" s="24" t="s">
        <v>1456</v>
      </c>
      <c r="G445" s="24" t="s">
        <v>1434</v>
      </c>
      <c r="H445" s="24"/>
      <c r="I445" s="24">
        <v>1</v>
      </c>
      <c r="J445" s="24" t="s">
        <v>1308</v>
      </c>
      <c r="K445" s="24"/>
      <c r="L445" s="24"/>
      <c r="M445" s="24"/>
      <c r="N445" s="24"/>
      <c r="O445" s="24"/>
      <c r="P445" s="164"/>
      <c r="Q445" s="164"/>
      <c r="R445" s="162"/>
      <c r="S445" s="163"/>
      <c r="T445" s="163"/>
      <c r="U445" s="163"/>
      <c r="V445" s="163"/>
      <c r="W445" s="163" t="s">
        <v>113</v>
      </c>
      <c r="X445" s="163"/>
      <c r="Y445" s="24"/>
      <c r="Z445" s="24"/>
      <c r="AA445" s="164"/>
      <c r="AB445" s="163"/>
      <c r="AC445" s="269"/>
      <c r="AD445" s="164"/>
      <c r="AE445" s="24"/>
      <c r="AF445" s="164"/>
      <c r="AG445" s="22"/>
      <c r="AH445" s="45"/>
      <c r="AI445" s="24"/>
      <c r="AJ445" s="163"/>
      <c r="AK445" s="22"/>
      <c r="AL445" s="22"/>
      <c r="AM445" s="22"/>
      <c r="AN445" s="22"/>
      <c r="AO445" s="22"/>
      <c r="AP445" s="22"/>
      <c r="AQ445" s="22"/>
      <c r="AR445" s="22"/>
      <c r="AS445" s="22"/>
      <c r="AT445" s="219"/>
      <c r="AU445" s="219"/>
      <c r="AV445" s="135">
        <v>373066001</v>
      </c>
      <c r="AW445" s="219"/>
      <c r="AX445" s="219"/>
      <c r="AY445" s="219"/>
      <c r="AZ445" s="219"/>
      <c r="BA445" s="219"/>
      <c r="BB445" s="219"/>
      <c r="BC445" s="219"/>
      <c r="BD445" s="219"/>
      <c r="BE445" s="137" t="s">
        <v>115</v>
      </c>
      <c r="BF445" s="137" t="s">
        <v>206</v>
      </c>
      <c r="BG445" s="139" t="s">
        <v>207</v>
      </c>
      <c r="BH445" s="220"/>
      <c r="BI445" s="140">
        <v>373066001</v>
      </c>
      <c r="BJ445" s="220"/>
      <c r="BK445" s="46">
        <f t="shared" si="1"/>
        <v>1</v>
      </c>
      <c r="BL445" s="46"/>
      <c r="BM445" s="46"/>
      <c r="BN445" s="46"/>
    </row>
    <row r="446" spans="1:66" ht="12.75" hidden="1" customHeight="1">
      <c r="A446" s="22">
        <v>444</v>
      </c>
      <c r="B446" s="22" t="s">
        <v>255</v>
      </c>
      <c r="C446" s="22" t="e">
        <f t="shared" ca="1" si="0"/>
        <v>#NAME?</v>
      </c>
      <c r="D446" s="24" t="s">
        <v>208</v>
      </c>
      <c r="E446" s="22" t="s">
        <v>180</v>
      </c>
      <c r="F446" s="24" t="s">
        <v>1456</v>
      </c>
      <c r="G446" s="24" t="s">
        <v>1434</v>
      </c>
      <c r="H446" s="24"/>
      <c r="I446" s="24">
        <v>1</v>
      </c>
      <c r="J446" s="24" t="s">
        <v>1308</v>
      </c>
      <c r="K446" s="24"/>
      <c r="L446" s="24"/>
      <c r="M446" s="24"/>
      <c r="N446" s="24"/>
      <c r="O446" s="24"/>
      <c r="P446" s="164"/>
      <c r="Q446" s="164"/>
      <c r="R446" s="162"/>
      <c r="S446" s="163"/>
      <c r="T446" s="163"/>
      <c r="U446" s="163"/>
      <c r="V446" s="163"/>
      <c r="W446" s="163" t="s">
        <v>208</v>
      </c>
      <c r="X446" s="163"/>
      <c r="Y446" s="24"/>
      <c r="Z446" s="24"/>
      <c r="AA446" s="164"/>
      <c r="AB446" s="163"/>
      <c r="AC446" s="269"/>
      <c r="AD446" s="164"/>
      <c r="AE446" s="24"/>
      <c r="AF446" s="164"/>
      <c r="AG446" s="22"/>
      <c r="AH446" s="45"/>
      <c r="AI446" s="24"/>
      <c r="AJ446" s="163"/>
      <c r="AK446" s="22"/>
      <c r="AL446" s="22"/>
      <c r="AM446" s="22"/>
      <c r="AN446" s="22"/>
      <c r="AO446" s="22"/>
      <c r="AP446" s="22"/>
      <c r="AQ446" s="22"/>
      <c r="AR446" s="22"/>
      <c r="AS446" s="22"/>
      <c r="AT446" s="219"/>
      <c r="AU446" s="219"/>
      <c r="AV446" s="135">
        <v>373067005</v>
      </c>
      <c r="AW446" s="219"/>
      <c r="AX446" s="219"/>
      <c r="AY446" s="219"/>
      <c r="AZ446" s="219"/>
      <c r="BA446" s="219"/>
      <c r="BB446" s="219"/>
      <c r="BC446" s="219"/>
      <c r="BD446" s="219"/>
      <c r="BE446" s="137" t="s">
        <v>115</v>
      </c>
      <c r="BF446" s="137" t="s">
        <v>209</v>
      </c>
      <c r="BG446" s="139" t="s">
        <v>210</v>
      </c>
      <c r="BH446" s="311"/>
      <c r="BI446" s="145">
        <v>373067005</v>
      </c>
      <c r="BJ446" s="311"/>
      <c r="BK446" s="46">
        <f t="shared" si="1"/>
        <v>1</v>
      </c>
      <c r="BL446" s="46"/>
      <c r="BM446" s="46"/>
      <c r="BN446" s="46"/>
    </row>
    <row r="447" spans="1:66" ht="12.75" hidden="1" customHeight="1">
      <c r="A447" s="22">
        <v>445</v>
      </c>
      <c r="B447" s="22" t="s">
        <v>1463</v>
      </c>
      <c r="C447" s="22" t="str">
        <f t="shared" si="0"/>
        <v>Respiratory exam</v>
      </c>
      <c r="D447" s="24" t="s">
        <v>1463</v>
      </c>
      <c r="E447" s="22" t="s">
        <v>96</v>
      </c>
      <c r="F447" s="24"/>
      <c r="G447" s="24" t="s">
        <v>1434</v>
      </c>
      <c r="H447" s="24"/>
      <c r="I447" s="24">
        <v>1</v>
      </c>
      <c r="J447" s="24" t="s">
        <v>1308</v>
      </c>
      <c r="K447" s="24"/>
      <c r="L447" s="24"/>
      <c r="M447" s="24"/>
      <c r="N447" s="24"/>
      <c r="O447" s="24"/>
      <c r="P447" s="164"/>
      <c r="Q447" s="164"/>
      <c r="R447" s="162" t="s">
        <v>1463</v>
      </c>
      <c r="S447" s="163" t="s">
        <v>1464</v>
      </c>
      <c r="T447" s="163" t="s">
        <v>1465</v>
      </c>
      <c r="U447" s="163" t="s">
        <v>202</v>
      </c>
      <c r="V447" s="163"/>
      <c r="W447" s="163"/>
      <c r="X447" s="163"/>
      <c r="Y447" s="24"/>
      <c r="Z447" s="24"/>
      <c r="AA447" s="164"/>
      <c r="AB447" s="163" t="s">
        <v>208</v>
      </c>
      <c r="AC447" s="269"/>
      <c r="AD447" s="164"/>
      <c r="AE447" s="24"/>
      <c r="AF447" s="164"/>
      <c r="AG447" s="22"/>
      <c r="AH447" s="45"/>
      <c r="AI447" s="24"/>
      <c r="AJ447" s="163" t="s">
        <v>1277</v>
      </c>
      <c r="AK447" s="22"/>
      <c r="AL447" s="22"/>
      <c r="AM447" s="22"/>
      <c r="AN447" s="22"/>
      <c r="AO447" s="22"/>
      <c r="AP447" s="22"/>
      <c r="AQ447" s="22"/>
      <c r="AR447" s="22"/>
      <c r="AS447" s="22"/>
      <c r="AT447" s="275"/>
      <c r="AU447" s="275"/>
      <c r="AV447" s="275"/>
      <c r="AW447" s="275"/>
      <c r="AX447" s="275"/>
      <c r="AY447" s="275"/>
      <c r="AZ447" s="275"/>
      <c r="BA447" s="275"/>
      <c r="BB447" s="275"/>
      <c r="BC447" s="275"/>
      <c r="BD447" s="275"/>
      <c r="BE447" s="137" t="s">
        <v>115</v>
      </c>
      <c r="BF447" s="137" t="s">
        <v>1466</v>
      </c>
      <c r="BG447" s="139" t="s">
        <v>1467</v>
      </c>
      <c r="BH447" s="313"/>
      <c r="BI447" s="276"/>
      <c r="BJ447" s="276"/>
      <c r="BK447" s="46">
        <f t="shared" si="1"/>
        <v>1</v>
      </c>
      <c r="BL447" s="46"/>
      <c r="BM447" s="46"/>
      <c r="BN447" s="46"/>
    </row>
    <row r="448" spans="1:66" ht="12.75" hidden="1" customHeight="1">
      <c r="A448" s="22">
        <v>446</v>
      </c>
      <c r="B448" s="22" t="s">
        <v>2118</v>
      </c>
      <c r="C448" s="22" t="e">
        <f t="shared" ca="1" si="0"/>
        <v>#NAME?</v>
      </c>
      <c r="D448" s="24" t="s">
        <v>1468</v>
      </c>
      <c r="E448" s="22" t="s">
        <v>180</v>
      </c>
      <c r="F448" s="24" t="s">
        <v>1463</v>
      </c>
      <c r="G448" s="24" t="s">
        <v>1434</v>
      </c>
      <c r="H448" s="24"/>
      <c r="I448" s="24">
        <v>1</v>
      </c>
      <c r="J448" s="24" t="s">
        <v>1308</v>
      </c>
      <c r="K448" s="24"/>
      <c r="L448" s="24"/>
      <c r="M448" s="24"/>
      <c r="N448" s="24"/>
      <c r="O448" s="24"/>
      <c r="P448" s="164"/>
      <c r="Q448" s="164"/>
      <c r="R448" s="247"/>
      <c r="S448" s="163"/>
      <c r="T448" s="163"/>
      <c r="U448" s="196"/>
      <c r="V448" s="163"/>
      <c r="W448" s="163" t="s">
        <v>1468</v>
      </c>
      <c r="X448" s="196"/>
      <c r="Y448" s="24"/>
      <c r="Z448" s="24"/>
      <c r="AA448" s="164"/>
      <c r="AB448" s="196"/>
      <c r="AC448" s="269"/>
      <c r="AD448" s="164"/>
      <c r="AE448" s="24"/>
      <c r="AF448" s="164"/>
      <c r="AG448" s="22"/>
      <c r="AH448" s="45"/>
      <c r="AI448" s="24"/>
      <c r="AJ448" s="196"/>
      <c r="AK448" s="22"/>
      <c r="AL448" s="22"/>
      <c r="AM448" s="22"/>
      <c r="AN448" s="22"/>
      <c r="AO448" s="22"/>
      <c r="AP448" s="22"/>
      <c r="AQ448" s="22"/>
      <c r="AR448" s="22"/>
      <c r="AS448" s="22"/>
      <c r="AT448" s="219"/>
      <c r="AU448" s="219"/>
      <c r="AV448" s="219">
        <v>385660001</v>
      </c>
      <c r="AW448" s="219"/>
      <c r="AX448" s="219"/>
      <c r="AY448" s="219"/>
      <c r="AZ448" s="219"/>
      <c r="BA448" s="219"/>
      <c r="BB448" s="219"/>
      <c r="BC448" s="219"/>
      <c r="BD448" s="219"/>
      <c r="BE448" s="137" t="s">
        <v>115</v>
      </c>
      <c r="BF448" s="137" t="s">
        <v>1469</v>
      </c>
      <c r="BG448" s="139" t="s">
        <v>1470</v>
      </c>
      <c r="BH448" s="220"/>
      <c r="BI448" s="220">
        <v>385660001</v>
      </c>
      <c r="BJ448" s="220"/>
      <c r="BK448" s="46">
        <f t="shared" si="1"/>
        <v>1</v>
      </c>
      <c r="BL448" s="46"/>
      <c r="BM448" s="46"/>
      <c r="BN448" s="46"/>
    </row>
    <row r="449" spans="1:66" ht="12.75" hidden="1" customHeight="1">
      <c r="A449" s="22">
        <v>447</v>
      </c>
      <c r="B449" s="22" t="s">
        <v>2130</v>
      </c>
      <c r="C449" s="22" t="e">
        <f t="shared" ca="1" si="0"/>
        <v>#NAME?</v>
      </c>
      <c r="D449" s="24" t="s">
        <v>1471</v>
      </c>
      <c r="E449" s="22" t="s">
        <v>180</v>
      </c>
      <c r="F449" s="24" t="s">
        <v>1463</v>
      </c>
      <c r="G449" s="24" t="s">
        <v>1434</v>
      </c>
      <c r="H449" s="24"/>
      <c r="I449" s="24">
        <v>1</v>
      </c>
      <c r="J449" s="24" t="s">
        <v>1308</v>
      </c>
      <c r="K449" s="24"/>
      <c r="L449" s="24"/>
      <c r="M449" s="24"/>
      <c r="N449" s="24"/>
      <c r="O449" s="24"/>
      <c r="P449" s="164"/>
      <c r="Q449" s="164"/>
      <c r="R449" s="247"/>
      <c r="S449" s="163"/>
      <c r="T449" s="163"/>
      <c r="U449" s="196"/>
      <c r="V449" s="194"/>
      <c r="W449" s="194" t="s">
        <v>1471</v>
      </c>
      <c r="X449" s="196"/>
      <c r="Y449" s="24"/>
      <c r="Z449" s="24"/>
      <c r="AA449" s="164"/>
      <c r="AB449" s="196"/>
      <c r="AC449" s="269"/>
      <c r="AD449" s="164"/>
      <c r="AE449" s="24"/>
      <c r="AF449" s="164"/>
      <c r="AG449" s="22"/>
      <c r="AH449" s="45"/>
      <c r="AI449" s="24"/>
      <c r="AJ449" s="196"/>
      <c r="AK449" s="22"/>
      <c r="AL449" s="22"/>
      <c r="AM449" s="22"/>
      <c r="AN449" s="22"/>
      <c r="AO449" s="22"/>
      <c r="AP449" s="22"/>
      <c r="AQ449" s="22"/>
      <c r="AR449" s="22"/>
      <c r="AS449" s="22"/>
      <c r="AT449" s="219"/>
      <c r="AU449" s="219"/>
      <c r="AV449" s="219">
        <v>17621005</v>
      </c>
      <c r="AW449" s="219"/>
      <c r="AX449" s="219"/>
      <c r="AY449" s="219"/>
      <c r="AZ449" s="219"/>
      <c r="BA449" s="219"/>
      <c r="BB449" s="219"/>
      <c r="BC449" s="219"/>
      <c r="BD449" s="219"/>
      <c r="BE449" s="137" t="s">
        <v>115</v>
      </c>
      <c r="BF449" s="137" t="s">
        <v>1472</v>
      </c>
      <c r="BG449" s="139" t="s">
        <v>1473</v>
      </c>
      <c r="BH449" s="220"/>
      <c r="BI449" s="311">
        <v>17621005</v>
      </c>
      <c r="BJ449" s="220"/>
      <c r="BK449" s="46">
        <f t="shared" si="1"/>
        <v>1</v>
      </c>
      <c r="BL449" s="46"/>
      <c r="BM449" s="46"/>
      <c r="BN449" s="46"/>
    </row>
    <row r="450" spans="1:66" ht="12.75" hidden="1" customHeight="1">
      <c r="A450" s="22">
        <v>448</v>
      </c>
      <c r="B450" s="22" t="s">
        <v>2143</v>
      </c>
      <c r="C450" s="22" t="e">
        <f t="shared" ca="1" si="0"/>
        <v>#NAME?</v>
      </c>
      <c r="D450" s="24" t="s">
        <v>1474</v>
      </c>
      <c r="E450" s="22" t="s">
        <v>180</v>
      </c>
      <c r="F450" s="24" t="s">
        <v>1463</v>
      </c>
      <c r="G450" s="24" t="s">
        <v>1434</v>
      </c>
      <c r="H450" s="24"/>
      <c r="I450" s="24">
        <v>1</v>
      </c>
      <c r="J450" s="24" t="s">
        <v>1308</v>
      </c>
      <c r="K450" s="24"/>
      <c r="L450" s="24"/>
      <c r="M450" s="24"/>
      <c r="N450" s="24"/>
      <c r="O450" s="24"/>
      <c r="P450" s="164"/>
      <c r="Q450" s="164"/>
      <c r="R450" s="247"/>
      <c r="S450" s="163"/>
      <c r="T450" s="163"/>
      <c r="U450" s="196"/>
      <c r="V450" s="194"/>
      <c r="W450" s="194" t="s">
        <v>1474</v>
      </c>
      <c r="X450" s="196"/>
      <c r="Y450" s="24"/>
      <c r="Z450" s="24"/>
      <c r="AA450" s="164"/>
      <c r="AB450" s="196"/>
      <c r="AC450" s="269"/>
      <c r="AD450" s="164"/>
      <c r="AE450" s="24"/>
      <c r="AF450" s="164"/>
      <c r="AG450" s="22"/>
      <c r="AH450" s="45"/>
      <c r="AI450" s="24"/>
      <c r="AJ450" s="196"/>
      <c r="AK450" s="22"/>
      <c r="AL450" s="22"/>
      <c r="AM450" s="22"/>
      <c r="AN450" s="22"/>
      <c r="AO450" s="22"/>
      <c r="AP450" s="22"/>
      <c r="AQ450" s="22"/>
      <c r="AR450" s="22"/>
      <c r="AS450" s="22"/>
      <c r="AT450" s="219"/>
      <c r="AU450" s="219"/>
      <c r="AV450" s="148">
        <v>263654008</v>
      </c>
      <c r="AW450" s="219"/>
      <c r="AX450" s="219"/>
      <c r="AY450" s="219"/>
      <c r="AZ450" s="219"/>
      <c r="BA450" s="219"/>
      <c r="BB450" s="219"/>
      <c r="BC450" s="219"/>
      <c r="BD450" s="219"/>
      <c r="BE450" s="137" t="s">
        <v>115</v>
      </c>
      <c r="BF450" s="137" t="s">
        <v>1475</v>
      </c>
      <c r="BG450" s="139" t="s">
        <v>1476</v>
      </c>
      <c r="BH450" s="220"/>
      <c r="BI450" s="150">
        <v>263654008</v>
      </c>
      <c r="BJ450" s="220"/>
      <c r="BK450" s="46">
        <f t="shared" si="1"/>
        <v>1</v>
      </c>
      <c r="BL450" s="46"/>
      <c r="BM450" s="46"/>
      <c r="BN450" s="46"/>
    </row>
    <row r="451" spans="1:66" ht="12.75" hidden="1" customHeight="1">
      <c r="A451" s="22">
        <v>449</v>
      </c>
      <c r="B451" s="22" t="s">
        <v>1477</v>
      </c>
      <c r="C451" s="22" t="str">
        <f t="shared" si="0"/>
        <v>Abnormal (specify) - Respiratory Exam</v>
      </c>
      <c r="D451" s="24" t="s">
        <v>1477</v>
      </c>
      <c r="E451" s="22" t="s">
        <v>96</v>
      </c>
      <c r="F451" s="24"/>
      <c r="G451" s="24" t="s">
        <v>1434</v>
      </c>
      <c r="H451" s="24"/>
      <c r="I451" s="24">
        <v>1</v>
      </c>
      <c r="J451" s="24" t="s">
        <v>1308</v>
      </c>
      <c r="K451" s="24"/>
      <c r="L451" s="24"/>
      <c r="M451" s="24"/>
      <c r="N451" s="24"/>
      <c r="O451" s="24"/>
      <c r="P451" s="164"/>
      <c r="Q451" s="164"/>
      <c r="R451" s="247" t="s">
        <v>1478</v>
      </c>
      <c r="S451" s="163" t="s">
        <v>1479</v>
      </c>
      <c r="T451" s="163" t="s">
        <v>1480</v>
      </c>
      <c r="U451" s="196" t="s">
        <v>238</v>
      </c>
      <c r="V451" s="194"/>
      <c r="W451" s="194"/>
      <c r="X451" s="196"/>
      <c r="Y451" s="24"/>
      <c r="Z451" s="24"/>
      <c r="AA451" s="164"/>
      <c r="AB451" s="196" t="s">
        <v>208</v>
      </c>
      <c r="AC451" s="269"/>
      <c r="AD451" s="164"/>
      <c r="AE451" s="24"/>
      <c r="AF451" s="164"/>
      <c r="AG451" s="22"/>
      <c r="AH451" s="45"/>
      <c r="AI451" s="24"/>
      <c r="AJ451" s="196" t="s">
        <v>115</v>
      </c>
      <c r="AK451" s="22"/>
      <c r="AL451" s="22"/>
      <c r="AM451" s="22"/>
      <c r="AN451" s="22"/>
      <c r="AO451" s="22"/>
      <c r="AP451" s="22"/>
      <c r="AQ451" s="22"/>
      <c r="AR451" s="22"/>
      <c r="AS451" s="22"/>
      <c r="AT451" s="219"/>
      <c r="AU451" s="219"/>
      <c r="AV451" s="135">
        <v>272016000</v>
      </c>
      <c r="AW451" s="219"/>
      <c r="AX451" s="219"/>
      <c r="AY451" s="219"/>
      <c r="AZ451" s="219"/>
      <c r="BA451" s="219"/>
      <c r="BB451" s="219"/>
      <c r="BC451" s="219"/>
      <c r="BD451" s="219"/>
      <c r="BE451" s="137" t="s">
        <v>115</v>
      </c>
      <c r="BF451" s="137" t="s">
        <v>1481</v>
      </c>
      <c r="BG451" s="139" t="s">
        <v>1482</v>
      </c>
      <c r="BH451" s="220"/>
      <c r="BI451" s="140">
        <v>272016000</v>
      </c>
      <c r="BJ451" s="220"/>
      <c r="BK451" s="46">
        <f t="shared" si="1"/>
        <v>1</v>
      </c>
      <c r="BL451" s="46"/>
      <c r="BM451" s="46"/>
      <c r="BN451" s="46"/>
    </row>
    <row r="452" spans="1:66" ht="12.75" hidden="1" customHeight="1">
      <c r="A452" s="22">
        <v>450</v>
      </c>
      <c r="B452" s="22" t="s">
        <v>2152</v>
      </c>
      <c r="C452" s="22" t="e">
        <f t="shared" ca="1" si="0"/>
        <v>#NAME?</v>
      </c>
      <c r="D452" s="24" t="s">
        <v>1483</v>
      </c>
      <c r="E452" s="22" t="s">
        <v>180</v>
      </c>
      <c r="F452" s="24" t="s">
        <v>1477</v>
      </c>
      <c r="G452" s="24" t="s">
        <v>1434</v>
      </c>
      <c r="H452" s="24"/>
      <c r="I452" s="24">
        <v>1</v>
      </c>
      <c r="J452" s="24" t="s">
        <v>1308</v>
      </c>
      <c r="K452" s="24"/>
      <c r="L452" s="24"/>
      <c r="M452" s="24"/>
      <c r="N452" s="24"/>
      <c r="O452" s="24"/>
      <c r="P452" s="164"/>
      <c r="Q452" s="164"/>
      <c r="R452" s="247"/>
      <c r="S452" s="163"/>
      <c r="T452" s="196"/>
      <c r="U452" s="196"/>
      <c r="V452" s="194"/>
      <c r="W452" s="194" t="s">
        <v>1483</v>
      </c>
      <c r="X452" s="196"/>
      <c r="Y452" s="24"/>
      <c r="Z452" s="24"/>
      <c r="AA452" s="164"/>
      <c r="AB452" s="196"/>
      <c r="AC452" s="269"/>
      <c r="AD452" s="164"/>
      <c r="AE452" s="24"/>
      <c r="AF452" s="164"/>
      <c r="AG452" s="22"/>
      <c r="AH452" s="45"/>
      <c r="AI452" s="24"/>
      <c r="AJ452" s="196"/>
      <c r="AK452" s="22"/>
      <c r="AL452" s="22"/>
      <c r="AM452" s="22"/>
      <c r="AN452" s="22"/>
      <c r="AO452" s="22"/>
      <c r="AP452" s="22"/>
      <c r="AQ452" s="22"/>
      <c r="AR452" s="22"/>
      <c r="AS452" s="22"/>
      <c r="AT452" s="135" t="s">
        <v>383</v>
      </c>
      <c r="AU452" s="219"/>
      <c r="AV452" s="135">
        <v>267036007</v>
      </c>
      <c r="AW452" s="219"/>
      <c r="AX452" s="219"/>
      <c r="AY452" s="219"/>
      <c r="AZ452" s="219"/>
      <c r="BA452" s="219"/>
      <c r="BB452" s="219"/>
      <c r="BC452" s="219"/>
      <c r="BD452" s="219"/>
      <c r="BE452" s="137" t="s">
        <v>115</v>
      </c>
      <c r="BF452" s="137" t="s">
        <v>1484</v>
      </c>
      <c r="BG452" s="139" t="s">
        <v>1485</v>
      </c>
      <c r="BH452" s="140" t="s">
        <v>383</v>
      </c>
      <c r="BI452" s="140">
        <v>267036007</v>
      </c>
      <c r="BJ452" s="220"/>
      <c r="BK452" s="46">
        <f t="shared" si="1"/>
        <v>1</v>
      </c>
      <c r="BL452" s="46"/>
      <c r="BM452" s="46"/>
      <c r="BN452" s="46"/>
    </row>
    <row r="453" spans="1:66" ht="12.75" hidden="1" customHeight="1">
      <c r="A453" s="22">
        <v>451</v>
      </c>
      <c r="B453" s="22" t="s">
        <v>332</v>
      </c>
      <c r="C453" s="22" t="e">
        <f t="shared" ca="1" si="0"/>
        <v>#NAME?</v>
      </c>
      <c r="D453" s="24" t="s">
        <v>258</v>
      </c>
      <c r="E453" s="22" t="s">
        <v>180</v>
      </c>
      <c r="F453" s="24" t="s">
        <v>1477</v>
      </c>
      <c r="G453" s="24" t="s">
        <v>1434</v>
      </c>
      <c r="H453" s="24"/>
      <c r="I453" s="24">
        <v>1</v>
      </c>
      <c r="J453" s="24" t="s">
        <v>1308</v>
      </c>
      <c r="K453" s="24"/>
      <c r="L453" s="24"/>
      <c r="M453" s="24"/>
      <c r="N453" s="24"/>
      <c r="O453" s="24"/>
      <c r="P453" s="164"/>
      <c r="Q453" s="164"/>
      <c r="R453" s="247"/>
      <c r="S453" s="163"/>
      <c r="T453" s="196"/>
      <c r="U453" s="196"/>
      <c r="V453" s="194"/>
      <c r="W453" s="194" t="s">
        <v>258</v>
      </c>
      <c r="X453" s="196"/>
      <c r="Y453" s="24"/>
      <c r="Z453" s="24"/>
      <c r="AA453" s="164"/>
      <c r="AB453" s="196"/>
      <c r="AC453" s="269"/>
      <c r="AD453" s="164"/>
      <c r="AE453" s="24"/>
      <c r="AF453" s="164"/>
      <c r="AG453" s="22"/>
      <c r="AH453" s="45"/>
      <c r="AI453" s="24"/>
      <c r="AJ453" s="196"/>
      <c r="AK453" s="22"/>
      <c r="AL453" s="22"/>
      <c r="AM453" s="22"/>
      <c r="AN453" s="22"/>
      <c r="AO453" s="22"/>
      <c r="AP453" s="22"/>
      <c r="AQ453" s="22"/>
      <c r="AR453" s="22"/>
      <c r="AS453" s="22"/>
      <c r="AT453" s="135" t="s">
        <v>259</v>
      </c>
      <c r="AU453" s="219"/>
      <c r="AV453" s="135">
        <v>49727002</v>
      </c>
      <c r="AW453" s="219"/>
      <c r="AX453" s="219"/>
      <c r="AY453" s="219"/>
      <c r="AZ453" s="219"/>
      <c r="BA453" s="219"/>
      <c r="BB453" s="219"/>
      <c r="BC453" s="219"/>
      <c r="BD453" s="219"/>
      <c r="BE453" s="137" t="s">
        <v>115</v>
      </c>
      <c r="BF453" s="137" t="s">
        <v>260</v>
      </c>
      <c r="BG453" s="139" t="s">
        <v>261</v>
      </c>
      <c r="BH453" s="140" t="s">
        <v>259</v>
      </c>
      <c r="BI453" s="140">
        <v>49727002</v>
      </c>
      <c r="BJ453" s="220"/>
      <c r="BK453" s="46">
        <f t="shared" si="1"/>
        <v>1</v>
      </c>
      <c r="BL453" s="46"/>
      <c r="BM453" s="46"/>
      <c r="BN453" s="46"/>
    </row>
    <row r="454" spans="1:66" ht="12.75" hidden="1" customHeight="1">
      <c r="A454" s="22">
        <v>452</v>
      </c>
      <c r="B454" s="22" t="s">
        <v>2159</v>
      </c>
      <c r="C454" s="22" t="e">
        <f t="shared" ca="1" si="0"/>
        <v>#NAME?</v>
      </c>
      <c r="D454" s="24" t="s">
        <v>1486</v>
      </c>
      <c r="E454" s="22" t="s">
        <v>180</v>
      </c>
      <c r="F454" s="24" t="s">
        <v>1477</v>
      </c>
      <c r="G454" s="24" t="s">
        <v>1434</v>
      </c>
      <c r="H454" s="24"/>
      <c r="I454" s="24">
        <v>1</v>
      </c>
      <c r="J454" s="24" t="s">
        <v>1308</v>
      </c>
      <c r="K454" s="24"/>
      <c r="L454" s="24"/>
      <c r="M454" s="24"/>
      <c r="N454" s="24"/>
      <c r="O454" s="24"/>
      <c r="P454" s="164"/>
      <c r="Q454" s="164"/>
      <c r="R454" s="247"/>
      <c r="S454" s="163"/>
      <c r="T454" s="196"/>
      <c r="U454" s="196"/>
      <c r="V454" s="194"/>
      <c r="W454" s="194" t="s">
        <v>1486</v>
      </c>
      <c r="X454" s="196"/>
      <c r="Y454" s="24"/>
      <c r="Z454" s="24"/>
      <c r="AA454" s="164"/>
      <c r="AB454" s="196"/>
      <c r="AC454" s="269"/>
      <c r="AD454" s="164"/>
      <c r="AE454" s="24"/>
      <c r="AF454" s="164"/>
      <c r="AG454" s="22"/>
      <c r="AH454" s="45"/>
      <c r="AI454" s="24"/>
      <c r="AJ454" s="196"/>
      <c r="AK454" s="22"/>
      <c r="AL454" s="22"/>
      <c r="AM454" s="22"/>
      <c r="AN454" s="22"/>
      <c r="AO454" s="22"/>
      <c r="AP454" s="22"/>
      <c r="AQ454" s="22"/>
      <c r="AR454" s="22"/>
      <c r="AS454" s="22"/>
      <c r="AT454" s="210" t="s">
        <v>1253</v>
      </c>
      <c r="AU454" s="219"/>
      <c r="AV454" s="135">
        <v>271823003</v>
      </c>
      <c r="AW454" s="219"/>
      <c r="AX454" s="219"/>
      <c r="AY454" s="219"/>
      <c r="AZ454" s="219"/>
      <c r="BA454" s="219"/>
      <c r="BB454" s="219"/>
      <c r="BC454" s="219"/>
      <c r="BD454" s="219"/>
      <c r="BE454" s="137" t="s">
        <v>115</v>
      </c>
      <c r="BF454" s="137" t="s">
        <v>1487</v>
      </c>
      <c r="BG454" s="139" t="s">
        <v>1488</v>
      </c>
      <c r="BH454" s="245" t="s">
        <v>1253</v>
      </c>
      <c r="BI454" s="140">
        <v>271823003</v>
      </c>
      <c r="BJ454" s="220"/>
      <c r="BK454" s="46">
        <f t="shared" si="1"/>
        <v>1</v>
      </c>
      <c r="BL454" s="46"/>
      <c r="BM454" s="46"/>
      <c r="BN454" s="46"/>
    </row>
    <row r="455" spans="1:66" ht="12.75" hidden="1" customHeight="1">
      <c r="A455" s="22">
        <v>453</v>
      </c>
      <c r="B455" s="22" t="s">
        <v>2162</v>
      </c>
      <c r="C455" s="22" t="e">
        <f t="shared" ca="1" si="0"/>
        <v>#NAME?</v>
      </c>
      <c r="D455" s="24" t="s">
        <v>1489</v>
      </c>
      <c r="E455" s="22" t="s">
        <v>180</v>
      </c>
      <c r="F455" s="24" t="s">
        <v>1477</v>
      </c>
      <c r="G455" s="24" t="s">
        <v>1434</v>
      </c>
      <c r="H455" s="24"/>
      <c r="I455" s="24">
        <v>1</v>
      </c>
      <c r="J455" s="24" t="s">
        <v>1308</v>
      </c>
      <c r="K455" s="24"/>
      <c r="L455" s="24"/>
      <c r="M455" s="24"/>
      <c r="N455" s="24"/>
      <c r="O455" s="24"/>
      <c r="P455" s="164"/>
      <c r="Q455" s="164"/>
      <c r="R455" s="247"/>
      <c r="S455" s="163"/>
      <c r="T455" s="196"/>
      <c r="U455" s="196"/>
      <c r="V455" s="194"/>
      <c r="W455" s="194" t="s">
        <v>1489</v>
      </c>
      <c r="X455" s="196"/>
      <c r="Y455" s="24"/>
      <c r="Z455" s="24"/>
      <c r="AA455" s="164"/>
      <c r="AB455" s="196"/>
      <c r="AC455" s="269"/>
      <c r="AD455" s="164"/>
      <c r="AE455" s="24"/>
      <c r="AF455" s="164"/>
      <c r="AG455" s="22"/>
      <c r="AH455" s="45"/>
      <c r="AI455" s="24"/>
      <c r="AJ455" s="196"/>
      <c r="AK455" s="22"/>
      <c r="AL455" s="22"/>
      <c r="AM455" s="22"/>
      <c r="AN455" s="22"/>
      <c r="AO455" s="22"/>
      <c r="AP455" s="22"/>
      <c r="AQ455" s="22"/>
      <c r="AR455" s="22"/>
      <c r="AS455" s="22"/>
      <c r="AT455" s="219" t="s">
        <v>1490</v>
      </c>
      <c r="AU455" s="219"/>
      <c r="AV455" s="135">
        <v>86684002</v>
      </c>
      <c r="AW455" s="219"/>
      <c r="AX455" s="219"/>
      <c r="AY455" s="219"/>
      <c r="AZ455" s="219"/>
      <c r="BA455" s="219"/>
      <c r="BB455" s="219"/>
      <c r="BC455" s="219"/>
      <c r="BD455" s="219"/>
      <c r="BE455" s="137" t="s">
        <v>115</v>
      </c>
      <c r="BF455" s="137" t="s">
        <v>1491</v>
      </c>
      <c r="BG455" s="139" t="s">
        <v>1492</v>
      </c>
      <c r="BH455" s="220" t="s">
        <v>1490</v>
      </c>
      <c r="BI455" s="140">
        <v>86684002</v>
      </c>
      <c r="BJ455" s="220"/>
      <c r="BK455" s="46">
        <f t="shared" si="1"/>
        <v>1</v>
      </c>
      <c r="BL455" s="46"/>
      <c r="BM455" s="46"/>
      <c r="BN455" s="46"/>
    </row>
    <row r="456" spans="1:66" ht="12.75" hidden="1" customHeight="1">
      <c r="A456" s="22">
        <v>454</v>
      </c>
      <c r="B456" s="22" t="s">
        <v>2163</v>
      </c>
      <c r="C456" s="22" t="e">
        <f t="shared" ca="1" si="0"/>
        <v>#NAME?</v>
      </c>
      <c r="D456" s="24" t="s">
        <v>1493</v>
      </c>
      <c r="E456" s="22" t="s">
        <v>180</v>
      </c>
      <c r="F456" s="24" t="s">
        <v>1477</v>
      </c>
      <c r="G456" s="24" t="s">
        <v>1434</v>
      </c>
      <c r="H456" s="24"/>
      <c r="I456" s="24">
        <v>1</v>
      </c>
      <c r="J456" s="24" t="s">
        <v>1308</v>
      </c>
      <c r="K456" s="24"/>
      <c r="L456" s="24"/>
      <c r="M456" s="24"/>
      <c r="N456" s="24"/>
      <c r="O456" s="24"/>
      <c r="P456" s="164"/>
      <c r="Q456" s="164"/>
      <c r="R456" s="247"/>
      <c r="S456" s="163"/>
      <c r="T456" s="196"/>
      <c r="U456" s="196"/>
      <c r="V456" s="194"/>
      <c r="W456" s="194" t="s">
        <v>1493</v>
      </c>
      <c r="X456" s="196"/>
      <c r="Y456" s="24"/>
      <c r="Z456" s="24"/>
      <c r="AA456" s="164"/>
      <c r="AB456" s="196"/>
      <c r="AC456" s="269"/>
      <c r="AD456" s="164"/>
      <c r="AE456" s="24"/>
      <c r="AF456" s="164"/>
      <c r="AG456" s="22"/>
      <c r="AH456" s="45"/>
      <c r="AI456" s="24"/>
      <c r="AJ456" s="196"/>
      <c r="AK456" s="22"/>
      <c r="AL456" s="22"/>
      <c r="AM456" s="22"/>
      <c r="AN456" s="22"/>
      <c r="AO456" s="22"/>
      <c r="AP456" s="22"/>
      <c r="AQ456" s="22"/>
      <c r="AR456" s="22"/>
      <c r="AS456" s="22"/>
      <c r="AT456" s="219"/>
      <c r="AU456" s="219"/>
      <c r="AV456" s="135">
        <v>56018004</v>
      </c>
      <c r="AW456" s="219"/>
      <c r="AX456" s="219"/>
      <c r="AY456" s="219"/>
      <c r="AZ456" s="219"/>
      <c r="BA456" s="219"/>
      <c r="BB456" s="219"/>
      <c r="BC456" s="219"/>
      <c r="BD456" s="219"/>
      <c r="BE456" s="137" t="s">
        <v>115</v>
      </c>
      <c r="BF456" s="137" t="s">
        <v>1494</v>
      </c>
      <c r="BG456" s="139" t="s">
        <v>1495</v>
      </c>
      <c r="BH456" s="220"/>
      <c r="BI456" s="140">
        <v>56018004</v>
      </c>
      <c r="BJ456" s="220"/>
      <c r="BK456" s="46">
        <f t="shared" si="1"/>
        <v>1</v>
      </c>
      <c r="BL456" s="46"/>
      <c r="BM456" s="46"/>
      <c r="BN456" s="46"/>
    </row>
    <row r="457" spans="1:66" ht="12.75" hidden="1" customHeight="1">
      <c r="A457" s="22">
        <v>455</v>
      </c>
      <c r="B457" s="22" t="s">
        <v>2169</v>
      </c>
      <c r="C457" s="22" t="e">
        <f t="shared" ca="1" si="0"/>
        <v>#NAME?</v>
      </c>
      <c r="D457" s="24" t="s">
        <v>1496</v>
      </c>
      <c r="E457" s="22" t="s">
        <v>180</v>
      </c>
      <c r="F457" s="24" t="s">
        <v>1477</v>
      </c>
      <c r="G457" s="24" t="s">
        <v>1434</v>
      </c>
      <c r="H457" s="24"/>
      <c r="I457" s="24">
        <v>1</v>
      </c>
      <c r="J457" s="24" t="s">
        <v>1308</v>
      </c>
      <c r="K457" s="24"/>
      <c r="L457" s="24"/>
      <c r="M457" s="24"/>
      <c r="N457" s="24"/>
      <c r="O457" s="24"/>
      <c r="P457" s="164"/>
      <c r="Q457" s="164"/>
      <c r="R457" s="247"/>
      <c r="S457" s="163"/>
      <c r="T457" s="196"/>
      <c r="U457" s="196"/>
      <c r="V457" s="194"/>
      <c r="W457" s="194" t="s">
        <v>1496</v>
      </c>
      <c r="X457" s="196"/>
      <c r="Y457" s="24"/>
      <c r="Z457" s="24"/>
      <c r="AA457" s="164"/>
      <c r="AB457" s="196"/>
      <c r="AC457" s="269"/>
      <c r="AD457" s="164"/>
      <c r="AE457" s="24"/>
      <c r="AF457" s="164"/>
      <c r="AG457" s="22"/>
      <c r="AH457" s="45"/>
      <c r="AI457" s="24"/>
      <c r="AJ457" s="196"/>
      <c r="AK457" s="22"/>
      <c r="AL457" s="22"/>
      <c r="AM457" s="22"/>
      <c r="AN457" s="22"/>
      <c r="AO457" s="22"/>
      <c r="AP457" s="22"/>
      <c r="AQ457" s="22"/>
      <c r="AR457" s="22"/>
      <c r="AS457" s="22"/>
      <c r="AT457" s="219" t="s">
        <v>1497</v>
      </c>
      <c r="AU457" s="219"/>
      <c r="AV457" s="135">
        <v>48409008</v>
      </c>
      <c r="AW457" s="219"/>
      <c r="AX457" s="219"/>
      <c r="AY457" s="219"/>
      <c r="AZ457" s="219"/>
      <c r="BA457" s="219"/>
      <c r="BB457" s="219"/>
      <c r="BC457" s="219"/>
      <c r="BD457" s="219"/>
      <c r="BE457" s="137" t="s">
        <v>115</v>
      </c>
      <c r="BF457" s="137" t="s">
        <v>1498</v>
      </c>
      <c r="BG457" s="139" t="s">
        <v>1499</v>
      </c>
      <c r="BH457" s="220" t="s">
        <v>1497</v>
      </c>
      <c r="BI457" s="140">
        <v>48409008</v>
      </c>
      <c r="BJ457" s="220"/>
      <c r="BK457" s="46">
        <f t="shared" si="1"/>
        <v>1</v>
      </c>
      <c r="BL457" s="46"/>
      <c r="BM457" s="46"/>
      <c r="BN457" s="46"/>
    </row>
    <row r="458" spans="1:66" ht="12.75" hidden="1" customHeight="1">
      <c r="A458" s="22">
        <v>456</v>
      </c>
      <c r="B458" s="22" t="s">
        <v>535</v>
      </c>
      <c r="C458" s="22" t="e">
        <f t="shared" ca="1" si="0"/>
        <v>#NAME?</v>
      </c>
      <c r="D458" s="24" t="s">
        <v>405</v>
      </c>
      <c r="E458" s="22" t="s">
        <v>180</v>
      </c>
      <c r="F458" s="24" t="s">
        <v>1477</v>
      </c>
      <c r="G458" s="24" t="s">
        <v>1434</v>
      </c>
      <c r="H458" s="24"/>
      <c r="I458" s="24">
        <v>1</v>
      </c>
      <c r="J458" s="24" t="s">
        <v>1308</v>
      </c>
      <c r="K458" s="24"/>
      <c r="L458" s="24"/>
      <c r="M458" s="24"/>
      <c r="N458" s="24"/>
      <c r="O458" s="24"/>
      <c r="P458" s="164"/>
      <c r="Q458" s="164"/>
      <c r="R458" s="247"/>
      <c r="S458" s="163"/>
      <c r="T458" s="196"/>
      <c r="U458" s="196"/>
      <c r="V458" s="194"/>
      <c r="W458" s="194" t="s">
        <v>405</v>
      </c>
      <c r="X458" s="196"/>
      <c r="Y458" s="24"/>
      <c r="Z458" s="24"/>
      <c r="AA458" s="164"/>
      <c r="AB458" s="196"/>
      <c r="AC458" s="269"/>
      <c r="AD458" s="164"/>
      <c r="AE458" s="24"/>
      <c r="AF458" s="164"/>
      <c r="AG458" s="22"/>
      <c r="AH458" s="45"/>
      <c r="AI458" s="24"/>
      <c r="AJ458" s="196"/>
      <c r="AK458" s="22"/>
      <c r="AL458" s="22"/>
      <c r="AM458" s="22"/>
      <c r="AN458" s="22"/>
      <c r="AO458" s="22"/>
      <c r="AP458" s="22"/>
      <c r="AQ458" s="22"/>
      <c r="AR458" s="22"/>
      <c r="AS458" s="22"/>
      <c r="AT458" s="219"/>
      <c r="AU458" s="219"/>
      <c r="AV458" s="219"/>
      <c r="AW458" s="219"/>
      <c r="AX458" s="219"/>
      <c r="AY458" s="219"/>
      <c r="AZ458" s="219"/>
      <c r="BA458" s="219"/>
      <c r="BB458" s="219"/>
      <c r="BC458" s="219"/>
      <c r="BD458" s="219"/>
      <c r="BE458" s="137" t="s">
        <v>1500</v>
      </c>
      <c r="BF458" s="143" t="s">
        <v>406</v>
      </c>
      <c r="BG458" s="167" t="s">
        <v>407</v>
      </c>
      <c r="BH458" s="220"/>
      <c r="BI458" s="220"/>
      <c r="BJ458" s="220"/>
      <c r="BK458" s="46">
        <f t="shared" si="1"/>
        <v>1</v>
      </c>
      <c r="BL458" s="46"/>
      <c r="BM458" s="46"/>
      <c r="BN458" s="46"/>
    </row>
    <row r="459" spans="1:66" ht="12.75" hidden="1" customHeight="1">
      <c r="A459" s="22">
        <v>457</v>
      </c>
      <c r="B459" s="22" t="s">
        <v>1501</v>
      </c>
      <c r="C459" s="22" t="str">
        <f t="shared" si="0"/>
        <v>Specify - Abnormal Respiratory exam</v>
      </c>
      <c r="D459" s="24" t="s">
        <v>1501</v>
      </c>
      <c r="E459" s="22" t="s">
        <v>96</v>
      </c>
      <c r="F459" s="24"/>
      <c r="G459" s="24" t="s">
        <v>1434</v>
      </c>
      <c r="H459" s="24"/>
      <c r="I459" s="24">
        <v>1</v>
      </c>
      <c r="J459" s="24" t="s">
        <v>1308</v>
      </c>
      <c r="K459" s="24"/>
      <c r="L459" s="24"/>
      <c r="M459" s="24"/>
      <c r="N459" s="24"/>
      <c r="O459" s="24"/>
      <c r="P459" s="164"/>
      <c r="Q459" s="164"/>
      <c r="R459" s="195" t="s">
        <v>409</v>
      </c>
      <c r="S459" s="194" t="s">
        <v>1502</v>
      </c>
      <c r="T459" s="194" t="s">
        <v>1503</v>
      </c>
      <c r="U459" s="194" t="s">
        <v>111</v>
      </c>
      <c r="V459" s="194"/>
      <c r="W459" s="194"/>
      <c r="X459" s="196"/>
      <c r="Y459" s="24"/>
      <c r="Z459" s="24"/>
      <c r="AA459" s="164"/>
      <c r="AB459" s="194" t="s">
        <v>208</v>
      </c>
      <c r="AC459" s="269"/>
      <c r="AD459" s="164"/>
      <c r="AE459" s="24"/>
      <c r="AF459" s="164"/>
      <c r="AG459" s="22"/>
      <c r="AH459" s="45"/>
      <c r="AI459" s="24"/>
      <c r="AJ459" s="194" t="s">
        <v>115</v>
      </c>
      <c r="AK459" s="22"/>
      <c r="AL459" s="22"/>
      <c r="AM459" s="22"/>
      <c r="AN459" s="22"/>
      <c r="AO459" s="22"/>
      <c r="AP459" s="22"/>
      <c r="AQ459" s="22"/>
      <c r="AR459" s="22"/>
      <c r="AS459" s="22"/>
      <c r="AT459" s="219"/>
      <c r="AU459" s="219"/>
      <c r="AV459" s="210" t="s">
        <v>541</v>
      </c>
      <c r="AW459" s="219"/>
      <c r="AX459" s="219"/>
      <c r="AY459" s="219"/>
      <c r="AZ459" s="219"/>
      <c r="BA459" s="219"/>
      <c r="BB459" s="219"/>
      <c r="BC459" s="219"/>
      <c r="BD459" s="219"/>
      <c r="BE459" s="143" t="s">
        <v>1500</v>
      </c>
      <c r="BF459" s="143" t="s">
        <v>415</v>
      </c>
      <c r="BG459" s="167" t="s">
        <v>416</v>
      </c>
      <c r="BH459" s="220"/>
      <c r="BI459" s="348" t="s">
        <v>541</v>
      </c>
      <c r="BJ459" s="220"/>
      <c r="BK459" s="46">
        <f t="shared" si="1"/>
        <v>1</v>
      </c>
      <c r="BL459" s="46"/>
      <c r="BM459" s="46"/>
      <c r="BN459" s="46"/>
    </row>
    <row r="460" spans="1:66" ht="12.75" hidden="1" customHeight="1">
      <c r="A460" s="22">
        <v>458</v>
      </c>
      <c r="B460" s="22" t="s">
        <v>1504</v>
      </c>
      <c r="C460" s="22" t="str">
        <f t="shared" si="0"/>
        <v>Oximetry (%)</v>
      </c>
      <c r="D460" s="24" t="s">
        <v>1504</v>
      </c>
      <c r="E460" s="22" t="s">
        <v>96</v>
      </c>
      <c r="F460" s="24"/>
      <c r="G460" s="24" t="s">
        <v>1434</v>
      </c>
      <c r="H460" s="24"/>
      <c r="I460" s="24">
        <v>1</v>
      </c>
      <c r="J460" s="24" t="s">
        <v>1308</v>
      </c>
      <c r="K460" s="24"/>
      <c r="L460" s="24"/>
      <c r="M460" s="24"/>
      <c r="N460" s="24"/>
      <c r="O460" s="24"/>
      <c r="P460" s="164"/>
      <c r="Q460" s="164"/>
      <c r="R460" s="162" t="s">
        <v>1504</v>
      </c>
      <c r="S460" s="163" t="s">
        <v>1505</v>
      </c>
      <c r="T460" s="163" t="s">
        <v>1506</v>
      </c>
      <c r="U460" s="194" t="s">
        <v>168</v>
      </c>
      <c r="V460" s="163"/>
      <c r="W460" s="163"/>
      <c r="X460" s="163"/>
      <c r="Y460" s="24"/>
      <c r="Z460" s="163" t="s">
        <v>1507</v>
      </c>
      <c r="AA460" s="164"/>
      <c r="AB460" s="163" t="s">
        <v>208</v>
      </c>
      <c r="AC460" s="269"/>
      <c r="AD460" s="164"/>
      <c r="AE460" s="24"/>
      <c r="AF460" s="164"/>
      <c r="AG460" s="22"/>
      <c r="AH460" s="45"/>
      <c r="AI460" s="24"/>
      <c r="AJ460" s="163" t="s">
        <v>115</v>
      </c>
      <c r="AK460" s="22"/>
      <c r="AL460" s="22"/>
      <c r="AM460" s="22"/>
      <c r="AN460" s="22"/>
      <c r="AO460" s="22"/>
      <c r="AP460" s="22"/>
      <c r="AQ460" s="22"/>
      <c r="AR460" s="22"/>
      <c r="AS460" s="22"/>
      <c r="AT460" s="219"/>
      <c r="AU460" s="219"/>
      <c r="AV460" s="135">
        <v>431314004</v>
      </c>
      <c r="AW460" s="219" t="s">
        <v>1508</v>
      </c>
      <c r="AX460" s="219"/>
      <c r="AY460" s="219"/>
      <c r="AZ460" s="219"/>
      <c r="BA460" s="219"/>
      <c r="BB460" s="219"/>
      <c r="BC460" s="219"/>
      <c r="BD460" s="219"/>
      <c r="BE460" s="137" t="s">
        <v>115</v>
      </c>
      <c r="BF460" s="137" t="s">
        <v>1509</v>
      </c>
      <c r="BG460" s="139" t="s">
        <v>1510</v>
      </c>
      <c r="BH460" s="311"/>
      <c r="BI460" s="145">
        <v>431314004</v>
      </c>
      <c r="BJ460" s="311" t="s">
        <v>1508</v>
      </c>
      <c r="BK460" s="46">
        <f t="shared" si="1"/>
        <v>1</v>
      </c>
      <c r="BL460" s="46"/>
      <c r="BM460" s="46"/>
      <c r="BN460" s="46"/>
    </row>
    <row r="461" spans="1:66" ht="12.75" hidden="1" customHeight="1">
      <c r="A461" s="22">
        <v>459</v>
      </c>
      <c r="B461" s="22" t="s">
        <v>1511</v>
      </c>
      <c r="C461" s="22" t="str">
        <f t="shared" si="0"/>
        <v>Cardiac exam</v>
      </c>
      <c r="D461" s="24" t="s">
        <v>1511</v>
      </c>
      <c r="E461" s="22" t="s">
        <v>96</v>
      </c>
      <c r="F461" s="24"/>
      <c r="G461" s="24" t="s">
        <v>1434</v>
      </c>
      <c r="H461" s="24"/>
      <c r="I461" s="24">
        <v>1</v>
      </c>
      <c r="J461" s="24" t="s">
        <v>1308</v>
      </c>
      <c r="K461" s="24"/>
      <c r="L461" s="24"/>
      <c r="M461" s="24"/>
      <c r="N461" s="24"/>
      <c r="O461" s="24"/>
      <c r="P461" s="164"/>
      <c r="Q461" s="164"/>
      <c r="R461" s="162" t="s">
        <v>1511</v>
      </c>
      <c r="S461" s="163" t="s">
        <v>1512</v>
      </c>
      <c r="T461" s="163" t="s">
        <v>1513</v>
      </c>
      <c r="U461" s="163" t="s">
        <v>202</v>
      </c>
      <c r="V461" s="163"/>
      <c r="W461" s="163"/>
      <c r="X461" s="163"/>
      <c r="Y461" s="24"/>
      <c r="Z461" s="24"/>
      <c r="AA461" s="164"/>
      <c r="AB461" s="163" t="s">
        <v>208</v>
      </c>
      <c r="AC461" s="269"/>
      <c r="AD461" s="164"/>
      <c r="AE461" s="24"/>
      <c r="AF461" s="164"/>
      <c r="AG461" s="22"/>
      <c r="AH461" s="45"/>
      <c r="AI461" s="24"/>
      <c r="AJ461" s="163" t="s">
        <v>1277</v>
      </c>
      <c r="AK461" s="22"/>
      <c r="AL461" s="22"/>
      <c r="AM461" s="22"/>
      <c r="AN461" s="22"/>
      <c r="AO461" s="22"/>
      <c r="AP461" s="22"/>
      <c r="AQ461" s="22"/>
      <c r="AR461" s="22"/>
      <c r="AS461" s="22"/>
      <c r="AT461" s="275"/>
      <c r="AU461" s="275"/>
      <c r="AV461" s="275"/>
      <c r="AW461" s="275"/>
      <c r="AX461" s="275"/>
      <c r="AY461" s="275"/>
      <c r="AZ461" s="275"/>
      <c r="BA461" s="275"/>
      <c r="BB461" s="275"/>
      <c r="BC461" s="275"/>
      <c r="BD461" s="275"/>
      <c r="BE461" s="137" t="s">
        <v>115</v>
      </c>
      <c r="BF461" s="137" t="s">
        <v>1514</v>
      </c>
      <c r="BG461" s="139" t="s">
        <v>1515</v>
      </c>
      <c r="BH461" s="313"/>
      <c r="BI461" s="276"/>
      <c r="BJ461" s="276"/>
      <c r="BK461" s="46">
        <f t="shared" si="1"/>
        <v>1</v>
      </c>
      <c r="BL461" s="46"/>
      <c r="BM461" s="46"/>
      <c r="BN461" s="46"/>
    </row>
    <row r="462" spans="1:66" ht="12.75" hidden="1" customHeight="1">
      <c r="A462" s="22">
        <v>460</v>
      </c>
      <c r="B462" s="22" t="s">
        <v>2118</v>
      </c>
      <c r="C462" s="22" t="e">
        <f t="shared" ca="1" si="0"/>
        <v>#NAME?</v>
      </c>
      <c r="D462" s="24" t="s">
        <v>1468</v>
      </c>
      <c r="E462" s="22" t="s">
        <v>180</v>
      </c>
      <c r="F462" s="24" t="s">
        <v>1511</v>
      </c>
      <c r="G462" s="24" t="s">
        <v>1434</v>
      </c>
      <c r="H462" s="24"/>
      <c r="I462" s="24">
        <v>1</v>
      </c>
      <c r="J462" s="24" t="s">
        <v>1308</v>
      </c>
      <c r="K462" s="24"/>
      <c r="L462" s="24"/>
      <c r="M462" s="24"/>
      <c r="N462" s="24"/>
      <c r="O462" s="24"/>
      <c r="P462" s="164"/>
      <c r="Q462" s="164"/>
      <c r="R462" s="247"/>
      <c r="S462" s="163"/>
      <c r="T462" s="163"/>
      <c r="U462" s="196"/>
      <c r="V462" s="163"/>
      <c r="W462" s="163" t="s">
        <v>1468</v>
      </c>
      <c r="X462" s="196"/>
      <c r="Y462" s="24"/>
      <c r="Z462" s="24"/>
      <c r="AA462" s="164"/>
      <c r="AB462" s="163"/>
      <c r="AC462" s="269"/>
      <c r="AD462" s="164"/>
      <c r="AE462" s="24"/>
      <c r="AF462" s="164"/>
      <c r="AG462" s="22"/>
      <c r="AH462" s="45"/>
      <c r="AI462" s="24"/>
      <c r="AJ462" s="196"/>
      <c r="AK462" s="22"/>
      <c r="AL462" s="22"/>
      <c r="AM462" s="22"/>
      <c r="AN462" s="22"/>
      <c r="AO462" s="22"/>
      <c r="AP462" s="22"/>
      <c r="AQ462" s="22"/>
      <c r="AR462" s="22"/>
      <c r="AS462" s="22"/>
      <c r="AT462" s="219"/>
      <c r="AU462" s="219"/>
      <c r="AV462" s="135">
        <v>385660001</v>
      </c>
      <c r="AW462" s="219"/>
      <c r="AX462" s="219"/>
      <c r="AY462" s="219"/>
      <c r="AZ462" s="219"/>
      <c r="BA462" s="219"/>
      <c r="BB462" s="219"/>
      <c r="BC462" s="219"/>
      <c r="BD462" s="219"/>
      <c r="BE462" s="137" t="s">
        <v>115</v>
      </c>
      <c r="BF462" s="137" t="s">
        <v>1469</v>
      </c>
      <c r="BG462" s="139" t="s">
        <v>1470</v>
      </c>
      <c r="BH462" s="220"/>
      <c r="BI462" s="140">
        <v>385660001</v>
      </c>
      <c r="BJ462" s="220"/>
      <c r="BK462" s="46">
        <f t="shared" si="1"/>
        <v>1</v>
      </c>
      <c r="BL462" s="46"/>
      <c r="BM462" s="46"/>
      <c r="BN462" s="46"/>
    </row>
    <row r="463" spans="1:66" ht="12.75" hidden="1" customHeight="1">
      <c r="A463" s="22">
        <v>461</v>
      </c>
      <c r="B463" s="22" t="s">
        <v>2130</v>
      </c>
      <c r="C463" s="22" t="e">
        <f t="shared" ca="1" si="0"/>
        <v>#NAME?</v>
      </c>
      <c r="D463" s="24" t="s">
        <v>1471</v>
      </c>
      <c r="E463" s="22" t="s">
        <v>180</v>
      </c>
      <c r="F463" s="24" t="s">
        <v>1511</v>
      </c>
      <c r="G463" s="24" t="s">
        <v>1434</v>
      </c>
      <c r="H463" s="24"/>
      <c r="I463" s="24">
        <v>1</v>
      </c>
      <c r="J463" s="24" t="s">
        <v>1308</v>
      </c>
      <c r="K463" s="24"/>
      <c r="L463" s="24"/>
      <c r="M463" s="24"/>
      <c r="N463" s="24"/>
      <c r="O463" s="24"/>
      <c r="P463" s="164"/>
      <c r="Q463" s="164"/>
      <c r="R463" s="247"/>
      <c r="S463" s="163"/>
      <c r="T463" s="163"/>
      <c r="U463" s="196"/>
      <c r="V463" s="194"/>
      <c r="W463" s="194" t="s">
        <v>1471</v>
      </c>
      <c r="X463" s="196"/>
      <c r="Y463" s="24"/>
      <c r="Z463" s="24"/>
      <c r="AA463" s="164"/>
      <c r="AB463" s="163"/>
      <c r="AC463" s="269"/>
      <c r="AD463" s="164"/>
      <c r="AE463" s="24"/>
      <c r="AF463" s="164"/>
      <c r="AG463" s="22"/>
      <c r="AH463" s="45"/>
      <c r="AI463" s="24"/>
      <c r="AJ463" s="196"/>
      <c r="AK463" s="22"/>
      <c r="AL463" s="22"/>
      <c r="AM463" s="22"/>
      <c r="AN463" s="22"/>
      <c r="AO463" s="22"/>
      <c r="AP463" s="22"/>
      <c r="AQ463" s="22"/>
      <c r="AR463" s="22"/>
      <c r="AS463" s="22"/>
      <c r="AT463" s="219"/>
      <c r="AU463" s="219"/>
      <c r="AV463" s="135">
        <v>17621005</v>
      </c>
      <c r="AW463" s="219"/>
      <c r="AX463" s="219"/>
      <c r="AY463" s="219"/>
      <c r="AZ463" s="219"/>
      <c r="BA463" s="219"/>
      <c r="BB463" s="219"/>
      <c r="BC463" s="219"/>
      <c r="BD463" s="219"/>
      <c r="BE463" s="137" t="s">
        <v>115</v>
      </c>
      <c r="BF463" s="137" t="s">
        <v>1472</v>
      </c>
      <c r="BG463" s="139" t="s">
        <v>1473</v>
      </c>
      <c r="BH463" s="220"/>
      <c r="BI463" s="140">
        <v>17621005</v>
      </c>
      <c r="BJ463" s="220"/>
      <c r="BK463" s="46">
        <f t="shared" si="1"/>
        <v>1</v>
      </c>
      <c r="BL463" s="46"/>
      <c r="BM463" s="46"/>
      <c r="BN463" s="46"/>
    </row>
    <row r="464" spans="1:66" ht="12.75" hidden="1" customHeight="1">
      <c r="A464" s="22">
        <v>462</v>
      </c>
      <c r="B464" s="22" t="s">
        <v>2143</v>
      </c>
      <c r="C464" s="22" t="e">
        <f t="shared" ca="1" si="0"/>
        <v>#NAME?</v>
      </c>
      <c r="D464" s="24" t="s">
        <v>1474</v>
      </c>
      <c r="E464" s="22" t="s">
        <v>180</v>
      </c>
      <c r="F464" s="24" t="s">
        <v>1511</v>
      </c>
      <c r="G464" s="24" t="s">
        <v>1434</v>
      </c>
      <c r="H464" s="24"/>
      <c r="I464" s="24">
        <v>1</v>
      </c>
      <c r="J464" s="24" t="s">
        <v>1308</v>
      </c>
      <c r="K464" s="24"/>
      <c r="L464" s="24"/>
      <c r="M464" s="24"/>
      <c r="N464" s="24"/>
      <c r="O464" s="24"/>
      <c r="P464" s="164"/>
      <c r="Q464" s="164"/>
      <c r="R464" s="247"/>
      <c r="S464" s="163"/>
      <c r="T464" s="163"/>
      <c r="U464" s="196"/>
      <c r="V464" s="194"/>
      <c r="W464" s="194" t="s">
        <v>1474</v>
      </c>
      <c r="X464" s="196"/>
      <c r="Y464" s="24"/>
      <c r="Z464" s="24"/>
      <c r="AA464" s="164"/>
      <c r="AB464" s="163"/>
      <c r="AC464" s="269"/>
      <c r="AD464" s="164"/>
      <c r="AE464" s="24"/>
      <c r="AF464" s="164"/>
      <c r="AG464" s="22"/>
      <c r="AH464" s="45"/>
      <c r="AI464" s="24"/>
      <c r="AJ464" s="196"/>
      <c r="AK464" s="22"/>
      <c r="AL464" s="22"/>
      <c r="AM464" s="22"/>
      <c r="AN464" s="22"/>
      <c r="AO464" s="22"/>
      <c r="AP464" s="22"/>
      <c r="AQ464" s="22"/>
      <c r="AR464" s="22"/>
      <c r="AS464" s="22"/>
      <c r="AT464" s="219"/>
      <c r="AU464" s="219"/>
      <c r="AV464" s="135">
        <v>263654008</v>
      </c>
      <c r="AW464" s="219"/>
      <c r="AX464" s="219"/>
      <c r="AY464" s="219"/>
      <c r="AZ464" s="219"/>
      <c r="BA464" s="219"/>
      <c r="BB464" s="219"/>
      <c r="BC464" s="219"/>
      <c r="BD464" s="219"/>
      <c r="BE464" s="137" t="s">
        <v>115</v>
      </c>
      <c r="BF464" s="137" t="s">
        <v>1475</v>
      </c>
      <c r="BG464" s="139" t="s">
        <v>1476</v>
      </c>
      <c r="BH464" s="220"/>
      <c r="BI464" s="140">
        <v>263654008</v>
      </c>
      <c r="BJ464" s="220"/>
      <c r="BK464" s="46">
        <f t="shared" si="1"/>
        <v>1</v>
      </c>
      <c r="BL464" s="46"/>
      <c r="BM464" s="46"/>
      <c r="BN464" s="46"/>
    </row>
    <row r="465" spans="1:66" ht="12.75" hidden="1" customHeight="1">
      <c r="A465" s="22">
        <v>463</v>
      </c>
      <c r="B465" s="22" t="s">
        <v>1516</v>
      </c>
      <c r="C465" s="22" t="str">
        <f t="shared" si="0"/>
        <v>Abnormal (specify) - Cardiac Exam</v>
      </c>
      <c r="D465" s="24" t="s">
        <v>1516</v>
      </c>
      <c r="E465" s="22" t="s">
        <v>96</v>
      </c>
      <c r="F465" s="24"/>
      <c r="G465" s="24" t="s">
        <v>1434</v>
      </c>
      <c r="H465" s="24"/>
      <c r="I465" s="24">
        <v>1</v>
      </c>
      <c r="J465" s="24" t="s">
        <v>1308</v>
      </c>
      <c r="K465" s="24"/>
      <c r="L465" s="24"/>
      <c r="M465" s="24"/>
      <c r="N465" s="24"/>
      <c r="O465" s="24"/>
      <c r="P465" s="164"/>
      <c r="Q465" s="164"/>
      <c r="R465" s="247" t="s">
        <v>1478</v>
      </c>
      <c r="S465" s="163" t="s">
        <v>1517</v>
      </c>
      <c r="T465" s="163" t="s">
        <v>1480</v>
      </c>
      <c r="U465" s="196" t="s">
        <v>238</v>
      </c>
      <c r="V465" s="194"/>
      <c r="W465" s="194"/>
      <c r="X465" s="196"/>
      <c r="Y465" s="24"/>
      <c r="Z465" s="24"/>
      <c r="AA465" s="164"/>
      <c r="AB465" s="163" t="s">
        <v>208</v>
      </c>
      <c r="AC465" s="269"/>
      <c r="AD465" s="164"/>
      <c r="AE465" s="24"/>
      <c r="AF465" s="164"/>
      <c r="AG465" s="22"/>
      <c r="AH465" s="45"/>
      <c r="AI465" s="24"/>
      <c r="AJ465" s="196" t="s">
        <v>115</v>
      </c>
      <c r="AK465" s="22"/>
      <c r="AL465" s="22"/>
      <c r="AM465" s="22"/>
      <c r="AN465" s="22"/>
      <c r="AO465" s="22"/>
      <c r="AP465" s="22"/>
      <c r="AQ465" s="22"/>
      <c r="AR465" s="22"/>
      <c r="AS465" s="22"/>
      <c r="AT465" s="219"/>
      <c r="AU465" s="219"/>
      <c r="AV465" s="135">
        <v>271910006</v>
      </c>
      <c r="AW465" s="219"/>
      <c r="AX465" s="219"/>
      <c r="AY465" s="219"/>
      <c r="AZ465" s="219"/>
      <c r="BA465" s="219"/>
      <c r="BB465" s="219"/>
      <c r="BC465" s="219"/>
      <c r="BD465" s="219"/>
      <c r="BE465" s="137" t="s">
        <v>115</v>
      </c>
      <c r="BF465" s="137" t="s">
        <v>1518</v>
      </c>
      <c r="BG465" s="139" t="s">
        <v>1519</v>
      </c>
      <c r="BH465" s="311"/>
      <c r="BI465" s="140">
        <v>271910006</v>
      </c>
      <c r="BJ465" s="220"/>
      <c r="BK465" s="46">
        <f t="shared" si="1"/>
        <v>1</v>
      </c>
      <c r="BL465" s="46"/>
      <c r="BM465" s="46"/>
      <c r="BN465" s="46"/>
    </row>
    <row r="466" spans="1:66" ht="12.75" hidden="1" customHeight="1">
      <c r="A466" s="22">
        <v>464</v>
      </c>
      <c r="B466" s="22" t="s">
        <v>2237</v>
      </c>
      <c r="C466" s="22" t="e">
        <f t="shared" ca="1" si="0"/>
        <v>#NAME?</v>
      </c>
      <c r="D466" s="24" t="s">
        <v>1520</v>
      </c>
      <c r="E466" s="22" t="s">
        <v>180</v>
      </c>
      <c r="F466" s="24" t="s">
        <v>1516</v>
      </c>
      <c r="G466" s="24" t="s">
        <v>1434</v>
      </c>
      <c r="H466" s="24"/>
      <c r="I466" s="24">
        <v>1</v>
      </c>
      <c r="J466" s="24" t="s">
        <v>1308</v>
      </c>
      <c r="K466" s="24"/>
      <c r="L466" s="24"/>
      <c r="M466" s="24"/>
      <c r="N466" s="24"/>
      <c r="O466" s="24"/>
      <c r="P466" s="164"/>
      <c r="Q466" s="164"/>
      <c r="R466" s="247"/>
      <c r="S466" s="196"/>
      <c r="T466" s="196"/>
      <c r="U466" s="196"/>
      <c r="V466" s="194"/>
      <c r="W466" s="194" t="s">
        <v>1520</v>
      </c>
      <c r="X466" s="196"/>
      <c r="Y466" s="24"/>
      <c r="Z466" s="24"/>
      <c r="AA466" s="164"/>
      <c r="AB466" s="163"/>
      <c r="AC466" s="269"/>
      <c r="AD466" s="164"/>
      <c r="AE466" s="24"/>
      <c r="AF466" s="164"/>
      <c r="AG466" s="22"/>
      <c r="AH466" s="45"/>
      <c r="AI466" s="24"/>
      <c r="AJ466" s="196"/>
      <c r="AK466" s="22"/>
      <c r="AL466" s="22"/>
      <c r="AM466" s="22"/>
      <c r="AN466" s="22"/>
      <c r="AO466" s="22"/>
      <c r="AP466" s="22"/>
      <c r="AQ466" s="22"/>
      <c r="AR466" s="22"/>
      <c r="AS466" s="22"/>
      <c r="AT466" s="156" t="s">
        <v>1521</v>
      </c>
      <c r="AU466" s="219"/>
      <c r="AV466" s="135">
        <v>88610006</v>
      </c>
      <c r="AW466" s="219"/>
      <c r="AX466" s="219"/>
      <c r="AY466" s="219"/>
      <c r="AZ466" s="219"/>
      <c r="BA466" s="219"/>
      <c r="BB466" s="219"/>
      <c r="BC466" s="219"/>
      <c r="BD466" s="219"/>
      <c r="BE466" s="137" t="s">
        <v>115</v>
      </c>
      <c r="BF466" s="137" t="s">
        <v>1522</v>
      </c>
      <c r="BG466" s="139" t="s">
        <v>1523</v>
      </c>
      <c r="BH466" s="349" t="s">
        <v>1521</v>
      </c>
      <c r="BI466" s="140">
        <v>88610006</v>
      </c>
      <c r="BJ466" s="220"/>
      <c r="BK466" s="46">
        <f t="shared" si="1"/>
        <v>1</v>
      </c>
      <c r="BL466" s="46"/>
      <c r="BM466" s="46"/>
      <c r="BN466" s="46"/>
    </row>
    <row r="467" spans="1:66" ht="12.75" hidden="1" customHeight="1">
      <c r="A467" s="22">
        <v>465</v>
      </c>
      <c r="B467" s="22" t="s">
        <v>2238</v>
      </c>
      <c r="C467" s="22" t="e">
        <f t="shared" ca="1" si="0"/>
        <v>#NAME?</v>
      </c>
      <c r="D467" s="24" t="s">
        <v>1524</v>
      </c>
      <c r="E467" s="22" t="s">
        <v>180</v>
      </c>
      <c r="F467" s="24" t="s">
        <v>1516</v>
      </c>
      <c r="G467" s="24" t="s">
        <v>1434</v>
      </c>
      <c r="H467" s="24"/>
      <c r="I467" s="24">
        <v>1</v>
      </c>
      <c r="J467" s="24" t="s">
        <v>1308</v>
      </c>
      <c r="K467" s="24"/>
      <c r="L467" s="24"/>
      <c r="M467" s="24"/>
      <c r="N467" s="24"/>
      <c r="O467" s="24"/>
      <c r="P467" s="164"/>
      <c r="Q467" s="164"/>
      <c r="R467" s="247"/>
      <c r="S467" s="196"/>
      <c r="T467" s="196"/>
      <c r="U467" s="196"/>
      <c r="V467" s="194"/>
      <c r="W467" s="194" t="s">
        <v>1524</v>
      </c>
      <c r="X467" s="196"/>
      <c r="Y467" s="24"/>
      <c r="Z467" s="24"/>
      <c r="AA467" s="164"/>
      <c r="AB467" s="163"/>
      <c r="AC467" s="269"/>
      <c r="AD467" s="164"/>
      <c r="AE467" s="24"/>
      <c r="AF467" s="164"/>
      <c r="AG467" s="22"/>
      <c r="AH467" s="45"/>
      <c r="AI467" s="24"/>
      <c r="AJ467" s="196"/>
      <c r="AK467" s="22"/>
      <c r="AL467" s="22"/>
      <c r="AM467" s="22"/>
      <c r="AN467" s="22"/>
      <c r="AO467" s="22"/>
      <c r="AP467" s="22"/>
      <c r="AQ467" s="22"/>
      <c r="AR467" s="22"/>
      <c r="AS467" s="22"/>
      <c r="AT467" s="148" t="s">
        <v>1525</v>
      </c>
      <c r="AU467" s="219"/>
      <c r="AV467" s="135">
        <v>64661000</v>
      </c>
      <c r="AW467" s="219"/>
      <c r="AX467" s="219"/>
      <c r="AY467" s="219"/>
      <c r="AZ467" s="219"/>
      <c r="BA467" s="219"/>
      <c r="BB467" s="219"/>
      <c r="BC467" s="219"/>
      <c r="BD467" s="219"/>
      <c r="BE467" s="137" t="s">
        <v>115</v>
      </c>
      <c r="BF467" s="137" t="s">
        <v>1526</v>
      </c>
      <c r="BG467" s="139" t="s">
        <v>1527</v>
      </c>
      <c r="BH467" s="192" t="s">
        <v>1525</v>
      </c>
      <c r="BI467" s="140">
        <v>64661000</v>
      </c>
      <c r="BJ467" s="220"/>
      <c r="BK467" s="46">
        <f t="shared" si="1"/>
        <v>1</v>
      </c>
      <c r="BL467" s="46"/>
      <c r="BM467" s="46"/>
      <c r="BN467" s="46"/>
    </row>
    <row r="468" spans="1:66" ht="12.75" hidden="1" customHeight="1">
      <c r="A468" s="22">
        <v>466</v>
      </c>
      <c r="B468" s="22" t="s">
        <v>2242</v>
      </c>
      <c r="C468" s="22" t="e">
        <f t="shared" ca="1" si="0"/>
        <v>#NAME?</v>
      </c>
      <c r="D468" s="24" t="s">
        <v>1528</v>
      </c>
      <c r="E468" s="22" t="s">
        <v>180</v>
      </c>
      <c r="F468" s="24" t="s">
        <v>1516</v>
      </c>
      <c r="G468" s="24" t="s">
        <v>1434</v>
      </c>
      <c r="H468" s="24"/>
      <c r="I468" s="24">
        <v>1</v>
      </c>
      <c r="J468" s="24" t="s">
        <v>1308</v>
      </c>
      <c r="K468" s="24"/>
      <c r="L468" s="24"/>
      <c r="M468" s="24"/>
      <c r="N468" s="24"/>
      <c r="O468" s="24"/>
      <c r="P468" s="164"/>
      <c r="Q468" s="164"/>
      <c r="R468" s="247"/>
      <c r="S468" s="196"/>
      <c r="T468" s="196"/>
      <c r="U468" s="196"/>
      <c r="V468" s="194"/>
      <c r="W468" s="194" t="s">
        <v>1528</v>
      </c>
      <c r="X468" s="196"/>
      <c r="Y468" s="24"/>
      <c r="Z468" s="24"/>
      <c r="AA468" s="164"/>
      <c r="AB468" s="163"/>
      <c r="AC468" s="269"/>
      <c r="AD468" s="164"/>
      <c r="AE468" s="24"/>
      <c r="AF468" s="164"/>
      <c r="AG468" s="22"/>
      <c r="AH468" s="45"/>
      <c r="AI468" s="24"/>
      <c r="AJ468" s="196"/>
      <c r="AK468" s="22"/>
      <c r="AL468" s="22"/>
      <c r="AM468" s="22"/>
      <c r="AN468" s="22"/>
      <c r="AO468" s="22"/>
      <c r="AP468" s="22"/>
      <c r="AQ468" s="22"/>
      <c r="AR468" s="22"/>
      <c r="AS468" s="22"/>
      <c r="AT468" s="210" t="s">
        <v>1529</v>
      </c>
      <c r="AU468" s="219"/>
      <c r="AV468" s="135">
        <v>3424008</v>
      </c>
      <c r="AW468" s="219"/>
      <c r="AX468" s="219"/>
      <c r="AY468" s="219"/>
      <c r="AZ468" s="219"/>
      <c r="BA468" s="219"/>
      <c r="BB468" s="219"/>
      <c r="BC468" s="219"/>
      <c r="BD468" s="219"/>
      <c r="BE468" s="137" t="s">
        <v>115</v>
      </c>
      <c r="BF468" s="137" t="s">
        <v>1530</v>
      </c>
      <c r="BG468" s="139" t="s">
        <v>1531</v>
      </c>
      <c r="BH468" s="274" t="s">
        <v>1529</v>
      </c>
      <c r="BI468" s="140">
        <v>3424008</v>
      </c>
      <c r="BJ468" s="220"/>
      <c r="BK468" s="46">
        <f t="shared" si="1"/>
        <v>1</v>
      </c>
      <c r="BL468" s="46"/>
      <c r="BM468" s="46"/>
      <c r="BN468" s="46"/>
    </row>
    <row r="469" spans="1:66" ht="12.75" hidden="1" customHeight="1">
      <c r="A469" s="22">
        <v>467</v>
      </c>
      <c r="B469" s="22" t="s">
        <v>2245</v>
      </c>
      <c r="C469" s="22" t="e">
        <f t="shared" ca="1" si="0"/>
        <v>#NAME?</v>
      </c>
      <c r="D469" s="24" t="s">
        <v>1532</v>
      </c>
      <c r="E469" s="22" t="s">
        <v>180</v>
      </c>
      <c r="F469" s="24" t="s">
        <v>1516</v>
      </c>
      <c r="G469" s="24" t="s">
        <v>1434</v>
      </c>
      <c r="H469" s="24"/>
      <c r="I469" s="24">
        <v>1</v>
      </c>
      <c r="J469" s="24" t="s">
        <v>1308</v>
      </c>
      <c r="K469" s="24"/>
      <c r="L469" s="24"/>
      <c r="M469" s="24"/>
      <c r="N469" s="24"/>
      <c r="O469" s="24"/>
      <c r="P469" s="164"/>
      <c r="Q469" s="164"/>
      <c r="R469" s="247"/>
      <c r="S469" s="196"/>
      <c r="T469" s="196"/>
      <c r="U469" s="196"/>
      <c r="V469" s="194"/>
      <c r="W469" s="194" t="s">
        <v>1532</v>
      </c>
      <c r="X469" s="196"/>
      <c r="Y469" s="24"/>
      <c r="Z469" s="24"/>
      <c r="AA469" s="164"/>
      <c r="AB469" s="163"/>
      <c r="AC469" s="269"/>
      <c r="AD469" s="164"/>
      <c r="AE469" s="24"/>
      <c r="AF469" s="164"/>
      <c r="AG469" s="22"/>
      <c r="AH469" s="45"/>
      <c r="AI469" s="24"/>
      <c r="AJ469" s="196"/>
      <c r="AK469" s="22"/>
      <c r="AL469" s="22"/>
      <c r="AM469" s="22"/>
      <c r="AN469" s="22"/>
      <c r="AO469" s="22"/>
      <c r="AP469" s="22"/>
      <c r="AQ469" s="22"/>
      <c r="AR469" s="22"/>
      <c r="AS469" s="22"/>
      <c r="AT469" s="156" t="s">
        <v>1533</v>
      </c>
      <c r="AU469" s="219"/>
      <c r="AV469" s="135">
        <v>48867003</v>
      </c>
      <c r="AW469" s="219"/>
      <c r="AX469" s="219"/>
      <c r="AY469" s="219"/>
      <c r="AZ469" s="219"/>
      <c r="BA469" s="219"/>
      <c r="BB469" s="219"/>
      <c r="BC469" s="219"/>
      <c r="BD469" s="219"/>
      <c r="BE469" s="137" t="s">
        <v>115</v>
      </c>
      <c r="BF469" s="137" t="s">
        <v>1534</v>
      </c>
      <c r="BG469" s="139" t="s">
        <v>1535</v>
      </c>
      <c r="BH469" s="349" t="s">
        <v>1533</v>
      </c>
      <c r="BI469" s="145">
        <v>48867003</v>
      </c>
      <c r="BJ469" s="220"/>
      <c r="BK469" s="46">
        <f t="shared" si="1"/>
        <v>1</v>
      </c>
      <c r="BL469" s="46"/>
      <c r="BM469" s="46"/>
      <c r="BN469" s="46"/>
    </row>
    <row r="470" spans="1:66" ht="12.75" hidden="1" customHeight="1">
      <c r="A470" s="22">
        <v>468</v>
      </c>
      <c r="B470" s="22" t="s">
        <v>2249</v>
      </c>
      <c r="C470" s="22" t="e">
        <f t="shared" ca="1" si="0"/>
        <v>#NAME?</v>
      </c>
      <c r="D470" s="24" t="s">
        <v>1536</v>
      </c>
      <c r="E470" s="22" t="s">
        <v>180</v>
      </c>
      <c r="F470" s="24" t="s">
        <v>1516</v>
      </c>
      <c r="G470" s="24" t="s">
        <v>1434</v>
      </c>
      <c r="H470" s="24"/>
      <c r="I470" s="24">
        <v>1</v>
      </c>
      <c r="J470" s="24" t="s">
        <v>1308</v>
      </c>
      <c r="K470" s="24"/>
      <c r="L470" s="24"/>
      <c r="M470" s="24"/>
      <c r="N470" s="24"/>
      <c r="O470" s="24"/>
      <c r="P470" s="164"/>
      <c r="Q470" s="164"/>
      <c r="R470" s="247"/>
      <c r="S470" s="196"/>
      <c r="T470" s="196"/>
      <c r="U470" s="196"/>
      <c r="V470" s="194"/>
      <c r="W470" s="194" t="s">
        <v>1536</v>
      </c>
      <c r="X470" s="196"/>
      <c r="Y470" s="24"/>
      <c r="Z470" s="24"/>
      <c r="AA470" s="164"/>
      <c r="AB470" s="163"/>
      <c r="AC470" s="269"/>
      <c r="AD470" s="164"/>
      <c r="AE470" s="24"/>
      <c r="AF470" s="164"/>
      <c r="AG470" s="22"/>
      <c r="AH470" s="45"/>
      <c r="AI470" s="24"/>
      <c r="AJ470" s="196"/>
      <c r="AK470" s="22"/>
      <c r="AL470" s="22"/>
      <c r="AM470" s="22"/>
      <c r="AN470" s="22"/>
      <c r="AO470" s="22"/>
      <c r="AP470" s="22"/>
      <c r="AQ470" s="22"/>
      <c r="AR470" s="22"/>
      <c r="AS470" s="22"/>
      <c r="AT470" s="156" t="s">
        <v>1537</v>
      </c>
      <c r="AU470" s="219"/>
      <c r="AV470" s="148">
        <v>698247007</v>
      </c>
      <c r="AW470" s="219"/>
      <c r="AX470" s="219"/>
      <c r="AY470" s="219"/>
      <c r="AZ470" s="219"/>
      <c r="BA470" s="219"/>
      <c r="BB470" s="219"/>
      <c r="BC470" s="219"/>
      <c r="BD470" s="219"/>
      <c r="BE470" s="137" t="s">
        <v>115</v>
      </c>
      <c r="BF470" s="137" t="s">
        <v>1538</v>
      </c>
      <c r="BG470" s="139" t="s">
        <v>1539</v>
      </c>
      <c r="BH470" s="349" t="s">
        <v>1537</v>
      </c>
      <c r="BI470" s="150">
        <v>698247007</v>
      </c>
      <c r="BJ470" s="220"/>
      <c r="BK470" s="46">
        <f t="shared" si="1"/>
        <v>1</v>
      </c>
      <c r="BL470" s="46"/>
      <c r="BM470" s="46"/>
      <c r="BN470" s="46"/>
    </row>
    <row r="471" spans="1:66" ht="12.75" hidden="1" customHeight="1">
      <c r="A471" s="22">
        <v>469</v>
      </c>
      <c r="B471" s="22" t="s">
        <v>2256</v>
      </c>
      <c r="C471" s="22" t="e">
        <f t="shared" ca="1" si="0"/>
        <v>#NAME?</v>
      </c>
      <c r="D471" s="24" t="s">
        <v>1540</v>
      </c>
      <c r="E471" s="22" t="s">
        <v>180</v>
      </c>
      <c r="F471" s="24" t="s">
        <v>1516</v>
      </c>
      <c r="G471" s="24" t="s">
        <v>1434</v>
      </c>
      <c r="H471" s="24"/>
      <c r="I471" s="24">
        <v>1</v>
      </c>
      <c r="J471" s="24" t="s">
        <v>1308</v>
      </c>
      <c r="K471" s="24"/>
      <c r="L471" s="24"/>
      <c r="M471" s="24"/>
      <c r="N471" s="24"/>
      <c r="O471" s="24"/>
      <c r="P471" s="164"/>
      <c r="Q471" s="164"/>
      <c r="R471" s="247"/>
      <c r="S471" s="196"/>
      <c r="T471" s="196"/>
      <c r="U471" s="196"/>
      <c r="V471" s="194"/>
      <c r="W471" s="194" t="s">
        <v>1540</v>
      </c>
      <c r="X471" s="196"/>
      <c r="Y471" s="24"/>
      <c r="Z471" s="24"/>
      <c r="AA471" s="164"/>
      <c r="AB471" s="163"/>
      <c r="AC471" s="269"/>
      <c r="AD471" s="164"/>
      <c r="AE471" s="24"/>
      <c r="AF471" s="164"/>
      <c r="AG471" s="22"/>
      <c r="AH471" s="45"/>
      <c r="AI471" s="24"/>
      <c r="AJ471" s="196"/>
      <c r="AK471" s="22"/>
      <c r="AL471" s="22"/>
      <c r="AM471" s="22"/>
      <c r="AN471" s="22"/>
      <c r="AO471" s="22"/>
      <c r="AP471" s="22"/>
      <c r="AQ471" s="22"/>
      <c r="AR471" s="22"/>
      <c r="AS471" s="22"/>
      <c r="AT471" s="148" t="s">
        <v>1541</v>
      </c>
      <c r="AU471" s="219"/>
      <c r="AV471" s="156">
        <v>3415004</v>
      </c>
      <c r="AW471" s="219"/>
      <c r="AX471" s="219"/>
      <c r="AY471" s="219"/>
      <c r="AZ471" s="219"/>
      <c r="BA471" s="219"/>
      <c r="BB471" s="219"/>
      <c r="BC471" s="219"/>
      <c r="BD471" s="219"/>
      <c r="BE471" s="137" t="s">
        <v>115</v>
      </c>
      <c r="BF471" s="137" t="s">
        <v>1542</v>
      </c>
      <c r="BG471" s="139" t="s">
        <v>1543</v>
      </c>
      <c r="BH471" s="192" t="s">
        <v>1541</v>
      </c>
      <c r="BI471" s="157">
        <v>3415004</v>
      </c>
      <c r="BJ471" s="311"/>
      <c r="BK471" s="46">
        <f t="shared" si="1"/>
        <v>1</v>
      </c>
      <c r="BL471" s="46"/>
      <c r="BM471" s="46"/>
      <c r="BN471" s="46"/>
    </row>
    <row r="472" spans="1:66" ht="12.75" hidden="1" customHeight="1">
      <c r="A472" s="22">
        <v>470</v>
      </c>
      <c r="B472" s="22" t="s">
        <v>2263</v>
      </c>
      <c r="C472" s="22" t="e">
        <f t="shared" ca="1" si="0"/>
        <v>#NAME?</v>
      </c>
      <c r="D472" s="24" t="s">
        <v>1544</v>
      </c>
      <c r="E472" s="22" t="s">
        <v>180</v>
      </c>
      <c r="F472" s="24" t="s">
        <v>1516</v>
      </c>
      <c r="G472" s="24" t="s">
        <v>1434</v>
      </c>
      <c r="H472" s="24"/>
      <c r="I472" s="24">
        <v>1</v>
      </c>
      <c r="J472" s="24" t="s">
        <v>1308</v>
      </c>
      <c r="K472" s="24"/>
      <c r="L472" s="24"/>
      <c r="M472" s="24"/>
      <c r="N472" s="24"/>
      <c r="O472" s="24"/>
      <c r="P472" s="164"/>
      <c r="Q472" s="164"/>
      <c r="R472" s="247"/>
      <c r="S472" s="196"/>
      <c r="T472" s="196"/>
      <c r="U472" s="196"/>
      <c r="V472" s="194"/>
      <c r="W472" s="194" t="s">
        <v>1544</v>
      </c>
      <c r="X472" s="196"/>
      <c r="Y472" s="24"/>
      <c r="Z472" s="24"/>
      <c r="AA472" s="164"/>
      <c r="AB472" s="163"/>
      <c r="AC472" s="269"/>
      <c r="AD472" s="164"/>
      <c r="AE472" s="24"/>
      <c r="AF472" s="164"/>
      <c r="AG472" s="22"/>
      <c r="AH472" s="45"/>
      <c r="AI472" s="24"/>
      <c r="AJ472" s="196"/>
      <c r="AK472" s="22"/>
      <c r="AL472" s="22"/>
      <c r="AM472" s="22"/>
      <c r="AN472" s="22"/>
      <c r="AO472" s="22"/>
      <c r="AP472" s="22"/>
      <c r="AQ472" s="22"/>
      <c r="AR472" s="22"/>
      <c r="AS472" s="22"/>
      <c r="AT472" s="275"/>
      <c r="AU472" s="275"/>
      <c r="AV472" s="275"/>
      <c r="AW472" s="275"/>
      <c r="AX472" s="275"/>
      <c r="AY472" s="275"/>
      <c r="AZ472" s="275"/>
      <c r="BA472" s="275"/>
      <c r="BB472" s="275"/>
      <c r="BC472" s="275"/>
      <c r="BD472" s="275"/>
      <c r="BE472" s="137" t="s">
        <v>115</v>
      </c>
      <c r="BF472" s="137" t="s">
        <v>1545</v>
      </c>
      <c r="BG472" s="139" t="s">
        <v>1546</v>
      </c>
      <c r="BH472" s="313"/>
      <c r="BI472" s="276"/>
      <c r="BJ472" s="276"/>
      <c r="BK472" s="46">
        <f t="shared" si="1"/>
        <v>1</v>
      </c>
      <c r="BL472" s="46"/>
      <c r="BM472" s="46"/>
      <c r="BN472" s="46"/>
    </row>
    <row r="473" spans="1:66" ht="12.75" hidden="1" customHeight="1">
      <c r="A473" s="22">
        <v>471</v>
      </c>
      <c r="B473" s="22" t="s">
        <v>535</v>
      </c>
      <c r="C473" s="22" t="e">
        <f t="shared" ca="1" si="0"/>
        <v>#NAME?</v>
      </c>
      <c r="D473" s="24" t="s">
        <v>405</v>
      </c>
      <c r="E473" s="22" t="s">
        <v>180</v>
      </c>
      <c r="F473" s="24" t="s">
        <v>1516</v>
      </c>
      <c r="G473" s="24" t="s">
        <v>1434</v>
      </c>
      <c r="H473" s="24"/>
      <c r="I473" s="24">
        <v>1</v>
      </c>
      <c r="J473" s="24" t="s">
        <v>1308</v>
      </c>
      <c r="K473" s="24"/>
      <c r="L473" s="24"/>
      <c r="M473" s="24"/>
      <c r="N473" s="24"/>
      <c r="O473" s="24"/>
      <c r="P473" s="164"/>
      <c r="Q473" s="164"/>
      <c r="R473" s="247"/>
      <c r="S473" s="196"/>
      <c r="T473" s="196"/>
      <c r="U473" s="196"/>
      <c r="V473" s="194"/>
      <c r="W473" s="194" t="s">
        <v>405</v>
      </c>
      <c r="X473" s="196"/>
      <c r="Y473" s="24"/>
      <c r="Z473" s="24"/>
      <c r="AA473" s="164"/>
      <c r="AB473" s="163"/>
      <c r="AC473" s="269"/>
      <c r="AD473" s="164"/>
      <c r="AE473" s="24"/>
      <c r="AF473" s="164"/>
      <c r="AG473" s="22"/>
      <c r="AH473" s="45"/>
      <c r="AI473" s="24"/>
      <c r="AJ473" s="196"/>
      <c r="AK473" s="22"/>
      <c r="AL473" s="22"/>
      <c r="AM473" s="22"/>
      <c r="AN473" s="22"/>
      <c r="AO473" s="22"/>
      <c r="AP473" s="22"/>
      <c r="AQ473" s="22"/>
      <c r="AR473" s="22"/>
      <c r="AS473" s="22"/>
      <c r="AT473" s="219"/>
      <c r="AU473" s="219"/>
      <c r="AV473" s="350" t="s">
        <v>1547</v>
      </c>
      <c r="AW473" s="219"/>
      <c r="AX473" s="219"/>
      <c r="AY473" s="219"/>
      <c r="AZ473" s="219"/>
      <c r="BA473" s="219"/>
      <c r="BB473" s="219"/>
      <c r="BC473" s="219"/>
      <c r="BD473" s="219"/>
      <c r="BE473" s="137" t="s">
        <v>1548</v>
      </c>
      <c r="BF473" s="143" t="s">
        <v>406</v>
      </c>
      <c r="BG473" s="167" t="s">
        <v>407</v>
      </c>
      <c r="BH473" s="220"/>
      <c r="BI473" s="351" t="s">
        <v>1547</v>
      </c>
      <c r="BJ473" s="220"/>
      <c r="BK473" s="46">
        <f t="shared" si="1"/>
        <v>1</v>
      </c>
      <c r="BL473" s="46"/>
      <c r="BM473" s="46"/>
      <c r="BN473" s="46"/>
    </row>
    <row r="474" spans="1:66" ht="12.75" hidden="1" customHeight="1">
      <c r="A474" s="22">
        <v>472</v>
      </c>
      <c r="B474" s="22" t="s">
        <v>1549</v>
      </c>
      <c r="C474" s="22" t="str">
        <f t="shared" si="0"/>
        <v>Specify - Abnormal Cardiac Exam</v>
      </c>
      <c r="D474" s="24" t="s">
        <v>1549</v>
      </c>
      <c r="E474" s="22" t="s">
        <v>96</v>
      </c>
      <c r="F474" s="24"/>
      <c r="G474" s="24" t="s">
        <v>1434</v>
      </c>
      <c r="H474" s="24"/>
      <c r="I474" s="24">
        <v>1</v>
      </c>
      <c r="J474" s="24" t="s">
        <v>1308</v>
      </c>
      <c r="K474" s="24"/>
      <c r="L474" s="24"/>
      <c r="M474" s="24"/>
      <c r="N474" s="24"/>
      <c r="O474" s="24"/>
      <c r="P474" s="164"/>
      <c r="Q474" s="164"/>
      <c r="R474" s="195" t="s">
        <v>409</v>
      </c>
      <c r="S474" s="194" t="s">
        <v>1550</v>
      </c>
      <c r="T474" s="194" t="s">
        <v>1551</v>
      </c>
      <c r="U474" s="194" t="s">
        <v>111</v>
      </c>
      <c r="V474" s="194"/>
      <c r="W474" s="194"/>
      <c r="X474" s="196"/>
      <c r="Y474" s="24"/>
      <c r="Z474" s="24"/>
      <c r="AA474" s="164"/>
      <c r="AB474" s="194" t="s">
        <v>208</v>
      </c>
      <c r="AC474" s="269"/>
      <c r="AD474" s="164"/>
      <c r="AE474" s="24"/>
      <c r="AF474" s="164"/>
      <c r="AG474" s="22"/>
      <c r="AH474" s="45"/>
      <c r="AI474" s="24"/>
      <c r="AJ474" s="194" t="s">
        <v>115</v>
      </c>
      <c r="AK474" s="22"/>
      <c r="AL474" s="22"/>
      <c r="AM474" s="22"/>
      <c r="AN474" s="22"/>
      <c r="AO474" s="22"/>
      <c r="AP474" s="22"/>
      <c r="AQ474" s="22"/>
      <c r="AR474" s="22"/>
      <c r="AS474" s="22"/>
      <c r="AT474" s="219"/>
      <c r="AU474" s="219"/>
      <c r="AV474" s="219"/>
      <c r="AW474" s="219" t="s">
        <v>1552</v>
      </c>
      <c r="AX474" s="219"/>
      <c r="AY474" s="219"/>
      <c r="AZ474" s="219"/>
      <c r="BA474" s="219"/>
      <c r="BB474" s="219"/>
      <c r="BC474" s="219"/>
      <c r="BD474" s="219"/>
      <c r="BE474" s="143" t="s">
        <v>1548</v>
      </c>
      <c r="BF474" s="143" t="s">
        <v>415</v>
      </c>
      <c r="BG474" s="167" t="s">
        <v>416</v>
      </c>
      <c r="BH474" s="311"/>
      <c r="BI474" s="311"/>
      <c r="BJ474" s="311" t="s">
        <v>1552</v>
      </c>
      <c r="BK474" s="46">
        <f t="shared" si="1"/>
        <v>1</v>
      </c>
      <c r="BL474" s="46"/>
      <c r="BM474" s="46"/>
      <c r="BN474" s="46"/>
    </row>
    <row r="475" spans="1:66" ht="12.75" hidden="1" customHeight="1">
      <c r="A475" s="22">
        <v>473</v>
      </c>
      <c r="B475" s="22" t="s">
        <v>1553</v>
      </c>
      <c r="C475" s="22" t="str">
        <f t="shared" si="0"/>
        <v>Breast exam</v>
      </c>
      <c r="D475" s="24" t="s">
        <v>1553</v>
      </c>
      <c r="E475" s="22" t="s">
        <v>96</v>
      </c>
      <c r="F475" s="24"/>
      <c r="G475" s="24" t="s">
        <v>1434</v>
      </c>
      <c r="H475" s="24"/>
      <c r="I475" s="24">
        <v>1</v>
      </c>
      <c r="J475" s="24" t="s">
        <v>1308</v>
      </c>
      <c r="K475" s="24"/>
      <c r="L475" s="24"/>
      <c r="M475" s="24"/>
      <c r="N475" s="24"/>
      <c r="O475" s="24"/>
      <c r="P475" s="164"/>
      <c r="Q475" s="164"/>
      <c r="R475" s="195" t="s">
        <v>1553</v>
      </c>
      <c r="S475" s="163" t="s">
        <v>1554</v>
      </c>
      <c r="T475" s="163" t="s">
        <v>1555</v>
      </c>
      <c r="U475" s="163" t="s">
        <v>202</v>
      </c>
      <c r="V475" s="163"/>
      <c r="W475" s="163"/>
      <c r="X475" s="163"/>
      <c r="Y475" s="24"/>
      <c r="Z475" s="24"/>
      <c r="AA475" s="164"/>
      <c r="AB475" s="163" t="s">
        <v>208</v>
      </c>
      <c r="AC475" s="269"/>
      <c r="AD475" s="164"/>
      <c r="AE475" s="24"/>
      <c r="AF475" s="164"/>
      <c r="AG475" s="22"/>
      <c r="AH475" s="45"/>
      <c r="AI475" s="24"/>
      <c r="AJ475" s="163" t="s">
        <v>1277</v>
      </c>
      <c r="AK475" s="22"/>
      <c r="AL475" s="22"/>
      <c r="AM475" s="22"/>
      <c r="AN475" s="22"/>
      <c r="AO475" s="22"/>
      <c r="AP475" s="22"/>
      <c r="AQ475" s="22"/>
      <c r="AR475" s="22"/>
      <c r="AS475" s="22"/>
      <c r="AT475" s="275"/>
      <c r="AU475" s="275"/>
      <c r="AV475" s="275"/>
      <c r="AW475" s="275"/>
      <c r="AX475" s="275"/>
      <c r="AY475" s="275"/>
      <c r="AZ475" s="275"/>
      <c r="BA475" s="275"/>
      <c r="BB475" s="275"/>
      <c r="BC475" s="275"/>
      <c r="BD475" s="275"/>
      <c r="BE475" s="137" t="s">
        <v>115</v>
      </c>
      <c r="BF475" s="137" t="s">
        <v>1556</v>
      </c>
      <c r="BG475" s="139" t="s">
        <v>1557</v>
      </c>
      <c r="BH475" s="313"/>
      <c r="BI475" s="276"/>
      <c r="BJ475" s="276"/>
      <c r="BK475" s="46">
        <f t="shared" si="1"/>
        <v>1</v>
      </c>
      <c r="BL475" s="46"/>
      <c r="BM475" s="46"/>
      <c r="BN475" s="46"/>
    </row>
    <row r="476" spans="1:66" ht="12.75" hidden="1" customHeight="1">
      <c r="A476" s="22">
        <v>474</v>
      </c>
      <c r="B476" s="22" t="s">
        <v>2118</v>
      </c>
      <c r="C476" s="22" t="e">
        <f t="shared" ca="1" si="0"/>
        <v>#NAME?</v>
      </c>
      <c r="D476" s="24" t="s">
        <v>1468</v>
      </c>
      <c r="E476" s="22" t="s">
        <v>180</v>
      </c>
      <c r="F476" s="24" t="s">
        <v>1553</v>
      </c>
      <c r="G476" s="24" t="s">
        <v>1434</v>
      </c>
      <c r="H476" s="24"/>
      <c r="I476" s="24">
        <v>1</v>
      </c>
      <c r="J476" s="24" t="s">
        <v>1308</v>
      </c>
      <c r="K476" s="24"/>
      <c r="L476" s="24"/>
      <c r="M476" s="24"/>
      <c r="N476" s="24"/>
      <c r="O476" s="24"/>
      <c r="P476" s="164"/>
      <c r="Q476" s="164"/>
      <c r="R476" s="247"/>
      <c r="S476" s="163"/>
      <c r="T476" s="163"/>
      <c r="U476" s="196"/>
      <c r="V476" s="163"/>
      <c r="W476" s="163" t="s">
        <v>1468</v>
      </c>
      <c r="X476" s="196"/>
      <c r="Y476" s="24"/>
      <c r="Z476" s="24"/>
      <c r="AA476" s="164"/>
      <c r="AB476" s="163"/>
      <c r="AC476" s="269"/>
      <c r="AD476" s="164"/>
      <c r="AE476" s="24"/>
      <c r="AF476" s="164"/>
      <c r="AG476" s="22"/>
      <c r="AH476" s="45"/>
      <c r="AI476" s="24"/>
      <c r="AJ476" s="196"/>
      <c r="AK476" s="22"/>
      <c r="AL476" s="22"/>
      <c r="AM476" s="22"/>
      <c r="AN476" s="22"/>
      <c r="AO476" s="22"/>
      <c r="AP476" s="22"/>
      <c r="AQ476" s="22"/>
      <c r="AR476" s="22"/>
      <c r="AS476" s="22"/>
      <c r="AT476" s="219"/>
      <c r="AU476" s="219"/>
      <c r="AV476" s="219">
        <v>385660001</v>
      </c>
      <c r="AW476" s="219"/>
      <c r="AX476" s="219"/>
      <c r="AY476" s="219"/>
      <c r="AZ476" s="219"/>
      <c r="BA476" s="219"/>
      <c r="BB476" s="219"/>
      <c r="BC476" s="219"/>
      <c r="BD476" s="219"/>
      <c r="BE476" s="137" t="s">
        <v>115</v>
      </c>
      <c r="BF476" s="137" t="s">
        <v>1469</v>
      </c>
      <c r="BG476" s="139" t="s">
        <v>1470</v>
      </c>
      <c r="BH476" s="220"/>
      <c r="BI476" s="220">
        <v>385660001</v>
      </c>
      <c r="BJ476" s="220"/>
      <c r="BK476" s="46">
        <f t="shared" si="1"/>
        <v>1</v>
      </c>
      <c r="BL476" s="46"/>
      <c r="BM476" s="46"/>
      <c r="BN476" s="46"/>
    </row>
    <row r="477" spans="1:66" ht="12.75" hidden="1" customHeight="1">
      <c r="A477" s="22">
        <v>475</v>
      </c>
      <c r="B477" s="22" t="s">
        <v>2130</v>
      </c>
      <c r="C477" s="22" t="e">
        <f t="shared" ca="1" si="0"/>
        <v>#NAME?</v>
      </c>
      <c r="D477" s="24" t="s">
        <v>1471</v>
      </c>
      <c r="E477" s="22" t="s">
        <v>180</v>
      </c>
      <c r="F477" s="24" t="s">
        <v>1553</v>
      </c>
      <c r="G477" s="24" t="s">
        <v>1434</v>
      </c>
      <c r="H477" s="24"/>
      <c r="I477" s="24">
        <v>1</v>
      </c>
      <c r="J477" s="24" t="s">
        <v>1308</v>
      </c>
      <c r="K477" s="24"/>
      <c r="L477" s="24"/>
      <c r="M477" s="24"/>
      <c r="N477" s="24"/>
      <c r="O477" s="24"/>
      <c r="P477" s="164"/>
      <c r="Q477" s="164"/>
      <c r="R477" s="247"/>
      <c r="S477" s="163"/>
      <c r="T477" s="163"/>
      <c r="U477" s="196"/>
      <c r="V477" s="194"/>
      <c r="W477" s="194" t="s">
        <v>1471</v>
      </c>
      <c r="X477" s="196"/>
      <c r="Y477" s="24"/>
      <c r="Z477" s="24"/>
      <c r="AA477" s="164"/>
      <c r="AB477" s="163"/>
      <c r="AC477" s="269"/>
      <c r="AD477" s="164"/>
      <c r="AE477" s="24"/>
      <c r="AF477" s="164"/>
      <c r="AG477" s="22"/>
      <c r="AH477" s="45"/>
      <c r="AI477" s="24"/>
      <c r="AJ477" s="196"/>
      <c r="AK477" s="22"/>
      <c r="AL477" s="22"/>
      <c r="AM477" s="22"/>
      <c r="AN477" s="22"/>
      <c r="AO477" s="22"/>
      <c r="AP477" s="22"/>
      <c r="AQ477" s="22"/>
      <c r="AR477" s="22"/>
      <c r="AS477" s="22"/>
      <c r="AT477" s="219"/>
      <c r="AU477" s="219"/>
      <c r="AV477" s="219">
        <v>17621005</v>
      </c>
      <c r="AW477" s="219"/>
      <c r="AX477" s="219"/>
      <c r="AY477" s="219"/>
      <c r="AZ477" s="219"/>
      <c r="BA477" s="219"/>
      <c r="BB477" s="219"/>
      <c r="BC477" s="219"/>
      <c r="BD477" s="219"/>
      <c r="BE477" s="137" t="s">
        <v>115</v>
      </c>
      <c r="BF477" s="137" t="s">
        <v>1472</v>
      </c>
      <c r="BG477" s="139" t="s">
        <v>1473</v>
      </c>
      <c r="BH477" s="220"/>
      <c r="BI477" s="220">
        <v>17621005</v>
      </c>
      <c r="BJ477" s="220"/>
      <c r="BK477" s="46">
        <f t="shared" si="1"/>
        <v>1</v>
      </c>
      <c r="BL477" s="46"/>
      <c r="BM477" s="46"/>
      <c r="BN477" s="46"/>
    </row>
    <row r="478" spans="1:66" ht="12.75" hidden="1" customHeight="1">
      <c r="A478" s="22">
        <v>476</v>
      </c>
      <c r="B478" s="22" t="s">
        <v>2143</v>
      </c>
      <c r="C478" s="22" t="e">
        <f t="shared" ca="1" si="0"/>
        <v>#NAME?</v>
      </c>
      <c r="D478" s="24" t="s">
        <v>1474</v>
      </c>
      <c r="E478" s="22" t="s">
        <v>180</v>
      </c>
      <c r="F478" s="24" t="s">
        <v>1553</v>
      </c>
      <c r="G478" s="24" t="s">
        <v>1434</v>
      </c>
      <c r="H478" s="24"/>
      <c r="I478" s="24">
        <v>1</v>
      </c>
      <c r="J478" s="24" t="s">
        <v>1308</v>
      </c>
      <c r="K478" s="24"/>
      <c r="L478" s="24"/>
      <c r="M478" s="24"/>
      <c r="N478" s="24"/>
      <c r="O478" s="24"/>
      <c r="P478" s="164"/>
      <c r="Q478" s="164"/>
      <c r="R478" s="247"/>
      <c r="S478" s="163"/>
      <c r="T478" s="163"/>
      <c r="U478" s="196"/>
      <c r="V478" s="194"/>
      <c r="W478" s="194" t="s">
        <v>1474</v>
      </c>
      <c r="X478" s="196"/>
      <c r="Y478" s="24"/>
      <c r="Z478" s="24"/>
      <c r="AA478" s="164"/>
      <c r="AB478" s="163"/>
      <c r="AC478" s="269"/>
      <c r="AD478" s="164"/>
      <c r="AE478" s="24"/>
      <c r="AF478" s="164"/>
      <c r="AG478" s="22"/>
      <c r="AH478" s="45"/>
      <c r="AI478" s="24"/>
      <c r="AJ478" s="196"/>
      <c r="AK478" s="22"/>
      <c r="AL478" s="22"/>
      <c r="AM478" s="22"/>
      <c r="AN478" s="22"/>
      <c r="AO478" s="22"/>
      <c r="AP478" s="22"/>
      <c r="AQ478" s="22"/>
      <c r="AR478" s="22"/>
      <c r="AS478" s="22"/>
      <c r="AT478" s="219"/>
      <c r="AU478" s="219"/>
      <c r="AV478" s="135">
        <v>263654008</v>
      </c>
      <c r="AW478" s="219"/>
      <c r="AX478" s="219"/>
      <c r="AY478" s="219"/>
      <c r="AZ478" s="219"/>
      <c r="BA478" s="219"/>
      <c r="BB478" s="219"/>
      <c r="BC478" s="219"/>
      <c r="BD478" s="219"/>
      <c r="BE478" s="137" t="s">
        <v>115</v>
      </c>
      <c r="BF478" s="137" t="s">
        <v>1475</v>
      </c>
      <c r="BG478" s="139" t="s">
        <v>1476</v>
      </c>
      <c r="BH478" s="220"/>
      <c r="BI478" s="140">
        <v>263654008</v>
      </c>
      <c r="BJ478" s="220"/>
      <c r="BK478" s="46">
        <f t="shared" si="1"/>
        <v>1</v>
      </c>
      <c r="BL478" s="46"/>
      <c r="BM478" s="46"/>
      <c r="BN478" s="46"/>
    </row>
    <row r="479" spans="1:66" ht="12.75" hidden="1" customHeight="1">
      <c r="A479" s="22">
        <v>477</v>
      </c>
      <c r="B479" s="22" t="s">
        <v>1558</v>
      </c>
      <c r="C479" s="22" t="str">
        <f t="shared" si="0"/>
        <v>Abnormal (specify) - Breast Exam</v>
      </c>
      <c r="D479" s="24" t="s">
        <v>1558</v>
      </c>
      <c r="E479" s="22" t="s">
        <v>96</v>
      </c>
      <c r="F479" s="24"/>
      <c r="G479" s="24" t="s">
        <v>1434</v>
      </c>
      <c r="H479" s="24"/>
      <c r="I479" s="24">
        <v>1</v>
      </c>
      <c r="J479" s="24" t="s">
        <v>1308</v>
      </c>
      <c r="K479" s="24"/>
      <c r="L479" s="24"/>
      <c r="M479" s="24"/>
      <c r="N479" s="24"/>
      <c r="O479" s="24"/>
      <c r="P479" s="164"/>
      <c r="Q479" s="164"/>
      <c r="R479" s="247" t="s">
        <v>1478</v>
      </c>
      <c r="S479" s="163" t="s">
        <v>1559</v>
      </c>
      <c r="T479" s="163" t="s">
        <v>1480</v>
      </c>
      <c r="U479" s="196" t="s">
        <v>238</v>
      </c>
      <c r="V479" s="194"/>
      <c r="W479" s="194"/>
      <c r="X479" s="196"/>
      <c r="Y479" s="24"/>
      <c r="Z479" s="24"/>
      <c r="AA479" s="164"/>
      <c r="AB479" s="163" t="s">
        <v>208</v>
      </c>
      <c r="AC479" s="269"/>
      <c r="AD479" s="164"/>
      <c r="AE479" s="24"/>
      <c r="AF479" s="164"/>
      <c r="AG479" s="22"/>
      <c r="AH479" s="45"/>
      <c r="AI479" s="24"/>
      <c r="AJ479" s="196" t="s">
        <v>115</v>
      </c>
      <c r="AK479" s="22"/>
      <c r="AL479" s="22"/>
      <c r="AM479" s="22"/>
      <c r="AN479" s="22"/>
      <c r="AO479" s="22"/>
      <c r="AP479" s="22"/>
      <c r="AQ479" s="22"/>
      <c r="AR479" s="22"/>
      <c r="AS479" s="22"/>
      <c r="AT479" s="219"/>
      <c r="AU479" s="219"/>
      <c r="AV479" s="135">
        <v>271886009</v>
      </c>
      <c r="AW479" s="219"/>
      <c r="AX479" s="219"/>
      <c r="AY479" s="219"/>
      <c r="AZ479" s="219"/>
      <c r="BA479" s="219"/>
      <c r="BB479" s="219"/>
      <c r="BC479" s="219"/>
      <c r="BD479" s="219"/>
      <c r="BE479" s="137" t="s">
        <v>115</v>
      </c>
      <c r="BF479" s="137" t="s">
        <v>1560</v>
      </c>
      <c r="BG479" s="139" t="s">
        <v>1561</v>
      </c>
      <c r="BH479" s="220"/>
      <c r="BI479" s="140">
        <v>271886009</v>
      </c>
      <c r="BJ479" s="220"/>
      <c r="BK479" s="46">
        <f t="shared" si="1"/>
        <v>1</v>
      </c>
      <c r="BL479" s="46"/>
      <c r="BM479" s="46"/>
      <c r="BN479" s="46"/>
    </row>
    <row r="480" spans="1:66" ht="12.75" hidden="1" customHeight="1">
      <c r="A480" s="22">
        <v>478</v>
      </c>
      <c r="B480" s="22" t="s">
        <v>2324</v>
      </c>
      <c r="C480" s="22" t="e">
        <f t="shared" ca="1" si="0"/>
        <v>#NAME?</v>
      </c>
      <c r="D480" s="24" t="s">
        <v>1562</v>
      </c>
      <c r="E480" s="22" t="s">
        <v>180</v>
      </c>
      <c r="F480" s="24" t="s">
        <v>1558</v>
      </c>
      <c r="G480" s="24" t="s">
        <v>1434</v>
      </c>
      <c r="H480" s="24"/>
      <c r="I480" s="24">
        <v>1</v>
      </c>
      <c r="J480" s="24" t="s">
        <v>1308</v>
      </c>
      <c r="K480" s="24"/>
      <c r="L480" s="24"/>
      <c r="M480" s="24"/>
      <c r="N480" s="24"/>
      <c r="O480" s="24"/>
      <c r="P480" s="164"/>
      <c r="Q480" s="164"/>
      <c r="R480" s="247"/>
      <c r="S480" s="196"/>
      <c r="T480" s="196"/>
      <c r="U480" s="196"/>
      <c r="V480" s="194"/>
      <c r="W480" s="194" t="s">
        <v>1562</v>
      </c>
      <c r="X480" s="196"/>
      <c r="Y480" s="24"/>
      <c r="Z480" s="24"/>
      <c r="AA480" s="164"/>
      <c r="AB480" s="163"/>
      <c r="AC480" s="269"/>
      <c r="AD480" s="164"/>
      <c r="AE480" s="24"/>
      <c r="AF480" s="164"/>
      <c r="AG480" s="22"/>
      <c r="AH480" s="45"/>
      <c r="AI480" s="24"/>
      <c r="AJ480" s="196"/>
      <c r="AK480" s="22"/>
      <c r="AL480" s="22"/>
      <c r="AM480" s="22"/>
      <c r="AN480" s="22"/>
      <c r="AO480" s="22"/>
      <c r="AP480" s="22"/>
      <c r="AQ480" s="22"/>
      <c r="AR480" s="22"/>
      <c r="AS480" s="22"/>
      <c r="AT480" s="135" t="s">
        <v>1563</v>
      </c>
      <c r="AU480" s="219"/>
      <c r="AV480" s="135">
        <v>89164003</v>
      </c>
      <c r="AW480" s="219"/>
      <c r="AX480" s="219"/>
      <c r="AY480" s="219"/>
      <c r="AZ480" s="219"/>
      <c r="BA480" s="219"/>
      <c r="BB480" s="219"/>
      <c r="BC480" s="219"/>
      <c r="BD480" s="219"/>
      <c r="BE480" s="137" t="s">
        <v>115</v>
      </c>
      <c r="BF480" s="137" t="s">
        <v>1564</v>
      </c>
      <c r="BG480" s="139" t="s">
        <v>1565</v>
      </c>
      <c r="BH480" s="140" t="s">
        <v>1563</v>
      </c>
      <c r="BI480" s="140">
        <v>89164003</v>
      </c>
      <c r="BJ480" s="220"/>
      <c r="BK480" s="46">
        <f t="shared" si="1"/>
        <v>1</v>
      </c>
      <c r="BL480" s="46"/>
      <c r="BM480" s="46"/>
      <c r="BN480" s="46"/>
    </row>
    <row r="481" spans="1:66" ht="12.75" hidden="1" customHeight="1">
      <c r="A481" s="22">
        <v>479</v>
      </c>
      <c r="B481" s="22" t="s">
        <v>2331</v>
      </c>
      <c r="C481" s="22" t="e">
        <f t="shared" ca="1" si="0"/>
        <v>#NAME?</v>
      </c>
      <c r="D481" s="24" t="s">
        <v>1566</v>
      </c>
      <c r="E481" s="22" t="s">
        <v>180</v>
      </c>
      <c r="F481" s="24" t="s">
        <v>1558</v>
      </c>
      <c r="G481" s="24" t="s">
        <v>1434</v>
      </c>
      <c r="H481" s="24"/>
      <c r="I481" s="24">
        <v>1</v>
      </c>
      <c r="J481" s="24" t="s">
        <v>1308</v>
      </c>
      <c r="K481" s="24"/>
      <c r="L481" s="24"/>
      <c r="M481" s="24"/>
      <c r="N481" s="24"/>
      <c r="O481" s="24"/>
      <c r="P481" s="164"/>
      <c r="Q481" s="164"/>
      <c r="R481" s="247"/>
      <c r="S481" s="196"/>
      <c r="T481" s="196"/>
      <c r="U481" s="196"/>
      <c r="V481" s="194"/>
      <c r="W481" s="194" t="s">
        <v>1566</v>
      </c>
      <c r="X481" s="196"/>
      <c r="Y481" s="24"/>
      <c r="Z481" s="24"/>
      <c r="AA481" s="164"/>
      <c r="AB481" s="163"/>
      <c r="AC481" s="269"/>
      <c r="AD481" s="164"/>
      <c r="AE481" s="24"/>
      <c r="AF481" s="164"/>
      <c r="AG481" s="22"/>
      <c r="AH481" s="45"/>
      <c r="AI481" s="24"/>
      <c r="AJ481" s="196"/>
      <c r="AK481" s="22"/>
      <c r="AL481" s="22"/>
      <c r="AM481" s="22"/>
      <c r="AN481" s="22"/>
      <c r="AO481" s="22"/>
      <c r="AP481" s="22"/>
      <c r="AQ481" s="22"/>
      <c r="AR481" s="22"/>
      <c r="AS481" s="22"/>
      <c r="AT481" s="135" t="s">
        <v>1567</v>
      </c>
      <c r="AU481" s="219"/>
      <c r="AV481" s="135">
        <v>54302000</v>
      </c>
      <c r="AW481" s="219"/>
      <c r="AX481" s="219"/>
      <c r="AY481" s="219"/>
      <c r="AZ481" s="219"/>
      <c r="BA481" s="219"/>
      <c r="BB481" s="219"/>
      <c r="BC481" s="219"/>
      <c r="BD481" s="219"/>
      <c r="BE481" s="137" t="s">
        <v>115</v>
      </c>
      <c r="BF481" s="137" t="s">
        <v>1568</v>
      </c>
      <c r="BG481" s="139" t="s">
        <v>1569</v>
      </c>
      <c r="BH481" s="140" t="s">
        <v>1567</v>
      </c>
      <c r="BI481" s="140">
        <v>54302000</v>
      </c>
      <c r="BJ481" s="220"/>
      <c r="BK481" s="46">
        <f t="shared" si="1"/>
        <v>1</v>
      </c>
      <c r="BL481" s="46"/>
      <c r="BM481" s="46"/>
      <c r="BN481" s="46"/>
    </row>
    <row r="482" spans="1:66" ht="12.75" hidden="1" customHeight="1">
      <c r="A482" s="22">
        <v>480</v>
      </c>
      <c r="B482" s="22" t="s">
        <v>2337</v>
      </c>
      <c r="C482" s="22" t="e">
        <f t="shared" ca="1" si="0"/>
        <v>#NAME?</v>
      </c>
      <c r="D482" s="24" t="s">
        <v>1570</v>
      </c>
      <c r="E482" s="22" t="s">
        <v>180</v>
      </c>
      <c r="F482" s="24" t="s">
        <v>1558</v>
      </c>
      <c r="G482" s="24" t="s">
        <v>1434</v>
      </c>
      <c r="H482" s="24"/>
      <c r="I482" s="24">
        <v>1</v>
      </c>
      <c r="J482" s="24" t="s">
        <v>1308</v>
      </c>
      <c r="K482" s="24"/>
      <c r="L482" s="24"/>
      <c r="M482" s="24"/>
      <c r="N482" s="24"/>
      <c r="O482" s="24"/>
      <c r="P482" s="164"/>
      <c r="Q482" s="164"/>
      <c r="R482" s="247"/>
      <c r="S482" s="196"/>
      <c r="T482" s="196"/>
      <c r="U482" s="196"/>
      <c r="V482" s="194"/>
      <c r="W482" s="194" t="s">
        <v>1570</v>
      </c>
      <c r="X482" s="196"/>
      <c r="Y482" s="24"/>
      <c r="Z482" s="24"/>
      <c r="AA482" s="164"/>
      <c r="AB482" s="163"/>
      <c r="AC482" s="269"/>
      <c r="AD482" s="164"/>
      <c r="AE482" s="24"/>
      <c r="AF482" s="164"/>
      <c r="AG482" s="22"/>
      <c r="AH482" s="45"/>
      <c r="AI482" s="24"/>
      <c r="AJ482" s="196"/>
      <c r="AK482" s="22"/>
      <c r="AL482" s="22"/>
      <c r="AM482" s="22"/>
      <c r="AN482" s="22"/>
      <c r="AO482" s="22"/>
      <c r="AP482" s="22"/>
      <c r="AQ482" s="22"/>
      <c r="AR482" s="22"/>
      <c r="AS482" s="22"/>
      <c r="AT482" s="135" t="s">
        <v>1571</v>
      </c>
      <c r="AU482" s="219"/>
      <c r="AV482" s="135">
        <v>238810007</v>
      </c>
      <c r="AW482" s="219"/>
      <c r="AX482" s="219"/>
      <c r="AY482" s="219"/>
      <c r="AZ482" s="219"/>
      <c r="BA482" s="219"/>
      <c r="BB482" s="219"/>
      <c r="BC482" s="219"/>
      <c r="BD482" s="219"/>
      <c r="BE482" s="137" t="s">
        <v>115</v>
      </c>
      <c r="BF482" s="137" t="s">
        <v>1572</v>
      </c>
      <c r="BG482" s="139" t="s">
        <v>1573</v>
      </c>
      <c r="BH482" s="145" t="s">
        <v>1571</v>
      </c>
      <c r="BI482" s="140">
        <v>238810007</v>
      </c>
      <c r="BJ482" s="220"/>
      <c r="BK482" s="46">
        <f t="shared" si="1"/>
        <v>1</v>
      </c>
      <c r="BL482" s="46"/>
      <c r="BM482" s="46"/>
      <c r="BN482" s="46"/>
    </row>
    <row r="483" spans="1:66" ht="12.75" hidden="1" customHeight="1">
      <c r="A483" s="22">
        <v>481</v>
      </c>
      <c r="B483" s="22" t="s">
        <v>2346</v>
      </c>
      <c r="C483" s="22" t="e">
        <f t="shared" ca="1" si="0"/>
        <v>#NAME?</v>
      </c>
      <c r="D483" s="24" t="s">
        <v>1574</v>
      </c>
      <c r="E483" s="22" t="s">
        <v>180</v>
      </c>
      <c r="F483" s="24" t="s">
        <v>1558</v>
      </c>
      <c r="G483" s="24" t="s">
        <v>1434</v>
      </c>
      <c r="H483" s="24"/>
      <c r="I483" s="24">
        <v>1</v>
      </c>
      <c r="J483" s="24" t="s">
        <v>1308</v>
      </c>
      <c r="K483" s="24"/>
      <c r="L483" s="24"/>
      <c r="M483" s="24"/>
      <c r="N483" s="24"/>
      <c r="O483" s="24"/>
      <c r="P483" s="164"/>
      <c r="Q483" s="164"/>
      <c r="R483" s="247"/>
      <c r="S483" s="196"/>
      <c r="T483" s="196"/>
      <c r="U483" s="196"/>
      <c r="V483" s="194"/>
      <c r="W483" s="194" t="s">
        <v>1574</v>
      </c>
      <c r="X483" s="196"/>
      <c r="Y483" s="24"/>
      <c r="Z483" s="24"/>
      <c r="AA483" s="164"/>
      <c r="AB483" s="163"/>
      <c r="AC483" s="269"/>
      <c r="AD483" s="164"/>
      <c r="AE483" s="24"/>
      <c r="AF483" s="164"/>
      <c r="AG483" s="22"/>
      <c r="AH483" s="45"/>
      <c r="AI483" s="24"/>
      <c r="AJ483" s="196"/>
      <c r="AK483" s="22"/>
      <c r="AL483" s="22"/>
      <c r="AM483" s="22"/>
      <c r="AN483" s="22"/>
      <c r="AO483" s="22"/>
      <c r="AP483" s="22"/>
      <c r="AQ483" s="22"/>
      <c r="AR483" s="22"/>
      <c r="AS483" s="22"/>
      <c r="AT483" s="156" t="s">
        <v>1575</v>
      </c>
      <c r="AU483" s="219"/>
      <c r="AV483" s="219">
        <v>53430007</v>
      </c>
      <c r="AW483" s="219"/>
      <c r="AX483" s="219"/>
      <c r="AY483" s="219"/>
      <c r="AZ483" s="219"/>
      <c r="BA483" s="219"/>
      <c r="BB483" s="219"/>
      <c r="BC483" s="219"/>
      <c r="BD483" s="219"/>
      <c r="BE483" s="137" t="s">
        <v>115</v>
      </c>
      <c r="BF483" s="137" t="s">
        <v>1576</v>
      </c>
      <c r="BG483" s="139" t="s">
        <v>1577</v>
      </c>
      <c r="BH483" s="349" t="s">
        <v>1575</v>
      </c>
      <c r="BI483" s="311">
        <v>53430007</v>
      </c>
      <c r="BJ483" s="220"/>
      <c r="BK483" s="46">
        <f t="shared" si="1"/>
        <v>1</v>
      </c>
      <c r="BL483" s="46"/>
      <c r="BM483" s="46"/>
      <c r="BN483" s="46"/>
    </row>
    <row r="484" spans="1:66" ht="12.75" hidden="1" customHeight="1">
      <c r="A484" s="22">
        <v>482</v>
      </c>
      <c r="B484" s="22" t="s">
        <v>2348</v>
      </c>
      <c r="C484" s="22" t="e">
        <f t="shared" ca="1" si="0"/>
        <v>#NAME?</v>
      </c>
      <c r="D484" s="24" t="s">
        <v>1578</v>
      </c>
      <c r="E484" s="22" t="s">
        <v>180</v>
      </c>
      <c r="F484" s="24" t="s">
        <v>1558</v>
      </c>
      <c r="G484" s="24" t="s">
        <v>1434</v>
      </c>
      <c r="H484" s="24"/>
      <c r="I484" s="24">
        <v>1</v>
      </c>
      <c r="J484" s="24" t="s">
        <v>1308</v>
      </c>
      <c r="K484" s="24"/>
      <c r="L484" s="24"/>
      <c r="M484" s="24"/>
      <c r="N484" s="24"/>
      <c r="O484" s="24"/>
      <c r="P484" s="164"/>
      <c r="Q484" s="164"/>
      <c r="R484" s="247"/>
      <c r="S484" s="196"/>
      <c r="T484" s="196"/>
      <c r="U484" s="196"/>
      <c r="V484" s="194"/>
      <c r="W484" s="194" t="s">
        <v>1578</v>
      </c>
      <c r="X484" s="196"/>
      <c r="Y484" s="24"/>
      <c r="Z484" s="24"/>
      <c r="AA484" s="164"/>
      <c r="AB484" s="163"/>
      <c r="AC484" s="269"/>
      <c r="AD484" s="164"/>
      <c r="AE484" s="24"/>
      <c r="AF484" s="164"/>
      <c r="AG484" s="22"/>
      <c r="AH484" s="45"/>
      <c r="AI484" s="24"/>
      <c r="AJ484" s="196"/>
      <c r="AK484" s="22"/>
      <c r="AL484" s="22"/>
      <c r="AM484" s="22"/>
      <c r="AN484" s="22"/>
      <c r="AO484" s="22"/>
      <c r="AP484" s="22"/>
      <c r="AQ484" s="22"/>
      <c r="AR484" s="22"/>
      <c r="AS484" s="22"/>
      <c r="AT484" s="210" t="s">
        <v>1579</v>
      </c>
      <c r="AU484" s="219"/>
      <c r="AV484" s="156">
        <v>52297004</v>
      </c>
      <c r="AW484" s="219"/>
      <c r="AX484" s="219"/>
      <c r="AY484" s="219"/>
      <c r="AZ484" s="219"/>
      <c r="BA484" s="219"/>
      <c r="BB484" s="219"/>
      <c r="BC484" s="219"/>
      <c r="BD484" s="219"/>
      <c r="BE484" s="137" t="s">
        <v>115</v>
      </c>
      <c r="BF484" s="137" t="s">
        <v>1580</v>
      </c>
      <c r="BG484" s="139" t="s">
        <v>1581</v>
      </c>
      <c r="BH484" s="274" t="s">
        <v>1579</v>
      </c>
      <c r="BI484" s="157">
        <v>52297004</v>
      </c>
      <c r="BJ484" s="311"/>
      <c r="BK484" s="46">
        <f t="shared" si="1"/>
        <v>1</v>
      </c>
      <c r="BL484" s="46"/>
      <c r="BM484" s="46"/>
      <c r="BN484" s="46"/>
    </row>
    <row r="485" spans="1:66" ht="12.75" hidden="1" customHeight="1">
      <c r="A485" s="22">
        <v>483</v>
      </c>
      <c r="B485" s="22" t="s">
        <v>2359</v>
      </c>
      <c r="C485" s="22" t="e">
        <f t="shared" ca="1" si="0"/>
        <v>#NAME?</v>
      </c>
      <c r="D485" s="24" t="s">
        <v>1582</v>
      </c>
      <c r="E485" s="22" t="s">
        <v>180</v>
      </c>
      <c r="F485" s="24" t="s">
        <v>1558</v>
      </c>
      <c r="G485" s="24" t="s">
        <v>1434</v>
      </c>
      <c r="H485" s="24"/>
      <c r="I485" s="24">
        <v>1</v>
      </c>
      <c r="J485" s="24" t="s">
        <v>1308</v>
      </c>
      <c r="K485" s="24"/>
      <c r="L485" s="24"/>
      <c r="M485" s="24"/>
      <c r="N485" s="24"/>
      <c r="O485" s="24"/>
      <c r="P485" s="164"/>
      <c r="Q485" s="164"/>
      <c r="R485" s="247"/>
      <c r="S485" s="196"/>
      <c r="T485" s="196"/>
      <c r="U485" s="196"/>
      <c r="V485" s="194"/>
      <c r="W485" s="194" t="s">
        <v>1582</v>
      </c>
      <c r="X485" s="196"/>
      <c r="Y485" s="24"/>
      <c r="Z485" s="24"/>
      <c r="AA485" s="164"/>
      <c r="AB485" s="163"/>
      <c r="AC485" s="269"/>
      <c r="AD485" s="164"/>
      <c r="AE485" s="24"/>
      <c r="AF485" s="164"/>
      <c r="AG485" s="22"/>
      <c r="AH485" s="45"/>
      <c r="AI485" s="24"/>
      <c r="AJ485" s="196"/>
      <c r="AK485" s="22"/>
      <c r="AL485" s="22"/>
      <c r="AM485" s="22"/>
      <c r="AN485" s="22"/>
      <c r="AO485" s="22"/>
      <c r="AP485" s="22"/>
      <c r="AQ485" s="22"/>
      <c r="AR485" s="22"/>
      <c r="AS485" s="22"/>
      <c r="AT485" s="275"/>
      <c r="AU485" s="275"/>
      <c r="AV485" s="275"/>
      <c r="AW485" s="275"/>
      <c r="AX485" s="275"/>
      <c r="AY485" s="275"/>
      <c r="AZ485" s="275"/>
      <c r="BA485" s="275"/>
      <c r="BB485" s="275"/>
      <c r="BC485" s="275"/>
      <c r="BD485" s="275"/>
      <c r="BE485" s="137" t="s">
        <v>115</v>
      </c>
      <c r="BF485" s="137" t="s">
        <v>1583</v>
      </c>
      <c r="BG485" s="139" t="s">
        <v>1584</v>
      </c>
      <c r="BH485" s="313"/>
      <c r="BI485" s="276"/>
      <c r="BJ485" s="276"/>
      <c r="BK485" s="46">
        <f t="shared" si="1"/>
        <v>1</v>
      </c>
      <c r="BL485" s="46"/>
      <c r="BM485" s="46"/>
      <c r="BN485" s="46"/>
    </row>
    <row r="486" spans="1:66" ht="12.75" hidden="1" customHeight="1">
      <c r="A486" s="22">
        <v>484</v>
      </c>
      <c r="B486" s="22" t="s">
        <v>535</v>
      </c>
      <c r="C486" s="22" t="e">
        <f t="shared" ca="1" si="0"/>
        <v>#NAME?</v>
      </c>
      <c r="D486" s="24" t="s">
        <v>405</v>
      </c>
      <c r="E486" s="22" t="s">
        <v>180</v>
      </c>
      <c r="F486" s="24" t="s">
        <v>1558</v>
      </c>
      <c r="G486" s="24" t="s">
        <v>1434</v>
      </c>
      <c r="H486" s="24"/>
      <c r="I486" s="24">
        <v>1</v>
      </c>
      <c r="J486" s="24" t="s">
        <v>1308</v>
      </c>
      <c r="K486" s="24"/>
      <c r="L486" s="24"/>
      <c r="M486" s="24"/>
      <c r="N486" s="24"/>
      <c r="O486" s="24"/>
      <c r="P486" s="164"/>
      <c r="Q486" s="164"/>
      <c r="R486" s="247"/>
      <c r="S486" s="196"/>
      <c r="T486" s="196"/>
      <c r="U486" s="196"/>
      <c r="V486" s="194"/>
      <c r="W486" s="194" t="s">
        <v>405</v>
      </c>
      <c r="X486" s="196"/>
      <c r="Y486" s="24"/>
      <c r="Z486" s="24"/>
      <c r="AA486" s="164"/>
      <c r="AB486" s="163"/>
      <c r="AC486" s="269"/>
      <c r="AD486" s="164"/>
      <c r="AE486" s="24"/>
      <c r="AF486" s="164"/>
      <c r="AG486" s="22"/>
      <c r="AH486" s="45"/>
      <c r="AI486" s="24"/>
      <c r="AJ486" s="196"/>
      <c r="AK486" s="22"/>
      <c r="AL486" s="22"/>
      <c r="AM486" s="22"/>
      <c r="AN486" s="22"/>
      <c r="AO486" s="22"/>
      <c r="AP486" s="22"/>
      <c r="AQ486" s="22"/>
      <c r="AR486" s="22"/>
      <c r="AS486" s="22"/>
      <c r="AT486" s="219"/>
      <c r="AU486" s="219"/>
      <c r="AV486" s="210" t="s">
        <v>1585</v>
      </c>
      <c r="AW486" s="219"/>
      <c r="AX486" s="219"/>
      <c r="AY486" s="219"/>
      <c r="AZ486" s="219"/>
      <c r="BA486" s="219"/>
      <c r="BB486" s="219"/>
      <c r="BC486" s="219"/>
      <c r="BD486" s="219"/>
      <c r="BE486" s="137" t="s">
        <v>1586</v>
      </c>
      <c r="BF486" s="143" t="s">
        <v>406</v>
      </c>
      <c r="BG486" s="167" t="s">
        <v>407</v>
      </c>
      <c r="BH486" s="220"/>
      <c r="BI486" s="348" t="s">
        <v>1585</v>
      </c>
      <c r="BJ486" s="220"/>
      <c r="BK486" s="46">
        <f t="shared" si="1"/>
        <v>1</v>
      </c>
      <c r="BL486" s="46"/>
      <c r="BM486" s="46"/>
      <c r="BN486" s="46"/>
    </row>
    <row r="487" spans="1:66" ht="12.75" hidden="1" customHeight="1">
      <c r="A487" s="22">
        <v>485</v>
      </c>
      <c r="B487" s="22" t="s">
        <v>1587</v>
      </c>
      <c r="C487" s="22" t="str">
        <f t="shared" si="0"/>
        <v>Specify - Abnormal Breast Exam</v>
      </c>
      <c r="D487" s="24" t="s">
        <v>1587</v>
      </c>
      <c r="E487" s="22" t="s">
        <v>96</v>
      </c>
      <c r="F487" s="24"/>
      <c r="G487" s="24" t="s">
        <v>1434</v>
      </c>
      <c r="H487" s="24"/>
      <c r="I487" s="24">
        <v>1</v>
      </c>
      <c r="J487" s="24" t="s">
        <v>1308</v>
      </c>
      <c r="K487" s="24"/>
      <c r="L487" s="24"/>
      <c r="M487" s="24"/>
      <c r="N487" s="24"/>
      <c r="O487" s="24"/>
      <c r="P487" s="164"/>
      <c r="Q487" s="164"/>
      <c r="R487" s="195" t="s">
        <v>409</v>
      </c>
      <c r="S487" s="194" t="s">
        <v>1588</v>
      </c>
      <c r="T487" s="194" t="s">
        <v>1589</v>
      </c>
      <c r="U487" s="194" t="s">
        <v>111</v>
      </c>
      <c r="V487" s="194"/>
      <c r="W487" s="194"/>
      <c r="X487" s="196"/>
      <c r="Y487" s="24"/>
      <c r="Z487" s="24"/>
      <c r="AA487" s="164"/>
      <c r="AB487" s="194" t="s">
        <v>208</v>
      </c>
      <c r="AC487" s="269"/>
      <c r="AD487" s="164"/>
      <c r="AE487" s="24"/>
      <c r="AF487" s="164"/>
      <c r="AG487" s="22"/>
      <c r="AH487" s="45"/>
      <c r="AI487" s="24"/>
      <c r="AJ487" s="194" t="s">
        <v>115</v>
      </c>
      <c r="AK487" s="22"/>
      <c r="AL487" s="22"/>
      <c r="AM487" s="22"/>
      <c r="AN487" s="22"/>
      <c r="AO487" s="22"/>
      <c r="AP487" s="22"/>
      <c r="AQ487" s="22"/>
      <c r="AR487" s="22"/>
      <c r="AS487" s="22"/>
      <c r="AT487" s="219"/>
      <c r="AU487" s="219"/>
      <c r="AV487" s="219"/>
      <c r="AW487" s="210" t="s">
        <v>1552</v>
      </c>
      <c r="AX487" s="210"/>
      <c r="AY487" s="210"/>
      <c r="AZ487" s="210"/>
      <c r="BA487" s="210"/>
      <c r="BB487" s="210"/>
      <c r="BC487" s="210"/>
      <c r="BD487" s="210"/>
      <c r="BE487" s="143" t="s">
        <v>1586</v>
      </c>
      <c r="BF487" s="143" t="s">
        <v>415</v>
      </c>
      <c r="BG487" s="167" t="s">
        <v>416</v>
      </c>
      <c r="BH487" s="311"/>
      <c r="BI487" s="311"/>
      <c r="BJ487" s="274" t="s">
        <v>1552</v>
      </c>
      <c r="BK487" s="46">
        <f t="shared" si="1"/>
        <v>1</v>
      </c>
      <c r="BL487" s="46"/>
      <c r="BM487" s="46"/>
      <c r="BN487" s="46"/>
    </row>
    <row r="488" spans="1:66" ht="12.75" hidden="1" customHeight="1">
      <c r="A488" s="22">
        <v>486</v>
      </c>
      <c r="B488" s="22" t="s">
        <v>1590</v>
      </c>
      <c r="C488" s="22" t="str">
        <f t="shared" si="0"/>
        <v>Abdominal exam</v>
      </c>
      <c r="D488" s="24" t="s">
        <v>1590</v>
      </c>
      <c r="E488" s="22" t="s">
        <v>96</v>
      </c>
      <c r="F488" s="24"/>
      <c r="G488" s="24" t="s">
        <v>1434</v>
      </c>
      <c r="H488" s="24"/>
      <c r="I488" s="24">
        <v>1</v>
      </c>
      <c r="J488" s="24" t="s">
        <v>1308</v>
      </c>
      <c r="K488" s="24"/>
      <c r="L488" s="24"/>
      <c r="M488" s="24"/>
      <c r="N488" s="24"/>
      <c r="O488" s="24"/>
      <c r="P488" s="164"/>
      <c r="Q488" s="164"/>
      <c r="R488" s="195" t="s">
        <v>1590</v>
      </c>
      <c r="S488" s="163" t="s">
        <v>1591</v>
      </c>
      <c r="T488" s="163" t="s">
        <v>1592</v>
      </c>
      <c r="U488" s="163" t="s">
        <v>202</v>
      </c>
      <c r="V488" s="163"/>
      <c r="W488" s="163"/>
      <c r="X488" s="163"/>
      <c r="Y488" s="24"/>
      <c r="Z488" s="24"/>
      <c r="AA488" s="164"/>
      <c r="AB488" s="163" t="s">
        <v>208</v>
      </c>
      <c r="AC488" s="269"/>
      <c r="AD488" s="164"/>
      <c r="AE488" s="24"/>
      <c r="AF488" s="164"/>
      <c r="AG488" s="22"/>
      <c r="AH488" s="45"/>
      <c r="AI488" s="24"/>
      <c r="AJ488" s="163" t="s">
        <v>1277</v>
      </c>
      <c r="AK488" s="22"/>
      <c r="AL488" s="22"/>
      <c r="AM488" s="22"/>
      <c r="AN488" s="22"/>
      <c r="AO488" s="22"/>
      <c r="AP488" s="22"/>
      <c r="AQ488" s="22"/>
      <c r="AR488" s="22"/>
      <c r="AS488" s="22"/>
      <c r="AT488" s="275"/>
      <c r="AU488" s="275"/>
      <c r="AV488" s="275"/>
      <c r="AW488" s="275"/>
      <c r="AX488" s="275"/>
      <c r="AY488" s="275"/>
      <c r="AZ488" s="275"/>
      <c r="BA488" s="275"/>
      <c r="BB488" s="275"/>
      <c r="BC488" s="275"/>
      <c r="BD488" s="275"/>
      <c r="BE488" s="137" t="s">
        <v>115</v>
      </c>
      <c r="BF488" s="137" t="s">
        <v>1593</v>
      </c>
      <c r="BG488" s="139" t="s">
        <v>1594</v>
      </c>
      <c r="BH488" s="313"/>
      <c r="BI488" s="276"/>
      <c r="BJ488" s="276"/>
      <c r="BK488" s="46">
        <f t="shared" si="1"/>
        <v>1</v>
      </c>
      <c r="BL488" s="46"/>
      <c r="BM488" s="46"/>
      <c r="BN488" s="46"/>
    </row>
    <row r="489" spans="1:66" ht="12.75" hidden="1" customHeight="1">
      <c r="A489" s="22">
        <v>487</v>
      </c>
      <c r="B489" s="22" t="s">
        <v>2118</v>
      </c>
      <c r="C489" s="22" t="e">
        <f t="shared" ca="1" si="0"/>
        <v>#NAME?</v>
      </c>
      <c r="D489" s="24" t="s">
        <v>1468</v>
      </c>
      <c r="E489" s="22" t="s">
        <v>180</v>
      </c>
      <c r="F489" s="24" t="s">
        <v>1590</v>
      </c>
      <c r="G489" s="24" t="s">
        <v>1434</v>
      </c>
      <c r="H489" s="24"/>
      <c r="I489" s="24">
        <v>1</v>
      </c>
      <c r="J489" s="24" t="s">
        <v>1308</v>
      </c>
      <c r="K489" s="24"/>
      <c r="L489" s="24"/>
      <c r="M489" s="24"/>
      <c r="N489" s="24"/>
      <c r="O489" s="24"/>
      <c r="P489" s="164"/>
      <c r="Q489" s="164"/>
      <c r="R489" s="247"/>
      <c r="S489" s="163"/>
      <c r="T489" s="163"/>
      <c r="U489" s="196"/>
      <c r="V489" s="163"/>
      <c r="W489" s="163" t="s">
        <v>1468</v>
      </c>
      <c r="X489" s="196"/>
      <c r="Y489" s="24"/>
      <c r="Z489" s="24"/>
      <c r="AA489" s="164"/>
      <c r="AB489" s="163"/>
      <c r="AC489" s="269"/>
      <c r="AD489" s="164"/>
      <c r="AE489" s="24"/>
      <c r="AF489" s="164"/>
      <c r="AG489" s="22"/>
      <c r="AH489" s="45"/>
      <c r="AI489" s="24"/>
      <c r="AJ489" s="196"/>
      <c r="AK489" s="22"/>
      <c r="AL489" s="22"/>
      <c r="AM489" s="22"/>
      <c r="AN489" s="22"/>
      <c r="AO489" s="22"/>
      <c r="AP489" s="22"/>
      <c r="AQ489" s="22"/>
      <c r="AR489" s="22"/>
      <c r="AS489" s="22"/>
      <c r="AT489" s="219"/>
      <c r="AU489" s="219"/>
      <c r="AV489" s="219">
        <v>385660001</v>
      </c>
      <c r="AW489" s="219"/>
      <c r="AX489" s="219"/>
      <c r="AY489" s="219"/>
      <c r="AZ489" s="219"/>
      <c r="BA489" s="219"/>
      <c r="BB489" s="219"/>
      <c r="BC489" s="219"/>
      <c r="BD489" s="219"/>
      <c r="BE489" s="137" t="s">
        <v>115</v>
      </c>
      <c r="BF489" s="137" t="s">
        <v>1469</v>
      </c>
      <c r="BG489" s="139" t="s">
        <v>1470</v>
      </c>
      <c r="BH489" s="220"/>
      <c r="BI489" s="220">
        <v>385660001</v>
      </c>
      <c r="BJ489" s="220"/>
      <c r="BK489" s="46">
        <f t="shared" si="1"/>
        <v>1</v>
      </c>
      <c r="BL489" s="46"/>
      <c r="BM489" s="46"/>
      <c r="BN489" s="46"/>
    </row>
    <row r="490" spans="1:66" ht="12.75" hidden="1" customHeight="1">
      <c r="A490" s="22">
        <v>488</v>
      </c>
      <c r="B490" s="22" t="s">
        <v>2130</v>
      </c>
      <c r="C490" s="22" t="e">
        <f t="shared" ca="1" si="0"/>
        <v>#NAME?</v>
      </c>
      <c r="D490" s="24" t="s">
        <v>1471</v>
      </c>
      <c r="E490" s="22" t="s">
        <v>180</v>
      </c>
      <c r="F490" s="24" t="s">
        <v>1590</v>
      </c>
      <c r="G490" s="24" t="s">
        <v>1434</v>
      </c>
      <c r="H490" s="24"/>
      <c r="I490" s="24">
        <v>1</v>
      </c>
      <c r="J490" s="24" t="s">
        <v>1308</v>
      </c>
      <c r="K490" s="24"/>
      <c r="L490" s="24"/>
      <c r="M490" s="24"/>
      <c r="N490" s="24"/>
      <c r="O490" s="24"/>
      <c r="P490" s="164"/>
      <c r="Q490" s="164"/>
      <c r="R490" s="247"/>
      <c r="S490" s="163"/>
      <c r="T490" s="163"/>
      <c r="U490" s="196"/>
      <c r="V490" s="194"/>
      <c r="W490" s="194" t="s">
        <v>1471</v>
      </c>
      <c r="X490" s="196"/>
      <c r="Y490" s="24"/>
      <c r="Z490" s="24"/>
      <c r="AA490" s="164"/>
      <c r="AB490" s="163"/>
      <c r="AC490" s="269"/>
      <c r="AD490" s="164"/>
      <c r="AE490" s="24"/>
      <c r="AF490" s="164"/>
      <c r="AG490" s="22"/>
      <c r="AH490" s="45"/>
      <c r="AI490" s="24"/>
      <c r="AJ490" s="196"/>
      <c r="AK490" s="22"/>
      <c r="AL490" s="22"/>
      <c r="AM490" s="22"/>
      <c r="AN490" s="22"/>
      <c r="AO490" s="22"/>
      <c r="AP490" s="22"/>
      <c r="AQ490" s="22"/>
      <c r="AR490" s="22"/>
      <c r="AS490" s="22"/>
      <c r="AT490" s="219"/>
      <c r="AU490" s="219"/>
      <c r="AV490" s="219">
        <v>17621005</v>
      </c>
      <c r="AW490" s="219"/>
      <c r="AX490" s="219"/>
      <c r="AY490" s="219"/>
      <c r="AZ490" s="219"/>
      <c r="BA490" s="219"/>
      <c r="BB490" s="219"/>
      <c r="BC490" s="219"/>
      <c r="BD490" s="219"/>
      <c r="BE490" s="137" t="s">
        <v>115</v>
      </c>
      <c r="BF490" s="137" t="s">
        <v>1472</v>
      </c>
      <c r="BG490" s="139" t="s">
        <v>1473</v>
      </c>
      <c r="BH490" s="220"/>
      <c r="BI490" s="311">
        <v>17621005</v>
      </c>
      <c r="BJ490" s="220"/>
      <c r="BK490" s="46">
        <f t="shared" si="1"/>
        <v>1</v>
      </c>
      <c r="BL490" s="46"/>
      <c r="BM490" s="46"/>
      <c r="BN490" s="46"/>
    </row>
    <row r="491" spans="1:66" ht="12.75" hidden="1" customHeight="1">
      <c r="A491" s="22">
        <v>489</v>
      </c>
      <c r="B491" s="22" t="s">
        <v>2143</v>
      </c>
      <c r="C491" s="22" t="e">
        <f t="shared" ca="1" si="0"/>
        <v>#NAME?</v>
      </c>
      <c r="D491" s="24" t="s">
        <v>1474</v>
      </c>
      <c r="E491" s="22" t="s">
        <v>180</v>
      </c>
      <c r="F491" s="24" t="s">
        <v>1590</v>
      </c>
      <c r="G491" s="24" t="s">
        <v>1434</v>
      </c>
      <c r="H491" s="24"/>
      <c r="I491" s="24">
        <v>1</v>
      </c>
      <c r="J491" s="24" t="s">
        <v>1308</v>
      </c>
      <c r="K491" s="24"/>
      <c r="L491" s="24"/>
      <c r="M491" s="24"/>
      <c r="N491" s="24"/>
      <c r="O491" s="24"/>
      <c r="P491" s="164"/>
      <c r="Q491" s="164"/>
      <c r="R491" s="247"/>
      <c r="S491" s="163"/>
      <c r="T491" s="163"/>
      <c r="U491" s="196"/>
      <c r="V491" s="194"/>
      <c r="W491" s="194" t="s">
        <v>1474</v>
      </c>
      <c r="X491" s="196"/>
      <c r="Y491" s="24"/>
      <c r="Z491" s="24"/>
      <c r="AA491" s="164"/>
      <c r="AB491" s="163"/>
      <c r="AC491" s="269"/>
      <c r="AD491" s="164"/>
      <c r="AE491" s="24"/>
      <c r="AF491" s="164"/>
      <c r="AG491" s="22"/>
      <c r="AH491" s="45"/>
      <c r="AI491" s="24"/>
      <c r="AJ491" s="196"/>
      <c r="AK491" s="22"/>
      <c r="AL491" s="22"/>
      <c r="AM491" s="22"/>
      <c r="AN491" s="22"/>
      <c r="AO491" s="22"/>
      <c r="AP491" s="22"/>
      <c r="AQ491" s="22"/>
      <c r="AR491" s="22"/>
      <c r="AS491" s="22"/>
      <c r="AT491" s="219"/>
      <c r="AU491" s="219"/>
      <c r="AV491" s="148">
        <v>263654008</v>
      </c>
      <c r="AW491" s="219"/>
      <c r="AX491" s="219"/>
      <c r="AY491" s="219"/>
      <c r="AZ491" s="219"/>
      <c r="BA491" s="219"/>
      <c r="BB491" s="219"/>
      <c r="BC491" s="219"/>
      <c r="BD491" s="219"/>
      <c r="BE491" s="137" t="s">
        <v>115</v>
      </c>
      <c r="BF491" s="137" t="s">
        <v>1475</v>
      </c>
      <c r="BG491" s="139" t="s">
        <v>1476</v>
      </c>
      <c r="BH491" s="220"/>
      <c r="BI491" s="150">
        <v>263654008</v>
      </c>
      <c r="BJ491" s="220"/>
      <c r="BK491" s="46">
        <f t="shared" si="1"/>
        <v>1</v>
      </c>
      <c r="BL491" s="46"/>
      <c r="BM491" s="46"/>
      <c r="BN491" s="46"/>
    </row>
    <row r="492" spans="1:66" ht="12.75" hidden="1" customHeight="1">
      <c r="A492" s="22">
        <v>490</v>
      </c>
      <c r="B492" s="22" t="s">
        <v>1595</v>
      </c>
      <c r="C492" s="22" t="str">
        <f t="shared" si="0"/>
        <v>Abnormal (specify) - Abdominal Exam</v>
      </c>
      <c r="D492" s="24" t="s">
        <v>1595</v>
      </c>
      <c r="E492" s="22" t="s">
        <v>96</v>
      </c>
      <c r="F492" s="24"/>
      <c r="G492" s="24" t="s">
        <v>1434</v>
      </c>
      <c r="H492" s="24"/>
      <c r="I492" s="24">
        <v>1</v>
      </c>
      <c r="J492" s="24" t="s">
        <v>1308</v>
      </c>
      <c r="K492" s="24"/>
      <c r="L492" s="24"/>
      <c r="M492" s="24"/>
      <c r="N492" s="24"/>
      <c r="O492" s="24"/>
      <c r="P492" s="164"/>
      <c r="Q492" s="164"/>
      <c r="R492" s="247" t="s">
        <v>1478</v>
      </c>
      <c r="S492" s="163" t="s">
        <v>1596</v>
      </c>
      <c r="T492" s="163" t="s">
        <v>1480</v>
      </c>
      <c r="U492" s="196" t="s">
        <v>238</v>
      </c>
      <c r="V492" s="194"/>
      <c r="W492" s="194"/>
      <c r="X492" s="196"/>
      <c r="Y492" s="24"/>
      <c r="Z492" s="24"/>
      <c r="AA492" s="164"/>
      <c r="AB492" s="163" t="s">
        <v>208</v>
      </c>
      <c r="AC492" s="269"/>
      <c r="AD492" s="164"/>
      <c r="AE492" s="24"/>
      <c r="AF492" s="164"/>
      <c r="AG492" s="22"/>
      <c r="AH492" s="45"/>
      <c r="AI492" s="24"/>
      <c r="AJ492" s="196" t="s">
        <v>115</v>
      </c>
      <c r="AK492" s="22"/>
      <c r="AL492" s="22"/>
      <c r="AM492" s="22"/>
      <c r="AN492" s="22"/>
      <c r="AO492" s="22"/>
      <c r="AP492" s="22"/>
      <c r="AQ492" s="22"/>
      <c r="AR492" s="22"/>
      <c r="AS492" s="22"/>
      <c r="AT492" s="219"/>
      <c r="AU492" s="219"/>
      <c r="AV492" s="148">
        <v>271911005</v>
      </c>
      <c r="AW492" s="219"/>
      <c r="AX492" s="219"/>
      <c r="AY492" s="219"/>
      <c r="AZ492" s="219"/>
      <c r="BA492" s="219"/>
      <c r="BB492" s="219"/>
      <c r="BC492" s="219"/>
      <c r="BD492" s="219"/>
      <c r="BE492" s="137" t="s">
        <v>115</v>
      </c>
      <c r="BF492" s="137" t="s">
        <v>1597</v>
      </c>
      <c r="BG492" s="139" t="s">
        <v>1598</v>
      </c>
      <c r="BH492" s="220"/>
      <c r="BI492" s="150">
        <v>271911005</v>
      </c>
      <c r="BJ492" s="220"/>
      <c r="BK492" s="46">
        <f t="shared" si="1"/>
        <v>1</v>
      </c>
      <c r="BL492" s="46"/>
      <c r="BM492" s="46"/>
      <c r="BN492" s="46"/>
    </row>
    <row r="493" spans="1:66" ht="12.75" hidden="1" customHeight="1">
      <c r="A493" s="22">
        <v>491</v>
      </c>
      <c r="B493" s="22" t="s">
        <v>2426</v>
      </c>
      <c r="C493" s="22" t="e">
        <f t="shared" ca="1" si="0"/>
        <v>#NAME?</v>
      </c>
      <c r="D493" s="24" t="s">
        <v>1599</v>
      </c>
      <c r="E493" s="22" t="s">
        <v>180</v>
      </c>
      <c r="F493" s="24" t="s">
        <v>1595</v>
      </c>
      <c r="G493" s="24" t="s">
        <v>1434</v>
      </c>
      <c r="H493" s="24"/>
      <c r="I493" s="24">
        <v>1</v>
      </c>
      <c r="J493" s="24" t="s">
        <v>1308</v>
      </c>
      <c r="K493" s="24"/>
      <c r="L493" s="24"/>
      <c r="M493" s="24"/>
      <c r="N493" s="24"/>
      <c r="O493" s="24"/>
      <c r="P493" s="164"/>
      <c r="Q493" s="164"/>
      <c r="R493" s="247"/>
      <c r="S493" s="196"/>
      <c r="T493" s="196"/>
      <c r="U493" s="196"/>
      <c r="V493" s="194"/>
      <c r="W493" s="194" t="s">
        <v>1599</v>
      </c>
      <c r="X493" s="196"/>
      <c r="Y493" s="24"/>
      <c r="Z493" s="24"/>
      <c r="AA493" s="164"/>
      <c r="AB493" s="163"/>
      <c r="AC493" s="269"/>
      <c r="AD493" s="164"/>
      <c r="AE493" s="24"/>
      <c r="AF493" s="164"/>
      <c r="AG493" s="22"/>
      <c r="AH493" s="45"/>
      <c r="AI493" s="24"/>
      <c r="AJ493" s="196"/>
      <c r="AK493" s="22"/>
      <c r="AL493" s="22"/>
      <c r="AM493" s="22"/>
      <c r="AN493" s="22"/>
      <c r="AO493" s="22"/>
      <c r="AP493" s="22"/>
      <c r="AQ493" s="22"/>
      <c r="AR493" s="22"/>
      <c r="AS493" s="22"/>
      <c r="AT493" s="219"/>
      <c r="AU493" s="219"/>
      <c r="AV493" s="156">
        <v>271860004</v>
      </c>
      <c r="AW493" s="219"/>
      <c r="AX493" s="219"/>
      <c r="AY493" s="219"/>
      <c r="AZ493" s="219"/>
      <c r="BA493" s="219"/>
      <c r="BB493" s="219"/>
      <c r="BC493" s="219"/>
      <c r="BD493" s="219"/>
      <c r="BE493" s="137" t="s">
        <v>115</v>
      </c>
      <c r="BF493" s="137" t="s">
        <v>1600</v>
      </c>
      <c r="BG493" s="139" t="s">
        <v>1601</v>
      </c>
      <c r="BH493" s="220"/>
      <c r="BI493" s="157">
        <v>271860004</v>
      </c>
      <c r="BJ493" s="220"/>
      <c r="BK493" s="46">
        <f t="shared" si="1"/>
        <v>1</v>
      </c>
      <c r="BL493" s="46"/>
      <c r="BM493" s="46"/>
      <c r="BN493" s="46"/>
    </row>
    <row r="494" spans="1:66" ht="12.75" hidden="1" customHeight="1">
      <c r="A494" s="22">
        <v>492</v>
      </c>
      <c r="B494" s="22" t="s">
        <v>2430</v>
      </c>
      <c r="C494" s="22" t="e">
        <f t="shared" ca="1" si="0"/>
        <v>#NAME?</v>
      </c>
      <c r="D494" s="24" t="s">
        <v>1602</v>
      </c>
      <c r="E494" s="22" t="s">
        <v>180</v>
      </c>
      <c r="F494" s="24" t="s">
        <v>1595</v>
      </c>
      <c r="G494" s="24" t="s">
        <v>1434</v>
      </c>
      <c r="H494" s="24"/>
      <c r="I494" s="24">
        <v>1</v>
      </c>
      <c r="J494" s="24" t="s">
        <v>1308</v>
      </c>
      <c r="K494" s="24"/>
      <c r="L494" s="24"/>
      <c r="M494" s="24"/>
      <c r="N494" s="24"/>
      <c r="O494" s="24"/>
      <c r="P494" s="164"/>
      <c r="Q494" s="164"/>
      <c r="R494" s="247"/>
      <c r="S494" s="196"/>
      <c r="T494" s="196"/>
      <c r="U494" s="196"/>
      <c r="V494" s="194"/>
      <c r="W494" s="194" t="s">
        <v>1602</v>
      </c>
      <c r="X494" s="196"/>
      <c r="Y494" s="24"/>
      <c r="Z494" s="24"/>
      <c r="AA494" s="164"/>
      <c r="AB494" s="163"/>
      <c r="AC494" s="269"/>
      <c r="AD494" s="164"/>
      <c r="AE494" s="24"/>
      <c r="AF494" s="164"/>
      <c r="AG494" s="22"/>
      <c r="AH494" s="45"/>
      <c r="AI494" s="24"/>
      <c r="AJ494" s="196"/>
      <c r="AK494" s="22"/>
      <c r="AL494" s="22"/>
      <c r="AM494" s="22"/>
      <c r="AN494" s="22"/>
      <c r="AO494" s="22"/>
      <c r="AP494" s="22"/>
      <c r="AQ494" s="22"/>
      <c r="AR494" s="22"/>
      <c r="AS494" s="22"/>
      <c r="AT494" s="219"/>
      <c r="AU494" s="219"/>
      <c r="AV494" s="219"/>
      <c r="AW494" s="219"/>
      <c r="AX494" s="219"/>
      <c r="AY494" s="219"/>
      <c r="AZ494" s="219"/>
      <c r="BA494" s="219"/>
      <c r="BB494" s="219"/>
      <c r="BC494" s="219"/>
      <c r="BD494" s="219"/>
      <c r="BE494" s="137" t="s">
        <v>115</v>
      </c>
      <c r="BF494" s="137" t="s">
        <v>1603</v>
      </c>
      <c r="BG494" s="139" t="s">
        <v>1604</v>
      </c>
      <c r="BH494" s="220"/>
      <c r="BI494" s="220"/>
      <c r="BJ494" s="220"/>
      <c r="BK494" s="46">
        <f t="shared" si="1"/>
        <v>1</v>
      </c>
      <c r="BL494" s="46"/>
      <c r="BM494" s="46"/>
      <c r="BN494" s="46"/>
    </row>
    <row r="495" spans="1:66" ht="12.75" hidden="1" customHeight="1">
      <c r="A495" s="22">
        <v>493</v>
      </c>
      <c r="B495" s="22" t="s">
        <v>2433</v>
      </c>
      <c r="C495" s="22" t="e">
        <f t="shared" ca="1" si="0"/>
        <v>#NAME?</v>
      </c>
      <c r="D495" s="24" t="s">
        <v>1605</v>
      </c>
      <c r="E495" s="22" t="s">
        <v>180</v>
      </c>
      <c r="F495" s="24" t="s">
        <v>1595</v>
      </c>
      <c r="G495" s="24" t="s">
        <v>1434</v>
      </c>
      <c r="H495" s="24"/>
      <c r="I495" s="24">
        <v>1</v>
      </c>
      <c r="J495" s="24" t="s">
        <v>1308</v>
      </c>
      <c r="K495" s="24"/>
      <c r="L495" s="24"/>
      <c r="M495" s="24"/>
      <c r="N495" s="24"/>
      <c r="O495" s="24"/>
      <c r="P495" s="164"/>
      <c r="Q495" s="164"/>
      <c r="R495" s="247"/>
      <c r="S495" s="196"/>
      <c r="T495" s="196"/>
      <c r="U495" s="196"/>
      <c r="V495" s="194"/>
      <c r="W495" s="194" t="s">
        <v>1605</v>
      </c>
      <c r="X495" s="196"/>
      <c r="Y495" s="24"/>
      <c r="Z495" s="24"/>
      <c r="AA495" s="164"/>
      <c r="AB495" s="163"/>
      <c r="AC495" s="269"/>
      <c r="AD495" s="164"/>
      <c r="AE495" s="24"/>
      <c r="AF495" s="164"/>
      <c r="AG495" s="22"/>
      <c r="AH495" s="45"/>
      <c r="AI495" s="24"/>
      <c r="AJ495" s="196"/>
      <c r="AK495" s="22"/>
      <c r="AL495" s="22"/>
      <c r="AM495" s="22"/>
      <c r="AN495" s="22"/>
      <c r="AO495" s="22"/>
      <c r="AP495" s="22"/>
      <c r="AQ495" s="22"/>
      <c r="AR495" s="22"/>
      <c r="AS495" s="22"/>
      <c r="AT495" s="219"/>
      <c r="AU495" s="219"/>
      <c r="AV495" s="219"/>
      <c r="AW495" s="219"/>
      <c r="AX495" s="219"/>
      <c r="AY495" s="219"/>
      <c r="AZ495" s="219"/>
      <c r="BA495" s="219"/>
      <c r="BB495" s="219"/>
      <c r="BC495" s="219"/>
      <c r="BD495" s="219"/>
      <c r="BE495" s="137" t="s">
        <v>115</v>
      </c>
      <c r="BF495" s="137" t="s">
        <v>1606</v>
      </c>
      <c r="BG495" s="139" t="s">
        <v>1607</v>
      </c>
      <c r="BH495" s="220"/>
      <c r="BI495" s="220"/>
      <c r="BJ495" s="220"/>
      <c r="BK495" s="46">
        <f t="shared" si="1"/>
        <v>1</v>
      </c>
      <c r="BL495" s="46"/>
      <c r="BM495" s="46"/>
      <c r="BN495" s="46"/>
    </row>
    <row r="496" spans="1:66" ht="12.75" hidden="1" customHeight="1">
      <c r="A496" s="22">
        <v>494</v>
      </c>
      <c r="B496" s="22" t="s">
        <v>2439</v>
      </c>
      <c r="C496" s="22" t="e">
        <f t="shared" ca="1" si="0"/>
        <v>#NAME?</v>
      </c>
      <c r="D496" s="24" t="s">
        <v>1608</v>
      </c>
      <c r="E496" s="22" t="s">
        <v>180</v>
      </c>
      <c r="F496" s="24" t="s">
        <v>1595</v>
      </c>
      <c r="G496" s="24" t="s">
        <v>1434</v>
      </c>
      <c r="H496" s="24"/>
      <c r="I496" s="24">
        <v>1</v>
      </c>
      <c r="J496" s="24" t="s">
        <v>1308</v>
      </c>
      <c r="K496" s="24"/>
      <c r="L496" s="24"/>
      <c r="M496" s="24"/>
      <c r="N496" s="24"/>
      <c r="O496" s="24"/>
      <c r="P496" s="164"/>
      <c r="Q496" s="164"/>
      <c r="R496" s="247"/>
      <c r="S496" s="196"/>
      <c r="T496" s="196"/>
      <c r="U496" s="196"/>
      <c r="V496" s="194"/>
      <c r="W496" s="194" t="s">
        <v>1608</v>
      </c>
      <c r="X496" s="196"/>
      <c r="Y496" s="24"/>
      <c r="Z496" s="24"/>
      <c r="AA496" s="164"/>
      <c r="AB496" s="163"/>
      <c r="AC496" s="269"/>
      <c r="AD496" s="164"/>
      <c r="AE496" s="24"/>
      <c r="AF496" s="164"/>
      <c r="AG496" s="22"/>
      <c r="AH496" s="45"/>
      <c r="AI496" s="24"/>
      <c r="AJ496" s="196"/>
      <c r="AK496" s="22"/>
      <c r="AL496" s="22"/>
      <c r="AM496" s="22"/>
      <c r="AN496" s="22"/>
      <c r="AO496" s="22"/>
      <c r="AP496" s="22"/>
      <c r="AQ496" s="22"/>
      <c r="AR496" s="22"/>
      <c r="AS496" s="22"/>
      <c r="AT496" s="219"/>
      <c r="AU496" s="219"/>
      <c r="AV496" s="219"/>
      <c r="AW496" s="219"/>
      <c r="AX496" s="219"/>
      <c r="AY496" s="219"/>
      <c r="AZ496" s="219"/>
      <c r="BA496" s="219"/>
      <c r="BB496" s="219"/>
      <c r="BC496" s="219"/>
      <c r="BD496" s="219"/>
      <c r="BE496" s="137" t="s">
        <v>115</v>
      </c>
      <c r="BF496" s="137" t="s">
        <v>1609</v>
      </c>
      <c r="BG496" s="139" t="s">
        <v>1610</v>
      </c>
      <c r="BH496" s="220"/>
      <c r="BI496" s="220"/>
      <c r="BJ496" s="220"/>
      <c r="BK496" s="46">
        <f t="shared" si="1"/>
        <v>1</v>
      </c>
      <c r="BL496" s="46"/>
      <c r="BM496" s="46"/>
      <c r="BN496" s="46"/>
    </row>
    <row r="497" spans="1:66" ht="12.75" hidden="1" customHeight="1">
      <c r="A497" s="22">
        <v>495</v>
      </c>
      <c r="B497" s="22" t="s">
        <v>535</v>
      </c>
      <c r="C497" s="22" t="e">
        <f t="shared" ca="1" si="0"/>
        <v>#NAME?</v>
      </c>
      <c r="D497" s="24" t="s">
        <v>405</v>
      </c>
      <c r="E497" s="22" t="s">
        <v>180</v>
      </c>
      <c r="F497" s="24" t="s">
        <v>1595</v>
      </c>
      <c r="G497" s="24" t="s">
        <v>1434</v>
      </c>
      <c r="H497" s="24"/>
      <c r="I497" s="24">
        <v>1</v>
      </c>
      <c r="J497" s="24" t="s">
        <v>1308</v>
      </c>
      <c r="K497" s="24"/>
      <c r="L497" s="24"/>
      <c r="M497" s="24"/>
      <c r="N497" s="24"/>
      <c r="O497" s="24"/>
      <c r="P497" s="164"/>
      <c r="Q497" s="164"/>
      <c r="R497" s="247"/>
      <c r="S497" s="196"/>
      <c r="T497" s="196"/>
      <c r="U497" s="196"/>
      <c r="V497" s="194"/>
      <c r="W497" s="194" t="s">
        <v>405</v>
      </c>
      <c r="X497" s="196"/>
      <c r="Y497" s="24"/>
      <c r="Z497" s="24"/>
      <c r="AA497" s="164"/>
      <c r="AB497" s="163"/>
      <c r="AC497" s="269"/>
      <c r="AD497" s="164"/>
      <c r="AE497" s="24"/>
      <c r="AF497" s="164"/>
      <c r="AG497" s="22"/>
      <c r="AH497" s="45"/>
      <c r="AI497" s="24"/>
      <c r="AJ497" s="196"/>
      <c r="AK497" s="22"/>
      <c r="AL497" s="22"/>
      <c r="AM497" s="22"/>
      <c r="AN497" s="22"/>
      <c r="AO497" s="22"/>
      <c r="AP497" s="22"/>
      <c r="AQ497" s="22"/>
      <c r="AR497" s="22"/>
      <c r="AS497" s="22"/>
      <c r="AT497" s="219"/>
      <c r="AU497" s="219"/>
      <c r="AV497" s="219"/>
      <c r="AW497" s="219"/>
      <c r="AX497" s="219"/>
      <c r="AY497" s="219"/>
      <c r="AZ497" s="219"/>
      <c r="BA497" s="219"/>
      <c r="BB497" s="219"/>
      <c r="BC497" s="219"/>
      <c r="BD497" s="219"/>
      <c r="BE497" s="137" t="s">
        <v>1611</v>
      </c>
      <c r="BF497" s="143" t="s">
        <v>406</v>
      </c>
      <c r="BG497" s="167" t="s">
        <v>407</v>
      </c>
      <c r="BH497" s="220"/>
      <c r="BI497" s="220"/>
      <c r="BJ497" s="220"/>
      <c r="BK497" s="46">
        <f t="shared" si="1"/>
        <v>1</v>
      </c>
      <c r="BL497" s="46"/>
      <c r="BM497" s="46"/>
      <c r="BN497" s="46"/>
    </row>
    <row r="498" spans="1:66" ht="12.75" hidden="1" customHeight="1">
      <c r="A498" s="22">
        <v>496</v>
      </c>
      <c r="B498" s="22" t="s">
        <v>1612</v>
      </c>
      <c r="C498" s="22" t="str">
        <f t="shared" si="0"/>
        <v>Specify - Abnormal Abdominal Exam</v>
      </c>
      <c r="D498" s="24" t="s">
        <v>1612</v>
      </c>
      <c r="E498" s="22" t="s">
        <v>96</v>
      </c>
      <c r="F498" s="24"/>
      <c r="G498" s="24" t="s">
        <v>1434</v>
      </c>
      <c r="H498" s="24"/>
      <c r="I498" s="24">
        <v>1</v>
      </c>
      <c r="J498" s="24" t="s">
        <v>1308</v>
      </c>
      <c r="K498" s="24"/>
      <c r="L498" s="24"/>
      <c r="M498" s="24"/>
      <c r="N498" s="24"/>
      <c r="O498" s="24"/>
      <c r="P498" s="164"/>
      <c r="Q498" s="164"/>
      <c r="R498" s="195" t="s">
        <v>409</v>
      </c>
      <c r="S498" s="194" t="s">
        <v>1613</v>
      </c>
      <c r="T498" s="194" t="s">
        <v>1614</v>
      </c>
      <c r="U498" s="194" t="s">
        <v>111</v>
      </c>
      <c r="V498" s="194"/>
      <c r="W498" s="194"/>
      <c r="X498" s="196"/>
      <c r="Y498" s="24"/>
      <c r="Z498" s="24"/>
      <c r="AA498" s="164"/>
      <c r="AB498" s="194" t="s">
        <v>208</v>
      </c>
      <c r="AC498" s="269"/>
      <c r="AD498" s="164"/>
      <c r="AE498" s="24"/>
      <c r="AF498" s="164"/>
      <c r="AG498" s="22"/>
      <c r="AH498" s="45"/>
      <c r="AI498" s="24"/>
      <c r="AJ498" s="194" t="s">
        <v>115</v>
      </c>
      <c r="AK498" s="22"/>
      <c r="AL498" s="22"/>
      <c r="AM498" s="22"/>
      <c r="AN498" s="22"/>
      <c r="AO498" s="22"/>
      <c r="AP498" s="22"/>
      <c r="AQ498" s="22"/>
      <c r="AR498" s="22"/>
      <c r="AS498" s="22"/>
      <c r="AT498" s="219"/>
      <c r="AU498" s="219"/>
      <c r="AV498" s="219"/>
      <c r="AW498" s="219"/>
      <c r="AX498" s="219"/>
      <c r="AY498" s="219"/>
      <c r="AZ498" s="219"/>
      <c r="BA498" s="219"/>
      <c r="BB498" s="219"/>
      <c r="BC498" s="219"/>
      <c r="BD498" s="219"/>
      <c r="BE498" s="143" t="s">
        <v>1611</v>
      </c>
      <c r="BF498" s="143" t="s">
        <v>415</v>
      </c>
      <c r="BG498" s="167" t="s">
        <v>416</v>
      </c>
      <c r="BH498" s="220"/>
      <c r="BI498" s="220"/>
      <c r="BJ498" s="220"/>
      <c r="BK498" s="46">
        <f t="shared" si="1"/>
        <v>1</v>
      </c>
      <c r="BL498" s="46"/>
      <c r="BM498" s="46"/>
      <c r="BN498" s="46"/>
    </row>
    <row r="499" spans="1:66" ht="12.75" hidden="1" customHeight="1">
      <c r="A499" s="22">
        <v>497</v>
      </c>
      <c r="B499" s="22" t="s">
        <v>1615</v>
      </c>
      <c r="C499" s="22" t="str">
        <f t="shared" si="0"/>
        <v>Pelvic exam (visual)</v>
      </c>
      <c r="D499" s="24" t="s">
        <v>1615</v>
      </c>
      <c r="E499" s="22" t="s">
        <v>96</v>
      </c>
      <c r="F499" s="24"/>
      <c r="G499" s="24" t="s">
        <v>1434</v>
      </c>
      <c r="H499" s="24"/>
      <c r="I499" s="24">
        <v>1</v>
      </c>
      <c r="J499" s="24" t="s">
        <v>1308</v>
      </c>
      <c r="K499" s="24"/>
      <c r="L499" s="24"/>
      <c r="M499" s="24"/>
      <c r="N499" s="24"/>
      <c r="O499" s="24"/>
      <c r="P499" s="164"/>
      <c r="Q499" s="164"/>
      <c r="R499" s="195" t="s">
        <v>1615</v>
      </c>
      <c r="S499" s="163" t="s">
        <v>1616</v>
      </c>
      <c r="T499" s="163" t="s">
        <v>1617</v>
      </c>
      <c r="U499" s="163" t="s">
        <v>202</v>
      </c>
      <c r="V499" s="163"/>
      <c r="W499" s="163"/>
      <c r="X499" s="163"/>
      <c r="Y499" s="24"/>
      <c r="Z499" s="24"/>
      <c r="AA499" s="164"/>
      <c r="AB499" s="163" t="s">
        <v>208</v>
      </c>
      <c r="AC499" s="269"/>
      <c r="AD499" s="164"/>
      <c r="AE499" s="24"/>
      <c r="AF499" s="164"/>
      <c r="AG499" s="22"/>
      <c r="AH499" s="45"/>
      <c r="AI499" s="24"/>
      <c r="AJ499" s="163" t="s">
        <v>1277</v>
      </c>
      <c r="AK499" s="22"/>
      <c r="AL499" s="22"/>
      <c r="AM499" s="22"/>
      <c r="AN499" s="22"/>
      <c r="AO499" s="22"/>
      <c r="AP499" s="22"/>
      <c r="AQ499" s="22"/>
      <c r="AR499" s="22"/>
      <c r="AS499" s="22"/>
      <c r="AT499" s="219"/>
      <c r="AU499" s="219"/>
      <c r="AV499" s="219"/>
      <c r="AW499" s="219"/>
      <c r="AX499" s="219"/>
      <c r="AY499" s="219"/>
      <c r="AZ499" s="219"/>
      <c r="BA499" s="219"/>
      <c r="BB499" s="219"/>
      <c r="BC499" s="219"/>
      <c r="BD499" s="219"/>
      <c r="BE499" s="137" t="s">
        <v>115</v>
      </c>
      <c r="BF499" s="137" t="s">
        <v>1618</v>
      </c>
      <c r="BG499" s="139" t="s">
        <v>1619</v>
      </c>
      <c r="BH499" s="220"/>
      <c r="BI499" s="220"/>
      <c r="BJ499" s="220"/>
      <c r="BK499" s="46">
        <f t="shared" si="1"/>
        <v>1</v>
      </c>
      <c r="BL499" s="46"/>
      <c r="BM499" s="46"/>
      <c r="BN499" s="46"/>
    </row>
    <row r="500" spans="1:66" ht="12.75" hidden="1" customHeight="1">
      <c r="A500" s="22">
        <v>498</v>
      </c>
      <c r="B500" s="22" t="s">
        <v>2118</v>
      </c>
      <c r="C500" s="22" t="e">
        <f t="shared" ca="1" si="0"/>
        <v>#NAME?</v>
      </c>
      <c r="D500" s="24" t="s">
        <v>1468</v>
      </c>
      <c r="E500" s="22" t="s">
        <v>180</v>
      </c>
      <c r="F500" s="24" t="s">
        <v>1615</v>
      </c>
      <c r="G500" s="24" t="s">
        <v>1434</v>
      </c>
      <c r="H500" s="24"/>
      <c r="I500" s="24">
        <v>1</v>
      </c>
      <c r="J500" s="24" t="s">
        <v>1308</v>
      </c>
      <c r="K500" s="24"/>
      <c r="L500" s="24"/>
      <c r="M500" s="24"/>
      <c r="N500" s="24"/>
      <c r="O500" s="24"/>
      <c r="P500" s="164"/>
      <c r="Q500" s="164"/>
      <c r="R500" s="247"/>
      <c r="S500" s="163"/>
      <c r="T500" s="163"/>
      <c r="U500" s="163"/>
      <c r="V500" s="163"/>
      <c r="W500" s="163" t="s">
        <v>1468</v>
      </c>
      <c r="X500" s="163"/>
      <c r="Y500" s="24"/>
      <c r="Z500" s="24"/>
      <c r="AA500" s="164"/>
      <c r="AB500" s="163"/>
      <c r="AC500" s="269"/>
      <c r="AD500" s="164"/>
      <c r="AE500" s="24"/>
      <c r="AF500" s="164"/>
      <c r="AG500" s="22"/>
      <c r="AH500" s="45"/>
      <c r="AI500" s="24"/>
      <c r="AJ500" s="163"/>
      <c r="AK500" s="22"/>
      <c r="AL500" s="22"/>
      <c r="AM500" s="22"/>
      <c r="AN500" s="22"/>
      <c r="AO500" s="22"/>
      <c r="AP500" s="22"/>
      <c r="AQ500" s="22"/>
      <c r="AR500" s="22"/>
      <c r="AS500" s="22"/>
      <c r="AT500" s="219"/>
      <c r="AU500" s="219"/>
      <c r="AV500" s="219">
        <v>385660001</v>
      </c>
      <c r="AW500" s="219"/>
      <c r="AX500" s="219"/>
      <c r="AY500" s="219"/>
      <c r="AZ500" s="219"/>
      <c r="BA500" s="219"/>
      <c r="BB500" s="219"/>
      <c r="BC500" s="219"/>
      <c r="BD500" s="219"/>
      <c r="BE500" s="137" t="s">
        <v>115</v>
      </c>
      <c r="BF500" s="137" t="s">
        <v>1469</v>
      </c>
      <c r="BG500" s="139" t="s">
        <v>1470</v>
      </c>
      <c r="BH500" s="220"/>
      <c r="BI500" s="220">
        <v>385660001</v>
      </c>
      <c r="BJ500" s="220"/>
      <c r="BK500" s="46">
        <f t="shared" si="1"/>
        <v>1</v>
      </c>
      <c r="BL500" s="46"/>
      <c r="BM500" s="46"/>
      <c r="BN500" s="46"/>
    </row>
    <row r="501" spans="1:66" ht="12.75" hidden="1" customHeight="1">
      <c r="A501" s="22">
        <v>499</v>
      </c>
      <c r="B501" s="22" t="s">
        <v>2130</v>
      </c>
      <c r="C501" s="22" t="e">
        <f t="shared" ca="1" si="0"/>
        <v>#NAME?</v>
      </c>
      <c r="D501" s="24" t="s">
        <v>1471</v>
      </c>
      <c r="E501" s="22" t="s">
        <v>180</v>
      </c>
      <c r="F501" s="24" t="s">
        <v>1615</v>
      </c>
      <c r="G501" s="24" t="s">
        <v>1434</v>
      </c>
      <c r="H501" s="24"/>
      <c r="I501" s="24">
        <v>1</v>
      </c>
      <c r="J501" s="24" t="s">
        <v>1308</v>
      </c>
      <c r="K501" s="24"/>
      <c r="L501" s="24"/>
      <c r="M501" s="24"/>
      <c r="N501" s="24"/>
      <c r="O501" s="24"/>
      <c r="P501" s="164"/>
      <c r="Q501" s="164"/>
      <c r="R501" s="247"/>
      <c r="S501" s="163"/>
      <c r="T501" s="163"/>
      <c r="U501" s="163"/>
      <c r="V501" s="193"/>
      <c r="W501" s="194" t="s">
        <v>1471</v>
      </c>
      <c r="X501" s="163"/>
      <c r="Y501" s="24"/>
      <c r="Z501" s="24"/>
      <c r="AA501" s="164"/>
      <c r="AB501" s="163"/>
      <c r="AC501" s="269"/>
      <c r="AD501" s="164"/>
      <c r="AE501" s="24"/>
      <c r="AF501" s="164"/>
      <c r="AG501" s="22"/>
      <c r="AH501" s="45"/>
      <c r="AI501" s="24"/>
      <c r="AJ501" s="163"/>
      <c r="AK501" s="22"/>
      <c r="AL501" s="22"/>
      <c r="AM501" s="22"/>
      <c r="AN501" s="22"/>
      <c r="AO501" s="22"/>
      <c r="AP501" s="22"/>
      <c r="AQ501" s="22"/>
      <c r="AR501" s="22"/>
      <c r="AS501" s="22"/>
      <c r="AT501" s="219"/>
      <c r="AU501" s="219"/>
      <c r="AV501" s="219">
        <v>17621005</v>
      </c>
      <c r="AW501" s="219"/>
      <c r="AX501" s="219"/>
      <c r="AY501" s="219"/>
      <c r="AZ501" s="219"/>
      <c r="BA501" s="219"/>
      <c r="BB501" s="219"/>
      <c r="BC501" s="219"/>
      <c r="BD501" s="219"/>
      <c r="BE501" s="137" t="s">
        <v>115</v>
      </c>
      <c r="BF501" s="137" t="s">
        <v>1472</v>
      </c>
      <c r="BG501" s="139" t="s">
        <v>1473</v>
      </c>
      <c r="BH501" s="220"/>
      <c r="BI501" s="220">
        <v>17621005</v>
      </c>
      <c r="BJ501" s="220"/>
      <c r="BK501" s="46">
        <f t="shared" si="1"/>
        <v>1</v>
      </c>
      <c r="BL501" s="46"/>
      <c r="BM501" s="46"/>
      <c r="BN501" s="46"/>
    </row>
    <row r="502" spans="1:66" ht="12.75" hidden="1" customHeight="1">
      <c r="A502" s="22">
        <v>500</v>
      </c>
      <c r="B502" s="22" t="s">
        <v>2143</v>
      </c>
      <c r="C502" s="22" t="e">
        <f t="shared" ca="1" si="0"/>
        <v>#NAME?</v>
      </c>
      <c r="D502" s="24" t="s">
        <v>1474</v>
      </c>
      <c r="E502" s="22" t="s">
        <v>180</v>
      </c>
      <c r="F502" s="24" t="s">
        <v>1615</v>
      </c>
      <c r="G502" s="24" t="s">
        <v>1434</v>
      </c>
      <c r="H502" s="24"/>
      <c r="I502" s="24">
        <v>1</v>
      </c>
      <c r="J502" s="24" t="s">
        <v>1308</v>
      </c>
      <c r="K502" s="24"/>
      <c r="L502" s="24"/>
      <c r="M502" s="24"/>
      <c r="N502" s="24"/>
      <c r="O502" s="24"/>
      <c r="P502" s="164"/>
      <c r="Q502" s="164"/>
      <c r="R502" s="247"/>
      <c r="S502" s="163"/>
      <c r="T502" s="163"/>
      <c r="U502" s="163"/>
      <c r="V502" s="193"/>
      <c r="W502" s="194" t="s">
        <v>1474</v>
      </c>
      <c r="X502" s="163"/>
      <c r="Y502" s="24"/>
      <c r="Z502" s="24"/>
      <c r="AA502" s="164"/>
      <c r="AB502" s="163"/>
      <c r="AC502" s="269"/>
      <c r="AD502" s="164"/>
      <c r="AE502" s="24"/>
      <c r="AF502" s="164"/>
      <c r="AG502" s="22"/>
      <c r="AH502" s="45"/>
      <c r="AI502" s="24"/>
      <c r="AJ502" s="163"/>
      <c r="AK502" s="22"/>
      <c r="AL502" s="22"/>
      <c r="AM502" s="22"/>
      <c r="AN502" s="22"/>
      <c r="AO502" s="22"/>
      <c r="AP502" s="22"/>
      <c r="AQ502" s="22"/>
      <c r="AR502" s="22"/>
      <c r="AS502" s="22"/>
      <c r="AT502" s="219"/>
      <c r="AU502" s="219"/>
      <c r="AV502" s="135">
        <v>263654008</v>
      </c>
      <c r="AW502" s="219"/>
      <c r="AX502" s="219"/>
      <c r="AY502" s="219"/>
      <c r="AZ502" s="219"/>
      <c r="BA502" s="219"/>
      <c r="BB502" s="219"/>
      <c r="BC502" s="219"/>
      <c r="BD502" s="219"/>
      <c r="BE502" s="137" t="s">
        <v>115</v>
      </c>
      <c r="BF502" s="137" t="s">
        <v>1475</v>
      </c>
      <c r="BG502" s="139" t="s">
        <v>1476</v>
      </c>
      <c r="BH502" s="311"/>
      <c r="BI502" s="145">
        <v>263654008</v>
      </c>
      <c r="BJ502" s="311"/>
      <c r="BK502" s="46">
        <f t="shared" si="1"/>
        <v>1</v>
      </c>
      <c r="BL502" s="46"/>
      <c r="BM502" s="46"/>
      <c r="BN502" s="46"/>
    </row>
    <row r="503" spans="1:66" ht="12.75" hidden="1" customHeight="1">
      <c r="A503" s="22">
        <v>501</v>
      </c>
      <c r="B503" s="22" t="s">
        <v>1620</v>
      </c>
      <c r="C503" s="22" t="str">
        <f t="shared" si="0"/>
        <v>Abnormal (specify) - Pelvic Exam</v>
      </c>
      <c r="D503" s="24" t="s">
        <v>1620</v>
      </c>
      <c r="E503" s="22" t="s">
        <v>96</v>
      </c>
      <c r="F503" s="24"/>
      <c r="G503" s="24" t="s">
        <v>1434</v>
      </c>
      <c r="H503" s="24"/>
      <c r="I503" s="24">
        <v>1</v>
      </c>
      <c r="J503" s="24" t="s">
        <v>1308</v>
      </c>
      <c r="K503" s="24"/>
      <c r="L503" s="24"/>
      <c r="M503" s="24"/>
      <c r="N503" s="24"/>
      <c r="O503" s="24"/>
      <c r="P503" s="164"/>
      <c r="Q503" s="164"/>
      <c r="R503" s="247" t="s">
        <v>1478</v>
      </c>
      <c r="S503" s="163" t="s">
        <v>1621</v>
      </c>
      <c r="T503" s="163" t="s">
        <v>1480</v>
      </c>
      <c r="U503" s="163" t="s">
        <v>238</v>
      </c>
      <c r="V503" s="163"/>
      <c r="W503" s="163"/>
      <c r="X503" s="163"/>
      <c r="Y503" s="24"/>
      <c r="Z503" s="24"/>
      <c r="AA503" s="164"/>
      <c r="AB503" s="163" t="s">
        <v>208</v>
      </c>
      <c r="AC503" s="269"/>
      <c r="AD503" s="164"/>
      <c r="AE503" s="24"/>
      <c r="AF503" s="164"/>
      <c r="AG503" s="22"/>
      <c r="AH503" s="45"/>
      <c r="AI503" s="24"/>
      <c r="AJ503" s="163" t="s">
        <v>115</v>
      </c>
      <c r="AK503" s="22"/>
      <c r="AL503" s="22"/>
      <c r="AM503" s="22"/>
      <c r="AN503" s="22"/>
      <c r="AO503" s="22"/>
      <c r="AP503" s="22"/>
      <c r="AQ503" s="22"/>
      <c r="AR503" s="22"/>
      <c r="AS503" s="22"/>
      <c r="AT503" s="275"/>
      <c r="AU503" s="275"/>
      <c r="AV503" s="275"/>
      <c r="AW503" s="275"/>
      <c r="AX503" s="275"/>
      <c r="AY503" s="275"/>
      <c r="AZ503" s="275"/>
      <c r="BA503" s="275"/>
      <c r="BB503" s="275"/>
      <c r="BC503" s="275"/>
      <c r="BD503" s="275"/>
      <c r="BE503" s="137" t="s">
        <v>115</v>
      </c>
      <c r="BF503" s="137" t="s">
        <v>1622</v>
      </c>
      <c r="BG503" s="139" t="s">
        <v>1623</v>
      </c>
      <c r="BH503" s="313"/>
      <c r="BI503" s="276"/>
      <c r="BJ503" s="276"/>
      <c r="BK503" s="46">
        <f t="shared" si="1"/>
        <v>1</v>
      </c>
      <c r="BL503" s="46"/>
      <c r="BM503" s="46"/>
      <c r="BN503" s="46"/>
    </row>
    <row r="504" spans="1:66" ht="12.75" hidden="1" customHeight="1">
      <c r="A504" s="22">
        <v>502</v>
      </c>
      <c r="B504" s="22" t="s">
        <v>2467</v>
      </c>
      <c r="C504" s="22" t="e">
        <f t="shared" ca="1" si="0"/>
        <v>#NAME?</v>
      </c>
      <c r="D504" s="24" t="s">
        <v>1624</v>
      </c>
      <c r="E504" s="22" t="s">
        <v>180</v>
      </c>
      <c r="F504" s="24" t="s">
        <v>1620</v>
      </c>
      <c r="G504" s="24" t="s">
        <v>1434</v>
      </c>
      <c r="H504" s="24"/>
      <c r="I504" s="24">
        <v>1</v>
      </c>
      <c r="J504" s="24" t="s">
        <v>1308</v>
      </c>
      <c r="K504" s="24"/>
      <c r="L504" s="24"/>
      <c r="M504" s="24"/>
      <c r="N504" s="24"/>
      <c r="O504" s="24"/>
      <c r="P504" s="164"/>
      <c r="Q504" s="164"/>
      <c r="R504" s="247"/>
      <c r="S504" s="196"/>
      <c r="T504" s="196"/>
      <c r="U504" s="196"/>
      <c r="V504" s="163"/>
      <c r="W504" s="163" t="s">
        <v>1624</v>
      </c>
      <c r="X504" s="196"/>
      <c r="Y504" s="24"/>
      <c r="Z504" s="24"/>
      <c r="AA504" s="164"/>
      <c r="AB504" s="163"/>
      <c r="AC504" s="269"/>
      <c r="AD504" s="164"/>
      <c r="AE504" s="24"/>
      <c r="AF504" s="164"/>
      <c r="AG504" s="22"/>
      <c r="AH504" s="45"/>
      <c r="AI504" s="24"/>
      <c r="AJ504" s="196"/>
      <c r="AK504" s="22"/>
      <c r="AL504" s="22"/>
      <c r="AM504" s="22"/>
      <c r="AN504" s="22"/>
      <c r="AO504" s="22"/>
      <c r="AP504" s="22"/>
      <c r="AQ504" s="22"/>
      <c r="AR504" s="22"/>
      <c r="AS504" s="22"/>
      <c r="AT504" s="275"/>
      <c r="AU504" s="275"/>
      <c r="AV504" s="275"/>
      <c r="AW504" s="275"/>
      <c r="AX504" s="275"/>
      <c r="AY504" s="275"/>
      <c r="AZ504" s="275"/>
      <c r="BA504" s="275"/>
      <c r="BB504" s="275"/>
      <c r="BC504" s="275"/>
      <c r="BD504" s="275"/>
      <c r="BE504" s="137" t="s">
        <v>115</v>
      </c>
      <c r="BF504" s="137" t="s">
        <v>1625</v>
      </c>
      <c r="BG504" s="139" t="s">
        <v>1626</v>
      </c>
      <c r="BH504" s="313"/>
      <c r="BI504" s="276"/>
      <c r="BJ504" s="276"/>
      <c r="BK504" s="46">
        <f t="shared" si="1"/>
        <v>1</v>
      </c>
      <c r="BL504" s="46"/>
      <c r="BM504" s="46"/>
      <c r="BN504" s="46"/>
    </row>
    <row r="505" spans="1:66" ht="12.75" hidden="1" customHeight="1">
      <c r="A505" s="22">
        <v>503</v>
      </c>
      <c r="B505" s="22" t="s">
        <v>304</v>
      </c>
      <c r="C505" s="22" t="e">
        <f t="shared" ca="1" si="0"/>
        <v>#NAME?</v>
      </c>
      <c r="D505" s="24" t="s">
        <v>239</v>
      </c>
      <c r="E505" s="22" t="s">
        <v>180</v>
      </c>
      <c r="F505" s="24" t="s">
        <v>1620</v>
      </c>
      <c r="G505" s="24" t="s">
        <v>1434</v>
      </c>
      <c r="H505" s="24"/>
      <c r="I505" s="24">
        <v>1</v>
      </c>
      <c r="J505" s="24" t="s">
        <v>1308</v>
      </c>
      <c r="K505" s="24"/>
      <c r="L505" s="24"/>
      <c r="M505" s="24"/>
      <c r="N505" s="24"/>
      <c r="O505" s="24"/>
      <c r="P505" s="164"/>
      <c r="Q505" s="164"/>
      <c r="R505" s="247"/>
      <c r="S505" s="196"/>
      <c r="T505" s="196"/>
      <c r="U505" s="196"/>
      <c r="V505" s="194"/>
      <c r="W505" s="194" t="s">
        <v>239</v>
      </c>
      <c r="X505" s="196"/>
      <c r="Y505" s="24"/>
      <c r="Z505" s="24"/>
      <c r="AA505" s="164"/>
      <c r="AB505" s="163"/>
      <c r="AC505" s="269"/>
      <c r="AD505" s="164"/>
      <c r="AE505" s="24"/>
      <c r="AF505" s="164"/>
      <c r="AG505" s="22"/>
      <c r="AH505" s="45"/>
      <c r="AI505" s="24"/>
      <c r="AJ505" s="196"/>
      <c r="AK505" s="22"/>
      <c r="AL505" s="22"/>
      <c r="AM505" s="22"/>
      <c r="AN505" s="22"/>
      <c r="AO505" s="22"/>
      <c r="AP505" s="22"/>
      <c r="AQ505" s="22"/>
      <c r="AR505" s="22"/>
      <c r="AS505" s="22"/>
      <c r="AT505" s="210" t="s">
        <v>1627</v>
      </c>
      <c r="AU505" s="219"/>
      <c r="AV505" s="135">
        <v>289567003</v>
      </c>
      <c r="AW505" s="219"/>
      <c r="AX505" s="219"/>
      <c r="AY505" s="219"/>
      <c r="AZ505" s="219"/>
      <c r="BA505" s="219"/>
      <c r="BB505" s="219"/>
      <c r="BC505" s="219"/>
      <c r="BD505" s="219"/>
      <c r="BE505" s="137" t="s">
        <v>115</v>
      </c>
      <c r="BF505" s="137" t="s">
        <v>240</v>
      </c>
      <c r="BG505" s="139" t="s">
        <v>241</v>
      </c>
      <c r="BH505" s="245" t="s">
        <v>1627</v>
      </c>
      <c r="BI505" s="140">
        <v>289567003</v>
      </c>
      <c r="BJ505" s="220"/>
      <c r="BK505" s="46">
        <f t="shared" si="1"/>
        <v>1</v>
      </c>
      <c r="BL505" s="46"/>
      <c r="BM505" s="46"/>
      <c r="BN505" s="46"/>
    </row>
    <row r="506" spans="1:66" ht="12.75" hidden="1" customHeight="1">
      <c r="A506" s="22">
        <v>504</v>
      </c>
      <c r="B506" s="22" t="s">
        <v>2473</v>
      </c>
      <c r="C506" s="22" t="e">
        <f t="shared" ca="1" si="0"/>
        <v>#NAME?</v>
      </c>
      <c r="D506" s="24" t="s">
        <v>1628</v>
      </c>
      <c r="E506" s="22" t="s">
        <v>180</v>
      </c>
      <c r="F506" s="24" t="s">
        <v>1620</v>
      </c>
      <c r="G506" s="24" t="s">
        <v>1434</v>
      </c>
      <c r="H506" s="24"/>
      <c r="I506" s="24">
        <v>1</v>
      </c>
      <c r="J506" s="24" t="s">
        <v>1308</v>
      </c>
      <c r="K506" s="24"/>
      <c r="L506" s="24"/>
      <c r="M506" s="24"/>
      <c r="N506" s="24"/>
      <c r="O506" s="24"/>
      <c r="P506" s="164"/>
      <c r="Q506" s="164"/>
      <c r="R506" s="247"/>
      <c r="S506" s="196"/>
      <c r="T506" s="196"/>
      <c r="U506" s="196"/>
      <c r="V506" s="194"/>
      <c r="W506" s="194" t="s">
        <v>1628</v>
      </c>
      <c r="X506" s="196"/>
      <c r="Y506" s="24"/>
      <c r="Z506" s="24"/>
      <c r="AA506" s="164"/>
      <c r="AB506" s="163"/>
      <c r="AC506" s="269"/>
      <c r="AD506" s="164"/>
      <c r="AE506" s="24"/>
      <c r="AF506" s="164"/>
      <c r="AG506" s="22"/>
      <c r="AH506" s="45"/>
      <c r="AI506" s="24"/>
      <c r="AJ506" s="196"/>
      <c r="AK506" s="22"/>
      <c r="AL506" s="22"/>
      <c r="AM506" s="22"/>
      <c r="AN506" s="22"/>
      <c r="AO506" s="22"/>
      <c r="AP506" s="22"/>
      <c r="AQ506" s="22"/>
      <c r="AR506" s="22"/>
      <c r="AS506" s="22"/>
      <c r="AT506" s="219"/>
      <c r="AU506" s="219"/>
      <c r="AV506" s="135">
        <v>371380006</v>
      </c>
      <c r="AW506" s="219"/>
      <c r="AX506" s="219"/>
      <c r="AY506" s="219"/>
      <c r="AZ506" s="219"/>
      <c r="BA506" s="219"/>
      <c r="BB506" s="219"/>
      <c r="BC506" s="219"/>
      <c r="BD506" s="219"/>
      <c r="BE506" s="137" t="s">
        <v>115</v>
      </c>
      <c r="BF506" s="137" t="s">
        <v>1630</v>
      </c>
      <c r="BG506" s="139" t="s">
        <v>297</v>
      </c>
      <c r="BH506" s="220"/>
      <c r="BI506" s="140">
        <v>371380006</v>
      </c>
      <c r="BJ506" s="220"/>
      <c r="BK506" s="46">
        <f t="shared" si="1"/>
        <v>1</v>
      </c>
      <c r="BL506" s="46"/>
      <c r="BM506" s="46"/>
      <c r="BN506" s="46"/>
    </row>
    <row r="507" spans="1:66" ht="12.75" hidden="1" customHeight="1">
      <c r="A507" s="22">
        <v>505</v>
      </c>
      <c r="B507" s="22" t="s">
        <v>2478</v>
      </c>
      <c r="C507" s="22" t="e">
        <f t="shared" ca="1" si="0"/>
        <v>#NAME?</v>
      </c>
      <c r="D507" s="24" t="s">
        <v>1631</v>
      </c>
      <c r="E507" s="22" t="s">
        <v>180</v>
      </c>
      <c r="F507" s="24" t="s">
        <v>1620</v>
      </c>
      <c r="G507" s="24" t="s">
        <v>1434</v>
      </c>
      <c r="H507" s="24"/>
      <c r="I507" s="24">
        <v>1</v>
      </c>
      <c r="J507" s="24" t="s">
        <v>1308</v>
      </c>
      <c r="K507" s="24"/>
      <c r="L507" s="24"/>
      <c r="M507" s="24"/>
      <c r="N507" s="24"/>
      <c r="O507" s="24"/>
      <c r="P507" s="164"/>
      <c r="Q507" s="164"/>
      <c r="R507" s="247"/>
      <c r="S507" s="196"/>
      <c r="T507" s="196"/>
      <c r="U507" s="196"/>
      <c r="V507" s="194"/>
      <c r="W507" s="194" t="s">
        <v>1631</v>
      </c>
      <c r="X507" s="196"/>
      <c r="Y507" s="24"/>
      <c r="Z507" s="24"/>
      <c r="AA507" s="164"/>
      <c r="AB507" s="163"/>
      <c r="AC507" s="269"/>
      <c r="AD507" s="164"/>
      <c r="AE507" s="24"/>
      <c r="AF507" s="164"/>
      <c r="AG507" s="22"/>
      <c r="AH507" s="45"/>
      <c r="AI507" s="24"/>
      <c r="AJ507" s="196"/>
      <c r="AK507" s="22"/>
      <c r="AL507" s="22"/>
      <c r="AM507" s="22"/>
      <c r="AN507" s="22"/>
      <c r="AO507" s="22"/>
      <c r="AP507" s="22"/>
      <c r="AQ507" s="22"/>
      <c r="AR507" s="22"/>
      <c r="AS507" s="22"/>
      <c r="AT507" s="219"/>
      <c r="AU507" s="219"/>
      <c r="AV507" s="219"/>
      <c r="AW507" s="219"/>
      <c r="AX507" s="219"/>
      <c r="AY507" s="219"/>
      <c r="AZ507" s="219"/>
      <c r="BA507" s="219"/>
      <c r="BB507" s="219"/>
      <c r="BC507" s="219"/>
      <c r="BD507" s="219"/>
      <c r="BE507" s="137" t="s">
        <v>115</v>
      </c>
      <c r="BF507" s="137" t="s">
        <v>1633</v>
      </c>
      <c r="BG507" s="139" t="s">
        <v>1634</v>
      </c>
      <c r="BH507" s="220"/>
      <c r="BI507" s="220"/>
      <c r="BJ507" s="220"/>
      <c r="BK507" s="46">
        <f t="shared" si="1"/>
        <v>1</v>
      </c>
      <c r="BL507" s="46"/>
      <c r="BM507" s="46"/>
      <c r="BN507" s="46"/>
    </row>
    <row r="508" spans="1:66" ht="12.75" hidden="1" customHeight="1">
      <c r="A508" s="22">
        <v>506</v>
      </c>
      <c r="B508" s="22" t="s">
        <v>2482</v>
      </c>
      <c r="C508" s="22" t="e">
        <f t="shared" ca="1" si="0"/>
        <v>#NAME?</v>
      </c>
      <c r="D508" s="24" t="s">
        <v>1635</v>
      </c>
      <c r="E508" s="22" t="s">
        <v>180</v>
      </c>
      <c r="F508" s="24" t="s">
        <v>1620</v>
      </c>
      <c r="G508" s="24" t="s">
        <v>1434</v>
      </c>
      <c r="H508" s="24"/>
      <c r="I508" s="24">
        <v>1</v>
      </c>
      <c r="J508" s="24" t="s">
        <v>1308</v>
      </c>
      <c r="K508" s="24"/>
      <c r="L508" s="24"/>
      <c r="M508" s="24"/>
      <c r="N508" s="24"/>
      <c r="O508" s="24"/>
      <c r="P508" s="164"/>
      <c r="Q508" s="164"/>
      <c r="R508" s="247"/>
      <c r="S508" s="196"/>
      <c r="T508" s="196"/>
      <c r="U508" s="196"/>
      <c r="V508" s="194"/>
      <c r="W508" s="194" t="s">
        <v>1635</v>
      </c>
      <c r="X508" s="196"/>
      <c r="Y508" s="24"/>
      <c r="Z508" s="24"/>
      <c r="AA508" s="164"/>
      <c r="AB508" s="163"/>
      <c r="AC508" s="269"/>
      <c r="AD508" s="164"/>
      <c r="AE508" s="24"/>
      <c r="AF508" s="164"/>
      <c r="AG508" s="22"/>
      <c r="AH508" s="45"/>
      <c r="AI508" s="24"/>
      <c r="AJ508" s="196"/>
      <c r="AK508" s="22"/>
      <c r="AL508" s="22"/>
      <c r="AM508" s="22"/>
      <c r="AN508" s="22"/>
      <c r="AO508" s="22"/>
      <c r="AP508" s="22"/>
      <c r="AQ508" s="22"/>
      <c r="AR508" s="22"/>
      <c r="AS508" s="22"/>
      <c r="AT508" s="219"/>
      <c r="AU508" s="219"/>
      <c r="AV508" s="219"/>
      <c r="AW508" s="219"/>
      <c r="AX508" s="219"/>
      <c r="AY508" s="219"/>
      <c r="AZ508" s="219"/>
      <c r="BA508" s="219"/>
      <c r="BB508" s="219"/>
      <c r="BC508" s="219"/>
      <c r="BD508" s="219"/>
      <c r="BE508" s="137" t="s">
        <v>115</v>
      </c>
      <c r="BF508" s="137" t="s">
        <v>1636</v>
      </c>
      <c r="BG508" s="139" t="s">
        <v>1637</v>
      </c>
      <c r="BH508" s="220"/>
      <c r="BI508" s="220"/>
      <c r="BJ508" s="220"/>
      <c r="BK508" s="46">
        <f t="shared" si="1"/>
        <v>1</v>
      </c>
      <c r="BL508" s="46"/>
      <c r="BM508" s="46"/>
      <c r="BN508" s="46"/>
    </row>
    <row r="509" spans="1:66" ht="12.75" hidden="1" customHeight="1">
      <c r="A509" s="22">
        <v>507</v>
      </c>
      <c r="B509" s="22" t="s">
        <v>2489</v>
      </c>
      <c r="C509" s="22" t="e">
        <f t="shared" ca="1" si="0"/>
        <v>#NAME?</v>
      </c>
      <c r="D509" s="24" t="s">
        <v>1638</v>
      </c>
      <c r="E509" s="22" t="s">
        <v>180</v>
      </c>
      <c r="F509" s="24" t="s">
        <v>1620</v>
      </c>
      <c r="G509" s="24" t="s">
        <v>1434</v>
      </c>
      <c r="H509" s="24"/>
      <c r="I509" s="24">
        <v>1</v>
      </c>
      <c r="J509" s="24" t="s">
        <v>1308</v>
      </c>
      <c r="K509" s="24"/>
      <c r="L509" s="24"/>
      <c r="M509" s="24"/>
      <c r="N509" s="24"/>
      <c r="O509" s="24"/>
      <c r="P509" s="164"/>
      <c r="Q509" s="164"/>
      <c r="R509" s="247"/>
      <c r="S509" s="196"/>
      <c r="T509" s="196"/>
      <c r="U509" s="196"/>
      <c r="V509" s="194"/>
      <c r="W509" s="194" t="s">
        <v>1638</v>
      </c>
      <c r="X509" s="196"/>
      <c r="Y509" s="24"/>
      <c r="Z509" s="24"/>
      <c r="AA509" s="164"/>
      <c r="AB509" s="163"/>
      <c r="AC509" s="269"/>
      <c r="AD509" s="164"/>
      <c r="AE509" s="24"/>
      <c r="AF509" s="164"/>
      <c r="AG509" s="22"/>
      <c r="AH509" s="45"/>
      <c r="AI509" s="24"/>
      <c r="AJ509" s="196"/>
      <c r="AK509" s="22"/>
      <c r="AL509" s="22"/>
      <c r="AM509" s="22"/>
      <c r="AN509" s="22"/>
      <c r="AO509" s="22"/>
      <c r="AP509" s="22"/>
      <c r="AQ509" s="22"/>
      <c r="AR509" s="22"/>
      <c r="AS509" s="22"/>
      <c r="AT509" s="219"/>
      <c r="AU509" s="219"/>
      <c r="AV509" s="219"/>
      <c r="AW509" s="219"/>
      <c r="AX509" s="219"/>
      <c r="AY509" s="219"/>
      <c r="AZ509" s="219"/>
      <c r="BA509" s="219"/>
      <c r="BB509" s="219"/>
      <c r="BC509" s="219"/>
      <c r="BD509" s="219"/>
      <c r="BE509" s="137" t="s">
        <v>115</v>
      </c>
      <c r="BF509" s="137" t="s">
        <v>1640</v>
      </c>
      <c r="BG509" s="139" t="s">
        <v>1641</v>
      </c>
      <c r="BH509" s="220"/>
      <c r="BI509" s="220"/>
      <c r="BJ509" s="220"/>
      <c r="BK509" s="46">
        <f t="shared" si="1"/>
        <v>1</v>
      </c>
      <c r="BL509" s="46"/>
      <c r="BM509" s="46"/>
      <c r="BN509" s="46"/>
    </row>
    <row r="510" spans="1:66" ht="12.75" hidden="1" customHeight="1">
      <c r="A510" s="22">
        <v>508</v>
      </c>
      <c r="B510" s="22" t="s">
        <v>2490</v>
      </c>
      <c r="C510" s="22" t="e">
        <f t="shared" ca="1" si="0"/>
        <v>#NAME?</v>
      </c>
      <c r="D510" s="24" t="s">
        <v>1642</v>
      </c>
      <c r="E510" s="22" t="s">
        <v>180</v>
      </c>
      <c r="F510" s="24" t="s">
        <v>1620</v>
      </c>
      <c r="G510" s="24" t="s">
        <v>1434</v>
      </c>
      <c r="H510" s="24"/>
      <c r="I510" s="24">
        <v>1</v>
      </c>
      <c r="J510" s="24" t="s">
        <v>1308</v>
      </c>
      <c r="K510" s="24"/>
      <c r="L510" s="24"/>
      <c r="M510" s="24"/>
      <c r="N510" s="24"/>
      <c r="O510" s="24"/>
      <c r="P510" s="164"/>
      <c r="Q510" s="164"/>
      <c r="R510" s="247"/>
      <c r="S510" s="196"/>
      <c r="T510" s="196"/>
      <c r="U510" s="196"/>
      <c r="V510" s="194"/>
      <c r="W510" s="194" t="s">
        <v>1642</v>
      </c>
      <c r="X510" s="196"/>
      <c r="Y510" s="24"/>
      <c r="Z510" s="24"/>
      <c r="AA510" s="164"/>
      <c r="AB510" s="163"/>
      <c r="AC510" s="269"/>
      <c r="AD510" s="164"/>
      <c r="AE510" s="24"/>
      <c r="AF510" s="164"/>
      <c r="AG510" s="22"/>
      <c r="AH510" s="45"/>
      <c r="AI510" s="24"/>
      <c r="AJ510" s="196"/>
      <c r="AK510" s="22"/>
      <c r="AL510" s="22"/>
      <c r="AM510" s="22"/>
      <c r="AN510" s="22"/>
      <c r="AO510" s="22"/>
      <c r="AP510" s="22"/>
      <c r="AQ510" s="22"/>
      <c r="AR510" s="22"/>
      <c r="AS510" s="22"/>
      <c r="AT510" s="219"/>
      <c r="AU510" s="219"/>
      <c r="AV510" s="219"/>
      <c r="AW510" s="219"/>
      <c r="AX510" s="219"/>
      <c r="AY510" s="219"/>
      <c r="AZ510" s="219"/>
      <c r="BA510" s="219"/>
      <c r="BB510" s="219"/>
      <c r="BC510" s="219"/>
      <c r="BD510" s="219"/>
      <c r="BE510" s="137" t="s">
        <v>115</v>
      </c>
      <c r="BF510" s="137" t="s">
        <v>1643</v>
      </c>
      <c r="BG510" s="139" t="s">
        <v>1644</v>
      </c>
      <c r="BH510" s="220"/>
      <c r="BI510" s="220"/>
      <c r="BJ510" s="220"/>
      <c r="BK510" s="46">
        <f t="shared" si="1"/>
        <v>1</v>
      </c>
      <c r="BL510" s="46"/>
      <c r="BM510" s="46"/>
      <c r="BN510" s="46"/>
    </row>
    <row r="511" spans="1:66" ht="12.75" hidden="1" customHeight="1">
      <c r="A511" s="22">
        <v>509</v>
      </c>
      <c r="B511" s="22" t="s">
        <v>2494</v>
      </c>
      <c r="C511" s="22" t="e">
        <f t="shared" ca="1" si="0"/>
        <v>#NAME?</v>
      </c>
      <c r="D511" s="24" t="s">
        <v>1645</v>
      </c>
      <c r="E511" s="22" t="s">
        <v>180</v>
      </c>
      <c r="F511" s="24" t="s">
        <v>1620</v>
      </c>
      <c r="G511" s="24" t="s">
        <v>1434</v>
      </c>
      <c r="H511" s="24"/>
      <c r="I511" s="24">
        <v>1</v>
      </c>
      <c r="J511" s="24" t="s">
        <v>1308</v>
      </c>
      <c r="K511" s="24"/>
      <c r="L511" s="24"/>
      <c r="M511" s="24"/>
      <c r="N511" s="24"/>
      <c r="O511" s="24"/>
      <c r="P511" s="164"/>
      <c r="Q511" s="164"/>
      <c r="R511" s="247"/>
      <c r="S511" s="196"/>
      <c r="T511" s="196"/>
      <c r="U511" s="196"/>
      <c r="V511" s="194"/>
      <c r="W511" s="194" t="s">
        <v>1645</v>
      </c>
      <c r="X511" s="196"/>
      <c r="Y511" s="24"/>
      <c r="Z511" s="24"/>
      <c r="AA511" s="164"/>
      <c r="AB511" s="163"/>
      <c r="AC511" s="269"/>
      <c r="AD511" s="164"/>
      <c r="AE511" s="24"/>
      <c r="AF511" s="164"/>
      <c r="AG511" s="22"/>
      <c r="AH511" s="45"/>
      <c r="AI511" s="24"/>
      <c r="AJ511" s="196"/>
      <c r="AK511" s="22"/>
      <c r="AL511" s="22"/>
      <c r="AM511" s="22"/>
      <c r="AN511" s="22"/>
      <c r="AO511" s="22"/>
      <c r="AP511" s="22"/>
      <c r="AQ511" s="22"/>
      <c r="AR511" s="22"/>
      <c r="AS511" s="22"/>
      <c r="AT511" s="219"/>
      <c r="AU511" s="219"/>
      <c r="AV511" s="219"/>
      <c r="AW511" s="219"/>
      <c r="AX511" s="219"/>
      <c r="AY511" s="219"/>
      <c r="AZ511" s="219"/>
      <c r="BA511" s="219"/>
      <c r="BB511" s="219"/>
      <c r="BC511" s="219"/>
      <c r="BD511" s="219"/>
      <c r="BE511" s="137" t="s">
        <v>115</v>
      </c>
      <c r="BF511" s="137" t="s">
        <v>1647</v>
      </c>
      <c r="BG511" s="139" t="s">
        <v>1648</v>
      </c>
      <c r="BH511" s="220"/>
      <c r="BI511" s="220"/>
      <c r="BJ511" s="220"/>
      <c r="BK511" s="46">
        <f t="shared" si="1"/>
        <v>1</v>
      </c>
      <c r="BL511" s="46"/>
      <c r="BM511" s="46"/>
      <c r="BN511" s="46"/>
    </row>
    <row r="512" spans="1:66" ht="12.75" hidden="1" customHeight="1">
      <c r="A512" s="22">
        <v>510</v>
      </c>
      <c r="B512" s="22" t="s">
        <v>2497</v>
      </c>
      <c r="C512" s="22" t="e">
        <f t="shared" ca="1" si="0"/>
        <v>#NAME?</v>
      </c>
      <c r="D512" s="24" t="s">
        <v>1649</v>
      </c>
      <c r="E512" s="22" t="s">
        <v>180</v>
      </c>
      <c r="F512" s="24" t="s">
        <v>1620</v>
      </c>
      <c r="G512" s="24" t="s">
        <v>1434</v>
      </c>
      <c r="H512" s="24"/>
      <c r="I512" s="24">
        <v>1</v>
      </c>
      <c r="J512" s="24" t="s">
        <v>1308</v>
      </c>
      <c r="K512" s="24"/>
      <c r="L512" s="24"/>
      <c r="M512" s="24"/>
      <c r="N512" s="24"/>
      <c r="O512" s="24"/>
      <c r="P512" s="164"/>
      <c r="Q512" s="164"/>
      <c r="R512" s="247"/>
      <c r="S512" s="196"/>
      <c r="T512" s="196"/>
      <c r="U512" s="196"/>
      <c r="V512" s="194"/>
      <c r="W512" s="194" t="s">
        <v>1649</v>
      </c>
      <c r="X512" s="196"/>
      <c r="Y512" s="24"/>
      <c r="Z512" s="24"/>
      <c r="AA512" s="164"/>
      <c r="AB512" s="163"/>
      <c r="AC512" s="269"/>
      <c r="AD512" s="164"/>
      <c r="AE512" s="24"/>
      <c r="AF512" s="164"/>
      <c r="AG512" s="22"/>
      <c r="AH512" s="45"/>
      <c r="AI512" s="24"/>
      <c r="AJ512" s="196"/>
      <c r="AK512" s="22"/>
      <c r="AL512" s="22"/>
      <c r="AM512" s="22"/>
      <c r="AN512" s="22"/>
      <c r="AO512" s="22"/>
      <c r="AP512" s="22"/>
      <c r="AQ512" s="22"/>
      <c r="AR512" s="22"/>
      <c r="AS512" s="22"/>
      <c r="AT512" s="219"/>
      <c r="AU512" s="219"/>
      <c r="AV512" s="219"/>
      <c r="AW512" s="219"/>
      <c r="AX512" s="219"/>
      <c r="AY512" s="219"/>
      <c r="AZ512" s="219"/>
      <c r="BA512" s="219"/>
      <c r="BB512" s="219"/>
      <c r="BC512" s="219"/>
      <c r="BD512" s="219"/>
      <c r="BE512" s="137" t="s">
        <v>115</v>
      </c>
      <c r="BF512" s="137" t="s">
        <v>1650</v>
      </c>
      <c r="BG512" s="139" t="s">
        <v>1651</v>
      </c>
      <c r="BH512" s="220"/>
      <c r="BI512" s="220"/>
      <c r="BJ512" s="220"/>
      <c r="BK512" s="46">
        <f t="shared" si="1"/>
        <v>1</v>
      </c>
      <c r="BL512" s="46"/>
      <c r="BM512" s="46"/>
      <c r="BN512" s="46"/>
    </row>
    <row r="513" spans="1:66" ht="12.75" hidden="1" customHeight="1">
      <c r="A513" s="22">
        <v>511</v>
      </c>
      <c r="B513" s="22" t="s">
        <v>2502</v>
      </c>
      <c r="C513" s="22" t="e">
        <f t="shared" ca="1" si="0"/>
        <v>#NAME?</v>
      </c>
      <c r="D513" s="24" t="s">
        <v>1652</v>
      </c>
      <c r="E513" s="22" t="s">
        <v>180</v>
      </c>
      <c r="F513" s="24" t="s">
        <v>1620</v>
      </c>
      <c r="G513" s="24" t="s">
        <v>1434</v>
      </c>
      <c r="H513" s="24"/>
      <c r="I513" s="24">
        <v>1</v>
      </c>
      <c r="J513" s="24" t="s">
        <v>1308</v>
      </c>
      <c r="K513" s="24"/>
      <c r="L513" s="24"/>
      <c r="M513" s="24"/>
      <c r="N513" s="24"/>
      <c r="O513" s="24"/>
      <c r="P513" s="164"/>
      <c r="Q513" s="164"/>
      <c r="R513" s="247"/>
      <c r="S513" s="196"/>
      <c r="T513" s="196"/>
      <c r="U513" s="196"/>
      <c r="V513" s="194"/>
      <c r="W513" s="194" t="s">
        <v>1652</v>
      </c>
      <c r="X513" s="196"/>
      <c r="Y513" s="24"/>
      <c r="Z513" s="24"/>
      <c r="AA513" s="164"/>
      <c r="AB513" s="163"/>
      <c r="AC513" s="269"/>
      <c r="AD513" s="164"/>
      <c r="AE513" s="24"/>
      <c r="AF513" s="164"/>
      <c r="AG513" s="22"/>
      <c r="AH513" s="45"/>
      <c r="AI513" s="24"/>
      <c r="AJ513" s="196"/>
      <c r="AK513" s="22"/>
      <c r="AL513" s="22"/>
      <c r="AM513" s="22"/>
      <c r="AN513" s="22"/>
      <c r="AO513" s="22"/>
      <c r="AP513" s="22"/>
      <c r="AQ513" s="22"/>
      <c r="AR513" s="22"/>
      <c r="AS513" s="22"/>
      <c r="AT513" s="219"/>
      <c r="AU513" s="219"/>
      <c r="AV513" s="219"/>
      <c r="AW513" s="219"/>
      <c r="AX513" s="219"/>
      <c r="AY513" s="219"/>
      <c r="AZ513" s="219"/>
      <c r="BA513" s="219"/>
      <c r="BB513" s="219"/>
      <c r="BC513" s="219"/>
      <c r="BD513" s="219"/>
      <c r="BE513" s="137" t="s">
        <v>115</v>
      </c>
      <c r="BF513" s="137" t="s">
        <v>1653</v>
      </c>
      <c r="BG513" s="139" t="s">
        <v>1654</v>
      </c>
      <c r="BH513" s="220"/>
      <c r="BI513" s="220"/>
      <c r="BJ513" s="220"/>
      <c r="BK513" s="46">
        <f t="shared" si="1"/>
        <v>1</v>
      </c>
      <c r="BL513" s="46"/>
      <c r="BM513" s="46"/>
      <c r="BN513" s="46"/>
    </row>
    <row r="514" spans="1:66" ht="12.75" hidden="1" customHeight="1">
      <c r="A514" s="22">
        <v>512</v>
      </c>
      <c r="B514" s="22" t="s">
        <v>2506</v>
      </c>
      <c r="C514" s="22" t="e">
        <f t="shared" ca="1" si="0"/>
        <v>#NAME?</v>
      </c>
      <c r="D514" s="24" t="s">
        <v>1655</v>
      </c>
      <c r="E514" s="22" t="s">
        <v>180</v>
      </c>
      <c r="F514" s="24" t="s">
        <v>1620</v>
      </c>
      <c r="G514" s="24" t="s">
        <v>1434</v>
      </c>
      <c r="H514" s="24"/>
      <c r="I514" s="24">
        <v>1</v>
      </c>
      <c r="J514" s="24" t="s">
        <v>1308</v>
      </c>
      <c r="K514" s="24"/>
      <c r="L514" s="24"/>
      <c r="M514" s="24"/>
      <c r="N514" s="24"/>
      <c r="O514" s="24"/>
      <c r="P514" s="164"/>
      <c r="Q514" s="164"/>
      <c r="R514" s="247"/>
      <c r="S514" s="196"/>
      <c r="T514" s="196"/>
      <c r="U514" s="196"/>
      <c r="V514" s="194"/>
      <c r="W514" s="194" t="s">
        <v>1655</v>
      </c>
      <c r="X514" s="196"/>
      <c r="Y514" s="24"/>
      <c r="Z514" s="24"/>
      <c r="AA514" s="164"/>
      <c r="AB514" s="163"/>
      <c r="AC514" s="269"/>
      <c r="AD514" s="164"/>
      <c r="AE514" s="24"/>
      <c r="AF514" s="164"/>
      <c r="AG514" s="22"/>
      <c r="AH514" s="45"/>
      <c r="AI514" s="24"/>
      <c r="AJ514" s="196"/>
      <c r="AK514" s="22"/>
      <c r="AL514" s="22"/>
      <c r="AM514" s="22"/>
      <c r="AN514" s="22"/>
      <c r="AO514" s="22"/>
      <c r="AP514" s="22"/>
      <c r="AQ514" s="22"/>
      <c r="AR514" s="22"/>
      <c r="AS514" s="22"/>
      <c r="AT514" s="219"/>
      <c r="AU514" s="219"/>
      <c r="AV514" s="219"/>
      <c r="AW514" s="219"/>
      <c r="AX514" s="219"/>
      <c r="AY514" s="219"/>
      <c r="AZ514" s="219"/>
      <c r="BA514" s="219"/>
      <c r="BB514" s="219"/>
      <c r="BC514" s="219"/>
      <c r="BD514" s="219"/>
      <c r="BE514" s="137" t="s">
        <v>115</v>
      </c>
      <c r="BF514" s="137" t="s">
        <v>1656</v>
      </c>
      <c r="BG514" s="139" t="s">
        <v>1657</v>
      </c>
      <c r="BH514" s="220"/>
      <c r="BI514" s="220"/>
      <c r="BJ514" s="220"/>
      <c r="BK514" s="46">
        <f t="shared" si="1"/>
        <v>1</v>
      </c>
      <c r="BL514" s="46"/>
      <c r="BM514" s="46"/>
      <c r="BN514" s="46"/>
    </row>
    <row r="515" spans="1:66" ht="12.75" hidden="1" customHeight="1">
      <c r="A515" s="22">
        <v>513</v>
      </c>
      <c r="B515" s="22" t="s">
        <v>2507</v>
      </c>
      <c r="C515" s="22" t="e">
        <f t="shared" ca="1" si="0"/>
        <v>#NAME?</v>
      </c>
      <c r="D515" s="24" t="s">
        <v>1658</v>
      </c>
      <c r="E515" s="22" t="s">
        <v>180</v>
      </c>
      <c r="F515" s="24" t="s">
        <v>1620</v>
      </c>
      <c r="G515" s="24" t="s">
        <v>1434</v>
      </c>
      <c r="H515" s="24"/>
      <c r="I515" s="24">
        <v>1</v>
      </c>
      <c r="J515" s="24" t="s">
        <v>1308</v>
      </c>
      <c r="K515" s="24"/>
      <c r="L515" s="24"/>
      <c r="M515" s="24"/>
      <c r="N515" s="24"/>
      <c r="O515" s="24"/>
      <c r="P515" s="164"/>
      <c r="Q515" s="164"/>
      <c r="R515" s="247"/>
      <c r="S515" s="196"/>
      <c r="T515" s="196"/>
      <c r="U515" s="196"/>
      <c r="V515" s="194"/>
      <c r="W515" s="194" t="s">
        <v>1658</v>
      </c>
      <c r="X515" s="196"/>
      <c r="Y515" s="24"/>
      <c r="Z515" s="24"/>
      <c r="AA515" s="164"/>
      <c r="AB515" s="163"/>
      <c r="AC515" s="269"/>
      <c r="AD515" s="164"/>
      <c r="AE515" s="24"/>
      <c r="AF515" s="164"/>
      <c r="AG515" s="22"/>
      <c r="AH515" s="45"/>
      <c r="AI515" s="24"/>
      <c r="AJ515" s="196"/>
      <c r="AK515" s="22"/>
      <c r="AL515" s="22"/>
      <c r="AM515" s="22"/>
      <c r="AN515" s="22"/>
      <c r="AO515" s="22"/>
      <c r="AP515" s="22"/>
      <c r="AQ515" s="22"/>
      <c r="AR515" s="22"/>
      <c r="AS515" s="22"/>
      <c r="AT515" s="219"/>
      <c r="AU515" s="219"/>
      <c r="AV515" s="219"/>
      <c r="AW515" s="219"/>
      <c r="AX515" s="219"/>
      <c r="AY515" s="219"/>
      <c r="AZ515" s="219"/>
      <c r="BA515" s="219"/>
      <c r="BB515" s="219"/>
      <c r="BC515" s="219"/>
      <c r="BD515" s="219"/>
      <c r="BE515" s="137" t="s">
        <v>115</v>
      </c>
      <c r="BF515" s="137" t="s">
        <v>1659</v>
      </c>
      <c r="BG515" s="139" t="s">
        <v>1660</v>
      </c>
      <c r="BH515" s="220"/>
      <c r="BI515" s="220"/>
      <c r="BJ515" s="220"/>
      <c r="BK515" s="46">
        <f t="shared" si="1"/>
        <v>1</v>
      </c>
      <c r="BL515" s="46"/>
      <c r="BM515" s="46"/>
      <c r="BN515" s="46"/>
    </row>
    <row r="516" spans="1:66" ht="12.75" hidden="1" customHeight="1">
      <c r="A516" s="22">
        <v>514</v>
      </c>
      <c r="B516" s="22" t="s">
        <v>2513</v>
      </c>
      <c r="C516" s="22" t="e">
        <f t="shared" ca="1" si="0"/>
        <v>#NAME?</v>
      </c>
      <c r="D516" s="24" t="s">
        <v>1661</v>
      </c>
      <c r="E516" s="22" t="s">
        <v>180</v>
      </c>
      <c r="F516" s="24" t="s">
        <v>1620</v>
      </c>
      <c r="G516" s="24" t="s">
        <v>1434</v>
      </c>
      <c r="H516" s="24"/>
      <c r="I516" s="24">
        <v>1</v>
      </c>
      <c r="J516" s="24" t="s">
        <v>1308</v>
      </c>
      <c r="K516" s="24"/>
      <c r="L516" s="24"/>
      <c r="M516" s="24"/>
      <c r="N516" s="24"/>
      <c r="O516" s="24"/>
      <c r="P516" s="164"/>
      <c r="Q516" s="164"/>
      <c r="R516" s="247"/>
      <c r="S516" s="196"/>
      <c r="T516" s="196"/>
      <c r="U516" s="196"/>
      <c r="V516" s="194"/>
      <c r="W516" s="194" t="s">
        <v>1661</v>
      </c>
      <c r="X516" s="196"/>
      <c r="Y516" s="24"/>
      <c r="Z516" s="24"/>
      <c r="AA516" s="164"/>
      <c r="AB516" s="163"/>
      <c r="AC516" s="269"/>
      <c r="AD516" s="164"/>
      <c r="AE516" s="24"/>
      <c r="AF516" s="164"/>
      <c r="AG516" s="22"/>
      <c r="AH516" s="45"/>
      <c r="AI516" s="24"/>
      <c r="AJ516" s="196"/>
      <c r="AK516" s="22"/>
      <c r="AL516" s="22"/>
      <c r="AM516" s="22"/>
      <c r="AN516" s="22"/>
      <c r="AO516" s="22"/>
      <c r="AP516" s="22"/>
      <c r="AQ516" s="22"/>
      <c r="AR516" s="22"/>
      <c r="AS516" s="22"/>
      <c r="AT516" s="219"/>
      <c r="AU516" s="219"/>
      <c r="AV516" s="219"/>
      <c r="AW516" s="219"/>
      <c r="AX516" s="219"/>
      <c r="AY516" s="219"/>
      <c r="AZ516" s="219"/>
      <c r="BA516" s="219"/>
      <c r="BB516" s="219"/>
      <c r="BC516" s="219"/>
      <c r="BD516" s="219"/>
      <c r="BE516" s="137" t="s">
        <v>115</v>
      </c>
      <c r="BF516" s="137" t="s">
        <v>1662</v>
      </c>
      <c r="BG516" s="139" t="s">
        <v>1663</v>
      </c>
      <c r="BH516" s="220"/>
      <c r="BI516" s="220"/>
      <c r="BJ516" s="220"/>
      <c r="BK516" s="46">
        <f t="shared" si="1"/>
        <v>1</v>
      </c>
      <c r="BL516" s="46"/>
      <c r="BM516" s="46"/>
      <c r="BN516" s="46"/>
    </row>
    <row r="517" spans="1:66" ht="12.75" hidden="1" customHeight="1">
      <c r="A517" s="22">
        <v>515</v>
      </c>
      <c r="B517" s="22" t="s">
        <v>535</v>
      </c>
      <c r="C517" s="22" t="e">
        <f t="shared" ca="1" si="0"/>
        <v>#NAME?</v>
      </c>
      <c r="D517" s="24" t="s">
        <v>405</v>
      </c>
      <c r="E517" s="22" t="s">
        <v>180</v>
      </c>
      <c r="F517" s="24" t="s">
        <v>1620</v>
      </c>
      <c r="G517" s="24" t="s">
        <v>1434</v>
      </c>
      <c r="H517" s="24"/>
      <c r="I517" s="24">
        <v>1</v>
      </c>
      <c r="J517" s="24" t="s">
        <v>1308</v>
      </c>
      <c r="K517" s="24"/>
      <c r="L517" s="24"/>
      <c r="M517" s="24"/>
      <c r="N517" s="24"/>
      <c r="O517" s="24"/>
      <c r="P517" s="164"/>
      <c r="Q517" s="164"/>
      <c r="R517" s="247"/>
      <c r="S517" s="196"/>
      <c r="T517" s="196"/>
      <c r="U517" s="196"/>
      <c r="V517" s="194"/>
      <c r="W517" s="194" t="s">
        <v>405</v>
      </c>
      <c r="X517" s="196"/>
      <c r="Y517" s="24"/>
      <c r="Z517" s="24"/>
      <c r="AA517" s="164"/>
      <c r="AB517" s="163"/>
      <c r="AC517" s="269"/>
      <c r="AD517" s="164"/>
      <c r="AE517" s="24"/>
      <c r="AF517" s="164"/>
      <c r="AG517" s="22"/>
      <c r="AH517" s="45"/>
      <c r="AI517" s="24"/>
      <c r="AJ517" s="196"/>
      <c r="AK517" s="22"/>
      <c r="AL517" s="22"/>
      <c r="AM517" s="22"/>
      <c r="AN517" s="22"/>
      <c r="AO517" s="22"/>
      <c r="AP517" s="22"/>
      <c r="AQ517" s="22"/>
      <c r="AR517" s="22"/>
      <c r="AS517" s="22"/>
      <c r="AT517" s="219"/>
      <c r="AU517" s="219"/>
      <c r="AV517" s="219"/>
      <c r="AW517" s="219"/>
      <c r="AX517" s="219"/>
      <c r="AY517" s="219"/>
      <c r="AZ517" s="219"/>
      <c r="BA517" s="219"/>
      <c r="BB517" s="219"/>
      <c r="BC517" s="219"/>
      <c r="BD517" s="219"/>
      <c r="BE517" s="137" t="s">
        <v>1664</v>
      </c>
      <c r="BF517" s="143" t="s">
        <v>406</v>
      </c>
      <c r="BG517" s="167" t="s">
        <v>407</v>
      </c>
      <c r="BH517" s="220"/>
      <c r="BI517" s="220"/>
      <c r="BJ517" s="220"/>
      <c r="BK517" s="46">
        <f t="shared" si="1"/>
        <v>1</v>
      </c>
      <c r="BL517" s="46"/>
      <c r="BM517" s="46"/>
      <c r="BN517" s="46"/>
    </row>
    <row r="518" spans="1:66" ht="12.75" hidden="1" customHeight="1">
      <c r="A518" s="22">
        <v>516</v>
      </c>
      <c r="B518" s="22" t="s">
        <v>1665</v>
      </c>
      <c r="C518" s="22" t="str">
        <f t="shared" si="0"/>
        <v>Specify - Abnormal Pelvic exam</v>
      </c>
      <c r="D518" s="24" t="s">
        <v>1665</v>
      </c>
      <c r="E518" s="22" t="s">
        <v>96</v>
      </c>
      <c r="F518" s="24"/>
      <c r="G518" s="24" t="s">
        <v>1434</v>
      </c>
      <c r="H518" s="24"/>
      <c r="I518" s="24">
        <v>1</v>
      </c>
      <c r="J518" s="24" t="s">
        <v>1308</v>
      </c>
      <c r="K518" s="24"/>
      <c r="L518" s="24"/>
      <c r="M518" s="24"/>
      <c r="N518" s="24"/>
      <c r="O518" s="24"/>
      <c r="P518" s="164"/>
      <c r="Q518" s="164"/>
      <c r="R518" s="195" t="s">
        <v>409</v>
      </c>
      <c r="S518" s="194" t="s">
        <v>1666</v>
      </c>
      <c r="T518" s="194" t="s">
        <v>1667</v>
      </c>
      <c r="U518" s="194" t="s">
        <v>111</v>
      </c>
      <c r="V518" s="194"/>
      <c r="W518" s="194"/>
      <c r="X518" s="196"/>
      <c r="Y518" s="24"/>
      <c r="Z518" s="24"/>
      <c r="AA518" s="164"/>
      <c r="AB518" s="194" t="s">
        <v>208</v>
      </c>
      <c r="AC518" s="269"/>
      <c r="AD518" s="164"/>
      <c r="AE518" s="24"/>
      <c r="AF518" s="164"/>
      <c r="AG518" s="22"/>
      <c r="AH518" s="45"/>
      <c r="AI518" s="24"/>
      <c r="AJ518" s="194" t="s">
        <v>115</v>
      </c>
      <c r="AK518" s="22"/>
      <c r="AL518" s="22"/>
      <c r="AM518" s="22"/>
      <c r="AN518" s="22"/>
      <c r="AO518" s="22"/>
      <c r="AP518" s="22"/>
      <c r="AQ518" s="22"/>
      <c r="AR518" s="22"/>
      <c r="AS518" s="22"/>
      <c r="AT518" s="219"/>
      <c r="AU518" s="219"/>
      <c r="AV518" s="219"/>
      <c r="AW518" s="219"/>
      <c r="AX518" s="219"/>
      <c r="AY518" s="219"/>
      <c r="AZ518" s="219"/>
      <c r="BA518" s="219"/>
      <c r="BB518" s="219"/>
      <c r="BC518" s="219"/>
      <c r="BD518" s="219"/>
      <c r="BE518" s="143" t="s">
        <v>1664</v>
      </c>
      <c r="BF518" s="143" t="s">
        <v>415</v>
      </c>
      <c r="BG518" s="167" t="s">
        <v>416</v>
      </c>
      <c r="BH518" s="220"/>
      <c r="BI518" s="220"/>
      <c r="BJ518" s="220"/>
      <c r="BK518" s="46">
        <f t="shared" si="1"/>
        <v>1</v>
      </c>
      <c r="BL518" s="46"/>
      <c r="BM518" s="46"/>
      <c r="BN518" s="46"/>
    </row>
    <row r="519" spans="1:66" ht="12.75" hidden="1" customHeight="1">
      <c r="A519" s="22">
        <v>517</v>
      </c>
      <c r="B519" s="22" t="s">
        <v>1668</v>
      </c>
      <c r="C519" s="22" t="str">
        <f t="shared" si="0"/>
        <v>Cervical exam done?</v>
      </c>
      <c r="D519" s="24" t="s">
        <v>1668</v>
      </c>
      <c r="E519" s="22" t="s">
        <v>96</v>
      </c>
      <c r="F519" s="24"/>
      <c r="G519" s="24" t="s">
        <v>1434</v>
      </c>
      <c r="H519" s="24"/>
      <c r="I519" s="24">
        <v>1</v>
      </c>
      <c r="J519" s="24" t="s">
        <v>1308</v>
      </c>
      <c r="K519" s="24"/>
      <c r="L519" s="24"/>
      <c r="M519" s="24"/>
      <c r="N519" s="24"/>
      <c r="O519" s="24"/>
      <c r="P519" s="164"/>
      <c r="Q519" s="164"/>
      <c r="R519" s="195" t="s">
        <v>1668</v>
      </c>
      <c r="S519" s="163" t="s">
        <v>1669</v>
      </c>
      <c r="T519" s="163" t="s">
        <v>1670</v>
      </c>
      <c r="U519" s="163" t="s">
        <v>202</v>
      </c>
      <c r="V519" s="163"/>
      <c r="W519" s="163"/>
      <c r="X519" s="163"/>
      <c r="Y519" s="24"/>
      <c r="Z519" s="24"/>
      <c r="AA519" s="164"/>
      <c r="AB519" s="163" t="s">
        <v>208</v>
      </c>
      <c r="AC519" s="269"/>
      <c r="AD519" s="164"/>
      <c r="AE519" s="24"/>
      <c r="AF519" s="164"/>
      <c r="AG519" s="22"/>
      <c r="AH519" s="45"/>
      <c r="AI519" s="24"/>
      <c r="AJ519" s="163" t="s">
        <v>1277</v>
      </c>
      <c r="AK519" s="22"/>
      <c r="AL519" s="22"/>
      <c r="AM519" s="22"/>
      <c r="AN519" s="22"/>
      <c r="AO519" s="22"/>
      <c r="AP519" s="22"/>
      <c r="AQ519" s="22"/>
      <c r="AR519" s="22"/>
      <c r="AS519" s="22"/>
      <c r="AT519" s="219"/>
      <c r="AU519" s="219"/>
      <c r="AV519" s="219"/>
      <c r="AW519" s="219"/>
      <c r="AX519" s="219"/>
      <c r="AY519" s="219"/>
      <c r="AZ519" s="219"/>
      <c r="BA519" s="219"/>
      <c r="BB519" s="219"/>
      <c r="BC519" s="219"/>
      <c r="BD519" s="219"/>
      <c r="BE519" s="137" t="s">
        <v>115</v>
      </c>
      <c r="BF519" s="137" t="s">
        <v>1671</v>
      </c>
      <c r="BG519" s="139" t="s">
        <v>1672</v>
      </c>
      <c r="BH519" s="220"/>
      <c r="BI519" s="220"/>
      <c r="BJ519" s="220"/>
      <c r="BK519" s="46">
        <f t="shared" si="1"/>
        <v>1</v>
      </c>
      <c r="BL519" s="46"/>
      <c r="BM519" s="46"/>
      <c r="BN519" s="46"/>
    </row>
    <row r="520" spans="1:66" ht="12.75" hidden="1" customHeight="1">
      <c r="A520" s="22">
        <v>518</v>
      </c>
      <c r="B520" s="22" t="s">
        <v>2527</v>
      </c>
      <c r="C520" s="22" t="e">
        <f t="shared" ca="1" si="0"/>
        <v>#NAME?</v>
      </c>
      <c r="D520" s="24" t="s">
        <v>1673</v>
      </c>
      <c r="E520" s="22" t="s">
        <v>180</v>
      </c>
      <c r="F520" s="24" t="s">
        <v>1668</v>
      </c>
      <c r="G520" s="24" t="s">
        <v>1434</v>
      </c>
      <c r="H520" s="24"/>
      <c r="I520" s="24">
        <v>1</v>
      </c>
      <c r="J520" s="24" t="s">
        <v>1308</v>
      </c>
      <c r="K520" s="24"/>
      <c r="L520" s="24"/>
      <c r="M520" s="24"/>
      <c r="N520" s="24"/>
      <c r="O520" s="24"/>
      <c r="P520" s="164"/>
      <c r="Q520" s="164"/>
      <c r="R520" s="195"/>
      <c r="S520" s="163"/>
      <c r="T520" s="163"/>
      <c r="U520" s="163"/>
      <c r="V520" s="163"/>
      <c r="W520" s="163" t="s">
        <v>1673</v>
      </c>
      <c r="X520" s="163"/>
      <c r="Y520" s="24"/>
      <c r="Z520" s="24"/>
      <c r="AA520" s="164"/>
      <c r="AB520" s="163"/>
      <c r="AC520" s="269"/>
      <c r="AD520" s="164"/>
      <c r="AE520" s="24"/>
      <c r="AF520" s="164"/>
      <c r="AG520" s="22"/>
      <c r="AH520" s="45"/>
      <c r="AI520" s="24"/>
      <c r="AJ520" s="163"/>
      <c r="AK520" s="22"/>
      <c r="AL520" s="22"/>
      <c r="AM520" s="22"/>
      <c r="AN520" s="22"/>
      <c r="AO520" s="22"/>
      <c r="AP520" s="22"/>
      <c r="AQ520" s="22"/>
      <c r="AR520" s="22"/>
      <c r="AS520" s="22"/>
      <c r="AT520" s="219"/>
      <c r="AU520" s="219"/>
      <c r="AV520" s="219"/>
      <c r="AW520" s="219"/>
      <c r="AX520" s="219"/>
      <c r="AY520" s="219"/>
      <c r="AZ520" s="219"/>
      <c r="BA520" s="219"/>
      <c r="BB520" s="219"/>
      <c r="BC520" s="219"/>
      <c r="BD520" s="219"/>
      <c r="BE520" s="137" t="s">
        <v>115</v>
      </c>
      <c r="BF520" s="137" t="s">
        <v>942</v>
      </c>
      <c r="BG520" s="139" t="s">
        <v>943</v>
      </c>
      <c r="BH520" s="220"/>
      <c r="BI520" s="220"/>
      <c r="BJ520" s="220"/>
      <c r="BK520" s="46">
        <f t="shared" si="1"/>
        <v>1</v>
      </c>
      <c r="BL520" s="46"/>
      <c r="BM520" s="46"/>
      <c r="BN520" s="46"/>
    </row>
    <row r="521" spans="1:66" ht="12.75" hidden="1" customHeight="1">
      <c r="A521" s="22">
        <v>519</v>
      </c>
      <c r="B521" s="22" t="s">
        <v>2118</v>
      </c>
      <c r="C521" s="22" t="e">
        <f t="shared" ca="1" si="0"/>
        <v>#NAME?</v>
      </c>
      <c r="D521" s="24" t="s">
        <v>1468</v>
      </c>
      <c r="E521" s="22" t="s">
        <v>180</v>
      </c>
      <c r="F521" s="24" t="s">
        <v>1668</v>
      </c>
      <c r="G521" s="24" t="s">
        <v>1434</v>
      </c>
      <c r="H521" s="24"/>
      <c r="I521" s="24">
        <v>1</v>
      </c>
      <c r="J521" s="24" t="s">
        <v>1308</v>
      </c>
      <c r="K521" s="24"/>
      <c r="L521" s="24"/>
      <c r="M521" s="24"/>
      <c r="N521" s="24"/>
      <c r="O521" s="24"/>
      <c r="P521" s="164"/>
      <c r="Q521" s="164"/>
      <c r="R521" s="195"/>
      <c r="S521" s="163"/>
      <c r="T521" s="163"/>
      <c r="U521" s="163"/>
      <c r="V521" s="163"/>
      <c r="W521" s="163" t="s">
        <v>1468</v>
      </c>
      <c r="X521" s="163"/>
      <c r="Y521" s="24"/>
      <c r="Z521" s="24"/>
      <c r="AA521" s="164"/>
      <c r="AB521" s="163"/>
      <c r="AC521" s="269"/>
      <c r="AD521" s="164"/>
      <c r="AE521" s="24"/>
      <c r="AF521" s="164"/>
      <c r="AG521" s="22"/>
      <c r="AH521" s="45"/>
      <c r="AI521" s="24"/>
      <c r="AJ521" s="163"/>
      <c r="AK521" s="22"/>
      <c r="AL521" s="22"/>
      <c r="AM521" s="22"/>
      <c r="AN521" s="22"/>
      <c r="AO521" s="22"/>
      <c r="AP521" s="22"/>
      <c r="AQ521" s="22"/>
      <c r="AR521" s="22"/>
      <c r="AS521" s="22"/>
      <c r="AT521" s="210" t="s">
        <v>1675</v>
      </c>
      <c r="AU521" s="219"/>
      <c r="AV521" s="219">
        <v>385660001</v>
      </c>
      <c r="AW521" s="219"/>
      <c r="AX521" s="219"/>
      <c r="AY521" s="219"/>
      <c r="AZ521" s="219"/>
      <c r="BA521" s="219"/>
      <c r="BB521" s="219"/>
      <c r="BC521" s="219"/>
      <c r="BD521" s="219"/>
      <c r="BE521" s="137" t="s">
        <v>115</v>
      </c>
      <c r="BF521" s="137" t="s">
        <v>1469</v>
      </c>
      <c r="BG521" s="139" t="s">
        <v>1470</v>
      </c>
      <c r="BH521" s="245" t="s">
        <v>1675</v>
      </c>
      <c r="BI521" s="220">
        <v>385660001</v>
      </c>
      <c r="BJ521" s="220"/>
      <c r="BK521" s="46">
        <f t="shared" si="1"/>
        <v>1</v>
      </c>
      <c r="BL521" s="46"/>
      <c r="BM521" s="46"/>
      <c r="BN521" s="46"/>
    </row>
    <row r="522" spans="1:66" ht="12.75" hidden="1" customHeight="1">
      <c r="A522" s="22">
        <v>520</v>
      </c>
      <c r="B522" s="22" t="s">
        <v>1676</v>
      </c>
      <c r="C522" s="22" t="str">
        <f t="shared" si="0"/>
        <v xml:space="preserve">How many centimetres (cm) dilated? </v>
      </c>
      <c r="D522" s="24" t="s">
        <v>1676</v>
      </c>
      <c r="E522" s="22" t="s">
        <v>96</v>
      </c>
      <c r="F522" s="24"/>
      <c r="G522" s="24" t="s">
        <v>1434</v>
      </c>
      <c r="H522" s="24"/>
      <c r="I522" s="24">
        <v>1</v>
      </c>
      <c r="J522" s="24" t="s">
        <v>1308</v>
      </c>
      <c r="K522" s="24"/>
      <c r="L522" s="24"/>
      <c r="M522" s="24"/>
      <c r="N522" s="24"/>
      <c r="O522" s="24"/>
      <c r="P522" s="164"/>
      <c r="Q522" s="164"/>
      <c r="R522" s="195" t="s">
        <v>1676</v>
      </c>
      <c r="S522" s="163" t="s">
        <v>1677</v>
      </c>
      <c r="T522" s="163" t="s">
        <v>1678</v>
      </c>
      <c r="U522" s="163" t="s">
        <v>168</v>
      </c>
      <c r="V522" s="163"/>
      <c r="W522" s="163"/>
      <c r="X522" s="163"/>
      <c r="Y522" s="24"/>
      <c r="Z522" s="163" t="s">
        <v>1679</v>
      </c>
      <c r="AA522" s="164"/>
      <c r="AB522" s="163" t="s">
        <v>208</v>
      </c>
      <c r="AC522" s="269"/>
      <c r="AD522" s="164"/>
      <c r="AE522" s="24"/>
      <c r="AF522" s="164"/>
      <c r="AG522" s="22"/>
      <c r="AH522" s="45"/>
      <c r="AI522" s="24"/>
      <c r="AJ522" s="163" t="s">
        <v>115</v>
      </c>
      <c r="AK522" s="22"/>
      <c r="AL522" s="22"/>
      <c r="AM522" s="22"/>
      <c r="AN522" s="22"/>
      <c r="AO522" s="22"/>
      <c r="AP522" s="22"/>
      <c r="AQ522" s="22"/>
      <c r="AR522" s="22"/>
      <c r="AS522" s="22"/>
      <c r="AT522" s="219"/>
      <c r="AU522" s="219"/>
      <c r="AV522" s="135">
        <v>127375006</v>
      </c>
      <c r="AW522" s="219"/>
      <c r="AX522" s="219"/>
      <c r="AY522" s="219"/>
      <c r="AZ522" s="219"/>
      <c r="BA522" s="219"/>
      <c r="BB522" s="219"/>
      <c r="BC522" s="219"/>
      <c r="BD522" s="219"/>
      <c r="BE522" s="137" t="s">
        <v>115</v>
      </c>
      <c r="BF522" s="137" t="s">
        <v>1680</v>
      </c>
      <c r="BG522" s="139" t="s">
        <v>1681</v>
      </c>
      <c r="BH522" s="220"/>
      <c r="BI522" s="140">
        <v>127375006</v>
      </c>
      <c r="BJ522" s="220"/>
      <c r="BK522" s="46">
        <f t="shared" si="1"/>
        <v>1</v>
      </c>
      <c r="BL522" s="46"/>
      <c r="BM522" s="46"/>
      <c r="BN522" s="46"/>
    </row>
    <row r="523" spans="1:66" ht="12.75" hidden="1" customHeight="1">
      <c r="A523" s="22">
        <v>521</v>
      </c>
      <c r="B523" s="22" t="s">
        <v>1682</v>
      </c>
      <c r="C523" s="22" t="str">
        <f t="shared" si="0"/>
        <v>Oedema present?</v>
      </c>
      <c r="D523" s="24" t="s">
        <v>1682</v>
      </c>
      <c r="E523" s="22" t="s">
        <v>96</v>
      </c>
      <c r="F523" s="24"/>
      <c r="G523" s="24" t="s">
        <v>1434</v>
      </c>
      <c r="H523" s="24"/>
      <c r="I523" s="24">
        <v>1</v>
      </c>
      <c r="J523" s="24" t="s">
        <v>1308</v>
      </c>
      <c r="K523" s="24"/>
      <c r="L523" s="24"/>
      <c r="M523" s="24"/>
      <c r="N523" s="24"/>
      <c r="O523" s="24"/>
      <c r="P523" s="164"/>
      <c r="Q523" s="164"/>
      <c r="R523" s="195" t="s">
        <v>1682</v>
      </c>
      <c r="S523" s="194" t="s">
        <v>1683</v>
      </c>
      <c r="T523" s="194" t="s">
        <v>1684</v>
      </c>
      <c r="U523" s="194" t="s">
        <v>202</v>
      </c>
      <c r="V523" s="194"/>
      <c r="W523" s="194"/>
      <c r="X523" s="196"/>
      <c r="Y523" s="24"/>
      <c r="Z523" s="24"/>
      <c r="AA523" s="164"/>
      <c r="AB523" s="194" t="s">
        <v>208</v>
      </c>
      <c r="AC523" s="269"/>
      <c r="AD523" s="164"/>
      <c r="AE523" s="24"/>
      <c r="AF523" s="164"/>
      <c r="AG523" s="22"/>
      <c r="AH523" s="45"/>
      <c r="AI523" s="24"/>
      <c r="AJ523" s="194" t="s">
        <v>1277</v>
      </c>
      <c r="AK523" s="22"/>
      <c r="AL523" s="22"/>
      <c r="AM523" s="22"/>
      <c r="AN523" s="22"/>
      <c r="AO523" s="22"/>
      <c r="AP523" s="22"/>
      <c r="AQ523" s="22"/>
      <c r="AR523" s="22"/>
      <c r="AS523" s="22"/>
      <c r="AT523" s="219" t="s">
        <v>1685</v>
      </c>
      <c r="AU523" s="219"/>
      <c r="AV523" s="135">
        <v>267038008</v>
      </c>
      <c r="AW523" s="219"/>
      <c r="AX523" s="219"/>
      <c r="AY523" s="219"/>
      <c r="AZ523" s="219"/>
      <c r="BA523" s="219"/>
      <c r="BB523" s="219"/>
      <c r="BC523" s="219"/>
      <c r="BD523" s="219"/>
      <c r="BE523" s="137" t="s">
        <v>115</v>
      </c>
      <c r="BF523" s="137" t="s">
        <v>343</v>
      </c>
      <c r="BG523" s="139" t="s">
        <v>344</v>
      </c>
      <c r="BH523" s="220" t="s">
        <v>1685</v>
      </c>
      <c r="BI523" s="140">
        <v>267038008</v>
      </c>
      <c r="BJ523" s="220"/>
      <c r="BK523" s="46">
        <f t="shared" si="1"/>
        <v>1</v>
      </c>
      <c r="BL523" s="46"/>
      <c r="BM523" s="46"/>
      <c r="BN523" s="46"/>
    </row>
    <row r="524" spans="1:66" ht="12.75" hidden="1" customHeight="1">
      <c r="A524" s="22">
        <v>522</v>
      </c>
      <c r="B524" s="22" t="s">
        <v>250</v>
      </c>
      <c r="C524" s="22" t="e">
        <f t="shared" ca="1" si="0"/>
        <v>#NAME?</v>
      </c>
      <c r="D524" s="24" t="s">
        <v>113</v>
      </c>
      <c r="E524" s="22" t="s">
        <v>180</v>
      </c>
      <c r="F524" s="24" t="s">
        <v>1682</v>
      </c>
      <c r="G524" s="24" t="s">
        <v>1434</v>
      </c>
      <c r="H524" s="24"/>
      <c r="I524" s="24">
        <v>1</v>
      </c>
      <c r="J524" s="24" t="s">
        <v>1308</v>
      </c>
      <c r="K524" s="24"/>
      <c r="L524" s="24"/>
      <c r="M524" s="24"/>
      <c r="N524" s="24"/>
      <c r="O524" s="24"/>
      <c r="P524" s="164"/>
      <c r="Q524" s="164"/>
      <c r="R524" s="195"/>
      <c r="S524" s="164"/>
      <c r="T524" s="194"/>
      <c r="U524" s="194"/>
      <c r="V524" s="194"/>
      <c r="W524" s="194" t="s">
        <v>113</v>
      </c>
      <c r="X524" s="196"/>
      <c r="Y524" s="24"/>
      <c r="Z524" s="24"/>
      <c r="AA524" s="164"/>
      <c r="AB524" s="194"/>
      <c r="AC524" s="269"/>
      <c r="AD524" s="164"/>
      <c r="AE524" s="24"/>
      <c r="AF524" s="164"/>
      <c r="AG524" s="22"/>
      <c r="AH524" s="45"/>
      <c r="AI524" s="24"/>
      <c r="AJ524" s="194"/>
      <c r="AK524" s="22"/>
      <c r="AL524" s="22"/>
      <c r="AM524" s="22"/>
      <c r="AN524" s="22"/>
      <c r="AO524" s="22"/>
      <c r="AP524" s="22"/>
      <c r="AQ524" s="22"/>
      <c r="AR524" s="22"/>
      <c r="AS524" s="22"/>
      <c r="AT524" s="219"/>
      <c r="AU524" s="219"/>
      <c r="AV524" s="135">
        <v>373066001</v>
      </c>
      <c r="AW524" s="219"/>
      <c r="AX524" s="219"/>
      <c r="AY524" s="219"/>
      <c r="AZ524" s="219"/>
      <c r="BA524" s="219"/>
      <c r="BB524" s="219"/>
      <c r="BC524" s="219"/>
      <c r="BD524" s="219"/>
      <c r="BE524" s="137" t="s">
        <v>115</v>
      </c>
      <c r="BF524" s="137" t="s">
        <v>206</v>
      </c>
      <c r="BG524" s="139" t="s">
        <v>207</v>
      </c>
      <c r="BH524" s="220"/>
      <c r="BI524" s="145">
        <v>373066001</v>
      </c>
      <c r="BJ524" s="220"/>
      <c r="BK524" s="46">
        <f t="shared" si="1"/>
        <v>1</v>
      </c>
      <c r="BL524" s="46"/>
      <c r="BM524" s="46"/>
      <c r="BN524" s="46"/>
    </row>
    <row r="525" spans="1:66" ht="12.75" hidden="1" customHeight="1">
      <c r="A525" s="22">
        <v>523</v>
      </c>
      <c r="B525" s="22" t="s">
        <v>255</v>
      </c>
      <c r="C525" s="22" t="e">
        <f t="shared" ca="1" si="0"/>
        <v>#NAME?</v>
      </c>
      <c r="D525" s="24" t="s">
        <v>208</v>
      </c>
      <c r="E525" s="22" t="s">
        <v>180</v>
      </c>
      <c r="F525" s="24" t="s">
        <v>1682</v>
      </c>
      <c r="G525" s="24" t="s">
        <v>1434</v>
      </c>
      <c r="H525" s="24"/>
      <c r="I525" s="24">
        <v>1</v>
      </c>
      <c r="J525" s="24" t="s">
        <v>1308</v>
      </c>
      <c r="K525" s="24"/>
      <c r="L525" s="24"/>
      <c r="M525" s="24"/>
      <c r="N525" s="24"/>
      <c r="O525" s="24"/>
      <c r="P525" s="164"/>
      <c r="Q525" s="164"/>
      <c r="R525" s="195"/>
      <c r="S525" s="164"/>
      <c r="T525" s="194"/>
      <c r="U525" s="194"/>
      <c r="V525" s="194"/>
      <c r="W525" s="194" t="s">
        <v>208</v>
      </c>
      <c r="X525" s="196"/>
      <c r="Y525" s="24"/>
      <c r="Z525" s="24"/>
      <c r="AA525" s="164"/>
      <c r="AB525" s="194"/>
      <c r="AC525" s="269"/>
      <c r="AD525" s="164"/>
      <c r="AE525" s="24"/>
      <c r="AF525" s="164"/>
      <c r="AG525" s="22"/>
      <c r="AH525" s="45"/>
      <c r="AI525" s="24"/>
      <c r="AJ525" s="194"/>
      <c r="AK525" s="22"/>
      <c r="AL525" s="22"/>
      <c r="AM525" s="22"/>
      <c r="AN525" s="22"/>
      <c r="AO525" s="22"/>
      <c r="AP525" s="22"/>
      <c r="AQ525" s="22"/>
      <c r="AR525" s="22"/>
      <c r="AS525" s="22"/>
      <c r="AT525" s="219"/>
      <c r="AU525" s="219"/>
      <c r="AV525" s="148">
        <v>373067005</v>
      </c>
      <c r="AW525" s="219"/>
      <c r="AX525" s="219"/>
      <c r="AY525" s="219"/>
      <c r="AZ525" s="219"/>
      <c r="BA525" s="219"/>
      <c r="BB525" s="219"/>
      <c r="BC525" s="219"/>
      <c r="BD525" s="219"/>
      <c r="BE525" s="137" t="s">
        <v>115</v>
      </c>
      <c r="BF525" s="137" t="s">
        <v>209</v>
      </c>
      <c r="BG525" s="139" t="s">
        <v>210</v>
      </c>
      <c r="BH525" s="311"/>
      <c r="BI525" s="150">
        <v>373067005</v>
      </c>
      <c r="BJ525" s="311"/>
      <c r="BK525" s="46">
        <f t="shared" si="1"/>
        <v>1</v>
      </c>
      <c r="BL525" s="46"/>
      <c r="BM525" s="46"/>
      <c r="BN525" s="46"/>
    </row>
    <row r="526" spans="1:66" ht="12.75" hidden="1" customHeight="1">
      <c r="A526" s="22">
        <v>524</v>
      </c>
      <c r="B526" s="22" t="s">
        <v>1686</v>
      </c>
      <c r="C526" s="22" t="str">
        <f t="shared" si="0"/>
        <v>Oedema type</v>
      </c>
      <c r="D526" s="24" t="s">
        <v>1686</v>
      </c>
      <c r="E526" s="22" t="s">
        <v>96</v>
      </c>
      <c r="F526" s="24"/>
      <c r="G526" s="24" t="s">
        <v>1434</v>
      </c>
      <c r="H526" s="24"/>
      <c r="I526" s="24">
        <v>1</v>
      </c>
      <c r="J526" s="24" t="s">
        <v>1308</v>
      </c>
      <c r="K526" s="24"/>
      <c r="L526" s="24"/>
      <c r="M526" s="24"/>
      <c r="N526" s="24"/>
      <c r="O526" s="24"/>
      <c r="P526" s="164"/>
      <c r="Q526" s="164"/>
      <c r="R526" s="162" t="s">
        <v>1686</v>
      </c>
      <c r="S526" s="164" t="s">
        <v>1687</v>
      </c>
      <c r="T526" s="163" t="s">
        <v>1688</v>
      </c>
      <c r="U526" s="163" t="s">
        <v>238</v>
      </c>
      <c r="V526" s="163"/>
      <c r="W526" s="163"/>
      <c r="X526" s="164"/>
      <c r="Y526" s="24"/>
      <c r="Z526" s="24"/>
      <c r="AA526" s="164"/>
      <c r="AB526" s="163" t="s">
        <v>1459</v>
      </c>
      <c r="AC526" s="269"/>
      <c r="AD526" s="164"/>
      <c r="AE526" s="24"/>
      <c r="AF526" s="164"/>
      <c r="AG526" s="22"/>
      <c r="AH526" s="45"/>
      <c r="AI526" s="24"/>
      <c r="AJ526" s="163" t="s">
        <v>115</v>
      </c>
      <c r="AK526" s="22"/>
      <c r="AL526" s="22"/>
      <c r="AM526" s="22"/>
      <c r="AN526" s="22"/>
      <c r="AO526" s="22"/>
      <c r="AP526" s="22"/>
      <c r="AQ526" s="22"/>
      <c r="AR526" s="22"/>
      <c r="AS526" s="22"/>
      <c r="AT526" s="275"/>
      <c r="AU526" s="275"/>
      <c r="AV526" s="275"/>
      <c r="AW526" s="275"/>
      <c r="AX526" s="275"/>
      <c r="AY526" s="275"/>
      <c r="AZ526" s="275"/>
      <c r="BA526" s="275"/>
      <c r="BB526" s="275"/>
      <c r="BC526" s="275"/>
      <c r="BD526" s="275"/>
      <c r="BE526" s="137" t="s">
        <v>115</v>
      </c>
      <c r="BF526" s="137" t="s">
        <v>1689</v>
      </c>
      <c r="BG526" s="139" t="s">
        <v>1690</v>
      </c>
      <c r="BH526" s="313"/>
      <c r="BI526" s="276"/>
      <c r="BJ526" s="276"/>
      <c r="BK526" s="46">
        <f t="shared" si="1"/>
        <v>1</v>
      </c>
      <c r="BL526" s="46"/>
      <c r="BM526" s="46"/>
      <c r="BN526" s="46"/>
    </row>
    <row r="527" spans="1:66" ht="12.75" hidden="1" customHeight="1">
      <c r="A527" s="22">
        <v>525</v>
      </c>
      <c r="B527" s="22" t="s">
        <v>2546</v>
      </c>
      <c r="C527" s="22" t="e">
        <f t="shared" ca="1" si="0"/>
        <v>#NAME?</v>
      </c>
      <c r="D527" s="24" t="s">
        <v>1691</v>
      </c>
      <c r="E527" s="22" t="s">
        <v>180</v>
      </c>
      <c r="F527" s="24" t="s">
        <v>1686</v>
      </c>
      <c r="G527" s="24" t="s">
        <v>1434</v>
      </c>
      <c r="H527" s="24"/>
      <c r="I527" s="24">
        <v>1</v>
      </c>
      <c r="J527" s="24" t="s">
        <v>1308</v>
      </c>
      <c r="K527" s="24"/>
      <c r="L527" s="24"/>
      <c r="M527" s="24"/>
      <c r="N527" s="24"/>
      <c r="O527" s="24"/>
      <c r="P527" s="164"/>
      <c r="Q527" s="164"/>
      <c r="R527" s="195"/>
      <c r="S527" s="164"/>
      <c r="T527" s="194"/>
      <c r="U527" s="194"/>
      <c r="V527" s="163"/>
      <c r="W527" s="163" t="s">
        <v>1691</v>
      </c>
      <c r="X527" s="196"/>
      <c r="Y527" s="24"/>
      <c r="Z527" s="24"/>
      <c r="AA527" s="164"/>
      <c r="AB527" s="194"/>
      <c r="AC527" s="269"/>
      <c r="AD527" s="164"/>
      <c r="AE527" s="24"/>
      <c r="AF527" s="164"/>
      <c r="AG527" s="22"/>
      <c r="AH527" s="45"/>
      <c r="AI527" s="24"/>
      <c r="AJ527" s="194"/>
      <c r="AK527" s="22"/>
      <c r="AL527" s="22"/>
      <c r="AM527" s="22"/>
      <c r="AN527" s="22"/>
      <c r="AO527" s="22"/>
      <c r="AP527" s="22"/>
      <c r="AQ527" s="22"/>
      <c r="AR527" s="22"/>
      <c r="AS527" s="22"/>
      <c r="AT527" s="219" t="s">
        <v>1685</v>
      </c>
      <c r="AU527" s="219"/>
      <c r="AV527" s="156">
        <v>26237000</v>
      </c>
      <c r="AW527" s="219"/>
      <c r="AX527" s="219"/>
      <c r="AY527" s="219"/>
      <c r="AZ527" s="219"/>
      <c r="BA527" s="219"/>
      <c r="BB527" s="219"/>
      <c r="BC527" s="219"/>
      <c r="BD527" s="219"/>
      <c r="BE527" s="137" t="s">
        <v>115</v>
      </c>
      <c r="BF527" s="137" t="s">
        <v>1692</v>
      </c>
      <c r="BG527" s="139" t="s">
        <v>1693</v>
      </c>
      <c r="BH527" s="311" t="s">
        <v>1685</v>
      </c>
      <c r="BI527" s="157">
        <v>26237000</v>
      </c>
      <c r="BJ527" s="311"/>
      <c r="BK527" s="46">
        <f t="shared" si="1"/>
        <v>1</v>
      </c>
      <c r="BL527" s="46"/>
      <c r="BM527" s="46"/>
      <c r="BN527" s="46"/>
    </row>
    <row r="528" spans="1:66" ht="12.75" hidden="1" customHeight="1">
      <c r="A528" s="22">
        <v>526</v>
      </c>
      <c r="B528" s="22" t="s">
        <v>2547</v>
      </c>
      <c r="C528" s="22" t="e">
        <f t="shared" ca="1" si="0"/>
        <v>#NAME?</v>
      </c>
      <c r="D528" s="24" t="s">
        <v>1694</v>
      </c>
      <c r="E528" s="22" t="s">
        <v>180</v>
      </c>
      <c r="F528" s="24" t="s">
        <v>1686</v>
      </c>
      <c r="G528" s="24" t="s">
        <v>1434</v>
      </c>
      <c r="H528" s="24"/>
      <c r="I528" s="24">
        <v>1</v>
      </c>
      <c r="J528" s="24" t="s">
        <v>1308</v>
      </c>
      <c r="K528" s="24"/>
      <c r="L528" s="24"/>
      <c r="M528" s="24"/>
      <c r="N528" s="24"/>
      <c r="O528" s="24"/>
      <c r="P528" s="164"/>
      <c r="Q528" s="164"/>
      <c r="R528" s="195"/>
      <c r="S528" s="164"/>
      <c r="T528" s="194"/>
      <c r="U528" s="194"/>
      <c r="V528" s="163"/>
      <c r="W528" s="163" t="s">
        <v>1694</v>
      </c>
      <c r="X528" s="196"/>
      <c r="Y528" s="24"/>
      <c r="Z528" s="24"/>
      <c r="AA528" s="164"/>
      <c r="AB528" s="194"/>
      <c r="AC528" s="269"/>
      <c r="AD528" s="164"/>
      <c r="AE528" s="24"/>
      <c r="AF528" s="164"/>
      <c r="AG528" s="22"/>
      <c r="AH528" s="45"/>
      <c r="AI528" s="24"/>
      <c r="AJ528" s="194"/>
      <c r="AK528" s="22"/>
      <c r="AL528" s="22"/>
      <c r="AM528" s="22"/>
      <c r="AN528" s="22"/>
      <c r="AO528" s="22"/>
      <c r="AP528" s="22"/>
      <c r="AQ528" s="22"/>
      <c r="AR528" s="22"/>
      <c r="AS528" s="22"/>
      <c r="AT528" s="275"/>
      <c r="AU528" s="275"/>
      <c r="AV528" s="275"/>
      <c r="AW528" s="275"/>
      <c r="AX528" s="275"/>
      <c r="AY528" s="275"/>
      <c r="AZ528" s="275"/>
      <c r="BA528" s="275"/>
      <c r="BB528" s="275"/>
      <c r="BC528" s="275"/>
      <c r="BD528" s="275"/>
      <c r="BE528" s="137" t="s">
        <v>115</v>
      </c>
      <c r="BF528" s="137" t="s">
        <v>1695</v>
      </c>
      <c r="BG528" s="139" t="s">
        <v>1696</v>
      </c>
      <c r="BH528" s="313"/>
      <c r="BI528" s="276"/>
      <c r="BJ528" s="276"/>
      <c r="BK528" s="46">
        <f t="shared" si="1"/>
        <v>1</v>
      </c>
      <c r="BL528" s="46"/>
      <c r="BM528" s="46"/>
      <c r="BN528" s="46"/>
    </row>
    <row r="529" spans="1:66" ht="12.75" hidden="1" customHeight="1">
      <c r="A529" s="22">
        <v>527</v>
      </c>
      <c r="B529" s="22" t="s">
        <v>2553</v>
      </c>
      <c r="C529" s="22" t="e">
        <f t="shared" ca="1" si="0"/>
        <v>#NAME?</v>
      </c>
      <c r="D529" s="24" t="s">
        <v>1697</v>
      </c>
      <c r="E529" s="22" t="s">
        <v>180</v>
      </c>
      <c r="F529" s="24" t="s">
        <v>1686</v>
      </c>
      <c r="G529" s="24" t="s">
        <v>1434</v>
      </c>
      <c r="H529" s="24"/>
      <c r="I529" s="24">
        <v>1</v>
      </c>
      <c r="J529" s="24" t="s">
        <v>1308</v>
      </c>
      <c r="K529" s="24"/>
      <c r="L529" s="24"/>
      <c r="M529" s="24"/>
      <c r="N529" s="24"/>
      <c r="O529" s="24"/>
      <c r="P529" s="164"/>
      <c r="Q529" s="164"/>
      <c r="R529" s="195"/>
      <c r="S529" s="164"/>
      <c r="T529" s="194"/>
      <c r="U529" s="194"/>
      <c r="V529" s="163"/>
      <c r="W529" s="163" t="s">
        <v>1697</v>
      </c>
      <c r="X529" s="196"/>
      <c r="Y529" s="24"/>
      <c r="Z529" s="24"/>
      <c r="AA529" s="164"/>
      <c r="AB529" s="194"/>
      <c r="AC529" s="269"/>
      <c r="AD529" s="164"/>
      <c r="AE529" s="24"/>
      <c r="AF529" s="164"/>
      <c r="AG529" s="22"/>
      <c r="AH529" s="45"/>
      <c r="AI529" s="24"/>
      <c r="AJ529" s="194"/>
      <c r="AK529" s="22"/>
      <c r="AL529" s="22"/>
      <c r="AM529" s="22"/>
      <c r="AN529" s="22"/>
      <c r="AO529" s="22"/>
      <c r="AP529" s="22"/>
      <c r="AQ529" s="22"/>
      <c r="AR529" s="22"/>
      <c r="AS529" s="22"/>
      <c r="AT529" s="275"/>
      <c r="AU529" s="275"/>
      <c r="AV529" s="319"/>
      <c r="AW529" s="275"/>
      <c r="AX529" s="275"/>
      <c r="AY529" s="275"/>
      <c r="AZ529" s="275"/>
      <c r="BA529" s="275"/>
      <c r="BB529" s="275"/>
      <c r="BC529" s="275"/>
      <c r="BD529" s="275"/>
      <c r="BE529" s="137" t="s">
        <v>115</v>
      </c>
      <c r="BF529" s="137" t="s">
        <v>1698</v>
      </c>
      <c r="BG529" s="139" t="s">
        <v>1699</v>
      </c>
      <c r="BH529" s="313"/>
      <c r="BI529" s="276"/>
      <c r="BJ529" s="276"/>
      <c r="BK529" s="46">
        <f t="shared" si="1"/>
        <v>1</v>
      </c>
      <c r="BL529" s="46"/>
      <c r="BM529" s="46"/>
      <c r="BN529" s="46"/>
    </row>
    <row r="530" spans="1:66" ht="12.75" hidden="1" customHeight="1">
      <c r="A530" s="22">
        <v>528</v>
      </c>
      <c r="B530" s="22" t="s">
        <v>2555</v>
      </c>
      <c r="C530" s="22" t="e">
        <f t="shared" ca="1" si="0"/>
        <v>#NAME?</v>
      </c>
      <c r="D530" s="24" t="s">
        <v>1701</v>
      </c>
      <c r="E530" s="22" t="s">
        <v>180</v>
      </c>
      <c r="F530" s="24" t="s">
        <v>1686</v>
      </c>
      <c r="G530" s="24" t="s">
        <v>1434</v>
      </c>
      <c r="H530" s="24"/>
      <c r="I530" s="24">
        <v>1</v>
      </c>
      <c r="J530" s="24" t="s">
        <v>1308</v>
      </c>
      <c r="K530" s="24"/>
      <c r="L530" s="24"/>
      <c r="M530" s="24"/>
      <c r="N530" s="24"/>
      <c r="O530" s="24"/>
      <c r="P530" s="164"/>
      <c r="Q530" s="164"/>
      <c r="R530" s="195"/>
      <c r="S530" s="164"/>
      <c r="T530" s="194"/>
      <c r="U530" s="194"/>
      <c r="V530" s="163"/>
      <c r="W530" s="163" t="s">
        <v>1701</v>
      </c>
      <c r="X530" s="196"/>
      <c r="Y530" s="24"/>
      <c r="Z530" s="24"/>
      <c r="AA530" s="164"/>
      <c r="AB530" s="194"/>
      <c r="AC530" s="269"/>
      <c r="AD530" s="164"/>
      <c r="AE530" s="24"/>
      <c r="AF530" s="164"/>
      <c r="AG530" s="22"/>
      <c r="AH530" s="45"/>
      <c r="AI530" s="24"/>
      <c r="AJ530" s="194"/>
      <c r="AK530" s="22"/>
      <c r="AL530" s="22"/>
      <c r="AM530" s="22"/>
      <c r="AN530" s="22"/>
      <c r="AO530" s="22"/>
      <c r="AP530" s="22"/>
      <c r="AQ530" s="22"/>
      <c r="AR530" s="22"/>
      <c r="AS530" s="22"/>
      <c r="AT530" s="210" t="s">
        <v>1685</v>
      </c>
      <c r="AU530" s="219"/>
      <c r="AV530" s="156">
        <v>102572006</v>
      </c>
      <c r="AW530" s="219"/>
      <c r="AX530" s="219"/>
      <c r="AY530" s="219"/>
      <c r="AZ530" s="219"/>
      <c r="BA530" s="219"/>
      <c r="BB530" s="219"/>
      <c r="BC530" s="219"/>
      <c r="BD530" s="219"/>
      <c r="BE530" s="137" t="s">
        <v>115</v>
      </c>
      <c r="BF530" s="137" t="s">
        <v>1702</v>
      </c>
      <c r="BG530" s="139" t="s">
        <v>1703</v>
      </c>
      <c r="BH530" s="245" t="s">
        <v>1685</v>
      </c>
      <c r="BI530" s="157">
        <v>102572006</v>
      </c>
      <c r="BJ530" s="220"/>
      <c r="BK530" s="46">
        <f t="shared" si="1"/>
        <v>1</v>
      </c>
      <c r="BL530" s="46"/>
      <c r="BM530" s="46"/>
      <c r="BN530" s="46"/>
    </row>
    <row r="531" spans="1:66" ht="12.75" hidden="1" customHeight="1">
      <c r="A531" s="22">
        <v>529</v>
      </c>
      <c r="B531" s="22" t="s">
        <v>1704</v>
      </c>
      <c r="C531" s="22" t="str">
        <f t="shared" si="0"/>
        <v>Oedema severity</v>
      </c>
      <c r="D531" s="24" t="s">
        <v>1704</v>
      </c>
      <c r="E531" s="22" t="s">
        <v>96</v>
      </c>
      <c r="F531" s="24"/>
      <c r="G531" s="24" t="s">
        <v>1434</v>
      </c>
      <c r="H531" s="24"/>
      <c r="I531" s="24">
        <v>1</v>
      </c>
      <c r="J531" s="24" t="s">
        <v>1308</v>
      </c>
      <c r="K531" s="24"/>
      <c r="L531" s="24"/>
      <c r="M531" s="24"/>
      <c r="N531" s="24"/>
      <c r="O531" s="24"/>
      <c r="P531" s="164"/>
      <c r="Q531" s="164"/>
      <c r="R531" s="195" t="s">
        <v>1704</v>
      </c>
      <c r="S531" s="164" t="s">
        <v>1705</v>
      </c>
      <c r="T531" s="194" t="s">
        <v>1706</v>
      </c>
      <c r="U531" s="194" t="s">
        <v>202</v>
      </c>
      <c r="V531" s="163"/>
      <c r="W531" s="163"/>
      <c r="X531" s="196"/>
      <c r="Y531" s="24"/>
      <c r="Z531" s="24"/>
      <c r="AA531" s="164"/>
      <c r="AB531" s="194" t="s">
        <v>208</v>
      </c>
      <c r="AC531" s="269"/>
      <c r="AD531" s="164"/>
      <c r="AE531" s="24"/>
      <c r="AF531" s="164"/>
      <c r="AG531" s="22"/>
      <c r="AH531" s="45"/>
      <c r="AI531" s="24"/>
      <c r="AJ531" s="194" t="s">
        <v>115</v>
      </c>
      <c r="AK531" s="22"/>
      <c r="AL531" s="22"/>
      <c r="AM531" s="22"/>
      <c r="AN531" s="22"/>
      <c r="AO531" s="22"/>
      <c r="AP531" s="22"/>
      <c r="AQ531" s="22"/>
      <c r="AR531" s="22"/>
      <c r="AS531" s="22"/>
      <c r="AT531" s="219"/>
      <c r="AU531" s="219"/>
      <c r="AV531" s="156">
        <v>423484008</v>
      </c>
      <c r="AW531" s="219"/>
      <c r="AX531" s="219"/>
      <c r="AY531" s="219"/>
      <c r="AZ531" s="219"/>
      <c r="BA531" s="219"/>
      <c r="BB531" s="219"/>
      <c r="BC531" s="219"/>
      <c r="BD531" s="219"/>
      <c r="BE531" s="137" t="s">
        <v>115</v>
      </c>
      <c r="BF531" s="137" t="s">
        <v>1707</v>
      </c>
      <c r="BG531" s="139" t="s">
        <v>1708</v>
      </c>
      <c r="BH531" s="220"/>
      <c r="BI531" s="157">
        <v>423484008</v>
      </c>
      <c r="BJ531" s="220"/>
      <c r="BK531" s="46">
        <f t="shared" si="1"/>
        <v>1</v>
      </c>
      <c r="BL531" s="46"/>
      <c r="BM531" s="46"/>
      <c r="BN531" s="46"/>
    </row>
    <row r="532" spans="1:66" ht="12.75" hidden="1" customHeight="1">
      <c r="A532" s="22">
        <v>530</v>
      </c>
      <c r="B532" s="22" t="s">
        <v>2049</v>
      </c>
      <c r="C532" s="22" t="e">
        <f t="shared" ca="1" si="0"/>
        <v>#NAME?</v>
      </c>
      <c r="D532" s="24" t="s">
        <v>1421</v>
      </c>
      <c r="E532" s="22" t="s">
        <v>180</v>
      </c>
      <c r="F532" s="24" t="s">
        <v>1704</v>
      </c>
      <c r="G532" s="24" t="s">
        <v>1434</v>
      </c>
      <c r="H532" s="24"/>
      <c r="I532" s="24">
        <v>1</v>
      </c>
      <c r="J532" s="24" t="s">
        <v>1308</v>
      </c>
      <c r="K532" s="24"/>
      <c r="L532" s="24"/>
      <c r="M532" s="24"/>
      <c r="N532" s="24"/>
      <c r="O532" s="24"/>
      <c r="P532" s="164"/>
      <c r="Q532" s="164"/>
      <c r="R532" s="169"/>
      <c r="S532" s="164"/>
      <c r="T532" s="164"/>
      <c r="U532" s="163"/>
      <c r="V532" s="163"/>
      <c r="W532" s="334" t="s">
        <v>1421</v>
      </c>
      <c r="X532" s="164"/>
      <c r="Y532" s="24"/>
      <c r="Z532" s="24"/>
      <c r="AA532" s="164"/>
      <c r="AB532" s="164"/>
      <c r="AC532" s="269"/>
      <c r="AD532" s="164"/>
      <c r="AE532" s="24"/>
      <c r="AF532" s="164"/>
      <c r="AG532" s="22"/>
      <c r="AH532" s="45"/>
      <c r="AI532" s="24"/>
      <c r="AJ532" s="164"/>
      <c r="AK532" s="22"/>
      <c r="AL532" s="22"/>
      <c r="AM532" s="22"/>
      <c r="AN532" s="22"/>
      <c r="AO532" s="22"/>
      <c r="AP532" s="22"/>
      <c r="AQ532" s="22"/>
      <c r="AR532" s="22"/>
      <c r="AS532" s="22"/>
      <c r="AT532" s="219"/>
      <c r="AU532" s="219"/>
      <c r="AV532" s="156">
        <v>260408008</v>
      </c>
      <c r="AW532" s="219"/>
      <c r="AX532" s="219"/>
      <c r="AY532" s="219"/>
      <c r="AZ532" s="219"/>
      <c r="BA532" s="219"/>
      <c r="BB532" s="219"/>
      <c r="BC532" s="219"/>
      <c r="BD532" s="219"/>
      <c r="BE532" s="137" t="s">
        <v>115</v>
      </c>
      <c r="BF532" s="137" t="s">
        <v>1422</v>
      </c>
      <c r="BG532" s="139" t="s">
        <v>1423</v>
      </c>
      <c r="BH532" s="220"/>
      <c r="BI532" s="157">
        <v>260408008</v>
      </c>
      <c r="BJ532" s="220"/>
      <c r="BK532" s="46">
        <f t="shared" si="1"/>
        <v>1</v>
      </c>
      <c r="BL532" s="46"/>
      <c r="BM532" s="46"/>
      <c r="BN532" s="46"/>
    </row>
    <row r="533" spans="1:66" ht="12.75" hidden="1" customHeight="1">
      <c r="A533" s="22">
        <v>531</v>
      </c>
      <c r="B533" s="22" t="s">
        <v>2061</v>
      </c>
      <c r="C533" s="22" t="e">
        <f t="shared" ca="1" si="0"/>
        <v>#NAME?</v>
      </c>
      <c r="D533" s="24" t="s">
        <v>1424</v>
      </c>
      <c r="E533" s="22" t="s">
        <v>180</v>
      </c>
      <c r="F533" s="24" t="s">
        <v>1704</v>
      </c>
      <c r="G533" s="24" t="s">
        <v>1434</v>
      </c>
      <c r="H533" s="24"/>
      <c r="I533" s="24">
        <v>1</v>
      </c>
      <c r="J533" s="24" t="s">
        <v>1308</v>
      </c>
      <c r="K533" s="24"/>
      <c r="L533" s="24"/>
      <c r="M533" s="24"/>
      <c r="N533" s="24"/>
      <c r="O533" s="24"/>
      <c r="P533" s="164"/>
      <c r="Q533" s="164"/>
      <c r="R533" s="169"/>
      <c r="S533" s="164"/>
      <c r="T533" s="164"/>
      <c r="U533" s="163"/>
      <c r="V533" s="163"/>
      <c r="W533" s="334" t="s">
        <v>1424</v>
      </c>
      <c r="X533" s="164"/>
      <c r="Y533" s="24"/>
      <c r="Z533" s="24"/>
      <c r="AA533" s="164"/>
      <c r="AB533" s="164"/>
      <c r="AC533" s="269"/>
      <c r="AD533" s="164"/>
      <c r="AE533" s="24"/>
      <c r="AF533" s="164"/>
      <c r="AG533" s="22"/>
      <c r="AH533" s="45"/>
      <c r="AI533" s="24"/>
      <c r="AJ533" s="164"/>
      <c r="AK533" s="22"/>
      <c r="AL533" s="22"/>
      <c r="AM533" s="22"/>
      <c r="AN533" s="22"/>
      <c r="AO533" s="22"/>
      <c r="AP533" s="22"/>
      <c r="AQ533" s="22"/>
      <c r="AR533" s="22"/>
      <c r="AS533" s="22"/>
      <c r="AT533" s="219"/>
      <c r="AU533" s="219"/>
      <c r="AV533" s="156">
        <v>441517005</v>
      </c>
      <c r="AW533" s="219"/>
      <c r="AX533" s="219"/>
      <c r="AY533" s="219"/>
      <c r="AZ533" s="219"/>
      <c r="BA533" s="219"/>
      <c r="BB533" s="219"/>
      <c r="BC533" s="219"/>
      <c r="BD533" s="219"/>
      <c r="BE533" s="137" t="s">
        <v>115</v>
      </c>
      <c r="BF533" s="137" t="s">
        <v>1425</v>
      </c>
      <c r="BG533" s="139" t="s">
        <v>1426</v>
      </c>
      <c r="BH533" s="220"/>
      <c r="BI533" s="157">
        <v>441517005</v>
      </c>
      <c r="BJ533" s="220"/>
      <c r="BK533" s="46">
        <f t="shared" si="1"/>
        <v>1</v>
      </c>
      <c r="BL533" s="46"/>
      <c r="BM533" s="46"/>
      <c r="BN533" s="46"/>
    </row>
    <row r="534" spans="1:66" ht="12.75" hidden="1" customHeight="1">
      <c r="A534" s="22">
        <v>532</v>
      </c>
      <c r="B534" s="22" t="s">
        <v>2062</v>
      </c>
      <c r="C534" s="22" t="e">
        <f t="shared" ca="1" si="0"/>
        <v>#NAME?</v>
      </c>
      <c r="D534" s="24" t="s">
        <v>1427</v>
      </c>
      <c r="E534" s="22" t="s">
        <v>180</v>
      </c>
      <c r="F534" s="24" t="s">
        <v>1704</v>
      </c>
      <c r="G534" s="24" t="s">
        <v>1434</v>
      </c>
      <c r="H534" s="24"/>
      <c r="I534" s="24">
        <v>1</v>
      </c>
      <c r="J534" s="24" t="s">
        <v>1308</v>
      </c>
      <c r="K534" s="24"/>
      <c r="L534" s="24"/>
      <c r="M534" s="24"/>
      <c r="N534" s="24"/>
      <c r="O534" s="24"/>
      <c r="P534" s="164"/>
      <c r="Q534" s="164"/>
      <c r="R534" s="169"/>
      <c r="S534" s="164"/>
      <c r="T534" s="164"/>
      <c r="U534" s="163"/>
      <c r="V534" s="163"/>
      <c r="W534" s="334" t="s">
        <v>1427</v>
      </c>
      <c r="X534" s="164"/>
      <c r="Y534" s="24"/>
      <c r="Z534" s="24"/>
      <c r="AA534" s="164"/>
      <c r="AB534" s="164"/>
      <c r="AC534" s="269"/>
      <c r="AD534" s="164"/>
      <c r="AE534" s="24"/>
      <c r="AF534" s="164"/>
      <c r="AG534" s="22"/>
      <c r="AH534" s="45"/>
      <c r="AI534" s="24"/>
      <c r="AJ534" s="164"/>
      <c r="AK534" s="22"/>
      <c r="AL534" s="22"/>
      <c r="AM534" s="22"/>
      <c r="AN534" s="22"/>
      <c r="AO534" s="22"/>
      <c r="AP534" s="22"/>
      <c r="AQ534" s="22"/>
      <c r="AR534" s="22"/>
      <c r="AS534" s="22"/>
      <c r="AT534" s="219"/>
      <c r="AU534" s="219"/>
      <c r="AV534" s="148">
        <v>441521003</v>
      </c>
      <c r="AW534" s="219"/>
      <c r="AX534" s="219"/>
      <c r="AY534" s="219"/>
      <c r="AZ534" s="219"/>
      <c r="BA534" s="219"/>
      <c r="BB534" s="219"/>
      <c r="BC534" s="219"/>
      <c r="BD534" s="219"/>
      <c r="BE534" s="137" t="s">
        <v>115</v>
      </c>
      <c r="BF534" s="137" t="s">
        <v>1428</v>
      </c>
      <c r="BG534" s="139" t="s">
        <v>1429</v>
      </c>
      <c r="BH534" s="311"/>
      <c r="BI534" s="150">
        <v>441521003</v>
      </c>
      <c r="BJ534" s="311"/>
      <c r="BK534" s="46">
        <f t="shared" si="1"/>
        <v>1</v>
      </c>
      <c r="BL534" s="46"/>
      <c r="BM534" s="46"/>
      <c r="BN534" s="46"/>
    </row>
    <row r="535" spans="1:66" ht="12.75" hidden="1" customHeight="1">
      <c r="A535" s="22">
        <v>533</v>
      </c>
      <c r="B535" s="22" t="s">
        <v>2063</v>
      </c>
      <c r="C535" s="22" t="e">
        <f t="shared" ca="1" si="0"/>
        <v>#NAME?</v>
      </c>
      <c r="D535" s="24" t="s">
        <v>1430</v>
      </c>
      <c r="E535" s="22" t="s">
        <v>180</v>
      </c>
      <c r="F535" s="24" t="s">
        <v>1704</v>
      </c>
      <c r="G535" s="24" t="s">
        <v>1434</v>
      </c>
      <c r="H535" s="24"/>
      <c r="I535" s="24">
        <v>1</v>
      </c>
      <c r="J535" s="24" t="s">
        <v>1308</v>
      </c>
      <c r="K535" s="24"/>
      <c r="L535" s="24"/>
      <c r="M535" s="24"/>
      <c r="N535" s="24"/>
      <c r="O535" s="24"/>
      <c r="P535" s="164"/>
      <c r="Q535" s="164"/>
      <c r="R535" s="169"/>
      <c r="S535" s="164"/>
      <c r="T535" s="164"/>
      <c r="U535" s="163"/>
      <c r="V535" s="163"/>
      <c r="W535" s="334" t="s">
        <v>1430</v>
      </c>
      <c r="X535" s="164"/>
      <c r="Y535" s="24"/>
      <c r="Z535" s="24"/>
      <c r="AA535" s="164"/>
      <c r="AB535" s="164"/>
      <c r="AC535" s="269"/>
      <c r="AD535" s="164"/>
      <c r="AE535" s="24"/>
      <c r="AF535" s="164"/>
      <c r="AG535" s="22"/>
      <c r="AH535" s="45"/>
      <c r="AI535" s="24"/>
      <c r="AJ535" s="164"/>
      <c r="AK535" s="22"/>
      <c r="AL535" s="22"/>
      <c r="AM535" s="22"/>
      <c r="AN535" s="22"/>
      <c r="AO535" s="22"/>
      <c r="AP535" s="22"/>
      <c r="AQ535" s="22"/>
      <c r="AR535" s="22"/>
      <c r="AS535" s="22"/>
      <c r="AT535" s="275"/>
      <c r="AU535" s="275"/>
      <c r="AV535" s="275"/>
      <c r="AW535" s="275"/>
      <c r="AX535" s="275"/>
      <c r="AY535" s="275"/>
      <c r="AZ535" s="275"/>
      <c r="BA535" s="275"/>
      <c r="BB535" s="275"/>
      <c r="BC535" s="275"/>
      <c r="BD535" s="275"/>
      <c r="BE535" s="137" t="s">
        <v>115</v>
      </c>
      <c r="BF535" s="137" t="s">
        <v>1431</v>
      </c>
      <c r="BG535" s="139" t="s">
        <v>1432</v>
      </c>
      <c r="BH535" s="313"/>
      <c r="BI535" s="276"/>
      <c r="BJ535" s="276"/>
      <c r="BK535" s="46">
        <f t="shared" si="1"/>
        <v>1</v>
      </c>
      <c r="BL535" s="46"/>
      <c r="BM535" s="46"/>
      <c r="BN535" s="46"/>
    </row>
    <row r="536" spans="1:66" ht="12.75" hidden="1" customHeight="1">
      <c r="A536" s="22">
        <v>534</v>
      </c>
      <c r="B536" s="22" t="s">
        <v>1709</v>
      </c>
      <c r="C536" s="22" t="str">
        <f t="shared" si="0"/>
        <v>Symphysis-fundal height (SFH) in centimetres (cm)</v>
      </c>
      <c r="D536" s="24" t="s">
        <v>1709</v>
      </c>
      <c r="E536" s="22" t="s">
        <v>96</v>
      </c>
      <c r="F536" s="24"/>
      <c r="G536" s="24" t="s">
        <v>1710</v>
      </c>
      <c r="H536" s="24"/>
      <c r="I536" s="24">
        <v>1</v>
      </c>
      <c r="J536" s="24" t="s">
        <v>1308</v>
      </c>
      <c r="K536" s="24"/>
      <c r="L536" s="24"/>
      <c r="M536" s="24"/>
      <c r="N536" s="24"/>
      <c r="O536" s="24"/>
      <c r="P536" s="164"/>
      <c r="Q536" s="164"/>
      <c r="R536" s="162" t="s">
        <v>1709</v>
      </c>
      <c r="S536" s="163" t="s">
        <v>1711</v>
      </c>
      <c r="T536" s="163" t="s">
        <v>1712</v>
      </c>
      <c r="U536" s="163" t="s">
        <v>168</v>
      </c>
      <c r="V536" s="163"/>
      <c r="W536" s="163"/>
      <c r="X536" s="164"/>
      <c r="Y536" s="24"/>
      <c r="Z536" s="163" t="s">
        <v>1713</v>
      </c>
      <c r="AA536" s="164"/>
      <c r="AB536" s="163" t="s">
        <v>1459</v>
      </c>
      <c r="AC536" s="269"/>
      <c r="AD536" s="164"/>
      <c r="AE536" s="24"/>
      <c r="AF536" s="164"/>
      <c r="AG536" s="22"/>
      <c r="AH536" s="45"/>
      <c r="AI536" s="24"/>
      <c r="AJ536" s="194" t="s">
        <v>1277</v>
      </c>
      <c r="AK536" s="22"/>
      <c r="AL536" s="22"/>
      <c r="AM536" s="22"/>
      <c r="AN536" s="22"/>
      <c r="AO536" s="22"/>
      <c r="AP536" s="22"/>
      <c r="AQ536" s="22"/>
      <c r="AR536" s="22"/>
      <c r="AS536" s="22"/>
      <c r="AT536" s="219"/>
      <c r="AU536" s="219"/>
      <c r="AV536" s="360">
        <v>249016007</v>
      </c>
      <c r="AW536" s="360" t="s">
        <v>1714</v>
      </c>
      <c r="AX536" s="360"/>
      <c r="AY536" s="360"/>
      <c r="AZ536" s="360"/>
      <c r="BA536" s="360"/>
      <c r="BB536" s="360"/>
      <c r="BC536" s="360"/>
      <c r="BD536" s="360"/>
      <c r="BE536" s="137" t="s">
        <v>115</v>
      </c>
      <c r="BF536" s="137" t="s">
        <v>1715</v>
      </c>
      <c r="BG536" s="139" t="s">
        <v>614</v>
      </c>
      <c r="BH536" s="311"/>
      <c r="BI536" s="361">
        <v>249016007</v>
      </c>
      <c r="BJ536" s="361" t="s">
        <v>1714</v>
      </c>
      <c r="BK536" s="46">
        <f t="shared" si="1"/>
        <v>1</v>
      </c>
      <c r="BL536" s="46"/>
      <c r="BM536" s="46"/>
      <c r="BN536" s="46"/>
    </row>
    <row r="537" spans="1:66" ht="12.75" hidden="1" customHeight="1">
      <c r="A537" s="22">
        <v>535</v>
      </c>
      <c r="B537" s="22" t="s">
        <v>1716</v>
      </c>
      <c r="C537" s="22" t="str">
        <f t="shared" si="0"/>
        <v>Fetal movement felt?</v>
      </c>
      <c r="D537" s="24" t="s">
        <v>1716</v>
      </c>
      <c r="E537" s="22" t="s">
        <v>96</v>
      </c>
      <c r="F537" s="24"/>
      <c r="G537" s="24" t="s">
        <v>1710</v>
      </c>
      <c r="H537" s="24"/>
      <c r="I537" s="24">
        <v>1</v>
      </c>
      <c r="J537" s="24" t="s">
        <v>1308</v>
      </c>
      <c r="K537" s="24"/>
      <c r="L537" s="24"/>
      <c r="M537" s="24"/>
      <c r="N537" s="24"/>
      <c r="O537" s="24"/>
      <c r="P537" s="164"/>
      <c r="Q537" s="164"/>
      <c r="R537" s="162" t="s">
        <v>1716</v>
      </c>
      <c r="S537" s="163" t="s">
        <v>1717</v>
      </c>
      <c r="T537" s="163" t="s">
        <v>1718</v>
      </c>
      <c r="U537" s="163" t="s">
        <v>202</v>
      </c>
      <c r="V537" s="193"/>
      <c r="W537" s="194"/>
      <c r="X537" s="164"/>
      <c r="Y537" s="24"/>
      <c r="Z537" s="164"/>
      <c r="AA537" s="164"/>
      <c r="AB537" s="163" t="s">
        <v>208</v>
      </c>
      <c r="AC537" s="269"/>
      <c r="AD537" s="164"/>
      <c r="AE537" s="24"/>
      <c r="AF537" s="164"/>
      <c r="AG537" s="22"/>
      <c r="AH537" s="45"/>
      <c r="AI537" s="24"/>
      <c r="AJ537" s="163" t="s">
        <v>1296</v>
      </c>
      <c r="AK537" s="22"/>
      <c r="AL537" s="22"/>
      <c r="AM537" s="22"/>
      <c r="AN537" s="22"/>
      <c r="AO537" s="22"/>
      <c r="AP537" s="22"/>
      <c r="AQ537" s="22"/>
      <c r="AR537" s="22"/>
      <c r="AS537" s="22"/>
      <c r="AT537" s="275"/>
      <c r="AU537" s="275"/>
      <c r="AV537" s="275"/>
      <c r="AW537" s="319"/>
      <c r="AX537" s="319"/>
      <c r="AY537" s="319"/>
      <c r="AZ537" s="319"/>
      <c r="BA537" s="319"/>
      <c r="BB537" s="319"/>
      <c r="BC537" s="319"/>
      <c r="BD537" s="319"/>
      <c r="BE537" s="137" t="s">
        <v>115</v>
      </c>
      <c r="BF537" s="137" t="s">
        <v>1719</v>
      </c>
      <c r="BG537" s="139" t="s">
        <v>1720</v>
      </c>
      <c r="BH537" s="313"/>
      <c r="BI537" s="276"/>
      <c r="BJ537" s="276"/>
      <c r="BK537" s="46">
        <f t="shared" si="1"/>
        <v>1</v>
      </c>
      <c r="BL537" s="46"/>
      <c r="BM537" s="46"/>
      <c r="BN537" s="46"/>
    </row>
    <row r="538" spans="1:66" ht="12.75" hidden="1" customHeight="1">
      <c r="A538" s="22">
        <v>536</v>
      </c>
      <c r="B538" s="22" t="s">
        <v>250</v>
      </c>
      <c r="C538" s="22" t="e">
        <f t="shared" ca="1" si="0"/>
        <v>#NAME?</v>
      </c>
      <c r="D538" s="24" t="s">
        <v>113</v>
      </c>
      <c r="E538" s="22" t="s">
        <v>180</v>
      </c>
      <c r="F538" s="24" t="s">
        <v>1716</v>
      </c>
      <c r="G538" s="24" t="s">
        <v>1710</v>
      </c>
      <c r="H538" s="24"/>
      <c r="I538" s="24">
        <v>1</v>
      </c>
      <c r="J538" s="24" t="s">
        <v>1308</v>
      </c>
      <c r="K538" s="24"/>
      <c r="L538" s="24"/>
      <c r="M538" s="24"/>
      <c r="N538" s="24"/>
      <c r="O538" s="24"/>
      <c r="P538" s="164"/>
      <c r="Q538" s="164"/>
      <c r="R538" s="162"/>
      <c r="S538" s="163"/>
      <c r="T538" s="163"/>
      <c r="U538" s="163"/>
      <c r="V538" s="193"/>
      <c r="W538" s="194" t="s">
        <v>113</v>
      </c>
      <c r="X538" s="164"/>
      <c r="Y538" s="24"/>
      <c r="Z538" s="164"/>
      <c r="AA538" s="164"/>
      <c r="AB538" s="163"/>
      <c r="AC538" s="269"/>
      <c r="AD538" s="164"/>
      <c r="AE538" s="24"/>
      <c r="AF538" s="164"/>
      <c r="AG538" s="22"/>
      <c r="AH538" s="45"/>
      <c r="AI538" s="24"/>
      <c r="AJ538" s="163"/>
      <c r="AK538" s="22"/>
      <c r="AL538" s="22"/>
      <c r="AM538" s="22"/>
      <c r="AN538" s="22"/>
      <c r="AO538" s="22"/>
      <c r="AP538" s="22"/>
      <c r="AQ538" s="22"/>
      <c r="AR538" s="22"/>
      <c r="AS538" s="22"/>
      <c r="AT538" s="219"/>
      <c r="AU538" s="219"/>
      <c r="AV538" s="148">
        <v>373066001</v>
      </c>
      <c r="AW538" s="219"/>
      <c r="AX538" s="219"/>
      <c r="AY538" s="219"/>
      <c r="AZ538" s="219"/>
      <c r="BA538" s="219"/>
      <c r="BB538" s="219"/>
      <c r="BC538" s="219"/>
      <c r="BD538" s="219"/>
      <c r="BE538" s="137" t="s">
        <v>115</v>
      </c>
      <c r="BF538" s="137" t="s">
        <v>206</v>
      </c>
      <c r="BG538" s="139" t="s">
        <v>207</v>
      </c>
      <c r="BH538" s="220"/>
      <c r="BI538" s="150">
        <v>373066001</v>
      </c>
      <c r="BJ538" s="220"/>
      <c r="BK538" s="46">
        <f t="shared" si="1"/>
        <v>1</v>
      </c>
      <c r="BL538" s="46"/>
      <c r="BM538" s="46"/>
      <c r="BN538" s="46"/>
    </row>
    <row r="539" spans="1:66" ht="12.75" hidden="1" customHeight="1">
      <c r="A539" s="22">
        <v>537</v>
      </c>
      <c r="B539" s="22" t="s">
        <v>255</v>
      </c>
      <c r="C539" s="22" t="e">
        <f t="shared" ca="1" si="0"/>
        <v>#NAME?</v>
      </c>
      <c r="D539" s="24" t="s">
        <v>208</v>
      </c>
      <c r="E539" s="22" t="s">
        <v>180</v>
      </c>
      <c r="F539" s="24" t="s">
        <v>1716</v>
      </c>
      <c r="G539" s="24" t="s">
        <v>1710</v>
      </c>
      <c r="H539" s="24"/>
      <c r="I539" s="24">
        <v>1</v>
      </c>
      <c r="J539" s="24" t="s">
        <v>1308</v>
      </c>
      <c r="K539" s="24"/>
      <c r="L539" s="24"/>
      <c r="M539" s="24"/>
      <c r="N539" s="24"/>
      <c r="O539" s="24"/>
      <c r="P539" s="164"/>
      <c r="Q539" s="164"/>
      <c r="R539" s="162"/>
      <c r="S539" s="163"/>
      <c r="T539" s="163"/>
      <c r="U539" s="163"/>
      <c r="V539" s="163"/>
      <c r="W539" s="163" t="s">
        <v>208</v>
      </c>
      <c r="X539" s="164"/>
      <c r="Y539" s="24"/>
      <c r="Z539" s="164"/>
      <c r="AA539" s="164"/>
      <c r="AB539" s="163"/>
      <c r="AC539" s="269"/>
      <c r="AD539" s="164"/>
      <c r="AE539" s="24"/>
      <c r="AF539" s="164"/>
      <c r="AG539" s="22"/>
      <c r="AH539" s="45"/>
      <c r="AI539" s="24"/>
      <c r="AJ539" s="163"/>
      <c r="AK539" s="22"/>
      <c r="AL539" s="22"/>
      <c r="AM539" s="22"/>
      <c r="AN539" s="22"/>
      <c r="AO539" s="22"/>
      <c r="AP539" s="22"/>
      <c r="AQ539" s="22"/>
      <c r="AR539" s="22"/>
      <c r="AS539" s="22"/>
      <c r="AT539" s="219"/>
      <c r="AU539" s="219"/>
      <c r="AV539" s="148">
        <v>373067005</v>
      </c>
      <c r="AW539" s="219"/>
      <c r="AX539" s="219"/>
      <c r="AY539" s="219"/>
      <c r="AZ539" s="219"/>
      <c r="BA539" s="219"/>
      <c r="BB539" s="219"/>
      <c r="BC539" s="219"/>
      <c r="BD539" s="219"/>
      <c r="BE539" s="137" t="s">
        <v>115</v>
      </c>
      <c r="BF539" s="137" t="s">
        <v>209</v>
      </c>
      <c r="BG539" s="139" t="s">
        <v>210</v>
      </c>
      <c r="BH539" s="311"/>
      <c r="BI539" s="150">
        <v>373067005</v>
      </c>
      <c r="BJ539" s="311"/>
      <c r="BK539" s="46">
        <f t="shared" si="1"/>
        <v>1</v>
      </c>
      <c r="BL539" s="46"/>
      <c r="BM539" s="46"/>
      <c r="BN539" s="46"/>
    </row>
    <row r="540" spans="1:66" ht="12.75" hidden="1" customHeight="1">
      <c r="A540" s="22">
        <v>538</v>
      </c>
      <c r="B540" s="22" t="s">
        <v>1722</v>
      </c>
      <c r="C540" s="22" t="str">
        <f t="shared" si="0"/>
        <v>Fetal heartbeat present?</v>
      </c>
      <c r="D540" s="24" t="s">
        <v>1722</v>
      </c>
      <c r="E540" s="22" t="s">
        <v>96</v>
      </c>
      <c r="F540" s="24"/>
      <c r="G540" s="24" t="s">
        <v>1710</v>
      </c>
      <c r="H540" s="24"/>
      <c r="I540" s="24">
        <v>1</v>
      </c>
      <c r="J540" s="24" t="s">
        <v>1308</v>
      </c>
      <c r="K540" s="24"/>
      <c r="L540" s="24"/>
      <c r="M540" s="24"/>
      <c r="N540" s="24"/>
      <c r="O540" s="24"/>
      <c r="P540" s="164"/>
      <c r="Q540" s="164"/>
      <c r="R540" s="162" t="s">
        <v>1722</v>
      </c>
      <c r="S540" s="163" t="s">
        <v>1723</v>
      </c>
      <c r="T540" s="163" t="s">
        <v>1724</v>
      </c>
      <c r="U540" s="163" t="s">
        <v>202</v>
      </c>
      <c r="V540" s="193"/>
      <c r="W540" s="194"/>
      <c r="X540" s="164"/>
      <c r="Y540" s="24"/>
      <c r="Z540" s="164"/>
      <c r="AA540" s="164"/>
      <c r="AB540" s="163" t="s">
        <v>113</v>
      </c>
      <c r="AC540" s="269"/>
      <c r="AD540" s="164"/>
      <c r="AE540" s="24"/>
      <c r="AF540" s="164"/>
      <c r="AG540" s="22"/>
      <c r="AH540" s="45"/>
      <c r="AI540" s="24"/>
      <c r="AJ540" s="163" t="s">
        <v>1277</v>
      </c>
      <c r="AK540" s="22"/>
      <c r="AL540" s="22"/>
      <c r="AM540" s="22"/>
      <c r="AN540" s="22"/>
      <c r="AO540" s="22"/>
      <c r="AP540" s="22"/>
      <c r="AQ540" s="22"/>
      <c r="AR540" s="22"/>
      <c r="AS540" s="22"/>
      <c r="AT540" s="275"/>
      <c r="AU540" s="275"/>
      <c r="AV540" s="275"/>
      <c r="AW540" s="275"/>
      <c r="AX540" s="275"/>
      <c r="AY540" s="275"/>
      <c r="AZ540" s="275"/>
      <c r="BA540" s="275"/>
      <c r="BB540" s="275"/>
      <c r="BC540" s="275"/>
      <c r="BD540" s="275"/>
      <c r="BE540" s="137" t="s">
        <v>115</v>
      </c>
      <c r="BF540" s="137" t="s">
        <v>1725</v>
      </c>
      <c r="BG540" s="139" t="s">
        <v>1726</v>
      </c>
      <c r="BH540" s="313"/>
      <c r="BI540" s="276"/>
      <c r="BJ540" s="276"/>
      <c r="BK540" s="46">
        <f t="shared" si="1"/>
        <v>1</v>
      </c>
      <c r="BL540" s="46"/>
      <c r="BM540" s="46"/>
      <c r="BN540" s="46"/>
    </row>
    <row r="541" spans="1:66" ht="12.75" hidden="1" customHeight="1">
      <c r="A541" s="22">
        <v>539</v>
      </c>
      <c r="B541" s="22" t="s">
        <v>250</v>
      </c>
      <c r="C541" s="22" t="e">
        <f t="shared" ca="1" si="0"/>
        <v>#NAME?</v>
      </c>
      <c r="D541" s="24" t="s">
        <v>113</v>
      </c>
      <c r="E541" s="22" t="s">
        <v>180</v>
      </c>
      <c r="F541" s="24" t="s">
        <v>1722</v>
      </c>
      <c r="G541" s="24" t="s">
        <v>1710</v>
      </c>
      <c r="H541" s="24"/>
      <c r="I541" s="24">
        <v>1</v>
      </c>
      <c r="J541" s="24" t="s">
        <v>1308</v>
      </c>
      <c r="K541" s="24"/>
      <c r="L541" s="24"/>
      <c r="M541" s="24"/>
      <c r="N541" s="24"/>
      <c r="O541" s="24"/>
      <c r="P541" s="164"/>
      <c r="Q541" s="164"/>
      <c r="R541" s="162"/>
      <c r="S541" s="163"/>
      <c r="T541" s="163"/>
      <c r="U541" s="163"/>
      <c r="V541" s="193"/>
      <c r="W541" s="194" t="s">
        <v>113</v>
      </c>
      <c r="X541" s="164"/>
      <c r="Y541" s="24"/>
      <c r="Z541" s="164"/>
      <c r="AA541" s="164"/>
      <c r="AB541" s="163"/>
      <c r="AC541" s="269"/>
      <c r="AD541" s="164"/>
      <c r="AE541" s="24"/>
      <c r="AF541" s="164"/>
      <c r="AG541" s="22"/>
      <c r="AH541" s="45"/>
      <c r="AI541" s="24"/>
      <c r="AJ541" s="163"/>
      <c r="AK541" s="22"/>
      <c r="AL541" s="22"/>
      <c r="AM541" s="22"/>
      <c r="AN541" s="22"/>
      <c r="AO541" s="22"/>
      <c r="AP541" s="22"/>
      <c r="AQ541" s="22"/>
      <c r="AR541" s="22"/>
      <c r="AS541" s="22"/>
      <c r="AT541" s="219"/>
      <c r="AU541" s="219"/>
      <c r="AV541" s="148">
        <v>373066001</v>
      </c>
      <c r="AW541" s="219"/>
      <c r="AX541" s="219"/>
      <c r="AY541" s="219"/>
      <c r="AZ541" s="219"/>
      <c r="BA541" s="219"/>
      <c r="BB541" s="219"/>
      <c r="BC541" s="219"/>
      <c r="BD541" s="219"/>
      <c r="BE541" s="137" t="s">
        <v>115</v>
      </c>
      <c r="BF541" s="137" t="s">
        <v>206</v>
      </c>
      <c r="BG541" s="139" t="s">
        <v>207</v>
      </c>
      <c r="BH541" s="220"/>
      <c r="BI541" s="150">
        <v>373066001</v>
      </c>
      <c r="BJ541" s="220"/>
      <c r="BK541" s="46">
        <f t="shared" si="1"/>
        <v>1</v>
      </c>
      <c r="BL541" s="46"/>
      <c r="BM541" s="46"/>
      <c r="BN541" s="46"/>
    </row>
    <row r="542" spans="1:66" ht="12.75" hidden="1" customHeight="1">
      <c r="A542" s="22">
        <v>540</v>
      </c>
      <c r="B542" s="22" t="s">
        <v>255</v>
      </c>
      <c r="C542" s="22" t="e">
        <f t="shared" ca="1" si="0"/>
        <v>#NAME?</v>
      </c>
      <c r="D542" s="24" t="s">
        <v>208</v>
      </c>
      <c r="E542" s="22" t="s">
        <v>180</v>
      </c>
      <c r="F542" s="24" t="s">
        <v>1722</v>
      </c>
      <c r="G542" s="24" t="s">
        <v>1710</v>
      </c>
      <c r="H542" s="24"/>
      <c r="I542" s="24">
        <v>1</v>
      </c>
      <c r="J542" s="24" t="s">
        <v>1308</v>
      </c>
      <c r="K542" s="24"/>
      <c r="L542" s="24"/>
      <c r="M542" s="24"/>
      <c r="N542" s="24"/>
      <c r="O542" s="24"/>
      <c r="P542" s="164"/>
      <c r="Q542" s="164"/>
      <c r="R542" s="162"/>
      <c r="S542" s="163"/>
      <c r="T542" s="163"/>
      <c r="U542" s="163"/>
      <c r="V542" s="163"/>
      <c r="W542" s="163" t="s">
        <v>208</v>
      </c>
      <c r="X542" s="164"/>
      <c r="Y542" s="24"/>
      <c r="Z542" s="164"/>
      <c r="AA542" s="164"/>
      <c r="AB542" s="163"/>
      <c r="AC542" s="269"/>
      <c r="AD542" s="164"/>
      <c r="AE542" s="24"/>
      <c r="AF542" s="164"/>
      <c r="AG542" s="22"/>
      <c r="AH542" s="45"/>
      <c r="AI542" s="24"/>
      <c r="AJ542" s="163"/>
      <c r="AK542" s="22"/>
      <c r="AL542" s="22"/>
      <c r="AM542" s="22"/>
      <c r="AN542" s="22"/>
      <c r="AO542" s="22"/>
      <c r="AP542" s="22"/>
      <c r="AQ542" s="22"/>
      <c r="AR542" s="22"/>
      <c r="AS542" s="22"/>
      <c r="AT542" s="219"/>
      <c r="AU542" s="219"/>
      <c r="AV542" s="148">
        <v>373067005</v>
      </c>
      <c r="AW542" s="219"/>
      <c r="AX542" s="219"/>
      <c r="AY542" s="219"/>
      <c r="AZ542" s="219"/>
      <c r="BA542" s="219"/>
      <c r="BB542" s="219"/>
      <c r="BC542" s="219"/>
      <c r="BD542" s="219"/>
      <c r="BE542" s="137" t="s">
        <v>115</v>
      </c>
      <c r="BF542" s="137" t="s">
        <v>209</v>
      </c>
      <c r="BG542" s="139" t="s">
        <v>210</v>
      </c>
      <c r="BH542" s="220"/>
      <c r="BI542" s="150">
        <v>373067005</v>
      </c>
      <c r="BJ542" s="220"/>
      <c r="BK542" s="46">
        <f t="shared" si="1"/>
        <v>1</v>
      </c>
      <c r="BL542" s="46"/>
      <c r="BM542" s="46"/>
      <c r="BN542" s="46"/>
    </row>
    <row r="543" spans="1:66" ht="12.75" hidden="1" customHeight="1">
      <c r="A543" s="22">
        <v>541</v>
      </c>
      <c r="B543" s="22" t="s">
        <v>1727</v>
      </c>
      <c r="C543" s="22" t="str">
        <f t="shared" si="0"/>
        <v>Fetal heart rate (bpm)</v>
      </c>
      <c r="D543" s="24" t="s">
        <v>1727</v>
      </c>
      <c r="E543" s="22" t="s">
        <v>96</v>
      </c>
      <c r="F543" s="24"/>
      <c r="G543" s="24" t="s">
        <v>1710</v>
      </c>
      <c r="H543" s="24"/>
      <c r="I543" s="24">
        <v>1</v>
      </c>
      <c r="J543" s="24" t="s">
        <v>1308</v>
      </c>
      <c r="K543" s="24"/>
      <c r="L543" s="24"/>
      <c r="M543" s="24"/>
      <c r="N543" s="24"/>
      <c r="O543" s="24"/>
      <c r="P543" s="164"/>
      <c r="Q543" s="164"/>
      <c r="R543" s="195" t="s">
        <v>1727</v>
      </c>
      <c r="S543" s="163" t="s">
        <v>1728</v>
      </c>
      <c r="T543" s="163" t="s">
        <v>1729</v>
      </c>
      <c r="U543" s="163" t="s">
        <v>168</v>
      </c>
      <c r="V543" s="163"/>
      <c r="W543" s="163"/>
      <c r="X543" s="164"/>
      <c r="Y543" s="24"/>
      <c r="Z543" s="163" t="s">
        <v>1730</v>
      </c>
      <c r="AA543" s="164"/>
      <c r="AB543" s="163" t="s">
        <v>208</v>
      </c>
      <c r="AC543" s="269"/>
      <c r="AD543" s="164"/>
      <c r="AE543" s="24"/>
      <c r="AF543" s="164"/>
      <c r="AG543" s="22"/>
      <c r="AH543" s="45"/>
      <c r="AI543" s="24"/>
      <c r="AJ543" s="163" t="s">
        <v>115</v>
      </c>
      <c r="AK543" s="22"/>
      <c r="AL543" s="22"/>
      <c r="AM543" s="22"/>
      <c r="AN543" s="22"/>
      <c r="AO543" s="22"/>
      <c r="AP543" s="22"/>
      <c r="AQ543" s="22"/>
      <c r="AR543" s="22"/>
      <c r="AS543" s="22"/>
      <c r="AT543" s="219"/>
      <c r="AU543" s="219"/>
      <c r="AV543" s="156">
        <v>249043002</v>
      </c>
      <c r="AW543" s="219"/>
      <c r="AX543" s="219"/>
      <c r="AY543" s="219"/>
      <c r="AZ543" s="219"/>
      <c r="BA543" s="219"/>
      <c r="BB543" s="219"/>
      <c r="BC543" s="219"/>
      <c r="BD543" s="219"/>
      <c r="BE543" s="137" t="s">
        <v>115</v>
      </c>
      <c r="BF543" s="137" t="s">
        <v>1731</v>
      </c>
      <c r="BG543" s="139" t="s">
        <v>1732</v>
      </c>
      <c r="BH543" s="220"/>
      <c r="BI543" s="157">
        <v>249043002</v>
      </c>
      <c r="BJ543" s="220"/>
      <c r="BK543" s="46">
        <f t="shared" si="1"/>
        <v>1</v>
      </c>
      <c r="BL543" s="46"/>
      <c r="BM543" s="46"/>
      <c r="BN543" s="46"/>
    </row>
    <row r="544" spans="1:66" ht="12.75" hidden="1" customHeight="1">
      <c r="A544" s="22">
        <v>542</v>
      </c>
      <c r="B544" s="22" t="s">
        <v>1733</v>
      </c>
      <c r="C544" s="22" t="str">
        <f t="shared" si="0"/>
        <v>Second fetal heart rate (bpm)</v>
      </c>
      <c r="D544" s="24" t="s">
        <v>1733</v>
      </c>
      <c r="E544" s="22" t="s">
        <v>96</v>
      </c>
      <c r="F544" s="24"/>
      <c r="G544" s="24" t="s">
        <v>1710</v>
      </c>
      <c r="H544" s="24"/>
      <c r="I544" s="24">
        <v>1</v>
      </c>
      <c r="J544" s="24" t="s">
        <v>1308</v>
      </c>
      <c r="K544" s="24"/>
      <c r="L544" s="24"/>
      <c r="M544" s="24"/>
      <c r="N544" s="24"/>
      <c r="O544" s="24"/>
      <c r="P544" s="164"/>
      <c r="Q544" s="164"/>
      <c r="R544" s="178" t="s">
        <v>1733</v>
      </c>
      <c r="S544" s="170" t="s">
        <v>1734</v>
      </c>
      <c r="T544" s="163" t="s">
        <v>1735</v>
      </c>
      <c r="U544" s="170" t="s">
        <v>168</v>
      </c>
      <c r="V544" s="163"/>
      <c r="W544" s="163"/>
      <c r="X544" s="164"/>
      <c r="Y544" s="24"/>
      <c r="Z544" s="163" t="s">
        <v>1730</v>
      </c>
      <c r="AA544" s="164"/>
      <c r="AB544" s="170" t="s">
        <v>113</v>
      </c>
      <c r="AC544" s="269"/>
      <c r="AD544" s="164"/>
      <c r="AE544" s="24"/>
      <c r="AF544" s="164"/>
      <c r="AG544" s="22"/>
      <c r="AH544" s="45"/>
      <c r="AI544" s="24"/>
      <c r="AJ544" s="163" t="s">
        <v>115</v>
      </c>
      <c r="AK544" s="22"/>
      <c r="AL544" s="22"/>
      <c r="AM544" s="22"/>
      <c r="AN544" s="22"/>
      <c r="AO544" s="22"/>
      <c r="AP544" s="22"/>
      <c r="AQ544" s="22"/>
      <c r="AR544" s="22"/>
      <c r="AS544" s="22"/>
      <c r="AT544" s="219"/>
      <c r="AU544" s="219"/>
      <c r="AV544" s="156">
        <v>249043002</v>
      </c>
      <c r="AW544" s="219"/>
      <c r="AX544" s="219"/>
      <c r="AY544" s="219"/>
      <c r="AZ544" s="219"/>
      <c r="BA544" s="219"/>
      <c r="BB544" s="219"/>
      <c r="BC544" s="219"/>
      <c r="BD544" s="219"/>
      <c r="BE544" s="137" t="s">
        <v>115</v>
      </c>
      <c r="BF544" s="137" t="s">
        <v>1731</v>
      </c>
      <c r="BG544" s="139" t="s">
        <v>1732</v>
      </c>
      <c r="BH544" s="311"/>
      <c r="BI544" s="157">
        <v>249043002</v>
      </c>
      <c r="BJ544" s="311"/>
      <c r="BK544" s="46">
        <f t="shared" si="1"/>
        <v>1</v>
      </c>
      <c r="BL544" s="46"/>
      <c r="BM544" s="46"/>
      <c r="BN544" s="46"/>
    </row>
    <row r="545" spans="1:66" ht="12.75" hidden="1" customHeight="1">
      <c r="A545" s="22">
        <v>543</v>
      </c>
      <c r="B545" s="22" t="s">
        <v>1736</v>
      </c>
      <c r="C545" s="22" t="str">
        <f t="shared" si="0"/>
        <v>No. of fetuses</v>
      </c>
      <c r="D545" s="24" t="s">
        <v>1736</v>
      </c>
      <c r="E545" s="22" t="s">
        <v>96</v>
      </c>
      <c r="F545" s="24"/>
      <c r="G545" s="24" t="s">
        <v>1710</v>
      </c>
      <c r="H545" s="24"/>
      <c r="I545" s="24">
        <v>1</v>
      </c>
      <c r="J545" s="24" t="s">
        <v>1308</v>
      </c>
      <c r="K545" s="24"/>
      <c r="L545" s="24"/>
      <c r="M545" s="24"/>
      <c r="N545" s="24"/>
      <c r="O545" s="24"/>
      <c r="P545" s="164"/>
      <c r="Q545" s="164"/>
      <c r="R545" s="162" t="s">
        <v>1736</v>
      </c>
      <c r="S545" s="163" t="s">
        <v>1737</v>
      </c>
      <c r="T545" s="163" t="s">
        <v>1738</v>
      </c>
      <c r="U545" s="163" t="s">
        <v>168</v>
      </c>
      <c r="V545" s="163"/>
      <c r="W545" s="163"/>
      <c r="X545" s="163"/>
      <c r="Y545" s="24"/>
      <c r="Z545" s="163" t="s">
        <v>1739</v>
      </c>
      <c r="AA545" s="164"/>
      <c r="AB545" s="163" t="s">
        <v>1740</v>
      </c>
      <c r="AC545" s="269"/>
      <c r="AD545" s="164"/>
      <c r="AE545" s="24"/>
      <c r="AF545" s="164"/>
      <c r="AG545" s="22"/>
      <c r="AH545" s="45"/>
      <c r="AI545" s="24"/>
      <c r="AJ545" s="163" t="s">
        <v>1741</v>
      </c>
      <c r="AK545" s="22"/>
      <c r="AL545" s="22"/>
      <c r="AM545" s="22"/>
      <c r="AN545" s="22"/>
      <c r="AO545" s="22"/>
      <c r="AP545" s="22"/>
      <c r="AQ545" s="22"/>
      <c r="AR545" s="22"/>
      <c r="AS545" s="22"/>
      <c r="AT545" s="275"/>
      <c r="AU545" s="275"/>
      <c r="AV545" s="275"/>
      <c r="AW545" s="275"/>
      <c r="AX545" s="275"/>
      <c r="AY545" s="275"/>
      <c r="AZ545" s="275"/>
      <c r="BA545" s="275"/>
      <c r="BB545" s="275"/>
      <c r="BC545" s="275"/>
      <c r="BD545" s="275"/>
      <c r="BE545" s="137" t="s">
        <v>115</v>
      </c>
      <c r="BF545" s="137" t="s">
        <v>1742</v>
      </c>
      <c r="BG545" s="139" t="s">
        <v>1743</v>
      </c>
      <c r="BH545" s="313"/>
      <c r="BI545" s="276"/>
      <c r="BJ545" s="276"/>
      <c r="BK545" s="46">
        <f t="shared" si="1"/>
        <v>1</v>
      </c>
      <c r="BL545" s="46"/>
      <c r="BM545" s="46"/>
      <c r="BN545" s="46"/>
    </row>
    <row r="546" spans="1:66" ht="12.75" hidden="1" customHeight="1">
      <c r="A546" s="22">
        <v>544</v>
      </c>
      <c r="B546" s="22" t="s">
        <v>1744</v>
      </c>
      <c r="C546" s="22" t="str">
        <f t="shared" si="0"/>
        <v>[No. of fetuses unknown checkbox]</v>
      </c>
      <c r="D546" s="24" t="s">
        <v>1744</v>
      </c>
      <c r="E546" s="22" t="s">
        <v>96</v>
      </c>
      <c r="F546" s="24"/>
      <c r="G546" s="24" t="s">
        <v>1710</v>
      </c>
      <c r="H546" s="24"/>
      <c r="I546" s="24">
        <v>1</v>
      </c>
      <c r="J546" s="24" t="s">
        <v>1308</v>
      </c>
      <c r="K546" s="24"/>
      <c r="L546" s="24"/>
      <c r="M546" s="24"/>
      <c r="N546" s="24"/>
      <c r="O546" s="24"/>
      <c r="P546" s="164"/>
      <c r="Q546" s="164"/>
      <c r="R546" s="162" t="s">
        <v>1744</v>
      </c>
      <c r="S546" s="163" t="s">
        <v>1745</v>
      </c>
      <c r="T546" s="163" t="s">
        <v>1746</v>
      </c>
      <c r="U546" s="163" t="s">
        <v>153</v>
      </c>
      <c r="V546" s="163"/>
      <c r="W546" s="163"/>
      <c r="X546" s="163"/>
      <c r="Y546" s="24"/>
      <c r="Z546" s="163"/>
      <c r="AA546" s="164"/>
      <c r="AB546" s="163" t="s">
        <v>1740</v>
      </c>
      <c r="AC546" s="269"/>
      <c r="AD546" s="164"/>
      <c r="AE546" s="24"/>
      <c r="AF546" s="164"/>
      <c r="AG546" s="22"/>
      <c r="AH546" s="45"/>
      <c r="AI546" s="24"/>
      <c r="AJ546" s="163" t="s">
        <v>1741</v>
      </c>
      <c r="AK546" s="22"/>
      <c r="AL546" s="22"/>
      <c r="AM546" s="22"/>
      <c r="AN546" s="22"/>
      <c r="AO546" s="22"/>
      <c r="AP546" s="22"/>
      <c r="AQ546" s="22"/>
      <c r="AR546" s="22"/>
      <c r="AS546" s="22"/>
      <c r="AT546" s="275"/>
      <c r="AU546" s="275"/>
      <c r="AV546" s="275"/>
      <c r="AW546" s="275"/>
      <c r="AX546" s="275"/>
      <c r="AY546" s="275"/>
      <c r="AZ546" s="275"/>
      <c r="BA546" s="275"/>
      <c r="BB546" s="275"/>
      <c r="BC546" s="275"/>
      <c r="BD546" s="275"/>
      <c r="BE546" s="137" t="s">
        <v>115</v>
      </c>
      <c r="BF546" s="137" t="s">
        <v>1747</v>
      </c>
      <c r="BG546" s="139" t="s">
        <v>1748</v>
      </c>
      <c r="BH546" s="313"/>
      <c r="BI546" s="276"/>
      <c r="BJ546" s="276"/>
      <c r="BK546" s="46">
        <f t="shared" si="1"/>
        <v>1</v>
      </c>
      <c r="BL546" s="46"/>
      <c r="BM546" s="46"/>
      <c r="BN546" s="46"/>
    </row>
    <row r="547" spans="1:66" ht="12.75" hidden="1" customHeight="1">
      <c r="A547" s="22">
        <v>545</v>
      </c>
      <c r="B547" s="22" t="s">
        <v>1749</v>
      </c>
      <c r="C547" s="22" t="str">
        <f t="shared" si="0"/>
        <v>Fetal presentation - Tests</v>
      </c>
      <c r="D547" s="24" t="s">
        <v>1749</v>
      </c>
      <c r="E547" s="22" t="s">
        <v>96</v>
      </c>
      <c r="F547" s="24"/>
      <c r="G547" s="24" t="s">
        <v>1710</v>
      </c>
      <c r="H547" s="24"/>
      <c r="I547" s="24">
        <v>1</v>
      </c>
      <c r="J547" s="24" t="s">
        <v>1308</v>
      </c>
      <c r="K547" s="24"/>
      <c r="L547" s="24"/>
      <c r="M547" s="24"/>
      <c r="N547" s="24"/>
      <c r="O547" s="24"/>
      <c r="P547" s="164"/>
      <c r="Q547" s="164"/>
      <c r="R547" s="162" t="s">
        <v>1750</v>
      </c>
      <c r="S547" s="163" t="s">
        <v>1751</v>
      </c>
      <c r="T547" s="163" t="s">
        <v>1752</v>
      </c>
      <c r="U547" s="163" t="s">
        <v>202</v>
      </c>
      <c r="V547" s="163"/>
      <c r="W547" s="163"/>
      <c r="X547" s="163"/>
      <c r="Y547" s="24"/>
      <c r="Z547" s="164"/>
      <c r="AA547" s="164"/>
      <c r="AB547" s="170" t="s">
        <v>113</v>
      </c>
      <c r="AC547" s="269"/>
      <c r="AD547" s="164"/>
      <c r="AE547" s="24"/>
      <c r="AF547" s="164"/>
      <c r="AG547" s="22"/>
      <c r="AH547" s="45"/>
      <c r="AI547" s="24"/>
      <c r="AJ547" s="163" t="s">
        <v>1753</v>
      </c>
      <c r="AK547" s="22"/>
      <c r="AL547" s="22"/>
      <c r="AM547" s="22"/>
      <c r="AN547" s="22"/>
      <c r="AO547" s="22"/>
      <c r="AP547" s="22"/>
      <c r="AQ547" s="22"/>
      <c r="AR547" s="22"/>
      <c r="AS547" s="22"/>
      <c r="AT547" s="219"/>
      <c r="AU547" s="219"/>
      <c r="AV547" s="135">
        <v>271692001</v>
      </c>
      <c r="AW547" s="219"/>
      <c r="AX547" s="219"/>
      <c r="AY547" s="219"/>
      <c r="AZ547" s="219"/>
      <c r="BA547" s="219"/>
      <c r="BB547" s="219"/>
      <c r="BC547" s="219"/>
      <c r="BD547" s="219"/>
      <c r="BE547" s="137" t="s">
        <v>115</v>
      </c>
      <c r="BF547" s="137" t="s">
        <v>1754</v>
      </c>
      <c r="BG547" s="139" t="s">
        <v>1755</v>
      </c>
      <c r="BH547" s="220"/>
      <c r="BI547" s="140">
        <v>271692001</v>
      </c>
      <c r="BJ547" s="220"/>
      <c r="BK547" s="46">
        <f t="shared" si="1"/>
        <v>1</v>
      </c>
      <c r="BL547" s="46"/>
      <c r="BM547" s="46"/>
      <c r="BN547" s="46"/>
    </row>
    <row r="548" spans="1:66" ht="12.75" hidden="1" customHeight="1">
      <c r="A548" s="22">
        <v>546</v>
      </c>
      <c r="B548" s="22" t="s">
        <v>1162</v>
      </c>
      <c r="C548" s="22" t="e">
        <f t="shared" ca="1" si="0"/>
        <v>#NAME?</v>
      </c>
      <c r="D548" s="24" t="s">
        <v>936</v>
      </c>
      <c r="E548" s="22" t="s">
        <v>180</v>
      </c>
      <c r="F548" s="24" t="s">
        <v>1750</v>
      </c>
      <c r="G548" s="24" t="s">
        <v>1710</v>
      </c>
      <c r="H548" s="24"/>
      <c r="I548" s="24">
        <v>1</v>
      </c>
      <c r="J548" s="24" t="s">
        <v>1308</v>
      </c>
      <c r="K548" s="24"/>
      <c r="L548" s="24"/>
      <c r="M548" s="24"/>
      <c r="N548" s="24"/>
      <c r="O548" s="24"/>
      <c r="P548" s="164"/>
      <c r="Q548" s="164"/>
      <c r="R548" s="169"/>
      <c r="S548" s="164"/>
      <c r="T548" s="164"/>
      <c r="U548" s="164"/>
      <c r="V548" s="163"/>
      <c r="W548" s="163" t="s">
        <v>936</v>
      </c>
      <c r="X548" s="164"/>
      <c r="Y548" s="24"/>
      <c r="Z548" s="164"/>
      <c r="AA548" s="164"/>
      <c r="AB548" s="164"/>
      <c r="AC548" s="269"/>
      <c r="AD548" s="164"/>
      <c r="AE548" s="24"/>
      <c r="AF548" s="164"/>
      <c r="AG548" s="22"/>
      <c r="AH548" s="45"/>
      <c r="AI548" s="24"/>
      <c r="AJ548" s="164"/>
      <c r="AK548" s="22"/>
      <c r="AL548" s="22"/>
      <c r="AM548" s="22"/>
      <c r="AN548" s="22"/>
      <c r="AO548" s="22"/>
      <c r="AP548" s="22"/>
      <c r="AQ548" s="22"/>
      <c r="AR548" s="22"/>
      <c r="AS548" s="22"/>
      <c r="AT548" s="219"/>
      <c r="AU548" s="219"/>
      <c r="AV548" s="135">
        <v>261665006</v>
      </c>
      <c r="AW548" s="219"/>
      <c r="AX548" s="219"/>
      <c r="AY548" s="219"/>
      <c r="AZ548" s="219"/>
      <c r="BA548" s="219"/>
      <c r="BB548" s="219"/>
      <c r="BC548" s="219"/>
      <c r="BD548" s="219"/>
      <c r="BE548" s="137" t="s">
        <v>115</v>
      </c>
      <c r="BF548" s="137" t="s">
        <v>501</v>
      </c>
      <c r="BG548" s="139" t="s">
        <v>503</v>
      </c>
      <c r="BH548" s="220"/>
      <c r="BI548" s="140">
        <v>261665006</v>
      </c>
      <c r="BJ548" s="220"/>
      <c r="BK548" s="46">
        <f t="shared" si="1"/>
        <v>1</v>
      </c>
      <c r="BL548" s="46"/>
      <c r="BM548" s="46"/>
      <c r="BN548" s="46"/>
    </row>
    <row r="549" spans="1:66" ht="12.75" hidden="1" customHeight="1">
      <c r="A549" s="22">
        <v>547</v>
      </c>
      <c r="B549" s="22" t="s">
        <v>2616</v>
      </c>
      <c r="C549" s="22" t="e">
        <f t="shared" ca="1" si="0"/>
        <v>#NAME?</v>
      </c>
      <c r="D549" s="24" t="s">
        <v>1756</v>
      </c>
      <c r="E549" s="22" t="s">
        <v>180</v>
      </c>
      <c r="F549" s="24" t="s">
        <v>1750</v>
      </c>
      <c r="G549" s="24" t="s">
        <v>1710</v>
      </c>
      <c r="H549" s="24"/>
      <c r="I549" s="24">
        <v>1</v>
      </c>
      <c r="J549" s="24" t="s">
        <v>1308</v>
      </c>
      <c r="K549" s="24"/>
      <c r="L549" s="24"/>
      <c r="M549" s="24"/>
      <c r="N549" s="24"/>
      <c r="O549" s="24"/>
      <c r="P549" s="164"/>
      <c r="Q549" s="164"/>
      <c r="R549" s="169"/>
      <c r="S549" s="164"/>
      <c r="T549" s="164"/>
      <c r="U549" s="164"/>
      <c r="V549" s="163"/>
      <c r="W549" s="163" t="s">
        <v>1756</v>
      </c>
      <c r="X549" s="164"/>
      <c r="Y549" s="24"/>
      <c r="Z549" s="164"/>
      <c r="AA549" s="164"/>
      <c r="AB549" s="164"/>
      <c r="AC549" s="269"/>
      <c r="AD549" s="164"/>
      <c r="AE549" s="24"/>
      <c r="AF549" s="164"/>
      <c r="AG549" s="22"/>
      <c r="AH549" s="45"/>
      <c r="AI549" s="24"/>
      <c r="AJ549" s="164"/>
      <c r="AK549" s="22"/>
      <c r="AL549" s="22"/>
      <c r="AM549" s="22"/>
      <c r="AN549" s="22"/>
      <c r="AO549" s="22"/>
      <c r="AP549" s="22"/>
      <c r="AQ549" s="22"/>
      <c r="AR549" s="22"/>
      <c r="AS549" s="22"/>
      <c r="AT549" s="219"/>
      <c r="AU549" s="219"/>
      <c r="AV549" s="135">
        <v>70028003</v>
      </c>
      <c r="AW549" s="219"/>
      <c r="AX549" s="219"/>
      <c r="AY549" s="219"/>
      <c r="AZ549" s="219"/>
      <c r="BA549" s="219"/>
      <c r="BB549" s="219"/>
      <c r="BC549" s="219"/>
      <c r="BD549" s="219"/>
      <c r="BE549" s="137" t="s">
        <v>115</v>
      </c>
      <c r="BF549" s="137" t="s">
        <v>1757</v>
      </c>
      <c r="BG549" s="139" t="s">
        <v>1758</v>
      </c>
      <c r="BH549" s="311"/>
      <c r="BI549" s="145">
        <v>70028003</v>
      </c>
      <c r="BJ549" s="311"/>
      <c r="BK549" s="46">
        <f t="shared" si="1"/>
        <v>1</v>
      </c>
      <c r="BL549" s="46"/>
      <c r="BM549" s="46"/>
      <c r="BN549" s="46"/>
    </row>
    <row r="550" spans="1:66" ht="12.75" hidden="1" customHeight="1">
      <c r="A550" s="22">
        <v>548</v>
      </c>
      <c r="B550" s="22" t="s">
        <v>2619</v>
      </c>
      <c r="C550" s="22" t="e">
        <f t="shared" ca="1" si="0"/>
        <v>#NAME?</v>
      </c>
      <c r="D550" s="24" t="s">
        <v>1759</v>
      </c>
      <c r="E550" s="22" t="s">
        <v>180</v>
      </c>
      <c r="F550" s="24" t="s">
        <v>1750</v>
      </c>
      <c r="G550" s="24" t="s">
        <v>1710</v>
      </c>
      <c r="H550" s="24"/>
      <c r="I550" s="24">
        <v>1</v>
      </c>
      <c r="J550" s="24" t="s">
        <v>1308</v>
      </c>
      <c r="K550" s="24"/>
      <c r="L550" s="24"/>
      <c r="M550" s="24"/>
      <c r="N550" s="24"/>
      <c r="O550" s="24"/>
      <c r="P550" s="164"/>
      <c r="Q550" s="164"/>
      <c r="R550" s="169"/>
      <c r="S550" s="164"/>
      <c r="T550" s="164"/>
      <c r="U550" s="164"/>
      <c r="V550" s="163"/>
      <c r="W550" s="163" t="s">
        <v>1759</v>
      </c>
      <c r="X550" s="164"/>
      <c r="Y550" s="24"/>
      <c r="Z550" s="164"/>
      <c r="AA550" s="164"/>
      <c r="AB550" s="164"/>
      <c r="AC550" s="269"/>
      <c r="AD550" s="164"/>
      <c r="AE550" s="24"/>
      <c r="AF550" s="164"/>
      <c r="AG550" s="22"/>
      <c r="AH550" s="45"/>
      <c r="AI550" s="24"/>
      <c r="AJ550" s="164"/>
      <c r="AK550" s="22"/>
      <c r="AL550" s="22"/>
      <c r="AM550" s="22"/>
      <c r="AN550" s="22"/>
      <c r="AO550" s="22"/>
      <c r="AP550" s="22"/>
      <c r="AQ550" s="22"/>
      <c r="AR550" s="22"/>
      <c r="AS550" s="22"/>
      <c r="AT550" s="275"/>
      <c r="AU550" s="275"/>
      <c r="AV550" s="275"/>
      <c r="AW550" s="275"/>
      <c r="AX550" s="275"/>
      <c r="AY550" s="275"/>
      <c r="AZ550" s="275"/>
      <c r="BA550" s="275"/>
      <c r="BB550" s="275"/>
      <c r="BC550" s="275"/>
      <c r="BD550" s="275"/>
      <c r="BE550" s="137" t="s">
        <v>115</v>
      </c>
      <c r="BF550" s="137" t="s">
        <v>1760</v>
      </c>
      <c r="BG550" s="139" t="s">
        <v>1761</v>
      </c>
      <c r="BH550" s="313"/>
      <c r="BI550" s="276"/>
      <c r="BJ550" s="276"/>
      <c r="BK550" s="46">
        <f t="shared" si="1"/>
        <v>1</v>
      </c>
      <c r="BL550" s="46"/>
      <c r="BM550" s="46"/>
      <c r="BN550" s="46"/>
    </row>
    <row r="551" spans="1:66" ht="12.75" hidden="1" customHeight="1">
      <c r="A551" s="22">
        <v>549</v>
      </c>
      <c r="B551" s="22" t="s">
        <v>2625</v>
      </c>
      <c r="C551" s="22" t="e">
        <f t="shared" ca="1" si="0"/>
        <v>#NAME?</v>
      </c>
      <c r="D551" s="24" t="s">
        <v>1762</v>
      </c>
      <c r="E551" s="22" t="s">
        <v>180</v>
      </c>
      <c r="F551" s="24" t="s">
        <v>1750</v>
      </c>
      <c r="G551" s="24" t="s">
        <v>1710</v>
      </c>
      <c r="H551" s="24"/>
      <c r="I551" s="24">
        <v>1</v>
      </c>
      <c r="J551" s="24" t="s">
        <v>1308</v>
      </c>
      <c r="K551" s="24"/>
      <c r="L551" s="24"/>
      <c r="M551" s="24"/>
      <c r="N551" s="24"/>
      <c r="O551" s="24"/>
      <c r="P551" s="164"/>
      <c r="Q551" s="164"/>
      <c r="R551" s="169"/>
      <c r="S551" s="164"/>
      <c r="T551" s="164"/>
      <c r="U551" s="164"/>
      <c r="V551" s="163"/>
      <c r="W551" s="163" t="s">
        <v>1762</v>
      </c>
      <c r="X551" s="164"/>
      <c r="Y551" s="24"/>
      <c r="Z551" s="164"/>
      <c r="AA551" s="164"/>
      <c r="AB551" s="164"/>
      <c r="AC551" s="269"/>
      <c r="AD551" s="164"/>
      <c r="AE551" s="24"/>
      <c r="AF551" s="164"/>
      <c r="AG551" s="22"/>
      <c r="AH551" s="45"/>
      <c r="AI551" s="24"/>
      <c r="AJ551" s="164"/>
      <c r="AK551" s="22"/>
      <c r="AL551" s="22"/>
      <c r="AM551" s="22"/>
      <c r="AN551" s="22"/>
      <c r="AO551" s="22"/>
      <c r="AP551" s="22"/>
      <c r="AQ551" s="22"/>
      <c r="AR551" s="22"/>
      <c r="AS551" s="22"/>
      <c r="AT551" s="219"/>
      <c r="AU551" s="219"/>
      <c r="AV551" s="135">
        <v>11914001</v>
      </c>
      <c r="AW551" s="219"/>
      <c r="AX551" s="219"/>
      <c r="AY551" s="219"/>
      <c r="AZ551" s="219"/>
      <c r="BA551" s="219"/>
      <c r="BB551" s="219"/>
      <c r="BC551" s="219"/>
      <c r="BD551" s="219"/>
      <c r="BE551" s="137" t="s">
        <v>115</v>
      </c>
      <c r="BF551" s="137" t="s">
        <v>1763</v>
      </c>
      <c r="BG551" s="139" t="s">
        <v>1764</v>
      </c>
      <c r="BH551" s="220"/>
      <c r="BI551" s="140">
        <v>11914001</v>
      </c>
      <c r="BJ551" s="220"/>
      <c r="BK551" s="46">
        <f t="shared" si="1"/>
        <v>1</v>
      </c>
      <c r="BL551" s="46"/>
      <c r="BM551" s="46"/>
      <c r="BN551" s="46"/>
    </row>
    <row r="552" spans="1:66" ht="12.75" hidden="1" customHeight="1">
      <c r="A552" s="22">
        <v>550</v>
      </c>
      <c r="B552" s="22" t="s">
        <v>2005</v>
      </c>
      <c r="C552" s="22" t="e">
        <f t="shared" ca="1" si="0"/>
        <v>#NAME?</v>
      </c>
      <c r="D552" s="24" t="s">
        <v>1387</v>
      </c>
      <c r="E552" s="22" t="s">
        <v>180</v>
      </c>
      <c r="F552" s="24" t="s">
        <v>1750</v>
      </c>
      <c r="G552" s="24" t="s">
        <v>1710</v>
      </c>
      <c r="H552" s="24"/>
      <c r="I552" s="24">
        <v>1</v>
      </c>
      <c r="J552" s="24" t="s">
        <v>1308</v>
      </c>
      <c r="K552" s="24"/>
      <c r="L552" s="24"/>
      <c r="M552" s="24"/>
      <c r="N552" s="24"/>
      <c r="O552" s="24"/>
      <c r="P552" s="164"/>
      <c r="Q552" s="164"/>
      <c r="R552" s="169"/>
      <c r="S552" s="164"/>
      <c r="T552" s="164"/>
      <c r="U552" s="164"/>
      <c r="V552" s="163"/>
      <c r="W552" s="163" t="s">
        <v>1387</v>
      </c>
      <c r="X552" s="164"/>
      <c r="Y552" s="24"/>
      <c r="Z552" s="164"/>
      <c r="AA552" s="164"/>
      <c r="AB552" s="164"/>
      <c r="AC552" s="269"/>
      <c r="AD552" s="164"/>
      <c r="AE552" s="24"/>
      <c r="AF552" s="164"/>
      <c r="AG552" s="22"/>
      <c r="AH552" s="45"/>
      <c r="AI552" s="24"/>
      <c r="AJ552" s="164"/>
      <c r="AK552" s="22"/>
      <c r="AL552" s="22"/>
      <c r="AM552" s="22"/>
      <c r="AN552" s="22"/>
      <c r="AO552" s="22"/>
      <c r="AP552" s="22"/>
      <c r="AQ552" s="22"/>
      <c r="AR552" s="22"/>
      <c r="AS552" s="22"/>
      <c r="AT552" s="219"/>
      <c r="AU552" s="219"/>
      <c r="AV552" s="210" t="s">
        <v>1585</v>
      </c>
      <c r="AW552" s="219"/>
      <c r="AX552" s="219"/>
      <c r="AY552" s="219"/>
      <c r="AZ552" s="219"/>
      <c r="BA552" s="219"/>
      <c r="BB552" s="219"/>
      <c r="BC552" s="219"/>
      <c r="BD552" s="219"/>
      <c r="BE552" s="137" t="s">
        <v>115</v>
      </c>
      <c r="BF552" s="137" t="s">
        <v>406</v>
      </c>
      <c r="BG552" s="139" t="s">
        <v>407</v>
      </c>
      <c r="BH552" s="311"/>
      <c r="BI552" s="362" t="s">
        <v>1585</v>
      </c>
      <c r="BJ552" s="311"/>
      <c r="BK552" s="46">
        <f t="shared" si="1"/>
        <v>1</v>
      </c>
      <c r="BL552" s="46"/>
      <c r="BM552" s="46"/>
      <c r="BN552" s="46"/>
    </row>
    <row r="553" spans="1:66" ht="12.75" hidden="1" customHeight="1">
      <c r="A553" s="22">
        <v>551</v>
      </c>
      <c r="B553" s="22" t="s">
        <v>1765</v>
      </c>
      <c r="C553" s="22" t="str">
        <f t="shared" si="0"/>
        <v>Ultrasound test</v>
      </c>
      <c r="D553" s="24" t="s">
        <v>1765</v>
      </c>
      <c r="E553" s="22" t="s">
        <v>96</v>
      </c>
      <c r="F553" s="24"/>
      <c r="G553" s="24" t="s">
        <v>1766</v>
      </c>
      <c r="H553" s="24"/>
      <c r="I553" s="24">
        <v>1</v>
      </c>
      <c r="J553" s="24" t="s">
        <v>1767</v>
      </c>
      <c r="K553" s="24"/>
      <c r="L553" s="24"/>
      <c r="M553" s="24"/>
      <c r="N553" s="24"/>
      <c r="O553" s="24"/>
      <c r="P553" s="170"/>
      <c r="Q553" s="170"/>
      <c r="R553" s="162" t="s">
        <v>1765</v>
      </c>
      <c r="S553" s="163" t="s">
        <v>1768</v>
      </c>
      <c r="T553" s="163" t="s">
        <v>1769</v>
      </c>
      <c r="U553" s="163" t="s">
        <v>202</v>
      </c>
      <c r="V553" s="163"/>
      <c r="W553" s="163"/>
      <c r="X553" s="163"/>
      <c r="Y553" s="24"/>
      <c r="Z553" s="163"/>
      <c r="AA553" s="170"/>
      <c r="AB553" s="163" t="s">
        <v>113</v>
      </c>
      <c r="AC553" s="251"/>
      <c r="AD553" s="170"/>
      <c r="AE553" s="24"/>
      <c r="AF553" s="170"/>
      <c r="AG553" s="22"/>
      <c r="AH553" s="45"/>
      <c r="AI553" s="24"/>
      <c r="AJ553" s="163" t="s">
        <v>1770</v>
      </c>
      <c r="AK553" s="22"/>
      <c r="AL553" s="22"/>
      <c r="AM553" s="22"/>
      <c r="AN553" s="22"/>
      <c r="AO553" s="22"/>
      <c r="AP553" s="22"/>
      <c r="AQ553" s="22"/>
      <c r="AR553" s="22"/>
      <c r="AS553" s="22"/>
      <c r="AT553" s="363"/>
      <c r="AU553" s="363"/>
      <c r="AV553" s="363"/>
      <c r="AW553" s="363"/>
      <c r="AX553" s="363"/>
      <c r="AY553" s="363"/>
      <c r="AZ553" s="363"/>
      <c r="BA553" s="363"/>
      <c r="BB553" s="363"/>
      <c r="BC553" s="363"/>
      <c r="BD553" s="363"/>
      <c r="BE553" s="137" t="s">
        <v>1772</v>
      </c>
      <c r="BF553" s="143" t="s">
        <v>1773</v>
      </c>
      <c r="BG553" s="139" t="s">
        <v>1774</v>
      </c>
      <c r="BH553" s="313"/>
      <c r="BI553" s="276"/>
      <c r="BJ553" s="276"/>
      <c r="BK553" s="46">
        <f t="shared" si="1"/>
        <v>1</v>
      </c>
      <c r="BL553" s="46"/>
      <c r="BM553" s="46"/>
      <c r="BN553" s="46"/>
    </row>
    <row r="554" spans="1:66" ht="12.75" hidden="1" customHeight="1">
      <c r="A554" s="22">
        <v>552</v>
      </c>
      <c r="B554" s="22" t="s">
        <v>2651</v>
      </c>
      <c r="C554" s="22" t="e">
        <f t="shared" ca="1" si="0"/>
        <v>#NAME?</v>
      </c>
      <c r="D554" s="24" t="s">
        <v>1775</v>
      </c>
      <c r="E554" s="22" t="s">
        <v>180</v>
      </c>
      <c r="F554" s="24" t="s">
        <v>1765</v>
      </c>
      <c r="G554" s="24" t="s">
        <v>1766</v>
      </c>
      <c r="H554" s="24"/>
      <c r="I554" s="24">
        <v>1</v>
      </c>
      <c r="J554" s="24" t="s">
        <v>1767</v>
      </c>
      <c r="K554" s="24"/>
      <c r="L554" s="24"/>
      <c r="M554" s="24"/>
      <c r="N554" s="24"/>
      <c r="O554" s="24"/>
      <c r="P554" s="170"/>
      <c r="Q554" s="170"/>
      <c r="R554" s="162"/>
      <c r="S554" s="163"/>
      <c r="T554" s="163"/>
      <c r="U554" s="163"/>
      <c r="V554" s="163"/>
      <c r="W554" s="163" t="s">
        <v>1775</v>
      </c>
      <c r="X554" s="163"/>
      <c r="Y554" s="24"/>
      <c r="Z554" s="163"/>
      <c r="AA554" s="170"/>
      <c r="AB554" s="163"/>
      <c r="AC554" s="251"/>
      <c r="AD554" s="170"/>
      <c r="AE554" s="24"/>
      <c r="AF554" s="170"/>
      <c r="AG554" s="22"/>
      <c r="AH554" s="45"/>
      <c r="AI554" s="24"/>
      <c r="AJ554" s="164"/>
      <c r="AK554" s="22"/>
      <c r="AL554" s="22"/>
      <c r="AM554" s="22"/>
      <c r="AN554" s="22"/>
      <c r="AO554" s="22"/>
      <c r="AP554" s="22"/>
      <c r="AQ554" s="22"/>
      <c r="AR554" s="22"/>
      <c r="AS554" s="22"/>
      <c r="AT554" s="363"/>
      <c r="AU554" s="363"/>
      <c r="AV554" s="363"/>
      <c r="AW554" s="363"/>
      <c r="AX554" s="363"/>
      <c r="AY554" s="363"/>
      <c r="AZ554" s="363"/>
      <c r="BA554" s="363"/>
      <c r="BB554" s="363"/>
      <c r="BC554" s="363"/>
      <c r="BD554" s="363"/>
      <c r="BE554" s="137" t="s">
        <v>115</v>
      </c>
      <c r="BF554" s="137" t="s">
        <v>1777</v>
      </c>
      <c r="BG554" s="139" t="s">
        <v>1778</v>
      </c>
      <c r="BH554" s="313"/>
      <c r="BI554" s="276"/>
      <c r="BJ554" s="276"/>
      <c r="BK554" s="46">
        <f t="shared" si="1"/>
        <v>1</v>
      </c>
      <c r="BL554" s="46"/>
      <c r="BM554" s="46"/>
      <c r="BN554" s="46"/>
    </row>
    <row r="555" spans="1:66" ht="12.75" hidden="1" customHeight="1">
      <c r="A555" s="22">
        <v>553</v>
      </c>
      <c r="B555" s="22" t="s">
        <v>2655</v>
      </c>
      <c r="C555" s="22" t="e">
        <f t="shared" ca="1" si="0"/>
        <v>#NAME?</v>
      </c>
      <c r="D555" s="24" t="s">
        <v>1779</v>
      </c>
      <c r="E555" s="22" t="s">
        <v>180</v>
      </c>
      <c r="F555" s="24" t="s">
        <v>1765</v>
      </c>
      <c r="G555" s="24" t="s">
        <v>1766</v>
      </c>
      <c r="H555" s="24"/>
      <c r="I555" s="24">
        <v>1</v>
      </c>
      <c r="J555" s="24" t="s">
        <v>1767</v>
      </c>
      <c r="K555" s="24"/>
      <c r="L555" s="24"/>
      <c r="M555" s="24"/>
      <c r="N555" s="24"/>
      <c r="O555" s="24"/>
      <c r="P555" s="170"/>
      <c r="Q555" s="170"/>
      <c r="R555" s="162"/>
      <c r="S555" s="163"/>
      <c r="T555" s="163"/>
      <c r="U555" s="163"/>
      <c r="V555" s="193"/>
      <c r="W555" s="194" t="s">
        <v>1779</v>
      </c>
      <c r="X555" s="163"/>
      <c r="Y555" s="24"/>
      <c r="Z555" s="163"/>
      <c r="AA555" s="170"/>
      <c r="AB555" s="163"/>
      <c r="AC555" s="251"/>
      <c r="AD555" s="170"/>
      <c r="AE555" s="24"/>
      <c r="AF555" s="170"/>
      <c r="AG555" s="22"/>
      <c r="AH555" s="45"/>
      <c r="AI555" s="24"/>
      <c r="AJ555" s="164"/>
      <c r="AK555" s="22"/>
      <c r="AL555" s="22"/>
      <c r="AM555" s="22"/>
      <c r="AN555" s="22"/>
      <c r="AO555" s="22"/>
      <c r="AP555" s="22"/>
      <c r="AQ555" s="22"/>
      <c r="AR555" s="22"/>
      <c r="AS555" s="22"/>
      <c r="AT555" s="363"/>
      <c r="AU555" s="363"/>
      <c r="AV555" s="364"/>
      <c r="AW555" s="363"/>
      <c r="AX555" s="363"/>
      <c r="AY555" s="363"/>
      <c r="AZ555" s="363"/>
      <c r="BA555" s="363"/>
      <c r="BB555" s="363"/>
      <c r="BC555" s="363"/>
      <c r="BD555" s="363"/>
      <c r="BE555" s="137" t="s">
        <v>115</v>
      </c>
      <c r="BF555" s="137" t="s">
        <v>1781</v>
      </c>
      <c r="BG555" s="139" t="s">
        <v>1782</v>
      </c>
      <c r="BH555" s="313"/>
      <c r="BI555" s="276"/>
      <c r="BJ555" s="276"/>
      <c r="BK555" s="46">
        <f t="shared" si="1"/>
        <v>1</v>
      </c>
      <c r="BL555" s="46"/>
      <c r="BM555" s="46"/>
      <c r="BN555" s="46"/>
    </row>
    <row r="556" spans="1:66" ht="12.75" hidden="1" customHeight="1">
      <c r="A556" s="22">
        <v>554</v>
      </c>
      <c r="B556" s="22" t="s">
        <v>2661</v>
      </c>
      <c r="C556" s="22" t="e">
        <f t="shared" ca="1" si="0"/>
        <v>#NAME?</v>
      </c>
      <c r="D556" s="24" t="s">
        <v>1783</v>
      </c>
      <c r="E556" s="22" t="s">
        <v>180</v>
      </c>
      <c r="F556" s="24" t="s">
        <v>1765</v>
      </c>
      <c r="G556" s="24" t="s">
        <v>1766</v>
      </c>
      <c r="H556" s="24"/>
      <c r="I556" s="24">
        <v>1</v>
      </c>
      <c r="J556" s="24" t="s">
        <v>1767</v>
      </c>
      <c r="K556" s="24"/>
      <c r="L556" s="24"/>
      <c r="M556" s="24"/>
      <c r="N556" s="24"/>
      <c r="O556" s="24"/>
      <c r="P556" s="170"/>
      <c r="Q556" s="170"/>
      <c r="R556" s="162"/>
      <c r="S556" s="163"/>
      <c r="T556" s="163"/>
      <c r="U556" s="163"/>
      <c r="V556" s="193"/>
      <c r="W556" s="194" t="s">
        <v>1783</v>
      </c>
      <c r="X556" s="163"/>
      <c r="Y556" s="24"/>
      <c r="Z556" s="163"/>
      <c r="AA556" s="170"/>
      <c r="AB556" s="163"/>
      <c r="AC556" s="251"/>
      <c r="AD556" s="170"/>
      <c r="AE556" s="24"/>
      <c r="AF556" s="170"/>
      <c r="AG556" s="22"/>
      <c r="AH556" s="45"/>
      <c r="AI556" s="24"/>
      <c r="AJ556" s="164"/>
      <c r="AK556" s="22"/>
      <c r="AL556" s="22"/>
      <c r="AM556" s="22"/>
      <c r="AN556" s="22"/>
      <c r="AO556" s="22"/>
      <c r="AP556" s="22"/>
      <c r="AQ556" s="22"/>
      <c r="AR556" s="22"/>
      <c r="AS556" s="22"/>
      <c r="AT556" s="363"/>
      <c r="AU556" s="363"/>
      <c r="AV556" s="364"/>
      <c r="AW556" s="363"/>
      <c r="AX556" s="363"/>
      <c r="AY556" s="363"/>
      <c r="AZ556" s="363"/>
      <c r="BA556" s="363"/>
      <c r="BB556" s="363"/>
      <c r="BC556" s="363"/>
      <c r="BD556" s="363"/>
      <c r="BE556" s="137" t="s">
        <v>115</v>
      </c>
      <c r="BF556" s="137" t="s">
        <v>1784</v>
      </c>
      <c r="BG556" s="167" t="s">
        <v>1785</v>
      </c>
      <c r="BH556" s="313"/>
      <c r="BI556" s="276"/>
      <c r="BJ556" s="276"/>
      <c r="BK556" s="46">
        <f t="shared" si="1"/>
        <v>1</v>
      </c>
      <c r="BL556" s="46"/>
      <c r="BM556" s="46"/>
      <c r="BN556" s="46"/>
    </row>
    <row r="557" spans="1:66" ht="12.75" hidden="1" customHeight="1">
      <c r="A557" s="22">
        <v>555</v>
      </c>
      <c r="B557" s="22" t="s">
        <v>2118</v>
      </c>
      <c r="C557" s="22" t="e">
        <f t="shared" ca="1" si="0"/>
        <v>#NAME?</v>
      </c>
      <c r="D557" s="24" t="s">
        <v>1468</v>
      </c>
      <c r="E557" s="22" t="s">
        <v>180</v>
      </c>
      <c r="F557" s="24" t="s">
        <v>1765</v>
      </c>
      <c r="G557" s="24" t="s">
        <v>1766</v>
      </c>
      <c r="H557" s="24"/>
      <c r="I557" s="24">
        <v>1</v>
      </c>
      <c r="J557" s="24" t="s">
        <v>1767</v>
      </c>
      <c r="K557" s="24"/>
      <c r="L557" s="24"/>
      <c r="M557" s="24"/>
      <c r="N557" s="24"/>
      <c r="O557" s="24"/>
      <c r="P557" s="170"/>
      <c r="Q557" s="170"/>
      <c r="R557" s="162"/>
      <c r="S557" s="163"/>
      <c r="T557" s="163"/>
      <c r="U557" s="163"/>
      <c r="V557" s="193"/>
      <c r="W557" s="194" t="s">
        <v>1468</v>
      </c>
      <c r="X557" s="163"/>
      <c r="Y557" s="24"/>
      <c r="Z557" s="163"/>
      <c r="AA557" s="170"/>
      <c r="AB557" s="163"/>
      <c r="AC557" s="251"/>
      <c r="AD557" s="170"/>
      <c r="AE557" s="24"/>
      <c r="AF557" s="170"/>
      <c r="AG557" s="22"/>
      <c r="AH557" s="45"/>
      <c r="AI557" s="24"/>
      <c r="AJ557" s="164"/>
      <c r="AK557" s="22"/>
      <c r="AL557" s="22"/>
      <c r="AM557" s="22"/>
      <c r="AN557" s="22"/>
      <c r="AO557" s="22"/>
      <c r="AP557" s="22"/>
      <c r="AQ557" s="22"/>
      <c r="AR557" s="22"/>
      <c r="AS557" s="22"/>
      <c r="AT557" s="170"/>
      <c r="AU557" s="170"/>
      <c r="AV557" s="365">
        <v>385660001</v>
      </c>
      <c r="AW557" s="170"/>
      <c r="AX557" s="170"/>
      <c r="AY557" s="170"/>
      <c r="AZ557" s="170"/>
      <c r="BA557" s="170"/>
      <c r="BB557" s="170"/>
      <c r="BC557" s="170"/>
      <c r="BD557" s="170"/>
      <c r="BE557" s="137" t="s">
        <v>115</v>
      </c>
      <c r="BF557" s="137" t="s">
        <v>1469</v>
      </c>
      <c r="BG557" s="167" t="s">
        <v>1470</v>
      </c>
      <c r="BH557" s="311"/>
      <c r="BI557" s="366">
        <v>385660001</v>
      </c>
      <c r="BJ557" s="311"/>
      <c r="BK557" s="46">
        <f t="shared" si="1"/>
        <v>1</v>
      </c>
      <c r="BL557" s="46"/>
      <c r="BM557" s="46"/>
      <c r="BN557" s="46"/>
    </row>
    <row r="558" spans="1:66" ht="12.75" hidden="1" customHeight="1">
      <c r="A558" s="22">
        <v>556</v>
      </c>
      <c r="B558" s="22" t="s">
        <v>1786</v>
      </c>
      <c r="C558" s="22" t="str">
        <f t="shared" si="0"/>
        <v>Reason Ultrasound test not done</v>
      </c>
      <c r="D558" s="24" t="s">
        <v>1786</v>
      </c>
      <c r="E558" s="22" t="s">
        <v>96</v>
      </c>
      <c r="F558" s="24" t="s">
        <v>1787</v>
      </c>
      <c r="G558" s="24" t="s">
        <v>1766</v>
      </c>
      <c r="H558" s="24"/>
      <c r="I558" s="24">
        <v>1</v>
      </c>
      <c r="J558" s="24" t="s">
        <v>1767</v>
      </c>
      <c r="K558" s="24"/>
      <c r="L558" s="24"/>
      <c r="M558" s="24"/>
      <c r="N558" s="24"/>
      <c r="O558" s="24"/>
      <c r="P558" s="170"/>
      <c r="Q558" s="170"/>
      <c r="R558" s="162" t="s">
        <v>1376</v>
      </c>
      <c r="S558" s="163" t="s">
        <v>1788</v>
      </c>
      <c r="T558" s="163" t="s">
        <v>1789</v>
      </c>
      <c r="U558" s="163" t="s">
        <v>202</v>
      </c>
      <c r="V558" s="193"/>
      <c r="W558" s="194"/>
      <c r="X558" s="163"/>
      <c r="Y558" s="24"/>
      <c r="Z558" s="163"/>
      <c r="AA558" s="170"/>
      <c r="AB558" s="163" t="s">
        <v>113</v>
      </c>
      <c r="AC558" s="251"/>
      <c r="AD558" s="170"/>
      <c r="AE558" s="24"/>
      <c r="AF558" s="170"/>
      <c r="AG558" s="22"/>
      <c r="AH558" s="45"/>
      <c r="AI558" s="24"/>
      <c r="AJ558" s="164" t="s">
        <v>115</v>
      </c>
      <c r="AK558" s="22"/>
      <c r="AL558" s="22"/>
      <c r="AM558" s="22"/>
      <c r="AN558" s="22"/>
      <c r="AO558" s="22"/>
      <c r="AP558" s="22"/>
      <c r="AQ558" s="22"/>
      <c r="AR558" s="22"/>
      <c r="AS558" s="22"/>
      <c r="AT558" s="363"/>
      <c r="AU558" s="363"/>
      <c r="AV558" s="364"/>
      <c r="AW558" s="363"/>
      <c r="AX558" s="363"/>
      <c r="AY558" s="363"/>
      <c r="AZ558" s="363"/>
      <c r="BA558" s="363"/>
      <c r="BB558" s="363"/>
      <c r="BC558" s="363"/>
      <c r="BD558" s="363"/>
      <c r="BE558" s="137" t="s">
        <v>1772</v>
      </c>
      <c r="BF558" s="137" t="s">
        <v>1791</v>
      </c>
      <c r="BG558" s="139" t="s">
        <v>1792</v>
      </c>
      <c r="BH558" s="313"/>
      <c r="BI558" s="276"/>
      <c r="BJ558" s="276"/>
      <c r="BK558" s="46">
        <f t="shared" si="1"/>
        <v>1</v>
      </c>
      <c r="BL558" s="46"/>
      <c r="BM558" s="46"/>
      <c r="BN558" s="46"/>
    </row>
    <row r="559" spans="1:66" ht="12.75" hidden="1" customHeight="1">
      <c r="A559" s="22">
        <v>557</v>
      </c>
      <c r="B559" s="22" t="s">
        <v>2677</v>
      </c>
      <c r="C559" s="22" t="e">
        <f t="shared" ca="1" si="0"/>
        <v>#NAME?</v>
      </c>
      <c r="D559" s="24" t="s">
        <v>1793</v>
      </c>
      <c r="E559" s="22" t="s">
        <v>180</v>
      </c>
      <c r="F559" s="24" t="s">
        <v>1376</v>
      </c>
      <c r="G559" s="24" t="s">
        <v>1766</v>
      </c>
      <c r="H559" s="24"/>
      <c r="I559" s="24">
        <v>1</v>
      </c>
      <c r="J559" s="24" t="s">
        <v>1767</v>
      </c>
      <c r="K559" s="24"/>
      <c r="L559" s="24"/>
      <c r="M559" s="24"/>
      <c r="N559" s="24"/>
      <c r="O559" s="24"/>
      <c r="P559" s="170"/>
      <c r="Q559" s="170"/>
      <c r="R559" s="247"/>
      <c r="S559" s="196"/>
      <c r="T559" s="196"/>
      <c r="U559" s="194"/>
      <c r="V559" s="194"/>
      <c r="W559" s="194" t="s">
        <v>1793</v>
      </c>
      <c r="X559" s="194"/>
      <c r="Y559" s="24"/>
      <c r="Z559" s="194"/>
      <c r="AA559" s="170"/>
      <c r="AB559" s="163"/>
      <c r="AC559" s="251"/>
      <c r="AD559" s="170"/>
      <c r="AE559" s="24"/>
      <c r="AF559" s="170"/>
      <c r="AG559" s="22"/>
      <c r="AH559" s="45"/>
      <c r="AI559" s="24"/>
      <c r="AJ559" s="196"/>
      <c r="AK559" s="22"/>
      <c r="AL559" s="22"/>
      <c r="AM559" s="22"/>
      <c r="AN559" s="22"/>
      <c r="AO559" s="22"/>
      <c r="AP559" s="22"/>
      <c r="AQ559" s="22"/>
      <c r="AR559" s="22"/>
      <c r="AS559" s="22"/>
      <c r="AT559" s="363"/>
      <c r="AU559" s="363"/>
      <c r="AV559" s="364"/>
      <c r="AW559" s="363"/>
      <c r="AX559" s="363"/>
      <c r="AY559" s="363"/>
      <c r="AZ559" s="363"/>
      <c r="BA559" s="363"/>
      <c r="BB559" s="363"/>
      <c r="BC559" s="363"/>
      <c r="BD559" s="363"/>
      <c r="BE559" s="137" t="s">
        <v>115</v>
      </c>
      <c r="BF559" s="137" t="s">
        <v>1794</v>
      </c>
      <c r="BG559" s="139" t="s">
        <v>1795</v>
      </c>
      <c r="BH559" s="313"/>
      <c r="BI559" s="276"/>
      <c r="BJ559" s="276"/>
      <c r="BK559" s="46">
        <f t="shared" si="1"/>
        <v>1</v>
      </c>
      <c r="BL559" s="46"/>
      <c r="BM559" s="46"/>
      <c r="BN559" s="46"/>
    </row>
    <row r="560" spans="1:66" ht="12.75" hidden="1" customHeight="1">
      <c r="A560" s="22">
        <v>558</v>
      </c>
      <c r="B560" s="22" t="s">
        <v>2683</v>
      </c>
      <c r="C560" s="22" t="e">
        <f t="shared" ca="1" si="0"/>
        <v>#NAME?</v>
      </c>
      <c r="D560" s="24" t="s">
        <v>1796</v>
      </c>
      <c r="E560" s="22" t="s">
        <v>180</v>
      </c>
      <c r="F560" s="24" t="s">
        <v>1376</v>
      </c>
      <c r="G560" s="24" t="s">
        <v>1766</v>
      </c>
      <c r="H560" s="24"/>
      <c r="I560" s="24">
        <v>1</v>
      </c>
      <c r="J560" s="24" t="s">
        <v>1767</v>
      </c>
      <c r="K560" s="24"/>
      <c r="L560" s="24"/>
      <c r="M560" s="24"/>
      <c r="N560" s="24"/>
      <c r="O560" s="24"/>
      <c r="P560" s="170"/>
      <c r="Q560" s="170"/>
      <c r="R560" s="247"/>
      <c r="S560" s="196"/>
      <c r="T560" s="196"/>
      <c r="U560" s="194"/>
      <c r="V560" s="194"/>
      <c r="W560" s="194" t="s">
        <v>1796</v>
      </c>
      <c r="X560" s="194"/>
      <c r="Y560" s="24"/>
      <c r="Z560" s="194"/>
      <c r="AA560" s="170"/>
      <c r="AB560" s="163"/>
      <c r="AC560" s="251"/>
      <c r="AD560" s="170"/>
      <c r="AE560" s="24"/>
      <c r="AF560" s="170"/>
      <c r="AG560" s="22"/>
      <c r="AH560" s="45"/>
      <c r="AI560" s="24"/>
      <c r="AJ560" s="196"/>
      <c r="AK560" s="22"/>
      <c r="AL560" s="22"/>
      <c r="AM560" s="22"/>
      <c r="AN560" s="22"/>
      <c r="AO560" s="22"/>
      <c r="AP560" s="22"/>
      <c r="AQ560" s="22"/>
      <c r="AR560" s="22"/>
      <c r="AS560" s="22"/>
      <c r="AT560" s="363"/>
      <c r="AU560" s="363"/>
      <c r="AV560" s="364"/>
      <c r="AW560" s="363"/>
      <c r="AX560" s="363"/>
      <c r="AY560" s="363"/>
      <c r="AZ560" s="363"/>
      <c r="BA560" s="363"/>
      <c r="BB560" s="363"/>
      <c r="BC560" s="363"/>
      <c r="BD560" s="363"/>
      <c r="BE560" s="137" t="s">
        <v>115</v>
      </c>
      <c r="BF560" s="137" t="s">
        <v>1382</v>
      </c>
      <c r="BG560" s="139" t="s">
        <v>1383</v>
      </c>
      <c r="BH560" s="313"/>
      <c r="BI560" s="276"/>
      <c r="BJ560" s="276"/>
      <c r="BK560" s="46">
        <f t="shared" si="1"/>
        <v>1</v>
      </c>
      <c r="BL560" s="46"/>
      <c r="BM560" s="46"/>
      <c r="BN560" s="46"/>
    </row>
    <row r="561" spans="1:66" ht="12.75" hidden="1" customHeight="1">
      <c r="A561" s="22">
        <v>559</v>
      </c>
      <c r="B561" s="22" t="s">
        <v>535</v>
      </c>
      <c r="C561" s="22" t="e">
        <f t="shared" ca="1" si="0"/>
        <v>#NAME?</v>
      </c>
      <c r="D561" s="24" t="s">
        <v>405</v>
      </c>
      <c r="E561" s="22" t="s">
        <v>180</v>
      </c>
      <c r="F561" s="24" t="s">
        <v>1376</v>
      </c>
      <c r="G561" s="24" t="s">
        <v>1766</v>
      </c>
      <c r="H561" s="24"/>
      <c r="I561" s="24">
        <v>1</v>
      </c>
      <c r="J561" s="24" t="s">
        <v>1767</v>
      </c>
      <c r="K561" s="24"/>
      <c r="L561" s="24"/>
      <c r="M561" s="24"/>
      <c r="N561" s="24"/>
      <c r="O561" s="24"/>
      <c r="P561" s="170"/>
      <c r="Q561" s="170"/>
      <c r="R561" s="247"/>
      <c r="S561" s="196"/>
      <c r="T561" s="196"/>
      <c r="U561" s="194"/>
      <c r="V561" s="194"/>
      <c r="W561" s="194" t="s">
        <v>405</v>
      </c>
      <c r="X561" s="194"/>
      <c r="Y561" s="24"/>
      <c r="Z561" s="194"/>
      <c r="AA561" s="170"/>
      <c r="AB561" s="163"/>
      <c r="AC561" s="251"/>
      <c r="AD561" s="170"/>
      <c r="AE561" s="24"/>
      <c r="AF561" s="170"/>
      <c r="AG561" s="22"/>
      <c r="AH561" s="45"/>
      <c r="AI561" s="24"/>
      <c r="AJ561" s="196"/>
      <c r="AK561" s="22"/>
      <c r="AL561" s="22"/>
      <c r="AM561" s="22"/>
      <c r="AN561" s="22"/>
      <c r="AO561" s="22"/>
      <c r="AP561" s="22"/>
      <c r="AQ561" s="22"/>
      <c r="AR561" s="22"/>
      <c r="AS561" s="22"/>
      <c r="AT561" s="170"/>
      <c r="AU561" s="170"/>
      <c r="AV561" s="367" t="s">
        <v>1585</v>
      </c>
      <c r="AW561" s="170"/>
      <c r="AX561" s="170"/>
      <c r="AY561" s="170"/>
      <c r="AZ561" s="170"/>
      <c r="BA561" s="170"/>
      <c r="BB561" s="170"/>
      <c r="BC561" s="170"/>
      <c r="BD561" s="170"/>
      <c r="BE561" s="137" t="s">
        <v>115</v>
      </c>
      <c r="BF561" s="143" t="s">
        <v>406</v>
      </c>
      <c r="BG561" s="167" t="s">
        <v>407</v>
      </c>
      <c r="BH561" s="311"/>
      <c r="BI561" s="368" t="s">
        <v>1585</v>
      </c>
      <c r="BJ561" s="311"/>
      <c r="BK561" s="46">
        <f t="shared" si="1"/>
        <v>1</v>
      </c>
      <c r="BL561" s="46"/>
      <c r="BM561" s="46"/>
      <c r="BN561" s="46"/>
    </row>
    <row r="562" spans="1:66" ht="12.75" hidden="1" customHeight="1">
      <c r="A562" s="22">
        <v>560</v>
      </c>
      <c r="B562" s="22" t="s">
        <v>1797</v>
      </c>
      <c r="C562" s="22" t="str">
        <f t="shared" si="0"/>
        <v>Specify - Reason Ultrasound test not done</v>
      </c>
      <c r="D562" s="24" t="s">
        <v>1797</v>
      </c>
      <c r="E562" s="22" t="s">
        <v>96</v>
      </c>
      <c r="F562" s="24" t="s">
        <v>1787</v>
      </c>
      <c r="G562" s="24" t="s">
        <v>1766</v>
      </c>
      <c r="H562" s="24"/>
      <c r="I562" s="24">
        <v>1</v>
      </c>
      <c r="J562" s="24" t="s">
        <v>1767</v>
      </c>
      <c r="K562" s="24"/>
      <c r="L562" s="24"/>
      <c r="M562" s="24"/>
      <c r="N562" s="24"/>
      <c r="O562" s="24"/>
      <c r="P562" s="170"/>
      <c r="Q562" s="170"/>
      <c r="R562" s="195" t="s">
        <v>409</v>
      </c>
      <c r="S562" s="196" t="s">
        <v>1798</v>
      </c>
      <c r="T562" s="196" t="s">
        <v>1799</v>
      </c>
      <c r="U562" s="194" t="s">
        <v>111</v>
      </c>
      <c r="V562" s="194"/>
      <c r="W562" s="194"/>
      <c r="X562" s="194"/>
      <c r="Y562" s="24"/>
      <c r="Z562" s="194"/>
      <c r="AA562" s="170"/>
      <c r="AB562" s="163" t="s">
        <v>208</v>
      </c>
      <c r="AC562" s="251"/>
      <c r="AD562" s="170"/>
      <c r="AE562" s="24"/>
      <c r="AF562" s="170"/>
      <c r="AG562" s="22"/>
      <c r="AH562" s="45"/>
      <c r="AI562" s="24"/>
      <c r="AJ562" s="196" t="s">
        <v>115</v>
      </c>
      <c r="AK562" s="22"/>
      <c r="AL562" s="22"/>
      <c r="AM562" s="22"/>
      <c r="AN562" s="22"/>
      <c r="AO562" s="22"/>
      <c r="AP562" s="22"/>
      <c r="AQ562" s="22"/>
      <c r="AR562" s="22"/>
      <c r="AS562" s="22"/>
      <c r="AT562" s="363"/>
      <c r="AU562" s="363"/>
      <c r="AV562" s="364"/>
      <c r="AW562" s="363"/>
      <c r="AX562" s="363"/>
      <c r="AY562" s="363"/>
      <c r="AZ562" s="363"/>
      <c r="BA562" s="363"/>
      <c r="BB562" s="363"/>
      <c r="BC562" s="363"/>
      <c r="BD562" s="363"/>
      <c r="BE562" s="137" t="s">
        <v>1772</v>
      </c>
      <c r="BF562" s="143" t="s">
        <v>1800</v>
      </c>
      <c r="BG562" s="167" t="s">
        <v>1801</v>
      </c>
      <c r="BH562" s="313"/>
      <c r="BI562" s="276"/>
      <c r="BJ562" s="276"/>
      <c r="BK562" s="46">
        <f t="shared" si="1"/>
        <v>1</v>
      </c>
      <c r="BL562" s="46"/>
      <c r="BM562" s="46"/>
      <c r="BN562" s="46"/>
    </row>
    <row r="563" spans="1:66" ht="12.75" hidden="1" customHeight="1">
      <c r="A563" s="22">
        <v>561</v>
      </c>
      <c r="B563" s="22">
        <v>0</v>
      </c>
      <c r="C563" s="22">
        <f t="shared" si="0"/>
        <v>0</v>
      </c>
      <c r="D563" s="24">
        <v>0</v>
      </c>
      <c r="E563" s="22" t="s">
        <v>96</v>
      </c>
      <c r="F563" s="24" t="s">
        <v>1787</v>
      </c>
      <c r="G563" s="24" t="s">
        <v>1766</v>
      </c>
      <c r="H563" s="24"/>
      <c r="I563" s="24">
        <v>1</v>
      </c>
      <c r="J563" s="24" t="s">
        <v>1767</v>
      </c>
      <c r="K563" s="24"/>
      <c r="L563" s="24"/>
      <c r="M563" s="24"/>
      <c r="N563" s="369" t="s">
        <v>1806</v>
      </c>
      <c r="O563" s="24"/>
      <c r="P563" s="170"/>
      <c r="Q563" s="170"/>
      <c r="R563" s="162">
        <v>0</v>
      </c>
      <c r="S563" s="163">
        <v>0</v>
      </c>
      <c r="T563" s="163">
        <v>0</v>
      </c>
      <c r="U563" s="163" t="s">
        <v>140</v>
      </c>
      <c r="V563" s="163"/>
      <c r="W563" s="163"/>
      <c r="X563" s="163">
        <v>0</v>
      </c>
      <c r="Y563" s="24"/>
      <c r="Z563" s="163">
        <v>0</v>
      </c>
      <c r="AA563" s="170"/>
      <c r="AB563" s="163">
        <v>0</v>
      </c>
      <c r="AC563" s="251"/>
      <c r="AD563" s="170"/>
      <c r="AE563" s="24"/>
      <c r="AF563" s="170"/>
      <c r="AG563" s="22"/>
      <c r="AH563" s="45"/>
      <c r="AI563" s="24"/>
      <c r="AJ563" s="164" t="s">
        <v>115</v>
      </c>
      <c r="AK563" s="22"/>
      <c r="AL563" s="22"/>
      <c r="AM563" s="22"/>
      <c r="AN563" s="22"/>
      <c r="AO563" s="22"/>
      <c r="AP563" s="22"/>
      <c r="AQ563" s="22"/>
      <c r="AR563" s="22"/>
      <c r="AS563" s="22"/>
      <c r="AT563" s="363"/>
      <c r="AU563" s="363"/>
      <c r="AV563" s="364"/>
      <c r="AW563" s="363"/>
      <c r="AX563" s="363"/>
      <c r="AY563" s="363"/>
      <c r="AZ563" s="363"/>
      <c r="BA563" s="363"/>
      <c r="BB563" s="363"/>
      <c r="BC563" s="363"/>
      <c r="BD563" s="363"/>
      <c r="BE563" s="137" t="s">
        <v>1772</v>
      </c>
      <c r="BF563" s="143" t="s">
        <v>1804</v>
      </c>
      <c r="BG563" s="167" t="s">
        <v>1805</v>
      </c>
      <c r="BH563" s="313"/>
      <c r="BI563" s="276"/>
      <c r="BJ563" s="276"/>
      <c r="BK563" s="46">
        <f t="shared" si="1"/>
        <v>1</v>
      </c>
      <c r="BL563" s="46"/>
      <c r="BM563" s="46"/>
      <c r="BN563" s="46"/>
    </row>
    <row r="564" spans="1:66" ht="12.75" hidden="1" customHeight="1">
      <c r="A564" s="22">
        <v>562</v>
      </c>
      <c r="B564" s="22" t="s">
        <v>2701</v>
      </c>
      <c r="C564" s="22" t="e">
        <f t="shared" ca="1" si="0"/>
        <v>#NAME?</v>
      </c>
      <c r="D564" s="24">
        <v>0</v>
      </c>
      <c r="E564" s="22" t="s">
        <v>180</v>
      </c>
      <c r="F564" s="24">
        <v>0</v>
      </c>
      <c r="G564" s="24" t="s">
        <v>1766</v>
      </c>
      <c r="H564" s="24"/>
      <c r="I564" s="24">
        <v>1</v>
      </c>
      <c r="J564" s="24" t="s">
        <v>1767</v>
      </c>
      <c r="K564" s="24"/>
      <c r="L564" s="24"/>
      <c r="M564" s="24"/>
      <c r="N564" s="24" t="s">
        <v>1806</v>
      </c>
      <c r="O564" s="24"/>
      <c r="P564" s="170"/>
      <c r="Q564" s="170"/>
      <c r="R564" s="162">
        <v>0</v>
      </c>
      <c r="S564" s="163">
        <v>0</v>
      </c>
      <c r="T564" s="163">
        <v>0</v>
      </c>
      <c r="U564" s="163">
        <v>0</v>
      </c>
      <c r="V564" s="163"/>
      <c r="W564" s="163">
        <v>0</v>
      </c>
      <c r="X564" s="163">
        <v>0</v>
      </c>
      <c r="Y564" s="24"/>
      <c r="Z564" s="163">
        <v>0</v>
      </c>
      <c r="AA564" s="170"/>
      <c r="AB564" s="163">
        <v>0</v>
      </c>
      <c r="AC564" s="251"/>
      <c r="AD564" s="170"/>
      <c r="AE564" s="24"/>
      <c r="AF564" s="170"/>
      <c r="AG564" s="22"/>
      <c r="AH564" s="45"/>
      <c r="AI564" s="24"/>
      <c r="AJ564" s="164" t="s">
        <v>115</v>
      </c>
      <c r="AK564" s="22"/>
      <c r="AL564" s="22"/>
      <c r="AM564" s="22"/>
      <c r="AN564" s="22"/>
      <c r="AO564" s="22"/>
      <c r="AP564" s="22"/>
      <c r="AQ564" s="22"/>
      <c r="AR564" s="22"/>
      <c r="AS564" s="22"/>
      <c r="AT564" s="363"/>
      <c r="AU564" s="363"/>
      <c r="AV564" s="364"/>
      <c r="AW564" s="363"/>
      <c r="AX564" s="363"/>
      <c r="AY564" s="363"/>
      <c r="AZ564" s="363"/>
      <c r="BA564" s="363"/>
      <c r="BB564" s="363"/>
      <c r="BC564" s="363"/>
      <c r="BD564" s="363"/>
      <c r="BE564" s="137" t="s">
        <v>115</v>
      </c>
      <c r="BF564" s="143" t="s">
        <v>115</v>
      </c>
      <c r="BG564" s="167" t="s">
        <v>115</v>
      </c>
      <c r="BH564" s="313"/>
      <c r="BI564" s="276"/>
      <c r="BJ564" s="276"/>
      <c r="BK564" s="46">
        <f t="shared" si="1"/>
        <v>1</v>
      </c>
      <c r="BL564" s="46"/>
      <c r="BM564" s="46"/>
      <c r="BN564" s="46"/>
    </row>
    <row r="565" spans="1:66" ht="12.75" hidden="1" customHeight="1">
      <c r="A565" s="22">
        <v>563</v>
      </c>
      <c r="B565" s="22" t="s">
        <v>1807</v>
      </c>
      <c r="C565" s="22" t="str">
        <f t="shared" si="0"/>
        <v>GA from ultrasound - days (Tests)</v>
      </c>
      <c r="D565" s="24" t="s">
        <v>1807</v>
      </c>
      <c r="E565" s="22" t="s">
        <v>96</v>
      </c>
      <c r="F565" s="24" t="s">
        <v>1787</v>
      </c>
      <c r="G565" s="24" t="s">
        <v>1766</v>
      </c>
      <c r="H565" s="24"/>
      <c r="I565" s="24">
        <v>1</v>
      </c>
      <c r="J565" s="24" t="s">
        <v>1767</v>
      </c>
      <c r="K565" s="24"/>
      <c r="L565" s="24"/>
      <c r="M565" s="24"/>
      <c r="N565" s="24"/>
      <c r="O565" s="24"/>
      <c r="P565" s="170"/>
      <c r="Q565" s="170"/>
      <c r="R565" s="162" t="s">
        <v>588</v>
      </c>
      <c r="S565" s="163" t="s">
        <v>590</v>
      </c>
      <c r="T565" s="163" t="s">
        <v>591</v>
      </c>
      <c r="U565" s="163" t="s">
        <v>168</v>
      </c>
      <c r="V565" s="163"/>
      <c r="W565" s="163"/>
      <c r="X565" s="164"/>
      <c r="Y565" s="24"/>
      <c r="Z565" s="163" t="s">
        <v>592</v>
      </c>
      <c r="AA565" s="170"/>
      <c r="AB565" s="163" t="s">
        <v>208</v>
      </c>
      <c r="AC565" s="251"/>
      <c r="AD565" s="170"/>
      <c r="AE565" s="24"/>
      <c r="AF565" s="170"/>
      <c r="AG565" s="22"/>
      <c r="AH565" s="45"/>
      <c r="AI565" s="24"/>
      <c r="AJ565" s="164" t="s">
        <v>115</v>
      </c>
      <c r="AK565" s="22"/>
      <c r="AL565" s="22"/>
      <c r="AM565" s="22"/>
      <c r="AN565" s="22"/>
      <c r="AO565" s="22"/>
      <c r="AP565" s="22"/>
      <c r="AQ565" s="22"/>
      <c r="AR565" s="22"/>
      <c r="AS565" s="22"/>
      <c r="AT565" s="363"/>
      <c r="AU565" s="363"/>
      <c r="AV565" s="364"/>
      <c r="AW565" s="363"/>
      <c r="AX565" s="363"/>
      <c r="AY565" s="363"/>
      <c r="AZ565" s="363"/>
      <c r="BA565" s="363"/>
      <c r="BB565" s="363"/>
      <c r="BC565" s="363"/>
      <c r="BD565" s="363"/>
      <c r="BE565" s="137" t="s">
        <v>115</v>
      </c>
      <c r="BF565" s="137" t="s">
        <v>115</v>
      </c>
      <c r="BG565" s="139" t="s">
        <v>115</v>
      </c>
      <c r="BH565" s="313"/>
      <c r="BI565" s="276"/>
      <c r="BJ565" s="276"/>
      <c r="BK565" s="46">
        <f t="shared" si="1"/>
        <v>1</v>
      </c>
      <c r="BL565" s="46"/>
      <c r="BM565" s="46"/>
      <c r="BN565" s="46"/>
    </row>
    <row r="566" spans="1:66" ht="12.75" hidden="1" customHeight="1">
      <c r="A566" s="22">
        <v>564</v>
      </c>
      <c r="B566" s="22" t="s">
        <v>594</v>
      </c>
      <c r="C566" s="22" t="str">
        <f t="shared" si="0"/>
        <v>ultrasound_gest_age_concept</v>
      </c>
      <c r="D566" s="24" t="s">
        <v>594</v>
      </c>
      <c r="E566" s="22" t="s">
        <v>65</v>
      </c>
      <c r="F566" s="24" t="s">
        <v>1787</v>
      </c>
      <c r="G566" s="24" t="s">
        <v>1766</v>
      </c>
      <c r="H566" s="24"/>
      <c r="I566" s="24">
        <v>1</v>
      </c>
      <c r="J566" s="24" t="s">
        <v>1767</v>
      </c>
      <c r="K566" s="24"/>
      <c r="L566" s="24"/>
      <c r="M566" s="24"/>
      <c r="N566" s="24"/>
      <c r="O566" s="24"/>
      <c r="P566" s="170"/>
      <c r="Q566" s="170"/>
      <c r="R566" s="162" t="s">
        <v>115</v>
      </c>
      <c r="S566" s="163" t="s">
        <v>594</v>
      </c>
      <c r="T566" s="163" t="s">
        <v>595</v>
      </c>
      <c r="U566" s="163" t="s">
        <v>65</v>
      </c>
      <c r="V566" s="163"/>
      <c r="W566" s="163"/>
      <c r="X566" s="163" t="s">
        <v>596</v>
      </c>
      <c r="Y566" s="163"/>
      <c r="Z566" s="24"/>
      <c r="AA566" s="170"/>
      <c r="AB566" s="163" t="s">
        <v>115</v>
      </c>
      <c r="AC566" s="251"/>
      <c r="AD566" s="170"/>
      <c r="AE566" s="24"/>
      <c r="AF566" s="170"/>
      <c r="AG566" s="22"/>
      <c r="AH566" s="45"/>
      <c r="AI566" s="24"/>
      <c r="AJ566" s="164" t="s">
        <v>115</v>
      </c>
      <c r="AK566" s="22"/>
      <c r="AL566" s="22"/>
      <c r="AM566" s="22"/>
      <c r="AN566" s="22"/>
      <c r="AO566" s="22"/>
      <c r="AP566" s="22"/>
      <c r="AQ566" s="22"/>
      <c r="AR566" s="22"/>
      <c r="AS566" s="22"/>
      <c r="AT566" s="170"/>
      <c r="AU566" s="170"/>
      <c r="AV566" s="370" t="s">
        <v>1808</v>
      </c>
      <c r="AW566" s="170"/>
      <c r="AX566" s="170"/>
      <c r="AY566" s="170"/>
      <c r="AZ566" s="170"/>
      <c r="BA566" s="170"/>
      <c r="BB566" s="170"/>
      <c r="BC566" s="170"/>
      <c r="BD566" s="170"/>
      <c r="BE566" s="137" t="s">
        <v>115</v>
      </c>
      <c r="BF566" s="137" t="s">
        <v>598</v>
      </c>
      <c r="BG566" s="139" t="s">
        <v>599</v>
      </c>
      <c r="BH566" s="220"/>
      <c r="BI566" s="371" t="s">
        <v>1808</v>
      </c>
      <c r="BJ566" s="220"/>
      <c r="BK566" s="46">
        <f t="shared" si="1"/>
        <v>1</v>
      </c>
      <c r="BL566" s="46"/>
      <c r="BM566" s="46"/>
      <c r="BN566" s="46"/>
    </row>
    <row r="567" spans="1:66" ht="12.75" hidden="1" customHeight="1">
      <c r="A567" s="22">
        <v>565</v>
      </c>
      <c r="B567" s="22" t="s">
        <v>601</v>
      </c>
      <c r="C567" s="22" t="str">
        <f t="shared" si="0"/>
        <v>ultrasound_edd</v>
      </c>
      <c r="D567" s="24" t="s">
        <v>601</v>
      </c>
      <c r="E567" s="22" t="s">
        <v>65</v>
      </c>
      <c r="F567" s="24" t="s">
        <v>1787</v>
      </c>
      <c r="G567" s="24" t="s">
        <v>1766</v>
      </c>
      <c r="H567" s="24"/>
      <c r="I567" s="24">
        <v>1</v>
      </c>
      <c r="J567" s="24" t="s">
        <v>1767</v>
      </c>
      <c r="K567" s="24"/>
      <c r="L567" s="24"/>
      <c r="M567" s="24"/>
      <c r="N567" s="24"/>
      <c r="O567" s="24"/>
      <c r="P567" s="170"/>
      <c r="Q567" s="170"/>
      <c r="R567" s="162" t="s">
        <v>115</v>
      </c>
      <c r="S567" s="163" t="s">
        <v>601</v>
      </c>
      <c r="T567" s="163" t="s">
        <v>602</v>
      </c>
      <c r="U567" s="163" t="s">
        <v>65</v>
      </c>
      <c r="V567" s="163"/>
      <c r="W567" s="163"/>
      <c r="X567" s="163" t="s">
        <v>603</v>
      </c>
      <c r="Y567" s="163"/>
      <c r="Z567" s="24"/>
      <c r="AA567" s="170"/>
      <c r="AB567" s="163" t="s">
        <v>115</v>
      </c>
      <c r="AC567" s="251"/>
      <c r="AD567" s="170"/>
      <c r="AE567" s="24"/>
      <c r="AF567" s="170"/>
      <c r="AG567" s="22"/>
      <c r="AH567" s="45"/>
      <c r="AI567" s="24"/>
      <c r="AJ567" s="164" t="s">
        <v>115</v>
      </c>
      <c r="AK567" s="22"/>
      <c r="AL567" s="22"/>
      <c r="AM567" s="22"/>
      <c r="AN567" s="22"/>
      <c r="AO567" s="22"/>
      <c r="AP567" s="22"/>
      <c r="AQ567" s="22"/>
      <c r="AR567" s="22"/>
      <c r="AS567" s="22"/>
      <c r="AT567" s="170"/>
      <c r="AU567" s="170"/>
      <c r="AV567" s="372"/>
      <c r="AW567" s="170"/>
      <c r="AX567" s="170"/>
      <c r="AY567" s="170"/>
      <c r="AZ567" s="170"/>
      <c r="BA567" s="170"/>
      <c r="BB567" s="170"/>
      <c r="BC567" s="170"/>
      <c r="BD567" s="170"/>
      <c r="BE567" s="137" t="s">
        <v>115</v>
      </c>
      <c r="BF567" s="137" t="s">
        <v>115</v>
      </c>
      <c r="BG567" s="139" t="s">
        <v>115</v>
      </c>
      <c r="BH567" s="220"/>
      <c r="BI567" s="220"/>
      <c r="BJ567" s="220"/>
      <c r="BK567" s="46">
        <f t="shared" si="1"/>
        <v>1</v>
      </c>
      <c r="BL567" s="46"/>
      <c r="BM567" s="46"/>
      <c r="BN567" s="46"/>
    </row>
    <row r="568" spans="1:66" ht="12.75" hidden="1" customHeight="1">
      <c r="A568" s="22">
        <v>566</v>
      </c>
      <c r="B568" s="22" t="s">
        <v>1809</v>
      </c>
      <c r="C568" s="22" t="str">
        <f t="shared" si="0"/>
        <v>No. of fetuses detected in ultrasound</v>
      </c>
      <c r="D568" s="24" t="s">
        <v>1809</v>
      </c>
      <c r="E568" s="22" t="s">
        <v>96</v>
      </c>
      <c r="F568" s="24" t="s">
        <v>1787</v>
      </c>
      <c r="G568" s="24" t="s">
        <v>1766</v>
      </c>
      <c r="H568" s="24"/>
      <c r="I568" s="24">
        <v>1</v>
      </c>
      <c r="J568" s="24" t="s">
        <v>1767</v>
      </c>
      <c r="K568" s="24"/>
      <c r="L568" s="24"/>
      <c r="M568" s="24"/>
      <c r="N568" s="24"/>
      <c r="O568" s="24"/>
      <c r="P568" s="170"/>
      <c r="Q568" s="170"/>
      <c r="R568" s="162" t="s">
        <v>1736</v>
      </c>
      <c r="S568" s="163" t="s">
        <v>1737</v>
      </c>
      <c r="T568" s="163" t="s">
        <v>1810</v>
      </c>
      <c r="U568" s="163" t="s">
        <v>168</v>
      </c>
      <c r="V568" s="163"/>
      <c r="W568" s="163"/>
      <c r="X568" s="164"/>
      <c r="Y568" s="164"/>
      <c r="Z568" s="24"/>
      <c r="AA568" s="170"/>
      <c r="AB568" s="163" t="s">
        <v>113</v>
      </c>
      <c r="AC568" s="251"/>
      <c r="AD568" s="170"/>
      <c r="AE568" s="24"/>
      <c r="AF568" s="170"/>
      <c r="AG568" s="22"/>
      <c r="AH568" s="45"/>
      <c r="AI568" s="24"/>
      <c r="AJ568" s="164" t="s">
        <v>115</v>
      </c>
      <c r="AK568" s="22"/>
      <c r="AL568" s="22"/>
      <c r="AM568" s="22"/>
      <c r="AN568" s="22"/>
      <c r="AO568" s="22"/>
      <c r="AP568" s="22"/>
      <c r="AQ568" s="22"/>
      <c r="AR568" s="22"/>
      <c r="AS568" s="22"/>
      <c r="AT568" s="170"/>
      <c r="AU568" s="170"/>
      <c r="AV568" s="367" t="s">
        <v>1811</v>
      </c>
      <c r="AW568" s="170"/>
      <c r="AX568" s="170"/>
      <c r="AY568" s="170"/>
      <c r="AZ568" s="170"/>
      <c r="BA568" s="170"/>
      <c r="BB568" s="170"/>
      <c r="BC568" s="170"/>
      <c r="BD568" s="170"/>
      <c r="BE568" s="137" t="s">
        <v>115</v>
      </c>
      <c r="BF568" s="137" t="s">
        <v>1812</v>
      </c>
      <c r="BG568" s="139" t="s">
        <v>1813</v>
      </c>
      <c r="BH568" s="220"/>
      <c r="BI568" s="373" t="s">
        <v>1811</v>
      </c>
      <c r="BJ568" s="220"/>
      <c r="BK568" s="46">
        <f t="shared" si="1"/>
        <v>1</v>
      </c>
      <c r="BL568" s="46"/>
      <c r="BM568" s="46"/>
      <c r="BN568" s="46"/>
    </row>
    <row r="569" spans="1:66" ht="12.75" hidden="1" customHeight="1">
      <c r="A569" s="22">
        <v>567</v>
      </c>
      <c r="B569" s="22" t="s">
        <v>1814</v>
      </c>
      <c r="C569" s="22" t="str">
        <f t="shared" si="0"/>
        <v>Fetal presentation - Ultrasound</v>
      </c>
      <c r="D569" s="24" t="s">
        <v>1814</v>
      </c>
      <c r="E569" s="22" t="s">
        <v>96</v>
      </c>
      <c r="F569" s="24" t="s">
        <v>1787</v>
      </c>
      <c r="G569" s="24" t="s">
        <v>1766</v>
      </c>
      <c r="H569" s="24"/>
      <c r="I569" s="24">
        <v>1</v>
      </c>
      <c r="J569" s="24" t="s">
        <v>1767</v>
      </c>
      <c r="K569" s="24"/>
      <c r="L569" s="24"/>
      <c r="M569" s="24"/>
      <c r="N569" s="24"/>
      <c r="O569" s="24"/>
      <c r="P569" s="170"/>
      <c r="Q569" s="170"/>
      <c r="R569" s="162" t="s">
        <v>1750</v>
      </c>
      <c r="S569" s="163" t="s">
        <v>1751</v>
      </c>
      <c r="T569" s="163" t="s">
        <v>1815</v>
      </c>
      <c r="U569" s="163" t="s">
        <v>202</v>
      </c>
      <c r="V569" s="163"/>
      <c r="W569" s="163"/>
      <c r="X569" s="164"/>
      <c r="Y569" s="163"/>
      <c r="Z569" s="24"/>
      <c r="AA569" s="170"/>
      <c r="AB569" s="163" t="s">
        <v>208</v>
      </c>
      <c r="AC569" s="251"/>
      <c r="AD569" s="170"/>
      <c r="AE569" s="24"/>
      <c r="AF569" s="170"/>
      <c r="AG569" s="22"/>
      <c r="AH569" s="45"/>
      <c r="AI569" s="24"/>
      <c r="AJ569" s="164" t="s">
        <v>115</v>
      </c>
      <c r="AK569" s="22"/>
      <c r="AL569" s="22"/>
      <c r="AM569" s="22"/>
      <c r="AN569" s="22"/>
      <c r="AO569" s="22"/>
      <c r="AP569" s="22"/>
      <c r="AQ569" s="22"/>
      <c r="AR569" s="22"/>
      <c r="AS569" s="22"/>
      <c r="AT569" s="170"/>
      <c r="AU569" s="170"/>
      <c r="AV569" s="365">
        <v>271692001</v>
      </c>
      <c r="AW569" s="170"/>
      <c r="AX569" s="170"/>
      <c r="AY569" s="170"/>
      <c r="AZ569" s="170"/>
      <c r="BA569" s="170"/>
      <c r="BB569" s="170"/>
      <c r="BC569" s="170"/>
      <c r="BD569" s="170"/>
      <c r="BE569" s="143" t="s">
        <v>115</v>
      </c>
      <c r="BF569" s="137" t="s">
        <v>1754</v>
      </c>
      <c r="BG569" s="139" t="s">
        <v>1755</v>
      </c>
      <c r="BH569" s="220"/>
      <c r="BI569" s="374">
        <v>271692001</v>
      </c>
      <c r="BJ569" s="220"/>
      <c r="BK569" s="46">
        <f t="shared" si="1"/>
        <v>1</v>
      </c>
      <c r="BL569" s="46"/>
      <c r="BM569" s="46"/>
      <c r="BN569" s="46"/>
    </row>
    <row r="570" spans="1:66" ht="12.75" hidden="1" customHeight="1">
      <c r="A570" s="22">
        <v>568</v>
      </c>
      <c r="B570" s="22" t="s">
        <v>2616</v>
      </c>
      <c r="C570" s="22" t="e">
        <f t="shared" ca="1" si="0"/>
        <v>#NAME?</v>
      </c>
      <c r="D570" s="24" t="s">
        <v>1756</v>
      </c>
      <c r="E570" s="22" t="s">
        <v>180</v>
      </c>
      <c r="F570" s="24" t="s">
        <v>1750</v>
      </c>
      <c r="G570" s="24" t="s">
        <v>1766</v>
      </c>
      <c r="H570" s="24"/>
      <c r="I570" s="24">
        <v>1</v>
      </c>
      <c r="J570" s="24" t="s">
        <v>1767</v>
      </c>
      <c r="K570" s="24"/>
      <c r="L570" s="24"/>
      <c r="M570" s="24"/>
      <c r="N570" s="24"/>
      <c r="O570" s="24"/>
      <c r="P570" s="170"/>
      <c r="Q570" s="170"/>
      <c r="R570" s="162"/>
      <c r="S570" s="163"/>
      <c r="T570" s="163"/>
      <c r="U570" s="163"/>
      <c r="V570" s="163"/>
      <c r="W570" s="163" t="s">
        <v>1756</v>
      </c>
      <c r="X570" s="164"/>
      <c r="Y570" s="163"/>
      <c r="Z570" s="24"/>
      <c r="AA570" s="170"/>
      <c r="AB570" s="163"/>
      <c r="AC570" s="251"/>
      <c r="AD570" s="170"/>
      <c r="AE570" s="24"/>
      <c r="AF570" s="170"/>
      <c r="AG570" s="22"/>
      <c r="AH570" s="45"/>
      <c r="AI570" s="24"/>
      <c r="AJ570" s="164"/>
      <c r="AK570" s="22"/>
      <c r="AL570" s="22"/>
      <c r="AM570" s="22"/>
      <c r="AN570" s="22"/>
      <c r="AO570" s="22"/>
      <c r="AP570" s="22"/>
      <c r="AQ570" s="22"/>
      <c r="AR570" s="22"/>
      <c r="AS570" s="22"/>
      <c r="AT570" s="164"/>
      <c r="AU570" s="170"/>
      <c r="AV570" s="365">
        <v>70028003</v>
      </c>
      <c r="AW570" s="170"/>
      <c r="AX570" s="170"/>
      <c r="AY570" s="170"/>
      <c r="AZ570" s="170"/>
      <c r="BA570" s="170"/>
      <c r="BB570" s="170"/>
      <c r="BC570" s="170"/>
      <c r="BD570" s="170"/>
      <c r="BE570" s="143" t="s">
        <v>115</v>
      </c>
      <c r="BF570" s="375" t="s">
        <v>1757</v>
      </c>
      <c r="BG570" s="139" t="s">
        <v>1758</v>
      </c>
      <c r="BH570" s="220"/>
      <c r="BI570" s="374">
        <v>70028003</v>
      </c>
      <c r="BJ570" s="220"/>
      <c r="BK570" s="46">
        <f t="shared" si="1"/>
        <v>1</v>
      </c>
      <c r="BL570" s="46"/>
      <c r="BM570" s="46"/>
      <c r="BN570" s="46"/>
    </row>
    <row r="571" spans="1:66" ht="12.75" hidden="1" customHeight="1">
      <c r="A571" s="22">
        <v>569</v>
      </c>
      <c r="B571" s="22" t="s">
        <v>2619</v>
      </c>
      <c r="C571" s="22" t="e">
        <f t="shared" ca="1" si="0"/>
        <v>#NAME?</v>
      </c>
      <c r="D571" s="24" t="s">
        <v>1759</v>
      </c>
      <c r="E571" s="22" t="s">
        <v>180</v>
      </c>
      <c r="F571" s="24" t="s">
        <v>1750</v>
      </c>
      <c r="G571" s="24" t="s">
        <v>1766</v>
      </c>
      <c r="H571" s="24"/>
      <c r="I571" s="24">
        <v>1</v>
      </c>
      <c r="J571" s="24" t="s">
        <v>1767</v>
      </c>
      <c r="K571" s="24"/>
      <c r="L571" s="24"/>
      <c r="M571" s="24"/>
      <c r="N571" s="24"/>
      <c r="O571" s="24"/>
      <c r="P571" s="170"/>
      <c r="Q571" s="170"/>
      <c r="R571" s="162"/>
      <c r="S571" s="163"/>
      <c r="T571" s="163"/>
      <c r="U571" s="163"/>
      <c r="V571" s="163"/>
      <c r="W571" s="163" t="s">
        <v>1759</v>
      </c>
      <c r="X571" s="164"/>
      <c r="Y571" s="163"/>
      <c r="Z571" s="24"/>
      <c r="AA571" s="170"/>
      <c r="AB571" s="163"/>
      <c r="AC571" s="251"/>
      <c r="AD571" s="170"/>
      <c r="AE571" s="24"/>
      <c r="AF571" s="170"/>
      <c r="AG571" s="22"/>
      <c r="AH571" s="45"/>
      <c r="AI571" s="24"/>
      <c r="AJ571" s="164"/>
      <c r="AK571" s="22"/>
      <c r="AL571" s="22"/>
      <c r="AM571" s="22"/>
      <c r="AN571" s="22"/>
      <c r="AO571" s="22"/>
      <c r="AP571" s="22"/>
      <c r="AQ571" s="22"/>
      <c r="AR571" s="22"/>
      <c r="AS571" s="22"/>
      <c r="AT571" s="170" t="s">
        <v>1816</v>
      </c>
      <c r="AU571" s="170"/>
      <c r="AV571" s="365">
        <v>6096002</v>
      </c>
      <c r="AW571" s="170"/>
      <c r="AX571" s="170"/>
      <c r="AY571" s="170"/>
      <c r="AZ571" s="170"/>
      <c r="BA571" s="170"/>
      <c r="BB571" s="170"/>
      <c r="BC571" s="170"/>
      <c r="BD571" s="170"/>
      <c r="BE571" s="143" t="s">
        <v>115</v>
      </c>
      <c r="BF571" s="137" t="s">
        <v>1760</v>
      </c>
      <c r="BG571" s="139" t="s">
        <v>1761</v>
      </c>
      <c r="BH571" s="220" t="s">
        <v>1816</v>
      </c>
      <c r="BI571" s="374">
        <v>6096002</v>
      </c>
      <c r="BJ571" s="220"/>
      <c r="BK571" s="46">
        <f t="shared" si="1"/>
        <v>1</v>
      </c>
      <c r="BL571" s="46"/>
      <c r="BM571" s="46"/>
      <c r="BN571" s="46"/>
    </row>
    <row r="572" spans="1:66" ht="12.75" hidden="1" customHeight="1">
      <c r="A572" s="22">
        <v>570</v>
      </c>
      <c r="B572" s="22" t="s">
        <v>2625</v>
      </c>
      <c r="C572" s="22" t="e">
        <f t="shared" ca="1" si="0"/>
        <v>#NAME?</v>
      </c>
      <c r="D572" s="24" t="s">
        <v>1762</v>
      </c>
      <c r="E572" s="22" t="s">
        <v>180</v>
      </c>
      <c r="F572" s="24" t="s">
        <v>1750</v>
      </c>
      <c r="G572" s="24" t="s">
        <v>1766</v>
      </c>
      <c r="H572" s="24"/>
      <c r="I572" s="24">
        <v>1</v>
      </c>
      <c r="J572" s="24" t="s">
        <v>1767</v>
      </c>
      <c r="K572" s="24"/>
      <c r="L572" s="24"/>
      <c r="M572" s="24"/>
      <c r="N572" s="24"/>
      <c r="O572" s="24"/>
      <c r="P572" s="170"/>
      <c r="Q572" s="170"/>
      <c r="R572" s="162"/>
      <c r="S572" s="163"/>
      <c r="T572" s="163"/>
      <c r="U572" s="163"/>
      <c r="V572" s="163"/>
      <c r="W572" s="163" t="s">
        <v>1762</v>
      </c>
      <c r="X572" s="164"/>
      <c r="Y572" s="163"/>
      <c r="Z572" s="24"/>
      <c r="AA572" s="170"/>
      <c r="AB572" s="163"/>
      <c r="AC572" s="251"/>
      <c r="AD572" s="170"/>
      <c r="AE572" s="24"/>
      <c r="AF572" s="170"/>
      <c r="AG572" s="22"/>
      <c r="AH572" s="45"/>
      <c r="AI572" s="24"/>
      <c r="AJ572" s="164"/>
      <c r="AK572" s="22"/>
      <c r="AL572" s="22"/>
      <c r="AM572" s="22"/>
      <c r="AN572" s="22"/>
      <c r="AO572" s="22"/>
      <c r="AP572" s="22"/>
      <c r="AQ572" s="22"/>
      <c r="AR572" s="22"/>
      <c r="AS572" s="22"/>
      <c r="AT572" s="170" t="s">
        <v>1817</v>
      </c>
      <c r="AU572" s="170"/>
      <c r="AV572" s="367" t="s">
        <v>1818</v>
      </c>
      <c r="AW572" s="170"/>
      <c r="AX572" s="170"/>
      <c r="AY572" s="170"/>
      <c r="AZ572" s="170"/>
      <c r="BA572" s="170"/>
      <c r="BB572" s="170"/>
      <c r="BC572" s="170"/>
      <c r="BD572" s="170"/>
      <c r="BE572" s="143" t="s">
        <v>115</v>
      </c>
      <c r="BF572" s="143" t="s">
        <v>1763</v>
      </c>
      <c r="BG572" s="139" t="s">
        <v>1764</v>
      </c>
      <c r="BH572" s="220" t="s">
        <v>1817</v>
      </c>
      <c r="BI572" s="373" t="s">
        <v>1818</v>
      </c>
      <c r="BJ572" s="220"/>
      <c r="BK572" s="46">
        <f t="shared" si="1"/>
        <v>1</v>
      </c>
      <c r="BL572" s="46"/>
      <c r="BM572" s="46"/>
      <c r="BN572" s="46"/>
    </row>
    <row r="573" spans="1:66" ht="12.75" hidden="1" customHeight="1">
      <c r="A573" s="22">
        <v>571</v>
      </c>
      <c r="B573" s="22" t="s">
        <v>2005</v>
      </c>
      <c r="C573" s="22" t="e">
        <f t="shared" ca="1" si="0"/>
        <v>#NAME?</v>
      </c>
      <c r="D573" s="24" t="s">
        <v>1387</v>
      </c>
      <c r="E573" s="22" t="s">
        <v>180</v>
      </c>
      <c r="F573" s="24" t="s">
        <v>1750</v>
      </c>
      <c r="G573" s="24" t="s">
        <v>1766</v>
      </c>
      <c r="H573" s="24"/>
      <c r="I573" s="24">
        <v>1</v>
      </c>
      <c r="J573" s="24" t="s">
        <v>1767</v>
      </c>
      <c r="K573" s="24"/>
      <c r="L573" s="24"/>
      <c r="M573" s="24"/>
      <c r="N573" s="24"/>
      <c r="O573" s="24"/>
      <c r="P573" s="170"/>
      <c r="Q573" s="170"/>
      <c r="R573" s="162"/>
      <c r="S573" s="163"/>
      <c r="T573" s="163"/>
      <c r="U573" s="163"/>
      <c r="V573" s="163"/>
      <c r="W573" s="163" t="s">
        <v>1387</v>
      </c>
      <c r="X573" s="164"/>
      <c r="Y573" s="163"/>
      <c r="Z573" s="24"/>
      <c r="AA573" s="170"/>
      <c r="AB573" s="163"/>
      <c r="AC573" s="251"/>
      <c r="AD573" s="170"/>
      <c r="AE573" s="24"/>
      <c r="AF573" s="170"/>
      <c r="AG573" s="22"/>
      <c r="AH573" s="45"/>
      <c r="AI573" s="24"/>
      <c r="AJ573" s="164"/>
      <c r="AK573" s="22"/>
      <c r="AL573" s="22"/>
      <c r="AM573" s="22"/>
      <c r="AN573" s="22"/>
      <c r="AO573" s="22"/>
      <c r="AP573" s="22"/>
      <c r="AQ573" s="22"/>
      <c r="AR573" s="22"/>
      <c r="AS573" s="22"/>
      <c r="AT573" s="170"/>
      <c r="AU573" s="170"/>
      <c r="AV573" s="367" t="s">
        <v>1585</v>
      </c>
      <c r="AW573" s="170"/>
      <c r="AX573" s="170"/>
      <c r="AY573" s="170"/>
      <c r="AZ573" s="170"/>
      <c r="BA573" s="170"/>
      <c r="BB573" s="170"/>
      <c r="BC573" s="170"/>
      <c r="BD573" s="170"/>
      <c r="BE573" s="143" t="s">
        <v>115</v>
      </c>
      <c r="BF573" s="137" t="s">
        <v>406</v>
      </c>
      <c r="BG573" s="139" t="s">
        <v>407</v>
      </c>
      <c r="BH573" s="220"/>
      <c r="BI573" s="373" t="s">
        <v>1585</v>
      </c>
      <c r="BJ573" s="220"/>
      <c r="BK573" s="46">
        <f t="shared" si="1"/>
        <v>1</v>
      </c>
      <c r="BL573" s="46"/>
      <c r="BM573" s="46"/>
      <c r="BN573" s="46"/>
    </row>
    <row r="574" spans="1:66" ht="12.75" hidden="1" customHeight="1">
      <c r="A574" s="22">
        <v>572</v>
      </c>
      <c r="B574" s="22" t="s">
        <v>1819</v>
      </c>
      <c r="C574" s="22" t="str">
        <f t="shared" si="0"/>
        <v>Amniotic fluid</v>
      </c>
      <c r="D574" s="24" t="s">
        <v>1819</v>
      </c>
      <c r="E574" s="22" t="s">
        <v>96</v>
      </c>
      <c r="F574" s="24" t="s">
        <v>1787</v>
      </c>
      <c r="G574" s="24" t="s">
        <v>1766</v>
      </c>
      <c r="H574" s="24"/>
      <c r="I574" s="24">
        <v>1</v>
      </c>
      <c r="J574" s="24" t="s">
        <v>1767</v>
      </c>
      <c r="K574" s="24"/>
      <c r="L574" s="24"/>
      <c r="M574" s="24"/>
      <c r="N574" s="24"/>
      <c r="O574" s="24"/>
      <c r="P574" s="170"/>
      <c r="Q574" s="170"/>
      <c r="R574" s="162" t="s">
        <v>1819</v>
      </c>
      <c r="S574" s="163" t="s">
        <v>1820</v>
      </c>
      <c r="T574" s="163" t="s">
        <v>1821</v>
      </c>
      <c r="U574" s="163" t="s">
        <v>202</v>
      </c>
      <c r="V574" s="163"/>
      <c r="W574" s="163"/>
      <c r="X574" s="164"/>
      <c r="Y574" s="163"/>
      <c r="Z574" s="24"/>
      <c r="AA574" s="170"/>
      <c r="AB574" s="163" t="s">
        <v>208</v>
      </c>
      <c r="AC574" s="251"/>
      <c r="AD574" s="170"/>
      <c r="AE574" s="24"/>
      <c r="AF574" s="170"/>
      <c r="AG574" s="22"/>
      <c r="AH574" s="45"/>
      <c r="AI574" s="24"/>
      <c r="AJ574" s="164" t="s">
        <v>115</v>
      </c>
      <c r="AK574" s="22"/>
      <c r="AL574" s="22"/>
      <c r="AM574" s="22"/>
      <c r="AN574" s="22"/>
      <c r="AO574" s="22"/>
      <c r="AP574" s="22"/>
      <c r="AQ574" s="22"/>
      <c r="AR574" s="22"/>
      <c r="AS574" s="22"/>
      <c r="AT574" s="170"/>
      <c r="AU574" s="170"/>
      <c r="AV574" s="135">
        <v>364354005</v>
      </c>
      <c r="AW574" s="170"/>
      <c r="AX574" s="170"/>
      <c r="AY574" s="170"/>
      <c r="AZ574" s="170"/>
      <c r="BA574" s="170"/>
      <c r="BB574" s="170"/>
      <c r="BC574" s="170"/>
      <c r="BD574" s="170"/>
      <c r="BE574" s="137" t="s">
        <v>115</v>
      </c>
      <c r="BF574" s="137" t="s">
        <v>1822</v>
      </c>
      <c r="BG574" s="139" t="s">
        <v>1823</v>
      </c>
      <c r="BH574" s="220"/>
      <c r="BI574" s="140">
        <v>364354005</v>
      </c>
      <c r="BJ574" s="220"/>
      <c r="BK574" s="46">
        <f t="shared" si="1"/>
        <v>1</v>
      </c>
      <c r="BL574" s="46"/>
      <c r="BM574" s="46"/>
      <c r="BN574" s="46"/>
    </row>
    <row r="575" spans="1:66" ht="12.75" hidden="1" customHeight="1">
      <c r="A575" s="22">
        <v>573</v>
      </c>
      <c r="B575" s="22" t="s">
        <v>2130</v>
      </c>
      <c r="C575" s="22" t="e">
        <f t="shared" ca="1" si="0"/>
        <v>#NAME?</v>
      </c>
      <c r="D575" s="24" t="s">
        <v>1471</v>
      </c>
      <c r="E575" s="22" t="s">
        <v>180</v>
      </c>
      <c r="F575" s="24" t="s">
        <v>1819</v>
      </c>
      <c r="G575" s="24" t="s">
        <v>1766</v>
      </c>
      <c r="H575" s="24"/>
      <c r="I575" s="24">
        <v>1</v>
      </c>
      <c r="J575" s="24" t="s">
        <v>1767</v>
      </c>
      <c r="K575" s="24"/>
      <c r="L575" s="24"/>
      <c r="M575" s="24"/>
      <c r="N575" s="24"/>
      <c r="O575" s="24"/>
      <c r="P575" s="170"/>
      <c r="Q575" s="170"/>
      <c r="R575" s="162"/>
      <c r="S575" s="164"/>
      <c r="T575" s="163"/>
      <c r="U575" s="163"/>
      <c r="V575" s="163"/>
      <c r="W575" s="163" t="s">
        <v>1471</v>
      </c>
      <c r="X575" s="164"/>
      <c r="Y575" s="163"/>
      <c r="Z575" s="24"/>
      <c r="AA575" s="170"/>
      <c r="AB575" s="163"/>
      <c r="AC575" s="251"/>
      <c r="AD575" s="170"/>
      <c r="AE575" s="24"/>
      <c r="AF575" s="170"/>
      <c r="AG575" s="22"/>
      <c r="AH575" s="45"/>
      <c r="AI575" s="24"/>
      <c r="AJ575" s="164"/>
      <c r="AK575" s="22"/>
      <c r="AL575" s="22"/>
      <c r="AM575" s="22"/>
      <c r="AN575" s="22"/>
      <c r="AO575" s="22"/>
      <c r="AP575" s="22"/>
      <c r="AQ575" s="22"/>
      <c r="AR575" s="22"/>
      <c r="AS575" s="22"/>
      <c r="AT575" s="170"/>
      <c r="AU575" s="170"/>
      <c r="AV575" s="372">
        <v>17621005</v>
      </c>
      <c r="AW575" s="170"/>
      <c r="AX575" s="170"/>
      <c r="AY575" s="170"/>
      <c r="AZ575" s="170"/>
      <c r="BA575" s="170"/>
      <c r="BB575" s="170"/>
      <c r="BC575" s="170"/>
      <c r="BD575" s="170"/>
      <c r="BE575" s="137" t="s">
        <v>115</v>
      </c>
      <c r="BF575" s="137" t="s">
        <v>1472</v>
      </c>
      <c r="BG575" s="139" t="s">
        <v>1473</v>
      </c>
      <c r="BH575" s="220"/>
      <c r="BI575" s="220">
        <v>17621005</v>
      </c>
      <c r="BJ575" s="220"/>
      <c r="BK575" s="46">
        <f t="shared" si="1"/>
        <v>1</v>
      </c>
      <c r="BL575" s="46"/>
      <c r="BM575" s="46"/>
      <c r="BN575" s="46"/>
    </row>
    <row r="576" spans="1:66" ht="12.75" hidden="1" customHeight="1">
      <c r="A576" s="22">
        <v>574</v>
      </c>
      <c r="B576" s="22" t="s">
        <v>2756</v>
      </c>
      <c r="C576" s="22" t="e">
        <f t="shared" ca="1" si="0"/>
        <v>#NAME?</v>
      </c>
      <c r="D576" s="24" t="s">
        <v>1824</v>
      </c>
      <c r="E576" s="22" t="s">
        <v>180</v>
      </c>
      <c r="F576" s="24" t="s">
        <v>1819</v>
      </c>
      <c r="G576" s="24" t="s">
        <v>1766</v>
      </c>
      <c r="H576" s="24"/>
      <c r="I576" s="24">
        <v>1</v>
      </c>
      <c r="J576" s="24" t="s">
        <v>1767</v>
      </c>
      <c r="K576" s="24"/>
      <c r="L576" s="24"/>
      <c r="M576" s="24"/>
      <c r="N576" s="24"/>
      <c r="O576" s="24"/>
      <c r="P576" s="170"/>
      <c r="Q576" s="170"/>
      <c r="R576" s="162"/>
      <c r="S576" s="164"/>
      <c r="T576" s="163"/>
      <c r="U576" s="163"/>
      <c r="V576" s="163"/>
      <c r="W576" s="163" t="s">
        <v>1824</v>
      </c>
      <c r="X576" s="164"/>
      <c r="Y576" s="163"/>
      <c r="Z576" s="24"/>
      <c r="AA576" s="170"/>
      <c r="AB576" s="163"/>
      <c r="AC576" s="251"/>
      <c r="AD576" s="170"/>
      <c r="AE576" s="24"/>
      <c r="AF576" s="170"/>
      <c r="AG576" s="22"/>
      <c r="AH576" s="45"/>
      <c r="AI576" s="24"/>
      <c r="AJ576" s="164"/>
      <c r="AK576" s="22"/>
      <c r="AL576" s="22"/>
      <c r="AM576" s="22"/>
      <c r="AN576" s="22"/>
      <c r="AO576" s="22"/>
      <c r="AP576" s="22"/>
      <c r="AQ576" s="22"/>
      <c r="AR576" s="22"/>
      <c r="AS576" s="22"/>
      <c r="AT576" s="170"/>
      <c r="AU576" s="170"/>
      <c r="AV576" s="135">
        <v>260400001</v>
      </c>
      <c r="AW576" s="170"/>
      <c r="AX576" s="170"/>
      <c r="AY576" s="170"/>
      <c r="AZ576" s="170"/>
      <c r="BA576" s="170"/>
      <c r="BB576" s="170"/>
      <c r="BC576" s="170"/>
      <c r="BD576" s="170"/>
      <c r="BE576" s="137" t="s">
        <v>115</v>
      </c>
      <c r="BF576" s="137" t="s">
        <v>1825</v>
      </c>
      <c r="BG576" s="139" t="s">
        <v>1826</v>
      </c>
      <c r="BH576" s="220"/>
      <c r="BI576" s="140">
        <v>260400001</v>
      </c>
      <c r="BJ576" s="220"/>
      <c r="BK576" s="46">
        <f t="shared" si="1"/>
        <v>1</v>
      </c>
      <c r="BL576" s="46"/>
      <c r="BM576" s="46"/>
      <c r="BN576" s="46"/>
    </row>
    <row r="577" spans="1:66" ht="12.75" hidden="1" customHeight="1">
      <c r="A577" s="22">
        <v>575</v>
      </c>
      <c r="B577" s="22" t="s">
        <v>2758</v>
      </c>
      <c r="C577" s="22" t="e">
        <f t="shared" ca="1" si="0"/>
        <v>#NAME?</v>
      </c>
      <c r="D577" s="24" t="s">
        <v>1827</v>
      </c>
      <c r="E577" s="22" t="s">
        <v>180</v>
      </c>
      <c r="F577" s="24" t="s">
        <v>1819</v>
      </c>
      <c r="G577" s="24" t="s">
        <v>1766</v>
      </c>
      <c r="H577" s="24"/>
      <c r="I577" s="24">
        <v>1</v>
      </c>
      <c r="J577" s="24" t="s">
        <v>1767</v>
      </c>
      <c r="K577" s="24"/>
      <c r="L577" s="24"/>
      <c r="M577" s="24"/>
      <c r="N577" s="24"/>
      <c r="O577" s="24"/>
      <c r="P577" s="170"/>
      <c r="Q577" s="170"/>
      <c r="R577" s="162"/>
      <c r="S577" s="164"/>
      <c r="T577" s="163"/>
      <c r="U577" s="163"/>
      <c r="V577" s="163"/>
      <c r="W577" s="163" t="s">
        <v>1827</v>
      </c>
      <c r="X577" s="164"/>
      <c r="Y577" s="163"/>
      <c r="Z577" s="24"/>
      <c r="AA577" s="170"/>
      <c r="AB577" s="163"/>
      <c r="AC577" s="251"/>
      <c r="AD577" s="170"/>
      <c r="AE577" s="24"/>
      <c r="AF577" s="170"/>
      <c r="AG577" s="22"/>
      <c r="AH577" s="45"/>
      <c r="AI577" s="24"/>
      <c r="AJ577" s="164"/>
      <c r="AK577" s="22"/>
      <c r="AL577" s="22"/>
      <c r="AM577" s="22"/>
      <c r="AN577" s="22"/>
      <c r="AO577" s="22"/>
      <c r="AP577" s="22"/>
      <c r="AQ577" s="22"/>
      <c r="AR577" s="22"/>
      <c r="AS577" s="22"/>
      <c r="AT577" s="170"/>
      <c r="AU577" s="170"/>
      <c r="AV577" s="135">
        <v>35105006</v>
      </c>
      <c r="AW577" s="170"/>
      <c r="AX577" s="170"/>
      <c r="AY577" s="170"/>
      <c r="AZ577" s="170"/>
      <c r="BA577" s="170"/>
      <c r="BB577" s="170"/>
      <c r="BC577" s="170"/>
      <c r="BD577" s="170"/>
      <c r="BE577" s="137" t="s">
        <v>115</v>
      </c>
      <c r="BF577" s="137" t="s">
        <v>1828</v>
      </c>
      <c r="BG577" s="139" t="s">
        <v>1829</v>
      </c>
      <c r="BH577" s="220"/>
      <c r="BI577" s="140">
        <v>35105006</v>
      </c>
      <c r="BJ577" s="220"/>
      <c r="BK577" s="46">
        <f t="shared" si="1"/>
        <v>1</v>
      </c>
      <c r="BL577" s="46"/>
      <c r="BM577" s="46"/>
      <c r="BN577" s="46"/>
    </row>
    <row r="578" spans="1:66" ht="12.75" hidden="1" customHeight="1">
      <c r="A578" s="22">
        <v>576</v>
      </c>
      <c r="B578" s="22" t="s">
        <v>1830</v>
      </c>
      <c r="C578" s="22" t="str">
        <f t="shared" si="0"/>
        <v>Placenta location</v>
      </c>
      <c r="D578" s="24" t="s">
        <v>1830</v>
      </c>
      <c r="E578" s="22" t="s">
        <v>96</v>
      </c>
      <c r="F578" s="24" t="s">
        <v>1787</v>
      </c>
      <c r="G578" s="24" t="s">
        <v>1766</v>
      </c>
      <c r="H578" s="24"/>
      <c r="I578" s="24">
        <v>1</v>
      </c>
      <c r="J578" s="24" t="s">
        <v>1767</v>
      </c>
      <c r="K578" s="24"/>
      <c r="L578" s="24"/>
      <c r="M578" s="24"/>
      <c r="N578" s="24"/>
      <c r="O578" s="24"/>
      <c r="P578" s="170"/>
      <c r="Q578" s="170"/>
      <c r="R578" s="162" t="s">
        <v>1830</v>
      </c>
      <c r="S578" s="164" t="s">
        <v>1831</v>
      </c>
      <c r="T578" s="163" t="s">
        <v>1832</v>
      </c>
      <c r="U578" s="163" t="s">
        <v>202</v>
      </c>
      <c r="V578" s="163"/>
      <c r="W578" s="163"/>
      <c r="X578" s="164"/>
      <c r="Y578" s="163"/>
      <c r="Z578" s="24"/>
      <c r="AA578" s="170"/>
      <c r="AB578" s="163" t="s">
        <v>208</v>
      </c>
      <c r="AC578" s="251"/>
      <c r="AD578" s="170"/>
      <c r="AE578" s="24"/>
      <c r="AF578" s="170"/>
      <c r="AG578" s="22"/>
      <c r="AH578" s="45"/>
      <c r="AI578" s="24"/>
      <c r="AJ578" s="164" t="s">
        <v>115</v>
      </c>
      <c r="AK578" s="22"/>
      <c r="AL578" s="22"/>
      <c r="AM578" s="22"/>
      <c r="AN578" s="22"/>
      <c r="AO578" s="22"/>
      <c r="AP578" s="22"/>
      <c r="AQ578" s="22"/>
      <c r="AR578" s="22"/>
      <c r="AS578" s="22"/>
      <c r="AT578" s="170"/>
      <c r="AU578" s="170"/>
      <c r="AV578" s="367" t="s">
        <v>1833</v>
      </c>
      <c r="AW578" s="170"/>
      <c r="AX578" s="170"/>
      <c r="AY578" s="170"/>
      <c r="AZ578" s="170"/>
      <c r="BA578" s="170"/>
      <c r="BB578" s="170"/>
      <c r="BC578" s="170"/>
      <c r="BD578" s="170"/>
      <c r="BE578" s="137" t="s">
        <v>115</v>
      </c>
      <c r="BF578" s="137" t="s">
        <v>1834</v>
      </c>
      <c r="BG578" s="139" t="s">
        <v>1835</v>
      </c>
      <c r="BH578" s="220"/>
      <c r="BI578" s="373" t="s">
        <v>1833</v>
      </c>
      <c r="BJ578" s="220"/>
      <c r="BK578" s="46">
        <f t="shared" si="1"/>
        <v>1</v>
      </c>
      <c r="BL578" s="46"/>
      <c r="BM578" s="46"/>
      <c r="BN578" s="46"/>
    </row>
    <row r="579" spans="1:66" ht="12.75" hidden="1" customHeight="1">
      <c r="A579" s="22">
        <v>577</v>
      </c>
      <c r="B579" s="22" t="s">
        <v>2764</v>
      </c>
      <c r="C579" s="22" t="e">
        <f t="shared" ca="1" si="0"/>
        <v>#NAME?</v>
      </c>
      <c r="D579" s="24" t="s">
        <v>1836</v>
      </c>
      <c r="E579" s="22" t="s">
        <v>180</v>
      </c>
      <c r="F579" s="24" t="s">
        <v>1830</v>
      </c>
      <c r="G579" s="24" t="s">
        <v>1766</v>
      </c>
      <c r="H579" s="24"/>
      <c r="I579" s="24">
        <v>1</v>
      </c>
      <c r="J579" s="24" t="s">
        <v>1767</v>
      </c>
      <c r="K579" s="24"/>
      <c r="L579" s="24"/>
      <c r="M579" s="24"/>
      <c r="N579" s="24"/>
      <c r="O579" s="24"/>
      <c r="P579" s="170"/>
      <c r="Q579" s="170"/>
      <c r="R579" s="162"/>
      <c r="S579" s="163"/>
      <c r="T579" s="163"/>
      <c r="U579" s="163"/>
      <c r="V579" s="163"/>
      <c r="W579" s="163" t="s">
        <v>1836</v>
      </c>
      <c r="X579" s="164"/>
      <c r="Y579" s="163"/>
      <c r="Z579" s="24"/>
      <c r="AA579" s="170"/>
      <c r="AB579" s="163"/>
      <c r="AC579" s="251"/>
      <c r="AD579" s="170"/>
      <c r="AE579" s="24"/>
      <c r="AF579" s="170"/>
      <c r="AG579" s="22"/>
      <c r="AH579" s="45"/>
      <c r="AI579" s="24"/>
      <c r="AJ579" s="164"/>
      <c r="AK579" s="22"/>
      <c r="AL579" s="22"/>
      <c r="AM579" s="22"/>
      <c r="AN579" s="22"/>
      <c r="AO579" s="22"/>
      <c r="AP579" s="22"/>
      <c r="AQ579" s="22"/>
      <c r="AR579" s="22"/>
      <c r="AS579" s="22"/>
      <c r="AT579" s="170" t="s">
        <v>1837</v>
      </c>
      <c r="AU579" s="170"/>
      <c r="AV579" s="372">
        <v>36813001</v>
      </c>
      <c r="AW579" s="170"/>
      <c r="AX579" s="170"/>
      <c r="AY579" s="170"/>
      <c r="AZ579" s="170"/>
      <c r="BA579" s="170"/>
      <c r="BB579" s="170"/>
      <c r="BC579" s="170"/>
      <c r="BD579" s="170"/>
      <c r="BE579" s="137" t="s">
        <v>115</v>
      </c>
      <c r="BF579" s="143" t="s">
        <v>1838</v>
      </c>
      <c r="BG579" s="139" t="s">
        <v>1839</v>
      </c>
      <c r="BH579" s="220" t="s">
        <v>1837</v>
      </c>
      <c r="BI579" s="220">
        <v>36813001</v>
      </c>
      <c r="BJ579" s="220"/>
      <c r="BK579" s="46">
        <f t="shared" si="1"/>
        <v>1</v>
      </c>
      <c r="BL579" s="46"/>
      <c r="BM579" s="46"/>
      <c r="BN579" s="46"/>
    </row>
    <row r="580" spans="1:66" ht="12.75" hidden="1" customHeight="1">
      <c r="A580" s="22">
        <v>578</v>
      </c>
      <c r="B580" s="22" t="s">
        <v>2766</v>
      </c>
      <c r="C580" s="22" t="e">
        <f t="shared" ca="1" si="0"/>
        <v>#NAME?</v>
      </c>
      <c r="D580" s="24" t="s">
        <v>1840</v>
      </c>
      <c r="E580" s="22" t="s">
        <v>180</v>
      </c>
      <c r="F580" s="24" t="s">
        <v>1830</v>
      </c>
      <c r="G580" s="24" t="s">
        <v>1766</v>
      </c>
      <c r="H580" s="24"/>
      <c r="I580" s="24">
        <v>1</v>
      </c>
      <c r="J580" s="24" t="s">
        <v>1767</v>
      </c>
      <c r="K580" s="24"/>
      <c r="L580" s="24"/>
      <c r="M580" s="24"/>
      <c r="N580" s="24"/>
      <c r="O580" s="24"/>
      <c r="P580" s="170"/>
      <c r="Q580" s="170"/>
      <c r="R580" s="162"/>
      <c r="S580" s="163"/>
      <c r="T580" s="163"/>
      <c r="U580" s="163"/>
      <c r="V580" s="163"/>
      <c r="W580" s="163" t="s">
        <v>1840</v>
      </c>
      <c r="X580" s="164"/>
      <c r="Y580" s="163"/>
      <c r="Z580" s="24"/>
      <c r="AA580" s="170"/>
      <c r="AB580" s="163"/>
      <c r="AC580" s="251"/>
      <c r="AD580" s="170"/>
      <c r="AE580" s="24"/>
      <c r="AF580" s="170"/>
      <c r="AG580" s="22"/>
      <c r="AH580" s="45"/>
      <c r="AI580" s="24"/>
      <c r="AJ580" s="164"/>
      <c r="AK580" s="22"/>
      <c r="AL580" s="22"/>
      <c r="AM580" s="22"/>
      <c r="AN580" s="22"/>
      <c r="AO580" s="22"/>
      <c r="AP580" s="22"/>
      <c r="AQ580" s="22"/>
      <c r="AR580" s="22"/>
      <c r="AS580" s="22"/>
      <c r="AT580" s="170"/>
      <c r="AU580" s="170"/>
      <c r="AV580" s="135">
        <v>445122007</v>
      </c>
      <c r="AW580" s="170"/>
      <c r="AX580" s="170"/>
      <c r="AY580" s="170"/>
      <c r="AZ580" s="170"/>
      <c r="BA580" s="170"/>
      <c r="BB580" s="170"/>
      <c r="BC580" s="170"/>
      <c r="BD580" s="170"/>
      <c r="BE580" s="137" t="s">
        <v>115</v>
      </c>
      <c r="BF580" s="137" t="s">
        <v>1841</v>
      </c>
      <c r="BG580" s="139" t="s">
        <v>1842</v>
      </c>
      <c r="BH580" s="220"/>
      <c r="BI580" s="140">
        <v>445122007</v>
      </c>
      <c r="BJ580" s="220"/>
      <c r="BK580" s="46">
        <f t="shared" si="1"/>
        <v>1</v>
      </c>
      <c r="BL580" s="46"/>
      <c r="BM580" s="46"/>
      <c r="BN580" s="46"/>
    </row>
    <row r="581" spans="1:66" ht="12.75" hidden="1" customHeight="1">
      <c r="A581" s="22">
        <v>579</v>
      </c>
      <c r="B581" s="22" t="s">
        <v>2772</v>
      </c>
      <c r="C581" s="22" t="e">
        <f t="shared" ca="1" si="0"/>
        <v>#NAME?</v>
      </c>
      <c r="D581" s="24" t="s">
        <v>1843</v>
      </c>
      <c r="E581" s="22" t="s">
        <v>180</v>
      </c>
      <c r="F581" s="24" t="s">
        <v>1830</v>
      </c>
      <c r="G581" s="24" t="s">
        <v>1766</v>
      </c>
      <c r="H581" s="24"/>
      <c r="I581" s="24">
        <v>1</v>
      </c>
      <c r="J581" s="24" t="s">
        <v>1767</v>
      </c>
      <c r="K581" s="24"/>
      <c r="L581" s="24"/>
      <c r="M581" s="24"/>
      <c r="N581" s="24"/>
      <c r="O581" s="24"/>
      <c r="P581" s="170"/>
      <c r="Q581" s="170"/>
      <c r="R581" s="162"/>
      <c r="S581" s="163"/>
      <c r="T581" s="163"/>
      <c r="U581" s="163"/>
      <c r="V581" s="163"/>
      <c r="W581" s="163" t="s">
        <v>1843</v>
      </c>
      <c r="X581" s="164"/>
      <c r="Y581" s="163"/>
      <c r="Z581" s="24"/>
      <c r="AA581" s="170"/>
      <c r="AB581" s="163"/>
      <c r="AC581" s="251"/>
      <c r="AD581" s="170"/>
      <c r="AE581" s="24"/>
      <c r="AF581" s="170"/>
      <c r="AG581" s="22"/>
      <c r="AH581" s="45"/>
      <c r="AI581" s="24"/>
      <c r="AJ581" s="164"/>
      <c r="AK581" s="22"/>
      <c r="AL581" s="22"/>
      <c r="AM581" s="22"/>
      <c r="AN581" s="22"/>
      <c r="AO581" s="22"/>
      <c r="AP581" s="22"/>
      <c r="AQ581" s="22"/>
      <c r="AR581" s="22"/>
      <c r="AS581" s="22"/>
      <c r="AT581" s="170"/>
      <c r="AU581" s="170"/>
      <c r="AV581" s="135">
        <v>255549009</v>
      </c>
      <c r="AW581" s="170"/>
      <c r="AX581" s="170"/>
      <c r="AY581" s="170"/>
      <c r="AZ581" s="170"/>
      <c r="BA581" s="170"/>
      <c r="BB581" s="170"/>
      <c r="BC581" s="170"/>
      <c r="BD581" s="170"/>
      <c r="BE581" s="137" t="s">
        <v>115</v>
      </c>
      <c r="BF581" s="137" t="s">
        <v>1844</v>
      </c>
      <c r="BG581" s="139" t="s">
        <v>1845</v>
      </c>
      <c r="BH581" s="220"/>
      <c r="BI581" s="140">
        <v>255549009</v>
      </c>
      <c r="BJ581" s="220"/>
      <c r="BK581" s="46">
        <f t="shared" si="1"/>
        <v>1</v>
      </c>
      <c r="BL581" s="46"/>
      <c r="BM581" s="46"/>
      <c r="BN581" s="46"/>
    </row>
    <row r="582" spans="1:66" ht="12.75" hidden="1" customHeight="1">
      <c r="A582" s="22">
        <v>580</v>
      </c>
      <c r="B582" s="22" t="s">
        <v>2775</v>
      </c>
      <c r="C582" s="22" t="e">
        <f t="shared" ca="1" si="0"/>
        <v>#NAME?</v>
      </c>
      <c r="D582" s="24" t="s">
        <v>1846</v>
      </c>
      <c r="E582" s="22" t="s">
        <v>180</v>
      </c>
      <c r="F582" s="24" t="s">
        <v>1830</v>
      </c>
      <c r="G582" s="24" t="s">
        <v>1766</v>
      </c>
      <c r="H582" s="24"/>
      <c r="I582" s="24">
        <v>1</v>
      </c>
      <c r="J582" s="24" t="s">
        <v>1767</v>
      </c>
      <c r="K582" s="24"/>
      <c r="L582" s="24"/>
      <c r="M582" s="24"/>
      <c r="N582" s="24"/>
      <c r="O582" s="24"/>
      <c r="P582" s="170"/>
      <c r="Q582" s="170"/>
      <c r="R582" s="162"/>
      <c r="S582" s="163"/>
      <c r="T582" s="163"/>
      <c r="U582" s="163"/>
      <c r="V582" s="163"/>
      <c r="W582" s="163" t="s">
        <v>1846</v>
      </c>
      <c r="X582" s="164"/>
      <c r="Y582" s="163"/>
      <c r="Z582" s="24"/>
      <c r="AA582" s="170"/>
      <c r="AB582" s="163"/>
      <c r="AC582" s="251"/>
      <c r="AD582" s="170"/>
      <c r="AE582" s="24"/>
      <c r="AF582" s="170"/>
      <c r="AG582" s="22"/>
      <c r="AH582" s="45"/>
      <c r="AI582" s="24"/>
      <c r="AJ582" s="164"/>
      <c r="AK582" s="22"/>
      <c r="AL582" s="22"/>
      <c r="AM582" s="22"/>
      <c r="AN582" s="22"/>
      <c r="AO582" s="22"/>
      <c r="AP582" s="22"/>
      <c r="AQ582" s="22"/>
      <c r="AR582" s="22"/>
      <c r="AS582" s="22"/>
      <c r="AT582" s="170"/>
      <c r="AU582" s="170"/>
      <c r="AV582" s="135">
        <v>255551008</v>
      </c>
      <c r="AW582" s="170"/>
      <c r="AX582" s="170"/>
      <c r="AY582" s="170"/>
      <c r="AZ582" s="170"/>
      <c r="BA582" s="170"/>
      <c r="BB582" s="170"/>
      <c r="BC582" s="170"/>
      <c r="BD582" s="170"/>
      <c r="BE582" s="137" t="s">
        <v>115</v>
      </c>
      <c r="BF582" s="137" t="s">
        <v>1847</v>
      </c>
      <c r="BG582" s="139" t="s">
        <v>1848</v>
      </c>
      <c r="BH582" s="220"/>
      <c r="BI582" s="140">
        <v>255551008</v>
      </c>
      <c r="BJ582" s="220"/>
      <c r="BK582" s="46">
        <f t="shared" si="1"/>
        <v>1</v>
      </c>
      <c r="BL582" s="46"/>
      <c r="BM582" s="46"/>
      <c r="BN582" s="46"/>
    </row>
    <row r="583" spans="1:66" ht="12.75" hidden="1" customHeight="1">
      <c r="A583" s="22">
        <v>581</v>
      </c>
      <c r="B583" s="22" t="s">
        <v>2782</v>
      </c>
      <c r="C583" s="22" t="e">
        <f t="shared" ca="1" si="0"/>
        <v>#NAME?</v>
      </c>
      <c r="D583" s="24" t="s">
        <v>1849</v>
      </c>
      <c r="E583" s="22" t="s">
        <v>180</v>
      </c>
      <c r="F583" s="24" t="s">
        <v>1830</v>
      </c>
      <c r="G583" s="24" t="s">
        <v>1766</v>
      </c>
      <c r="H583" s="24"/>
      <c r="I583" s="24">
        <v>1</v>
      </c>
      <c r="J583" s="24" t="s">
        <v>1767</v>
      </c>
      <c r="K583" s="24"/>
      <c r="L583" s="24"/>
      <c r="M583" s="24"/>
      <c r="N583" s="24"/>
      <c r="O583" s="24"/>
      <c r="P583" s="170"/>
      <c r="Q583" s="170"/>
      <c r="R583" s="162"/>
      <c r="S583" s="163"/>
      <c r="T583" s="163"/>
      <c r="U583" s="163"/>
      <c r="V583" s="163"/>
      <c r="W583" s="163" t="s">
        <v>1849</v>
      </c>
      <c r="X583" s="164"/>
      <c r="Y583" s="163"/>
      <c r="Z583" s="24"/>
      <c r="AA583" s="170"/>
      <c r="AB583" s="163"/>
      <c r="AC583" s="251"/>
      <c r="AD583" s="170"/>
      <c r="AE583" s="24"/>
      <c r="AF583" s="170"/>
      <c r="AG583" s="22"/>
      <c r="AH583" s="45"/>
      <c r="AI583" s="24"/>
      <c r="AJ583" s="164"/>
      <c r="AK583" s="22"/>
      <c r="AL583" s="22"/>
      <c r="AM583" s="22"/>
      <c r="AN583" s="22"/>
      <c r="AO583" s="22"/>
      <c r="AP583" s="22"/>
      <c r="AQ583" s="22"/>
      <c r="AR583" s="22"/>
      <c r="AS583" s="22"/>
      <c r="AT583" s="170"/>
      <c r="AU583" s="170"/>
      <c r="AV583" s="135">
        <v>24028007</v>
      </c>
      <c r="AW583" s="170"/>
      <c r="AX583" s="170"/>
      <c r="AY583" s="170"/>
      <c r="AZ583" s="170"/>
      <c r="BA583" s="170"/>
      <c r="BB583" s="170"/>
      <c r="BC583" s="170"/>
      <c r="BD583" s="170"/>
      <c r="BE583" s="137" t="s">
        <v>115</v>
      </c>
      <c r="BF583" s="137" t="s">
        <v>1850</v>
      </c>
      <c r="BG583" s="139" t="s">
        <v>1851</v>
      </c>
      <c r="BH583" s="220"/>
      <c r="BI583" s="140">
        <v>24028007</v>
      </c>
      <c r="BJ583" s="220"/>
      <c r="BK583" s="46">
        <f t="shared" si="1"/>
        <v>1</v>
      </c>
      <c r="BL583" s="46"/>
      <c r="BM583" s="46"/>
      <c r="BN583" s="46"/>
    </row>
    <row r="584" spans="1:66" ht="12.75" hidden="1" customHeight="1">
      <c r="A584" s="22">
        <v>582</v>
      </c>
      <c r="B584" s="22" t="s">
        <v>2789</v>
      </c>
      <c r="C584" s="22" t="e">
        <f t="shared" ca="1" si="0"/>
        <v>#NAME?</v>
      </c>
      <c r="D584" s="24" t="s">
        <v>1852</v>
      </c>
      <c r="E584" s="22" t="s">
        <v>180</v>
      </c>
      <c r="F584" s="24" t="s">
        <v>1830</v>
      </c>
      <c r="G584" s="24" t="s">
        <v>1766</v>
      </c>
      <c r="H584" s="24"/>
      <c r="I584" s="24">
        <v>1</v>
      </c>
      <c r="J584" s="24" t="s">
        <v>1767</v>
      </c>
      <c r="K584" s="24"/>
      <c r="L584" s="24"/>
      <c r="M584" s="24"/>
      <c r="N584" s="24"/>
      <c r="O584" s="24"/>
      <c r="P584" s="170"/>
      <c r="Q584" s="170"/>
      <c r="R584" s="162"/>
      <c r="S584" s="163"/>
      <c r="T584" s="163"/>
      <c r="U584" s="163"/>
      <c r="V584" s="163"/>
      <c r="W584" s="163" t="s">
        <v>1852</v>
      </c>
      <c r="X584" s="164"/>
      <c r="Y584" s="163"/>
      <c r="Z584" s="24"/>
      <c r="AA584" s="170"/>
      <c r="AB584" s="163"/>
      <c r="AC584" s="251"/>
      <c r="AD584" s="170"/>
      <c r="AE584" s="24"/>
      <c r="AF584" s="170"/>
      <c r="AG584" s="22"/>
      <c r="AH584" s="45"/>
      <c r="AI584" s="24"/>
      <c r="AJ584" s="164"/>
      <c r="AK584" s="22"/>
      <c r="AL584" s="22"/>
      <c r="AM584" s="22"/>
      <c r="AN584" s="22"/>
      <c r="AO584" s="22"/>
      <c r="AP584" s="22"/>
      <c r="AQ584" s="22"/>
      <c r="AR584" s="22"/>
      <c r="AS584" s="22"/>
      <c r="AT584" s="170"/>
      <c r="AU584" s="170"/>
      <c r="AV584" s="372">
        <v>7771000</v>
      </c>
      <c r="AW584" s="170"/>
      <c r="AX584" s="170"/>
      <c r="AY584" s="170"/>
      <c r="AZ584" s="170"/>
      <c r="BA584" s="170"/>
      <c r="BB584" s="170"/>
      <c r="BC584" s="170"/>
      <c r="BD584" s="170"/>
      <c r="BE584" s="137" t="s">
        <v>115</v>
      </c>
      <c r="BF584" s="137" t="s">
        <v>1853</v>
      </c>
      <c r="BG584" s="139" t="s">
        <v>1854</v>
      </c>
      <c r="BH584" s="220"/>
      <c r="BI584" s="220">
        <v>7771000</v>
      </c>
      <c r="BJ584" s="220"/>
      <c r="BK584" s="46">
        <f t="shared" si="1"/>
        <v>1</v>
      </c>
      <c r="BL584" s="46"/>
      <c r="BM584" s="46"/>
      <c r="BN584" s="46"/>
    </row>
    <row r="585" spans="1:66" ht="12.75" hidden="1" customHeight="1">
      <c r="A585" s="22">
        <v>583</v>
      </c>
      <c r="B585" s="22" t="s">
        <v>2795</v>
      </c>
      <c r="C585" s="22" t="e">
        <f t="shared" ca="1" si="0"/>
        <v>#NAME?</v>
      </c>
      <c r="D585" s="24" t="s">
        <v>1855</v>
      </c>
      <c r="E585" s="22" t="s">
        <v>180</v>
      </c>
      <c r="F585" s="24" t="s">
        <v>1830</v>
      </c>
      <c r="G585" s="24" t="s">
        <v>1766</v>
      </c>
      <c r="H585" s="24"/>
      <c r="I585" s="24">
        <v>1</v>
      </c>
      <c r="J585" s="24" t="s">
        <v>1767</v>
      </c>
      <c r="K585" s="24"/>
      <c r="L585" s="24"/>
      <c r="M585" s="24"/>
      <c r="N585" s="24"/>
      <c r="O585" s="24"/>
      <c r="P585" s="170"/>
      <c r="Q585" s="170"/>
      <c r="R585" s="162"/>
      <c r="S585" s="163"/>
      <c r="T585" s="163"/>
      <c r="U585" s="163"/>
      <c r="V585" s="163"/>
      <c r="W585" s="163" t="s">
        <v>1855</v>
      </c>
      <c r="X585" s="164"/>
      <c r="Y585" s="163"/>
      <c r="Z585" s="24"/>
      <c r="AA585" s="170"/>
      <c r="AB585" s="163"/>
      <c r="AC585" s="251"/>
      <c r="AD585" s="170"/>
      <c r="AE585" s="24"/>
      <c r="AF585" s="170"/>
      <c r="AG585" s="22"/>
      <c r="AH585" s="45"/>
      <c r="AI585" s="24"/>
      <c r="AJ585" s="164"/>
      <c r="AK585" s="22"/>
      <c r="AL585" s="22"/>
      <c r="AM585" s="22"/>
      <c r="AN585" s="22"/>
      <c r="AO585" s="22"/>
      <c r="AP585" s="22"/>
      <c r="AQ585" s="22"/>
      <c r="AR585" s="22"/>
      <c r="AS585" s="22"/>
      <c r="AT585" s="170"/>
      <c r="AU585" s="170"/>
      <c r="AV585" s="135">
        <v>27485007</v>
      </c>
      <c r="AW585" s="170"/>
      <c r="AX585" s="170"/>
      <c r="AY585" s="170"/>
      <c r="AZ585" s="170"/>
      <c r="BA585" s="170"/>
      <c r="BB585" s="170"/>
      <c r="BC585" s="170"/>
      <c r="BD585" s="170"/>
      <c r="BE585" s="137" t="s">
        <v>115</v>
      </c>
      <c r="BF585" s="137" t="s">
        <v>1856</v>
      </c>
      <c r="BG585" s="139" t="s">
        <v>1857</v>
      </c>
      <c r="BH585" s="220"/>
      <c r="BI585" s="140">
        <v>27485007</v>
      </c>
      <c r="BJ585" s="220"/>
      <c r="BK585" s="46">
        <f t="shared" si="1"/>
        <v>1</v>
      </c>
      <c r="BL585" s="46"/>
      <c r="BM585" s="46"/>
      <c r="BN585" s="46"/>
    </row>
    <row r="586" spans="1:66" ht="12.75" hidden="1" customHeight="1">
      <c r="A586" s="22">
        <v>584</v>
      </c>
      <c r="B586" s="22" t="s">
        <v>1858</v>
      </c>
      <c r="C586" s="22" t="str">
        <f t="shared" si="0"/>
        <v>Select preferred gestational age: (Tests)</v>
      </c>
      <c r="D586" s="24" t="s">
        <v>1858</v>
      </c>
      <c r="E586" s="22" t="s">
        <v>96</v>
      </c>
      <c r="F586" s="24" t="s">
        <v>1787</v>
      </c>
      <c r="G586" s="24" t="s">
        <v>1766</v>
      </c>
      <c r="H586" s="24"/>
      <c r="I586" s="24">
        <v>1</v>
      </c>
      <c r="J586" s="24" t="s">
        <v>1767</v>
      </c>
      <c r="K586" s="24"/>
      <c r="L586" s="24"/>
      <c r="M586" s="24"/>
      <c r="N586" s="24"/>
      <c r="O586" s="24"/>
      <c r="P586" s="170"/>
      <c r="Q586" s="170"/>
      <c r="R586" s="162" t="s">
        <v>620</v>
      </c>
      <c r="S586" s="163" t="s">
        <v>621</v>
      </c>
      <c r="T586" s="163" t="s">
        <v>622</v>
      </c>
      <c r="U586" s="163" t="s">
        <v>202</v>
      </c>
      <c r="V586" s="163"/>
      <c r="W586" s="163"/>
      <c r="X586" s="164"/>
      <c r="Y586" s="163"/>
      <c r="Z586" s="24"/>
      <c r="AA586" s="170"/>
      <c r="AB586" s="163" t="s">
        <v>113</v>
      </c>
      <c r="AC586" s="251"/>
      <c r="AD586" s="170"/>
      <c r="AE586" s="24"/>
      <c r="AF586" s="170"/>
      <c r="AG586" s="22"/>
      <c r="AH586" s="45"/>
      <c r="AI586" s="24"/>
      <c r="AJ586" s="164" t="s">
        <v>115</v>
      </c>
      <c r="AK586" s="22"/>
      <c r="AL586" s="22"/>
      <c r="AM586" s="22"/>
      <c r="AN586" s="22"/>
      <c r="AO586" s="22"/>
      <c r="AP586" s="22"/>
      <c r="AQ586" s="22"/>
      <c r="AR586" s="22"/>
      <c r="AS586" s="22"/>
      <c r="AT586" s="170"/>
      <c r="AU586" s="170"/>
      <c r="AV586" s="367" t="s">
        <v>1859</v>
      </c>
      <c r="AW586" s="170"/>
      <c r="AX586" s="170"/>
      <c r="AY586" s="170"/>
      <c r="AZ586" s="170"/>
      <c r="BA586" s="170"/>
      <c r="BB586" s="170"/>
      <c r="BC586" s="170"/>
      <c r="BD586" s="170"/>
      <c r="BE586" s="137" t="s">
        <v>115</v>
      </c>
      <c r="BF586" s="137" t="s">
        <v>625</v>
      </c>
      <c r="BG586" s="139" t="s">
        <v>626</v>
      </c>
      <c r="BH586" s="220"/>
      <c r="BI586" s="373" t="s">
        <v>1859</v>
      </c>
      <c r="BJ586" s="220"/>
      <c r="BK586" s="46">
        <f t="shared" si="1"/>
        <v>1</v>
      </c>
      <c r="BL586" s="46"/>
      <c r="BM586" s="46"/>
      <c r="BN586" s="46"/>
    </row>
    <row r="587" spans="1:66" ht="12.75" hidden="1" customHeight="1">
      <c r="A587" s="22">
        <v>585</v>
      </c>
      <c r="B587" s="22" t="s">
        <v>2802</v>
      </c>
      <c r="C587" s="22" t="e">
        <f t="shared" ca="1" si="0"/>
        <v>#NAME?</v>
      </c>
      <c r="D587" s="24" t="s">
        <v>1860</v>
      </c>
      <c r="E587" s="22" t="s">
        <v>180</v>
      </c>
      <c r="F587" s="24" t="s">
        <v>620</v>
      </c>
      <c r="G587" s="24" t="s">
        <v>1766</v>
      </c>
      <c r="H587" s="24"/>
      <c r="I587" s="24">
        <v>1</v>
      </c>
      <c r="J587" s="24" t="s">
        <v>1767</v>
      </c>
      <c r="K587" s="24"/>
      <c r="L587" s="24"/>
      <c r="M587" s="24"/>
      <c r="N587" s="24"/>
      <c r="O587" s="24"/>
      <c r="P587" s="170"/>
      <c r="Q587" s="170"/>
      <c r="R587" s="162"/>
      <c r="S587" s="163"/>
      <c r="T587" s="163"/>
      <c r="U587" s="163"/>
      <c r="V587" s="163"/>
      <c r="W587" s="163" t="s">
        <v>1860</v>
      </c>
      <c r="X587" s="163"/>
      <c r="Y587" s="163"/>
      <c r="Z587" s="24"/>
      <c r="AA587" s="170"/>
      <c r="AB587" s="163"/>
      <c r="AC587" s="251"/>
      <c r="AD587" s="170"/>
      <c r="AE587" s="24"/>
      <c r="AF587" s="170"/>
      <c r="AG587" s="22"/>
      <c r="AH587" s="45"/>
      <c r="AI587" s="24"/>
      <c r="AJ587" s="164"/>
      <c r="AK587" s="22"/>
      <c r="AL587" s="22"/>
      <c r="AM587" s="22"/>
      <c r="AN587" s="22"/>
      <c r="AO587" s="22"/>
      <c r="AP587" s="22"/>
      <c r="AQ587" s="22"/>
      <c r="AR587" s="22"/>
      <c r="AS587" s="22"/>
      <c r="AT587" s="170"/>
      <c r="AU587" s="170"/>
      <c r="AV587" s="135">
        <v>21840007</v>
      </c>
      <c r="AW587" s="170"/>
      <c r="AX587" s="170"/>
      <c r="AY587" s="170"/>
      <c r="AZ587" s="170"/>
      <c r="BA587" s="170"/>
      <c r="BB587" s="170"/>
      <c r="BC587" s="170"/>
      <c r="BD587" s="170"/>
      <c r="BE587" s="137" t="s">
        <v>115</v>
      </c>
      <c r="BF587" s="137" t="s">
        <v>559</v>
      </c>
      <c r="BG587" s="139" t="s">
        <v>560</v>
      </c>
      <c r="BH587" s="220"/>
      <c r="BI587" s="140">
        <v>21840007</v>
      </c>
      <c r="BJ587" s="220"/>
      <c r="BK587" s="46">
        <f t="shared" si="1"/>
        <v>1</v>
      </c>
      <c r="BL587" s="46"/>
      <c r="BM587" s="46"/>
      <c r="BN587" s="46"/>
    </row>
    <row r="588" spans="1:66" ht="12.75" hidden="1" customHeight="1">
      <c r="A588" s="22">
        <v>586</v>
      </c>
      <c r="B588" s="22" t="s">
        <v>2808</v>
      </c>
      <c r="C588" s="22" t="e">
        <f t="shared" ca="1" si="0"/>
        <v>#NAME?</v>
      </c>
      <c r="D588" s="24" t="s">
        <v>1861</v>
      </c>
      <c r="E588" s="22" t="s">
        <v>180</v>
      </c>
      <c r="F588" s="24" t="s">
        <v>620</v>
      </c>
      <c r="G588" s="24" t="s">
        <v>1766</v>
      </c>
      <c r="H588" s="24"/>
      <c r="I588" s="24">
        <v>1</v>
      </c>
      <c r="J588" s="24" t="s">
        <v>1767</v>
      </c>
      <c r="K588" s="24"/>
      <c r="L588" s="24"/>
      <c r="M588" s="24"/>
      <c r="N588" s="24"/>
      <c r="O588" s="24"/>
      <c r="P588" s="170"/>
      <c r="Q588" s="170"/>
      <c r="R588" s="162"/>
      <c r="S588" s="163"/>
      <c r="T588" s="163"/>
      <c r="U588" s="163"/>
      <c r="V588" s="163"/>
      <c r="W588" s="163" t="s">
        <v>1861</v>
      </c>
      <c r="X588" s="163"/>
      <c r="Y588" s="163"/>
      <c r="Z588" s="24"/>
      <c r="AA588" s="170"/>
      <c r="AB588" s="163"/>
      <c r="AC588" s="251"/>
      <c r="AD588" s="170"/>
      <c r="AE588" s="24"/>
      <c r="AF588" s="170"/>
      <c r="AG588" s="22"/>
      <c r="AH588" s="45"/>
      <c r="AI588" s="24"/>
      <c r="AJ588" s="164"/>
      <c r="AK588" s="22"/>
      <c r="AL588" s="22"/>
      <c r="AM588" s="22"/>
      <c r="AN588" s="22"/>
      <c r="AO588" s="22"/>
      <c r="AP588" s="22"/>
      <c r="AQ588" s="22"/>
      <c r="AR588" s="22"/>
      <c r="AS588" s="22"/>
      <c r="AT588" s="170"/>
      <c r="AU588" s="170"/>
      <c r="AV588" s="135" t="s">
        <v>1862</v>
      </c>
      <c r="AW588" s="170"/>
      <c r="AX588" s="170"/>
      <c r="AY588" s="170"/>
      <c r="AZ588" s="170"/>
      <c r="BA588" s="170"/>
      <c r="BB588" s="170"/>
      <c r="BC588" s="170"/>
      <c r="BD588" s="170"/>
      <c r="BE588" s="137" t="s">
        <v>115</v>
      </c>
      <c r="BF588" s="143" t="s">
        <v>630</v>
      </c>
      <c r="BG588" s="139" t="s">
        <v>631</v>
      </c>
      <c r="BH588" s="220"/>
      <c r="BI588" s="376" t="s">
        <v>1862</v>
      </c>
      <c r="BJ588" s="377"/>
      <c r="BK588" s="46">
        <f t="shared" si="1"/>
        <v>1</v>
      </c>
      <c r="BL588" s="46"/>
      <c r="BM588" s="46"/>
      <c r="BN588" s="46"/>
    </row>
    <row r="589" spans="1:66" ht="12.75" hidden="1" customHeight="1">
      <c r="A589" s="22">
        <v>587</v>
      </c>
      <c r="B589" s="22" t="s">
        <v>2815</v>
      </c>
      <c r="C589" s="22" t="e">
        <f t="shared" ca="1" si="0"/>
        <v>#NAME?</v>
      </c>
      <c r="D589" s="24" t="s">
        <v>1863</v>
      </c>
      <c r="E589" s="22" t="s">
        <v>180</v>
      </c>
      <c r="F589" s="24" t="s">
        <v>620</v>
      </c>
      <c r="G589" s="24" t="s">
        <v>1766</v>
      </c>
      <c r="H589" s="24"/>
      <c r="I589" s="24">
        <v>1</v>
      </c>
      <c r="J589" s="24" t="s">
        <v>1767</v>
      </c>
      <c r="K589" s="24"/>
      <c r="L589" s="24"/>
      <c r="M589" s="24"/>
      <c r="N589" s="24"/>
      <c r="O589" s="24"/>
      <c r="P589" s="170"/>
      <c r="Q589" s="170"/>
      <c r="R589" s="162"/>
      <c r="S589" s="163"/>
      <c r="T589" s="163"/>
      <c r="U589" s="163"/>
      <c r="V589" s="163"/>
      <c r="W589" s="163" t="s">
        <v>1863</v>
      </c>
      <c r="X589" s="163"/>
      <c r="Y589" s="163"/>
      <c r="Z589" s="24"/>
      <c r="AA589" s="170"/>
      <c r="AB589" s="163"/>
      <c r="AC589" s="251"/>
      <c r="AD589" s="170"/>
      <c r="AE589" s="24"/>
      <c r="AF589" s="170"/>
      <c r="AG589" s="22"/>
      <c r="AH589" s="45"/>
      <c r="AI589" s="24"/>
      <c r="AJ589" s="164"/>
      <c r="AK589" s="22"/>
      <c r="AL589" s="22"/>
      <c r="AM589" s="22"/>
      <c r="AN589" s="22"/>
      <c r="AO589" s="22"/>
      <c r="AP589" s="22"/>
      <c r="AQ589" s="22"/>
      <c r="AR589" s="22"/>
      <c r="AS589" s="22"/>
      <c r="AT589" s="170"/>
      <c r="AU589" s="170"/>
      <c r="AV589" s="372" t="s">
        <v>1864</v>
      </c>
      <c r="AW589" s="170"/>
      <c r="AX589" s="170"/>
      <c r="AY589" s="170"/>
      <c r="AZ589" s="170"/>
      <c r="BA589" s="170"/>
      <c r="BB589" s="170"/>
      <c r="BC589" s="170"/>
      <c r="BD589" s="170"/>
      <c r="BE589" s="137" t="s">
        <v>115</v>
      </c>
      <c r="BF589" s="137" t="s">
        <v>613</v>
      </c>
      <c r="BG589" s="139" t="s">
        <v>614</v>
      </c>
      <c r="BH589" s="220"/>
      <c r="BI589" s="220" t="s">
        <v>1864</v>
      </c>
      <c r="BJ589" s="220"/>
      <c r="BK589" s="46">
        <f t="shared" si="1"/>
        <v>1</v>
      </c>
      <c r="BL589" s="46"/>
      <c r="BM589" s="46"/>
      <c r="BN589" s="46"/>
    </row>
    <row r="590" spans="1:66" ht="12.75" hidden="1" customHeight="1">
      <c r="A590" s="22">
        <v>588</v>
      </c>
      <c r="B590" s="22" t="s">
        <v>636</v>
      </c>
      <c r="C590" s="22" t="str">
        <f t="shared" si="0"/>
        <v>gest_age</v>
      </c>
      <c r="D590" s="24" t="s">
        <v>636</v>
      </c>
      <c r="E590" s="22" t="s">
        <v>65</v>
      </c>
      <c r="F590" s="24" t="s">
        <v>1787</v>
      </c>
      <c r="G590" s="24" t="s">
        <v>1766</v>
      </c>
      <c r="H590" s="24"/>
      <c r="I590" s="24">
        <v>1</v>
      </c>
      <c r="J590" s="24" t="s">
        <v>1767</v>
      </c>
      <c r="K590" s="24"/>
      <c r="L590" s="24"/>
      <c r="M590" s="24"/>
      <c r="N590" s="24"/>
      <c r="O590" s="24"/>
      <c r="P590" s="170"/>
      <c r="Q590" s="170"/>
      <c r="R590" s="162" t="s">
        <v>115</v>
      </c>
      <c r="S590" s="163" t="s">
        <v>636</v>
      </c>
      <c r="T590" s="163" t="s">
        <v>637</v>
      </c>
      <c r="U590" s="163" t="s">
        <v>65</v>
      </c>
      <c r="V590" s="163"/>
      <c r="W590" s="163"/>
      <c r="X590" s="163" t="s">
        <v>634</v>
      </c>
      <c r="Y590" s="163"/>
      <c r="Z590" s="24"/>
      <c r="AA590" s="170"/>
      <c r="AB590" s="163" t="s">
        <v>115</v>
      </c>
      <c r="AC590" s="251"/>
      <c r="AD590" s="170"/>
      <c r="AE590" s="24"/>
      <c r="AF590" s="170"/>
      <c r="AG590" s="22"/>
      <c r="AH590" s="45"/>
      <c r="AI590" s="24"/>
      <c r="AJ590" s="164" t="s">
        <v>115</v>
      </c>
      <c r="AK590" s="22"/>
      <c r="AL590" s="22"/>
      <c r="AM590" s="22"/>
      <c r="AN590" s="22"/>
      <c r="AO590" s="22"/>
      <c r="AP590" s="22"/>
      <c r="AQ590" s="22"/>
      <c r="AR590" s="22"/>
      <c r="AS590" s="22"/>
      <c r="AT590" s="170"/>
      <c r="AU590" s="170"/>
      <c r="AV590" s="372"/>
      <c r="AW590" s="170"/>
      <c r="AX590" s="170"/>
      <c r="AY590" s="170"/>
      <c r="AZ590" s="170"/>
      <c r="BA590" s="170"/>
      <c r="BB590" s="170"/>
      <c r="BC590" s="170"/>
      <c r="BD590" s="170"/>
      <c r="BE590" s="137" t="s">
        <v>115</v>
      </c>
      <c r="BF590" s="137" t="s">
        <v>115</v>
      </c>
      <c r="BG590" s="139" t="s">
        <v>115</v>
      </c>
      <c r="BH590" s="220"/>
      <c r="BI590" s="220"/>
      <c r="BJ590" s="220"/>
      <c r="BK590" s="46">
        <f t="shared" si="1"/>
        <v>1</v>
      </c>
      <c r="BL590" s="46"/>
      <c r="BM590" s="46"/>
      <c r="BN590" s="46"/>
    </row>
    <row r="591" spans="1:66" ht="12.75" hidden="1" customHeight="1">
      <c r="A591" s="22">
        <v>589</v>
      </c>
      <c r="B591" s="22" t="s">
        <v>642</v>
      </c>
      <c r="C591" s="22" t="str">
        <f t="shared" si="0"/>
        <v>edd</v>
      </c>
      <c r="D591" s="24" t="s">
        <v>642</v>
      </c>
      <c r="E591" s="22" t="s">
        <v>65</v>
      </c>
      <c r="F591" s="24" t="s">
        <v>1787</v>
      </c>
      <c r="G591" s="24" t="s">
        <v>1766</v>
      </c>
      <c r="H591" s="24"/>
      <c r="I591" s="24">
        <v>1</v>
      </c>
      <c r="J591" s="24" t="s">
        <v>1767</v>
      </c>
      <c r="K591" s="24"/>
      <c r="L591" s="24"/>
      <c r="M591" s="24"/>
      <c r="N591" s="24"/>
      <c r="O591" s="24"/>
      <c r="P591" s="164"/>
      <c r="Q591" s="164"/>
      <c r="R591" s="162" t="s">
        <v>115</v>
      </c>
      <c r="S591" s="163" t="s">
        <v>642</v>
      </c>
      <c r="T591" s="163" t="s">
        <v>643</v>
      </c>
      <c r="U591" s="163" t="s">
        <v>65</v>
      </c>
      <c r="V591" s="163"/>
      <c r="W591" s="163"/>
      <c r="X591" s="163" t="s">
        <v>641</v>
      </c>
      <c r="Y591" s="163"/>
      <c r="Z591" s="24"/>
      <c r="AA591" s="164"/>
      <c r="AB591" s="163" t="s">
        <v>115</v>
      </c>
      <c r="AC591" s="269"/>
      <c r="AD591" s="164"/>
      <c r="AE591" s="24"/>
      <c r="AF591" s="164"/>
      <c r="AG591" s="22"/>
      <c r="AH591" s="45"/>
      <c r="AI591" s="24"/>
      <c r="AJ591" s="164" t="s">
        <v>115</v>
      </c>
      <c r="AK591" s="22"/>
      <c r="AL591" s="22"/>
      <c r="AM591" s="22"/>
      <c r="AN591" s="22"/>
      <c r="AO591" s="22"/>
      <c r="AP591" s="22"/>
      <c r="AQ591" s="22"/>
      <c r="AR591" s="22"/>
      <c r="AS591" s="22"/>
      <c r="AT591" s="164"/>
      <c r="AU591" s="164"/>
      <c r="AV591" s="163"/>
      <c r="AW591" s="164"/>
      <c r="AX591" s="164"/>
      <c r="AY591" s="164"/>
      <c r="AZ591" s="164"/>
      <c r="BA591" s="164"/>
      <c r="BB591" s="164"/>
      <c r="BC591" s="164"/>
      <c r="BD591" s="164"/>
      <c r="BE591" s="137" t="s">
        <v>115</v>
      </c>
      <c r="BF591" s="137" t="s">
        <v>115</v>
      </c>
      <c r="BG591" s="139" t="s">
        <v>115</v>
      </c>
      <c r="BH591" s="311"/>
      <c r="BI591" s="311"/>
      <c r="BJ591" s="311"/>
      <c r="BK591" s="46">
        <f t="shared" si="1"/>
        <v>1</v>
      </c>
      <c r="BL591" s="46"/>
      <c r="BM591" s="46"/>
      <c r="BN591" s="46"/>
    </row>
    <row r="592" spans="1:66" ht="12.75" hidden="1" customHeight="1">
      <c r="A592" s="22">
        <v>590</v>
      </c>
      <c r="B592" s="22" t="s">
        <v>1865</v>
      </c>
      <c r="C592" s="22" t="str">
        <f t="shared" si="0"/>
        <v>Blood type test</v>
      </c>
      <c r="D592" s="24" t="s">
        <v>1865</v>
      </c>
      <c r="E592" s="22" t="s">
        <v>96</v>
      </c>
      <c r="F592" s="24" t="s">
        <v>1787</v>
      </c>
      <c r="G592" s="24" t="s">
        <v>1866</v>
      </c>
      <c r="H592" s="24"/>
      <c r="I592" s="24">
        <v>1</v>
      </c>
      <c r="J592" s="24" t="s">
        <v>1767</v>
      </c>
      <c r="K592" s="24"/>
      <c r="L592" s="24"/>
      <c r="M592" s="24"/>
      <c r="N592" s="24"/>
      <c r="O592" s="24"/>
      <c r="P592" s="170"/>
      <c r="Q592" s="170"/>
      <c r="R592" s="162" t="s">
        <v>1865</v>
      </c>
      <c r="S592" s="163" t="s">
        <v>1867</v>
      </c>
      <c r="T592" s="163" t="s">
        <v>1868</v>
      </c>
      <c r="U592" s="163" t="s">
        <v>202</v>
      </c>
      <c r="V592" s="163"/>
      <c r="W592" s="163"/>
      <c r="X592" s="164"/>
      <c r="Y592" s="164"/>
      <c r="Z592" s="24"/>
      <c r="AA592" s="170"/>
      <c r="AB592" s="163" t="s">
        <v>113</v>
      </c>
      <c r="AC592" s="251"/>
      <c r="AD592" s="170"/>
      <c r="AE592" s="24"/>
      <c r="AF592" s="170"/>
      <c r="AG592" s="22"/>
      <c r="AH592" s="45"/>
      <c r="AI592" s="24"/>
      <c r="AJ592" s="164" t="s">
        <v>1869</v>
      </c>
      <c r="AK592" s="22"/>
      <c r="AL592" s="22"/>
      <c r="AM592" s="22"/>
      <c r="AN592" s="22"/>
      <c r="AO592" s="22"/>
      <c r="AP592" s="22"/>
      <c r="AQ592" s="22"/>
      <c r="AR592" s="22"/>
      <c r="AS592" s="22"/>
      <c r="AT592" s="363"/>
      <c r="AU592" s="363"/>
      <c r="AV592" s="363"/>
      <c r="AW592" s="363"/>
      <c r="AX592" s="363"/>
      <c r="AY592" s="363"/>
      <c r="AZ592" s="363"/>
      <c r="BA592" s="363"/>
      <c r="BB592" s="363"/>
      <c r="BC592" s="363"/>
      <c r="BD592" s="363"/>
      <c r="BE592" s="143" t="s">
        <v>1870</v>
      </c>
      <c r="BF592" s="143" t="s">
        <v>1773</v>
      </c>
      <c r="BG592" s="139" t="s">
        <v>1774</v>
      </c>
      <c r="BH592" s="313"/>
      <c r="BI592" s="276"/>
      <c r="BJ592" s="276"/>
      <c r="BK592" s="46">
        <f t="shared" si="1"/>
        <v>1</v>
      </c>
      <c r="BL592" s="46"/>
      <c r="BM592" s="46"/>
      <c r="BN592" s="46"/>
    </row>
    <row r="593" spans="1:66" ht="12.75" hidden="1" customHeight="1">
      <c r="A593" s="22">
        <v>591</v>
      </c>
      <c r="B593" s="22" t="s">
        <v>2651</v>
      </c>
      <c r="C593" s="22" t="e">
        <f t="shared" ca="1" si="0"/>
        <v>#NAME?</v>
      </c>
      <c r="D593" s="24" t="s">
        <v>1775</v>
      </c>
      <c r="E593" s="22" t="s">
        <v>180</v>
      </c>
      <c r="F593" s="24" t="s">
        <v>1865</v>
      </c>
      <c r="G593" s="24" t="s">
        <v>1866</v>
      </c>
      <c r="H593" s="24"/>
      <c r="I593" s="24">
        <v>1</v>
      </c>
      <c r="J593" s="24" t="s">
        <v>1767</v>
      </c>
      <c r="K593" s="24"/>
      <c r="L593" s="24"/>
      <c r="M593" s="24"/>
      <c r="N593" s="24"/>
      <c r="O593" s="24"/>
      <c r="P593" s="170"/>
      <c r="Q593" s="170"/>
      <c r="R593" s="247"/>
      <c r="S593" s="196"/>
      <c r="T593" s="196"/>
      <c r="U593" s="196"/>
      <c r="V593" s="194"/>
      <c r="W593" s="194" t="s">
        <v>1775</v>
      </c>
      <c r="X593" s="196"/>
      <c r="Y593" s="196"/>
      <c r="Z593" s="24"/>
      <c r="AA593" s="170"/>
      <c r="AB593" s="196"/>
      <c r="AC593" s="251"/>
      <c r="AD593" s="170"/>
      <c r="AE593" s="24"/>
      <c r="AF593" s="170"/>
      <c r="AG593" s="22"/>
      <c r="AH593" s="45"/>
      <c r="AI593" s="24"/>
      <c r="AJ593" s="196"/>
      <c r="AK593" s="22"/>
      <c r="AL593" s="22"/>
      <c r="AM593" s="22"/>
      <c r="AN593" s="22"/>
      <c r="AO593" s="22"/>
      <c r="AP593" s="22"/>
      <c r="AQ593" s="22"/>
      <c r="AR593" s="22"/>
      <c r="AS593" s="22"/>
      <c r="AT593" s="363"/>
      <c r="AU593" s="363"/>
      <c r="AV593" s="363"/>
      <c r="AW593" s="363"/>
      <c r="AX593" s="363"/>
      <c r="AY593" s="363"/>
      <c r="AZ593" s="363"/>
      <c r="BA593" s="363"/>
      <c r="BB593" s="363"/>
      <c r="BC593" s="363"/>
      <c r="BD593" s="363"/>
      <c r="BE593" s="143" t="s">
        <v>115</v>
      </c>
      <c r="BF593" s="143" t="s">
        <v>1777</v>
      </c>
      <c r="BG593" s="167" t="s">
        <v>1778</v>
      </c>
      <c r="BH593" s="313"/>
      <c r="BI593" s="276"/>
      <c r="BJ593" s="276"/>
      <c r="BK593" s="46">
        <f t="shared" si="1"/>
        <v>1</v>
      </c>
      <c r="BL593" s="46"/>
      <c r="BM593" s="46"/>
      <c r="BN593" s="46"/>
    </row>
    <row r="594" spans="1:66" ht="12.75" hidden="1" customHeight="1">
      <c r="A594" s="22">
        <v>592</v>
      </c>
      <c r="B594" s="22" t="s">
        <v>2655</v>
      </c>
      <c r="C594" s="22" t="e">
        <f t="shared" ca="1" si="0"/>
        <v>#NAME?</v>
      </c>
      <c r="D594" s="24" t="s">
        <v>1779</v>
      </c>
      <c r="E594" s="22" t="s">
        <v>180</v>
      </c>
      <c r="F594" s="24" t="s">
        <v>1865</v>
      </c>
      <c r="G594" s="24" t="s">
        <v>1866</v>
      </c>
      <c r="H594" s="24"/>
      <c r="I594" s="24">
        <v>1</v>
      </c>
      <c r="J594" s="24" t="s">
        <v>1767</v>
      </c>
      <c r="K594" s="24"/>
      <c r="L594" s="24"/>
      <c r="M594" s="24"/>
      <c r="N594" s="24"/>
      <c r="O594" s="24"/>
      <c r="P594" s="170"/>
      <c r="Q594" s="170"/>
      <c r="R594" s="247"/>
      <c r="S594" s="196"/>
      <c r="T594" s="196"/>
      <c r="U594" s="196"/>
      <c r="V594" s="194"/>
      <c r="W594" s="194" t="s">
        <v>1779</v>
      </c>
      <c r="X594" s="196"/>
      <c r="Y594" s="196"/>
      <c r="Z594" s="24"/>
      <c r="AA594" s="170"/>
      <c r="AB594" s="196"/>
      <c r="AC594" s="251"/>
      <c r="AD594" s="170"/>
      <c r="AE594" s="24"/>
      <c r="AF594" s="170"/>
      <c r="AG594" s="22"/>
      <c r="AH594" s="45"/>
      <c r="AI594" s="24"/>
      <c r="AJ594" s="196"/>
      <c r="AK594" s="22"/>
      <c r="AL594" s="22"/>
      <c r="AM594" s="22"/>
      <c r="AN594" s="22"/>
      <c r="AO594" s="22"/>
      <c r="AP594" s="22"/>
      <c r="AQ594" s="22"/>
      <c r="AR594" s="22"/>
      <c r="AS594" s="22"/>
      <c r="AT594" s="170"/>
      <c r="AU594" s="170"/>
      <c r="AV594" s="367" t="s">
        <v>1871</v>
      </c>
      <c r="AW594" s="170"/>
      <c r="AX594" s="170"/>
      <c r="AY594" s="170"/>
      <c r="AZ594" s="170"/>
      <c r="BA594" s="170"/>
      <c r="BB594" s="170"/>
      <c r="BC594" s="170"/>
      <c r="BD594" s="170"/>
      <c r="BE594" s="143" t="s">
        <v>115</v>
      </c>
      <c r="BF594" s="143" t="s">
        <v>1781</v>
      </c>
      <c r="BG594" s="167" t="s">
        <v>1782</v>
      </c>
      <c r="BH594" s="220"/>
      <c r="BI594" s="373" t="s">
        <v>1871</v>
      </c>
      <c r="BJ594" s="220"/>
      <c r="BK594" s="46">
        <f t="shared" si="1"/>
        <v>1</v>
      </c>
      <c r="BL594" s="46"/>
      <c r="BM594" s="46"/>
      <c r="BN594" s="46"/>
    </row>
    <row r="595" spans="1:66" ht="12.75" hidden="1" customHeight="1">
      <c r="A595" s="22">
        <v>593</v>
      </c>
      <c r="B595" s="22" t="s">
        <v>2661</v>
      </c>
      <c r="C595" s="22" t="e">
        <f t="shared" ca="1" si="0"/>
        <v>#NAME?</v>
      </c>
      <c r="D595" s="24" t="s">
        <v>1783</v>
      </c>
      <c r="E595" s="22" t="s">
        <v>180</v>
      </c>
      <c r="F595" s="24" t="s">
        <v>1865</v>
      </c>
      <c r="G595" s="24" t="s">
        <v>1866</v>
      </c>
      <c r="H595" s="24"/>
      <c r="I595" s="24">
        <v>1</v>
      </c>
      <c r="J595" s="24" t="s">
        <v>1767</v>
      </c>
      <c r="K595" s="24"/>
      <c r="L595" s="24"/>
      <c r="M595" s="24"/>
      <c r="N595" s="24"/>
      <c r="O595" s="24"/>
      <c r="P595" s="170"/>
      <c r="Q595" s="170"/>
      <c r="R595" s="247"/>
      <c r="S595" s="196"/>
      <c r="T595" s="196"/>
      <c r="U595" s="196"/>
      <c r="V595" s="194"/>
      <c r="W595" s="194" t="s">
        <v>1783</v>
      </c>
      <c r="X595" s="196"/>
      <c r="Y595" s="196"/>
      <c r="Z595" s="24"/>
      <c r="AA595" s="170"/>
      <c r="AB595" s="196"/>
      <c r="AC595" s="251"/>
      <c r="AD595" s="170"/>
      <c r="AE595" s="24"/>
      <c r="AF595" s="170"/>
      <c r="AG595" s="22"/>
      <c r="AH595" s="45"/>
      <c r="AI595" s="24"/>
      <c r="AJ595" s="196"/>
      <c r="AK595" s="22"/>
      <c r="AL595" s="22"/>
      <c r="AM595" s="22"/>
      <c r="AN595" s="22"/>
      <c r="AO595" s="22"/>
      <c r="AP595" s="22"/>
      <c r="AQ595" s="22"/>
      <c r="AR595" s="22"/>
      <c r="AS595" s="22"/>
      <c r="AT595" s="170"/>
      <c r="AU595" s="170"/>
      <c r="AV595" s="135">
        <v>721963009</v>
      </c>
      <c r="AW595" s="170"/>
      <c r="AX595" s="170"/>
      <c r="AY595" s="170"/>
      <c r="AZ595" s="170"/>
      <c r="BA595" s="170"/>
      <c r="BB595" s="170"/>
      <c r="BC595" s="170"/>
      <c r="BD595" s="170"/>
      <c r="BE595" s="143" t="s">
        <v>115</v>
      </c>
      <c r="BF595" s="143" t="s">
        <v>1784</v>
      </c>
      <c r="BG595" s="167" t="s">
        <v>1785</v>
      </c>
      <c r="BH595" s="220"/>
      <c r="BI595" s="140">
        <v>721963009</v>
      </c>
      <c r="BJ595" s="220"/>
      <c r="BK595" s="46">
        <f t="shared" si="1"/>
        <v>1</v>
      </c>
      <c r="BL595" s="46"/>
      <c r="BM595" s="46"/>
      <c r="BN595" s="46"/>
    </row>
    <row r="596" spans="1:66" ht="12.75" hidden="1" customHeight="1">
      <c r="A596" s="22">
        <v>594</v>
      </c>
      <c r="B596" s="22" t="s">
        <v>2118</v>
      </c>
      <c r="C596" s="22" t="e">
        <f t="shared" ca="1" si="0"/>
        <v>#NAME?</v>
      </c>
      <c r="D596" s="24" t="s">
        <v>1468</v>
      </c>
      <c r="E596" s="22" t="s">
        <v>180</v>
      </c>
      <c r="F596" s="24" t="s">
        <v>1865</v>
      </c>
      <c r="G596" s="24" t="s">
        <v>1866</v>
      </c>
      <c r="H596" s="24"/>
      <c r="I596" s="24">
        <v>1</v>
      </c>
      <c r="J596" s="24" t="s">
        <v>1767</v>
      </c>
      <c r="K596" s="24"/>
      <c r="L596" s="24"/>
      <c r="M596" s="24"/>
      <c r="N596" s="24"/>
      <c r="O596" s="24"/>
      <c r="P596" s="170"/>
      <c r="Q596" s="170"/>
      <c r="R596" s="247"/>
      <c r="S596" s="196"/>
      <c r="T596" s="196"/>
      <c r="U596" s="196"/>
      <c r="V596" s="194"/>
      <c r="W596" s="194" t="s">
        <v>1468</v>
      </c>
      <c r="X596" s="196"/>
      <c r="Y596" s="196"/>
      <c r="Z596" s="24"/>
      <c r="AA596" s="170"/>
      <c r="AB596" s="196"/>
      <c r="AC596" s="251"/>
      <c r="AD596" s="170"/>
      <c r="AE596" s="24"/>
      <c r="AF596" s="170"/>
      <c r="AG596" s="22"/>
      <c r="AH596" s="45"/>
      <c r="AI596" s="24"/>
      <c r="AJ596" s="196"/>
      <c r="AK596" s="22"/>
      <c r="AL596" s="22"/>
      <c r="AM596" s="22"/>
      <c r="AN596" s="22"/>
      <c r="AO596" s="22"/>
      <c r="AP596" s="22"/>
      <c r="AQ596" s="22"/>
      <c r="AR596" s="22"/>
      <c r="AS596" s="22"/>
      <c r="AT596" s="170"/>
      <c r="AU596" s="170"/>
      <c r="AV596" s="135">
        <v>385660001</v>
      </c>
      <c r="AW596" s="170"/>
      <c r="AX596" s="170"/>
      <c r="AY596" s="170"/>
      <c r="AZ596" s="170"/>
      <c r="BA596" s="170"/>
      <c r="BB596" s="170"/>
      <c r="BC596" s="170"/>
      <c r="BD596" s="170"/>
      <c r="BE596" s="143" t="s">
        <v>115</v>
      </c>
      <c r="BF596" s="143" t="s">
        <v>1469</v>
      </c>
      <c r="BG596" s="167" t="s">
        <v>1470</v>
      </c>
      <c r="BH596" s="311"/>
      <c r="BI596" s="145">
        <v>385660001</v>
      </c>
      <c r="BJ596" s="311"/>
      <c r="BK596" s="46">
        <f t="shared" si="1"/>
        <v>1</v>
      </c>
      <c r="BL596" s="46"/>
      <c r="BM596" s="46"/>
      <c r="BN596" s="46"/>
    </row>
    <row r="597" spans="1:66" ht="12.75" hidden="1" customHeight="1">
      <c r="A597" s="22">
        <v>595</v>
      </c>
      <c r="B597" s="22" t="s">
        <v>1872</v>
      </c>
      <c r="C597" s="22" t="str">
        <f t="shared" si="0"/>
        <v>Blood type test date</v>
      </c>
      <c r="D597" s="24" t="s">
        <v>1872</v>
      </c>
      <c r="E597" s="22" t="s">
        <v>96</v>
      </c>
      <c r="F597" s="24" t="s">
        <v>1787</v>
      </c>
      <c r="G597" s="24" t="s">
        <v>1866</v>
      </c>
      <c r="H597" s="24"/>
      <c r="I597" s="24">
        <v>1</v>
      </c>
      <c r="J597" s="24" t="s">
        <v>1767</v>
      </c>
      <c r="K597" s="24"/>
      <c r="L597" s="24"/>
      <c r="M597" s="24"/>
      <c r="N597" s="24"/>
      <c r="O597" s="24"/>
      <c r="P597" s="170"/>
      <c r="Q597" s="170"/>
      <c r="R597" s="247" t="s">
        <v>1872</v>
      </c>
      <c r="S597" s="196" t="s">
        <v>1873</v>
      </c>
      <c r="T597" s="196" t="s">
        <v>1874</v>
      </c>
      <c r="U597" s="196" t="s">
        <v>140</v>
      </c>
      <c r="V597" s="194"/>
      <c r="W597" s="194"/>
      <c r="X597" s="196"/>
      <c r="Y597" s="196"/>
      <c r="Z597" s="24"/>
      <c r="AA597" s="170"/>
      <c r="AB597" s="194" t="s">
        <v>113</v>
      </c>
      <c r="AC597" s="251"/>
      <c r="AD597" s="170"/>
      <c r="AE597" s="24"/>
      <c r="AF597" s="170"/>
      <c r="AG597" s="22"/>
      <c r="AH597" s="45"/>
      <c r="AI597" s="24"/>
      <c r="AJ597" s="196" t="s">
        <v>115</v>
      </c>
      <c r="AK597" s="22"/>
      <c r="AL597" s="22"/>
      <c r="AM597" s="22"/>
      <c r="AN597" s="22"/>
      <c r="AO597" s="22"/>
      <c r="AP597" s="22"/>
      <c r="AQ597" s="22"/>
      <c r="AR597" s="22"/>
      <c r="AS597" s="22"/>
      <c r="AT597" s="363"/>
      <c r="AU597" s="363"/>
      <c r="AV597" s="363"/>
      <c r="AW597" s="363"/>
      <c r="AX597" s="363"/>
      <c r="AY597" s="363"/>
      <c r="AZ597" s="363"/>
      <c r="BA597" s="363"/>
      <c r="BB597" s="363"/>
      <c r="BC597" s="363"/>
      <c r="BD597" s="363"/>
      <c r="BE597" s="143" t="s">
        <v>1870</v>
      </c>
      <c r="BF597" s="143" t="s">
        <v>1804</v>
      </c>
      <c r="BG597" s="167" t="s">
        <v>1805</v>
      </c>
      <c r="BH597" s="313"/>
      <c r="BI597" s="276"/>
      <c r="BJ597" s="276"/>
      <c r="BK597" s="46">
        <f t="shared" si="1"/>
        <v>1</v>
      </c>
      <c r="BL597" s="46"/>
      <c r="BM597" s="46"/>
      <c r="BN597" s="46"/>
    </row>
    <row r="598" spans="1:66" ht="12.75" hidden="1" customHeight="1">
      <c r="A598" s="22">
        <v>596</v>
      </c>
      <c r="B598" s="22" t="s">
        <v>1875</v>
      </c>
      <c r="C598" s="22" t="str">
        <f t="shared" si="0"/>
        <v>Blood type</v>
      </c>
      <c r="D598" s="24" t="s">
        <v>1875</v>
      </c>
      <c r="E598" s="22" t="s">
        <v>96</v>
      </c>
      <c r="F598" s="24" t="s">
        <v>1787</v>
      </c>
      <c r="G598" s="24" t="s">
        <v>1866</v>
      </c>
      <c r="H598" s="24"/>
      <c r="I598" s="24">
        <v>1</v>
      </c>
      <c r="J598" s="24" t="s">
        <v>1767</v>
      </c>
      <c r="K598" s="24"/>
      <c r="L598" s="24"/>
      <c r="M598" s="24"/>
      <c r="N598" s="24"/>
      <c r="O598" s="24"/>
      <c r="P598" s="170"/>
      <c r="Q598" s="170"/>
      <c r="R598" s="169" t="s">
        <v>1875</v>
      </c>
      <c r="S598" s="163" t="s">
        <v>1876</v>
      </c>
      <c r="T598" s="163" t="s">
        <v>1877</v>
      </c>
      <c r="U598" s="163" t="s">
        <v>202</v>
      </c>
      <c r="V598" s="163"/>
      <c r="W598" s="163"/>
      <c r="X598" s="164"/>
      <c r="Y598" s="164"/>
      <c r="Z598" s="24"/>
      <c r="AA598" s="170"/>
      <c r="AB598" s="163" t="s">
        <v>113</v>
      </c>
      <c r="AC598" s="251"/>
      <c r="AD598" s="170"/>
      <c r="AE598" s="24"/>
      <c r="AF598" s="170"/>
      <c r="AG598" s="22"/>
      <c r="AH598" s="45"/>
      <c r="AI598" s="24"/>
      <c r="AJ598" s="164" t="s">
        <v>115</v>
      </c>
      <c r="AK598" s="22"/>
      <c r="AL598" s="22"/>
      <c r="AM598" s="22"/>
      <c r="AN598" s="22"/>
      <c r="AO598" s="22"/>
      <c r="AP598" s="22"/>
      <c r="AQ598" s="22"/>
      <c r="AR598" s="22"/>
      <c r="AS598" s="22"/>
      <c r="AT598" s="170"/>
      <c r="AU598" s="170"/>
      <c r="AV598" s="135">
        <v>365636006</v>
      </c>
      <c r="AW598" s="170"/>
      <c r="AX598" s="170"/>
      <c r="AY598" s="170"/>
      <c r="AZ598" s="170"/>
      <c r="BA598" s="170"/>
      <c r="BB598" s="170"/>
      <c r="BC598" s="170"/>
      <c r="BD598" s="170"/>
      <c r="BE598" s="137" t="s">
        <v>115</v>
      </c>
      <c r="BF598" s="137" t="s">
        <v>1878</v>
      </c>
      <c r="BG598" s="139" t="s">
        <v>1879</v>
      </c>
      <c r="BH598" s="220"/>
      <c r="BI598" s="140">
        <v>365636006</v>
      </c>
      <c r="BJ598" s="220"/>
      <c r="BK598" s="46">
        <f t="shared" si="1"/>
        <v>1</v>
      </c>
      <c r="BL598" s="46"/>
      <c r="BM598" s="46"/>
      <c r="BN598" s="46"/>
    </row>
    <row r="599" spans="1:66" ht="12.75" hidden="1" customHeight="1">
      <c r="A599" s="22">
        <v>597</v>
      </c>
      <c r="B599" s="22" t="s">
        <v>2843</v>
      </c>
      <c r="C599" s="22" t="e">
        <f t="shared" ca="1" si="0"/>
        <v>#NAME?</v>
      </c>
      <c r="D599" s="24" t="s">
        <v>1880</v>
      </c>
      <c r="E599" s="22" t="s">
        <v>180</v>
      </c>
      <c r="F599" s="24" t="s">
        <v>1875</v>
      </c>
      <c r="G599" s="24" t="s">
        <v>1866</v>
      </c>
      <c r="H599" s="24"/>
      <c r="I599" s="24">
        <v>1</v>
      </c>
      <c r="J599" s="24" t="s">
        <v>1767</v>
      </c>
      <c r="K599" s="24"/>
      <c r="L599" s="24"/>
      <c r="M599" s="24"/>
      <c r="N599" s="24"/>
      <c r="O599" s="24"/>
      <c r="P599" s="170"/>
      <c r="Q599" s="170"/>
      <c r="R599" s="162"/>
      <c r="S599" s="163"/>
      <c r="T599" s="163"/>
      <c r="U599" s="163"/>
      <c r="V599" s="163"/>
      <c r="W599" s="163" t="s">
        <v>1880</v>
      </c>
      <c r="X599" s="164"/>
      <c r="Y599" s="164"/>
      <c r="Z599" s="24"/>
      <c r="AA599" s="170"/>
      <c r="AB599" s="163"/>
      <c r="AC599" s="251"/>
      <c r="AD599" s="170"/>
      <c r="AE599" s="24"/>
      <c r="AF599" s="170"/>
      <c r="AG599" s="22"/>
      <c r="AH599" s="45"/>
      <c r="AI599" s="24"/>
      <c r="AJ599" s="164"/>
      <c r="AK599" s="22"/>
      <c r="AL599" s="22"/>
      <c r="AM599" s="22"/>
      <c r="AN599" s="22"/>
      <c r="AO599" s="22"/>
      <c r="AP599" s="22"/>
      <c r="AQ599" s="22"/>
      <c r="AR599" s="22"/>
      <c r="AS599" s="22"/>
      <c r="AT599" s="170"/>
      <c r="AU599" s="170"/>
      <c r="AV599" s="135">
        <v>112144000</v>
      </c>
      <c r="AW599" s="170"/>
      <c r="AX599" s="170"/>
      <c r="AY599" s="170"/>
      <c r="AZ599" s="170"/>
      <c r="BA599" s="170"/>
      <c r="BB599" s="170"/>
      <c r="BC599" s="170"/>
      <c r="BD599" s="170"/>
      <c r="BE599" s="137" t="s">
        <v>115</v>
      </c>
      <c r="BF599" s="137" t="s">
        <v>1881</v>
      </c>
      <c r="BG599" s="139" t="s">
        <v>1882</v>
      </c>
      <c r="BH599" s="220"/>
      <c r="BI599" s="140">
        <v>112144000</v>
      </c>
      <c r="BJ599" s="220"/>
      <c r="BK599" s="46">
        <f t="shared" si="1"/>
        <v>1</v>
      </c>
      <c r="BL599" s="46"/>
      <c r="BM599" s="46"/>
      <c r="BN599" s="46"/>
    </row>
    <row r="600" spans="1:66" ht="12.75" hidden="1" customHeight="1">
      <c r="A600" s="22">
        <v>598</v>
      </c>
      <c r="B600" s="22" t="s">
        <v>2846</v>
      </c>
      <c r="C600" s="22" t="e">
        <f t="shared" ca="1" si="0"/>
        <v>#NAME?</v>
      </c>
      <c r="D600" s="24" t="s">
        <v>1883</v>
      </c>
      <c r="E600" s="22" t="s">
        <v>180</v>
      </c>
      <c r="F600" s="24" t="s">
        <v>1875</v>
      </c>
      <c r="G600" s="24" t="s">
        <v>1866</v>
      </c>
      <c r="H600" s="24"/>
      <c r="I600" s="24">
        <v>1</v>
      </c>
      <c r="J600" s="24" t="s">
        <v>1767</v>
      </c>
      <c r="K600" s="24"/>
      <c r="L600" s="24"/>
      <c r="M600" s="24"/>
      <c r="N600" s="24"/>
      <c r="O600" s="24"/>
      <c r="P600" s="170"/>
      <c r="Q600" s="170"/>
      <c r="R600" s="162"/>
      <c r="S600" s="163"/>
      <c r="T600" s="163"/>
      <c r="U600" s="163"/>
      <c r="V600" s="163"/>
      <c r="W600" s="163" t="s">
        <v>1883</v>
      </c>
      <c r="X600" s="164"/>
      <c r="Y600" s="164"/>
      <c r="Z600" s="24"/>
      <c r="AA600" s="170"/>
      <c r="AB600" s="163"/>
      <c r="AC600" s="251"/>
      <c r="AD600" s="170"/>
      <c r="AE600" s="24"/>
      <c r="AF600" s="170"/>
      <c r="AG600" s="22"/>
      <c r="AH600" s="45"/>
      <c r="AI600" s="24"/>
      <c r="AJ600" s="164"/>
      <c r="AK600" s="22"/>
      <c r="AL600" s="22"/>
      <c r="AM600" s="22"/>
      <c r="AN600" s="22"/>
      <c r="AO600" s="22"/>
      <c r="AP600" s="22"/>
      <c r="AQ600" s="22"/>
      <c r="AR600" s="22"/>
      <c r="AS600" s="22"/>
      <c r="AT600" s="170"/>
      <c r="AU600" s="170"/>
      <c r="AV600" s="135">
        <v>112149005</v>
      </c>
      <c r="AW600" s="170"/>
      <c r="AX600" s="170"/>
      <c r="AY600" s="170"/>
      <c r="AZ600" s="170"/>
      <c r="BA600" s="170"/>
      <c r="BB600" s="170"/>
      <c r="BC600" s="170"/>
      <c r="BD600" s="170"/>
      <c r="BE600" s="137" t="s">
        <v>115</v>
      </c>
      <c r="BF600" s="137" t="s">
        <v>1884</v>
      </c>
      <c r="BG600" s="139" t="s">
        <v>1885</v>
      </c>
      <c r="BH600" s="220"/>
      <c r="BI600" s="140">
        <v>112149005</v>
      </c>
      <c r="BJ600" s="220"/>
      <c r="BK600" s="46">
        <f t="shared" si="1"/>
        <v>1</v>
      </c>
      <c r="BL600" s="46"/>
      <c r="BM600" s="46"/>
      <c r="BN600" s="46"/>
    </row>
    <row r="601" spans="1:66" ht="12.75" hidden="1" customHeight="1">
      <c r="A601" s="22">
        <v>599</v>
      </c>
      <c r="B601" s="22" t="s">
        <v>2847</v>
      </c>
      <c r="C601" s="22" t="e">
        <f t="shared" ca="1" si="0"/>
        <v>#NAME?</v>
      </c>
      <c r="D601" s="24" t="s">
        <v>1886</v>
      </c>
      <c r="E601" s="22" t="s">
        <v>180</v>
      </c>
      <c r="F601" s="24" t="s">
        <v>1875</v>
      </c>
      <c r="G601" s="24" t="s">
        <v>1866</v>
      </c>
      <c r="H601" s="24"/>
      <c r="I601" s="24">
        <v>1</v>
      </c>
      <c r="J601" s="24" t="s">
        <v>1767</v>
      </c>
      <c r="K601" s="24"/>
      <c r="L601" s="24"/>
      <c r="M601" s="24"/>
      <c r="N601" s="24"/>
      <c r="O601" s="24"/>
      <c r="P601" s="170"/>
      <c r="Q601" s="170"/>
      <c r="R601" s="162"/>
      <c r="S601" s="163"/>
      <c r="T601" s="163"/>
      <c r="U601" s="163"/>
      <c r="V601" s="163"/>
      <c r="W601" s="163" t="s">
        <v>1886</v>
      </c>
      <c r="X601" s="164"/>
      <c r="Y601" s="164"/>
      <c r="Z601" s="24"/>
      <c r="AA601" s="170"/>
      <c r="AB601" s="163"/>
      <c r="AC601" s="251"/>
      <c r="AD601" s="170"/>
      <c r="AE601" s="24"/>
      <c r="AF601" s="170"/>
      <c r="AG601" s="22"/>
      <c r="AH601" s="45"/>
      <c r="AI601" s="24"/>
      <c r="AJ601" s="164"/>
      <c r="AK601" s="22"/>
      <c r="AL601" s="22"/>
      <c r="AM601" s="22"/>
      <c r="AN601" s="22"/>
      <c r="AO601" s="22"/>
      <c r="AP601" s="22"/>
      <c r="AQ601" s="22"/>
      <c r="AR601" s="22"/>
      <c r="AS601" s="22"/>
      <c r="AT601" s="170"/>
      <c r="AU601" s="170"/>
      <c r="AV601" s="135">
        <v>165743006</v>
      </c>
      <c r="AW601" s="170"/>
      <c r="AX601" s="170"/>
      <c r="AY601" s="170"/>
      <c r="AZ601" s="170"/>
      <c r="BA601" s="170"/>
      <c r="BB601" s="170"/>
      <c r="BC601" s="170"/>
      <c r="BD601" s="170"/>
      <c r="BE601" s="137" t="s">
        <v>115</v>
      </c>
      <c r="BF601" s="137" t="s">
        <v>1887</v>
      </c>
      <c r="BG601" s="139" t="s">
        <v>1888</v>
      </c>
      <c r="BH601" s="220"/>
      <c r="BI601" s="140">
        <v>165743006</v>
      </c>
      <c r="BJ601" s="220"/>
      <c r="BK601" s="46">
        <f t="shared" si="1"/>
        <v>1</v>
      </c>
      <c r="BL601" s="46"/>
      <c r="BM601" s="46"/>
      <c r="BN601" s="46"/>
    </row>
    <row r="602" spans="1:66" ht="12.75" hidden="1" customHeight="1">
      <c r="A602" s="22">
        <v>600</v>
      </c>
      <c r="B602" s="22" t="s">
        <v>2849</v>
      </c>
      <c r="C602" s="22" t="e">
        <f t="shared" ca="1" si="0"/>
        <v>#NAME?</v>
      </c>
      <c r="D602" s="24" t="s">
        <v>1889</v>
      </c>
      <c r="E602" s="22" t="s">
        <v>180</v>
      </c>
      <c r="F602" s="24" t="s">
        <v>1875</v>
      </c>
      <c r="G602" s="24" t="s">
        <v>1866</v>
      </c>
      <c r="H602" s="24"/>
      <c r="I602" s="24">
        <v>1</v>
      </c>
      <c r="J602" s="24" t="s">
        <v>1767</v>
      </c>
      <c r="K602" s="24"/>
      <c r="L602" s="24"/>
      <c r="M602" s="24"/>
      <c r="N602" s="24"/>
      <c r="O602" s="24"/>
      <c r="P602" s="170"/>
      <c r="Q602" s="170"/>
      <c r="R602" s="162"/>
      <c r="S602" s="163"/>
      <c r="T602" s="163"/>
      <c r="U602" s="163"/>
      <c r="V602" s="163"/>
      <c r="W602" s="163" t="s">
        <v>1889</v>
      </c>
      <c r="X602" s="164"/>
      <c r="Y602" s="164"/>
      <c r="Z602" s="24"/>
      <c r="AA602" s="170"/>
      <c r="AB602" s="163"/>
      <c r="AC602" s="251"/>
      <c r="AD602" s="170"/>
      <c r="AE602" s="24"/>
      <c r="AF602" s="170"/>
      <c r="AG602" s="22"/>
      <c r="AH602" s="45"/>
      <c r="AI602" s="24"/>
      <c r="AJ602" s="164"/>
      <c r="AK602" s="22"/>
      <c r="AL602" s="22"/>
      <c r="AM602" s="22"/>
      <c r="AN602" s="22"/>
      <c r="AO602" s="22"/>
      <c r="AP602" s="22"/>
      <c r="AQ602" s="22"/>
      <c r="AR602" s="22"/>
      <c r="AS602" s="22"/>
      <c r="AT602" s="170"/>
      <c r="AU602" s="170"/>
      <c r="AV602" s="135">
        <v>58460004</v>
      </c>
      <c r="AW602" s="170"/>
      <c r="AX602" s="170"/>
      <c r="AY602" s="170"/>
      <c r="AZ602" s="170"/>
      <c r="BA602" s="170"/>
      <c r="BB602" s="170"/>
      <c r="BC602" s="170"/>
      <c r="BD602" s="170"/>
      <c r="BE602" s="137" t="s">
        <v>115</v>
      </c>
      <c r="BF602" s="137" t="s">
        <v>1890</v>
      </c>
      <c r="BG602" s="139" t="s">
        <v>1891</v>
      </c>
      <c r="BH602" s="220"/>
      <c r="BI602" s="140">
        <v>58460004</v>
      </c>
      <c r="BJ602" s="220"/>
      <c r="BK602" s="46">
        <f t="shared" si="1"/>
        <v>1</v>
      </c>
      <c r="BL602" s="46"/>
      <c r="BM602" s="46"/>
      <c r="BN602" s="46"/>
    </row>
    <row r="603" spans="1:66" ht="12.75" hidden="1" customHeight="1">
      <c r="A603" s="22">
        <v>601</v>
      </c>
      <c r="B603" s="22" t="s">
        <v>1892</v>
      </c>
      <c r="C603" s="22" t="str">
        <f t="shared" si="0"/>
        <v>Rh factor</v>
      </c>
      <c r="D603" s="24" t="s">
        <v>1892</v>
      </c>
      <c r="E603" s="22" t="s">
        <v>96</v>
      </c>
      <c r="F603" s="24" t="s">
        <v>1787</v>
      </c>
      <c r="G603" s="24" t="s">
        <v>1866</v>
      </c>
      <c r="H603" s="24"/>
      <c r="I603" s="24">
        <v>1</v>
      </c>
      <c r="J603" s="24" t="s">
        <v>1767</v>
      </c>
      <c r="K603" s="24"/>
      <c r="L603" s="24"/>
      <c r="M603" s="24"/>
      <c r="N603" s="24"/>
      <c r="O603" s="24"/>
      <c r="P603" s="170"/>
      <c r="Q603" s="170"/>
      <c r="R603" s="162" t="s">
        <v>1892</v>
      </c>
      <c r="S603" s="163" t="s">
        <v>1893</v>
      </c>
      <c r="T603" s="163" t="s">
        <v>1894</v>
      </c>
      <c r="U603" s="163" t="s">
        <v>202</v>
      </c>
      <c r="V603" s="163"/>
      <c r="W603" s="163"/>
      <c r="X603" s="164"/>
      <c r="Y603" s="164"/>
      <c r="Z603" s="24"/>
      <c r="AA603" s="170"/>
      <c r="AB603" s="163" t="s">
        <v>113</v>
      </c>
      <c r="AC603" s="251"/>
      <c r="AD603" s="170"/>
      <c r="AE603" s="24"/>
      <c r="AF603" s="170"/>
      <c r="AG603" s="22"/>
      <c r="AH603" s="45"/>
      <c r="AI603" s="24"/>
      <c r="AJ603" s="164" t="s">
        <v>115</v>
      </c>
      <c r="AK603" s="22"/>
      <c r="AL603" s="22"/>
      <c r="AM603" s="22"/>
      <c r="AN603" s="22"/>
      <c r="AO603" s="22"/>
      <c r="AP603" s="22"/>
      <c r="AQ603" s="22"/>
      <c r="AR603" s="22"/>
      <c r="AS603" s="22"/>
      <c r="AT603" s="170"/>
      <c r="AU603" s="170"/>
      <c r="AV603" s="135">
        <v>165745004</v>
      </c>
      <c r="AW603" s="170"/>
      <c r="AX603" s="170"/>
      <c r="AY603" s="170"/>
      <c r="AZ603" s="170"/>
      <c r="BA603" s="170"/>
      <c r="BB603" s="170"/>
      <c r="BC603" s="170"/>
      <c r="BD603" s="170"/>
      <c r="BE603" s="137" t="s">
        <v>115</v>
      </c>
      <c r="BF603" s="137" t="s">
        <v>1895</v>
      </c>
      <c r="BG603" s="139" t="s">
        <v>1896</v>
      </c>
      <c r="BH603" s="220"/>
      <c r="BI603" s="140">
        <v>165745004</v>
      </c>
      <c r="BJ603" s="220"/>
      <c r="BK603" s="46">
        <f t="shared" si="1"/>
        <v>1</v>
      </c>
      <c r="BL603" s="46"/>
      <c r="BM603" s="46"/>
      <c r="BN603" s="46"/>
    </row>
    <row r="604" spans="1:66" ht="12.75" hidden="1" customHeight="1">
      <c r="A604" s="22">
        <v>602</v>
      </c>
      <c r="B604" s="22" t="s">
        <v>1302</v>
      </c>
      <c r="C604" s="22" t="e">
        <f t="shared" ca="1" si="0"/>
        <v>#NAME?</v>
      </c>
      <c r="D604" s="24" t="s">
        <v>1122</v>
      </c>
      <c r="E604" s="22" t="s">
        <v>180</v>
      </c>
      <c r="F604" s="24" t="s">
        <v>1892</v>
      </c>
      <c r="G604" s="24" t="s">
        <v>1866</v>
      </c>
      <c r="H604" s="24"/>
      <c r="I604" s="24">
        <v>1</v>
      </c>
      <c r="J604" s="24" t="s">
        <v>1767</v>
      </c>
      <c r="K604" s="24"/>
      <c r="L604" s="24"/>
      <c r="M604" s="24"/>
      <c r="N604" s="24"/>
      <c r="O604" s="24"/>
      <c r="P604" s="170"/>
      <c r="Q604" s="170"/>
      <c r="R604" s="247"/>
      <c r="S604" s="196"/>
      <c r="T604" s="196"/>
      <c r="U604" s="196"/>
      <c r="V604" s="194"/>
      <c r="W604" s="194" t="s">
        <v>1122</v>
      </c>
      <c r="X604" s="196"/>
      <c r="Y604" s="196"/>
      <c r="Z604" s="24"/>
      <c r="AA604" s="170"/>
      <c r="AB604" s="196"/>
      <c r="AC604" s="251"/>
      <c r="AD604" s="170"/>
      <c r="AE604" s="24"/>
      <c r="AF604" s="170"/>
      <c r="AG604" s="22"/>
      <c r="AH604" s="45"/>
      <c r="AI604" s="24"/>
      <c r="AJ604" s="196"/>
      <c r="AK604" s="22"/>
      <c r="AL604" s="22"/>
      <c r="AM604" s="22"/>
      <c r="AN604" s="22"/>
      <c r="AO604" s="22"/>
      <c r="AP604" s="22"/>
      <c r="AQ604" s="22"/>
      <c r="AR604" s="22"/>
      <c r="AS604" s="22"/>
      <c r="AT604" s="170"/>
      <c r="AU604" s="170"/>
      <c r="AV604" s="135">
        <v>10828004</v>
      </c>
      <c r="AW604" s="170"/>
      <c r="AX604" s="170"/>
      <c r="AY604" s="170"/>
      <c r="AZ604" s="170"/>
      <c r="BA604" s="170"/>
      <c r="BB604" s="170"/>
      <c r="BC604" s="170"/>
      <c r="BD604" s="170"/>
      <c r="BE604" s="143" t="s">
        <v>115</v>
      </c>
      <c r="BF604" s="143" t="s">
        <v>1897</v>
      </c>
      <c r="BG604" s="167" t="s">
        <v>1125</v>
      </c>
      <c r="BH604" s="220"/>
      <c r="BI604" s="140">
        <v>10828004</v>
      </c>
      <c r="BJ604" s="220"/>
      <c r="BK604" s="46">
        <f t="shared" si="1"/>
        <v>1</v>
      </c>
      <c r="BL604" s="46"/>
      <c r="BM604" s="46"/>
      <c r="BN604" s="46"/>
    </row>
    <row r="605" spans="1:66" ht="12.75" hidden="1" customHeight="1">
      <c r="A605" s="22">
        <v>603</v>
      </c>
      <c r="B605" s="22" t="s">
        <v>1305</v>
      </c>
      <c r="C605" s="22" t="e">
        <f t="shared" ca="1" si="0"/>
        <v>#NAME?</v>
      </c>
      <c r="D605" s="24" t="s">
        <v>1126</v>
      </c>
      <c r="E605" s="22" t="s">
        <v>180</v>
      </c>
      <c r="F605" s="24" t="s">
        <v>1892</v>
      </c>
      <c r="G605" s="24" t="s">
        <v>1866</v>
      </c>
      <c r="H605" s="24"/>
      <c r="I605" s="24">
        <v>1</v>
      </c>
      <c r="J605" s="24" t="s">
        <v>1767</v>
      </c>
      <c r="K605" s="24"/>
      <c r="L605" s="24"/>
      <c r="M605" s="24"/>
      <c r="N605" s="24"/>
      <c r="O605" s="24"/>
      <c r="P605" s="170"/>
      <c r="Q605" s="170"/>
      <c r="R605" s="247"/>
      <c r="S605" s="196"/>
      <c r="T605" s="196"/>
      <c r="U605" s="196"/>
      <c r="V605" s="194"/>
      <c r="W605" s="194" t="s">
        <v>1126</v>
      </c>
      <c r="X605" s="196"/>
      <c r="Y605" s="196"/>
      <c r="Z605" s="24"/>
      <c r="AA605" s="170"/>
      <c r="AB605" s="196"/>
      <c r="AC605" s="251"/>
      <c r="AD605" s="170"/>
      <c r="AE605" s="24"/>
      <c r="AF605" s="170"/>
      <c r="AG605" s="22"/>
      <c r="AH605" s="45"/>
      <c r="AI605" s="24"/>
      <c r="AJ605" s="196"/>
      <c r="AK605" s="22"/>
      <c r="AL605" s="22"/>
      <c r="AM605" s="22"/>
      <c r="AN605" s="22"/>
      <c r="AO605" s="22"/>
      <c r="AP605" s="22"/>
      <c r="AQ605" s="22"/>
      <c r="AR605" s="22"/>
      <c r="AS605" s="22"/>
      <c r="AT605" s="170"/>
      <c r="AU605" s="170"/>
      <c r="AV605" s="135">
        <v>260385009</v>
      </c>
      <c r="AW605" s="170"/>
      <c r="AX605" s="170"/>
      <c r="AY605" s="170"/>
      <c r="AZ605" s="170"/>
      <c r="BA605" s="170"/>
      <c r="BB605" s="170"/>
      <c r="BC605" s="170"/>
      <c r="BD605" s="170"/>
      <c r="BE605" s="143" t="s">
        <v>115</v>
      </c>
      <c r="BF605" s="143" t="s">
        <v>1128</v>
      </c>
      <c r="BG605" s="167" t="s">
        <v>1129</v>
      </c>
      <c r="BH605" s="311"/>
      <c r="BI605" s="145">
        <v>260385009</v>
      </c>
      <c r="BJ605" s="311"/>
      <c r="BK605" s="46">
        <f t="shared" si="1"/>
        <v>1</v>
      </c>
      <c r="BL605" s="46"/>
      <c r="BM605" s="46"/>
      <c r="BN605" s="46"/>
    </row>
    <row r="606" spans="1:66" ht="12.75" hidden="1" customHeight="1">
      <c r="A606" s="22">
        <v>604</v>
      </c>
      <c r="B606" s="22" t="s">
        <v>1898</v>
      </c>
      <c r="C606" s="22" t="str">
        <f t="shared" si="0"/>
        <v>HIV test</v>
      </c>
      <c r="D606" s="24" t="s">
        <v>1898</v>
      </c>
      <c r="E606" s="22" t="s">
        <v>96</v>
      </c>
      <c r="F606" s="24" t="s">
        <v>1787</v>
      </c>
      <c r="G606" s="24" t="s">
        <v>887</v>
      </c>
      <c r="H606" s="24"/>
      <c r="I606" s="24">
        <v>1</v>
      </c>
      <c r="J606" s="24" t="s">
        <v>1767</v>
      </c>
      <c r="K606" s="24"/>
      <c r="L606" s="24"/>
      <c r="M606" s="24"/>
      <c r="N606" s="24"/>
      <c r="O606" s="24"/>
      <c r="P606" s="170"/>
      <c r="Q606" s="170"/>
      <c r="R606" s="162" t="s">
        <v>1898</v>
      </c>
      <c r="S606" s="163" t="s">
        <v>1899</v>
      </c>
      <c r="T606" s="163" t="s">
        <v>1900</v>
      </c>
      <c r="U606" s="163" t="s">
        <v>202</v>
      </c>
      <c r="V606" s="163"/>
      <c r="W606" s="163"/>
      <c r="X606" s="164"/>
      <c r="Y606" s="164"/>
      <c r="Z606" s="24"/>
      <c r="AA606" s="170"/>
      <c r="AB606" s="163" t="s">
        <v>113</v>
      </c>
      <c r="AC606" s="251"/>
      <c r="AD606" s="170"/>
      <c r="AE606" s="24"/>
      <c r="AF606" s="170"/>
      <c r="AG606" s="22"/>
      <c r="AH606" s="45"/>
      <c r="AI606" s="24"/>
      <c r="AJ606" s="164" t="s">
        <v>1901</v>
      </c>
      <c r="AK606" s="22"/>
      <c r="AL606" s="22"/>
      <c r="AM606" s="22"/>
      <c r="AN606" s="22"/>
      <c r="AO606" s="22"/>
      <c r="AP606" s="22"/>
      <c r="AQ606" s="22"/>
      <c r="AR606" s="22"/>
      <c r="AS606" s="22"/>
      <c r="AT606" s="363"/>
      <c r="AU606" s="363"/>
      <c r="AV606" s="363"/>
      <c r="AW606" s="363"/>
      <c r="AX606" s="363"/>
      <c r="AY606" s="363"/>
      <c r="AZ606" s="363"/>
      <c r="BA606" s="363"/>
      <c r="BB606" s="363"/>
      <c r="BC606" s="363"/>
      <c r="BD606" s="363"/>
      <c r="BE606" s="137" t="s">
        <v>1902</v>
      </c>
      <c r="BF606" s="143" t="s">
        <v>1773</v>
      </c>
      <c r="BG606" s="139" t="s">
        <v>1774</v>
      </c>
      <c r="BH606" s="313"/>
      <c r="BI606" s="276"/>
      <c r="BJ606" s="276"/>
      <c r="BK606" s="46">
        <f t="shared" si="1"/>
        <v>1</v>
      </c>
      <c r="BL606" s="46"/>
      <c r="BM606" s="46"/>
      <c r="BN606" s="46"/>
    </row>
    <row r="607" spans="1:66" ht="12.75" hidden="1" customHeight="1">
      <c r="A607" s="22">
        <v>605</v>
      </c>
      <c r="B607" s="22" t="s">
        <v>2651</v>
      </c>
      <c r="C607" s="22" t="e">
        <f t="shared" ca="1" si="0"/>
        <v>#NAME?</v>
      </c>
      <c r="D607" s="24" t="s">
        <v>1775</v>
      </c>
      <c r="E607" s="22" t="s">
        <v>180</v>
      </c>
      <c r="F607" s="24" t="s">
        <v>1898</v>
      </c>
      <c r="G607" s="24" t="s">
        <v>887</v>
      </c>
      <c r="H607" s="24"/>
      <c r="I607" s="24">
        <v>1</v>
      </c>
      <c r="J607" s="24" t="s">
        <v>1767</v>
      </c>
      <c r="K607" s="24"/>
      <c r="L607" s="24"/>
      <c r="M607" s="24"/>
      <c r="N607" s="24"/>
      <c r="O607" s="24"/>
      <c r="P607" s="170"/>
      <c r="Q607" s="170"/>
      <c r="R607" s="162"/>
      <c r="S607" s="163"/>
      <c r="T607" s="163"/>
      <c r="U607" s="163"/>
      <c r="V607" s="163"/>
      <c r="W607" s="163" t="s">
        <v>1775</v>
      </c>
      <c r="X607" s="163"/>
      <c r="Y607" s="163"/>
      <c r="Z607" s="24"/>
      <c r="AA607" s="170"/>
      <c r="AB607" s="163"/>
      <c r="AC607" s="251"/>
      <c r="AD607" s="170"/>
      <c r="AE607" s="24"/>
      <c r="AF607" s="170"/>
      <c r="AG607" s="22"/>
      <c r="AH607" s="45"/>
      <c r="AI607" s="24"/>
      <c r="AJ607" s="164"/>
      <c r="AK607" s="22"/>
      <c r="AL607" s="22"/>
      <c r="AM607" s="22"/>
      <c r="AN607" s="22"/>
      <c r="AO607" s="22"/>
      <c r="AP607" s="22"/>
      <c r="AQ607" s="22"/>
      <c r="AR607" s="22"/>
      <c r="AS607" s="22"/>
      <c r="AT607" s="363"/>
      <c r="AU607" s="363"/>
      <c r="AV607" s="363"/>
      <c r="AW607" s="363"/>
      <c r="AX607" s="363"/>
      <c r="AY607" s="363"/>
      <c r="AZ607" s="363"/>
      <c r="BA607" s="363"/>
      <c r="BB607" s="363"/>
      <c r="BC607" s="363"/>
      <c r="BD607" s="363"/>
      <c r="BE607" s="137" t="s">
        <v>115</v>
      </c>
      <c r="BF607" s="137" t="s">
        <v>1777</v>
      </c>
      <c r="BG607" s="139" t="s">
        <v>1778</v>
      </c>
      <c r="BH607" s="313"/>
      <c r="BI607" s="276"/>
      <c r="BJ607" s="276"/>
      <c r="BK607" s="46">
        <f t="shared" si="1"/>
        <v>1</v>
      </c>
      <c r="BL607" s="46"/>
      <c r="BM607" s="46"/>
      <c r="BN607" s="46"/>
    </row>
    <row r="608" spans="1:66" ht="12.75" hidden="1" customHeight="1">
      <c r="A608" s="22">
        <v>606</v>
      </c>
      <c r="B608" s="22" t="s">
        <v>2655</v>
      </c>
      <c r="C608" s="22" t="e">
        <f t="shared" ca="1" si="0"/>
        <v>#NAME?</v>
      </c>
      <c r="D608" s="24" t="s">
        <v>1779</v>
      </c>
      <c r="E608" s="22" t="s">
        <v>180</v>
      </c>
      <c r="F608" s="24" t="s">
        <v>1898</v>
      </c>
      <c r="G608" s="24" t="s">
        <v>887</v>
      </c>
      <c r="H608" s="24"/>
      <c r="I608" s="24">
        <v>1</v>
      </c>
      <c r="J608" s="24" t="s">
        <v>1767</v>
      </c>
      <c r="K608" s="24"/>
      <c r="L608" s="24"/>
      <c r="M608" s="24"/>
      <c r="N608" s="24"/>
      <c r="O608" s="24"/>
      <c r="P608" s="170"/>
      <c r="Q608" s="170"/>
      <c r="R608" s="162"/>
      <c r="S608" s="163"/>
      <c r="T608" s="163"/>
      <c r="U608" s="163"/>
      <c r="V608" s="193"/>
      <c r="W608" s="194" t="s">
        <v>1779</v>
      </c>
      <c r="X608" s="163"/>
      <c r="Y608" s="163"/>
      <c r="Z608" s="24"/>
      <c r="AA608" s="170"/>
      <c r="AB608" s="163"/>
      <c r="AC608" s="251"/>
      <c r="AD608" s="170"/>
      <c r="AE608" s="24"/>
      <c r="AF608" s="170"/>
      <c r="AG608" s="22"/>
      <c r="AH608" s="45"/>
      <c r="AI608" s="24"/>
      <c r="AJ608" s="164"/>
      <c r="AK608" s="22"/>
      <c r="AL608" s="22"/>
      <c r="AM608" s="22"/>
      <c r="AN608" s="22"/>
      <c r="AO608" s="22"/>
      <c r="AP608" s="22"/>
      <c r="AQ608" s="22"/>
      <c r="AR608" s="22"/>
      <c r="AS608" s="22"/>
      <c r="AT608" s="372"/>
      <c r="AU608" s="372"/>
      <c r="AV608" s="367" t="s">
        <v>1871</v>
      </c>
      <c r="AW608" s="372"/>
      <c r="AX608" s="372"/>
      <c r="AY608" s="372"/>
      <c r="AZ608" s="372"/>
      <c r="BA608" s="372"/>
      <c r="BB608" s="372"/>
      <c r="BC608" s="372"/>
      <c r="BD608" s="372"/>
      <c r="BE608" s="137" t="s">
        <v>115</v>
      </c>
      <c r="BF608" s="137" t="s">
        <v>1781</v>
      </c>
      <c r="BG608" s="139" t="s">
        <v>1782</v>
      </c>
      <c r="BH608" s="220"/>
      <c r="BI608" s="373" t="s">
        <v>1871</v>
      </c>
      <c r="BJ608" s="220"/>
      <c r="BK608" s="46">
        <f t="shared" si="1"/>
        <v>1</v>
      </c>
      <c r="BL608" s="46"/>
      <c r="BM608" s="46"/>
      <c r="BN608" s="46"/>
    </row>
    <row r="609" spans="1:66" ht="12.75" hidden="1" customHeight="1">
      <c r="A609" s="22">
        <v>607</v>
      </c>
      <c r="B609" s="22" t="s">
        <v>2661</v>
      </c>
      <c r="C609" s="22" t="e">
        <f t="shared" ca="1" si="0"/>
        <v>#NAME?</v>
      </c>
      <c r="D609" s="24" t="s">
        <v>1783</v>
      </c>
      <c r="E609" s="22" t="s">
        <v>180</v>
      </c>
      <c r="F609" s="24" t="s">
        <v>1898</v>
      </c>
      <c r="G609" s="24" t="s">
        <v>887</v>
      </c>
      <c r="H609" s="24"/>
      <c r="I609" s="24">
        <v>1</v>
      </c>
      <c r="J609" s="24" t="s">
        <v>1767</v>
      </c>
      <c r="K609" s="24"/>
      <c r="L609" s="24"/>
      <c r="M609" s="24"/>
      <c r="N609" s="24"/>
      <c r="O609" s="24"/>
      <c r="P609" s="170"/>
      <c r="Q609" s="170"/>
      <c r="R609" s="162"/>
      <c r="S609" s="163"/>
      <c r="T609" s="163"/>
      <c r="U609" s="163"/>
      <c r="V609" s="193"/>
      <c r="W609" s="194" t="s">
        <v>1783</v>
      </c>
      <c r="X609" s="163"/>
      <c r="Y609" s="163"/>
      <c r="Z609" s="24"/>
      <c r="AA609" s="170"/>
      <c r="AB609" s="163"/>
      <c r="AC609" s="251"/>
      <c r="AD609" s="170"/>
      <c r="AE609" s="24"/>
      <c r="AF609" s="170"/>
      <c r="AG609" s="22"/>
      <c r="AH609" s="45"/>
      <c r="AI609" s="24"/>
      <c r="AJ609" s="164"/>
      <c r="AK609" s="22"/>
      <c r="AL609" s="22"/>
      <c r="AM609" s="22"/>
      <c r="AN609" s="22"/>
      <c r="AO609" s="22"/>
      <c r="AP609" s="22"/>
      <c r="AQ609" s="22"/>
      <c r="AR609" s="22"/>
      <c r="AS609" s="22"/>
      <c r="AT609" s="372"/>
      <c r="AU609" s="372"/>
      <c r="AV609" s="135">
        <v>721963009</v>
      </c>
      <c r="AW609" s="372"/>
      <c r="AX609" s="372"/>
      <c r="AY609" s="372"/>
      <c r="AZ609" s="372"/>
      <c r="BA609" s="372"/>
      <c r="BB609" s="372"/>
      <c r="BC609" s="372"/>
      <c r="BD609" s="372"/>
      <c r="BE609" s="137" t="s">
        <v>115</v>
      </c>
      <c r="BF609" s="137" t="s">
        <v>1784</v>
      </c>
      <c r="BG609" s="167" t="s">
        <v>1785</v>
      </c>
      <c r="BH609" s="220"/>
      <c r="BI609" s="140">
        <v>721963009</v>
      </c>
      <c r="BJ609" s="220"/>
      <c r="BK609" s="46">
        <f t="shared" si="1"/>
        <v>1</v>
      </c>
      <c r="BL609" s="46"/>
      <c r="BM609" s="46"/>
      <c r="BN609" s="46"/>
    </row>
    <row r="610" spans="1:66" ht="12.75" hidden="1" customHeight="1">
      <c r="A610" s="22">
        <v>608</v>
      </c>
      <c r="B610" s="22" t="s">
        <v>2118</v>
      </c>
      <c r="C610" s="22" t="e">
        <f t="shared" ca="1" si="0"/>
        <v>#NAME?</v>
      </c>
      <c r="D610" s="24" t="s">
        <v>1468</v>
      </c>
      <c r="E610" s="22" t="s">
        <v>180</v>
      </c>
      <c r="F610" s="24" t="s">
        <v>1898</v>
      </c>
      <c r="G610" s="24" t="s">
        <v>887</v>
      </c>
      <c r="H610" s="24"/>
      <c r="I610" s="24">
        <v>1</v>
      </c>
      <c r="J610" s="24" t="s">
        <v>1767</v>
      </c>
      <c r="K610" s="24"/>
      <c r="L610" s="24"/>
      <c r="M610" s="24"/>
      <c r="N610" s="24"/>
      <c r="O610" s="24"/>
      <c r="P610" s="170"/>
      <c r="Q610" s="170"/>
      <c r="R610" s="162"/>
      <c r="S610" s="163"/>
      <c r="T610" s="163"/>
      <c r="U610" s="163"/>
      <c r="V610" s="193"/>
      <c r="W610" s="194" t="s">
        <v>1468</v>
      </c>
      <c r="X610" s="163"/>
      <c r="Y610" s="163"/>
      <c r="Z610" s="24"/>
      <c r="AA610" s="170"/>
      <c r="AB610" s="163"/>
      <c r="AC610" s="251"/>
      <c r="AD610" s="170"/>
      <c r="AE610" s="24"/>
      <c r="AF610" s="170"/>
      <c r="AG610" s="22"/>
      <c r="AH610" s="45"/>
      <c r="AI610" s="24"/>
      <c r="AJ610" s="164"/>
      <c r="AK610" s="22"/>
      <c r="AL610" s="22"/>
      <c r="AM610" s="22"/>
      <c r="AN610" s="22"/>
      <c r="AO610" s="22"/>
      <c r="AP610" s="22"/>
      <c r="AQ610" s="22"/>
      <c r="AR610" s="22"/>
      <c r="AS610" s="22"/>
      <c r="AT610" s="372"/>
      <c r="AU610" s="372"/>
      <c r="AV610" s="135">
        <v>385660001</v>
      </c>
      <c r="AW610" s="372"/>
      <c r="AX610" s="372"/>
      <c r="AY610" s="372"/>
      <c r="AZ610" s="372"/>
      <c r="BA610" s="372"/>
      <c r="BB610" s="372"/>
      <c r="BC610" s="372"/>
      <c r="BD610" s="372"/>
      <c r="BE610" s="137" t="s">
        <v>115</v>
      </c>
      <c r="BF610" s="137" t="s">
        <v>1469</v>
      </c>
      <c r="BG610" s="167" t="s">
        <v>1470</v>
      </c>
      <c r="BH610" s="220"/>
      <c r="BI610" s="145">
        <v>385660001</v>
      </c>
      <c r="BJ610" s="220"/>
      <c r="BK610" s="46">
        <f t="shared" si="1"/>
        <v>1</v>
      </c>
      <c r="BL610" s="46"/>
      <c r="BM610" s="46"/>
      <c r="BN610" s="46"/>
    </row>
    <row r="611" spans="1:66" ht="12.75" hidden="1" customHeight="1">
      <c r="A611" s="22">
        <v>609</v>
      </c>
      <c r="B611" s="22" t="s">
        <v>1903</v>
      </c>
      <c r="C611" s="22" t="str">
        <f t="shared" si="0"/>
        <v>Reason HIV test not done</v>
      </c>
      <c r="D611" s="24" t="s">
        <v>1903</v>
      </c>
      <c r="E611" s="22" t="s">
        <v>96</v>
      </c>
      <c r="F611" s="24" t="s">
        <v>1787</v>
      </c>
      <c r="G611" s="24" t="s">
        <v>887</v>
      </c>
      <c r="H611" s="24"/>
      <c r="I611" s="24">
        <v>1</v>
      </c>
      <c r="J611" s="24" t="s">
        <v>1767</v>
      </c>
      <c r="K611" s="24"/>
      <c r="L611" s="24"/>
      <c r="M611" s="24"/>
      <c r="N611" s="24"/>
      <c r="O611" s="24"/>
      <c r="P611" s="170"/>
      <c r="Q611" s="170"/>
      <c r="R611" s="162" t="s">
        <v>1376</v>
      </c>
      <c r="S611" s="163" t="s">
        <v>1904</v>
      </c>
      <c r="T611" s="163" t="s">
        <v>1905</v>
      </c>
      <c r="U611" s="163" t="s">
        <v>238</v>
      </c>
      <c r="V611" s="163"/>
      <c r="W611" s="163"/>
      <c r="X611" s="163"/>
      <c r="Y611" s="163"/>
      <c r="Z611" s="24"/>
      <c r="AA611" s="170"/>
      <c r="AB611" s="163" t="s">
        <v>113</v>
      </c>
      <c r="AC611" s="251"/>
      <c r="AD611" s="170"/>
      <c r="AE611" s="24"/>
      <c r="AF611" s="170"/>
      <c r="AG611" s="22"/>
      <c r="AH611" s="45"/>
      <c r="AI611" s="24"/>
      <c r="AJ611" s="164" t="s">
        <v>115</v>
      </c>
      <c r="AK611" s="22"/>
      <c r="AL611" s="22"/>
      <c r="AM611" s="22"/>
      <c r="AN611" s="22"/>
      <c r="AO611" s="22"/>
      <c r="AP611" s="22"/>
      <c r="AQ611" s="22"/>
      <c r="AR611" s="22"/>
      <c r="AS611" s="22"/>
      <c r="AT611" s="372"/>
      <c r="AU611" s="372"/>
      <c r="AV611" s="172" t="s">
        <v>1906</v>
      </c>
      <c r="AW611" s="372"/>
      <c r="AX611" s="372"/>
      <c r="AY611" s="372"/>
      <c r="AZ611" s="372"/>
      <c r="BA611" s="372"/>
      <c r="BB611" s="372"/>
      <c r="BC611" s="372"/>
      <c r="BD611" s="372"/>
      <c r="BE611" s="137" t="s">
        <v>115</v>
      </c>
      <c r="BF611" s="137" t="s">
        <v>1907</v>
      </c>
      <c r="BG611" s="139" t="s">
        <v>1908</v>
      </c>
      <c r="BH611" s="220"/>
      <c r="BI611" s="173" t="s">
        <v>1906</v>
      </c>
      <c r="BJ611" s="220"/>
      <c r="BK611" s="46">
        <f t="shared" si="1"/>
        <v>1</v>
      </c>
      <c r="BL611" s="46"/>
      <c r="BM611" s="46"/>
      <c r="BN611" s="46"/>
    </row>
    <row r="612" spans="1:66" ht="12.75" hidden="1" customHeight="1">
      <c r="A612" s="22">
        <v>610</v>
      </c>
      <c r="B612" s="22" t="s">
        <v>2870</v>
      </c>
      <c r="C612" s="22" t="e">
        <f t="shared" ca="1" si="0"/>
        <v>#NAME?</v>
      </c>
      <c r="D612" s="24" t="s">
        <v>1909</v>
      </c>
      <c r="E612" s="22" t="s">
        <v>180</v>
      </c>
      <c r="F612" s="24" t="s">
        <v>1903</v>
      </c>
      <c r="G612" s="24" t="s">
        <v>887</v>
      </c>
      <c r="H612" s="24"/>
      <c r="I612" s="24">
        <v>1</v>
      </c>
      <c r="J612" s="24" t="s">
        <v>1767</v>
      </c>
      <c r="K612" s="24"/>
      <c r="L612" s="24"/>
      <c r="M612" s="24"/>
      <c r="N612" s="24"/>
      <c r="O612" s="24"/>
      <c r="P612" s="170"/>
      <c r="Q612" s="170"/>
      <c r="R612" s="247"/>
      <c r="S612" s="196"/>
      <c r="T612" s="196"/>
      <c r="U612" s="196"/>
      <c r="V612" s="194"/>
      <c r="W612" s="194" t="s">
        <v>1909</v>
      </c>
      <c r="X612" s="196"/>
      <c r="Y612" s="196"/>
      <c r="Z612" s="24"/>
      <c r="AA612" s="170"/>
      <c r="AB612" s="196"/>
      <c r="AC612" s="251"/>
      <c r="AD612" s="170"/>
      <c r="AE612" s="24"/>
      <c r="AF612" s="170"/>
      <c r="AG612" s="22"/>
      <c r="AH612" s="45"/>
      <c r="AI612" s="24"/>
      <c r="AJ612" s="196"/>
      <c r="AK612" s="22"/>
      <c r="AL612" s="22"/>
      <c r="AM612" s="22"/>
      <c r="AN612" s="22"/>
      <c r="AO612" s="22"/>
      <c r="AP612" s="22"/>
      <c r="AQ612" s="22"/>
      <c r="AR612" s="22"/>
      <c r="AS612" s="22"/>
      <c r="AT612" s="372"/>
      <c r="AU612" s="372"/>
      <c r="AV612" s="148">
        <v>419182006</v>
      </c>
      <c r="AW612" s="372"/>
      <c r="AX612" s="372"/>
      <c r="AY612" s="372"/>
      <c r="AZ612" s="372"/>
      <c r="BA612" s="372"/>
      <c r="BB612" s="372"/>
      <c r="BC612" s="372"/>
      <c r="BD612" s="372"/>
      <c r="BE612" s="143" t="s">
        <v>115</v>
      </c>
      <c r="BF612" s="143" t="s">
        <v>1910</v>
      </c>
      <c r="BG612" s="167" t="s">
        <v>1911</v>
      </c>
      <c r="BH612" s="220"/>
      <c r="BI612" s="150">
        <v>419182006</v>
      </c>
      <c r="BJ612" s="220"/>
      <c r="BK612" s="46">
        <f t="shared" si="1"/>
        <v>1</v>
      </c>
      <c r="BL612" s="46"/>
      <c r="BM612" s="46"/>
      <c r="BN612" s="46"/>
    </row>
    <row r="613" spans="1:66" ht="12.75" hidden="1" customHeight="1">
      <c r="A613" s="22">
        <v>611</v>
      </c>
      <c r="B613" s="22" t="s">
        <v>2877</v>
      </c>
      <c r="C613" s="22" t="e">
        <f t="shared" ca="1" si="0"/>
        <v>#NAME?</v>
      </c>
      <c r="D613" s="24" t="s">
        <v>1912</v>
      </c>
      <c r="E613" s="22" t="s">
        <v>180</v>
      </c>
      <c r="F613" s="24" t="s">
        <v>1903</v>
      </c>
      <c r="G613" s="24" t="s">
        <v>887</v>
      </c>
      <c r="H613" s="24"/>
      <c r="I613" s="24">
        <v>1</v>
      </c>
      <c r="J613" s="24" t="s">
        <v>1767</v>
      </c>
      <c r="K613" s="24"/>
      <c r="L613" s="24"/>
      <c r="M613" s="24"/>
      <c r="N613" s="24"/>
      <c r="O613" s="24"/>
      <c r="P613" s="170"/>
      <c r="Q613" s="170"/>
      <c r="R613" s="247"/>
      <c r="S613" s="196"/>
      <c r="T613" s="196"/>
      <c r="U613" s="196"/>
      <c r="V613" s="194"/>
      <c r="W613" s="194" t="s">
        <v>1912</v>
      </c>
      <c r="X613" s="196"/>
      <c r="Y613" s="196"/>
      <c r="Z613" s="24"/>
      <c r="AA613" s="170"/>
      <c r="AB613" s="196"/>
      <c r="AC613" s="251"/>
      <c r="AD613" s="170"/>
      <c r="AE613" s="24"/>
      <c r="AF613" s="170"/>
      <c r="AG613" s="22"/>
      <c r="AH613" s="45"/>
      <c r="AI613" s="24"/>
      <c r="AJ613" s="196"/>
      <c r="AK613" s="22"/>
      <c r="AL613" s="22"/>
      <c r="AM613" s="22"/>
      <c r="AN613" s="22"/>
      <c r="AO613" s="22"/>
      <c r="AP613" s="22"/>
      <c r="AQ613" s="22"/>
      <c r="AR613" s="22"/>
      <c r="AS613" s="22"/>
      <c r="AT613" s="372"/>
      <c r="AU613" s="372"/>
      <c r="AV613" s="148">
        <v>405663000</v>
      </c>
      <c r="AW613" s="372"/>
      <c r="AX613" s="372"/>
      <c r="AY613" s="372"/>
      <c r="AZ613" s="372"/>
      <c r="BA613" s="372"/>
      <c r="BB613" s="372"/>
      <c r="BC613" s="372"/>
      <c r="BD613" s="372"/>
      <c r="BE613" s="143" t="s">
        <v>115</v>
      </c>
      <c r="BF613" s="143" t="s">
        <v>1913</v>
      </c>
      <c r="BG613" s="167" t="s">
        <v>1914</v>
      </c>
      <c r="BH613" s="220"/>
      <c r="BI613" s="150">
        <v>405663000</v>
      </c>
      <c r="BJ613" s="220"/>
      <c r="BK613" s="46">
        <f t="shared" si="1"/>
        <v>1</v>
      </c>
      <c r="BL613" s="46"/>
      <c r="BM613" s="46"/>
      <c r="BN613" s="46"/>
    </row>
    <row r="614" spans="1:66" ht="12.75" hidden="1" customHeight="1">
      <c r="A614" s="22">
        <v>612</v>
      </c>
      <c r="B614" s="22" t="s">
        <v>535</v>
      </c>
      <c r="C614" s="22" t="e">
        <f t="shared" ca="1" si="0"/>
        <v>#NAME?</v>
      </c>
      <c r="D614" s="24" t="s">
        <v>405</v>
      </c>
      <c r="E614" s="22" t="s">
        <v>180</v>
      </c>
      <c r="F614" s="24" t="s">
        <v>1903</v>
      </c>
      <c r="G614" s="24" t="s">
        <v>887</v>
      </c>
      <c r="H614" s="24"/>
      <c r="I614" s="24">
        <v>1</v>
      </c>
      <c r="J614" s="24" t="s">
        <v>1767</v>
      </c>
      <c r="K614" s="24"/>
      <c r="L614" s="24"/>
      <c r="M614" s="24"/>
      <c r="N614" s="24"/>
      <c r="O614" s="24"/>
      <c r="P614" s="170"/>
      <c r="Q614" s="170"/>
      <c r="R614" s="247"/>
      <c r="S614" s="196"/>
      <c r="T614" s="196"/>
      <c r="U614" s="196"/>
      <c r="V614" s="194"/>
      <c r="W614" s="194" t="s">
        <v>405</v>
      </c>
      <c r="X614" s="196"/>
      <c r="Y614" s="196"/>
      <c r="Z614" s="24"/>
      <c r="AA614" s="170"/>
      <c r="AB614" s="196"/>
      <c r="AC614" s="251"/>
      <c r="AD614" s="170"/>
      <c r="AE614" s="24"/>
      <c r="AF614" s="170"/>
      <c r="AG614" s="22"/>
      <c r="AH614" s="45"/>
      <c r="AI614" s="24"/>
      <c r="AJ614" s="196"/>
      <c r="AK614" s="22"/>
      <c r="AL614" s="22"/>
      <c r="AM614" s="22"/>
      <c r="AN614" s="22"/>
      <c r="AO614" s="22"/>
      <c r="AP614" s="22"/>
      <c r="AQ614" s="22"/>
      <c r="AR614" s="22"/>
      <c r="AS614" s="22"/>
      <c r="AT614" s="372"/>
      <c r="AU614" s="372"/>
      <c r="AV614" s="367" t="s">
        <v>1585</v>
      </c>
      <c r="AW614" s="372"/>
      <c r="AX614" s="372"/>
      <c r="AY614" s="372"/>
      <c r="AZ614" s="372"/>
      <c r="BA614" s="372"/>
      <c r="BB614" s="372"/>
      <c r="BC614" s="372"/>
      <c r="BD614" s="372"/>
      <c r="BE614" s="143" t="s">
        <v>115</v>
      </c>
      <c r="BF614" s="143" t="s">
        <v>406</v>
      </c>
      <c r="BG614" s="167" t="s">
        <v>407</v>
      </c>
      <c r="BH614" s="220"/>
      <c r="BI614" s="373" t="s">
        <v>1585</v>
      </c>
      <c r="BJ614" s="220"/>
      <c r="BK614" s="46">
        <f t="shared" si="1"/>
        <v>1</v>
      </c>
      <c r="BL614" s="46"/>
      <c r="BM614" s="46"/>
      <c r="BN614" s="46"/>
    </row>
    <row r="615" spans="1:66" ht="12.75" hidden="1" customHeight="1">
      <c r="A615" s="22">
        <v>613</v>
      </c>
      <c r="B615" s="22" t="s">
        <v>1915</v>
      </c>
      <c r="C615" s="22" t="str">
        <f t="shared" si="0"/>
        <v>Specify - Reason HIV test not done</v>
      </c>
      <c r="D615" s="24" t="s">
        <v>1915</v>
      </c>
      <c r="E615" s="22" t="s">
        <v>96</v>
      </c>
      <c r="F615" s="24" t="s">
        <v>1787</v>
      </c>
      <c r="G615" s="24" t="s">
        <v>887</v>
      </c>
      <c r="H615" s="24"/>
      <c r="I615" s="24">
        <v>1</v>
      </c>
      <c r="J615" s="24" t="s">
        <v>1767</v>
      </c>
      <c r="K615" s="24"/>
      <c r="L615" s="24"/>
      <c r="M615" s="24"/>
      <c r="N615" s="24"/>
      <c r="O615" s="24"/>
      <c r="P615" s="170"/>
      <c r="Q615" s="170"/>
      <c r="R615" s="247" t="s">
        <v>409</v>
      </c>
      <c r="S615" s="196" t="s">
        <v>1916</v>
      </c>
      <c r="T615" s="196" t="s">
        <v>1917</v>
      </c>
      <c r="U615" s="196" t="s">
        <v>111</v>
      </c>
      <c r="V615" s="194"/>
      <c r="W615" s="194"/>
      <c r="X615" s="196"/>
      <c r="Y615" s="196"/>
      <c r="Z615" s="24"/>
      <c r="AA615" s="170"/>
      <c r="AB615" s="196" t="s">
        <v>208</v>
      </c>
      <c r="AC615" s="251"/>
      <c r="AD615" s="170"/>
      <c r="AE615" s="24"/>
      <c r="AF615" s="170"/>
      <c r="AG615" s="22"/>
      <c r="AH615" s="45"/>
      <c r="AI615" s="24"/>
      <c r="AJ615" s="196" t="s">
        <v>115</v>
      </c>
      <c r="AK615" s="22"/>
      <c r="AL615" s="22"/>
      <c r="AM615" s="22"/>
      <c r="AN615" s="22"/>
      <c r="AO615" s="22"/>
      <c r="AP615" s="22"/>
      <c r="AQ615" s="22"/>
      <c r="AR615" s="22"/>
      <c r="AS615" s="22"/>
      <c r="AT615" s="372"/>
      <c r="AU615" s="372"/>
      <c r="AV615" s="372"/>
      <c r="AW615" s="367" t="s">
        <v>1918</v>
      </c>
      <c r="AX615" s="367"/>
      <c r="AY615" s="367"/>
      <c r="AZ615" s="367"/>
      <c r="BA615" s="367"/>
      <c r="BB615" s="367"/>
      <c r="BC615" s="367"/>
      <c r="BD615" s="367"/>
      <c r="BE615" s="143" t="s">
        <v>1919</v>
      </c>
      <c r="BF615" s="143" t="s">
        <v>415</v>
      </c>
      <c r="BG615" s="167" t="s">
        <v>416</v>
      </c>
      <c r="BH615" s="311"/>
      <c r="BI615" s="311"/>
      <c r="BJ615" s="368" t="s">
        <v>1918</v>
      </c>
      <c r="BK615" s="46">
        <f t="shared" si="1"/>
        <v>1</v>
      </c>
      <c r="BL615" s="46"/>
      <c r="BM615" s="46"/>
      <c r="BN615" s="46"/>
    </row>
    <row r="616" spans="1:66" ht="12.75" hidden="1" customHeight="1">
      <c r="A616" s="22">
        <v>614</v>
      </c>
      <c r="B616" s="22" t="s">
        <v>1920</v>
      </c>
      <c r="C616" s="22" t="str">
        <f t="shared" si="0"/>
        <v>HIV test date</v>
      </c>
      <c r="D616" s="24" t="s">
        <v>1920</v>
      </c>
      <c r="E616" s="22" t="s">
        <v>96</v>
      </c>
      <c r="F616" s="24" t="s">
        <v>1787</v>
      </c>
      <c r="G616" s="24" t="s">
        <v>887</v>
      </c>
      <c r="H616" s="24"/>
      <c r="I616" s="24">
        <v>1</v>
      </c>
      <c r="J616" s="24" t="s">
        <v>1767</v>
      </c>
      <c r="K616" s="24"/>
      <c r="L616" s="24"/>
      <c r="M616" s="24"/>
      <c r="N616" s="24"/>
      <c r="O616" s="24"/>
      <c r="P616" s="170"/>
      <c r="Q616" s="170"/>
      <c r="R616" s="247" t="s">
        <v>1920</v>
      </c>
      <c r="S616" s="196" t="s">
        <v>1921</v>
      </c>
      <c r="T616" s="196" t="s">
        <v>1922</v>
      </c>
      <c r="U616" s="196" t="s">
        <v>140</v>
      </c>
      <c r="V616" s="194"/>
      <c r="W616" s="194"/>
      <c r="X616" s="196"/>
      <c r="Y616" s="196"/>
      <c r="Z616" s="24"/>
      <c r="AA616" s="170"/>
      <c r="AB616" s="196" t="s">
        <v>113</v>
      </c>
      <c r="AC616" s="251"/>
      <c r="AD616" s="170"/>
      <c r="AE616" s="24"/>
      <c r="AF616" s="170"/>
      <c r="AG616" s="22"/>
      <c r="AH616" s="45"/>
      <c r="AI616" s="24"/>
      <c r="AJ616" s="196" t="s">
        <v>115</v>
      </c>
      <c r="AK616" s="22"/>
      <c r="AL616" s="22"/>
      <c r="AM616" s="22"/>
      <c r="AN616" s="22"/>
      <c r="AO616" s="22"/>
      <c r="AP616" s="22"/>
      <c r="AQ616" s="22"/>
      <c r="AR616" s="22"/>
      <c r="AS616" s="22"/>
      <c r="AT616" s="364"/>
      <c r="AU616" s="364"/>
      <c r="AV616" s="364"/>
      <c r="AW616" s="364"/>
      <c r="AX616" s="364"/>
      <c r="AY616" s="364"/>
      <c r="AZ616" s="364"/>
      <c r="BA616" s="364"/>
      <c r="BB616" s="364"/>
      <c r="BC616" s="364"/>
      <c r="BD616" s="364"/>
      <c r="BE616" s="143" t="s">
        <v>115</v>
      </c>
      <c r="BF616" s="143" t="s">
        <v>1923</v>
      </c>
      <c r="BG616" s="167" t="s">
        <v>1924</v>
      </c>
      <c r="BH616" s="313"/>
      <c r="BI616" s="276"/>
      <c r="BJ616" s="276"/>
      <c r="BK616" s="46">
        <f t="shared" si="1"/>
        <v>1</v>
      </c>
      <c r="BL616" s="46"/>
      <c r="BM616" s="46"/>
      <c r="BN616" s="46"/>
    </row>
    <row r="617" spans="1:66" ht="12.75" hidden="1" customHeight="1">
      <c r="A617" s="22">
        <v>615</v>
      </c>
      <c r="B617" s="22" t="s">
        <v>1925</v>
      </c>
      <c r="C617" s="22" t="str">
        <f t="shared" si="0"/>
        <v>Record result - HIV Test</v>
      </c>
      <c r="D617" s="24" t="s">
        <v>1925</v>
      </c>
      <c r="E617" s="22" t="s">
        <v>96</v>
      </c>
      <c r="F617" s="24" t="s">
        <v>1787</v>
      </c>
      <c r="G617" s="24" t="s">
        <v>887</v>
      </c>
      <c r="H617" s="24"/>
      <c r="I617" s="24">
        <v>1</v>
      </c>
      <c r="J617" s="24" t="s">
        <v>1767</v>
      </c>
      <c r="K617" s="24"/>
      <c r="L617" s="24"/>
      <c r="M617" s="24"/>
      <c r="N617" s="24"/>
      <c r="O617" s="24"/>
      <c r="P617" s="170"/>
      <c r="Q617" s="170"/>
      <c r="R617" s="162" t="s">
        <v>1926</v>
      </c>
      <c r="S617" s="163" t="s">
        <v>1927</v>
      </c>
      <c r="T617" s="163" t="s">
        <v>1928</v>
      </c>
      <c r="U617" s="163" t="s">
        <v>202</v>
      </c>
      <c r="V617" s="163"/>
      <c r="W617" s="163"/>
      <c r="X617" s="164"/>
      <c r="Y617" s="164"/>
      <c r="Z617" s="24"/>
      <c r="AA617" s="170"/>
      <c r="AB617" s="163" t="s">
        <v>113</v>
      </c>
      <c r="AC617" s="251"/>
      <c r="AD617" s="170"/>
      <c r="AE617" s="24"/>
      <c r="AF617" s="170"/>
      <c r="AG617" s="22"/>
      <c r="AH617" s="45"/>
      <c r="AI617" s="24"/>
      <c r="AJ617" s="164" t="s">
        <v>115</v>
      </c>
      <c r="AK617" s="22"/>
      <c r="AL617" s="22"/>
      <c r="AM617" s="22"/>
      <c r="AN617" s="22"/>
      <c r="AO617" s="22"/>
      <c r="AP617" s="22"/>
      <c r="AQ617" s="22"/>
      <c r="AR617" s="22"/>
      <c r="AS617" s="22"/>
      <c r="AT617" s="372"/>
      <c r="AU617" s="372"/>
      <c r="AV617" s="367" t="s">
        <v>1929</v>
      </c>
      <c r="AW617" s="372"/>
      <c r="AX617" s="372"/>
      <c r="AY617" s="372"/>
      <c r="AZ617" s="372"/>
      <c r="BA617" s="372"/>
      <c r="BB617" s="372"/>
      <c r="BC617" s="372"/>
      <c r="BD617" s="372"/>
      <c r="BE617" s="137" t="s">
        <v>115</v>
      </c>
      <c r="BF617" s="137" t="s">
        <v>1930</v>
      </c>
      <c r="BG617" s="139" t="s">
        <v>1931</v>
      </c>
      <c r="BH617" s="220"/>
      <c r="BI617" s="373" t="s">
        <v>1929</v>
      </c>
      <c r="BJ617" s="220"/>
      <c r="BK617" s="46">
        <f t="shared" si="1"/>
        <v>1</v>
      </c>
      <c r="BL617" s="46"/>
      <c r="BM617" s="46"/>
      <c r="BN617" s="46"/>
    </row>
    <row r="618" spans="1:66" ht="12.75" hidden="1" customHeight="1">
      <c r="A618" s="22">
        <v>616</v>
      </c>
      <c r="B618" s="22" t="s">
        <v>1302</v>
      </c>
      <c r="C618" s="22" t="e">
        <f t="shared" ca="1" si="0"/>
        <v>#NAME?</v>
      </c>
      <c r="D618" s="24" t="s">
        <v>1122</v>
      </c>
      <c r="E618" s="22" t="s">
        <v>180</v>
      </c>
      <c r="F618" s="24" t="s">
        <v>1926</v>
      </c>
      <c r="G618" s="24" t="s">
        <v>887</v>
      </c>
      <c r="H618" s="24"/>
      <c r="I618" s="24">
        <v>1</v>
      </c>
      <c r="J618" s="24" t="s">
        <v>1767</v>
      </c>
      <c r="K618" s="24"/>
      <c r="L618" s="24"/>
      <c r="M618" s="24"/>
      <c r="N618" s="24"/>
      <c r="O618" s="24"/>
      <c r="P618" s="170"/>
      <c r="Q618" s="170"/>
      <c r="R618" s="162"/>
      <c r="S618" s="163"/>
      <c r="T618" s="163"/>
      <c r="U618" s="163"/>
      <c r="V618" s="163"/>
      <c r="W618" s="163" t="s">
        <v>1122</v>
      </c>
      <c r="X618" s="163"/>
      <c r="Y618" s="164"/>
      <c r="Z618" s="24"/>
      <c r="AA618" s="170"/>
      <c r="AB618" s="163"/>
      <c r="AC618" s="251"/>
      <c r="AD618" s="170"/>
      <c r="AE618" s="24"/>
      <c r="AF618" s="170"/>
      <c r="AG618" s="22"/>
      <c r="AH618" s="45"/>
      <c r="AI618" s="24"/>
      <c r="AJ618" s="164"/>
      <c r="AK618" s="22"/>
      <c r="AL618" s="22"/>
      <c r="AM618" s="22"/>
      <c r="AN618" s="22"/>
      <c r="AO618" s="22"/>
      <c r="AP618" s="22"/>
      <c r="AQ618" s="22"/>
      <c r="AR618" s="22"/>
      <c r="AS618" s="22"/>
      <c r="AT618" s="372"/>
      <c r="AU618" s="372"/>
      <c r="AV618" s="135">
        <v>10828004</v>
      </c>
      <c r="AW618" s="372"/>
      <c r="AX618" s="372"/>
      <c r="AY618" s="372"/>
      <c r="AZ618" s="372"/>
      <c r="BA618" s="372"/>
      <c r="BB618" s="372"/>
      <c r="BC618" s="372"/>
      <c r="BD618" s="372"/>
      <c r="BE618" s="137" t="s">
        <v>115</v>
      </c>
      <c r="BF618" s="137" t="s">
        <v>1897</v>
      </c>
      <c r="BG618" s="139" t="s">
        <v>1125</v>
      </c>
      <c r="BH618" s="220"/>
      <c r="BI618" s="140">
        <v>10828004</v>
      </c>
      <c r="BJ618" s="220"/>
      <c r="BK618" s="46">
        <f t="shared" si="1"/>
        <v>1</v>
      </c>
      <c r="BL618" s="46"/>
      <c r="BM618" s="46"/>
      <c r="BN618" s="46"/>
    </row>
    <row r="619" spans="1:66" ht="12.75" hidden="1" customHeight="1">
      <c r="A619" s="22">
        <v>617</v>
      </c>
      <c r="B619" s="22" t="s">
        <v>1305</v>
      </c>
      <c r="C619" s="22" t="e">
        <f t="shared" ca="1" si="0"/>
        <v>#NAME?</v>
      </c>
      <c r="D619" s="24" t="s">
        <v>1126</v>
      </c>
      <c r="E619" s="22" t="s">
        <v>180</v>
      </c>
      <c r="F619" s="24" t="s">
        <v>1926</v>
      </c>
      <c r="G619" s="24" t="s">
        <v>887</v>
      </c>
      <c r="H619" s="24"/>
      <c r="I619" s="24">
        <v>1</v>
      </c>
      <c r="J619" s="24" t="s">
        <v>1767</v>
      </c>
      <c r="K619" s="24"/>
      <c r="L619" s="24"/>
      <c r="M619" s="24"/>
      <c r="N619" s="24"/>
      <c r="O619" s="24"/>
      <c r="P619" s="170"/>
      <c r="Q619" s="170"/>
      <c r="R619" s="162"/>
      <c r="S619" s="163"/>
      <c r="T619" s="163"/>
      <c r="U619" s="163"/>
      <c r="V619" s="163"/>
      <c r="W619" s="163" t="s">
        <v>1126</v>
      </c>
      <c r="X619" s="163"/>
      <c r="Y619" s="164"/>
      <c r="Z619" s="24"/>
      <c r="AA619" s="170"/>
      <c r="AB619" s="163"/>
      <c r="AC619" s="251"/>
      <c r="AD619" s="170"/>
      <c r="AE619" s="24"/>
      <c r="AF619" s="170"/>
      <c r="AG619" s="22"/>
      <c r="AH619" s="45"/>
      <c r="AI619" s="24"/>
      <c r="AJ619" s="164"/>
      <c r="AK619" s="22"/>
      <c r="AL619" s="22"/>
      <c r="AM619" s="22"/>
      <c r="AN619" s="22"/>
      <c r="AO619" s="22"/>
      <c r="AP619" s="22"/>
      <c r="AQ619" s="22"/>
      <c r="AR619" s="22"/>
      <c r="AS619" s="22"/>
      <c r="AT619" s="372"/>
      <c r="AU619" s="372"/>
      <c r="AV619" s="135">
        <v>260385009</v>
      </c>
      <c r="AW619" s="372"/>
      <c r="AX619" s="372"/>
      <c r="AY619" s="372"/>
      <c r="AZ619" s="372"/>
      <c r="BA619" s="372"/>
      <c r="BB619" s="372"/>
      <c r="BC619" s="372"/>
      <c r="BD619" s="372"/>
      <c r="BE619" s="137" t="s">
        <v>115</v>
      </c>
      <c r="BF619" s="137" t="s">
        <v>1128</v>
      </c>
      <c r="BG619" s="139" t="s">
        <v>1129</v>
      </c>
      <c r="BH619" s="220"/>
      <c r="BI619" s="140">
        <v>260385009</v>
      </c>
      <c r="BJ619" s="220"/>
      <c r="BK619" s="46">
        <f t="shared" si="1"/>
        <v>1</v>
      </c>
      <c r="BL619" s="46"/>
      <c r="BM619" s="46"/>
      <c r="BN619" s="46"/>
    </row>
    <row r="620" spans="1:66" ht="12.75" hidden="1" customHeight="1">
      <c r="A620" s="22">
        <v>618</v>
      </c>
      <c r="B620" s="22" t="s">
        <v>2898</v>
      </c>
      <c r="C620" s="22" t="e">
        <f t="shared" ca="1" si="0"/>
        <v>#NAME?</v>
      </c>
      <c r="D620" s="24" t="s">
        <v>1932</v>
      </c>
      <c r="E620" s="22" t="s">
        <v>180</v>
      </c>
      <c r="F620" s="24" t="s">
        <v>1926</v>
      </c>
      <c r="G620" s="24" t="s">
        <v>887</v>
      </c>
      <c r="H620" s="24"/>
      <c r="I620" s="24">
        <v>1</v>
      </c>
      <c r="J620" s="24" t="s">
        <v>1767</v>
      </c>
      <c r="K620" s="24"/>
      <c r="L620" s="24"/>
      <c r="M620" s="24"/>
      <c r="N620" s="24"/>
      <c r="O620" s="24"/>
      <c r="P620" s="170"/>
      <c r="Q620" s="170"/>
      <c r="R620" s="162"/>
      <c r="S620" s="163"/>
      <c r="T620" s="163"/>
      <c r="U620" s="163"/>
      <c r="V620" s="163"/>
      <c r="W620" s="163" t="s">
        <v>1932</v>
      </c>
      <c r="X620" s="163"/>
      <c r="Y620" s="164"/>
      <c r="Z620" s="24"/>
      <c r="AA620" s="170"/>
      <c r="AB620" s="163"/>
      <c r="AC620" s="251"/>
      <c r="AD620" s="170"/>
      <c r="AE620" s="24"/>
      <c r="AF620" s="170"/>
      <c r="AG620" s="22"/>
      <c r="AH620" s="45"/>
      <c r="AI620" s="24"/>
      <c r="AJ620" s="164"/>
      <c r="AK620" s="22"/>
      <c r="AL620" s="22"/>
      <c r="AM620" s="22"/>
      <c r="AN620" s="22"/>
      <c r="AO620" s="22"/>
      <c r="AP620" s="22"/>
      <c r="AQ620" s="22"/>
      <c r="AR620" s="22"/>
      <c r="AS620" s="22"/>
      <c r="AT620" s="372"/>
      <c r="AU620" s="372"/>
      <c r="AV620" s="372">
        <v>82334004</v>
      </c>
      <c r="AW620" s="372"/>
      <c r="AX620" s="372"/>
      <c r="AY620" s="372"/>
      <c r="AZ620" s="372"/>
      <c r="BA620" s="372"/>
      <c r="BB620" s="372"/>
      <c r="BC620" s="372"/>
      <c r="BD620" s="372"/>
      <c r="BE620" s="137" t="s">
        <v>115</v>
      </c>
      <c r="BF620" s="143" t="s">
        <v>1934</v>
      </c>
      <c r="BG620" s="139" t="s">
        <v>1935</v>
      </c>
      <c r="BH620" s="220"/>
      <c r="BI620" s="311">
        <v>82334004</v>
      </c>
      <c r="BJ620" s="220"/>
      <c r="BK620" s="46">
        <f t="shared" si="1"/>
        <v>1</v>
      </c>
      <c r="BL620" s="46"/>
      <c r="BM620" s="46"/>
      <c r="BN620" s="46"/>
    </row>
    <row r="621" spans="1:66" ht="12.75" hidden="1" customHeight="1">
      <c r="A621" s="22">
        <v>619</v>
      </c>
      <c r="B621" s="22" t="s">
        <v>916</v>
      </c>
      <c r="C621" s="22" t="str">
        <f t="shared" si="0"/>
        <v>hiv_positive</v>
      </c>
      <c r="D621" s="24" t="s">
        <v>916</v>
      </c>
      <c r="E621" s="22" t="s">
        <v>65</v>
      </c>
      <c r="F621" s="24" t="s">
        <v>1787</v>
      </c>
      <c r="G621" s="24" t="s">
        <v>887</v>
      </c>
      <c r="H621" s="24"/>
      <c r="I621" s="24">
        <v>1</v>
      </c>
      <c r="J621" s="24" t="s">
        <v>1767</v>
      </c>
      <c r="K621" s="24"/>
      <c r="L621" s="24"/>
      <c r="M621" s="24"/>
      <c r="N621" s="24"/>
      <c r="O621" s="24"/>
      <c r="P621" s="170"/>
      <c r="Q621" s="170"/>
      <c r="R621" s="178" t="s">
        <v>1936</v>
      </c>
      <c r="S621" s="170" t="s">
        <v>916</v>
      </c>
      <c r="T621" s="170" t="s">
        <v>917</v>
      </c>
      <c r="U621" s="170" t="s">
        <v>65</v>
      </c>
      <c r="V621" s="170"/>
      <c r="W621" s="170"/>
      <c r="X621" s="170" t="s">
        <v>918</v>
      </c>
      <c r="Y621" s="164"/>
      <c r="Z621" s="24"/>
      <c r="AA621" s="170"/>
      <c r="AB621" s="221" t="s">
        <v>115</v>
      </c>
      <c r="AC621" s="251"/>
      <c r="AD621" s="170"/>
      <c r="AE621" s="24"/>
      <c r="AF621" s="170"/>
      <c r="AG621" s="22"/>
      <c r="AH621" s="45"/>
      <c r="AI621" s="24"/>
      <c r="AJ621" s="221" t="s">
        <v>115</v>
      </c>
      <c r="AK621" s="22"/>
      <c r="AL621" s="22"/>
      <c r="AM621" s="22"/>
      <c r="AN621" s="22"/>
      <c r="AO621" s="22"/>
      <c r="AP621" s="22"/>
      <c r="AQ621" s="22"/>
      <c r="AR621" s="22"/>
      <c r="AS621" s="22"/>
      <c r="AT621" s="372" t="s">
        <v>1938</v>
      </c>
      <c r="AU621" s="372"/>
      <c r="AV621" s="156">
        <v>165816005</v>
      </c>
      <c r="AW621" s="372"/>
      <c r="AX621" s="372"/>
      <c r="AY621" s="372"/>
      <c r="AZ621" s="372"/>
      <c r="BA621" s="372"/>
      <c r="BB621" s="372"/>
      <c r="BC621" s="372"/>
      <c r="BD621" s="372"/>
      <c r="BE621" s="137" t="s">
        <v>115</v>
      </c>
      <c r="BF621" s="143" t="s">
        <v>888</v>
      </c>
      <c r="BG621" s="139" t="s">
        <v>889</v>
      </c>
      <c r="BH621" s="311" t="s">
        <v>1938</v>
      </c>
      <c r="BI621" s="157">
        <v>165816005</v>
      </c>
      <c r="BJ621" s="311"/>
      <c r="BK621" s="46">
        <f t="shared" si="1"/>
        <v>1</v>
      </c>
      <c r="BL621" s="46"/>
      <c r="BM621" s="46"/>
      <c r="BN621" s="46"/>
    </row>
    <row r="622" spans="1:66" ht="12.75" hidden="1" customHeight="1">
      <c r="A622" s="22">
        <v>620</v>
      </c>
      <c r="B622" s="22" t="s">
        <v>1939</v>
      </c>
      <c r="C622" s="22" t="str">
        <f t="shared" si="0"/>
        <v>HIV test inconclusive, refer for further testing.</v>
      </c>
      <c r="D622" s="24" t="s">
        <v>1939</v>
      </c>
      <c r="E622" s="22" t="s">
        <v>1445</v>
      </c>
      <c r="F622" s="24" t="s">
        <v>1787</v>
      </c>
      <c r="G622" s="24" t="s">
        <v>887</v>
      </c>
      <c r="H622" s="24"/>
      <c r="I622" s="24">
        <v>1</v>
      </c>
      <c r="J622" s="24" t="s">
        <v>1767</v>
      </c>
      <c r="K622" s="24"/>
      <c r="L622" s="24"/>
      <c r="M622" s="24"/>
      <c r="N622" s="24"/>
      <c r="O622" s="24"/>
      <c r="P622" s="170"/>
      <c r="Q622" s="170"/>
      <c r="R622" s="381" t="s">
        <v>1939</v>
      </c>
      <c r="S622" s="307" t="s">
        <v>115</v>
      </c>
      <c r="T622" s="307" t="s">
        <v>1940</v>
      </c>
      <c r="U622" s="307" t="s">
        <v>1445</v>
      </c>
      <c r="V622" s="307"/>
      <c r="W622" s="307"/>
      <c r="X622" s="307"/>
      <c r="Y622" s="307"/>
      <c r="Z622" s="24"/>
      <c r="AA622" s="170"/>
      <c r="AB622" s="307" t="s">
        <v>115</v>
      </c>
      <c r="AC622" s="251"/>
      <c r="AD622" s="170"/>
      <c r="AE622" s="24"/>
      <c r="AF622" s="170"/>
      <c r="AG622" s="22"/>
      <c r="AH622" s="45"/>
      <c r="AI622" s="24"/>
      <c r="AJ622" s="307" t="s">
        <v>115</v>
      </c>
      <c r="AK622" s="22"/>
      <c r="AL622" s="22"/>
      <c r="AM622" s="22"/>
      <c r="AN622" s="22"/>
      <c r="AO622" s="22"/>
      <c r="AP622" s="22"/>
      <c r="AQ622" s="22"/>
      <c r="AR622" s="22"/>
      <c r="AS622" s="22"/>
      <c r="AT622" s="363"/>
      <c r="AU622" s="363"/>
      <c r="AV622" s="363"/>
      <c r="AW622" s="363"/>
      <c r="AX622" s="363"/>
      <c r="AY622" s="363"/>
      <c r="AZ622" s="363"/>
      <c r="BA622" s="363"/>
      <c r="BB622" s="363"/>
      <c r="BC622" s="363"/>
      <c r="BD622" s="363"/>
      <c r="BE622" s="143" t="s">
        <v>115</v>
      </c>
      <c r="BF622" s="143" t="s">
        <v>115</v>
      </c>
      <c r="BG622" s="167" t="s">
        <v>115</v>
      </c>
      <c r="BH622" s="313"/>
      <c r="BI622" s="276"/>
      <c r="BJ622" s="276"/>
      <c r="BK622" s="46">
        <f t="shared" si="1"/>
        <v>1</v>
      </c>
      <c r="BL622" s="46"/>
      <c r="BM622" s="46"/>
      <c r="BN622" s="46"/>
    </row>
    <row r="623" spans="1:66" ht="12.75" hidden="1" customHeight="1">
      <c r="A623" s="22">
        <v>621</v>
      </c>
      <c r="B623" s="22" t="s">
        <v>1941</v>
      </c>
      <c r="C623" s="22" t="str">
        <f t="shared" si="0"/>
        <v>HIV positive counseling - Toaster Message</v>
      </c>
      <c r="D623" s="24" t="s">
        <v>1941</v>
      </c>
      <c r="E623" s="22" t="s">
        <v>1445</v>
      </c>
      <c r="F623" s="24" t="s">
        <v>1787</v>
      </c>
      <c r="G623" s="24" t="s">
        <v>887</v>
      </c>
      <c r="H623" s="24"/>
      <c r="I623" s="24">
        <v>1</v>
      </c>
      <c r="J623" s="24" t="s">
        <v>1767</v>
      </c>
      <c r="K623" s="24"/>
      <c r="L623" s="24"/>
      <c r="M623" s="24"/>
      <c r="N623" s="24"/>
      <c r="O623" s="24"/>
      <c r="P623" s="164"/>
      <c r="Q623" s="164"/>
      <c r="R623" s="338" t="s">
        <v>1942</v>
      </c>
      <c r="S623" s="339" t="s">
        <v>115</v>
      </c>
      <c r="T623" s="339" t="s">
        <v>1943</v>
      </c>
      <c r="U623" s="339" t="s">
        <v>1445</v>
      </c>
      <c r="V623" s="339"/>
      <c r="W623" s="339"/>
      <c r="X623" s="303"/>
      <c r="Y623" s="303"/>
      <c r="Z623" s="24"/>
      <c r="AA623" s="164"/>
      <c r="AB623" s="303"/>
      <c r="AC623" s="269"/>
      <c r="AD623" s="164"/>
      <c r="AE623" s="24"/>
      <c r="AF623" s="164"/>
      <c r="AG623" s="22"/>
      <c r="AH623" s="45"/>
      <c r="AI623" s="24"/>
      <c r="AJ623" s="303"/>
      <c r="AK623" s="22"/>
      <c r="AL623" s="22"/>
      <c r="AM623" s="22"/>
      <c r="AN623" s="22"/>
      <c r="AO623" s="22"/>
      <c r="AP623" s="22"/>
      <c r="AQ623" s="22"/>
      <c r="AR623" s="22"/>
      <c r="AS623" s="22"/>
      <c r="AT623" s="305"/>
      <c r="AU623" s="305"/>
      <c r="AV623" s="307"/>
      <c r="AW623" s="305"/>
      <c r="AX623" s="305"/>
      <c r="AY623" s="305"/>
      <c r="AZ623" s="305"/>
      <c r="BA623" s="305"/>
      <c r="BB623" s="305"/>
      <c r="BC623" s="305"/>
      <c r="BD623" s="305"/>
      <c r="BE623" s="143" t="s">
        <v>115</v>
      </c>
      <c r="BF623" s="143" t="s">
        <v>115</v>
      </c>
      <c r="BG623" s="167" t="s">
        <v>115</v>
      </c>
      <c r="BH623" s="313"/>
      <c r="BI623" s="276"/>
      <c r="BJ623" s="276"/>
      <c r="BK623" s="46">
        <f t="shared" si="1"/>
        <v>1</v>
      </c>
      <c r="BL623" s="46"/>
      <c r="BM623" s="46"/>
      <c r="BN623" s="46"/>
    </row>
    <row r="624" spans="1:66" ht="12.75" hidden="1" customHeight="1">
      <c r="A624" s="22">
        <v>622</v>
      </c>
      <c r="B624" s="22" t="s">
        <v>1944</v>
      </c>
      <c r="C624" s="22" t="str">
        <f t="shared" si="0"/>
        <v>Partner HIV test</v>
      </c>
      <c r="D624" s="24" t="s">
        <v>1944</v>
      </c>
      <c r="E624" s="22" t="s">
        <v>96</v>
      </c>
      <c r="F624" s="24" t="s">
        <v>1787</v>
      </c>
      <c r="G624" s="24" t="s">
        <v>1945</v>
      </c>
      <c r="H624" s="24"/>
      <c r="I624" s="24">
        <v>1</v>
      </c>
      <c r="J624" s="24" t="s">
        <v>1767</v>
      </c>
      <c r="K624" s="24"/>
      <c r="L624" s="24"/>
      <c r="M624" s="24"/>
      <c r="N624" s="24"/>
      <c r="O624" s="24"/>
      <c r="P624" s="170"/>
      <c r="Q624" s="170"/>
      <c r="R624" s="195" t="s">
        <v>1944</v>
      </c>
      <c r="S624" s="194" t="s">
        <v>1946</v>
      </c>
      <c r="T624" s="194" t="s">
        <v>1947</v>
      </c>
      <c r="U624" s="194" t="s">
        <v>202</v>
      </c>
      <c r="V624" s="163"/>
      <c r="W624" s="163"/>
      <c r="X624" s="196"/>
      <c r="Y624" s="196"/>
      <c r="Z624" s="24"/>
      <c r="AA624" s="170"/>
      <c r="AB624" s="196" t="s">
        <v>208</v>
      </c>
      <c r="AC624" s="251"/>
      <c r="AD624" s="170"/>
      <c r="AE624" s="24"/>
      <c r="AF624" s="170"/>
      <c r="AG624" s="22"/>
      <c r="AH624" s="45"/>
      <c r="AI624" s="24"/>
      <c r="AJ624" s="163" t="s">
        <v>1948</v>
      </c>
      <c r="AK624" s="22"/>
      <c r="AL624" s="22"/>
      <c r="AM624" s="22"/>
      <c r="AN624" s="22"/>
      <c r="AO624" s="22"/>
      <c r="AP624" s="22"/>
      <c r="AQ624" s="22"/>
      <c r="AR624" s="22"/>
      <c r="AS624" s="22"/>
      <c r="AT624" s="170"/>
      <c r="AU624" s="170"/>
      <c r="AV624" s="170"/>
      <c r="AW624" s="170"/>
      <c r="AX624" s="170"/>
      <c r="AY624" s="170"/>
      <c r="AZ624" s="170"/>
      <c r="BA624" s="170"/>
      <c r="BB624" s="170"/>
      <c r="BC624" s="170"/>
      <c r="BD624" s="170"/>
      <c r="BE624" s="137" t="s">
        <v>1949</v>
      </c>
      <c r="BF624" s="143" t="s">
        <v>1773</v>
      </c>
      <c r="BG624" s="139" t="s">
        <v>1774</v>
      </c>
      <c r="BH624" s="220"/>
      <c r="BI624" s="220"/>
      <c r="BJ624" s="220"/>
      <c r="BK624" s="46">
        <f t="shared" si="1"/>
        <v>1</v>
      </c>
      <c r="BL624" s="46"/>
      <c r="BM624" s="46"/>
      <c r="BN624" s="46"/>
    </row>
    <row r="625" spans="1:66" ht="12.75" hidden="1" customHeight="1">
      <c r="A625" s="22">
        <v>623</v>
      </c>
      <c r="B625" s="22" t="s">
        <v>2651</v>
      </c>
      <c r="C625" s="22" t="e">
        <f t="shared" ca="1" si="0"/>
        <v>#NAME?</v>
      </c>
      <c r="D625" s="24" t="s">
        <v>1775</v>
      </c>
      <c r="E625" s="22" t="s">
        <v>180</v>
      </c>
      <c r="F625" s="24" t="s">
        <v>1944</v>
      </c>
      <c r="G625" s="24" t="s">
        <v>1945</v>
      </c>
      <c r="H625" s="24"/>
      <c r="I625" s="24">
        <v>1</v>
      </c>
      <c r="J625" s="24" t="s">
        <v>1767</v>
      </c>
      <c r="K625" s="24"/>
      <c r="L625" s="24"/>
      <c r="M625" s="24"/>
      <c r="N625" s="24"/>
      <c r="O625" s="24"/>
      <c r="P625" s="170"/>
      <c r="Q625" s="170"/>
      <c r="R625" s="169"/>
      <c r="S625" s="164"/>
      <c r="T625" s="194"/>
      <c r="U625" s="194"/>
      <c r="V625" s="163"/>
      <c r="W625" s="163" t="s">
        <v>1775</v>
      </c>
      <c r="X625" s="164"/>
      <c r="Y625" s="164"/>
      <c r="Z625" s="24"/>
      <c r="AA625" s="170"/>
      <c r="AB625" s="164"/>
      <c r="AC625" s="251"/>
      <c r="AD625" s="170"/>
      <c r="AE625" s="24"/>
      <c r="AF625" s="170"/>
      <c r="AG625" s="22"/>
      <c r="AH625" s="45"/>
      <c r="AI625" s="24"/>
      <c r="AJ625" s="196"/>
      <c r="AK625" s="22"/>
      <c r="AL625" s="22"/>
      <c r="AM625" s="22"/>
      <c r="AN625" s="22"/>
      <c r="AO625" s="22"/>
      <c r="AP625" s="22"/>
      <c r="AQ625" s="22"/>
      <c r="AR625" s="22"/>
      <c r="AS625" s="22"/>
      <c r="AT625" s="170"/>
      <c r="AU625" s="170"/>
      <c r="AV625" s="170"/>
      <c r="AW625" s="170"/>
      <c r="AX625" s="170"/>
      <c r="AY625" s="170"/>
      <c r="AZ625" s="170"/>
      <c r="BA625" s="170"/>
      <c r="BB625" s="170"/>
      <c r="BC625" s="170"/>
      <c r="BD625" s="170"/>
      <c r="BE625" s="137" t="s">
        <v>115</v>
      </c>
      <c r="BF625" s="137" t="s">
        <v>1777</v>
      </c>
      <c r="BG625" s="139" t="s">
        <v>1778</v>
      </c>
      <c r="BH625" s="220"/>
      <c r="BI625" s="220"/>
      <c r="BJ625" s="220"/>
      <c r="BK625" s="46">
        <f t="shared" si="1"/>
        <v>1</v>
      </c>
      <c r="BL625" s="46"/>
      <c r="BM625" s="46"/>
      <c r="BN625" s="46"/>
    </row>
    <row r="626" spans="1:66" ht="12.75" hidden="1" customHeight="1">
      <c r="A626" s="22">
        <v>624</v>
      </c>
      <c r="B626" s="22" t="s">
        <v>2655</v>
      </c>
      <c r="C626" s="22" t="e">
        <f t="shared" ca="1" si="0"/>
        <v>#NAME?</v>
      </c>
      <c r="D626" s="24" t="s">
        <v>1779</v>
      </c>
      <c r="E626" s="22" t="s">
        <v>180</v>
      </c>
      <c r="F626" s="24" t="s">
        <v>1944</v>
      </c>
      <c r="G626" s="24" t="s">
        <v>1945</v>
      </c>
      <c r="H626" s="24"/>
      <c r="I626" s="24">
        <v>1</v>
      </c>
      <c r="J626" s="24" t="s">
        <v>1767</v>
      </c>
      <c r="K626" s="24"/>
      <c r="L626" s="24"/>
      <c r="M626" s="24"/>
      <c r="N626" s="24"/>
      <c r="O626" s="24"/>
      <c r="P626" s="170"/>
      <c r="Q626" s="170"/>
      <c r="R626" s="169"/>
      <c r="S626" s="164"/>
      <c r="T626" s="194"/>
      <c r="U626" s="194"/>
      <c r="V626" s="194"/>
      <c r="W626" s="194" t="s">
        <v>1779</v>
      </c>
      <c r="X626" s="164"/>
      <c r="Y626" s="164"/>
      <c r="Z626" s="24"/>
      <c r="AA626" s="170"/>
      <c r="AB626" s="164"/>
      <c r="AC626" s="251"/>
      <c r="AD626" s="170"/>
      <c r="AE626" s="24"/>
      <c r="AF626" s="170"/>
      <c r="AG626" s="22"/>
      <c r="AH626" s="45"/>
      <c r="AI626" s="24"/>
      <c r="AJ626" s="196"/>
      <c r="AK626" s="22"/>
      <c r="AL626" s="22"/>
      <c r="AM626" s="22"/>
      <c r="AN626" s="22"/>
      <c r="AO626" s="22"/>
      <c r="AP626" s="22"/>
      <c r="AQ626" s="22"/>
      <c r="AR626" s="22"/>
      <c r="AS626" s="22"/>
      <c r="AT626" s="170"/>
      <c r="AU626" s="170"/>
      <c r="AV626" s="170"/>
      <c r="AW626" s="170"/>
      <c r="AX626" s="170"/>
      <c r="AY626" s="170"/>
      <c r="AZ626" s="170"/>
      <c r="BA626" s="170"/>
      <c r="BB626" s="170"/>
      <c r="BC626" s="170"/>
      <c r="BD626" s="170"/>
      <c r="BE626" s="137" t="s">
        <v>115</v>
      </c>
      <c r="BF626" s="137" t="s">
        <v>1781</v>
      </c>
      <c r="BG626" s="139" t="s">
        <v>1782</v>
      </c>
      <c r="BH626" s="220"/>
      <c r="BI626" s="220"/>
      <c r="BJ626" s="220"/>
      <c r="BK626" s="46">
        <f t="shared" si="1"/>
        <v>1</v>
      </c>
      <c r="BL626" s="46"/>
      <c r="BM626" s="46"/>
      <c r="BN626" s="46"/>
    </row>
    <row r="627" spans="1:66" ht="12.75" hidden="1" customHeight="1">
      <c r="A627" s="22">
        <v>625</v>
      </c>
      <c r="B627" s="22" t="s">
        <v>2661</v>
      </c>
      <c r="C627" s="22" t="e">
        <f t="shared" ca="1" si="0"/>
        <v>#NAME?</v>
      </c>
      <c r="D627" s="24" t="s">
        <v>1783</v>
      </c>
      <c r="E627" s="22" t="s">
        <v>180</v>
      </c>
      <c r="F627" s="24" t="s">
        <v>1944</v>
      </c>
      <c r="G627" s="24" t="s">
        <v>1945</v>
      </c>
      <c r="H627" s="24"/>
      <c r="I627" s="24">
        <v>1</v>
      </c>
      <c r="J627" s="24" t="s">
        <v>1767</v>
      </c>
      <c r="K627" s="24"/>
      <c r="L627" s="24"/>
      <c r="M627" s="24"/>
      <c r="N627" s="24"/>
      <c r="O627" s="24"/>
      <c r="P627" s="170"/>
      <c r="Q627" s="170"/>
      <c r="R627" s="169"/>
      <c r="S627" s="164"/>
      <c r="T627" s="194"/>
      <c r="U627" s="194"/>
      <c r="V627" s="194"/>
      <c r="W627" s="194" t="s">
        <v>1783</v>
      </c>
      <c r="X627" s="164"/>
      <c r="Y627" s="164"/>
      <c r="Z627" s="24"/>
      <c r="AA627" s="170"/>
      <c r="AB627" s="164"/>
      <c r="AC627" s="251"/>
      <c r="AD627" s="170"/>
      <c r="AE627" s="24"/>
      <c r="AF627" s="170"/>
      <c r="AG627" s="22"/>
      <c r="AH627" s="45"/>
      <c r="AI627" s="24"/>
      <c r="AJ627" s="196"/>
      <c r="AK627" s="22"/>
      <c r="AL627" s="22"/>
      <c r="AM627" s="22"/>
      <c r="AN627" s="22"/>
      <c r="AO627" s="22"/>
      <c r="AP627" s="22"/>
      <c r="AQ627" s="22"/>
      <c r="AR627" s="22"/>
      <c r="AS627" s="22"/>
      <c r="AT627" s="170"/>
      <c r="AU627" s="170"/>
      <c r="AV627" s="170"/>
      <c r="AW627" s="170"/>
      <c r="AX627" s="170"/>
      <c r="AY627" s="170"/>
      <c r="AZ627" s="170"/>
      <c r="BA627" s="170"/>
      <c r="BB627" s="170"/>
      <c r="BC627" s="170"/>
      <c r="BD627" s="170"/>
      <c r="BE627" s="137" t="s">
        <v>115</v>
      </c>
      <c r="BF627" s="137" t="s">
        <v>1784</v>
      </c>
      <c r="BG627" s="167" t="s">
        <v>1785</v>
      </c>
      <c r="BH627" s="220"/>
      <c r="BI627" s="220"/>
      <c r="BJ627" s="220"/>
      <c r="BK627" s="46">
        <f t="shared" si="1"/>
        <v>1</v>
      </c>
      <c r="BL627" s="46"/>
      <c r="BM627" s="46"/>
      <c r="BN627" s="46"/>
    </row>
    <row r="628" spans="1:66" ht="12.75" hidden="1" customHeight="1">
      <c r="A628" s="22">
        <v>626</v>
      </c>
      <c r="B628" s="22" t="s">
        <v>2118</v>
      </c>
      <c r="C628" s="22" t="e">
        <f t="shared" ca="1" si="0"/>
        <v>#NAME?</v>
      </c>
      <c r="D628" s="24" t="s">
        <v>1468</v>
      </c>
      <c r="E628" s="22" t="s">
        <v>180</v>
      </c>
      <c r="F628" s="24" t="s">
        <v>1944</v>
      </c>
      <c r="G628" s="24" t="s">
        <v>1945</v>
      </c>
      <c r="H628" s="24"/>
      <c r="I628" s="24">
        <v>1</v>
      </c>
      <c r="J628" s="24" t="s">
        <v>1767</v>
      </c>
      <c r="K628" s="24"/>
      <c r="L628" s="24"/>
      <c r="M628" s="24"/>
      <c r="N628" s="24"/>
      <c r="O628" s="24"/>
      <c r="P628" s="170"/>
      <c r="Q628" s="170"/>
      <c r="R628" s="169"/>
      <c r="S628" s="164"/>
      <c r="T628" s="194"/>
      <c r="U628" s="194"/>
      <c r="V628" s="194"/>
      <c r="W628" s="194" t="s">
        <v>1468</v>
      </c>
      <c r="X628" s="164"/>
      <c r="Y628" s="164"/>
      <c r="Z628" s="24"/>
      <c r="AA628" s="170"/>
      <c r="AB628" s="164"/>
      <c r="AC628" s="251"/>
      <c r="AD628" s="170"/>
      <c r="AE628" s="24"/>
      <c r="AF628" s="170"/>
      <c r="AG628" s="22"/>
      <c r="AH628" s="45"/>
      <c r="AI628" s="24"/>
      <c r="AJ628" s="196"/>
      <c r="AK628" s="22"/>
      <c r="AL628" s="22"/>
      <c r="AM628" s="22"/>
      <c r="AN628" s="22"/>
      <c r="AO628" s="22"/>
      <c r="AP628" s="22"/>
      <c r="AQ628" s="22"/>
      <c r="AR628" s="22"/>
      <c r="AS628" s="22"/>
      <c r="AT628" s="170"/>
      <c r="AU628" s="170"/>
      <c r="AV628" s="170"/>
      <c r="AW628" s="170"/>
      <c r="AX628" s="170"/>
      <c r="AY628" s="170"/>
      <c r="AZ628" s="170"/>
      <c r="BA628" s="170"/>
      <c r="BB628" s="170"/>
      <c r="BC628" s="170"/>
      <c r="BD628" s="170"/>
      <c r="BE628" s="137" t="s">
        <v>115</v>
      </c>
      <c r="BF628" s="137" t="s">
        <v>1469</v>
      </c>
      <c r="BG628" s="167" t="s">
        <v>1470</v>
      </c>
      <c r="BH628" s="220"/>
      <c r="BI628" s="220"/>
      <c r="BJ628" s="220"/>
      <c r="BK628" s="46">
        <f t="shared" si="1"/>
        <v>1</v>
      </c>
      <c r="BL628" s="46"/>
      <c r="BM628" s="46"/>
      <c r="BN628" s="46"/>
    </row>
    <row r="629" spans="1:66" ht="12.75" hidden="1" customHeight="1">
      <c r="A629" s="22">
        <v>627</v>
      </c>
      <c r="B629" s="22" t="s">
        <v>1951</v>
      </c>
      <c r="C629" s="22" t="str">
        <f t="shared" si="0"/>
        <v>Partner HIV test date</v>
      </c>
      <c r="D629" s="24" t="s">
        <v>1951</v>
      </c>
      <c r="E629" s="22" t="s">
        <v>96</v>
      </c>
      <c r="F629" s="24" t="s">
        <v>1787</v>
      </c>
      <c r="G629" s="24" t="s">
        <v>1945</v>
      </c>
      <c r="H629" s="24"/>
      <c r="I629" s="24">
        <v>1</v>
      </c>
      <c r="J629" s="24" t="s">
        <v>1767</v>
      </c>
      <c r="K629" s="24"/>
      <c r="L629" s="24"/>
      <c r="M629" s="24"/>
      <c r="N629" s="24"/>
      <c r="O629" s="24"/>
      <c r="P629" s="170"/>
      <c r="Q629" s="170"/>
      <c r="R629" s="169" t="s">
        <v>1951</v>
      </c>
      <c r="S629" s="164" t="s">
        <v>1952</v>
      </c>
      <c r="T629" s="194" t="s">
        <v>1953</v>
      </c>
      <c r="U629" s="194" t="s">
        <v>140</v>
      </c>
      <c r="V629" s="163"/>
      <c r="W629" s="163"/>
      <c r="X629" s="164"/>
      <c r="Y629" s="164"/>
      <c r="Z629" s="24"/>
      <c r="AA629" s="170"/>
      <c r="AB629" s="164" t="s">
        <v>113</v>
      </c>
      <c r="AC629" s="251"/>
      <c r="AD629" s="170"/>
      <c r="AE629" s="24"/>
      <c r="AF629" s="170"/>
      <c r="AG629" s="22"/>
      <c r="AH629" s="45"/>
      <c r="AI629" s="24"/>
      <c r="AJ629" s="196" t="s">
        <v>115</v>
      </c>
      <c r="AK629" s="22"/>
      <c r="AL629" s="22"/>
      <c r="AM629" s="22"/>
      <c r="AN629" s="22"/>
      <c r="AO629" s="22"/>
      <c r="AP629" s="22"/>
      <c r="AQ629" s="22"/>
      <c r="AR629" s="22"/>
      <c r="AS629" s="22"/>
      <c r="AT629" s="170"/>
      <c r="AU629" s="170"/>
      <c r="AV629" s="170"/>
      <c r="AW629" s="170"/>
      <c r="AX629" s="170"/>
      <c r="AY629" s="170"/>
      <c r="AZ629" s="170"/>
      <c r="BA629" s="170"/>
      <c r="BB629" s="170"/>
      <c r="BC629" s="170"/>
      <c r="BD629" s="170"/>
      <c r="BE629" s="137" t="s">
        <v>1949</v>
      </c>
      <c r="BF629" s="143" t="s">
        <v>1923</v>
      </c>
      <c r="BG629" s="167" t="s">
        <v>1924</v>
      </c>
      <c r="BH629" s="220"/>
      <c r="BI629" s="220"/>
      <c r="BJ629" s="220"/>
      <c r="BK629" s="46">
        <f t="shared" si="1"/>
        <v>1</v>
      </c>
      <c r="BL629" s="46"/>
      <c r="BM629" s="46"/>
      <c r="BN629" s="46"/>
    </row>
    <row r="630" spans="1:66" ht="12.75" hidden="1" customHeight="1">
      <c r="A630" s="22">
        <v>628</v>
      </c>
      <c r="B630" s="22" t="s">
        <v>1954</v>
      </c>
      <c r="C630" s="22" t="str">
        <f t="shared" si="0"/>
        <v>Record result - Partner HIV Test</v>
      </c>
      <c r="D630" s="24" t="s">
        <v>1954</v>
      </c>
      <c r="E630" s="22" t="s">
        <v>96</v>
      </c>
      <c r="F630" s="24" t="s">
        <v>1787</v>
      </c>
      <c r="G630" s="24" t="s">
        <v>1945</v>
      </c>
      <c r="H630" s="24"/>
      <c r="I630" s="24">
        <v>1</v>
      </c>
      <c r="J630" s="24" t="s">
        <v>1767</v>
      </c>
      <c r="K630" s="24"/>
      <c r="L630" s="24"/>
      <c r="M630" s="24"/>
      <c r="N630" s="24"/>
      <c r="O630" s="24"/>
      <c r="P630" s="170"/>
      <c r="Q630" s="170"/>
      <c r="R630" s="195" t="s">
        <v>1926</v>
      </c>
      <c r="S630" s="194" t="s">
        <v>1955</v>
      </c>
      <c r="T630" s="194" t="s">
        <v>1956</v>
      </c>
      <c r="U630" s="194" t="s">
        <v>202</v>
      </c>
      <c r="V630" s="163"/>
      <c r="W630" s="163"/>
      <c r="X630" s="196"/>
      <c r="Y630" s="196"/>
      <c r="Z630" s="24"/>
      <c r="AA630" s="170"/>
      <c r="AB630" s="164" t="s">
        <v>113</v>
      </c>
      <c r="AC630" s="251"/>
      <c r="AD630" s="170"/>
      <c r="AE630" s="24"/>
      <c r="AF630" s="170"/>
      <c r="AG630" s="22"/>
      <c r="AH630" s="45"/>
      <c r="AI630" s="24"/>
      <c r="AJ630" s="196" t="s">
        <v>115</v>
      </c>
      <c r="AK630" s="22"/>
      <c r="AL630" s="22"/>
      <c r="AM630" s="22"/>
      <c r="AN630" s="22"/>
      <c r="AO630" s="22"/>
      <c r="AP630" s="22"/>
      <c r="AQ630" s="22"/>
      <c r="AR630" s="22"/>
      <c r="AS630" s="22"/>
      <c r="AT630" s="170"/>
      <c r="AU630" s="170"/>
      <c r="AV630" s="170"/>
      <c r="AW630" s="170"/>
      <c r="AX630" s="170"/>
      <c r="AY630" s="170"/>
      <c r="AZ630" s="170"/>
      <c r="BA630" s="170"/>
      <c r="BB630" s="170"/>
      <c r="BC630" s="170"/>
      <c r="BD630" s="170"/>
      <c r="BE630" s="137" t="s">
        <v>1949</v>
      </c>
      <c r="BF630" s="137" t="s">
        <v>1930</v>
      </c>
      <c r="BG630" s="139" t="s">
        <v>1931</v>
      </c>
      <c r="BH630" s="220"/>
      <c r="BI630" s="220"/>
      <c r="BJ630" s="220"/>
      <c r="BK630" s="46">
        <f t="shared" si="1"/>
        <v>1</v>
      </c>
      <c r="BL630" s="46"/>
      <c r="BM630" s="46"/>
      <c r="BN630" s="46"/>
    </row>
    <row r="631" spans="1:66" ht="12.75" hidden="1" customHeight="1">
      <c r="A631" s="22">
        <v>629</v>
      </c>
      <c r="B631" s="22" t="s">
        <v>1302</v>
      </c>
      <c r="C631" s="22" t="e">
        <f t="shared" ca="1" si="0"/>
        <v>#NAME?</v>
      </c>
      <c r="D631" s="24" t="s">
        <v>1122</v>
      </c>
      <c r="E631" s="22" t="s">
        <v>180</v>
      </c>
      <c r="F631" s="24" t="s">
        <v>1926</v>
      </c>
      <c r="G631" s="24" t="s">
        <v>1945</v>
      </c>
      <c r="H631" s="24"/>
      <c r="I631" s="24">
        <v>1</v>
      </c>
      <c r="J631" s="24" t="s">
        <v>1767</v>
      </c>
      <c r="K631" s="24"/>
      <c r="L631" s="24"/>
      <c r="M631" s="24"/>
      <c r="N631" s="24"/>
      <c r="O631" s="24"/>
      <c r="P631" s="170"/>
      <c r="Q631" s="170"/>
      <c r="R631" s="195"/>
      <c r="S631" s="194"/>
      <c r="T631" s="194"/>
      <c r="U631" s="163"/>
      <c r="V631" s="163"/>
      <c r="W631" s="163" t="s">
        <v>1122</v>
      </c>
      <c r="X631" s="194"/>
      <c r="Y631" s="196"/>
      <c r="Z631" s="24"/>
      <c r="AA631" s="170"/>
      <c r="AB631" s="163"/>
      <c r="AC631" s="251"/>
      <c r="AD631" s="170"/>
      <c r="AE631" s="24"/>
      <c r="AF631" s="170"/>
      <c r="AG631" s="22"/>
      <c r="AH631" s="45"/>
      <c r="AI631" s="24"/>
      <c r="AJ631" s="196"/>
      <c r="AK631" s="22"/>
      <c r="AL631" s="22"/>
      <c r="AM631" s="22"/>
      <c r="AN631" s="22"/>
      <c r="AO631" s="22"/>
      <c r="AP631" s="22"/>
      <c r="AQ631" s="22"/>
      <c r="AR631" s="22"/>
      <c r="AS631" s="22"/>
      <c r="AT631" s="170"/>
      <c r="AU631" s="170"/>
      <c r="AV631" s="170"/>
      <c r="AW631" s="170"/>
      <c r="AX631" s="170"/>
      <c r="AY631" s="170"/>
      <c r="AZ631" s="170"/>
      <c r="BA631" s="170"/>
      <c r="BB631" s="170"/>
      <c r="BC631" s="170"/>
      <c r="BD631" s="170"/>
      <c r="BE631" s="137" t="s">
        <v>115</v>
      </c>
      <c r="BF631" s="137" t="s">
        <v>1897</v>
      </c>
      <c r="BG631" s="139" t="s">
        <v>1125</v>
      </c>
      <c r="BH631" s="220"/>
      <c r="BI631" s="220"/>
      <c r="BJ631" s="220"/>
      <c r="BK631" s="46">
        <f t="shared" si="1"/>
        <v>1</v>
      </c>
      <c r="BL631" s="46"/>
      <c r="BM631" s="46"/>
      <c r="BN631" s="46"/>
    </row>
    <row r="632" spans="1:66" ht="12.75" hidden="1" customHeight="1">
      <c r="A632" s="22">
        <v>630</v>
      </c>
      <c r="B632" s="22" t="s">
        <v>1305</v>
      </c>
      <c r="C632" s="22" t="e">
        <f t="shared" ca="1" si="0"/>
        <v>#NAME?</v>
      </c>
      <c r="D632" s="24" t="s">
        <v>1126</v>
      </c>
      <c r="E632" s="22" t="s">
        <v>180</v>
      </c>
      <c r="F632" s="24" t="s">
        <v>1926</v>
      </c>
      <c r="G632" s="24" t="s">
        <v>1945</v>
      </c>
      <c r="H632" s="24"/>
      <c r="I632" s="24">
        <v>1</v>
      </c>
      <c r="J632" s="24" t="s">
        <v>1767</v>
      </c>
      <c r="K632" s="24"/>
      <c r="L632" s="24"/>
      <c r="M632" s="24"/>
      <c r="N632" s="24"/>
      <c r="O632" s="24"/>
      <c r="P632" s="170"/>
      <c r="Q632" s="170"/>
      <c r="R632" s="195"/>
      <c r="S632" s="194"/>
      <c r="T632" s="194"/>
      <c r="U632" s="163"/>
      <c r="V632" s="163"/>
      <c r="W632" s="163" t="s">
        <v>1126</v>
      </c>
      <c r="X632" s="194"/>
      <c r="Y632" s="196"/>
      <c r="Z632" s="24"/>
      <c r="AA632" s="170"/>
      <c r="AB632" s="163"/>
      <c r="AC632" s="251"/>
      <c r="AD632" s="170"/>
      <c r="AE632" s="24"/>
      <c r="AF632" s="170"/>
      <c r="AG632" s="22"/>
      <c r="AH632" s="45"/>
      <c r="AI632" s="24"/>
      <c r="AJ632" s="196"/>
      <c r="AK632" s="22"/>
      <c r="AL632" s="22"/>
      <c r="AM632" s="22"/>
      <c r="AN632" s="22"/>
      <c r="AO632" s="22"/>
      <c r="AP632" s="22"/>
      <c r="AQ632" s="22"/>
      <c r="AR632" s="22"/>
      <c r="AS632" s="22"/>
      <c r="AT632" s="170"/>
      <c r="AU632" s="170"/>
      <c r="AV632" s="170"/>
      <c r="AW632" s="170"/>
      <c r="AX632" s="170"/>
      <c r="AY632" s="170"/>
      <c r="AZ632" s="170"/>
      <c r="BA632" s="170"/>
      <c r="BB632" s="170"/>
      <c r="BC632" s="170"/>
      <c r="BD632" s="170"/>
      <c r="BE632" s="137" t="s">
        <v>115</v>
      </c>
      <c r="BF632" s="137" t="s">
        <v>1128</v>
      </c>
      <c r="BG632" s="139" t="s">
        <v>1129</v>
      </c>
      <c r="BH632" s="220"/>
      <c r="BI632" s="220"/>
      <c r="BJ632" s="220"/>
      <c r="BK632" s="46">
        <f t="shared" si="1"/>
        <v>1</v>
      </c>
      <c r="BL632" s="46"/>
      <c r="BM632" s="46"/>
      <c r="BN632" s="46"/>
    </row>
    <row r="633" spans="1:66" ht="12.75" hidden="1" customHeight="1">
      <c r="A633" s="22">
        <v>631</v>
      </c>
      <c r="B633" s="22" t="s">
        <v>2898</v>
      </c>
      <c r="C633" s="22" t="e">
        <f t="shared" ca="1" si="0"/>
        <v>#NAME?</v>
      </c>
      <c r="D633" s="24" t="s">
        <v>1932</v>
      </c>
      <c r="E633" s="22" t="s">
        <v>180</v>
      </c>
      <c r="F633" s="24" t="s">
        <v>1926</v>
      </c>
      <c r="G633" s="24" t="s">
        <v>1945</v>
      </c>
      <c r="H633" s="24"/>
      <c r="I633" s="24">
        <v>1</v>
      </c>
      <c r="J633" s="24" t="s">
        <v>1767</v>
      </c>
      <c r="K633" s="24"/>
      <c r="L633" s="24"/>
      <c r="M633" s="24"/>
      <c r="N633" s="24"/>
      <c r="O633" s="24"/>
      <c r="P633" s="170"/>
      <c r="Q633" s="170"/>
      <c r="R633" s="195"/>
      <c r="S633" s="194"/>
      <c r="T633" s="194"/>
      <c r="U633" s="163"/>
      <c r="V633" s="163"/>
      <c r="W633" s="163" t="s">
        <v>1932</v>
      </c>
      <c r="X633" s="194"/>
      <c r="Y633" s="196"/>
      <c r="Z633" s="24"/>
      <c r="AA633" s="170"/>
      <c r="AB633" s="163"/>
      <c r="AC633" s="251"/>
      <c r="AD633" s="170"/>
      <c r="AE633" s="24"/>
      <c r="AF633" s="170"/>
      <c r="AG633" s="22"/>
      <c r="AH633" s="45"/>
      <c r="AI633" s="24"/>
      <c r="AJ633" s="196"/>
      <c r="AK633" s="22"/>
      <c r="AL633" s="22"/>
      <c r="AM633" s="22"/>
      <c r="AN633" s="22"/>
      <c r="AO633" s="22"/>
      <c r="AP633" s="22"/>
      <c r="AQ633" s="22"/>
      <c r="AR633" s="22"/>
      <c r="AS633" s="22"/>
      <c r="AT633" s="170"/>
      <c r="AU633" s="170"/>
      <c r="AV633" s="170"/>
      <c r="AW633" s="170"/>
      <c r="AX633" s="170"/>
      <c r="AY633" s="170"/>
      <c r="AZ633" s="170"/>
      <c r="BA633" s="170"/>
      <c r="BB633" s="170"/>
      <c r="BC633" s="170"/>
      <c r="BD633" s="170"/>
      <c r="BE633" s="137" t="s">
        <v>115</v>
      </c>
      <c r="BF633" s="143" t="s">
        <v>1934</v>
      </c>
      <c r="BG633" s="139" t="s">
        <v>1935</v>
      </c>
      <c r="BH633" s="220"/>
      <c r="BI633" s="220"/>
      <c r="BJ633" s="220"/>
      <c r="BK633" s="46">
        <f t="shared" si="1"/>
        <v>1</v>
      </c>
      <c r="BL633" s="46"/>
      <c r="BM633" s="46"/>
      <c r="BN633" s="46"/>
    </row>
    <row r="634" spans="1:66" ht="12.75" hidden="1" customHeight="1">
      <c r="A634" s="22">
        <v>632</v>
      </c>
      <c r="B634" s="22" t="s">
        <v>1957</v>
      </c>
      <c r="C634" s="22" t="str">
        <f t="shared" si="0"/>
        <v>HIV status postive</v>
      </c>
      <c r="D634" s="24" t="s">
        <v>1957</v>
      </c>
      <c r="E634" s="22" t="s">
        <v>96</v>
      </c>
      <c r="F634" s="24" t="s">
        <v>1787</v>
      </c>
      <c r="G634" s="24" t="s">
        <v>1945</v>
      </c>
      <c r="H634" s="24"/>
      <c r="I634" s="24">
        <v>1</v>
      </c>
      <c r="J634" s="24" t="s">
        <v>1767</v>
      </c>
      <c r="K634" s="24"/>
      <c r="L634" s="24"/>
      <c r="M634" s="24"/>
      <c r="N634" s="24"/>
      <c r="O634" s="24"/>
      <c r="P634" s="170"/>
      <c r="Q634" s="170"/>
      <c r="R634" s="290" t="s">
        <v>1957</v>
      </c>
      <c r="S634" s="242" t="s">
        <v>1958</v>
      </c>
      <c r="T634" s="242" t="s">
        <v>1959</v>
      </c>
      <c r="U634" s="170"/>
      <c r="V634" s="248"/>
      <c r="W634" s="242"/>
      <c r="X634" s="242" t="s">
        <v>1132</v>
      </c>
      <c r="Y634" s="196"/>
      <c r="Z634" s="24"/>
      <c r="AA634" s="170"/>
      <c r="AB634" s="221"/>
      <c r="AC634" s="251"/>
      <c r="AD634" s="170"/>
      <c r="AE634" s="24"/>
      <c r="AF634" s="170"/>
      <c r="AG634" s="22"/>
      <c r="AH634" s="45"/>
      <c r="AI634" s="24"/>
      <c r="AJ634" s="280" t="s">
        <v>115</v>
      </c>
      <c r="AK634" s="22"/>
      <c r="AL634" s="22"/>
      <c r="AM634" s="22"/>
      <c r="AN634" s="22"/>
      <c r="AO634" s="22"/>
      <c r="AP634" s="22"/>
      <c r="AQ634" s="22"/>
      <c r="AR634" s="22"/>
      <c r="AS634" s="22"/>
      <c r="AT634" s="170"/>
      <c r="AU634" s="170"/>
      <c r="AV634" s="170"/>
      <c r="AW634" s="170"/>
      <c r="AX634" s="170"/>
      <c r="AY634" s="170"/>
      <c r="AZ634" s="170"/>
      <c r="BA634" s="170"/>
      <c r="BB634" s="170"/>
      <c r="BC634" s="170"/>
      <c r="BD634" s="170"/>
      <c r="BE634" s="143" t="s">
        <v>1960</v>
      </c>
      <c r="BF634" s="143" t="s">
        <v>888</v>
      </c>
      <c r="BG634" s="139" t="s">
        <v>889</v>
      </c>
      <c r="BH634" s="220"/>
      <c r="BI634" s="220"/>
      <c r="BJ634" s="220"/>
      <c r="BK634" s="46">
        <f t="shared" si="1"/>
        <v>1</v>
      </c>
      <c r="BL634" s="46"/>
      <c r="BM634" s="46"/>
      <c r="BN634" s="46"/>
    </row>
    <row r="635" spans="1:66" ht="12.75" hidden="1" customHeight="1">
      <c r="A635" s="22">
        <v>633</v>
      </c>
      <c r="B635" s="22" t="s">
        <v>1961</v>
      </c>
      <c r="C635" s="22" t="str">
        <f t="shared" si="0"/>
        <v>Partner HIV test inconclusive, refer partner for further testing.</v>
      </c>
      <c r="D635" s="24" t="s">
        <v>1961</v>
      </c>
      <c r="E635" s="22" t="s">
        <v>1445</v>
      </c>
      <c r="F635" s="24" t="s">
        <v>1787</v>
      </c>
      <c r="G635" s="24" t="s">
        <v>1945</v>
      </c>
      <c r="H635" s="24"/>
      <c r="I635" s="24">
        <v>1</v>
      </c>
      <c r="J635" s="24" t="s">
        <v>1767</v>
      </c>
      <c r="K635" s="24"/>
      <c r="L635" s="24"/>
      <c r="M635" s="24"/>
      <c r="N635" s="24"/>
      <c r="O635" s="24"/>
      <c r="P635" s="170"/>
      <c r="Q635" s="170"/>
      <c r="R635" s="381" t="s">
        <v>1961</v>
      </c>
      <c r="S635" s="307" t="s">
        <v>115</v>
      </c>
      <c r="T635" s="307" t="s">
        <v>1962</v>
      </c>
      <c r="U635" s="307" t="s">
        <v>1445</v>
      </c>
      <c r="V635" s="307"/>
      <c r="W635" s="307"/>
      <c r="X635" s="307"/>
      <c r="Y635" s="307"/>
      <c r="Z635" s="24"/>
      <c r="AA635" s="170"/>
      <c r="AB635" s="307" t="s">
        <v>115</v>
      </c>
      <c r="AC635" s="251"/>
      <c r="AD635" s="170"/>
      <c r="AE635" s="24"/>
      <c r="AF635" s="170"/>
      <c r="AG635" s="22"/>
      <c r="AH635" s="45"/>
      <c r="AI635" s="24"/>
      <c r="AJ635" s="307" t="s">
        <v>115</v>
      </c>
      <c r="AK635" s="22"/>
      <c r="AL635" s="22"/>
      <c r="AM635" s="22"/>
      <c r="AN635" s="22"/>
      <c r="AO635" s="22"/>
      <c r="AP635" s="22"/>
      <c r="AQ635" s="22"/>
      <c r="AR635" s="22"/>
      <c r="AS635" s="22"/>
      <c r="AT635" s="170"/>
      <c r="AU635" s="170"/>
      <c r="AV635" s="170"/>
      <c r="AW635" s="170"/>
      <c r="AX635" s="170"/>
      <c r="AY635" s="170"/>
      <c r="AZ635" s="170"/>
      <c r="BA635" s="170"/>
      <c r="BB635" s="170"/>
      <c r="BC635" s="170"/>
      <c r="BD635" s="170"/>
      <c r="BE635" s="143" t="s">
        <v>115</v>
      </c>
      <c r="BF635" s="143" t="s">
        <v>115</v>
      </c>
      <c r="BG635" s="167" t="s">
        <v>115</v>
      </c>
      <c r="BH635" s="220"/>
      <c r="BI635" s="220"/>
      <c r="BJ635" s="220"/>
      <c r="BK635" s="46">
        <f t="shared" si="1"/>
        <v>1</v>
      </c>
      <c r="BL635" s="46"/>
      <c r="BM635" s="46"/>
      <c r="BN635" s="46"/>
    </row>
    <row r="636" spans="1:66" ht="12.75" hidden="1" customHeight="1">
      <c r="A636" s="22">
        <v>634</v>
      </c>
      <c r="B636" s="22" t="s">
        <v>1963</v>
      </c>
      <c r="C636" s="22" t="str">
        <f t="shared" si="0"/>
        <v>hiv_risk</v>
      </c>
      <c r="D636" s="24" t="s">
        <v>1963</v>
      </c>
      <c r="E636" s="22" t="s">
        <v>65</v>
      </c>
      <c r="F636" s="24" t="s">
        <v>1787</v>
      </c>
      <c r="G636" s="24" t="s">
        <v>1945</v>
      </c>
      <c r="H636" s="24"/>
      <c r="I636" s="24">
        <v>1</v>
      </c>
      <c r="J636" s="24" t="s">
        <v>1767</v>
      </c>
      <c r="K636" s="24"/>
      <c r="L636" s="24"/>
      <c r="M636" s="24"/>
      <c r="N636" s="24"/>
      <c r="O636" s="24"/>
      <c r="P636" s="164"/>
      <c r="Q636" s="164"/>
      <c r="R636" s="290" t="s">
        <v>1964</v>
      </c>
      <c r="S636" s="242" t="s">
        <v>1963</v>
      </c>
      <c r="T636" s="242" t="s">
        <v>1965</v>
      </c>
      <c r="U636" s="242" t="s">
        <v>65</v>
      </c>
      <c r="V636" s="242"/>
      <c r="W636" s="242"/>
      <c r="X636" s="170" t="s">
        <v>1966</v>
      </c>
      <c r="Y636" s="196"/>
      <c r="Z636" s="24"/>
      <c r="AA636" s="164"/>
      <c r="AB636" s="170" t="s">
        <v>115</v>
      </c>
      <c r="AC636" s="269"/>
      <c r="AD636" s="164"/>
      <c r="AE636" s="24"/>
      <c r="AF636" s="164"/>
      <c r="AG636" s="22"/>
      <c r="AH636" s="45"/>
      <c r="AI636" s="24"/>
      <c r="AJ636" s="280" t="s">
        <v>115</v>
      </c>
      <c r="AK636" s="22"/>
      <c r="AL636" s="22"/>
      <c r="AM636" s="22"/>
      <c r="AN636" s="22"/>
      <c r="AO636" s="22"/>
      <c r="AP636" s="22"/>
      <c r="AQ636" s="22"/>
      <c r="AR636" s="22"/>
      <c r="AS636" s="22"/>
      <c r="AT636" s="164"/>
      <c r="AU636" s="164"/>
      <c r="AV636" s="163"/>
      <c r="AW636" s="164"/>
      <c r="AX636" s="164"/>
      <c r="AY636" s="164"/>
      <c r="AZ636" s="164"/>
      <c r="BA636" s="164"/>
      <c r="BB636" s="164"/>
      <c r="BC636" s="164"/>
      <c r="BD636" s="164"/>
      <c r="BE636" s="143" t="s">
        <v>115</v>
      </c>
      <c r="BF636" s="143" t="s">
        <v>1967</v>
      </c>
      <c r="BG636" s="167" t="s">
        <v>1968</v>
      </c>
      <c r="BH636" s="220"/>
      <c r="BI636" s="220"/>
      <c r="BJ636" s="220"/>
      <c r="BK636" s="46">
        <f t="shared" si="1"/>
        <v>1</v>
      </c>
      <c r="BL636" s="46"/>
      <c r="BM636" s="46"/>
      <c r="BN636" s="46"/>
    </row>
    <row r="637" spans="1:66" ht="12.75" hidden="1" customHeight="1">
      <c r="A637" s="22">
        <v>635</v>
      </c>
      <c r="B637" s="22" t="s">
        <v>1969</v>
      </c>
      <c r="C637" s="22" t="str">
        <f t="shared" si="0"/>
        <v>Hepatitis B test</v>
      </c>
      <c r="D637" s="24" t="s">
        <v>1969</v>
      </c>
      <c r="E637" s="22" t="s">
        <v>96</v>
      </c>
      <c r="F637" s="24" t="s">
        <v>1787</v>
      </c>
      <c r="G637" s="24" t="s">
        <v>1970</v>
      </c>
      <c r="H637" s="24"/>
      <c r="I637" s="24">
        <v>1</v>
      </c>
      <c r="J637" s="24" t="s">
        <v>1767</v>
      </c>
      <c r="K637" s="24"/>
      <c r="L637" s="24"/>
      <c r="M637" s="24"/>
      <c r="N637" s="24"/>
      <c r="O637" s="24"/>
      <c r="P637" s="170"/>
      <c r="Q637" s="170"/>
      <c r="R637" s="162" t="s">
        <v>1969</v>
      </c>
      <c r="S637" s="163" t="s">
        <v>1971</v>
      </c>
      <c r="T637" s="163" t="s">
        <v>1972</v>
      </c>
      <c r="U637" s="163" t="s">
        <v>202</v>
      </c>
      <c r="V637" s="163"/>
      <c r="W637" s="163"/>
      <c r="X637" s="164"/>
      <c r="Y637" s="164"/>
      <c r="Z637" s="24"/>
      <c r="AA637" s="170"/>
      <c r="AB637" s="163" t="s">
        <v>113</v>
      </c>
      <c r="AC637" s="251"/>
      <c r="AD637" s="170"/>
      <c r="AE637" s="24"/>
      <c r="AF637" s="170"/>
      <c r="AG637" s="22"/>
      <c r="AH637" s="45"/>
      <c r="AI637" s="24"/>
      <c r="AJ637" s="164" t="s">
        <v>226</v>
      </c>
      <c r="AK637" s="22"/>
      <c r="AL637" s="22"/>
      <c r="AM637" s="22"/>
      <c r="AN637" s="22"/>
      <c r="AO637" s="22"/>
      <c r="AP637" s="22"/>
      <c r="AQ637" s="22"/>
      <c r="AR637" s="22"/>
      <c r="AS637" s="22"/>
      <c r="AT637" s="170"/>
      <c r="AU637" s="170"/>
      <c r="AV637" s="170"/>
      <c r="AW637" s="170"/>
      <c r="AX637" s="170"/>
      <c r="AY637" s="170"/>
      <c r="AZ637" s="170"/>
      <c r="BA637" s="170"/>
      <c r="BB637" s="170"/>
      <c r="BC637" s="170"/>
      <c r="BD637" s="170"/>
      <c r="BE637" s="137" t="s">
        <v>1973</v>
      </c>
      <c r="BF637" s="143" t="s">
        <v>1773</v>
      </c>
      <c r="BG637" s="139" t="s">
        <v>1774</v>
      </c>
      <c r="BH637" s="220"/>
      <c r="BI637" s="220"/>
      <c r="BJ637" s="220"/>
      <c r="BK637" s="46">
        <f t="shared" si="1"/>
        <v>1</v>
      </c>
      <c r="BL637" s="46"/>
      <c r="BM637" s="46"/>
      <c r="BN637" s="46"/>
    </row>
    <row r="638" spans="1:66" ht="12.75" hidden="1" customHeight="1">
      <c r="A638" s="22">
        <v>636</v>
      </c>
      <c r="B638" s="22" t="s">
        <v>2651</v>
      </c>
      <c r="C638" s="22" t="e">
        <f t="shared" ca="1" si="0"/>
        <v>#NAME?</v>
      </c>
      <c r="D638" s="24" t="s">
        <v>1775</v>
      </c>
      <c r="E638" s="22" t="s">
        <v>180</v>
      </c>
      <c r="F638" s="24" t="s">
        <v>1969</v>
      </c>
      <c r="G638" s="24" t="s">
        <v>1970</v>
      </c>
      <c r="H638" s="24"/>
      <c r="I638" s="24">
        <v>1</v>
      </c>
      <c r="J638" s="24" t="s">
        <v>1767</v>
      </c>
      <c r="K638" s="24"/>
      <c r="L638" s="24"/>
      <c r="M638" s="24"/>
      <c r="N638" s="24"/>
      <c r="O638" s="24"/>
      <c r="P638" s="170"/>
      <c r="Q638" s="170"/>
      <c r="R638" s="162"/>
      <c r="S638" s="163"/>
      <c r="T638" s="163"/>
      <c r="U638" s="163"/>
      <c r="V638" s="163"/>
      <c r="W638" s="163" t="s">
        <v>1775</v>
      </c>
      <c r="X638" s="163"/>
      <c r="Y638" s="163"/>
      <c r="Z638" s="24"/>
      <c r="AA638" s="170"/>
      <c r="AB638" s="163"/>
      <c r="AC638" s="251"/>
      <c r="AD638" s="170"/>
      <c r="AE638" s="24"/>
      <c r="AF638" s="170"/>
      <c r="AG638" s="22"/>
      <c r="AH638" s="45"/>
      <c r="AI638" s="24"/>
      <c r="AJ638" s="196"/>
      <c r="AK638" s="22"/>
      <c r="AL638" s="22"/>
      <c r="AM638" s="22"/>
      <c r="AN638" s="22"/>
      <c r="AO638" s="22"/>
      <c r="AP638" s="22"/>
      <c r="AQ638" s="22"/>
      <c r="AR638" s="22"/>
      <c r="AS638" s="22"/>
      <c r="AT638" s="170"/>
      <c r="AU638" s="170"/>
      <c r="AV638" s="170"/>
      <c r="AW638" s="170"/>
      <c r="AX638" s="170"/>
      <c r="AY638" s="170"/>
      <c r="AZ638" s="170"/>
      <c r="BA638" s="170"/>
      <c r="BB638" s="170"/>
      <c r="BC638" s="170"/>
      <c r="BD638" s="170"/>
      <c r="BE638" s="137" t="s">
        <v>115</v>
      </c>
      <c r="BF638" s="137" t="s">
        <v>1777</v>
      </c>
      <c r="BG638" s="139" t="s">
        <v>1778</v>
      </c>
      <c r="BH638" s="220"/>
      <c r="BI638" s="220"/>
      <c r="BJ638" s="220"/>
      <c r="BK638" s="46">
        <f t="shared" si="1"/>
        <v>1</v>
      </c>
      <c r="BL638" s="46"/>
      <c r="BM638" s="46"/>
      <c r="BN638" s="46"/>
    </row>
    <row r="639" spans="1:66" ht="12.75" hidden="1" customHeight="1">
      <c r="A639" s="22">
        <v>637</v>
      </c>
      <c r="B639" s="22" t="s">
        <v>2655</v>
      </c>
      <c r="C639" s="22" t="e">
        <f t="shared" ca="1" si="0"/>
        <v>#NAME?</v>
      </c>
      <c r="D639" s="24" t="s">
        <v>1779</v>
      </c>
      <c r="E639" s="22" t="s">
        <v>180</v>
      </c>
      <c r="F639" s="24" t="s">
        <v>1969</v>
      </c>
      <c r="G639" s="24" t="s">
        <v>1970</v>
      </c>
      <c r="H639" s="24"/>
      <c r="I639" s="24">
        <v>1</v>
      </c>
      <c r="J639" s="24" t="s">
        <v>1767</v>
      </c>
      <c r="K639" s="24"/>
      <c r="L639" s="24"/>
      <c r="M639" s="24"/>
      <c r="N639" s="24"/>
      <c r="O639" s="24"/>
      <c r="P639" s="170"/>
      <c r="Q639" s="170"/>
      <c r="R639" s="162"/>
      <c r="S639" s="163"/>
      <c r="T639" s="163"/>
      <c r="U639" s="163"/>
      <c r="V639" s="193"/>
      <c r="W639" s="194" t="s">
        <v>1779</v>
      </c>
      <c r="X639" s="163"/>
      <c r="Y639" s="163"/>
      <c r="Z639" s="24"/>
      <c r="AA639" s="170"/>
      <c r="AB639" s="163"/>
      <c r="AC639" s="251"/>
      <c r="AD639" s="170"/>
      <c r="AE639" s="24"/>
      <c r="AF639" s="170"/>
      <c r="AG639" s="22"/>
      <c r="AH639" s="45"/>
      <c r="AI639" s="24"/>
      <c r="AJ639" s="196"/>
      <c r="AK639" s="22"/>
      <c r="AL639" s="22"/>
      <c r="AM639" s="22"/>
      <c r="AN639" s="22"/>
      <c r="AO639" s="22"/>
      <c r="AP639" s="22"/>
      <c r="AQ639" s="22"/>
      <c r="AR639" s="22"/>
      <c r="AS639" s="22"/>
      <c r="AT639" s="170"/>
      <c r="AU639" s="170"/>
      <c r="AV639" s="170"/>
      <c r="AW639" s="170"/>
      <c r="AX639" s="170"/>
      <c r="AY639" s="170"/>
      <c r="AZ639" s="170"/>
      <c r="BA639" s="170"/>
      <c r="BB639" s="170"/>
      <c r="BC639" s="170"/>
      <c r="BD639" s="170"/>
      <c r="BE639" s="137" t="s">
        <v>115</v>
      </c>
      <c r="BF639" s="137" t="s">
        <v>1781</v>
      </c>
      <c r="BG639" s="139" t="s">
        <v>1782</v>
      </c>
      <c r="BH639" s="220"/>
      <c r="BI639" s="220"/>
      <c r="BJ639" s="220"/>
      <c r="BK639" s="46">
        <f t="shared" si="1"/>
        <v>1</v>
      </c>
      <c r="BL639" s="46"/>
      <c r="BM639" s="46"/>
      <c r="BN639" s="46"/>
    </row>
    <row r="640" spans="1:66" ht="12.75" hidden="1" customHeight="1">
      <c r="A640" s="22">
        <v>638</v>
      </c>
      <c r="B640" s="22" t="s">
        <v>2661</v>
      </c>
      <c r="C640" s="22" t="e">
        <f t="shared" ca="1" si="0"/>
        <v>#NAME?</v>
      </c>
      <c r="D640" s="24" t="s">
        <v>1783</v>
      </c>
      <c r="E640" s="22" t="s">
        <v>180</v>
      </c>
      <c r="F640" s="24" t="s">
        <v>1969</v>
      </c>
      <c r="G640" s="24" t="s">
        <v>1970</v>
      </c>
      <c r="H640" s="24"/>
      <c r="I640" s="24">
        <v>1</v>
      </c>
      <c r="J640" s="24" t="s">
        <v>1767</v>
      </c>
      <c r="K640" s="24"/>
      <c r="L640" s="24"/>
      <c r="M640" s="24"/>
      <c r="N640" s="24"/>
      <c r="O640" s="24"/>
      <c r="P640" s="170"/>
      <c r="Q640" s="170"/>
      <c r="R640" s="162"/>
      <c r="S640" s="163"/>
      <c r="T640" s="163"/>
      <c r="U640" s="163"/>
      <c r="V640" s="193"/>
      <c r="W640" s="194" t="s">
        <v>1783</v>
      </c>
      <c r="X640" s="163"/>
      <c r="Y640" s="163"/>
      <c r="Z640" s="24"/>
      <c r="AA640" s="170"/>
      <c r="AB640" s="163"/>
      <c r="AC640" s="251"/>
      <c r="AD640" s="170"/>
      <c r="AE640" s="24"/>
      <c r="AF640" s="170"/>
      <c r="AG640" s="22"/>
      <c r="AH640" s="45"/>
      <c r="AI640" s="24"/>
      <c r="AJ640" s="196"/>
      <c r="AK640" s="22"/>
      <c r="AL640" s="22"/>
      <c r="AM640" s="22"/>
      <c r="AN640" s="22"/>
      <c r="AO640" s="22"/>
      <c r="AP640" s="22"/>
      <c r="AQ640" s="22"/>
      <c r="AR640" s="22"/>
      <c r="AS640" s="22"/>
      <c r="AT640" s="170"/>
      <c r="AU640" s="170"/>
      <c r="AV640" s="170"/>
      <c r="AW640" s="170"/>
      <c r="AX640" s="170"/>
      <c r="AY640" s="170"/>
      <c r="AZ640" s="170"/>
      <c r="BA640" s="170"/>
      <c r="BB640" s="170"/>
      <c r="BC640" s="170"/>
      <c r="BD640" s="170"/>
      <c r="BE640" s="137" t="s">
        <v>115</v>
      </c>
      <c r="BF640" s="137" t="s">
        <v>1784</v>
      </c>
      <c r="BG640" s="167" t="s">
        <v>1785</v>
      </c>
      <c r="BH640" s="220"/>
      <c r="BI640" s="220"/>
      <c r="BJ640" s="220"/>
      <c r="BK640" s="46">
        <f t="shared" si="1"/>
        <v>1</v>
      </c>
      <c r="BL640" s="46"/>
      <c r="BM640" s="46"/>
      <c r="BN640" s="46"/>
    </row>
    <row r="641" spans="1:66" ht="12.75" hidden="1" customHeight="1">
      <c r="A641" s="22">
        <v>639</v>
      </c>
      <c r="B641" s="22" t="s">
        <v>2118</v>
      </c>
      <c r="C641" s="22" t="e">
        <f t="shared" ca="1" si="0"/>
        <v>#NAME?</v>
      </c>
      <c r="D641" s="24" t="s">
        <v>1468</v>
      </c>
      <c r="E641" s="22" t="s">
        <v>180</v>
      </c>
      <c r="F641" s="24" t="s">
        <v>1969</v>
      </c>
      <c r="G641" s="24" t="s">
        <v>1970</v>
      </c>
      <c r="H641" s="24"/>
      <c r="I641" s="24">
        <v>1</v>
      </c>
      <c r="J641" s="24" t="s">
        <v>1767</v>
      </c>
      <c r="K641" s="24"/>
      <c r="L641" s="24"/>
      <c r="M641" s="24"/>
      <c r="N641" s="24"/>
      <c r="O641" s="24"/>
      <c r="P641" s="170"/>
      <c r="Q641" s="170"/>
      <c r="R641" s="162"/>
      <c r="S641" s="163"/>
      <c r="T641" s="163"/>
      <c r="U641" s="163"/>
      <c r="V641" s="193"/>
      <c r="W641" s="194" t="s">
        <v>1468</v>
      </c>
      <c r="X641" s="163"/>
      <c r="Y641" s="163"/>
      <c r="Z641" s="24"/>
      <c r="AA641" s="170"/>
      <c r="AB641" s="163"/>
      <c r="AC641" s="251"/>
      <c r="AD641" s="170"/>
      <c r="AE641" s="24"/>
      <c r="AF641" s="170"/>
      <c r="AG641" s="22"/>
      <c r="AH641" s="45"/>
      <c r="AI641" s="24"/>
      <c r="AJ641" s="196"/>
      <c r="AK641" s="22"/>
      <c r="AL641" s="22"/>
      <c r="AM641" s="22"/>
      <c r="AN641" s="22"/>
      <c r="AO641" s="22"/>
      <c r="AP641" s="22"/>
      <c r="AQ641" s="22"/>
      <c r="AR641" s="22"/>
      <c r="AS641" s="22"/>
      <c r="AT641" s="170"/>
      <c r="AU641" s="170"/>
      <c r="AV641" s="170"/>
      <c r="AW641" s="170"/>
      <c r="AX641" s="170"/>
      <c r="AY641" s="170"/>
      <c r="AZ641" s="170"/>
      <c r="BA641" s="170"/>
      <c r="BB641" s="170"/>
      <c r="BC641" s="170"/>
      <c r="BD641" s="170"/>
      <c r="BE641" s="137" t="s">
        <v>115</v>
      </c>
      <c r="BF641" s="137" t="s">
        <v>1469</v>
      </c>
      <c r="BG641" s="167" t="s">
        <v>1470</v>
      </c>
      <c r="BH641" s="220"/>
      <c r="BI641" s="220"/>
      <c r="BJ641" s="220"/>
      <c r="BK641" s="46">
        <f t="shared" si="1"/>
        <v>1</v>
      </c>
      <c r="BL641" s="46"/>
      <c r="BM641" s="46"/>
      <c r="BN641" s="46"/>
    </row>
    <row r="642" spans="1:66" ht="12.75" hidden="1" customHeight="1">
      <c r="A642" s="22">
        <v>640</v>
      </c>
      <c r="B642" s="22" t="s">
        <v>1974</v>
      </c>
      <c r="C642" s="22" t="str">
        <f t="shared" si="0"/>
        <v>Reason Hepatitis B test not done</v>
      </c>
      <c r="D642" s="24" t="s">
        <v>1974</v>
      </c>
      <c r="E642" s="22" t="s">
        <v>96</v>
      </c>
      <c r="F642" s="24" t="s">
        <v>1787</v>
      </c>
      <c r="G642" s="24" t="s">
        <v>1970</v>
      </c>
      <c r="H642" s="24"/>
      <c r="I642" s="24">
        <v>1</v>
      </c>
      <c r="J642" s="24" t="s">
        <v>1767</v>
      </c>
      <c r="K642" s="24"/>
      <c r="L642" s="24"/>
      <c r="M642" s="24"/>
      <c r="N642" s="24"/>
      <c r="O642" s="24"/>
      <c r="P642" s="170"/>
      <c r="Q642" s="170"/>
      <c r="R642" s="162" t="s">
        <v>1376</v>
      </c>
      <c r="S642" s="163" t="s">
        <v>1975</v>
      </c>
      <c r="T642" s="163" t="s">
        <v>1976</v>
      </c>
      <c r="U642" s="163" t="s">
        <v>238</v>
      </c>
      <c r="V642" s="163"/>
      <c r="W642" s="163"/>
      <c r="X642" s="163"/>
      <c r="Y642" s="163"/>
      <c r="Z642" s="24"/>
      <c r="AA642" s="170"/>
      <c r="AB642" s="163" t="s">
        <v>113</v>
      </c>
      <c r="AC642" s="251"/>
      <c r="AD642" s="170"/>
      <c r="AE642" s="24"/>
      <c r="AF642" s="170"/>
      <c r="AG642" s="22"/>
      <c r="AH642" s="45"/>
      <c r="AI642" s="24"/>
      <c r="AJ642" s="196" t="s">
        <v>115</v>
      </c>
      <c r="AK642" s="22"/>
      <c r="AL642" s="22"/>
      <c r="AM642" s="22"/>
      <c r="AN642" s="22"/>
      <c r="AO642" s="22"/>
      <c r="AP642" s="22"/>
      <c r="AQ642" s="22"/>
      <c r="AR642" s="22"/>
      <c r="AS642" s="22"/>
      <c r="AT642" s="170"/>
      <c r="AU642" s="170"/>
      <c r="AV642" s="170"/>
      <c r="AW642" s="170"/>
      <c r="AX642" s="170"/>
      <c r="AY642" s="170"/>
      <c r="AZ642" s="170"/>
      <c r="BA642" s="170"/>
      <c r="BB642" s="170"/>
      <c r="BC642" s="170"/>
      <c r="BD642" s="170"/>
      <c r="BE642" s="137" t="s">
        <v>1973</v>
      </c>
      <c r="BF642" s="137" t="s">
        <v>1791</v>
      </c>
      <c r="BG642" s="139" t="s">
        <v>1792</v>
      </c>
      <c r="BH642" s="220"/>
      <c r="BI642" s="220"/>
      <c r="BJ642" s="220"/>
      <c r="BK642" s="46">
        <f t="shared" si="1"/>
        <v>1</v>
      </c>
      <c r="BL642" s="46"/>
      <c r="BM642" s="46"/>
      <c r="BN642" s="46"/>
    </row>
    <row r="643" spans="1:66" ht="12.75" hidden="1" customHeight="1">
      <c r="A643" s="22">
        <v>641</v>
      </c>
      <c r="B643" s="22" t="s">
        <v>2870</v>
      </c>
      <c r="C643" s="22" t="e">
        <f t="shared" ca="1" si="0"/>
        <v>#NAME?</v>
      </c>
      <c r="D643" s="24" t="s">
        <v>1909</v>
      </c>
      <c r="E643" s="22" t="s">
        <v>180</v>
      </c>
      <c r="F643" s="24" t="s">
        <v>1376</v>
      </c>
      <c r="G643" s="24" t="s">
        <v>1970</v>
      </c>
      <c r="H643" s="24"/>
      <c r="I643" s="24">
        <v>1</v>
      </c>
      <c r="J643" s="24" t="s">
        <v>1767</v>
      </c>
      <c r="K643" s="24"/>
      <c r="L643" s="24"/>
      <c r="M643" s="24"/>
      <c r="N643" s="24"/>
      <c r="O643" s="24"/>
      <c r="P643" s="170"/>
      <c r="Q643" s="170"/>
      <c r="R643" s="247"/>
      <c r="S643" s="196"/>
      <c r="T643" s="196"/>
      <c r="U643" s="196"/>
      <c r="V643" s="194"/>
      <c r="W643" s="194" t="s">
        <v>1909</v>
      </c>
      <c r="X643" s="196"/>
      <c r="Y643" s="196"/>
      <c r="Z643" s="24"/>
      <c r="AA643" s="170"/>
      <c r="AB643" s="196"/>
      <c r="AC643" s="251"/>
      <c r="AD643" s="170"/>
      <c r="AE643" s="24"/>
      <c r="AF643" s="170"/>
      <c r="AG643" s="22"/>
      <c r="AH643" s="45"/>
      <c r="AI643" s="24"/>
      <c r="AJ643" s="196"/>
      <c r="AK643" s="22"/>
      <c r="AL643" s="22"/>
      <c r="AM643" s="22"/>
      <c r="AN643" s="22"/>
      <c r="AO643" s="22"/>
      <c r="AP643" s="22"/>
      <c r="AQ643" s="22"/>
      <c r="AR643" s="22"/>
      <c r="AS643" s="22"/>
      <c r="AT643" s="170"/>
      <c r="AU643" s="170"/>
      <c r="AV643" s="170"/>
      <c r="AW643" s="170"/>
      <c r="AX643" s="170"/>
      <c r="AY643" s="170"/>
      <c r="AZ643" s="170"/>
      <c r="BA643" s="170"/>
      <c r="BB643" s="170"/>
      <c r="BC643" s="170"/>
      <c r="BD643" s="170"/>
      <c r="BE643" s="143" t="s">
        <v>115</v>
      </c>
      <c r="BF643" s="143" t="s">
        <v>1910</v>
      </c>
      <c r="BG643" s="167" t="s">
        <v>1911</v>
      </c>
      <c r="BH643" s="220"/>
      <c r="BI643" s="220"/>
      <c r="BJ643" s="220"/>
      <c r="BK643" s="46">
        <f t="shared" si="1"/>
        <v>1</v>
      </c>
      <c r="BL643" s="46"/>
      <c r="BM643" s="46"/>
      <c r="BN643" s="46"/>
    </row>
    <row r="644" spans="1:66" ht="12.75" hidden="1" customHeight="1">
      <c r="A644" s="22">
        <v>642</v>
      </c>
      <c r="B644" s="22" t="s">
        <v>2877</v>
      </c>
      <c r="C644" s="22" t="e">
        <f t="shared" ca="1" si="0"/>
        <v>#NAME?</v>
      </c>
      <c r="D644" s="24" t="s">
        <v>1912</v>
      </c>
      <c r="E644" s="22" t="s">
        <v>180</v>
      </c>
      <c r="F644" s="24" t="s">
        <v>1376</v>
      </c>
      <c r="G644" s="24" t="s">
        <v>1970</v>
      </c>
      <c r="H644" s="24"/>
      <c r="I644" s="24">
        <v>1</v>
      </c>
      <c r="J644" s="24" t="s">
        <v>1767</v>
      </c>
      <c r="K644" s="24"/>
      <c r="L644" s="24"/>
      <c r="M644" s="24"/>
      <c r="N644" s="24"/>
      <c r="O644" s="24"/>
      <c r="P644" s="170"/>
      <c r="Q644" s="170"/>
      <c r="R644" s="247"/>
      <c r="S644" s="196"/>
      <c r="T644" s="196"/>
      <c r="U644" s="196"/>
      <c r="V644" s="194"/>
      <c r="W644" s="194" t="s">
        <v>1912</v>
      </c>
      <c r="X644" s="196"/>
      <c r="Y644" s="196"/>
      <c r="Z644" s="24"/>
      <c r="AA644" s="170"/>
      <c r="AB644" s="196"/>
      <c r="AC644" s="251"/>
      <c r="AD644" s="170"/>
      <c r="AE644" s="24"/>
      <c r="AF644" s="170"/>
      <c r="AG644" s="22"/>
      <c r="AH644" s="45"/>
      <c r="AI644" s="24"/>
      <c r="AJ644" s="196"/>
      <c r="AK644" s="22"/>
      <c r="AL644" s="22"/>
      <c r="AM644" s="22"/>
      <c r="AN644" s="22"/>
      <c r="AO644" s="22"/>
      <c r="AP644" s="22"/>
      <c r="AQ644" s="22"/>
      <c r="AR644" s="22"/>
      <c r="AS644" s="22"/>
      <c r="AT644" s="170"/>
      <c r="AU644" s="170"/>
      <c r="AV644" s="170"/>
      <c r="AW644" s="170"/>
      <c r="AX644" s="170"/>
      <c r="AY644" s="170"/>
      <c r="AZ644" s="170"/>
      <c r="BA644" s="170"/>
      <c r="BB644" s="170"/>
      <c r="BC644" s="170"/>
      <c r="BD644" s="170"/>
      <c r="BE644" s="143" t="s">
        <v>115</v>
      </c>
      <c r="BF644" s="143" t="s">
        <v>1913</v>
      </c>
      <c r="BG644" s="167" t="s">
        <v>1914</v>
      </c>
      <c r="BH644" s="220"/>
      <c r="BI644" s="220"/>
      <c r="BJ644" s="220"/>
      <c r="BK644" s="46">
        <f t="shared" si="1"/>
        <v>1</v>
      </c>
      <c r="BL644" s="46"/>
      <c r="BM644" s="46"/>
      <c r="BN644" s="46"/>
    </row>
    <row r="645" spans="1:66" ht="12.75" hidden="1" customHeight="1">
      <c r="A645" s="22">
        <v>643</v>
      </c>
      <c r="B645" s="22" t="s">
        <v>535</v>
      </c>
      <c r="C645" s="22" t="e">
        <f t="shared" ca="1" si="0"/>
        <v>#NAME?</v>
      </c>
      <c r="D645" s="24" t="s">
        <v>405</v>
      </c>
      <c r="E645" s="22" t="s">
        <v>180</v>
      </c>
      <c r="F645" s="24" t="s">
        <v>1376</v>
      </c>
      <c r="G645" s="24" t="s">
        <v>1970</v>
      </c>
      <c r="H645" s="24"/>
      <c r="I645" s="24">
        <v>1</v>
      </c>
      <c r="J645" s="24" t="s">
        <v>1767</v>
      </c>
      <c r="K645" s="24"/>
      <c r="L645" s="24"/>
      <c r="M645" s="24"/>
      <c r="N645" s="24"/>
      <c r="O645" s="24"/>
      <c r="P645" s="170"/>
      <c r="Q645" s="170"/>
      <c r="R645" s="247"/>
      <c r="S645" s="196"/>
      <c r="T645" s="196"/>
      <c r="U645" s="196"/>
      <c r="V645" s="194"/>
      <c r="W645" s="194" t="s">
        <v>405</v>
      </c>
      <c r="X645" s="196"/>
      <c r="Y645" s="196"/>
      <c r="Z645" s="24"/>
      <c r="AA645" s="170"/>
      <c r="AB645" s="196"/>
      <c r="AC645" s="251"/>
      <c r="AD645" s="170"/>
      <c r="AE645" s="24"/>
      <c r="AF645" s="170"/>
      <c r="AG645" s="22"/>
      <c r="AH645" s="45"/>
      <c r="AI645" s="24"/>
      <c r="AJ645" s="196"/>
      <c r="AK645" s="22"/>
      <c r="AL645" s="22"/>
      <c r="AM645" s="22"/>
      <c r="AN645" s="22"/>
      <c r="AO645" s="22"/>
      <c r="AP645" s="22"/>
      <c r="AQ645" s="22"/>
      <c r="AR645" s="22"/>
      <c r="AS645" s="22"/>
      <c r="AT645" s="170"/>
      <c r="AU645" s="170"/>
      <c r="AV645" s="170"/>
      <c r="AW645" s="170"/>
      <c r="AX645" s="170"/>
      <c r="AY645" s="170"/>
      <c r="AZ645" s="170"/>
      <c r="BA645" s="170"/>
      <c r="BB645" s="170"/>
      <c r="BC645" s="170"/>
      <c r="BD645" s="170"/>
      <c r="BE645" s="143" t="s">
        <v>115</v>
      </c>
      <c r="BF645" s="143" t="s">
        <v>406</v>
      </c>
      <c r="BG645" s="167" t="s">
        <v>407</v>
      </c>
      <c r="BH645" s="220"/>
      <c r="BI645" s="220"/>
      <c r="BJ645" s="220"/>
      <c r="BK645" s="46">
        <f t="shared" si="1"/>
        <v>1</v>
      </c>
      <c r="BL645" s="46"/>
      <c r="BM645" s="46"/>
      <c r="BN645" s="46"/>
    </row>
    <row r="646" spans="1:66" ht="12.75" hidden="1" customHeight="1">
      <c r="A646" s="22">
        <v>644</v>
      </c>
      <c r="B646" s="22" t="s">
        <v>1977</v>
      </c>
      <c r="C646" s="22" t="str">
        <f t="shared" si="0"/>
        <v>Specify - Reason Hepatitis B test not done</v>
      </c>
      <c r="D646" s="24" t="s">
        <v>1977</v>
      </c>
      <c r="E646" s="22" t="s">
        <v>96</v>
      </c>
      <c r="F646" s="24" t="s">
        <v>1787</v>
      </c>
      <c r="G646" s="24" t="s">
        <v>1970</v>
      </c>
      <c r="H646" s="24"/>
      <c r="I646" s="24">
        <v>1</v>
      </c>
      <c r="J646" s="24" t="s">
        <v>1767</v>
      </c>
      <c r="K646" s="24"/>
      <c r="L646" s="24"/>
      <c r="M646" s="24"/>
      <c r="N646" s="24"/>
      <c r="O646" s="24"/>
      <c r="P646" s="170"/>
      <c r="Q646" s="170"/>
      <c r="R646" s="247" t="s">
        <v>409</v>
      </c>
      <c r="S646" s="196" t="s">
        <v>1978</v>
      </c>
      <c r="T646" s="196" t="s">
        <v>1979</v>
      </c>
      <c r="U646" s="196" t="s">
        <v>111</v>
      </c>
      <c r="V646" s="194"/>
      <c r="W646" s="194"/>
      <c r="X646" s="196"/>
      <c r="Y646" s="196"/>
      <c r="Z646" s="24"/>
      <c r="AA646" s="170"/>
      <c r="AB646" s="196" t="s">
        <v>208</v>
      </c>
      <c r="AC646" s="251"/>
      <c r="AD646" s="170"/>
      <c r="AE646" s="24"/>
      <c r="AF646" s="170"/>
      <c r="AG646" s="22"/>
      <c r="AH646" s="45"/>
      <c r="AI646" s="24"/>
      <c r="AJ646" s="196" t="s">
        <v>115</v>
      </c>
      <c r="AK646" s="22"/>
      <c r="AL646" s="22"/>
      <c r="AM646" s="22"/>
      <c r="AN646" s="22"/>
      <c r="AO646" s="22"/>
      <c r="AP646" s="22"/>
      <c r="AQ646" s="22"/>
      <c r="AR646" s="22"/>
      <c r="AS646" s="22"/>
      <c r="AT646" s="170"/>
      <c r="AU646" s="170"/>
      <c r="AV646" s="170"/>
      <c r="AW646" s="170"/>
      <c r="AX646" s="170"/>
      <c r="AY646" s="170"/>
      <c r="AZ646" s="170"/>
      <c r="BA646" s="170"/>
      <c r="BB646" s="170"/>
      <c r="BC646" s="170"/>
      <c r="BD646" s="170"/>
      <c r="BE646" s="143" t="s">
        <v>1973</v>
      </c>
      <c r="BF646" s="143" t="s">
        <v>1800</v>
      </c>
      <c r="BG646" s="167" t="s">
        <v>1801</v>
      </c>
      <c r="BH646" s="220"/>
      <c r="BI646" s="220"/>
      <c r="BJ646" s="220"/>
      <c r="BK646" s="46">
        <f t="shared" si="1"/>
        <v>1</v>
      </c>
      <c r="BL646" s="46"/>
      <c r="BM646" s="46"/>
      <c r="BN646" s="46"/>
    </row>
    <row r="647" spans="1:66" ht="12.75" hidden="1" customHeight="1">
      <c r="A647" s="22">
        <v>645</v>
      </c>
      <c r="B647" s="22" t="s">
        <v>1980</v>
      </c>
      <c r="C647" s="22" t="str">
        <f t="shared" si="0"/>
        <v>Hep B test date</v>
      </c>
      <c r="D647" s="24" t="s">
        <v>1980</v>
      </c>
      <c r="E647" s="22" t="s">
        <v>96</v>
      </c>
      <c r="F647" s="24" t="s">
        <v>1787</v>
      </c>
      <c r="G647" s="24" t="s">
        <v>1970</v>
      </c>
      <c r="H647" s="24"/>
      <c r="I647" s="24">
        <v>1</v>
      </c>
      <c r="J647" s="24" t="s">
        <v>1767</v>
      </c>
      <c r="K647" s="24"/>
      <c r="L647" s="24"/>
      <c r="M647" s="24"/>
      <c r="N647" s="24"/>
      <c r="O647" s="24"/>
      <c r="P647" s="170"/>
      <c r="Q647" s="170"/>
      <c r="R647" s="247" t="s">
        <v>1980</v>
      </c>
      <c r="S647" s="196" t="s">
        <v>1981</v>
      </c>
      <c r="T647" s="194" t="s">
        <v>1982</v>
      </c>
      <c r="U647" s="194" t="s">
        <v>140</v>
      </c>
      <c r="V647" s="194"/>
      <c r="W647" s="194"/>
      <c r="X647" s="196"/>
      <c r="Y647" s="196"/>
      <c r="Z647" s="24"/>
      <c r="AA647" s="170"/>
      <c r="AB647" s="196" t="s">
        <v>113</v>
      </c>
      <c r="AC647" s="251"/>
      <c r="AD647" s="170"/>
      <c r="AE647" s="24"/>
      <c r="AF647" s="170"/>
      <c r="AG647" s="22"/>
      <c r="AH647" s="45"/>
      <c r="AI647" s="24"/>
      <c r="AJ647" s="194" t="s">
        <v>115</v>
      </c>
      <c r="AK647" s="22"/>
      <c r="AL647" s="22"/>
      <c r="AM647" s="22"/>
      <c r="AN647" s="22"/>
      <c r="AO647" s="22"/>
      <c r="AP647" s="22"/>
      <c r="AQ647" s="22"/>
      <c r="AR647" s="22"/>
      <c r="AS647" s="22"/>
      <c r="AT647" s="170"/>
      <c r="AU647" s="170"/>
      <c r="AV647" s="170"/>
      <c r="AW647" s="170"/>
      <c r="AX647" s="170"/>
      <c r="AY647" s="170"/>
      <c r="AZ647" s="170"/>
      <c r="BA647" s="170"/>
      <c r="BB647" s="170"/>
      <c r="BC647" s="170"/>
      <c r="BD647" s="170"/>
      <c r="BE647" s="143" t="s">
        <v>1973</v>
      </c>
      <c r="BF647" s="143" t="s">
        <v>1804</v>
      </c>
      <c r="BG647" s="167" t="s">
        <v>1805</v>
      </c>
      <c r="BH647" s="220"/>
      <c r="BI647" s="220"/>
      <c r="BJ647" s="220"/>
      <c r="BK647" s="46">
        <f t="shared" si="1"/>
        <v>1</v>
      </c>
      <c r="BL647" s="46"/>
      <c r="BM647" s="46"/>
      <c r="BN647" s="46"/>
    </row>
    <row r="648" spans="1:66" ht="12.75" hidden="1" customHeight="1">
      <c r="A648" s="22">
        <v>646</v>
      </c>
      <c r="B648" s="22" t="s">
        <v>1983</v>
      </c>
      <c r="C648" s="22" t="str">
        <f t="shared" si="0"/>
        <v>Hep B test type</v>
      </c>
      <c r="D648" s="24" t="s">
        <v>1983</v>
      </c>
      <c r="E648" s="22" t="s">
        <v>96</v>
      </c>
      <c r="F648" s="24" t="s">
        <v>1787</v>
      </c>
      <c r="G648" s="24" t="s">
        <v>1970</v>
      </c>
      <c r="H648" s="24"/>
      <c r="I648" s="24">
        <v>1</v>
      </c>
      <c r="J648" s="24" t="s">
        <v>1767</v>
      </c>
      <c r="K648" s="24"/>
      <c r="L648" s="24"/>
      <c r="M648" s="24"/>
      <c r="N648" s="24"/>
      <c r="O648" s="24"/>
      <c r="P648" s="170"/>
      <c r="Q648" s="170"/>
      <c r="R648" s="162" t="s">
        <v>1983</v>
      </c>
      <c r="S648" s="163" t="s">
        <v>1984</v>
      </c>
      <c r="T648" s="163" t="s">
        <v>1985</v>
      </c>
      <c r="U648" s="163" t="s">
        <v>202</v>
      </c>
      <c r="V648" s="163"/>
      <c r="W648" s="163"/>
      <c r="X648" s="164"/>
      <c r="Y648" s="164"/>
      <c r="Z648" s="24"/>
      <c r="AA648" s="170"/>
      <c r="AB648" s="163" t="s">
        <v>113</v>
      </c>
      <c r="AC648" s="251"/>
      <c r="AD648" s="170"/>
      <c r="AE648" s="24"/>
      <c r="AF648" s="170"/>
      <c r="AG648" s="22"/>
      <c r="AH648" s="45"/>
      <c r="AI648" s="24"/>
      <c r="AJ648" s="196" t="s">
        <v>115</v>
      </c>
      <c r="AK648" s="22"/>
      <c r="AL648" s="22"/>
      <c r="AM648" s="22"/>
      <c r="AN648" s="22"/>
      <c r="AO648" s="22"/>
      <c r="AP648" s="22"/>
      <c r="AQ648" s="22"/>
      <c r="AR648" s="22"/>
      <c r="AS648" s="22"/>
      <c r="AT648" s="170"/>
      <c r="AU648" s="170"/>
      <c r="AV648" s="170"/>
      <c r="AW648" s="170"/>
      <c r="AX648" s="170"/>
      <c r="AY648" s="170"/>
      <c r="AZ648" s="170"/>
      <c r="BA648" s="170"/>
      <c r="BB648" s="170"/>
      <c r="BC648" s="170"/>
      <c r="BD648" s="170"/>
      <c r="BE648" s="137" t="s">
        <v>115</v>
      </c>
      <c r="BF648" s="137" t="s">
        <v>1986</v>
      </c>
      <c r="BG648" s="139" t="s">
        <v>1987</v>
      </c>
      <c r="BH648" s="220"/>
      <c r="BI648" s="220"/>
      <c r="BJ648" s="220"/>
      <c r="BK648" s="46">
        <f t="shared" si="1"/>
        <v>1</v>
      </c>
      <c r="BL648" s="46"/>
      <c r="BM648" s="46"/>
      <c r="BN648" s="46"/>
    </row>
    <row r="649" spans="1:66" ht="12.75" hidden="1" customHeight="1">
      <c r="A649" s="22">
        <v>647</v>
      </c>
      <c r="B649" s="22" t="s">
        <v>2979</v>
      </c>
      <c r="C649" s="22" t="e">
        <f t="shared" ca="1" si="0"/>
        <v>#NAME?</v>
      </c>
      <c r="D649" s="24" t="s">
        <v>1988</v>
      </c>
      <c r="E649" s="22" t="s">
        <v>180</v>
      </c>
      <c r="F649" s="24" t="s">
        <v>1983</v>
      </c>
      <c r="G649" s="24" t="s">
        <v>1970</v>
      </c>
      <c r="H649" s="24"/>
      <c r="I649" s="24">
        <v>1</v>
      </c>
      <c r="J649" s="24" t="s">
        <v>1767</v>
      </c>
      <c r="K649" s="24"/>
      <c r="L649" s="24"/>
      <c r="M649" s="24"/>
      <c r="N649" s="24"/>
      <c r="O649" s="24"/>
      <c r="P649" s="170"/>
      <c r="Q649" s="170"/>
      <c r="R649" s="162"/>
      <c r="S649" s="163"/>
      <c r="T649" s="163"/>
      <c r="U649" s="163"/>
      <c r="V649" s="163"/>
      <c r="W649" s="163" t="s">
        <v>1988</v>
      </c>
      <c r="X649" s="164"/>
      <c r="Y649" s="164"/>
      <c r="Z649" s="24"/>
      <c r="AA649" s="170"/>
      <c r="AB649" s="163"/>
      <c r="AC649" s="251"/>
      <c r="AD649" s="170"/>
      <c r="AE649" s="24"/>
      <c r="AF649" s="170"/>
      <c r="AG649" s="22"/>
      <c r="AH649" s="45"/>
      <c r="AI649" s="24"/>
      <c r="AJ649" s="196"/>
      <c r="AK649" s="22"/>
      <c r="AL649" s="22"/>
      <c r="AM649" s="22"/>
      <c r="AN649" s="22"/>
      <c r="AO649" s="22"/>
      <c r="AP649" s="22"/>
      <c r="AQ649" s="22"/>
      <c r="AR649" s="22"/>
      <c r="AS649" s="22"/>
      <c r="AT649" s="170"/>
      <c r="AU649" s="170"/>
      <c r="AV649" s="170"/>
      <c r="AW649" s="170"/>
      <c r="AX649" s="170"/>
      <c r="AY649" s="170"/>
      <c r="AZ649" s="170"/>
      <c r="BA649" s="170"/>
      <c r="BB649" s="170"/>
      <c r="BC649" s="170"/>
      <c r="BD649" s="170"/>
      <c r="BE649" s="137" t="s">
        <v>115</v>
      </c>
      <c r="BF649" s="143" t="s">
        <v>1989</v>
      </c>
      <c r="BG649" s="139" t="s">
        <v>1990</v>
      </c>
      <c r="BH649" s="220"/>
      <c r="BI649" s="220"/>
      <c r="BJ649" s="220"/>
      <c r="BK649" s="46">
        <f t="shared" si="1"/>
        <v>1</v>
      </c>
      <c r="BL649" s="46"/>
      <c r="BM649" s="46"/>
      <c r="BN649" s="46"/>
    </row>
    <row r="650" spans="1:66" ht="12.75" hidden="1" customHeight="1">
      <c r="A650" s="22">
        <v>648</v>
      </c>
      <c r="B650" s="22" t="s">
        <v>2984</v>
      </c>
      <c r="C650" s="22" t="e">
        <f t="shared" ca="1" si="0"/>
        <v>#NAME?</v>
      </c>
      <c r="D650" s="24" t="s">
        <v>1991</v>
      </c>
      <c r="E650" s="22" t="s">
        <v>180</v>
      </c>
      <c r="F650" s="24" t="s">
        <v>1983</v>
      </c>
      <c r="G650" s="24" t="s">
        <v>1970</v>
      </c>
      <c r="H650" s="24"/>
      <c r="I650" s="24">
        <v>1</v>
      </c>
      <c r="J650" s="24" t="s">
        <v>1767</v>
      </c>
      <c r="K650" s="24"/>
      <c r="L650" s="24"/>
      <c r="M650" s="24"/>
      <c r="N650" s="24"/>
      <c r="O650" s="24"/>
      <c r="P650" s="170"/>
      <c r="Q650" s="170"/>
      <c r="R650" s="162"/>
      <c r="S650" s="163"/>
      <c r="T650" s="163"/>
      <c r="U650" s="163"/>
      <c r="V650" s="163"/>
      <c r="W650" s="163" t="s">
        <v>1991</v>
      </c>
      <c r="X650" s="164"/>
      <c r="Y650" s="164"/>
      <c r="Z650" s="24"/>
      <c r="AA650" s="170"/>
      <c r="AB650" s="163"/>
      <c r="AC650" s="251"/>
      <c r="AD650" s="170"/>
      <c r="AE650" s="24"/>
      <c r="AF650" s="170"/>
      <c r="AG650" s="22"/>
      <c r="AH650" s="45"/>
      <c r="AI650" s="24"/>
      <c r="AJ650" s="196"/>
      <c r="AK650" s="22"/>
      <c r="AL650" s="22"/>
      <c r="AM650" s="22"/>
      <c r="AN650" s="22"/>
      <c r="AO650" s="22"/>
      <c r="AP650" s="22"/>
      <c r="AQ650" s="22"/>
      <c r="AR650" s="22"/>
      <c r="AS650" s="22"/>
      <c r="AT650" s="170"/>
      <c r="AU650" s="170"/>
      <c r="AV650" s="170"/>
      <c r="AW650" s="170"/>
      <c r="AX650" s="170"/>
      <c r="AY650" s="170"/>
      <c r="AZ650" s="170"/>
      <c r="BA650" s="170"/>
      <c r="BB650" s="170"/>
      <c r="BC650" s="170"/>
      <c r="BD650" s="170"/>
      <c r="BE650" s="137" t="s">
        <v>115</v>
      </c>
      <c r="BF650" s="143" t="s">
        <v>1992</v>
      </c>
      <c r="BG650" s="139" t="s">
        <v>1993</v>
      </c>
      <c r="BH650" s="220"/>
      <c r="BI650" s="220"/>
      <c r="BJ650" s="220"/>
      <c r="BK650" s="46">
        <f t="shared" si="1"/>
        <v>1</v>
      </c>
      <c r="BL650" s="46"/>
      <c r="BM650" s="46"/>
      <c r="BN650" s="46"/>
    </row>
    <row r="651" spans="1:66" ht="12.75" hidden="1" customHeight="1">
      <c r="A651" s="22">
        <v>649</v>
      </c>
      <c r="B651" s="22" t="s">
        <v>2989</v>
      </c>
      <c r="C651" s="22" t="e">
        <f t="shared" ca="1" si="0"/>
        <v>#NAME?</v>
      </c>
      <c r="D651" s="24" t="s">
        <v>1994</v>
      </c>
      <c r="E651" s="22" t="s">
        <v>180</v>
      </c>
      <c r="F651" s="24" t="s">
        <v>1983</v>
      </c>
      <c r="G651" s="24" t="s">
        <v>1970</v>
      </c>
      <c r="H651" s="24"/>
      <c r="I651" s="24">
        <v>1</v>
      </c>
      <c r="J651" s="24" t="s">
        <v>1767</v>
      </c>
      <c r="K651" s="24"/>
      <c r="L651" s="24"/>
      <c r="M651" s="24"/>
      <c r="N651" s="24"/>
      <c r="O651" s="24"/>
      <c r="P651" s="170"/>
      <c r="Q651" s="170"/>
      <c r="R651" s="162"/>
      <c r="S651" s="163"/>
      <c r="T651" s="163"/>
      <c r="U651" s="163"/>
      <c r="V651" s="163"/>
      <c r="W651" s="163" t="s">
        <v>1994</v>
      </c>
      <c r="X651" s="164"/>
      <c r="Y651" s="164"/>
      <c r="Z651" s="24"/>
      <c r="AA651" s="170"/>
      <c r="AB651" s="163"/>
      <c r="AC651" s="251"/>
      <c r="AD651" s="170"/>
      <c r="AE651" s="24"/>
      <c r="AF651" s="170"/>
      <c r="AG651" s="22"/>
      <c r="AH651" s="45"/>
      <c r="AI651" s="24"/>
      <c r="AJ651" s="196"/>
      <c r="AK651" s="22"/>
      <c r="AL651" s="22"/>
      <c r="AM651" s="22"/>
      <c r="AN651" s="22"/>
      <c r="AO651" s="22"/>
      <c r="AP651" s="22"/>
      <c r="AQ651" s="22"/>
      <c r="AR651" s="22"/>
      <c r="AS651" s="22"/>
      <c r="AT651" s="170"/>
      <c r="AU651" s="170"/>
      <c r="AV651" s="170"/>
      <c r="AW651" s="170"/>
      <c r="AX651" s="170"/>
      <c r="AY651" s="170"/>
      <c r="AZ651" s="170"/>
      <c r="BA651" s="170"/>
      <c r="BB651" s="170"/>
      <c r="BC651" s="170"/>
      <c r="BD651" s="170"/>
      <c r="BE651" s="137" t="s">
        <v>115</v>
      </c>
      <c r="BF651" s="143" t="s">
        <v>1995</v>
      </c>
      <c r="BG651" s="139" t="s">
        <v>1996</v>
      </c>
      <c r="BH651" s="220"/>
      <c r="BI651" s="220"/>
      <c r="BJ651" s="220"/>
      <c r="BK651" s="46">
        <f t="shared" si="1"/>
        <v>1</v>
      </c>
      <c r="BL651" s="46"/>
      <c r="BM651" s="46"/>
      <c r="BN651" s="46"/>
    </row>
    <row r="652" spans="1:66" ht="12.75" hidden="1" customHeight="1">
      <c r="A652" s="22">
        <v>650</v>
      </c>
      <c r="B652" s="22" t="s">
        <v>1988</v>
      </c>
      <c r="C652" s="22" t="str">
        <f t="shared" si="0"/>
        <v>HBsAg laboratory-based immunoassay (recommended)</v>
      </c>
      <c r="D652" s="24" t="s">
        <v>1988</v>
      </c>
      <c r="E652" s="22" t="s">
        <v>96</v>
      </c>
      <c r="F652" s="24" t="s">
        <v>1787</v>
      </c>
      <c r="G652" s="24" t="s">
        <v>1970</v>
      </c>
      <c r="H652" s="24"/>
      <c r="I652" s="24">
        <v>1</v>
      </c>
      <c r="J652" s="24" t="s">
        <v>1767</v>
      </c>
      <c r="K652" s="24"/>
      <c r="L652" s="24"/>
      <c r="M652" s="24"/>
      <c r="N652" s="24"/>
      <c r="O652" s="24"/>
      <c r="P652" s="170"/>
      <c r="Q652" s="170"/>
      <c r="R652" s="162" t="s">
        <v>1988</v>
      </c>
      <c r="S652" s="163" t="s">
        <v>1997</v>
      </c>
      <c r="T652" s="163" t="s">
        <v>1998</v>
      </c>
      <c r="U652" s="163" t="s">
        <v>202</v>
      </c>
      <c r="V652" s="163"/>
      <c r="W652" s="163"/>
      <c r="X652" s="164"/>
      <c r="Y652" s="164"/>
      <c r="Z652" s="24"/>
      <c r="AA652" s="170"/>
      <c r="AB652" s="163" t="s">
        <v>113</v>
      </c>
      <c r="AC652" s="251"/>
      <c r="AD652" s="170"/>
      <c r="AE652" s="24"/>
      <c r="AF652" s="170"/>
      <c r="AG652" s="22"/>
      <c r="AH652" s="45"/>
      <c r="AI652" s="24"/>
      <c r="AJ652" s="196" t="s">
        <v>115</v>
      </c>
      <c r="AK652" s="22"/>
      <c r="AL652" s="22"/>
      <c r="AM652" s="22"/>
      <c r="AN652" s="22"/>
      <c r="AO652" s="22"/>
      <c r="AP652" s="22"/>
      <c r="AQ652" s="22"/>
      <c r="AR652" s="22"/>
      <c r="AS652" s="22"/>
      <c r="AT652" s="170"/>
      <c r="AU652" s="170"/>
      <c r="AV652" s="170"/>
      <c r="AW652" s="170"/>
      <c r="AX652" s="170"/>
      <c r="AY652" s="170"/>
      <c r="AZ652" s="170"/>
      <c r="BA652" s="170"/>
      <c r="BB652" s="170"/>
      <c r="BC652" s="170"/>
      <c r="BD652" s="170"/>
      <c r="BE652" s="137" t="s">
        <v>115</v>
      </c>
      <c r="BF652" s="143" t="s">
        <v>1989</v>
      </c>
      <c r="BG652" s="139" t="s">
        <v>1990</v>
      </c>
      <c r="BH652" s="220"/>
      <c r="BI652" s="220"/>
      <c r="BJ652" s="220"/>
      <c r="BK652" s="46">
        <f t="shared" si="1"/>
        <v>1</v>
      </c>
      <c r="BL652" s="46"/>
      <c r="BM652" s="46"/>
      <c r="BN652" s="46"/>
    </row>
    <row r="653" spans="1:66" ht="12.75" hidden="1" customHeight="1">
      <c r="A653" s="22">
        <v>651</v>
      </c>
      <c r="B653" s="22" t="s">
        <v>1302</v>
      </c>
      <c r="C653" s="22" t="e">
        <f t="shared" ca="1" si="0"/>
        <v>#NAME?</v>
      </c>
      <c r="D653" s="24" t="s">
        <v>1122</v>
      </c>
      <c r="E653" s="22" t="s">
        <v>180</v>
      </c>
      <c r="F653" s="24" t="s">
        <v>1988</v>
      </c>
      <c r="G653" s="24" t="s">
        <v>1970</v>
      </c>
      <c r="H653" s="24"/>
      <c r="I653" s="24">
        <v>1</v>
      </c>
      <c r="J653" s="24" t="s">
        <v>1767</v>
      </c>
      <c r="K653" s="24"/>
      <c r="L653" s="24"/>
      <c r="M653" s="24"/>
      <c r="N653" s="24"/>
      <c r="O653" s="24"/>
      <c r="P653" s="170"/>
      <c r="Q653" s="170"/>
      <c r="R653" s="162"/>
      <c r="S653" s="163"/>
      <c r="T653" s="163"/>
      <c r="U653" s="163"/>
      <c r="V653" s="163"/>
      <c r="W653" s="163" t="s">
        <v>1122</v>
      </c>
      <c r="X653" s="164"/>
      <c r="Y653" s="164"/>
      <c r="Z653" s="24"/>
      <c r="AA653" s="170"/>
      <c r="AB653" s="163"/>
      <c r="AC653" s="251"/>
      <c r="AD653" s="170"/>
      <c r="AE653" s="24"/>
      <c r="AF653" s="170"/>
      <c r="AG653" s="22"/>
      <c r="AH653" s="45"/>
      <c r="AI653" s="24"/>
      <c r="AJ653" s="196"/>
      <c r="AK653" s="22"/>
      <c r="AL653" s="22"/>
      <c r="AM653" s="22"/>
      <c r="AN653" s="22"/>
      <c r="AO653" s="22"/>
      <c r="AP653" s="22"/>
      <c r="AQ653" s="22"/>
      <c r="AR653" s="22"/>
      <c r="AS653" s="22"/>
      <c r="AT653" s="170"/>
      <c r="AU653" s="170"/>
      <c r="AV653" s="170"/>
      <c r="AW653" s="170"/>
      <c r="AX653" s="170"/>
      <c r="AY653" s="170"/>
      <c r="AZ653" s="170"/>
      <c r="BA653" s="170"/>
      <c r="BB653" s="170"/>
      <c r="BC653" s="170"/>
      <c r="BD653" s="170"/>
      <c r="BE653" s="137" t="s">
        <v>115</v>
      </c>
      <c r="BF653" s="137" t="s">
        <v>1897</v>
      </c>
      <c r="BG653" s="139" t="s">
        <v>1125</v>
      </c>
      <c r="BH653" s="220"/>
      <c r="BI653" s="220"/>
      <c r="BJ653" s="220"/>
      <c r="BK653" s="46">
        <f t="shared" si="1"/>
        <v>1</v>
      </c>
      <c r="BL653" s="46"/>
      <c r="BM653" s="46"/>
      <c r="BN653" s="46"/>
    </row>
    <row r="654" spans="1:66" ht="12.75" hidden="1" customHeight="1">
      <c r="A654" s="22">
        <v>652</v>
      </c>
      <c r="B654" s="22" t="s">
        <v>1305</v>
      </c>
      <c r="C654" s="22" t="e">
        <f t="shared" ca="1" si="0"/>
        <v>#NAME?</v>
      </c>
      <c r="D654" s="24" t="s">
        <v>1126</v>
      </c>
      <c r="E654" s="22" t="s">
        <v>180</v>
      </c>
      <c r="F654" s="24" t="s">
        <v>1988</v>
      </c>
      <c r="G654" s="24" t="s">
        <v>1970</v>
      </c>
      <c r="H654" s="24"/>
      <c r="I654" s="24">
        <v>1</v>
      </c>
      <c r="J654" s="24" t="s">
        <v>1767</v>
      </c>
      <c r="K654" s="24"/>
      <c r="L654" s="24"/>
      <c r="M654" s="24"/>
      <c r="N654" s="24"/>
      <c r="O654" s="24"/>
      <c r="P654" s="170"/>
      <c r="Q654" s="170"/>
      <c r="R654" s="162"/>
      <c r="S654" s="163"/>
      <c r="T654" s="163"/>
      <c r="U654" s="163"/>
      <c r="V654" s="163"/>
      <c r="W654" s="163" t="s">
        <v>1126</v>
      </c>
      <c r="X654" s="164"/>
      <c r="Y654" s="164"/>
      <c r="Z654" s="24"/>
      <c r="AA654" s="170"/>
      <c r="AB654" s="163"/>
      <c r="AC654" s="251"/>
      <c r="AD654" s="170"/>
      <c r="AE654" s="24"/>
      <c r="AF654" s="170"/>
      <c r="AG654" s="22"/>
      <c r="AH654" s="45"/>
      <c r="AI654" s="24"/>
      <c r="AJ654" s="196"/>
      <c r="AK654" s="22"/>
      <c r="AL654" s="22"/>
      <c r="AM654" s="22"/>
      <c r="AN654" s="22"/>
      <c r="AO654" s="22"/>
      <c r="AP654" s="22"/>
      <c r="AQ654" s="22"/>
      <c r="AR654" s="22"/>
      <c r="AS654" s="22"/>
      <c r="AT654" s="170"/>
      <c r="AU654" s="170"/>
      <c r="AV654" s="170"/>
      <c r="AW654" s="170"/>
      <c r="AX654" s="170"/>
      <c r="AY654" s="170"/>
      <c r="AZ654" s="170"/>
      <c r="BA654" s="170"/>
      <c r="BB654" s="170"/>
      <c r="BC654" s="170"/>
      <c r="BD654" s="170"/>
      <c r="BE654" s="137" t="s">
        <v>115</v>
      </c>
      <c r="BF654" s="137" t="s">
        <v>1128</v>
      </c>
      <c r="BG654" s="139" t="s">
        <v>1129</v>
      </c>
      <c r="BH654" s="220"/>
      <c r="BI654" s="220"/>
      <c r="BJ654" s="220"/>
      <c r="BK654" s="46">
        <f t="shared" si="1"/>
        <v>1</v>
      </c>
      <c r="BL654" s="46"/>
      <c r="BM654" s="46"/>
      <c r="BN654" s="46"/>
    </row>
    <row r="655" spans="1:66" ht="12.75" hidden="1" customHeight="1">
      <c r="A655" s="22">
        <v>653</v>
      </c>
      <c r="B655" s="22" t="s">
        <v>1991</v>
      </c>
      <c r="C655" s="22" t="str">
        <f t="shared" si="0"/>
        <v>HBsAg rapid diagnostic test (RDT)</v>
      </c>
      <c r="D655" s="24" t="s">
        <v>1991</v>
      </c>
      <c r="E655" s="22" t="s">
        <v>96</v>
      </c>
      <c r="F655" s="24" t="s">
        <v>1787</v>
      </c>
      <c r="G655" s="24" t="s">
        <v>1970</v>
      </c>
      <c r="H655" s="24"/>
      <c r="I655" s="24">
        <v>1</v>
      </c>
      <c r="J655" s="24" t="s">
        <v>1767</v>
      </c>
      <c r="K655" s="24"/>
      <c r="L655" s="24"/>
      <c r="M655" s="24"/>
      <c r="N655" s="24"/>
      <c r="O655" s="24"/>
      <c r="P655" s="170"/>
      <c r="Q655" s="170"/>
      <c r="R655" s="162" t="s">
        <v>1991</v>
      </c>
      <c r="S655" s="163" t="s">
        <v>1999</v>
      </c>
      <c r="T655" s="163" t="s">
        <v>2000</v>
      </c>
      <c r="U655" s="163" t="s">
        <v>202</v>
      </c>
      <c r="V655" s="163"/>
      <c r="W655" s="163"/>
      <c r="X655" s="164"/>
      <c r="Y655" s="164"/>
      <c r="Z655" s="24"/>
      <c r="AA655" s="170"/>
      <c r="AB655" s="163" t="s">
        <v>113</v>
      </c>
      <c r="AC655" s="251"/>
      <c r="AD655" s="170"/>
      <c r="AE655" s="24"/>
      <c r="AF655" s="170"/>
      <c r="AG655" s="22"/>
      <c r="AH655" s="45"/>
      <c r="AI655" s="24"/>
      <c r="AJ655" s="196" t="s">
        <v>115</v>
      </c>
      <c r="AK655" s="22"/>
      <c r="AL655" s="22"/>
      <c r="AM655" s="22"/>
      <c r="AN655" s="22"/>
      <c r="AO655" s="22"/>
      <c r="AP655" s="22"/>
      <c r="AQ655" s="22"/>
      <c r="AR655" s="22"/>
      <c r="AS655" s="22"/>
      <c r="AT655" s="170"/>
      <c r="AU655" s="170"/>
      <c r="AV655" s="170"/>
      <c r="AW655" s="170"/>
      <c r="AX655" s="170"/>
      <c r="AY655" s="170"/>
      <c r="AZ655" s="170"/>
      <c r="BA655" s="170"/>
      <c r="BB655" s="170"/>
      <c r="BC655" s="170"/>
      <c r="BD655" s="170"/>
      <c r="BE655" s="137" t="s">
        <v>115</v>
      </c>
      <c r="BF655" s="143" t="s">
        <v>1992</v>
      </c>
      <c r="BG655" s="139" t="s">
        <v>1993</v>
      </c>
      <c r="BH655" s="220"/>
      <c r="BI655" s="220"/>
      <c r="BJ655" s="220"/>
      <c r="BK655" s="46">
        <f t="shared" si="1"/>
        <v>1</v>
      </c>
      <c r="BL655" s="46"/>
      <c r="BM655" s="46"/>
      <c r="BN655" s="46"/>
    </row>
    <row r="656" spans="1:66" ht="12.75" hidden="1" customHeight="1">
      <c r="A656" s="22">
        <v>654</v>
      </c>
      <c r="B656" s="22" t="s">
        <v>1302</v>
      </c>
      <c r="C656" s="22" t="e">
        <f t="shared" ca="1" si="0"/>
        <v>#NAME?</v>
      </c>
      <c r="D656" s="24" t="s">
        <v>1122</v>
      </c>
      <c r="E656" s="22" t="s">
        <v>180</v>
      </c>
      <c r="F656" s="24" t="s">
        <v>1991</v>
      </c>
      <c r="G656" s="24" t="s">
        <v>1970</v>
      </c>
      <c r="H656" s="24"/>
      <c r="I656" s="24">
        <v>1</v>
      </c>
      <c r="J656" s="24" t="s">
        <v>1767</v>
      </c>
      <c r="K656" s="24"/>
      <c r="L656" s="24"/>
      <c r="M656" s="24"/>
      <c r="N656" s="24"/>
      <c r="O656" s="24"/>
      <c r="P656" s="170"/>
      <c r="Q656" s="170"/>
      <c r="R656" s="162"/>
      <c r="S656" s="163"/>
      <c r="T656" s="163"/>
      <c r="U656" s="163"/>
      <c r="V656" s="163"/>
      <c r="W656" s="163" t="s">
        <v>1122</v>
      </c>
      <c r="X656" s="164"/>
      <c r="Y656" s="164"/>
      <c r="Z656" s="24"/>
      <c r="AA656" s="170"/>
      <c r="AB656" s="163"/>
      <c r="AC656" s="251"/>
      <c r="AD656" s="170"/>
      <c r="AE656" s="24"/>
      <c r="AF656" s="170"/>
      <c r="AG656" s="22"/>
      <c r="AH656" s="45"/>
      <c r="AI656" s="24"/>
      <c r="AJ656" s="196"/>
      <c r="AK656" s="22"/>
      <c r="AL656" s="22"/>
      <c r="AM656" s="22"/>
      <c r="AN656" s="22"/>
      <c r="AO656" s="22"/>
      <c r="AP656" s="22"/>
      <c r="AQ656" s="22"/>
      <c r="AR656" s="22"/>
      <c r="AS656" s="22"/>
      <c r="AT656" s="170"/>
      <c r="AU656" s="170"/>
      <c r="AV656" s="170"/>
      <c r="AW656" s="170"/>
      <c r="AX656" s="170"/>
      <c r="AY656" s="170"/>
      <c r="AZ656" s="170"/>
      <c r="BA656" s="170"/>
      <c r="BB656" s="170"/>
      <c r="BC656" s="170"/>
      <c r="BD656" s="170"/>
      <c r="BE656" s="137" t="s">
        <v>115</v>
      </c>
      <c r="BF656" s="137" t="s">
        <v>1897</v>
      </c>
      <c r="BG656" s="139" t="s">
        <v>1125</v>
      </c>
      <c r="BH656" s="220"/>
      <c r="BI656" s="220"/>
      <c r="BJ656" s="220"/>
      <c r="BK656" s="46">
        <f t="shared" si="1"/>
        <v>1</v>
      </c>
      <c r="BL656" s="46"/>
      <c r="BM656" s="46"/>
      <c r="BN656" s="46"/>
    </row>
    <row r="657" spans="1:66" ht="12.75" hidden="1" customHeight="1">
      <c r="A657" s="22">
        <v>655</v>
      </c>
      <c r="B657" s="22" t="s">
        <v>1305</v>
      </c>
      <c r="C657" s="22" t="e">
        <f t="shared" ca="1" si="0"/>
        <v>#NAME?</v>
      </c>
      <c r="D657" s="24" t="s">
        <v>1126</v>
      </c>
      <c r="E657" s="22" t="s">
        <v>180</v>
      </c>
      <c r="F657" s="24" t="s">
        <v>1991</v>
      </c>
      <c r="G657" s="24" t="s">
        <v>1970</v>
      </c>
      <c r="H657" s="24"/>
      <c r="I657" s="24">
        <v>1</v>
      </c>
      <c r="J657" s="24" t="s">
        <v>1767</v>
      </c>
      <c r="K657" s="24"/>
      <c r="L657" s="24"/>
      <c r="M657" s="24"/>
      <c r="N657" s="24"/>
      <c r="O657" s="24"/>
      <c r="P657" s="170"/>
      <c r="Q657" s="170"/>
      <c r="R657" s="162"/>
      <c r="S657" s="163"/>
      <c r="T657" s="163"/>
      <c r="U657" s="163"/>
      <c r="V657" s="163"/>
      <c r="W657" s="163" t="s">
        <v>1126</v>
      </c>
      <c r="X657" s="164"/>
      <c r="Y657" s="164"/>
      <c r="Z657" s="24"/>
      <c r="AA657" s="170"/>
      <c r="AB657" s="163"/>
      <c r="AC657" s="251"/>
      <c r="AD657" s="170"/>
      <c r="AE657" s="24"/>
      <c r="AF657" s="170"/>
      <c r="AG657" s="22"/>
      <c r="AH657" s="45"/>
      <c r="AI657" s="24"/>
      <c r="AJ657" s="196"/>
      <c r="AK657" s="22"/>
      <c r="AL657" s="22"/>
      <c r="AM657" s="22"/>
      <c r="AN657" s="22"/>
      <c r="AO657" s="22"/>
      <c r="AP657" s="22"/>
      <c r="AQ657" s="22"/>
      <c r="AR657" s="22"/>
      <c r="AS657" s="22"/>
      <c r="AT657" s="170"/>
      <c r="AU657" s="170"/>
      <c r="AV657" s="170"/>
      <c r="AW657" s="170"/>
      <c r="AX657" s="170"/>
      <c r="AY657" s="170"/>
      <c r="AZ657" s="170"/>
      <c r="BA657" s="170"/>
      <c r="BB657" s="170"/>
      <c r="BC657" s="170"/>
      <c r="BD657" s="170"/>
      <c r="BE657" s="137" t="s">
        <v>115</v>
      </c>
      <c r="BF657" s="137" t="s">
        <v>1128</v>
      </c>
      <c r="BG657" s="139" t="s">
        <v>1129</v>
      </c>
      <c r="BH657" s="220"/>
      <c r="BI657" s="220"/>
      <c r="BJ657" s="220"/>
      <c r="BK657" s="46">
        <f t="shared" si="1"/>
        <v>1</v>
      </c>
      <c r="BL657" s="46"/>
      <c r="BM657" s="46"/>
      <c r="BN657" s="46"/>
    </row>
    <row r="658" spans="1:66" ht="12.75" hidden="1" customHeight="1">
      <c r="A658" s="22">
        <v>656</v>
      </c>
      <c r="B658" s="22" t="s">
        <v>1994</v>
      </c>
      <c r="C658" s="22" t="str">
        <f t="shared" si="0"/>
        <v>Dried Blood Spot (DBS) HBsAg test</v>
      </c>
      <c r="D658" s="24" t="s">
        <v>1994</v>
      </c>
      <c r="E658" s="22" t="s">
        <v>96</v>
      </c>
      <c r="F658" s="24" t="s">
        <v>1787</v>
      </c>
      <c r="G658" s="24" t="s">
        <v>1970</v>
      </c>
      <c r="H658" s="24"/>
      <c r="I658" s="24">
        <v>1</v>
      </c>
      <c r="J658" s="24" t="s">
        <v>1767</v>
      </c>
      <c r="K658" s="24"/>
      <c r="L658" s="24"/>
      <c r="M658" s="24"/>
      <c r="N658" s="24"/>
      <c r="O658" s="24"/>
      <c r="P658" s="170"/>
      <c r="Q658" s="170"/>
      <c r="R658" s="162" t="s">
        <v>1994</v>
      </c>
      <c r="S658" s="163" t="s">
        <v>2002</v>
      </c>
      <c r="T658" s="163" t="s">
        <v>2003</v>
      </c>
      <c r="U658" s="163" t="s">
        <v>202</v>
      </c>
      <c r="V658" s="163"/>
      <c r="W658" s="163"/>
      <c r="X658" s="164"/>
      <c r="Y658" s="164"/>
      <c r="Z658" s="24"/>
      <c r="AA658" s="170"/>
      <c r="AB658" s="163" t="s">
        <v>113</v>
      </c>
      <c r="AC658" s="251"/>
      <c r="AD658" s="170"/>
      <c r="AE658" s="24"/>
      <c r="AF658" s="170"/>
      <c r="AG658" s="22"/>
      <c r="AH658" s="45"/>
      <c r="AI658" s="24"/>
      <c r="AJ658" s="196" t="s">
        <v>115</v>
      </c>
      <c r="AK658" s="22"/>
      <c r="AL658" s="22"/>
      <c r="AM658" s="22"/>
      <c r="AN658" s="22"/>
      <c r="AO658" s="22"/>
      <c r="AP658" s="22"/>
      <c r="AQ658" s="22"/>
      <c r="AR658" s="22"/>
      <c r="AS658" s="22"/>
      <c r="AT658" s="170"/>
      <c r="AU658" s="170"/>
      <c r="AV658" s="170"/>
      <c r="AW658" s="170"/>
      <c r="AX658" s="170"/>
      <c r="AY658" s="170"/>
      <c r="AZ658" s="170"/>
      <c r="BA658" s="170"/>
      <c r="BB658" s="170"/>
      <c r="BC658" s="170"/>
      <c r="BD658" s="170"/>
      <c r="BE658" s="137" t="s">
        <v>115</v>
      </c>
      <c r="BF658" s="143" t="s">
        <v>1995</v>
      </c>
      <c r="BG658" s="139" t="s">
        <v>1996</v>
      </c>
      <c r="BH658" s="220"/>
      <c r="BI658" s="220"/>
      <c r="BJ658" s="220"/>
      <c r="BK658" s="46">
        <f t="shared" si="1"/>
        <v>1</v>
      </c>
      <c r="BL658" s="46"/>
      <c r="BM658" s="46"/>
      <c r="BN658" s="46"/>
    </row>
    <row r="659" spans="1:66" ht="12.75" hidden="1" customHeight="1">
      <c r="A659" s="22">
        <v>657</v>
      </c>
      <c r="B659" s="22" t="s">
        <v>1302</v>
      </c>
      <c r="C659" s="22" t="e">
        <f t="shared" ca="1" si="0"/>
        <v>#NAME?</v>
      </c>
      <c r="D659" s="24" t="s">
        <v>1122</v>
      </c>
      <c r="E659" s="22" t="s">
        <v>180</v>
      </c>
      <c r="F659" s="24" t="s">
        <v>1994</v>
      </c>
      <c r="G659" s="24" t="s">
        <v>1970</v>
      </c>
      <c r="H659" s="24"/>
      <c r="I659" s="24">
        <v>1</v>
      </c>
      <c r="J659" s="24" t="s">
        <v>1767</v>
      </c>
      <c r="K659" s="24"/>
      <c r="L659" s="24"/>
      <c r="M659" s="24"/>
      <c r="N659" s="24"/>
      <c r="O659" s="24"/>
      <c r="P659" s="170"/>
      <c r="Q659" s="170"/>
      <c r="R659" s="162"/>
      <c r="S659" s="163"/>
      <c r="T659" s="163"/>
      <c r="U659" s="163"/>
      <c r="V659" s="163"/>
      <c r="W659" s="163" t="s">
        <v>1122</v>
      </c>
      <c r="X659" s="164"/>
      <c r="Y659" s="164"/>
      <c r="Z659" s="24"/>
      <c r="AA659" s="170"/>
      <c r="AB659" s="163"/>
      <c r="AC659" s="251"/>
      <c r="AD659" s="170"/>
      <c r="AE659" s="24"/>
      <c r="AF659" s="170"/>
      <c r="AG659" s="22"/>
      <c r="AH659" s="45"/>
      <c r="AI659" s="24"/>
      <c r="AJ659" s="196"/>
      <c r="AK659" s="22"/>
      <c r="AL659" s="22"/>
      <c r="AM659" s="22"/>
      <c r="AN659" s="22"/>
      <c r="AO659" s="22"/>
      <c r="AP659" s="22"/>
      <c r="AQ659" s="22"/>
      <c r="AR659" s="22"/>
      <c r="AS659" s="22"/>
      <c r="AT659" s="170"/>
      <c r="AU659" s="170"/>
      <c r="AV659" s="170"/>
      <c r="AW659" s="170"/>
      <c r="AX659" s="170"/>
      <c r="AY659" s="170"/>
      <c r="AZ659" s="170"/>
      <c r="BA659" s="170"/>
      <c r="BB659" s="170"/>
      <c r="BC659" s="170"/>
      <c r="BD659" s="170"/>
      <c r="BE659" s="137" t="s">
        <v>115</v>
      </c>
      <c r="BF659" s="137" t="s">
        <v>1897</v>
      </c>
      <c r="BG659" s="139" t="s">
        <v>1125</v>
      </c>
      <c r="BH659" s="220"/>
      <c r="BI659" s="220"/>
      <c r="BJ659" s="220"/>
      <c r="BK659" s="46">
        <f t="shared" si="1"/>
        <v>1</v>
      </c>
      <c r="BL659" s="46"/>
      <c r="BM659" s="46"/>
      <c r="BN659" s="46"/>
    </row>
    <row r="660" spans="1:66" ht="12.75" hidden="1" customHeight="1">
      <c r="A660" s="22">
        <v>658</v>
      </c>
      <c r="B660" s="22" t="s">
        <v>1305</v>
      </c>
      <c r="C660" s="22" t="e">
        <f t="shared" ca="1" si="0"/>
        <v>#NAME?</v>
      </c>
      <c r="D660" s="24" t="s">
        <v>1126</v>
      </c>
      <c r="E660" s="22" t="s">
        <v>180</v>
      </c>
      <c r="F660" s="24" t="s">
        <v>1994</v>
      </c>
      <c r="G660" s="24" t="s">
        <v>1970</v>
      </c>
      <c r="H660" s="24"/>
      <c r="I660" s="24">
        <v>1</v>
      </c>
      <c r="J660" s="24" t="s">
        <v>1767</v>
      </c>
      <c r="K660" s="24"/>
      <c r="L660" s="24"/>
      <c r="M660" s="24"/>
      <c r="N660" s="24"/>
      <c r="O660" s="24"/>
      <c r="P660" s="164"/>
      <c r="Q660" s="164"/>
      <c r="R660" s="162"/>
      <c r="S660" s="163"/>
      <c r="T660" s="163"/>
      <c r="U660" s="163"/>
      <c r="V660" s="163"/>
      <c r="W660" s="163" t="s">
        <v>1126</v>
      </c>
      <c r="X660" s="164"/>
      <c r="Y660" s="164"/>
      <c r="Z660" s="24"/>
      <c r="AA660" s="164"/>
      <c r="AB660" s="163"/>
      <c r="AC660" s="269"/>
      <c r="AD660" s="164"/>
      <c r="AE660" s="24"/>
      <c r="AF660" s="164"/>
      <c r="AG660" s="22"/>
      <c r="AH660" s="45"/>
      <c r="AI660" s="24"/>
      <c r="AJ660" s="196"/>
      <c r="AK660" s="22"/>
      <c r="AL660" s="22"/>
      <c r="AM660" s="22"/>
      <c r="AN660" s="22"/>
      <c r="AO660" s="22"/>
      <c r="AP660" s="22"/>
      <c r="AQ660" s="22"/>
      <c r="AR660" s="22"/>
      <c r="AS660" s="22"/>
      <c r="AT660" s="164"/>
      <c r="AU660" s="164"/>
      <c r="AV660" s="163"/>
      <c r="AW660" s="164"/>
      <c r="AX660" s="164"/>
      <c r="AY660" s="164"/>
      <c r="AZ660" s="164"/>
      <c r="BA660" s="164"/>
      <c r="BB660" s="164"/>
      <c r="BC660" s="164"/>
      <c r="BD660" s="164"/>
      <c r="BE660" s="137" t="s">
        <v>115</v>
      </c>
      <c r="BF660" s="137" t="s">
        <v>1128</v>
      </c>
      <c r="BG660" s="139" t="s">
        <v>1129</v>
      </c>
      <c r="BH660" s="220"/>
      <c r="BI660" s="220"/>
      <c r="BJ660" s="220"/>
      <c r="BK660" s="46">
        <f t="shared" si="1"/>
        <v>1</v>
      </c>
      <c r="BL660" s="46"/>
      <c r="BM660" s="46"/>
      <c r="BN660" s="46"/>
    </row>
    <row r="661" spans="1:66" ht="12.75" hidden="1" customHeight="1">
      <c r="A661" s="22">
        <v>659</v>
      </c>
      <c r="B661" s="22" t="s">
        <v>2006</v>
      </c>
      <c r="C661" s="22" t="str">
        <f t="shared" si="0"/>
        <v>hepb_positive</v>
      </c>
      <c r="D661" s="24" t="s">
        <v>2006</v>
      </c>
      <c r="E661" s="22" t="s">
        <v>65</v>
      </c>
      <c r="F661" s="24" t="s">
        <v>1787</v>
      </c>
      <c r="G661" s="24" t="s">
        <v>1970</v>
      </c>
      <c r="H661" s="24"/>
      <c r="I661" s="24">
        <v>1</v>
      </c>
      <c r="J661" s="24" t="s">
        <v>1767</v>
      </c>
      <c r="K661" s="24"/>
      <c r="L661" s="24"/>
      <c r="M661" s="24"/>
      <c r="N661" s="24"/>
      <c r="O661" s="24"/>
      <c r="P661" s="170"/>
      <c r="Q661" s="170"/>
      <c r="R661" s="178" t="s">
        <v>2007</v>
      </c>
      <c r="S661" s="170" t="s">
        <v>2006</v>
      </c>
      <c r="T661" s="170" t="s">
        <v>2008</v>
      </c>
      <c r="U661" s="170" t="s">
        <v>65</v>
      </c>
      <c r="V661" s="170"/>
      <c r="W661" s="170"/>
      <c r="X661" s="170" t="s">
        <v>2009</v>
      </c>
      <c r="Y661" s="225"/>
      <c r="Z661" s="24"/>
      <c r="AA661" s="170"/>
      <c r="AB661" s="170" t="s">
        <v>115</v>
      </c>
      <c r="AC661" s="251"/>
      <c r="AD661" s="170"/>
      <c r="AE661" s="24"/>
      <c r="AF661" s="170"/>
      <c r="AG661" s="22"/>
      <c r="AH661" s="45"/>
      <c r="AI661" s="24"/>
      <c r="AJ661" s="280" t="s">
        <v>115</v>
      </c>
      <c r="AK661" s="22"/>
      <c r="AL661" s="22"/>
      <c r="AM661" s="22"/>
      <c r="AN661" s="22"/>
      <c r="AO661" s="22"/>
      <c r="AP661" s="22"/>
      <c r="AQ661" s="22"/>
      <c r="AR661" s="22"/>
      <c r="AS661" s="22"/>
      <c r="AT661" s="170"/>
      <c r="AU661" s="170"/>
      <c r="AV661" s="170"/>
      <c r="AW661" s="170"/>
      <c r="AX661" s="170"/>
      <c r="AY661" s="170"/>
      <c r="AZ661" s="170"/>
      <c r="BA661" s="170"/>
      <c r="BB661" s="170"/>
      <c r="BC661" s="170"/>
      <c r="BD661" s="170"/>
      <c r="BE661" s="137" t="s">
        <v>115</v>
      </c>
      <c r="BF661" s="143" t="s">
        <v>2010</v>
      </c>
      <c r="BG661" s="139" t="s">
        <v>2011</v>
      </c>
      <c r="BH661" s="220"/>
      <c r="BI661" s="220"/>
      <c r="BJ661" s="220"/>
      <c r="BK661" s="46">
        <f t="shared" si="1"/>
        <v>1</v>
      </c>
      <c r="BL661" s="46"/>
      <c r="BM661" s="46"/>
      <c r="BN661" s="46"/>
    </row>
    <row r="662" spans="1:66" ht="12.75" hidden="1" customHeight="1">
      <c r="A662" s="22">
        <v>660</v>
      </c>
      <c r="B662" s="22" t="s">
        <v>2012</v>
      </c>
      <c r="C662" s="22" t="str">
        <f t="shared" si="0"/>
        <v>Hepatitis C test</v>
      </c>
      <c r="D662" s="24" t="s">
        <v>2012</v>
      </c>
      <c r="E662" s="22" t="s">
        <v>96</v>
      </c>
      <c r="F662" s="24" t="s">
        <v>1787</v>
      </c>
      <c r="G662" s="24" t="s">
        <v>2013</v>
      </c>
      <c r="H662" s="24"/>
      <c r="I662" s="24">
        <v>1</v>
      </c>
      <c r="J662" s="24" t="s">
        <v>1767</v>
      </c>
      <c r="K662" s="24"/>
      <c r="L662" s="24"/>
      <c r="M662" s="24"/>
      <c r="N662" s="24"/>
      <c r="O662" s="24"/>
      <c r="P662" s="170"/>
      <c r="Q662" s="170"/>
      <c r="R662" s="162" t="s">
        <v>2012</v>
      </c>
      <c r="S662" s="163" t="s">
        <v>2014</v>
      </c>
      <c r="T662" s="163" t="s">
        <v>2015</v>
      </c>
      <c r="U662" s="163" t="s">
        <v>202</v>
      </c>
      <c r="V662" s="163"/>
      <c r="W662" s="163"/>
      <c r="X662" s="164"/>
      <c r="Y662" s="164"/>
      <c r="Z662" s="24"/>
      <c r="AA662" s="170"/>
      <c r="AB662" s="163" t="s">
        <v>113</v>
      </c>
      <c r="AC662" s="251"/>
      <c r="AD662" s="170"/>
      <c r="AE662" s="24"/>
      <c r="AF662" s="170"/>
      <c r="AG662" s="22"/>
      <c r="AH662" s="45"/>
      <c r="AI662" s="24"/>
      <c r="AJ662" s="164" t="s">
        <v>226</v>
      </c>
      <c r="AK662" s="22"/>
      <c r="AL662" s="22"/>
      <c r="AM662" s="22"/>
      <c r="AN662" s="22"/>
      <c r="AO662" s="22"/>
      <c r="AP662" s="22"/>
      <c r="AQ662" s="22"/>
      <c r="AR662" s="22"/>
      <c r="AS662" s="22"/>
      <c r="AT662" s="170"/>
      <c r="AU662" s="170"/>
      <c r="AV662" s="170"/>
      <c r="AW662" s="170"/>
      <c r="AX662" s="170"/>
      <c r="AY662" s="170"/>
      <c r="AZ662" s="170"/>
      <c r="BA662" s="170"/>
      <c r="BB662" s="170"/>
      <c r="BC662" s="170"/>
      <c r="BD662" s="170"/>
      <c r="BE662" s="137" t="s">
        <v>2016</v>
      </c>
      <c r="BF662" s="143" t="s">
        <v>1773</v>
      </c>
      <c r="BG662" s="139" t="s">
        <v>1774</v>
      </c>
      <c r="BH662" s="220"/>
      <c r="BI662" s="220"/>
      <c r="BJ662" s="220"/>
      <c r="BK662" s="46">
        <f t="shared" si="1"/>
        <v>1</v>
      </c>
      <c r="BL662" s="46"/>
      <c r="BM662" s="46"/>
      <c r="BN662" s="46"/>
    </row>
    <row r="663" spans="1:66" ht="12.75" hidden="1" customHeight="1">
      <c r="A663" s="22">
        <v>661</v>
      </c>
      <c r="B663" s="22" t="s">
        <v>2651</v>
      </c>
      <c r="C663" s="22" t="e">
        <f t="shared" ca="1" si="0"/>
        <v>#NAME?</v>
      </c>
      <c r="D663" s="24" t="s">
        <v>1775</v>
      </c>
      <c r="E663" s="22" t="s">
        <v>180</v>
      </c>
      <c r="F663" s="24" t="s">
        <v>2012</v>
      </c>
      <c r="G663" s="24" t="s">
        <v>2013</v>
      </c>
      <c r="H663" s="24"/>
      <c r="I663" s="24">
        <v>1</v>
      </c>
      <c r="J663" s="24" t="s">
        <v>1767</v>
      </c>
      <c r="K663" s="24"/>
      <c r="L663" s="24"/>
      <c r="M663" s="24"/>
      <c r="N663" s="24"/>
      <c r="O663" s="24"/>
      <c r="P663" s="170"/>
      <c r="Q663" s="170"/>
      <c r="R663" s="162"/>
      <c r="S663" s="163"/>
      <c r="T663" s="163"/>
      <c r="U663" s="163"/>
      <c r="V663" s="163"/>
      <c r="W663" s="163" t="s">
        <v>1775</v>
      </c>
      <c r="X663" s="163"/>
      <c r="Y663" s="163"/>
      <c r="Z663" s="24"/>
      <c r="AA663" s="170"/>
      <c r="AB663" s="163"/>
      <c r="AC663" s="251"/>
      <c r="AD663" s="170"/>
      <c r="AE663" s="24"/>
      <c r="AF663" s="170"/>
      <c r="AG663" s="22"/>
      <c r="AH663" s="45"/>
      <c r="AI663" s="24"/>
      <c r="AJ663" s="164"/>
      <c r="AK663" s="22"/>
      <c r="AL663" s="22"/>
      <c r="AM663" s="22"/>
      <c r="AN663" s="22"/>
      <c r="AO663" s="22"/>
      <c r="AP663" s="22"/>
      <c r="AQ663" s="22"/>
      <c r="AR663" s="22"/>
      <c r="AS663" s="22"/>
      <c r="AT663" s="170"/>
      <c r="AU663" s="170"/>
      <c r="AV663" s="170"/>
      <c r="AW663" s="170"/>
      <c r="AX663" s="170"/>
      <c r="AY663" s="170"/>
      <c r="AZ663" s="170"/>
      <c r="BA663" s="170"/>
      <c r="BB663" s="170"/>
      <c r="BC663" s="170"/>
      <c r="BD663" s="170"/>
      <c r="BE663" s="137" t="s">
        <v>115</v>
      </c>
      <c r="BF663" s="137" t="s">
        <v>1777</v>
      </c>
      <c r="BG663" s="139" t="s">
        <v>1778</v>
      </c>
      <c r="BH663" s="220"/>
      <c r="BI663" s="220"/>
      <c r="BJ663" s="220"/>
      <c r="BK663" s="46">
        <f t="shared" si="1"/>
        <v>1</v>
      </c>
      <c r="BL663" s="46"/>
      <c r="BM663" s="46"/>
      <c r="BN663" s="46"/>
    </row>
    <row r="664" spans="1:66" ht="12.75" hidden="1" customHeight="1">
      <c r="A664" s="22">
        <v>662</v>
      </c>
      <c r="B664" s="22" t="s">
        <v>2655</v>
      </c>
      <c r="C664" s="22" t="e">
        <f t="shared" ca="1" si="0"/>
        <v>#NAME?</v>
      </c>
      <c r="D664" s="24" t="s">
        <v>1779</v>
      </c>
      <c r="E664" s="22" t="s">
        <v>180</v>
      </c>
      <c r="F664" s="24" t="s">
        <v>2012</v>
      </c>
      <c r="G664" s="24" t="s">
        <v>2013</v>
      </c>
      <c r="H664" s="24"/>
      <c r="I664" s="24">
        <v>1</v>
      </c>
      <c r="J664" s="24" t="s">
        <v>1767</v>
      </c>
      <c r="K664" s="24"/>
      <c r="L664" s="24"/>
      <c r="M664" s="24"/>
      <c r="N664" s="24"/>
      <c r="O664" s="24"/>
      <c r="P664" s="170"/>
      <c r="Q664" s="170"/>
      <c r="R664" s="162"/>
      <c r="S664" s="163"/>
      <c r="T664" s="163"/>
      <c r="U664" s="163"/>
      <c r="V664" s="193"/>
      <c r="W664" s="194" t="s">
        <v>1779</v>
      </c>
      <c r="X664" s="163"/>
      <c r="Y664" s="163"/>
      <c r="Z664" s="24"/>
      <c r="AA664" s="170"/>
      <c r="AB664" s="163"/>
      <c r="AC664" s="251"/>
      <c r="AD664" s="170"/>
      <c r="AE664" s="24"/>
      <c r="AF664" s="170"/>
      <c r="AG664" s="22"/>
      <c r="AH664" s="45"/>
      <c r="AI664" s="24"/>
      <c r="AJ664" s="164"/>
      <c r="AK664" s="22"/>
      <c r="AL664" s="22"/>
      <c r="AM664" s="22"/>
      <c r="AN664" s="22"/>
      <c r="AO664" s="22"/>
      <c r="AP664" s="22"/>
      <c r="AQ664" s="22"/>
      <c r="AR664" s="22"/>
      <c r="AS664" s="22"/>
      <c r="AT664" s="170"/>
      <c r="AU664" s="170"/>
      <c r="AV664" s="170"/>
      <c r="AW664" s="170"/>
      <c r="AX664" s="170"/>
      <c r="AY664" s="170"/>
      <c r="AZ664" s="170"/>
      <c r="BA664" s="170"/>
      <c r="BB664" s="170"/>
      <c r="BC664" s="170"/>
      <c r="BD664" s="170"/>
      <c r="BE664" s="137" t="s">
        <v>115</v>
      </c>
      <c r="BF664" s="137" t="s">
        <v>1781</v>
      </c>
      <c r="BG664" s="139" t="s">
        <v>1782</v>
      </c>
      <c r="BH664" s="220"/>
      <c r="BI664" s="220"/>
      <c r="BJ664" s="220"/>
      <c r="BK664" s="46">
        <f t="shared" si="1"/>
        <v>1</v>
      </c>
      <c r="BL664" s="46"/>
      <c r="BM664" s="46"/>
      <c r="BN664" s="46"/>
    </row>
    <row r="665" spans="1:66" ht="12.75" hidden="1" customHeight="1">
      <c r="A665" s="22">
        <v>663</v>
      </c>
      <c r="B665" s="22" t="s">
        <v>2661</v>
      </c>
      <c r="C665" s="22" t="e">
        <f t="shared" ca="1" si="0"/>
        <v>#NAME?</v>
      </c>
      <c r="D665" s="24" t="s">
        <v>1783</v>
      </c>
      <c r="E665" s="22" t="s">
        <v>180</v>
      </c>
      <c r="F665" s="24" t="s">
        <v>2012</v>
      </c>
      <c r="G665" s="24" t="s">
        <v>2013</v>
      </c>
      <c r="H665" s="24"/>
      <c r="I665" s="24">
        <v>1</v>
      </c>
      <c r="J665" s="24" t="s">
        <v>1767</v>
      </c>
      <c r="K665" s="24"/>
      <c r="L665" s="24"/>
      <c r="M665" s="24"/>
      <c r="N665" s="24"/>
      <c r="O665" s="24"/>
      <c r="P665" s="170"/>
      <c r="Q665" s="170"/>
      <c r="R665" s="162"/>
      <c r="S665" s="163"/>
      <c r="T665" s="163"/>
      <c r="U665" s="163"/>
      <c r="V665" s="193"/>
      <c r="W665" s="194" t="s">
        <v>1783</v>
      </c>
      <c r="X665" s="163"/>
      <c r="Y665" s="163"/>
      <c r="Z665" s="24"/>
      <c r="AA665" s="170"/>
      <c r="AB665" s="163"/>
      <c r="AC665" s="251"/>
      <c r="AD665" s="170"/>
      <c r="AE665" s="24"/>
      <c r="AF665" s="170"/>
      <c r="AG665" s="22"/>
      <c r="AH665" s="45"/>
      <c r="AI665" s="24"/>
      <c r="AJ665" s="164"/>
      <c r="AK665" s="22"/>
      <c r="AL665" s="22"/>
      <c r="AM665" s="22"/>
      <c r="AN665" s="22"/>
      <c r="AO665" s="22"/>
      <c r="AP665" s="22"/>
      <c r="AQ665" s="22"/>
      <c r="AR665" s="22"/>
      <c r="AS665" s="22"/>
      <c r="AT665" s="170"/>
      <c r="AU665" s="170"/>
      <c r="AV665" s="170"/>
      <c r="AW665" s="170"/>
      <c r="AX665" s="170"/>
      <c r="AY665" s="170"/>
      <c r="AZ665" s="170"/>
      <c r="BA665" s="170"/>
      <c r="BB665" s="170"/>
      <c r="BC665" s="170"/>
      <c r="BD665" s="170"/>
      <c r="BE665" s="137" t="s">
        <v>115</v>
      </c>
      <c r="BF665" s="137" t="s">
        <v>1784</v>
      </c>
      <c r="BG665" s="167" t="s">
        <v>1785</v>
      </c>
      <c r="BH665" s="220"/>
      <c r="BI665" s="220"/>
      <c r="BJ665" s="220"/>
      <c r="BK665" s="46">
        <f t="shared" si="1"/>
        <v>1</v>
      </c>
      <c r="BL665" s="46"/>
      <c r="BM665" s="46"/>
      <c r="BN665" s="46"/>
    </row>
    <row r="666" spans="1:66" ht="12.75" hidden="1" customHeight="1">
      <c r="A666" s="22">
        <v>664</v>
      </c>
      <c r="B666" s="22" t="s">
        <v>2118</v>
      </c>
      <c r="C666" s="22" t="e">
        <f t="shared" ca="1" si="0"/>
        <v>#NAME?</v>
      </c>
      <c r="D666" s="24" t="s">
        <v>1468</v>
      </c>
      <c r="E666" s="22" t="s">
        <v>180</v>
      </c>
      <c r="F666" s="24" t="s">
        <v>2012</v>
      </c>
      <c r="G666" s="24" t="s">
        <v>2013</v>
      </c>
      <c r="H666" s="24"/>
      <c r="I666" s="24">
        <v>1</v>
      </c>
      <c r="J666" s="24" t="s">
        <v>1767</v>
      </c>
      <c r="K666" s="24"/>
      <c r="L666" s="24"/>
      <c r="M666" s="24"/>
      <c r="N666" s="24"/>
      <c r="O666" s="24"/>
      <c r="P666" s="170"/>
      <c r="Q666" s="170"/>
      <c r="R666" s="162"/>
      <c r="S666" s="163"/>
      <c r="T666" s="163"/>
      <c r="U666" s="163"/>
      <c r="V666" s="193"/>
      <c r="W666" s="194" t="s">
        <v>1468</v>
      </c>
      <c r="X666" s="163"/>
      <c r="Y666" s="163"/>
      <c r="Z666" s="24"/>
      <c r="AA666" s="170"/>
      <c r="AB666" s="163"/>
      <c r="AC666" s="251"/>
      <c r="AD666" s="170"/>
      <c r="AE666" s="24"/>
      <c r="AF666" s="170"/>
      <c r="AG666" s="22"/>
      <c r="AH666" s="45"/>
      <c r="AI666" s="24"/>
      <c r="AJ666" s="164"/>
      <c r="AK666" s="22"/>
      <c r="AL666" s="22"/>
      <c r="AM666" s="22"/>
      <c r="AN666" s="22"/>
      <c r="AO666" s="22"/>
      <c r="AP666" s="22"/>
      <c r="AQ666" s="22"/>
      <c r="AR666" s="22"/>
      <c r="AS666" s="22"/>
      <c r="AT666" s="170"/>
      <c r="AU666" s="170"/>
      <c r="AV666" s="170"/>
      <c r="AW666" s="170"/>
      <c r="AX666" s="170"/>
      <c r="AY666" s="170"/>
      <c r="AZ666" s="170"/>
      <c r="BA666" s="170"/>
      <c r="BB666" s="170"/>
      <c r="BC666" s="170"/>
      <c r="BD666" s="170"/>
      <c r="BE666" s="137" t="s">
        <v>115</v>
      </c>
      <c r="BF666" s="137" t="s">
        <v>1469</v>
      </c>
      <c r="BG666" s="167" t="s">
        <v>1470</v>
      </c>
      <c r="BH666" s="220"/>
      <c r="BI666" s="220"/>
      <c r="BJ666" s="220"/>
      <c r="BK666" s="46">
        <f t="shared" si="1"/>
        <v>1</v>
      </c>
      <c r="BL666" s="46"/>
      <c r="BM666" s="46"/>
      <c r="BN666" s="46"/>
    </row>
    <row r="667" spans="1:66" ht="12.75" hidden="1" customHeight="1">
      <c r="A667" s="22">
        <v>665</v>
      </c>
      <c r="B667" s="22" t="s">
        <v>2017</v>
      </c>
      <c r="C667" s="22" t="str">
        <f t="shared" si="0"/>
        <v>Reason Hepatitis C test not done</v>
      </c>
      <c r="D667" s="24" t="s">
        <v>2017</v>
      </c>
      <c r="E667" s="22" t="s">
        <v>96</v>
      </c>
      <c r="F667" s="24" t="s">
        <v>1787</v>
      </c>
      <c r="G667" s="24" t="s">
        <v>2013</v>
      </c>
      <c r="H667" s="24"/>
      <c r="I667" s="24">
        <v>1</v>
      </c>
      <c r="J667" s="24" t="s">
        <v>1767</v>
      </c>
      <c r="K667" s="24"/>
      <c r="L667" s="24"/>
      <c r="M667" s="24"/>
      <c r="N667" s="24"/>
      <c r="O667" s="24"/>
      <c r="P667" s="170"/>
      <c r="Q667" s="170"/>
      <c r="R667" s="162" t="s">
        <v>1376</v>
      </c>
      <c r="S667" s="163" t="s">
        <v>2018</v>
      </c>
      <c r="T667" s="163" t="s">
        <v>2019</v>
      </c>
      <c r="U667" s="163" t="s">
        <v>238</v>
      </c>
      <c r="V667" s="163"/>
      <c r="W667" s="163"/>
      <c r="X667" s="163"/>
      <c r="Y667" s="163"/>
      <c r="Z667" s="24"/>
      <c r="AA667" s="170"/>
      <c r="AB667" s="163" t="s">
        <v>113</v>
      </c>
      <c r="AC667" s="251"/>
      <c r="AD667" s="170"/>
      <c r="AE667" s="24"/>
      <c r="AF667" s="170"/>
      <c r="AG667" s="22"/>
      <c r="AH667" s="45"/>
      <c r="AI667" s="24"/>
      <c r="AJ667" s="164" t="s">
        <v>115</v>
      </c>
      <c r="AK667" s="22"/>
      <c r="AL667" s="22"/>
      <c r="AM667" s="22"/>
      <c r="AN667" s="22"/>
      <c r="AO667" s="22"/>
      <c r="AP667" s="22"/>
      <c r="AQ667" s="22"/>
      <c r="AR667" s="22"/>
      <c r="AS667" s="22"/>
      <c r="AT667" s="170"/>
      <c r="AU667" s="170"/>
      <c r="AV667" s="170"/>
      <c r="AW667" s="170"/>
      <c r="AX667" s="170"/>
      <c r="AY667" s="170"/>
      <c r="AZ667" s="170"/>
      <c r="BA667" s="170"/>
      <c r="BB667" s="170"/>
      <c r="BC667" s="170"/>
      <c r="BD667" s="170"/>
      <c r="BE667" s="137" t="s">
        <v>2016</v>
      </c>
      <c r="BF667" s="137" t="s">
        <v>1791</v>
      </c>
      <c r="BG667" s="139" t="s">
        <v>1792</v>
      </c>
      <c r="BH667" s="220"/>
      <c r="BI667" s="220"/>
      <c r="BJ667" s="220"/>
      <c r="BK667" s="46">
        <f t="shared" si="1"/>
        <v>1</v>
      </c>
      <c r="BL667" s="46"/>
      <c r="BM667" s="46"/>
      <c r="BN667" s="46"/>
    </row>
    <row r="668" spans="1:66" ht="12.75" hidden="1" customHeight="1">
      <c r="A668" s="22">
        <v>666</v>
      </c>
      <c r="B668" s="22" t="s">
        <v>2870</v>
      </c>
      <c r="C668" s="22" t="e">
        <f t="shared" ca="1" si="0"/>
        <v>#NAME?</v>
      </c>
      <c r="D668" s="24" t="s">
        <v>1909</v>
      </c>
      <c r="E668" s="22" t="s">
        <v>180</v>
      </c>
      <c r="F668" s="24" t="s">
        <v>1376</v>
      </c>
      <c r="G668" s="24" t="s">
        <v>2013</v>
      </c>
      <c r="H668" s="24"/>
      <c r="I668" s="24">
        <v>1</v>
      </c>
      <c r="J668" s="24" t="s">
        <v>1767</v>
      </c>
      <c r="K668" s="24"/>
      <c r="L668" s="24"/>
      <c r="M668" s="24"/>
      <c r="N668" s="24"/>
      <c r="O668" s="24"/>
      <c r="P668" s="170"/>
      <c r="Q668" s="170"/>
      <c r="R668" s="247"/>
      <c r="S668" s="196"/>
      <c r="T668" s="196"/>
      <c r="U668" s="196"/>
      <c r="V668" s="194"/>
      <c r="W668" s="194" t="s">
        <v>1909</v>
      </c>
      <c r="X668" s="196"/>
      <c r="Y668" s="196"/>
      <c r="Z668" s="24"/>
      <c r="AA668" s="170"/>
      <c r="AB668" s="196"/>
      <c r="AC668" s="251"/>
      <c r="AD668" s="170"/>
      <c r="AE668" s="24"/>
      <c r="AF668" s="170"/>
      <c r="AG668" s="22"/>
      <c r="AH668" s="45"/>
      <c r="AI668" s="24"/>
      <c r="AJ668" s="196"/>
      <c r="AK668" s="22"/>
      <c r="AL668" s="22"/>
      <c r="AM668" s="22"/>
      <c r="AN668" s="22"/>
      <c r="AO668" s="22"/>
      <c r="AP668" s="22"/>
      <c r="AQ668" s="22"/>
      <c r="AR668" s="22"/>
      <c r="AS668" s="22"/>
      <c r="AT668" s="170"/>
      <c r="AU668" s="170"/>
      <c r="AV668" s="170"/>
      <c r="AW668" s="170"/>
      <c r="AX668" s="170"/>
      <c r="AY668" s="170"/>
      <c r="AZ668" s="170"/>
      <c r="BA668" s="170"/>
      <c r="BB668" s="170"/>
      <c r="BC668" s="170"/>
      <c r="BD668" s="170"/>
      <c r="BE668" s="143" t="s">
        <v>115</v>
      </c>
      <c r="BF668" s="143" t="s">
        <v>1910</v>
      </c>
      <c r="BG668" s="167" t="s">
        <v>1911</v>
      </c>
      <c r="BH668" s="220"/>
      <c r="BI668" s="220"/>
      <c r="BJ668" s="220"/>
      <c r="BK668" s="46">
        <f t="shared" si="1"/>
        <v>1</v>
      </c>
      <c r="BL668" s="46"/>
      <c r="BM668" s="46"/>
      <c r="BN668" s="46"/>
    </row>
    <row r="669" spans="1:66" ht="12.75" hidden="1" customHeight="1">
      <c r="A669" s="22">
        <v>667</v>
      </c>
      <c r="B669" s="22" t="s">
        <v>2877</v>
      </c>
      <c r="C669" s="22" t="e">
        <f t="shared" ca="1" si="0"/>
        <v>#NAME?</v>
      </c>
      <c r="D669" s="24" t="s">
        <v>1912</v>
      </c>
      <c r="E669" s="22" t="s">
        <v>180</v>
      </c>
      <c r="F669" s="24" t="s">
        <v>1376</v>
      </c>
      <c r="G669" s="24" t="s">
        <v>2013</v>
      </c>
      <c r="H669" s="24"/>
      <c r="I669" s="24">
        <v>1</v>
      </c>
      <c r="J669" s="24" t="s">
        <v>1767</v>
      </c>
      <c r="K669" s="24"/>
      <c r="L669" s="24"/>
      <c r="M669" s="24"/>
      <c r="N669" s="24"/>
      <c r="O669" s="24"/>
      <c r="P669" s="170"/>
      <c r="Q669" s="170"/>
      <c r="R669" s="247"/>
      <c r="S669" s="196"/>
      <c r="T669" s="196"/>
      <c r="U669" s="196"/>
      <c r="V669" s="194"/>
      <c r="W669" s="194" t="s">
        <v>1912</v>
      </c>
      <c r="X669" s="196"/>
      <c r="Y669" s="196"/>
      <c r="Z669" s="24"/>
      <c r="AA669" s="170"/>
      <c r="AB669" s="196"/>
      <c r="AC669" s="251"/>
      <c r="AD669" s="170"/>
      <c r="AE669" s="24"/>
      <c r="AF669" s="170"/>
      <c r="AG669" s="22"/>
      <c r="AH669" s="45"/>
      <c r="AI669" s="24"/>
      <c r="AJ669" s="196"/>
      <c r="AK669" s="22"/>
      <c r="AL669" s="22"/>
      <c r="AM669" s="22"/>
      <c r="AN669" s="22"/>
      <c r="AO669" s="22"/>
      <c r="AP669" s="22"/>
      <c r="AQ669" s="22"/>
      <c r="AR669" s="22"/>
      <c r="AS669" s="22"/>
      <c r="AT669" s="170"/>
      <c r="AU669" s="170"/>
      <c r="AV669" s="170"/>
      <c r="AW669" s="170"/>
      <c r="AX669" s="170"/>
      <c r="AY669" s="170"/>
      <c r="AZ669" s="170"/>
      <c r="BA669" s="170"/>
      <c r="BB669" s="170"/>
      <c r="BC669" s="170"/>
      <c r="BD669" s="170"/>
      <c r="BE669" s="143" t="s">
        <v>115</v>
      </c>
      <c r="BF669" s="143" t="s">
        <v>1913</v>
      </c>
      <c r="BG669" s="167" t="s">
        <v>1914</v>
      </c>
      <c r="BH669" s="220"/>
      <c r="BI669" s="220"/>
      <c r="BJ669" s="220"/>
      <c r="BK669" s="46">
        <f t="shared" si="1"/>
        <v>1</v>
      </c>
      <c r="BL669" s="46"/>
      <c r="BM669" s="46"/>
      <c r="BN669" s="46"/>
    </row>
    <row r="670" spans="1:66" ht="12.75" hidden="1" customHeight="1">
      <c r="A670" s="22">
        <v>668</v>
      </c>
      <c r="B670" s="22" t="s">
        <v>535</v>
      </c>
      <c r="C670" s="22" t="e">
        <f t="shared" ca="1" si="0"/>
        <v>#NAME?</v>
      </c>
      <c r="D670" s="24" t="s">
        <v>405</v>
      </c>
      <c r="E670" s="22" t="s">
        <v>180</v>
      </c>
      <c r="F670" s="24" t="s">
        <v>1376</v>
      </c>
      <c r="G670" s="24" t="s">
        <v>2013</v>
      </c>
      <c r="H670" s="24"/>
      <c r="I670" s="24">
        <v>1</v>
      </c>
      <c r="J670" s="24" t="s">
        <v>1767</v>
      </c>
      <c r="K670" s="24"/>
      <c r="L670" s="24"/>
      <c r="M670" s="24"/>
      <c r="N670" s="24"/>
      <c r="O670" s="24"/>
      <c r="P670" s="170"/>
      <c r="Q670" s="170"/>
      <c r="R670" s="247"/>
      <c r="S670" s="196"/>
      <c r="T670" s="196"/>
      <c r="U670" s="196"/>
      <c r="V670" s="194"/>
      <c r="W670" s="194" t="s">
        <v>405</v>
      </c>
      <c r="X670" s="196"/>
      <c r="Y670" s="196"/>
      <c r="Z670" s="24"/>
      <c r="AA670" s="170"/>
      <c r="AB670" s="196"/>
      <c r="AC670" s="251"/>
      <c r="AD670" s="170"/>
      <c r="AE670" s="24"/>
      <c r="AF670" s="170"/>
      <c r="AG670" s="22"/>
      <c r="AH670" s="45"/>
      <c r="AI670" s="24"/>
      <c r="AJ670" s="196"/>
      <c r="AK670" s="22"/>
      <c r="AL670" s="22"/>
      <c r="AM670" s="22"/>
      <c r="AN670" s="22"/>
      <c r="AO670" s="22"/>
      <c r="AP670" s="22"/>
      <c r="AQ670" s="22"/>
      <c r="AR670" s="22"/>
      <c r="AS670" s="22"/>
      <c r="AT670" s="170"/>
      <c r="AU670" s="170"/>
      <c r="AV670" s="170"/>
      <c r="AW670" s="170"/>
      <c r="AX670" s="170"/>
      <c r="AY670" s="170"/>
      <c r="AZ670" s="170"/>
      <c r="BA670" s="170"/>
      <c r="BB670" s="170"/>
      <c r="BC670" s="170"/>
      <c r="BD670" s="170"/>
      <c r="BE670" s="143" t="s">
        <v>115</v>
      </c>
      <c r="BF670" s="143" t="s">
        <v>406</v>
      </c>
      <c r="BG670" s="167" t="s">
        <v>407</v>
      </c>
      <c r="BH670" s="220"/>
      <c r="BI670" s="220"/>
      <c r="BJ670" s="220"/>
      <c r="BK670" s="46">
        <f t="shared" si="1"/>
        <v>1</v>
      </c>
      <c r="BL670" s="46"/>
      <c r="BM670" s="46"/>
      <c r="BN670" s="46"/>
    </row>
    <row r="671" spans="1:66" ht="12.75" hidden="1" customHeight="1">
      <c r="A671" s="22">
        <v>669</v>
      </c>
      <c r="B671" s="22" t="s">
        <v>2021</v>
      </c>
      <c r="C671" s="22" t="str">
        <f t="shared" si="0"/>
        <v>Specify - Reason Hepatitis C test not done</v>
      </c>
      <c r="D671" s="24" t="s">
        <v>2021</v>
      </c>
      <c r="E671" s="22" t="s">
        <v>96</v>
      </c>
      <c r="F671" s="24" t="s">
        <v>1787</v>
      </c>
      <c r="G671" s="24" t="s">
        <v>2013</v>
      </c>
      <c r="H671" s="24"/>
      <c r="I671" s="24">
        <v>1</v>
      </c>
      <c r="J671" s="24" t="s">
        <v>1767</v>
      </c>
      <c r="K671" s="24"/>
      <c r="L671" s="24"/>
      <c r="M671" s="24"/>
      <c r="N671" s="24"/>
      <c r="O671" s="24"/>
      <c r="P671" s="170"/>
      <c r="Q671" s="170"/>
      <c r="R671" s="247" t="s">
        <v>409</v>
      </c>
      <c r="S671" s="196" t="s">
        <v>2022</v>
      </c>
      <c r="T671" s="196" t="s">
        <v>2023</v>
      </c>
      <c r="U671" s="196" t="s">
        <v>111</v>
      </c>
      <c r="V671" s="194"/>
      <c r="W671" s="194"/>
      <c r="X671" s="196"/>
      <c r="Y671" s="196"/>
      <c r="Z671" s="24"/>
      <c r="AA671" s="170"/>
      <c r="AB671" s="196" t="s">
        <v>208</v>
      </c>
      <c r="AC671" s="251"/>
      <c r="AD671" s="170"/>
      <c r="AE671" s="24"/>
      <c r="AF671" s="170"/>
      <c r="AG671" s="22"/>
      <c r="AH671" s="45"/>
      <c r="AI671" s="24"/>
      <c r="AJ671" s="196" t="s">
        <v>115</v>
      </c>
      <c r="AK671" s="22"/>
      <c r="AL671" s="22"/>
      <c r="AM671" s="22"/>
      <c r="AN671" s="22"/>
      <c r="AO671" s="22"/>
      <c r="AP671" s="22"/>
      <c r="AQ671" s="22"/>
      <c r="AR671" s="22"/>
      <c r="AS671" s="22"/>
      <c r="AT671" s="170"/>
      <c r="AU671" s="170"/>
      <c r="AV671" s="170"/>
      <c r="AW671" s="170"/>
      <c r="AX671" s="170"/>
      <c r="AY671" s="170"/>
      <c r="AZ671" s="170"/>
      <c r="BA671" s="170"/>
      <c r="BB671" s="170"/>
      <c r="BC671" s="170"/>
      <c r="BD671" s="170"/>
      <c r="BE671" s="143" t="s">
        <v>2016</v>
      </c>
      <c r="BF671" s="143" t="s">
        <v>1800</v>
      </c>
      <c r="BG671" s="167" t="s">
        <v>1801</v>
      </c>
      <c r="BH671" s="220"/>
      <c r="BI671" s="220"/>
      <c r="BJ671" s="220"/>
      <c r="BK671" s="46">
        <f t="shared" si="1"/>
        <v>1</v>
      </c>
      <c r="BL671" s="46"/>
      <c r="BM671" s="46"/>
      <c r="BN671" s="46"/>
    </row>
    <row r="672" spans="1:66" ht="12.75" hidden="1" customHeight="1">
      <c r="A672" s="22">
        <v>670</v>
      </c>
      <c r="B672" s="22" t="s">
        <v>2024</v>
      </c>
      <c r="C672" s="22" t="str">
        <f t="shared" si="0"/>
        <v>Hep C test date</v>
      </c>
      <c r="D672" s="24" t="s">
        <v>2024</v>
      </c>
      <c r="E672" s="22" t="s">
        <v>96</v>
      </c>
      <c r="F672" s="24" t="s">
        <v>1787</v>
      </c>
      <c r="G672" s="24" t="s">
        <v>2013</v>
      </c>
      <c r="H672" s="24"/>
      <c r="I672" s="24">
        <v>1</v>
      </c>
      <c r="J672" s="24" t="s">
        <v>1767</v>
      </c>
      <c r="K672" s="24"/>
      <c r="L672" s="24"/>
      <c r="M672" s="24"/>
      <c r="N672" s="24"/>
      <c r="O672" s="24"/>
      <c r="P672" s="170"/>
      <c r="Q672" s="170"/>
      <c r="R672" s="247" t="s">
        <v>2024</v>
      </c>
      <c r="S672" s="196" t="s">
        <v>2026</v>
      </c>
      <c r="T672" s="194" t="s">
        <v>2027</v>
      </c>
      <c r="U672" s="194" t="s">
        <v>140</v>
      </c>
      <c r="V672" s="194"/>
      <c r="W672" s="194"/>
      <c r="X672" s="196"/>
      <c r="Y672" s="196"/>
      <c r="Z672" s="24"/>
      <c r="AA672" s="170"/>
      <c r="AB672" s="196" t="s">
        <v>113</v>
      </c>
      <c r="AC672" s="251"/>
      <c r="AD672" s="170"/>
      <c r="AE672" s="24"/>
      <c r="AF672" s="170"/>
      <c r="AG672" s="22"/>
      <c r="AH672" s="45"/>
      <c r="AI672" s="24"/>
      <c r="AJ672" s="194" t="s">
        <v>115</v>
      </c>
      <c r="AK672" s="22"/>
      <c r="AL672" s="22"/>
      <c r="AM672" s="22"/>
      <c r="AN672" s="22"/>
      <c r="AO672" s="22"/>
      <c r="AP672" s="22"/>
      <c r="AQ672" s="22"/>
      <c r="AR672" s="22"/>
      <c r="AS672" s="22"/>
      <c r="AT672" s="170"/>
      <c r="AU672" s="170"/>
      <c r="AV672" s="170"/>
      <c r="AW672" s="170"/>
      <c r="AX672" s="170"/>
      <c r="AY672" s="170"/>
      <c r="AZ672" s="170"/>
      <c r="BA672" s="170"/>
      <c r="BB672" s="170"/>
      <c r="BC672" s="170"/>
      <c r="BD672" s="170"/>
      <c r="BE672" s="143" t="s">
        <v>2016</v>
      </c>
      <c r="BF672" s="143" t="s">
        <v>1804</v>
      </c>
      <c r="BG672" s="167" t="s">
        <v>1805</v>
      </c>
      <c r="BH672" s="220"/>
      <c r="BI672" s="220"/>
      <c r="BJ672" s="220"/>
      <c r="BK672" s="46">
        <f t="shared" si="1"/>
        <v>1</v>
      </c>
      <c r="BL672" s="46"/>
      <c r="BM672" s="46"/>
      <c r="BN672" s="46"/>
    </row>
    <row r="673" spans="1:66" ht="12.75" hidden="1" customHeight="1">
      <c r="A673" s="22">
        <v>671</v>
      </c>
      <c r="B673" s="22" t="s">
        <v>2028</v>
      </c>
      <c r="C673" s="22" t="str">
        <f t="shared" si="0"/>
        <v>Hep C test type</v>
      </c>
      <c r="D673" s="24" t="s">
        <v>2028</v>
      </c>
      <c r="E673" s="22" t="s">
        <v>96</v>
      </c>
      <c r="F673" s="24" t="s">
        <v>1787</v>
      </c>
      <c r="G673" s="24" t="s">
        <v>2013</v>
      </c>
      <c r="H673" s="24"/>
      <c r="I673" s="24">
        <v>1</v>
      </c>
      <c r="J673" s="24" t="s">
        <v>1767</v>
      </c>
      <c r="K673" s="24"/>
      <c r="L673" s="24"/>
      <c r="M673" s="24"/>
      <c r="N673" s="24"/>
      <c r="O673" s="24"/>
      <c r="P673" s="170"/>
      <c r="Q673" s="170"/>
      <c r="R673" s="195" t="s">
        <v>2028</v>
      </c>
      <c r="S673" s="196" t="s">
        <v>2029</v>
      </c>
      <c r="T673" s="196" t="s">
        <v>2030</v>
      </c>
      <c r="U673" s="196" t="s">
        <v>202</v>
      </c>
      <c r="V673" s="194"/>
      <c r="W673" s="194"/>
      <c r="X673" s="196"/>
      <c r="Y673" s="196"/>
      <c r="Z673" s="24"/>
      <c r="AA673" s="170"/>
      <c r="AB673" s="196" t="s">
        <v>113</v>
      </c>
      <c r="AC673" s="251"/>
      <c r="AD673" s="170"/>
      <c r="AE673" s="24"/>
      <c r="AF673" s="170"/>
      <c r="AG673" s="22"/>
      <c r="AH673" s="45"/>
      <c r="AI673" s="24"/>
      <c r="AJ673" s="196" t="s">
        <v>115</v>
      </c>
      <c r="AK673" s="22"/>
      <c r="AL673" s="22"/>
      <c r="AM673" s="22"/>
      <c r="AN673" s="22"/>
      <c r="AO673" s="22"/>
      <c r="AP673" s="22"/>
      <c r="AQ673" s="22"/>
      <c r="AR673" s="22"/>
      <c r="AS673" s="22"/>
      <c r="AT673" s="170"/>
      <c r="AU673" s="170"/>
      <c r="AV673" s="170"/>
      <c r="AW673" s="170"/>
      <c r="AX673" s="170"/>
      <c r="AY673" s="170"/>
      <c r="AZ673" s="170"/>
      <c r="BA673" s="170"/>
      <c r="BB673" s="170"/>
      <c r="BC673" s="170"/>
      <c r="BD673" s="170"/>
      <c r="BE673" s="143" t="s">
        <v>115</v>
      </c>
      <c r="BF673" s="143" t="s">
        <v>2031</v>
      </c>
      <c r="BG673" s="167" t="s">
        <v>2032</v>
      </c>
      <c r="BH673" s="220"/>
      <c r="BI673" s="220"/>
      <c r="BJ673" s="220"/>
      <c r="BK673" s="46">
        <f t="shared" si="1"/>
        <v>1</v>
      </c>
      <c r="BL673" s="46"/>
      <c r="BM673" s="46"/>
      <c r="BN673" s="46"/>
    </row>
    <row r="674" spans="1:66" ht="12.75" hidden="1" customHeight="1">
      <c r="A674" s="22">
        <v>672</v>
      </c>
      <c r="B674" s="22" t="s">
        <v>3037</v>
      </c>
      <c r="C674" s="22" t="e">
        <f t="shared" ca="1" si="0"/>
        <v>#NAME?</v>
      </c>
      <c r="D674" s="24" t="s">
        <v>2033</v>
      </c>
      <c r="E674" s="22" t="s">
        <v>180</v>
      </c>
      <c r="F674" s="24" t="s">
        <v>2028</v>
      </c>
      <c r="G674" s="24" t="s">
        <v>2013</v>
      </c>
      <c r="H674" s="24"/>
      <c r="I674" s="24">
        <v>1</v>
      </c>
      <c r="J674" s="24" t="s">
        <v>1767</v>
      </c>
      <c r="K674" s="24"/>
      <c r="L674" s="24"/>
      <c r="M674" s="24"/>
      <c r="N674" s="24"/>
      <c r="O674" s="24"/>
      <c r="P674" s="170"/>
      <c r="Q674" s="170"/>
      <c r="R674" s="247"/>
      <c r="S674" s="196"/>
      <c r="T674" s="196"/>
      <c r="U674" s="196"/>
      <c r="V674" s="194"/>
      <c r="W674" s="194" t="s">
        <v>2033</v>
      </c>
      <c r="X674" s="196"/>
      <c r="Y674" s="196"/>
      <c r="Z674" s="24"/>
      <c r="AA674" s="170"/>
      <c r="AB674" s="196"/>
      <c r="AC674" s="251"/>
      <c r="AD674" s="170"/>
      <c r="AE674" s="24"/>
      <c r="AF674" s="170"/>
      <c r="AG674" s="22"/>
      <c r="AH674" s="45"/>
      <c r="AI674" s="24"/>
      <c r="AJ674" s="196"/>
      <c r="AK674" s="22"/>
      <c r="AL674" s="22"/>
      <c r="AM674" s="22"/>
      <c r="AN674" s="22"/>
      <c r="AO674" s="22"/>
      <c r="AP674" s="22"/>
      <c r="AQ674" s="22"/>
      <c r="AR674" s="22"/>
      <c r="AS674" s="22"/>
      <c r="AT674" s="170"/>
      <c r="AU674" s="170"/>
      <c r="AV674" s="170"/>
      <c r="AW674" s="170"/>
      <c r="AX674" s="170"/>
      <c r="AY674" s="170"/>
      <c r="AZ674" s="170"/>
      <c r="BA674" s="170"/>
      <c r="BB674" s="170"/>
      <c r="BC674" s="170"/>
      <c r="BD674" s="170"/>
      <c r="BE674" s="143" t="s">
        <v>115</v>
      </c>
      <c r="BF674" s="143" t="s">
        <v>2034</v>
      </c>
      <c r="BG674" s="167" t="s">
        <v>2035</v>
      </c>
      <c r="BH674" s="220"/>
      <c r="BI674" s="220"/>
      <c r="BJ674" s="220"/>
      <c r="BK674" s="46">
        <f t="shared" si="1"/>
        <v>1</v>
      </c>
      <c r="BL674" s="46"/>
      <c r="BM674" s="46"/>
      <c r="BN674" s="46"/>
    </row>
    <row r="675" spans="1:66" ht="12.75" hidden="1" customHeight="1">
      <c r="A675" s="22">
        <v>673</v>
      </c>
      <c r="B675" s="22" t="s">
        <v>3040</v>
      </c>
      <c r="C675" s="22" t="e">
        <f t="shared" ca="1" si="0"/>
        <v>#NAME?</v>
      </c>
      <c r="D675" s="24" t="s">
        <v>2036</v>
      </c>
      <c r="E675" s="22" t="s">
        <v>180</v>
      </c>
      <c r="F675" s="24" t="s">
        <v>2028</v>
      </c>
      <c r="G675" s="24" t="s">
        <v>2013</v>
      </c>
      <c r="H675" s="24"/>
      <c r="I675" s="24">
        <v>1</v>
      </c>
      <c r="J675" s="24" t="s">
        <v>1767</v>
      </c>
      <c r="K675" s="24"/>
      <c r="L675" s="24"/>
      <c r="M675" s="24"/>
      <c r="N675" s="24"/>
      <c r="O675" s="24"/>
      <c r="P675" s="170"/>
      <c r="Q675" s="170"/>
      <c r="R675" s="247"/>
      <c r="S675" s="196"/>
      <c r="T675" s="196"/>
      <c r="U675" s="196"/>
      <c r="V675" s="194"/>
      <c r="W675" s="194" t="s">
        <v>2036</v>
      </c>
      <c r="X675" s="196"/>
      <c r="Y675" s="196"/>
      <c r="Z675" s="24"/>
      <c r="AA675" s="170"/>
      <c r="AB675" s="196"/>
      <c r="AC675" s="251"/>
      <c r="AD675" s="170"/>
      <c r="AE675" s="24"/>
      <c r="AF675" s="170"/>
      <c r="AG675" s="22"/>
      <c r="AH675" s="45"/>
      <c r="AI675" s="24"/>
      <c r="AJ675" s="196"/>
      <c r="AK675" s="22"/>
      <c r="AL675" s="22"/>
      <c r="AM675" s="22"/>
      <c r="AN675" s="22"/>
      <c r="AO675" s="22"/>
      <c r="AP675" s="22"/>
      <c r="AQ675" s="22"/>
      <c r="AR675" s="22"/>
      <c r="AS675" s="22"/>
      <c r="AT675" s="170"/>
      <c r="AU675" s="170"/>
      <c r="AV675" s="170"/>
      <c r="AW675" s="170"/>
      <c r="AX675" s="170"/>
      <c r="AY675" s="170"/>
      <c r="AZ675" s="170"/>
      <c r="BA675" s="170"/>
      <c r="BB675" s="170"/>
      <c r="BC675" s="170"/>
      <c r="BD675" s="170"/>
      <c r="BE675" s="143" t="s">
        <v>115</v>
      </c>
      <c r="BF675" s="143" t="s">
        <v>2037</v>
      </c>
      <c r="BG675" s="167" t="s">
        <v>2038</v>
      </c>
      <c r="BH675" s="220"/>
      <c r="BI675" s="220"/>
      <c r="BJ675" s="220"/>
      <c r="BK675" s="46">
        <f t="shared" si="1"/>
        <v>1</v>
      </c>
      <c r="BL675" s="46"/>
      <c r="BM675" s="46"/>
      <c r="BN675" s="46"/>
    </row>
    <row r="676" spans="1:66" ht="12.75" hidden="1" customHeight="1">
      <c r="A676" s="22">
        <v>674</v>
      </c>
      <c r="B676" s="22" t="s">
        <v>3041</v>
      </c>
      <c r="C676" s="22" t="e">
        <f t="shared" ca="1" si="0"/>
        <v>#NAME?</v>
      </c>
      <c r="D676" s="24" t="s">
        <v>2039</v>
      </c>
      <c r="E676" s="22" t="s">
        <v>180</v>
      </c>
      <c r="F676" s="24" t="s">
        <v>2028</v>
      </c>
      <c r="G676" s="24" t="s">
        <v>2013</v>
      </c>
      <c r="H676" s="24"/>
      <c r="I676" s="24">
        <v>1</v>
      </c>
      <c r="J676" s="24" t="s">
        <v>1767</v>
      </c>
      <c r="K676" s="24"/>
      <c r="L676" s="24"/>
      <c r="M676" s="24"/>
      <c r="N676" s="24"/>
      <c r="O676" s="24"/>
      <c r="P676" s="170"/>
      <c r="Q676" s="170"/>
      <c r="R676" s="247"/>
      <c r="S676" s="196"/>
      <c r="T676" s="196"/>
      <c r="U676" s="196"/>
      <c r="V676" s="194"/>
      <c r="W676" s="194" t="s">
        <v>2039</v>
      </c>
      <c r="X676" s="196"/>
      <c r="Y676" s="196"/>
      <c r="Z676" s="24"/>
      <c r="AA676" s="170"/>
      <c r="AB676" s="196"/>
      <c r="AC676" s="251"/>
      <c r="AD676" s="170"/>
      <c r="AE676" s="24"/>
      <c r="AF676" s="170"/>
      <c r="AG676" s="22"/>
      <c r="AH676" s="45"/>
      <c r="AI676" s="24"/>
      <c r="AJ676" s="196"/>
      <c r="AK676" s="22"/>
      <c r="AL676" s="22"/>
      <c r="AM676" s="22"/>
      <c r="AN676" s="22"/>
      <c r="AO676" s="22"/>
      <c r="AP676" s="22"/>
      <c r="AQ676" s="22"/>
      <c r="AR676" s="22"/>
      <c r="AS676" s="22"/>
      <c r="AT676" s="170"/>
      <c r="AU676" s="170"/>
      <c r="AV676" s="170"/>
      <c r="AW676" s="170"/>
      <c r="AX676" s="170"/>
      <c r="AY676" s="170"/>
      <c r="AZ676" s="170"/>
      <c r="BA676" s="170"/>
      <c r="BB676" s="170"/>
      <c r="BC676" s="170"/>
      <c r="BD676" s="170"/>
      <c r="BE676" s="143" t="s">
        <v>115</v>
      </c>
      <c r="BF676" s="143" t="s">
        <v>2040</v>
      </c>
      <c r="BG676" s="167" t="s">
        <v>2041</v>
      </c>
      <c r="BH676" s="220"/>
      <c r="BI676" s="220"/>
      <c r="BJ676" s="220"/>
      <c r="BK676" s="46">
        <f t="shared" si="1"/>
        <v>1</v>
      </c>
      <c r="BL676" s="46"/>
      <c r="BM676" s="46"/>
      <c r="BN676" s="46"/>
    </row>
    <row r="677" spans="1:66" ht="12.75" hidden="1" customHeight="1">
      <c r="A677" s="22">
        <v>675</v>
      </c>
      <c r="B677" s="22" t="s">
        <v>2033</v>
      </c>
      <c r="C677" s="22" t="str">
        <f t="shared" si="0"/>
        <v>Anti-HCV laboratory-based immunoassay (recommended)</v>
      </c>
      <c r="D677" s="24" t="s">
        <v>2033</v>
      </c>
      <c r="E677" s="22" t="s">
        <v>96</v>
      </c>
      <c r="F677" s="24" t="s">
        <v>1787</v>
      </c>
      <c r="G677" s="24" t="s">
        <v>2013</v>
      </c>
      <c r="H677" s="24"/>
      <c r="I677" s="24">
        <v>1</v>
      </c>
      <c r="J677" s="24" t="s">
        <v>1767</v>
      </c>
      <c r="K677" s="24"/>
      <c r="L677" s="24"/>
      <c r="M677" s="24"/>
      <c r="N677" s="24"/>
      <c r="O677" s="24"/>
      <c r="P677" s="170"/>
      <c r="Q677" s="170"/>
      <c r="R677" s="162" t="s">
        <v>2033</v>
      </c>
      <c r="S677" s="163" t="s">
        <v>2042</v>
      </c>
      <c r="T677" s="163" t="s">
        <v>2043</v>
      </c>
      <c r="U677" s="163" t="s">
        <v>202</v>
      </c>
      <c r="V677" s="163"/>
      <c r="W677" s="163"/>
      <c r="X677" s="164"/>
      <c r="Y677" s="164"/>
      <c r="Z677" s="24"/>
      <c r="AA677" s="170"/>
      <c r="AB677" s="194" t="s">
        <v>113</v>
      </c>
      <c r="AC677" s="251"/>
      <c r="AD677" s="170"/>
      <c r="AE677" s="24"/>
      <c r="AF677" s="170"/>
      <c r="AG677" s="22"/>
      <c r="AH677" s="45"/>
      <c r="AI677" s="24"/>
      <c r="AJ677" s="164" t="s">
        <v>115</v>
      </c>
      <c r="AK677" s="22"/>
      <c r="AL677" s="22"/>
      <c r="AM677" s="22"/>
      <c r="AN677" s="22"/>
      <c r="AO677" s="22"/>
      <c r="AP677" s="22"/>
      <c r="AQ677" s="22"/>
      <c r="AR677" s="22"/>
      <c r="AS677" s="22"/>
      <c r="AT677" s="170"/>
      <c r="AU677" s="170"/>
      <c r="AV677" s="170"/>
      <c r="AW677" s="170"/>
      <c r="AX677" s="170"/>
      <c r="AY677" s="170"/>
      <c r="AZ677" s="170"/>
      <c r="BA677" s="170"/>
      <c r="BB677" s="170"/>
      <c r="BC677" s="170"/>
      <c r="BD677" s="170"/>
      <c r="BE677" s="137" t="s">
        <v>115</v>
      </c>
      <c r="BF677" s="143" t="s">
        <v>2034</v>
      </c>
      <c r="BG677" s="167" t="s">
        <v>2035</v>
      </c>
      <c r="BH677" s="220"/>
      <c r="BI677" s="220"/>
      <c r="BJ677" s="220"/>
      <c r="BK677" s="46">
        <f t="shared" si="1"/>
        <v>1</v>
      </c>
      <c r="BL677" s="46"/>
      <c r="BM677" s="46"/>
      <c r="BN677" s="46"/>
    </row>
    <row r="678" spans="1:66" ht="12.75" hidden="1" customHeight="1">
      <c r="A678" s="22">
        <v>676</v>
      </c>
      <c r="B678" s="22" t="s">
        <v>1302</v>
      </c>
      <c r="C678" s="22" t="e">
        <f t="shared" ca="1" si="0"/>
        <v>#NAME?</v>
      </c>
      <c r="D678" s="24" t="s">
        <v>1122</v>
      </c>
      <c r="E678" s="22" t="s">
        <v>180</v>
      </c>
      <c r="F678" s="24" t="s">
        <v>2033</v>
      </c>
      <c r="G678" s="24" t="s">
        <v>2013</v>
      </c>
      <c r="H678" s="24"/>
      <c r="I678" s="24">
        <v>1</v>
      </c>
      <c r="J678" s="24" t="s">
        <v>1767</v>
      </c>
      <c r="K678" s="24"/>
      <c r="L678" s="24"/>
      <c r="M678" s="24"/>
      <c r="N678" s="24"/>
      <c r="O678" s="24"/>
      <c r="P678" s="170"/>
      <c r="Q678" s="170"/>
      <c r="R678" s="169"/>
      <c r="S678" s="163"/>
      <c r="T678" s="163"/>
      <c r="U678" s="163"/>
      <c r="V678" s="163"/>
      <c r="W678" s="163" t="s">
        <v>1122</v>
      </c>
      <c r="X678" s="164"/>
      <c r="Y678" s="164"/>
      <c r="Z678" s="24"/>
      <c r="AA678" s="170"/>
      <c r="AB678" s="194"/>
      <c r="AC678" s="251"/>
      <c r="AD678" s="170"/>
      <c r="AE678" s="24"/>
      <c r="AF678" s="170"/>
      <c r="AG678" s="22"/>
      <c r="AH678" s="45"/>
      <c r="AI678" s="24"/>
      <c r="AJ678" s="164"/>
      <c r="AK678" s="22"/>
      <c r="AL678" s="22"/>
      <c r="AM678" s="22"/>
      <c r="AN678" s="22"/>
      <c r="AO678" s="22"/>
      <c r="AP678" s="22"/>
      <c r="AQ678" s="22"/>
      <c r="AR678" s="22"/>
      <c r="AS678" s="22"/>
      <c r="AT678" s="170"/>
      <c r="AU678" s="170"/>
      <c r="AV678" s="170"/>
      <c r="AW678" s="170"/>
      <c r="AX678" s="170"/>
      <c r="AY678" s="170"/>
      <c r="AZ678" s="170"/>
      <c r="BA678" s="170"/>
      <c r="BB678" s="170"/>
      <c r="BC678" s="170"/>
      <c r="BD678" s="170"/>
      <c r="BE678" s="137" t="s">
        <v>115</v>
      </c>
      <c r="BF678" s="137" t="s">
        <v>1897</v>
      </c>
      <c r="BG678" s="139" t="s">
        <v>1125</v>
      </c>
      <c r="BH678" s="220"/>
      <c r="BI678" s="220"/>
      <c r="BJ678" s="220"/>
      <c r="BK678" s="46">
        <f t="shared" si="1"/>
        <v>1</v>
      </c>
      <c r="BL678" s="46"/>
      <c r="BM678" s="46"/>
      <c r="BN678" s="46"/>
    </row>
    <row r="679" spans="1:66" ht="12.75" hidden="1" customHeight="1">
      <c r="A679" s="22">
        <v>677</v>
      </c>
      <c r="B679" s="22" t="s">
        <v>1305</v>
      </c>
      <c r="C679" s="22" t="e">
        <f t="shared" ca="1" si="0"/>
        <v>#NAME?</v>
      </c>
      <c r="D679" s="24" t="s">
        <v>1126</v>
      </c>
      <c r="E679" s="22" t="s">
        <v>180</v>
      </c>
      <c r="F679" s="24" t="s">
        <v>2033</v>
      </c>
      <c r="G679" s="24" t="s">
        <v>2013</v>
      </c>
      <c r="H679" s="24"/>
      <c r="I679" s="24">
        <v>1</v>
      </c>
      <c r="J679" s="24" t="s">
        <v>1767</v>
      </c>
      <c r="K679" s="24"/>
      <c r="L679" s="24"/>
      <c r="M679" s="24"/>
      <c r="N679" s="24"/>
      <c r="O679" s="24"/>
      <c r="P679" s="170"/>
      <c r="Q679" s="170"/>
      <c r="R679" s="169"/>
      <c r="S679" s="163"/>
      <c r="T679" s="163"/>
      <c r="U679" s="163"/>
      <c r="V679" s="163"/>
      <c r="W679" s="163" t="s">
        <v>1126</v>
      </c>
      <c r="X679" s="164"/>
      <c r="Y679" s="164"/>
      <c r="Z679" s="24"/>
      <c r="AA679" s="170"/>
      <c r="AB679" s="194"/>
      <c r="AC679" s="251"/>
      <c r="AD679" s="170"/>
      <c r="AE679" s="24"/>
      <c r="AF679" s="170"/>
      <c r="AG679" s="22"/>
      <c r="AH679" s="45"/>
      <c r="AI679" s="24"/>
      <c r="AJ679" s="164"/>
      <c r="AK679" s="22"/>
      <c r="AL679" s="22"/>
      <c r="AM679" s="22"/>
      <c r="AN679" s="22"/>
      <c r="AO679" s="22"/>
      <c r="AP679" s="22"/>
      <c r="AQ679" s="22"/>
      <c r="AR679" s="22"/>
      <c r="AS679" s="22"/>
      <c r="AT679" s="170"/>
      <c r="AU679" s="170"/>
      <c r="AV679" s="170"/>
      <c r="AW679" s="170"/>
      <c r="AX679" s="170"/>
      <c r="AY679" s="170"/>
      <c r="AZ679" s="170"/>
      <c r="BA679" s="170"/>
      <c r="BB679" s="170"/>
      <c r="BC679" s="170"/>
      <c r="BD679" s="170"/>
      <c r="BE679" s="137" t="s">
        <v>115</v>
      </c>
      <c r="BF679" s="137" t="s">
        <v>1128</v>
      </c>
      <c r="BG679" s="139" t="s">
        <v>1129</v>
      </c>
      <c r="BH679" s="220"/>
      <c r="BI679" s="220"/>
      <c r="BJ679" s="220"/>
      <c r="BK679" s="46">
        <f t="shared" si="1"/>
        <v>1</v>
      </c>
      <c r="BL679" s="46"/>
      <c r="BM679" s="46"/>
      <c r="BN679" s="46"/>
    </row>
    <row r="680" spans="1:66" ht="12.75" hidden="1" customHeight="1">
      <c r="A680" s="22">
        <v>678</v>
      </c>
      <c r="B680" s="22" t="s">
        <v>2036</v>
      </c>
      <c r="C680" s="22" t="str">
        <f t="shared" si="0"/>
        <v>Anti-HCV rapid diagnostic test (RDT)</v>
      </c>
      <c r="D680" s="24" t="s">
        <v>2036</v>
      </c>
      <c r="E680" s="22" t="s">
        <v>96</v>
      </c>
      <c r="F680" s="24" t="s">
        <v>1787</v>
      </c>
      <c r="G680" s="24" t="s">
        <v>2013</v>
      </c>
      <c r="H680" s="24"/>
      <c r="I680" s="24">
        <v>1</v>
      </c>
      <c r="J680" s="24" t="s">
        <v>1767</v>
      </c>
      <c r="K680" s="24"/>
      <c r="L680" s="24"/>
      <c r="M680" s="24"/>
      <c r="N680" s="24"/>
      <c r="O680" s="24"/>
      <c r="P680" s="170"/>
      <c r="Q680" s="170"/>
      <c r="R680" s="169" t="s">
        <v>2036</v>
      </c>
      <c r="S680" s="163" t="s">
        <v>2045</v>
      </c>
      <c r="T680" s="163" t="s">
        <v>2046</v>
      </c>
      <c r="U680" s="163" t="s">
        <v>202</v>
      </c>
      <c r="V680" s="163"/>
      <c r="W680" s="163"/>
      <c r="X680" s="164"/>
      <c r="Y680" s="164"/>
      <c r="Z680" s="24"/>
      <c r="AA680" s="170"/>
      <c r="AB680" s="194" t="s">
        <v>113</v>
      </c>
      <c r="AC680" s="251"/>
      <c r="AD680" s="170"/>
      <c r="AE680" s="24"/>
      <c r="AF680" s="170"/>
      <c r="AG680" s="22"/>
      <c r="AH680" s="45"/>
      <c r="AI680" s="24"/>
      <c r="AJ680" s="164" t="s">
        <v>115</v>
      </c>
      <c r="AK680" s="22"/>
      <c r="AL680" s="22"/>
      <c r="AM680" s="22"/>
      <c r="AN680" s="22"/>
      <c r="AO680" s="22"/>
      <c r="AP680" s="22"/>
      <c r="AQ680" s="22"/>
      <c r="AR680" s="22"/>
      <c r="AS680" s="22"/>
      <c r="AT680" s="170"/>
      <c r="AU680" s="170"/>
      <c r="AV680" s="170"/>
      <c r="AW680" s="170"/>
      <c r="AX680" s="170"/>
      <c r="AY680" s="170"/>
      <c r="AZ680" s="170"/>
      <c r="BA680" s="170"/>
      <c r="BB680" s="170"/>
      <c r="BC680" s="170"/>
      <c r="BD680" s="170"/>
      <c r="BE680" s="137" t="s">
        <v>115</v>
      </c>
      <c r="BF680" s="143" t="s">
        <v>2037</v>
      </c>
      <c r="BG680" s="167" t="s">
        <v>2038</v>
      </c>
      <c r="BH680" s="220"/>
      <c r="BI680" s="220"/>
      <c r="BJ680" s="220"/>
      <c r="BK680" s="46">
        <f t="shared" si="1"/>
        <v>1</v>
      </c>
      <c r="BL680" s="46"/>
      <c r="BM680" s="46"/>
      <c r="BN680" s="46"/>
    </row>
    <row r="681" spans="1:66" ht="12.75" hidden="1" customHeight="1">
      <c r="A681" s="22">
        <v>679</v>
      </c>
      <c r="B681" s="22" t="s">
        <v>1302</v>
      </c>
      <c r="C681" s="22" t="e">
        <f t="shared" ca="1" si="0"/>
        <v>#NAME?</v>
      </c>
      <c r="D681" s="24" t="s">
        <v>1122</v>
      </c>
      <c r="E681" s="22" t="s">
        <v>180</v>
      </c>
      <c r="F681" s="24" t="s">
        <v>2036</v>
      </c>
      <c r="G681" s="24" t="s">
        <v>2013</v>
      </c>
      <c r="H681" s="24"/>
      <c r="I681" s="24">
        <v>1</v>
      </c>
      <c r="J681" s="24" t="s">
        <v>1767</v>
      </c>
      <c r="K681" s="24"/>
      <c r="L681" s="24"/>
      <c r="M681" s="24"/>
      <c r="N681" s="24"/>
      <c r="O681" s="24"/>
      <c r="P681" s="170"/>
      <c r="Q681" s="170"/>
      <c r="R681" s="162"/>
      <c r="S681" s="163"/>
      <c r="T681" s="163"/>
      <c r="U681" s="163"/>
      <c r="V681" s="163"/>
      <c r="W681" s="163" t="s">
        <v>1122</v>
      </c>
      <c r="X681" s="164"/>
      <c r="Y681" s="164"/>
      <c r="Z681" s="24"/>
      <c r="AA681" s="170"/>
      <c r="AB681" s="194"/>
      <c r="AC681" s="251"/>
      <c r="AD681" s="170"/>
      <c r="AE681" s="24"/>
      <c r="AF681" s="170"/>
      <c r="AG681" s="22"/>
      <c r="AH681" s="45"/>
      <c r="AI681" s="24"/>
      <c r="AJ681" s="164"/>
      <c r="AK681" s="22"/>
      <c r="AL681" s="22"/>
      <c r="AM681" s="22"/>
      <c r="AN681" s="22"/>
      <c r="AO681" s="22"/>
      <c r="AP681" s="22"/>
      <c r="AQ681" s="22"/>
      <c r="AR681" s="22"/>
      <c r="AS681" s="22"/>
      <c r="AT681" s="170"/>
      <c r="AU681" s="170"/>
      <c r="AV681" s="170"/>
      <c r="AW681" s="170"/>
      <c r="AX681" s="170"/>
      <c r="AY681" s="170"/>
      <c r="AZ681" s="170"/>
      <c r="BA681" s="170"/>
      <c r="BB681" s="170"/>
      <c r="BC681" s="170"/>
      <c r="BD681" s="170"/>
      <c r="BE681" s="137" t="s">
        <v>115</v>
      </c>
      <c r="BF681" s="137" t="s">
        <v>1897</v>
      </c>
      <c r="BG681" s="139" t="s">
        <v>1125</v>
      </c>
      <c r="BH681" s="220"/>
      <c r="BI681" s="220"/>
      <c r="BJ681" s="220"/>
      <c r="BK681" s="46">
        <f t="shared" si="1"/>
        <v>1</v>
      </c>
      <c r="BL681" s="46"/>
      <c r="BM681" s="46"/>
      <c r="BN681" s="46"/>
    </row>
    <row r="682" spans="1:66" ht="12.75" hidden="1" customHeight="1">
      <c r="A682" s="22">
        <v>680</v>
      </c>
      <c r="B682" s="22" t="s">
        <v>1305</v>
      </c>
      <c r="C682" s="22" t="e">
        <f t="shared" ca="1" si="0"/>
        <v>#NAME?</v>
      </c>
      <c r="D682" s="24" t="s">
        <v>1126</v>
      </c>
      <c r="E682" s="22" t="s">
        <v>180</v>
      </c>
      <c r="F682" s="24" t="s">
        <v>2036</v>
      </c>
      <c r="G682" s="24" t="s">
        <v>2013</v>
      </c>
      <c r="H682" s="24"/>
      <c r="I682" s="24">
        <v>1</v>
      </c>
      <c r="J682" s="24" t="s">
        <v>1767</v>
      </c>
      <c r="K682" s="24"/>
      <c r="L682" s="24"/>
      <c r="M682" s="24"/>
      <c r="N682" s="24"/>
      <c r="O682" s="24"/>
      <c r="P682" s="170"/>
      <c r="Q682" s="170"/>
      <c r="R682" s="162"/>
      <c r="S682" s="163"/>
      <c r="T682" s="163"/>
      <c r="U682" s="163"/>
      <c r="V682" s="163"/>
      <c r="W682" s="163" t="s">
        <v>1126</v>
      </c>
      <c r="X682" s="164"/>
      <c r="Y682" s="164"/>
      <c r="Z682" s="24"/>
      <c r="AA682" s="170"/>
      <c r="AB682" s="194"/>
      <c r="AC682" s="251"/>
      <c r="AD682" s="170"/>
      <c r="AE682" s="24"/>
      <c r="AF682" s="170"/>
      <c r="AG682" s="22"/>
      <c r="AH682" s="45"/>
      <c r="AI682" s="24"/>
      <c r="AJ682" s="164"/>
      <c r="AK682" s="22"/>
      <c r="AL682" s="22"/>
      <c r="AM682" s="22"/>
      <c r="AN682" s="22"/>
      <c r="AO682" s="22"/>
      <c r="AP682" s="22"/>
      <c r="AQ682" s="22"/>
      <c r="AR682" s="22"/>
      <c r="AS682" s="22"/>
      <c r="AT682" s="170"/>
      <c r="AU682" s="170"/>
      <c r="AV682" s="170"/>
      <c r="AW682" s="170"/>
      <c r="AX682" s="170"/>
      <c r="AY682" s="170"/>
      <c r="AZ682" s="170"/>
      <c r="BA682" s="170"/>
      <c r="BB682" s="170"/>
      <c r="BC682" s="170"/>
      <c r="BD682" s="170"/>
      <c r="BE682" s="137" t="s">
        <v>115</v>
      </c>
      <c r="BF682" s="137" t="s">
        <v>1128</v>
      </c>
      <c r="BG682" s="139" t="s">
        <v>1129</v>
      </c>
      <c r="BH682" s="220"/>
      <c r="BI682" s="220"/>
      <c r="BJ682" s="220"/>
      <c r="BK682" s="46">
        <f t="shared" si="1"/>
        <v>1</v>
      </c>
      <c r="BL682" s="46"/>
      <c r="BM682" s="46"/>
      <c r="BN682" s="46"/>
    </row>
    <row r="683" spans="1:66" ht="102" hidden="1" customHeight="1">
      <c r="A683" s="22">
        <v>681</v>
      </c>
      <c r="B683" s="22" t="s">
        <v>2039</v>
      </c>
      <c r="C683" s="22" t="str">
        <f t="shared" si="0"/>
        <v>Dried Blood Spot (DBS) anti-HCV test</v>
      </c>
      <c r="D683" s="24" t="s">
        <v>2039</v>
      </c>
      <c r="E683" s="22" t="s">
        <v>96</v>
      </c>
      <c r="F683" s="24" t="s">
        <v>1787</v>
      </c>
      <c r="G683" s="24" t="s">
        <v>2013</v>
      </c>
      <c r="H683" s="24"/>
      <c r="I683" s="24">
        <v>1</v>
      </c>
      <c r="J683" s="24" t="s">
        <v>1767</v>
      </c>
      <c r="K683" s="24"/>
      <c r="L683" s="24"/>
      <c r="M683" s="24"/>
      <c r="N683" s="24"/>
      <c r="O683" s="24"/>
      <c r="P683" s="164"/>
      <c r="Q683" s="164"/>
      <c r="R683" s="162" t="s">
        <v>2039</v>
      </c>
      <c r="S683" s="163" t="s">
        <v>2047</v>
      </c>
      <c r="T683" s="163" t="s">
        <v>2048</v>
      </c>
      <c r="U683" s="163" t="s">
        <v>202</v>
      </c>
      <c r="V683" s="163"/>
      <c r="W683" s="163"/>
      <c r="X683" s="164"/>
      <c r="Y683" s="164"/>
      <c r="Z683" s="24"/>
      <c r="AA683" s="164"/>
      <c r="AB683" s="194" t="s">
        <v>113</v>
      </c>
      <c r="AC683" s="269"/>
      <c r="AD683" s="164"/>
      <c r="AE683" s="24"/>
      <c r="AF683" s="164"/>
      <c r="AG683" s="22"/>
      <c r="AH683" s="45"/>
      <c r="AI683" s="24"/>
      <c r="AJ683" s="164" t="s">
        <v>115</v>
      </c>
      <c r="AK683" s="22"/>
      <c r="AL683" s="22"/>
      <c r="AM683" s="22"/>
      <c r="AN683" s="22"/>
      <c r="AO683" s="22"/>
      <c r="AP683" s="22"/>
      <c r="AQ683" s="22"/>
      <c r="AR683" s="22"/>
      <c r="AS683" s="22"/>
      <c r="AT683" s="164"/>
      <c r="AU683" s="164"/>
      <c r="AV683" s="164"/>
      <c r="AW683" s="164"/>
      <c r="AX683" s="164"/>
      <c r="AY683" s="164"/>
      <c r="AZ683" s="164"/>
      <c r="BA683" s="164"/>
      <c r="BB683" s="164"/>
      <c r="BC683" s="164"/>
      <c r="BD683" s="164"/>
      <c r="BE683" s="143" t="s">
        <v>115</v>
      </c>
      <c r="BF683" s="143" t="s">
        <v>2040</v>
      </c>
      <c r="BG683" s="167" t="s">
        <v>2041</v>
      </c>
      <c r="BH683" s="220"/>
      <c r="BI683" s="220"/>
      <c r="BJ683" s="220"/>
      <c r="BK683" s="46">
        <f t="shared" si="1"/>
        <v>1</v>
      </c>
      <c r="BL683" s="46"/>
      <c r="BM683" s="46"/>
      <c r="BN683" s="46"/>
    </row>
    <row r="684" spans="1:66" ht="14.25" hidden="1" customHeight="1">
      <c r="A684" s="22">
        <v>682</v>
      </c>
      <c r="B684" s="22" t="s">
        <v>1302</v>
      </c>
      <c r="C684" s="22" t="e">
        <f t="shared" ca="1" si="0"/>
        <v>#NAME?</v>
      </c>
      <c r="D684" s="24" t="s">
        <v>1122</v>
      </c>
      <c r="E684" s="22" t="s">
        <v>180</v>
      </c>
      <c r="F684" s="24" t="s">
        <v>2039</v>
      </c>
      <c r="G684" s="24" t="s">
        <v>2013</v>
      </c>
      <c r="H684" s="24"/>
      <c r="I684" s="24">
        <v>1</v>
      </c>
      <c r="J684" s="24" t="s">
        <v>1767</v>
      </c>
      <c r="K684" s="24"/>
      <c r="L684" s="24"/>
      <c r="M684" s="24"/>
      <c r="N684" s="24"/>
      <c r="O684" s="24"/>
      <c r="P684" s="170"/>
      <c r="Q684" s="170"/>
      <c r="R684" s="162"/>
      <c r="S684" s="163"/>
      <c r="T684" s="163"/>
      <c r="U684" s="163"/>
      <c r="V684" s="163"/>
      <c r="W684" s="163" t="s">
        <v>1122</v>
      </c>
      <c r="X684" s="164"/>
      <c r="Y684" s="164"/>
      <c r="Z684" s="24"/>
      <c r="AA684" s="170"/>
      <c r="AB684" s="194"/>
      <c r="AC684" s="251"/>
      <c r="AD684" s="170"/>
      <c r="AE684" s="24"/>
      <c r="AF684" s="170"/>
      <c r="AG684" s="22"/>
      <c r="AH684" s="45"/>
      <c r="AI684" s="24"/>
      <c r="AJ684" s="164"/>
      <c r="AK684" s="22"/>
      <c r="AL684" s="22"/>
      <c r="AM684" s="22"/>
      <c r="AN684" s="22"/>
      <c r="AO684" s="22"/>
      <c r="AP684" s="22"/>
      <c r="AQ684" s="22"/>
      <c r="AR684" s="22"/>
      <c r="AS684" s="22"/>
      <c r="AT684" s="170"/>
      <c r="AU684" s="170"/>
      <c r="AV684" s="170"/>
      <c r="AW684" s="170"/>
      <c r="AX684" s="170"/>
      <c r="AY684" s="170"/>
      <c r="AZ684" s="170"/>
      <c r="BA684" s="170"/>
      <c r="BB684" s="170"/>
      <c r="BC684" s="170"/>
      <c r="BD684" s="170"/>
      <c r="BE684" s="137" t="s">
        <v>115</v>
      </c>
      <c r="BF684" s="137" t="s">
        <v>1897</v>
      </c>
      <c r="BG684" s="139" t="s">
        <v>1125</v>
      </c>
      <c r="BH684" s="220"/>
      <c r="BI684" s="220"/>
      <c r="BJ684" s="220"/>
      <c r="BK684" s="46">
        <f t="shared" si="1"/>
        <v>1</v>
      </c>
      <c r="BL684" s="46"/>
      <c r="BM684" s="46"/>
      <c r="BN684" s="46"/>
    </row>
    <row r="685" spans="1:66" ht="12.75" hidden="1" customHeight="1">
      <c r="A685" s="22">
        <v>683</v>
      </c>
      <c r="B685" s="22" t="s">
        <v>1305</v>
      </c>
      <c r="C685" s="22" t="e">
        <f t="shared" ca="1" si="0"/>
        <v>#NAME?</v>
      </c>
      <c r="D685" s="24" t="s">
        <v>1126</v>
      </c>
      <c r="E685" s="22" t="s">
        <v>180</v>
      </c>
      <c r="F685" s="24" t="s">
        <v>2039</v>
      </c>
      <c r="G685" s="24" t="s">
        <v>2013</v>
      </c>
      <c r="H685" s="24"/>
      <c r="I685" s="24">
        <v>1</v>
      </c>
      <c r="J685" s="24" t="s">
        <v>1767</v>
      </c>
      <c r="K685" s="24"/>
      <c r="L685" s="24"/>
      <c r="M685" s="24"/>
      <c r="N685" s="24"/>
      <c r="O685" s="24"/>
      <c r="P685" s="170"/>
      <c r="Q685" s="170"/>
      <c r="R685" s="162"/>
      <c r="S685" s="163"/>
      <c r="T685" s="163"/>
      <c r="U685" s="163"/>
      <c r="V685" s="163"/>
      <c r="W685" s="163" t="s">
        <v>1126</v>
      </c>
      <c r="X685" s="164"/>
      <c r="Y685" s="164"/>
      <c r="Z685" s="24"/>
      <c r="AA685" s="170"/>
      <c r="AB685" s="194"/>
      <c r="AC685" s="251"/>
      <c r="AD685" s="170"/>
      <c r="AE685" s="24"/>
      <c r="AF685" s="170"/>
      <c r="AG685" s="22"/>
      <c r="AH685" s="45"/>
      <c r="AI685" s="24"/>
      <c r="AJ685" s="164"/>
      <c r="AK685" s="22"/>
      <c r="AL685" s="22"/>
      <c r="AM685" s="22"/>
      <c r="AN685" s="22"/>
      <c r="AO685" s="22"/>
      <c r="AP685" s="22"/>
      <c r="AQ685" s="22"/>
      <c r="AR685" s="22"/>
      <c r="AS685" s="22"/>
      <c r="AT685" s="170"/>
      <c r="AU685" s="170"/>
      <c r="AV685" s="170"/>
      <c r="AW685" s="170"/>
      <c r="AX685" s="170"/>
      <c r="AY685" s="170"/>
      <c r="AZ685" s="170"/>
      <c r="BA685" s="170"/>
      <c r="BB685" s="170"/>
      <c r="BC685" s="170"/>
      <c r="BD685" s="170"/>
      <c r="BE685" s="137" t="s">
        <v>115</v>
      </c>
      <c r="BF685" s="137" t="s">
        <v>1128</v>
      </c>
      <c r="BG685" s="139" t="s">
        <v>1129</v>
      </c>
      <c r="BH685" s="220"/>
      <c r="BI685" s="220"/>
      <c r="BJ685" s="220"/>
      <c r="BK685" s="46">
        <f t="shared" si="1"/>
        <v>1</v>
      </c>
      <c r="BL685" s="46"/>
      <c r="BM685" s="46"/>
      <c r="BN685" s="46"/>
    </row>
    <row r="686" spans="1:66" ht="12.75" hidden="1" customHeight="1">
      <c r="A686" s="22">
        <v>684</v>
      </c>
      <c r="B686" s="22" t="s">
        <v>2050</v>
      </c>
      <c r="C686" s="22" t="str">
        <f t="shared" si="0"/>
        <v>hepc_positive</v>
      </c>
      <c r="D686" s="24" t="s">
        <v>2050</v>
      </c>
      <c r="E686" s="22" t="s">
        <v>65</v>
      </c>
      <c r="F686" s="24" t="s">
        <v>1787</v>
      </c>
      <c r="G686" s="24" t="s">
        <v>2013</v>
      </c>
      <c r="H686" s="24"/>
      <c r="I686" s="24">
        <v>1</v>
      </c>
      <c r="J686" s="24" t="s">
        <v>1767</v>
      </c>
      <c r="K686" s="24"/>
      <c r="L686" s="24"/>
      <c r="M686" s="24"/>
      <c r="N686" s="24"/>
      <c r="O686" s="24"/>
      <c r="P686" s="170"/>
      <c r="Q686" s="170"/>
      <c r="R686" s="178" t="s">
        <v>2051</v>
      </c>
      <c r="S686" s="170" t="s">
        <v>2050</v>
      </c>
      <c r="T686" s="170" t="s">
        <v>2052</v>
      </c>
      <c r="U686" s="170" t="s">
        <v>65</v>
      </c>
      <c r="V686" s="170"/>
      <c r="W686" s="170"/>
      <c r="X686" s="170" t="s">
        <v>2053</v>
      </c>
      <c r="Y686" s="225"/>
      <c r="Z686" s="24"/>
      <c r="AA686" s="170"/>
      <c r="AB686" s="170" t="s">
        <v>115</v>
      </c>
      <c r="AC686" s="251"/>
      <c r="AD686" s="170"/>
      <c r="AE686" s="24"/>
      <c r="AF686" s="170"/>
      <c r="AG686" s="22"/>
      <c r="AH686" s="45"/>
      <c r="AI686" s="24"/>
      <c r="AJ686" s="221" t="s">
        <v>115</v>
      </c>
      <c r="AK686" s="22"/>
      <c r="AL686" s="22"/>
      <c r="AM686" s="22"/>
      <c r="AN686" s="22"/>
      <c r="AO686" s="22"/>
      <c r="AP686" s="22"/>
      <c r="AQ686" s="22"/>
      <c r="AR686" s="22"/>
      <c r="AS686" s="22"/>
      <c r="AT686" s="170"/>
      <c r="AU686" s="170"/>
      <c r="AV686" s="170"/>
      <c r="AW686" s="170"/>
      <c r="AX686" s="170"/>
      <c r="AY686" s="170"/>
      <c r="AZ686" s="170"/>
      <c r="BA686" s="170"/>
      <c r="BB686" s="170"/>
      <c r="BC686" s="170"/>
      <c r="BD686" s="170"/>
      <c r="BE686" s="137" t="s">
        <v>115</v>
      </c>
      <c r="BF686" s="143" t="s">
        <v>2054</v>
      </c>
      <c r="BG686" s="139" t="s">
        <v>2055</v>
      </c>
      <c r="BH686" s="220"/>
      <c r="BI686" s="220"/>
      <c r="BJ686" s="220"/>
      <c r="BK686" s="46">
        <f t="shared" si="1"/>
        <v>1</v>
      </c>
      <c r="BL686" s="46"/>
      <c r="BM686" s="46"/>
      <c r="BN686" s="46"/>
    </row>
    <row r="687" spans="1:66" ht="12.75" hidden="1" customHeight="1">
      <c r="A687" s="22">
        <v>685</v>
      </c>
      <c r="B687" s="22" t="s">
        <v>2056</v>
      </c>
      <c r="C687" s="22" t="str">
        <f t="shared" si="0"/>
        <v>Syphilis test</v>
      </c>
      <c r="D687" s="24" t="s">
        <v>2056</v>
      </c>
      <c r="E687" s="22" t="s">
        <v>96</v>
      </c>
      <c r="F687" s="24" t="s">
        <v>1787</v>
      </c>
      <c r="G687" s="24" t="s">
        <v>2057</v>
      </c>
      <c r="H687" s="24"/>
      <c r="I687" s="24">
        <v>1</v>
      </c>
      <c r="J687" s="24" t="s">
        <v>1767</v>
      </c>
      <c r="K687" s="24"/>
      <c r="L687" s="24"/>
      <c r="M687" s="24"/>
      <c r="N687" s="24"/>
      <c r="O687" s="24"/>
      <c r="P687" s="170"/>
      <c r="Q687" s="170"/>
      <c r="R687" s="162" t="s">
        <v>2056</v>
      </c>
      <c r="S687" s="163" t="s">
        <v>2058</v>
      </c>
      <c r="T687" s="163" t="s">
        <v>2059</v>
      </c>
      <c r="U687" s="163" t="s">
        <v>202</v>
      </c>
      <c r="V687" s="163"/>
      <c r="W687" s="163"/>
      <c r="X687" s="164"/>
      <c r="Y687" s="164"/>
      <c r="Z687" s="24"/>
      <c r="AA687" s="170"/>
      <c r="AB687" s="163" t="s">
        <v>113</v>
      </c>
      <c r="AC687" s="251"/>
      <c r="AD687" s="170"/>
      <c r="AE687" s="24"/>
      <c r="AF687" s="170"/>
      <c r="AG687" s="22"/>
      <c r="AH687" s="45"/>
      <c r="AI687" s="24"/>
      <c r="AJ687" s="164" t="s">
        <v>1901</v>
      </c>
      <c r="AK687" s="22"/>
      <c r="AL687" s="22"/>
      <c r="AM687" s="22"/>
      <c r="AN687" s="22"/>
      <c r="AO687" s="22"/>
      <c r="AP687" s="22"/>
      <c r="AQ687" s="22"/>
      <c r="AR687" s="22"/>
      <c r="AS687" s="22"/>
      <c r="AT687" s="170"/>
      <c r="AU687" s="170"/>
      <c r="AV687" s="170"/>
      <c r="AW687" s="170"/>
      <c r="AX687" s="170"/>
      <c r="AY687" s="170"/>
      <c r="AZ687" s="170"/>
      <c r="BA687" s="170"/>
      <c r="BB687" s="170"/>
      <c r="BC687" s="170"/>
      <c r="BD687" s="170"/>
      <c r="BE687" s="137" t="s">
        <v>2060</v>
      </c>
      <c r="BF687" s="143" t="s">
        <v>1773</v>
      </c>
      <c r="BG687" s="139" t="s">
        <v>1774</v>
      </c>
      <c r="BH687" s="220"/>
      <c r="BI687" s="220"/>
      <c r="BJ687" s="220"/>
      <c r="BK687" s="46">
        <f t="shared" si="1"/>
        <v>1</v>
      </c>
      <c r="BL687" s="46"/>
      <c r="BM687" s="46"/>
      <c r="BN687" s="46"/>
    </row>
    <row r="688" spans="1:66" ht="12.75" hidden="1" customHeight="1">
      <c r="A688" s="22">
        <v>686</v>
      </c>
      <c r="B688" s="22" t="s">
        <v>2651</v>
      </c>
      <c r="C688" s="22" t="e">
        <f t="shared" ca="1" si="0"/>
        <v>#NAME?</v>
      </c>
      <c r="D688" s="24" t="s">
        <v>1775</v>
      </c>
      <c r="E688" s="22" t="s">
        <v>180</v>
      </c>
      <c r="F688" s="24" t="s">
        <v>2056</v>
      </c>
      <c r="G688" s="24" t="s">
        <v>2057</v>
      </c>
      <c r="H688" s="24"/>
      <c r="I688" s="24">
        <v>1</v>
      </c>
      <c r="J688" s="24" t="s">
        <v>1767</v>
      </c>
      <c r="K688" s="24"/>
      <c r="L688" s="24"/>
      <c r="M688" s="24"/>
      <c r="N688" s="24"/>
      <c r="O688" s="24"/>
      <c r="P688" s="170"/>
      <c r="Q688" s="170"/>
      <c r="R688" s="162"/>
      <c r="S688" s="163"/>
      <c r="T688" s="163"/>
      <c r="U688" s="163"/>
      <c r="V688" s="163"/>
      <c r="W688" s="163" t="s">
        <v>1775</v>
      </c>
      <c r="X688" s="164"/>
      <c r="Y688" s="164"/>
      <c r="Z688" s="24"/>
      <c r="AA688" s="170"/>
      <c r="AB688" s="163"/>
      <c r="AC688" s="251"/>
      <c r="AD688" s="170"/>
      <c r="AE688" s="24"/>
      <c r="AF688" s="170"/>
      <c r="AG688" s="22"/>
      <c r="AH688" s="45"/>
      <c r="AI688" s="24"/>
      <c r="AJ688" s="196"/>
      <c r="AK688" s="22"/>
      <c r="AL688" s="22"/>
      <c r="AM688" s="22"/>
      <c r="AN688" s="22"/>
      <c r="AO688" s="22"/>
      <c r="AP688" s="22"/>
      <c r="AQ688" s="22"/>
      <c r="AR688" s="22"/>
      <c r="AS688" s="22"/>
      <c r="AT688" s="170"/>
      <c r="AU688" s="170"/>
      <c r="AV688" s="170"/>
      <c r="AW688" s="170"/>
      <c r="AX688" s="170"/>
      <c r="AY688" s="170"/>
      <c r="AZ688" s="170"/>
      <c r="BA688" s="170"/>
      <c r="BB688" s="170"/>
      <c r="BC688" s="170"/>
      <c r="BD688" s="170"/>
      <c r="BE688" s="137" t="s">
        <v>115</v>
      </c>
      <c r="BF688" s="137" t="s">
        <v>1777</v>
      </c>
      <c r="BG688" s="139" t="s">
        <v>1778</v>
      </c>
      <c r="BH688" s="220"/>
      <c r="BI688" s="220"/>
      <c r="BJ688" s="220"/>
      <c r="BK688" s="46">
        <f t="shared" si="1"/>
        <v>1</v>
      </c>
      <c r="BL688" s="46"/>
      <c r="BM688" s="46"/>
      <c r="BN688" s="46"/>
    </row>
    <row r="689" spans="1:66" ht="12.75" hidden="1" customHeight="1">
      <c r="A689" s="22">
        <v>687</v>
      </c>
      <c r="B689" s="22" t="s">
        <v>2655</v>
      </c>
      <c r="C689" s="22" t="e">
        <f t="shared" ca="1" si="0"/>
        <v>#NAME?</v>
      </c>
      <c r="D689" s="24" t="s">
        <v>1779</v>
      </c>
      <c r="E689" s="22" t="s">
        <v>180</v>
      </c>
      <c r="F689" s="24" t="s">
        <v>2056</v>
      </c>
      <c r="G689" s="24" t="s">
        <v>2057</v>
      </c>
      <c r="H689" s="24"/>
      <c r="I689" s="24">
        <v>1</v>
      </c>
      <c r="J689" s="24" t="s">
        <v>1767</v>
      </c>
      <c r="K689" s="24"/>
      <c r="L689" s="24"/>
      <c r="M689" s="24"/>
      <c r="N689" s="24"/>
      <c r="O689" s="24"/>
      <c r="P689" s="170"/>
      <c r="Q689" s="170"/>
      <c r="R689" s="162"/>
      <c r="S689" s="163"/>
      <c r="T689" s="163"/>
      <c r="U689" s="163"/>
      <c r="V689" s="193"/>
      <c r="W689" s="194" t="s">
        <v>1779</v>
      </c>
      <c r="X689" s="164"/>
      <c r="Y689" s="164"/>
      <c r="Z689" s="24"/>
      <c r="AA689" s="170"/>
      <c r="AB689" s="163"/>
      <c r="AC689" s="251"/>
      <c r="AD689" s="170"/>
      <c r="AE689" s="24"/>
      <c r="AF689" s="170"/>
      <c r="AG689" s="22"/>
      <c r="AH689" s="45"/>
      <c r="AI689" s="24"/>
      <c r="AJ689" s="196"/>
      <c r="AK689" s="22"/>
      <c r="AL689" s="22"/>
      <c r="AM689" s="22"/>
      <c r="AN689" s="22"/>
      <c r="AO689" s="22"/>
      <c r="AP689" s="22"/>
      <c r="AQ689" s="22"/>
      <c r="AR689" s="22"/>
      <c r="AS689" s="22"/>
      <c r="AT689" s="170"/>
      <c r="AU689" s="170"/>
      <c r="AV689" s="170"/>
      <c r="AW689" s="170"/>
      <c r="AX689" s="170"/>
      <c r="AY689" s="170"/>
      <c r="AZ689" s="170"/>
      <c r="BA689" s="170"/>
      <c r="BB689" s="170"/>
      <c r="BC689" s="170"/>
      <c r="BD689" s="170"/>
      <c r="BE689" s="137" t="s">
        <v>115</v>
      </c>
      <c r="BF689" s="137" t="s">
        <v>1781</v>
      </c>
      <c r="BG689" s="139" t="s">
        <v>1782</v>
      </c>
      <c r="BH689" s="220"/>
      <c r="BI689" s="220"/>
      <c r="BJ689" s="220"/>
      <c r="BK689" s="46">
        <f t="shared" si="1"/>
        <v>1</v>
      </c>
      <c r="BL689" s="46"/>
      <c r="BM689" s="46"/>
      <c r="BN689" s="46"/>
    </row>
    <row r="690" spans="1:66" ht="12.75" hidden="1" customHeight="1">
      <c r="A690" s="22">
        <v>688</v>
      </c>
      <c r="B690" s="22" t="s">
        <v>2661</v>
      </c>
      <c r="C690" s="22" t="e">
        <f t="shared" ca="1" si="0"/>
        <v>#NAME?</v>
      </c>
      <c r="D690" s="24" t="s">
        <v>1783</v>
      </c>
      <c r="E690" s="22" t="s">
        <v>180</v>
      </c>
      <c r="F690" s="24" t="s">
        <v>2056</v>
      </c>
      <c r="G690" s="24" t="s">
        <v>2057</v>
      </c>
      <c r="H690" s="24"/>
      <c r="I690" s="24">
        <v>1</v>
      </c>
      <c r="J690" s="24" t="s">
        <v>1767</v>
      </c>
      <c r="K690" s="24"/>
      <c r="L690" s="24"/>
      <c r="M690" s="24"/>
      <c r="N690" s="24"/>
      <c r="O690" s="24"/>
      <c r="P690" s="170"/>
      <c r="Q690" s="170"/>
      <c r="R690" s="162"/>
      <c r="S690" s="163"/>
      <c r="T690" s="163"/>
      <c r="U690" s="163"/>
      <c r="V690" s="193"/>
      <c r="W690" s="194" t="s">
        <v>1783</v>
      </c>
      <c r="X690" s="164"/>
      <c r="Y690" s="164"/>
      <c r="Z690" s="24"/>
      <c r="AA690" s="170"/>
      <c r="AB690" s="163"/>
      <c r="AC690" s="251"/>
      <c r="AD690" s="170"/>
      <c r="AE690" s="24"/>
      <c r="AF690" s="170"/>
      <c r="AG690" s="22"/>
      <c r="AH690" s="45"/>
      <c r="AI690" s="24"/>
      <c r="AJ690" s="196"/>
      <c r="AK690" s="22"/>
      <c r="AL690" s="22"/>
      <c r="AM690" s="22"/>
      <c r="AN690" s="22"/>
      <c r="AO690" s="22"/>
      <c r="AP690" s="22"/>
      <c r="AQ690" s="22"/>
      <c r="AR690" s="22"/>
      <c r="AS690" s="22"/>
      <c r="AT690" s="170"/>
      <c r="AU690" s="170"/>
      <c r="AV690" s="170"/>
      <c r="AW690" s="170"/>
      <c r="AX690" s="170"/>
      <c r="AY690" s="170"/>
      <c r="AZ690" s="170"/>
      <c r="BA690" s="170"/>
      <c r="BB690" s="170"/>
      <c r="BC690" s="170"/>
      <c r="BD690" s="170"/>
      <c r="BE690" s="137" t="s">
        <v>115</v>
      </c>
      <c r="BF690" s="137" t="s">
        <v>1784</v>
      </c>
      <c r="BG690" s="167" t="s">
        <v>1785</v>
      </c>
      <c r="BH690" s="220"/>
      <c r="BI690" s="220"/>
      <c r="BJ690" s="220"/>
      <c r="BK690" s="46">
        <f t="shared" si="1"/>
        <v>1</v>
      </c>
      <c r="BL690" s="46"/>
      <c r="BM690" s="46"/>
      <c r="BN690" s="46"/>
    </row>
    <row r="691" spans="1:66" ht="12.75" hidden="1" customHeight="1">
      <c r="A691" s="22">
        <v>689</v>
      </c>
      <c r="B691" s="22" t="s">
        <v>2118</v>
      </c>
      <c r="C691" s="22" t="e">
        <f t="shared" ca="1" si="0"/>
        <v>#NAME?</v>
      </c>
      <c r="D691" s="24" t="s">
        <v>1468</v>
      </c>
      <c r="E691" s="22" t="s">
        <v>180</v>
      </c>
      <c r="F691" s="24" t="s">
        <v>2056</v>
      </c>
      <c r="G691" s="24" t="s">
        <v>2057</v>
      </c>
      <c r="H691" s="24"/>
      <c r="I691" s="24">
        <v>1</v>
      </c>
      <c r="J691" s="24" t="s">
        <v>1767</v>
      </c>
      <c r="K691" s="24"/>
      <c r="L691" s="24"/>
      <c r="M691" s="24"/>
      <c r="N691" s="24"/>
      <c r="O691" s="24"/>
      <c r="P691" s="170"/>
      <c r="Q691" s="170"/>
      <c r="R691" s="162"/>
      <c r="S691" s="163"/>
      <c r="T691" s="163"/>
      <c r="U691" s="163"/>
      <c r="V691" s="193"/>
      <c r="W691" s="194" t="s">
        <v>1468</v>
      </c>
      <c r="X691" s="164"/>
      <c r="Y691" s="164"/>
      <c r="Z691" s="24"/>
      <c r="AA691" s="170"/>
      <c r="AB691" s="163"/>
      <c r="AC691" s="251"/>
      <c r="AD691" s="170"/>
      <c r="AE691" s="24"/>
      <c r="AF691" s="170"/>
      <c r="AG691" s="22"/>
      <c r="AH691" s="45"/>
      <c r="AI691" s="24"/>
      <c r="AJ691" s="196"/>
      <c r="AK691" s="22"/>
      <c r="AL691" s="22"/>
      <c r="AM691" s="22"/>
      <c r="AN691" s="22"/>
      <c r="AO691" s="22"/>
      <c r="AP691" s="22"/>
      <c r="AQ691" s="22"/>
      <c r="AR691" s="22"/>
      <c r="AS691" s="22"/>
      <c r="AT691" s="170"/>
      <c r="AU691" s="170"/>
      <c r="AV691" s="170"/>
      <c r="AW691" s="170"/>
      <c r="AX691" s="170"/>
      <c r="AY691" s="170"/>
      <c r="AZ691" s="170"/>
      <c r="BA691" s="170"/>
      <c r="BB691" s="170"/>
      <c r="BC691" s="170"/>
      <c r="BD691" s="170"/>
      <c r="BE691" s="137" t="s">
        <v>115</v>
      </c>
      <c r="BF691" s="137" t="s">
        <v>1469</v>
      </c>
      <c r="BG691" s="167" t="s">
        <v>1470</v>
      </c>
      <c r="BH691" s="220"/>
      <c r="BI691" s="220"/>
      <c r="BJ691" s="220"/>
      <c r="BK691" s="46">
        <f t="shared" si="1"/>
        <v>1</v>
      </c>
      <c r="BL691" s="46"/>
      <c r="BM691" s="46"/>
      <c r="BN691" s="46"/>
    </row>
    <row r="692" spans="1:66" ht="12.75" hidden="1" customHeight="1">
      <c r="A692" s="22">
        <v>690</v>
      </c>
      <c r="B692" s="22" t="s">
        <v>2064</v>
      </c>
      <c r="C692" s="22" t="str">
        <f t="shared" si="0"/>
        <v>Reason Syphilis test not done</v>
      </c>
      <c r="D692" s="24" t="s">
        <v>2064</v>
      </c>
      <c r="E692" s="22" t="s">
        <v>96</v>
      </c>
      <c r="F692" s="24" t="s">
        <v>1787</v>
      </c>
      <c r="G692" s="24" t="s">
        <v>2057</v>
      </c>
      <c r="H692" s="24"/>
      <c r="I692" s="24">
        <v>1</v>
      </c>
      <c r="J692" s="24" t="s">
        <v>1767</v>
      </c>
      <c r="K692" s="24"/>
      <c r="L692" s="24"/>
      <c r="M692" s="24"/>
      <c r="N692" s="24"/>
      <c r="O692" s="24"/>
      <c r="P692" s="170"/>
      <c r="Q692" s="170"/>
      <c r="R692" s="162" t="s">
        <v>1376</v>
      </c>
      <c r="S692" s="163" t="s">
        <v>2065</v>
      </c>
      <c r="T692" s="163" t="s">
        <v>2066</v>
      </c>
      <c r="U692" s="163" t="s">
        <v>238</v>
      </c>
      <c r="V692" s="163"/>
      <c r="W692" s="163"/>
      <c r="X692" s="163"/>
      <c r="Y692" s="163"/>
      <c r="Z692" s="24"/>
      <c r="AA692" s="170"/>
      <c r="AB692" s="163" t="s">
        <v>113</v>
      </c>
      <c r="AC692" s="251"/>
      <c r="AD692" s="170"/>
      <c r="AE692" s="24"/>
      <c r="AF692" s="170"/>
      <c r="AG692" s="22"/>
      <c r="AH692" s="45"/>
      <c r="AI692" s="24"/>
      <c r="AJ692" s="164" t="s">
        <v>115</v>
      </c>
      <c r="AK692" s="22"/>
      <c r="AL692" s="22"/>
      <c r="AM692" s="22"/>
      <c r="AN692" s="22"/>
      <c r="AO692" s="22"/>
      <c r="AP692" s="22"/>
      <c r="AQ692" s="22"/>
      <c r="AR692" s="22"/>
      <c r="AS692" s="22"/>
      <c r="AT692" s="170"/>
      <c r="AU692" s="170"/>
      <c r="AV692" s="170"/>
      <c r="AW692" s="170"/>
      <c r="AX692" s="170"/>
      <c r="AY692" s="170"/>
      <c r="AZ692" s="170"/>
      <c r="BA692" s="170"/>
      <c r="BB692" s="170"/>
      <c r="BC692" s="170"/>
      <c r="BD692" s="170"/>
      <c r="BE692" s="137" t="s">
        <v>2060</v>
      </c>
      <c r="BF692" s="137" t="s">
        <v>1791</v>
      </c>
      <c r="BG692" s="139" t="s">
        <v>1792</v>
      </c>
      <c r="BH692" s="220"/>
      <c r="BI692" s="220"/>
      <c r="BJ692" s="220"/>
      <c r="BK692" s="46">
        <f t="shared" si="1"/>
        <v>1</v>
      </c>
      <c r="BL692" s="46"/>
      <c r="BM692" s="46"/>
      <c r="BN692" s="46"/>
    </row>
    <row r="693" spans="1:66" ht="12.75" hidden="1" customHeight="1">
      <c r="A693" s="22">
        <v>691</v>
      </c>
      <c r="B693" s="22" t="s">
        <v>2870</v>
      </c>
      <c r="C693" s="22" t="e">
        <f t="shared" ca="1" si="0"/>
        <v>#NAME?</v>
      </c>
      <c r="D693" s="24" t="s">
        <v>1909</v>
      </c>
      <c r="E693" s="22" t="s">
        <v>180</v>
      </c>
      <c r="F693" s="24" t="s">
        <v>1376</v>
      </c>
      <c r="G693" s="24" t="s">
        <v>2057</v>
      </c>
      <c r="H693" s="24"/>
      <c r="I693" s="24">
        <v>1</v>
      </c>
      <c r="J693" s="24" t="s">
        <v>1767</v>
      </c>
      <c r="K693" s="24"/>
      <c r="L693" s="24"/>
      <c r="M693" s="24"/>
      <c r="N693" s="24"/>
      <c r="O693" s="24"/>
      <c r="P693" s="170"/>
      <c r="Q693" s="170"/>
      <c r="R693" s="247"/>
      <c r="S693" s="196"/>
      <c r="T693" s="196"/>
      <c r="U693" s="196"/>
      <c r="V693" s="194"/>
      <c r="W693" s="194" t="s">
        <v>1909</v>
      </c>
      <c r="X693" s="196"/>
      <c r="Y693" s="196"/>
      <c r="Z693" s="24"/>
      <c r="AA693" s="170"/>
      <c r="AB693" s="196"/>
      <c r="AC693" s="251"/>
      <c r="AD693" s="170"/>
      <c r="AE693" s="24"/>
      <c r="AF693" s="170"/>
      <c r="AG693" s="22"/>
      <c r="AH693" s="45"/>
      <c r="AI693" s="24"/>
      <c r="AJ693" s="196"/>
      <c r="AK693" s="22"/>
      <c r="AL693" s="22"/>
      <c r="AM693" s="22"/>
      <c r="AN693" s="22"/>
      <c r="AO693" s="22"/>
      <c r="AP693" s="22"/>
      <c r="AQ693" s="22"/>
      <c r="AR693" s="22"/>
      <c r="AS693" s="22"/>
      <c r="AT693" s="170"/>
      <c r="AU693" s="170"/>
      <c r="AV693" s="170"/>
      <c r="AW693" s="170"/>
      <c r="AX693" s="170"/>
      <c r="AY693" s="170"/>
      <c r="AZ693" s="170"/>
      <c r="BA693" s="170"/>
      <c r="BB693" s="170"/>
      <c r="BC693" s="170"/>
      <c r="BD693" s="170"/>
      <c r="BE693" s="143" t="s">
        <v>115</v>
      </c>
      <c r="BF693" s="143" t="s">
        <v>1910</v>
      </c>
      <c r="BG693" s="167" t="s">
        <v>1911</v>
      </c>
      <c r="BH693" s="220"/>
      <c r="BI693" s="220"/>
      <c r="BJ693" s="220"/>
      <c r="BK693" s="46">
        <f t="shared" si="1"/>
        <v>1</v>
      </c>
      <c r="BL693" s="46"/>
      <c r="BM693" s="46"/>
      <c r="BN693" s="46"/>
    </row>
    <row r="694" spans="1:66" ht="12.75" hidden="1" customHeight="1">
      <c r="A694" s="22">
        <v>692</v>
      </c>
      <c r="B694" s="22" t="s">
        <v>2877</v>
      </c>
      <c r="C694" s="22" t="e">
        <f t="shared" ca="1" si="0"/>
        <v>#NAME?</v>
      </c>
      <c r="D694" s="24" t="s">
        <v>1912</v>
      </c>
      <c r="E694" s="22" t="s">
        <v>180</v>
      </c>
      <c r="F694" s="24" t="s">
        <v>1376</v>
      </c>
      <c r="G694" s="24" t="s">
        <v>2057</v>
      </c>
      <c r="H694" s="24"/>
      <c r="I694" s="24">
        <v>1</v>
      </c>
      <c r="J694" s="24" t="s">
        <v>1767</v>
      </c>
      <c r="K694" s="24"/>
      <c r="L694" s="24"/>
      <c r="M694" s="24"/>
      <c r="N694" s="24"/>
      <c r="O694" s="24"/>
      <c r="P694" s="170"/>
      <c r="Q694" s="170"/>
      <c r="R694" s="247"/>
      <c r="S694" s="196"/>
      <c r="T694" s="196"/>
      <c r="U694" s="196"/>
      <c r="V694" s="194"/>
      <c r="W694" s="194" t="s">
        <v>1912</v>
      </c>
      <c r="X694" s="196"/>
      <c r="Y694" s="196"/>
      <c r="Z694" s="24"/>
      <c r="AA694" s="170"/>
      <c r="AB694" s="196"/>
      <c r="AC694" s="251"/>
      <c r="AD694" s="170"/>
      <c r="AE694" s="24"/>
      <c r="AF694" s="170"/>
      <c r="AG694" s="22"/>
      <c r="AH694" s="45"/>
      <c r="AI694" s="24"/>
      <c r="AJ694" s="196"/>
      <c r="AK694" s="22"/>
      <c r="AL694" s="22"/>
      <c r="AM694" s="22"/>
      <c r="AN694" s="22"/>
      <c r="AO694" s="22"/>
      <c r="AP694" s="22"/>
      <c r="AQ694" s="22"/>
      <c r="AR694" s="22"/>
      <c r="AS694" s="22"/>
      <c r="AT694" s="170"/>
      <c r="AU694" s="170"/>
      <c r="AV694" s="170"/>
      <c r="AW694" s="170"/>
      <c r="AX694" s="170"/>
      <c r="AY694" s="170"/>
      <c r="AZ694" s="170"/>
      <c r="BA694" s="170"/>
      <c r="BB694" s="170"/>
      <c r="BC694" s="170"/>
      <c r="BD694" s="170"/>
      <c r="BE694" s="143" t="s">
        <v>115</v>
      </c>
      <c r="BF694" s="143" t="s">
        <v>1913</v>
      </c>
      <c r="BG694" s="167" t="s">
        <v>1914</v>
      </c>
      <c r="BH694" s="220"/>
      <c r="BI694" s="220"/>
      <c r="BJ694" s="220"/>
      <c r="BK694" s="46">
        <f t="shared" si="1"/>
        <v>1</v>
      </c>
      <c r="BL694" s="46"/>
      <c r="BM694" s="46"/>
      <c r="BN694" s="46"/>
    </row>
    <row r="695" spans="1:66" ht="12.75" hidden="1" customHeight="1">
      <c r="A695" s="22">
        <v>693</v>
      </c>
      <c r="B695" s="22" t="s">
        <v>535</v>
      </c>
      <c r="C695" s="22" t="e">
        <f t="shared" ca="1" si="0"/>
        <v>#NAME?</v>
      </c>
      <c r="D695" s="24" t="s">
        <v>405</v>
      </c>
      <c r="E695" s="22" t="s">
        <v>180</v>
      </c>
      <c r="F695" s="24" t="s">
        <v>1376</v>
      </c>
      <c r="G695" s="24" t="s">
        <v>2057</v>
      </c>
      <c r="H695" s="24"/>
      <c r="I695" s="24">
        <v>1</v>
      </c>
      <c r="J695" s="24" t="s">
        <v>1767</v>
      </c>
      <c r="K695" s="24"/>
      <c r="L695" s="24"/>
      <c r="M695" s="24"/>
      <c r="N695" s="24"/>
      <c r="O695" s="24"/>
      <c r="P695" s="170"/>
      <c r="Q695" s="170"/>
      <c r="R695" s="247"/>
      <c r="S695" s="196"/>
      <c r="T695" s="196"/>
      <c r="U695" s="196"/>
      <c r="V695" s="194"/>
      <c r="W695" s="194" t="s">
        <v>405</v>
      </c>
      <c r="X695" s="196"/>
      <c r="Y695" s="196"/>
      <c r="Z695" s="24"/>
      <c r="AA695" s="170"/>
      <c r="AB695" s="196"/>
      <c r="AC695" s="251"/>
      <c r="AD695" s="170"/>
      <c r="AE695" s="24"/>
      <c r="AF695" s="170"/>
      <c r="AG695" s="22"/>
      <c r="AH695" s="45"/>
      <c r="AI695" s="24"/>
      <c r="AJ695" s="196"/>
      <c r="AK695" s="22"/>
      <c r="AL695" s="22"/>
      <c r="AM695" s="22"/>
      <c r="AN695" s="22"/>
      <c r="AO695" s="22"/>
      <c r="AP695" s="22"/>
      <c r="AQ695" s="22"/>
      <c r="AR695" s="22"/>
      <c r="AS695" s="22"/>
      <c r="AT695" s="170"/>
      <c r="AU695" s="170"/>
      <c r="AV695" s="170"/>
      <c r="AW695" s="170"/>
      <c r="AX695" s="170"/>
      <c r="AY695" s="170"/>
      <c r="AZ695" s="170"/>
      <c r="BA695" s="170"/>
      <c r="BB695" s="170"/>
      <c r="BC695" s="170"/>
      <c r="BD695" s="170"/>
      <c r="BE695" s="143" t="s">
        <v>115</v>
      </c>
      <c r="BF695" s="143" t="s">
        <v>406</v>
      </c>
      <c r="BG695" s="167" t="s">
        <v>407</v>
      </c>
      <c r="BH695" s="220"/>
      <c r="BI695" s="220"/>
      <c r="BJ695" s="220"/>
      <c r="BK695" s="46">
        <f t="shared" si="1"/>
        <v>1</v>
      </c>
      <c r="BL695" s="46"/>
      <c r="BM695" s="46"/>
      <c r="BN695" s="46"/>
    </row>
    <row r="696" spans="1:66" ht="14.25" hidden="1" customHeight="1">
      <c r="A696" s="22">
        <v>694</v>
      </c>
      <c r="B696" s="22" t="s">
        <v>2067</v>
      </c>
      <c r="C696" s="22" t="str">
        <f t="shared" si="0"/>
        <v>Specify - Reason Syphilis test not done</v>
      </c>
      <c r="D696" s="24" t="s">
        <v>2067</v>
      </c>
      <c r="E696" s="22" t="s">
        <v>96</v>
      </c>
      <c r="F696" s="24" t="s">
        <v>1787</v>
      </c>
      <c r="G696" s="24" t="s">
        <v>2057</v>
      </c>
      <c r="H696" s="24"/>
      <c r="I696" s="24">
        <v>1</v>
      </c>
      <c r="J696" s="24" t="s">
        <v>1767</v>
      </c>
      <c r="K696" s="24"/>
      <c r="L696" s="24"/>
      <c r="M696" s="24"/>
      <c r="N696" s="24"/>
      <c r="O696" s="24"/>
      <c r="P696" s="170"/>
      <c r="Q696" s="170"/>
      <c r="R696" s="247" t="s">
        <v>409</v>
      </c>
      <c r="S696" s="196" t="s">
        <v>2068</v>
      </c>
      <c r="T696" s="196" t="s">
        <v>2069</v>
      </c>
      <c r="U696" s="196" t="s">
        <v>111</v>
      </c>
      <c r="V696" s="194"/>
      <c r="W696" s="194"/>
      <c r="X696" s="196"/>
      <c r="Y696" s="196"/>
      <c r="Z696" s="24"/>
      <c r="AA696" s="170"/>
      <c r="AB696" s="196" t="s">
        <v>208</v>
      </c>
      <c r="AC696" s="251"/>
      <c r="AD696" s="170"/>
      <c r="AE696" s="24"/>
      <c r="AF696" s="170"/>
      <c r="AG696" s="22"/>
      <c r="AH696" s="45"/>
      <c r="AI696" s="24"/>
      <c r="AJ696" s="196" t="s">
        <v>115</v>
      </c>
      <c r="AK696" s="22"/>
      <c r="AL696" s="22"/>
      <c r="AM696" s="22"/>
      <c r="AN696" s="22"/>
      <c r="AO696" s="22"/>
      <c r="AP696" s="22"/>
      <c r="AQ696" s="22"/>
      <c r="AR696" s="22"/>
      <c r="AS696" s="22"/>
      <c r="AT696" s="170"/>
      <c r="AU696" s="170"/>
      <c r="AV696" s="170"/>
      <c r="AW696" s="170"/>
      <c r="AX696" s="170"/>
      <c r="AY696" s="170"/>
      <c r="AZ696" s="170"/>
      <c r="BA696" s="170"/>
      <c r="BB696" s="170"/>
      <c r="BC696" s="170"/>
      <c r="BD696" s="170"/>
      <c r="BE696" s="143" t="s">
        <v>2060</v>
      </c>
      <c r="BF696" s="143" t="s">
        <v>1800</v>
      </c>
      <c r="BG696" s="167" t="s">
        <v>1801</v>
      </c>
      <c r="BH696" s="220"/>
      <c r="BI696" s="220"/>
      <c r="BJ696" s="220"/>
      <c r="BK696" s="46">
        <f t="shared" si="1"/>
        <v>1</v>
      </c>
      <c r="BL696" s="46"/>
      <c r="BM696" s="46"/>
      <c r="BN696" s="46"/>
    </row>
    <row r="697" spans="1:66" ht="12.75" hidden="1" customHeight="1">
      <c r="A697" s="22">
        <v>695</v>
      </c>
      <c r="B697" s="22" t="s">
        <v>2070</v>
      </c>
      <c r="C697" s="22" t="str">
        <f t="shared" si="0"/>
        <v>Syphilis test date</v>
      </c>
      <c r="D697" s="24" t="s">
        <v>2070</v>
      </c>
      <c r="E697" s="22" t="s">
        <v>96</v>
      </c>
      <c r="F697" s="24" t="s">
        <v>1787</v>
      </c>
      <c r="G697" s="24" t="s">
        <v>2057</v>
      </c>
      <c r="H697" s="24"/>
      <c r="I697" s="24">
        <v>1</v>
      </c>
      <c r="J697" s="24" t="s">
        <v>1767</v>
      </c>
      <c r="K697" s="24"/>
      <c r="L697" s="24"/>
      <c r="M697" s="24"/>
      <c r="N697" s="24"/>
      <c r="O697" s="24"/>
      <c r="P697" s="170"/>
      <c r="Q697" s="170"/>
      <c r="R697" s="247" t="s">
        <v>2070</v>
      </c>
      <c r="S697" s="196" t="s">
        <v>2071</v>
      </c>
      <c r="T697" s="194" t="s">
        <v>2072</v>
      </c>
      <c r="U697" s="194" t="s">
        <v>140</v>
      </c>
      <c r="V697" s="194"/>
      <c r="W697" s="194"/>
      <c r="X697" s="196"/>
      <c r="Y697" s="196"/>
      <c r="Z697" s="24"/>
      <c r="AA697" s="170"/>
      <c r="AB697" s="196" t="s">
        <v>113</v>
      </c>
      <c r="AC697" s="251"/>
      <c r="AD697" s="170"/>
      <c r="AE697" s="24"/>
      <c r="AF697" s="170"/>
      <c r="AG697" s="22"/>
      <c r="AH697" s="45"/>
      <c r="AI697" s="24"/>
      <c r="AJ697" s="194" t="s">
        <v>115</v>
      </c>
      <c r="AK697" s="22"/>
      <c r="AL697" s="22"/>
      <c r="AM697" s="22"/>
      <c r="AN697" s="22"/>
      <c r="AO697" s="22"/>
      <c r="AP697" s="22"/>
      <c r="AQ697" s="22"/>
      <c r="AR697" s="22"/>
      <c r="AS697" s="22"/>
      <c r="AT697" s="170"/>
      <c r="AU697" s="170"/>
      <c r="AV697" s="170"/>
      <c r="AW697" s="170"/>
      <c r="AX697" s="170"/>
      <c r="AY697" s="170"/>
      <c r="AZ697" s="170"/>
      <c r="BA697" s="170"/>
      <c r="BB697" s="170"/>
      <c r="BC697" s="170"/>
      <c r="BD697" s="170"/>
      <c r="BE697" s="143" t="s">
        <v>2060</v>
      </c>
      <c r="BF697" s="143" t="s">
        <v>1804</v>
      </c>
      <c r="BG697" s="167" t="s">
        <v>1805</v>
      </c>
      <c r="BH697" s="220"/>
      <c r="BI697" s="220"/>
      <c r="BJ697" s="220"/>
      <c r="BK697" s="46">
        <f t="shared" si="1"/>
        <v>1</v>
      </c>
      <c r="BL697" s="46"/>
      <c r="BM697" s="46"/>
      <c r="BN697" s="46"/>
    </row>
    <row r="698" spans="1:66" ht="12.75" hidden="1" customHeight="1">
      <c r="A698" s="22">
        <v>696</v>
      </c>
      <c r="B698" s="22" t="s">
        <v>2073</v>
      </c>
      <c r="C698" s="22" t="str">
        <f t="shared" si="0"/>
        <v>Syphilis test type</v>
      </c>
      <c r="D698" s="24" t="s">
        <v>2073</v>
      </c>
      <c r="E698" s="22" t="s">
        <v>96</v>
      </c>
      <c r="F698" s="24" t="s">
        <v>1787</v>
      </c>
      <c r="G698" s="24" t="s">
        <v>2057</v>
      </c>
      <c r="H698" s="24"/>
      <c r="I698" s="24">
        <v>1</v>
      </c>
      <c r="J698" s="24" t="s">
        <v>1767</v>
      </c>
      <c r="K698" s="24"/>
      <c r="L698" s="24"/>
      <c r="M698" s="24"/>
      <c r="N698" s="24"/>
      <c r="O698" s="24"/>
      <c r="P698" s="170"/>
      <c r="Q698" s="170"/>
      <c r="R698" s="247" t="s">
        <v>2073</v>
      </c>
      <c r="S698" s="194" t="s">
        <v>2074</v>
      </c>
      <c r="T698" s="196" t="s">
        <v>2075</v>
      </c>
      <c r="U698" s="196" t="s">
        <v>238</v>
      </c>
      <c r="V698" s="194"/>
      <c r="W698" s="194"/>
      <c r="X698" s="196"/>
      <c r="Y698" s="196"/>
      <c r="Z698" s="24"/>
      <c r="AA698" s="170"/>
      <c r="AB698" s="196" t="s">
        <v>113</v>
      </c>
      <c r="AC698" s="251"/>
      <c r="AD698" s="170"/>
      <c r="AE698" s="24"/>
      <c r="AF698" s="170"/>
      <c r="AG698" s="22"/>
      <c r="AH698" s="45"/>
      <c r="AI698" s="24"/>
      <c r="AJ698" s="196" t="s">
        <v>115</v>
      </c>
      <c r="AK698" s="22"/>
      <c r="AL698" s="22"/>
      <c r="AM698" s="22"/>
      <c r="AN698" s="22"/>
      <c r="AO698" s="22"/>
      <c r="AP698" s="22"/>
      <c r="AQ698" s="22"/>
      <c r="AR698" s="22"/>
      <c r="AS698" s="22"/>
      <c r="AT698" s="170"/>
      <c r="AU698" s="170"/>
      <c r="AV698" s="170"/>
      <c r="AW698" s="170"/>
      <c r="AX698" s="170"/>
      <c r="AY698" s="170"/>
      <c r="AZ698" s="170"/>
      <c r="BA698" s="170"/>
      <c r="BB698" s="170"/>
      <c r="BC698" s="170"/>
      <c r="BD698" s="170"/>
      <c r="BE698" s="143" t="s">
        <v>115</v>
      </c>
      <c r="BF698" s="143" t="s">
        <v>2076</v>
      </c>
      <c r="BG698" s="167" t="s">
        <v>2077</v>
      </c>
      <c r="BH698" s="220"/>
      <c r="BI698" s="220"/>
      <c r="BJ698" s="220"/>
      <c r="BK698" s="46">
        <f t="shared" si="1"/>
        <v>1</v>
      </c>
      <c r="BL698" s="46"/>
      <c r="BM698" s="46"/>
      <c r="BN698" s="46"/>
    </row>
    <row r="699" spans="1:66" ht="12.75" hidden="1" customHeight="1">
      <c r="A699" s="22">
        <v>697</v>
      </c>
      <c r="B699" s="22" t="s">
        <v>3114</v>
      </c>
      <c r="C699" s="22" t="e">
        <f t="shared" ca="1" si="0"/>
        <v>#NAME?</v>
      </c>
      <c r="D699" s="24" t="s">
        <v>2078</v>
      </c>
      <c r="E699" s="22" t="s">
        <v>180</v>
      </c>
      <c r="F699" s="24" t="s">
        <v>2073</v>
      </c>
      <c r="G699" s="24" t="s">
        <v>2057</v>
      </c>
      <c r="H699" s="24"/>
      <c r="I699" s="24">
        <v>1</v>
      </c>
      <c r="J699" s="24" t="s">
        <v>1767</v>
      </c>
      <c r="K699" s="24"/>
      <c r="L699" s="24"/>
      <c r="M699" s="24"/>
      <c r="N699" s="24"/>
      <c r="O699" s="24"/>
      <c r="P699" s="170"/>
      <c r="Q699" s="170"/>
      <c r="R699" s="247"/>
      <c r="S699" s="196"/>
      <c r="T699" s="196"/>
      <c r="U699" s="196"/>
      <c r="V699" s="194"/>
      <c r="W699" s="194" t="s">
        <v>2078</v>
      </c>
      <c r="X699" s="196"/>
      <c r="Y699" s="196"/>
      <c r="Z699" s="24"/>
      <c r="AA699" s="170"/>
      <c r="AB699" s="196"/>
      <c r="AC699" s="251"/>
      <c r="AD699" s="170"/>
      <c r="AE699" s="24"/>
      <c r="AF699" s="170"/>
      <c r="AG699" s="22"/>
      <c r="AH699" s="45"/>
      <c r="AI699" s="24"/>
      <c r="AJ699" s="196"/>
      <c r="AK699" s="22"/>
      <c r="AL699" s="22"/>
      <c r="AM699" s="22"/>
      <c r="AN699" s="22"/>
      <c r="AO699" s="22"/>
      <c r="AP699" s="22"/>
      <c r="AQ699" s="22"/>
      <c r="AR699" s="22"/>
      <c r="AS699" s="22"/>
      <c r="AT699" s="170"/>
      <c r="AU699" s="170"/>
      <c r="AV699" s="170"/>
      <c r="AW699" s="170"/>
      <c r="AX699" s="170"/>
      <c r="AY699" s="170"/>
      <c r="AZ699" s="170"/>
      <c r="BA699" s="170"/>
      <c r="BB699" s="170"/>
      <c r="BC699" s="170"/>
      <c r="BD699" s="170"/>
      <c r="BE699" s="143" t="s">
        <v>115</v>
      </c>
      <c r="BF699" s="143" t="s">
        <v>2079</v>
      </c>
      <c r="BG699" s="167" t="s">
        <v>2080</v>
      </c>
      <c r="BH699" s="220"/>
      <c r="BI699" s="220"/>
      <c r="BJ699" s="220"/>
      <c r="BK699" s="46">
        <f t="shared" si="1"/>
        <v>1</v>
      </c>
      <c r="BL699" s="46"/>
      <c r="BM699" s="46"/>
      <c r="BN699" s="46"/>
    </row>
    <row r="700" spans="1:66" ht="12.75" hidden="1" customHeight="1">
      <c r="A700" s="22">
        <v>698</v>
      </c>
      <c r="B700" s="22" t="s">
        <v>3116</v>
      </c>
      <c r="C700" s="22" t="e">
        <f t="shared" ca="1" si="0"/>
        <v>#NAME?</v>
      </c>
      <c r="D700" s="24" t="s">
        <v>2081</v>
      </c>
      <c r="E700" s="22" t="s">
        <v>180</v>
      </c>
      <c r="F700" s="24" t="s">
        <v>2073</v>
      </c>
      <c r="G700" s="24" t="s">
        <v>2057</v>
      </c>
      <c r="H700" s="24"/>
      <c r="I700" s="24">
        <v>1</v>
      </c>
      <c r="J700" s="24" t="s">
        <v>1767</v>
      </c>
      <c r="K700" s="24"/>
      <c r="L700" s="24"/>
      <c r="M700" s="24"/>
      <c r="N700" s="24"/>
      <c r="O700" s="24"/>
      <c r="P700" s="170"/>
      <c r="Q700" s="170"/>
      <c r="R700" s="247"/>
      <c r="S700" s="196"/>
      <c r="T700" s="196"/>
      <c r="U700" s="196"/>
      <c r="V700" s="194"/>
      <c r="W700" s="194" t="s">
        <v>2081</v>
      </c>
      <c r="X700" s="196"/>
      <c r="Y700" s="196"/>
      <c r="Z700" s="24"/>
      <c r="AA700" s="170"/>
      <c r="AB700" s="196"/>
      <c r="AC700" s="251"/>
      <c r="AD700" s="170"/>
      <c r="AE700" s="24"/>
      <c r="AF700" s="170"/>
      <c r="AG700" s="22"/>
      <c r="AH700" s="45"/>
      <c r="AI700" s="24"/>
      <c r="AJ700" s="196"/>
      <c r="AK700" s="22"/>
      <c r="AL700" s="22"/>
      <c r="AM700" s="22"/>
      <c r="AN700" s="22"/>
      <c r="AO700" s="22"/>
      <c r="AP700" s="22"/>
      <c r="AQ700" s="22"/>
      <c r="AR700" s="22"/>
      <c r="AS700" s="22"/>
      <c r="AT700" s="170"/>
      <c r="AU700" s="170"/>
      <c r="AV700" s="170"/>
      <c r="AW700" s="170"/>
      <c r="AX700" s="170"/>
      <c r="AY700" s="170"/>
      <c r="AZ700" s="170"/>
      <c r="BA700" s="170"/>
      <c r="BB700" s="170"/>
      <c r="BC700" s="170"/>
      <c r="BD700" s="170"/>
      <c r="BE700" s="143" t="s">
        <v>115</v>
      </c>
      <c r="BF700" s="143" t="s">
        <v>2082</v>
      </c>
      <c r="BG700" s="167" t="s">
        <v>2083</v>
      </c>
      <c r="BH700" s="220"/>
      <c r="BI700" s="220"/>
      <c r="BJ700" s="220"/>
      <c r="BK700" s="46">
        <f t="shared" si="1"/>
        <v>1</v>
      </c>
      <c r="BL700" s="46"/>
      <c r="BM700" s="46"/>
      <c r="BN700" s="46"/>
    </row>
    <row r="701" spans="1:66" ht="12.75" hidden="1" customHeight="1">
      <c r="A701" s="22">
        <v>699</v>
      </c>
      <c r="B701" s="22" t="s">
        <v>3126</v>
      </c>
      <c r="C701" s="22" t="e">
        <f t="shared" ca="1" si="0"/>
        <v>#NAME?</v>
      </c>
      <c r="D701" s="24" t="s">
        <v>2084</v>
      </c>
      <c r="E701" s="22" t="s">
        <v>180</v>
      </c>
      <c r="F701" s="24" t="s">
        <v>2073</v>
      </c>
      <c r="G701" s="24" t="s">
        <v>2057</v>
      </c>
      <c r="H701" s="24"/>
      <c r="I701" s="24">
        <v>1</v>
      </c>
      <c r="J701" s="24" t="s">
        <v>1767</v>
      </c>
      <c r="K701" s="24"/>
      <c r="L701" s="24"/>
      <c r="M701" s="24"/>
      <c r="N701" s="24"/>
      <c r="O701" s="24"/>
      <c r="P701" s="170"/>
      <c r="Q701" s="170"/>
      <c r="R701" s="247"/>
      <c r="S701" s="196"/>
      <c r="T701" s="196"/>
      <c r="U701" s="196"/>
      <c r="V701" s="194"/>
      <c r="W701" s="194" t="s">
        <v>2084</v>
      </c>
      <c r="X701" s="196"/>
      <c r="Y701" s="196"/>
      <c r="Z701" s="24"/>
      <c r="AA701" s="170"/>
      <c r="AB701" s="196"/>
      <c r="AC701" s="251"/>
      <c r="AD701" s="170"/>
      <c r="AE701" s="24"/>
      <c r="AF701" s="170"/>
      <c r="AG701" s="22"/>
      <c r="AH701" s="45"/>
      <c r="AI701" s="24"/>
      <c r="AJ701" s="196"/>
      <c r="AK701" s="22"/>
      <c r="AL701" s="22"/>
      <c r="AM701" s="22"/>
      <c r="AN701" s="22"/>
      <c r="AO701" s="22"/>
      <c r="AP701" s="22"/>
      <c r="AQ701" s="22"/>
      <c r="AR701" s="22"/>
      <c r="AS701" s="22"/>
      <c r="AT701" s="170"/>
      <c r="AU701" s="170"/>
      <c r="AV701" s="170"/>
      <c r="AW701" s="170"/>
      <c r="AX701" s="170"/>
      <c r="AY701" s="170"/>
      <c r="AZ701" s="170"/>
      <c r="BA701" s="170"/>
      <c r="BB701" s="170"/>
      <c r="BC701" s="170"/>
      <c r="BD701" s="170"/>
      <c r="BE701" s="143" t="s">
        <v>115</v>
      </c>
      <c r="BF701" s="143" t="s">
        <v>2085</v>
      </c>
      <c r="BG701" s="167" t="s">
        <v>2086</v>
      </c>
      <c r="BH701" s="220"/>
      <c r="BI701" s="220"/>
      <c r="BJ701" s="220"/>
      <c r="BK701" s="46">
        <f t="shared" si="1"/>
        <v>1</v>
      </c>
      <c r="BL701" s="46"/>
      <c r="BM701" s="46"/>
      <c r="BN701" s="46"/>
    </row>
    <row r="702" spans="1:66" ht="12.75" hidden="1" customHeight="1">
      <c r="A702" s="22">
        <v>700</v>
      </c>
      <c r="B702" s="22" t="s">
        <v>2087</v>
      </c>
      <c r="C702" s="22" t="str">
        <f t="shared" si="0"/>
        <v>Rapid syphilis test (RST)</v>
      </c>
      <c r="D702" s="24" t="s">
        <v>2087</v>
      </c>
      <c r="E702" s="22" t="s">
        <v>96</v>
      </c>
      <c r="F702" s="24" t="s">
        <v>1787</v>
      </c>
      <c r="G702" s="24" t="s">
        <v>2057</v>
      </c>
      <c r="H702" s="24"/>
      <c r="I702" s="24">
        <v>1</v>
      </c>
      <c r="J702" s="24" t="s">
        <v>1767</v>
      </c>
      <c r="K702" s="24"/>
      <c r="L702" s="24"/>
      <c r="M702" s="24"/>
      <c r="N702" s="24"/>
      <c r="O702" s="24"/>
      <c r="P702" s="170"/>
      <c r="Q702" s="170"/>
      <c r="R702" s="162" t="s">
        <v>2087</v>
      </c>
      <c r="S702" s="163" t="s">
        <v>2088</v>
      </c>
      <c r="T702" s="163" t="s">
        <v>2089</v>
      </c>
      <c r="U702" s="163" t="s">
        <v>202</v>
      </c>
      <c r="V702" s="163"/>
      <c r="W702" s="163"/>
      <c r="X702" s="164"/>
      <c r="Y702" s="164"/>
      <c r="Z702" s="24"/>
      <c r="AA702" s="170"/>
      <c r="AB702" s="163" t="s">
        <v>113</v>
      </c>
      <c r="AC702" s="251"/>
      <c r="AD702" s="170"/>
      <c r="AE702" s="24"/>
      <c r="AF702" s="170"/>
      <c r="AG702" s="22"/>
      <c r="AH702" s="45"/>
      <c r="AI702" s="24"/>
      <c r="AJ702" s="164" t="s">
        <v>115</v>
      </c>
      <c r="AK702" s="22"/>
      <c r="AL702" s="22"/>
      <c r="AM702" s="22"/>
      <c r="AN702" s="22"/>
      <c r="AO702" s="22"/>
      <c r="AP702" s="22"/>
      <c r="AQ702" s="22"/>
      <c r="AR702" s="22"/>
      <c r="AS702" s="22"/>
      <c r="AT702" s="170"/>
      <c r="AU702" s="170"/>
      <c r="AV702" s="170"/>
      <c r="AW702" s="170"/>
      <c r="AX702" s="170"/>
      <c r="AY702" s="170"/>
      <c r="AZ702" s="170"/>
      <c r="BA702" s="170"/>
      <c r="BB702" s="170"/>
      <c r="BC702" s="170"/>
      <c r="BD702" s="170"/>
      <c r="BE702" s="143" t="s">
        <v>115</v>
      </c>
      <c r="BF702" s="143" t="s">
        <v>2079</v>
      </c>
      <c r="BG702" s="167" t="s">
        <v>2080</v>
      </c>
      <c r="BH702" s="220"/>
      <c r="BI702" s="220"/>
      <c r="BJ702" s="220"/>
      <c r="BK702" s="46">
        <f t="shared" si="1"/>
        <v>1</v>
      </c>
      <c r="BL702" s="46"/>
      <c r="BM702" s="46"/>
      <c r="BN702" s="46"/>
    </row>
    <row r="703" spans="1:66" ht="12.75" hidden="1" customHeight="1">
      <c r="A703" s="22">
        <v>701</v>
      </c>
      <c r="B703" s="22" t="s">
        <v>1302</v>
      </c>
      <c r="C703" s="22" t="e">
        <f t="shared" ca="1" si="0"/>
        <v>#NAME?</v>
      </c>
      <c r="D703" s="24" t="s">
        <v>1122</v>
      </c>
      <c r="E703" s="22" t="s">
        <v>180</v>
      </c>
      <c r="F703" s="24" t="s">
        <v>2087</v>
      </c>
      <c r="G703" s="24" t="s">
        <v>2057</v>
      </c>
      <c r="H703" s="24"/>
      <c r="I703" s="24">
        <v>1</v>
      </c>
      <c r="J703" s="24" t="s">
        <v>1767</v>
      </c>
      <c r="K703" s="24"/>
      <c r="L703" s="24"/>
      <c r="M703" s="24"/>
      <c r="N703" s="24"/>
      <c r="O703" s="24"/>
      <c r="P703" s="170"/>
      <c r="Q703" s="170"/>
      <c r="R703" s="162"/>
      <c r="S703" s="163"/>
      <c r="T703" s="163"/>
      <c r="U703" s="163"/>
      <c r="V703" s="163"/>
      <c r="W703" s="163" t="s">
        <v>1122</v>
      </c>
      <c r="X703" s="164"/>
      <c r="Y703" s="164"/>
      <c r="Z703" s="24"/>
      <c r="AA703" s="170"/>
      <c r="AB703" s="163"/>
      <c r="AC703" s="251"/>
      <c r="AD703" s="170"/>
      <c r="AE703" s="24"/>
      <c r="AF703" s="170"/>
      <c r="AG703" s="22"/>
      <c r="AH703" s="45"/>
      <c r="AI703" s="24"/>
      <c r="AJ703" s="164"/>
      <c r="AK703" s="22"/>
      <c r="AL703" s="22"/>
      <c r="AM703" s="22"/>
      <c r="AN703" s="22"/>
      <c r="AO703" s="22"/>
      <c r="AP703" s="22"/>
      <c r="AQ703" s="22"/>
      <c r="AR703" s="22"/>
      <c r="AS703" s="22"/>
      <c r="AT703" s="170"/>
      <c r="AU703" s="170"/>
      <c r="AV703" s="170"/>
      <c r="AW703" s="170"/>
      <c r="AX703" s="170"/>
      <c r="AY703" s="170"/>
      <c r="AZ703" s="170"/>
      <c r="BA703" s="170"/>
      <c r="BB703" s="170"/>
      <c r="BC703" s="170"/>
      <c r="BD703" s="170"/>
      <c r="BE703" s="143" t="s">
        <v>115</v>
      </c>
      <c r="BF703" s="137" t="s">
        <v>1897</v>
      </c>
      <c r="BG703" s="139" t="s">
        <v>1125</v>
      </c>
      <c r="BH703" s="220"/>
      <c r="BI703" s="220"/>
      <c r="BJ703" s="220"/>
      <c r="BK703" s="46">
        <f t="shared" si="1"/>
        <v>1</v>
      </c>
      <c r="BL703" s="46"/>
      <c r="BM703" s="46"/>
      <c r="BN703" s="46"/>
    </row>
    <row r="704" spans="1:66" ht="12.75" hidden="1" customHeight="1">
      <c r="A704" s="22">
        <v>702</v>
      </c>
      <c r="B704" s="22" t="s">
        <v>1305</v>
      </c>
      <c r="C704" s="22" t="e">
        <f t="shared" ca="1" si="0"/>
        <v>#NAME?</v>
      </c>
      <c r="D704" s="24" t="s">
        <v>1126</v>
      </c>
      <c r="E704" s="22" t="s">
        <v>180</v>
      </c>
      <c r="F704" s="24" t="s">
        <v>2087</v>
      </c>
      <c r="G704" s="24" t="s">
        <v>2057</v>
      </c>
      <c r="H704" s="24"/>
      <c r="I704" s="24">
        <v>1</v>
      </c>
      <c r="J704" s="24" t="s">
        <v>1767</v>
      </c>
      <c r="K704" s="24"/>
      <c r="L704" s="24"/>
      <c r="M704" s="24"/>
      <c r="N704" s="24"/>
      <c r="O704" s="24"/>
      <c r="P704" s="170"/>
      <c r="Q704" s="170"/>
      <c r="R704" s="162"/>
      <c r="S704" s="163"/>
      <c r="T704" s="163"/>
      <c r="U704" s="163"/>
      <c r="V704" s="163"/>
      <c r="W704" s="163" t="s">
        <v>1126</v>
      </c>
      <c r="X704" s="164"/>
      <c r="Y704" s="164"/>
      <c r="Z704" s="24"/>
      <c r="AA704" s="170"/>
      <c r="AB704" s="163"/>
      <c r="AC704" s="251"/>
      <c r="AD704" s="170"/>
      <c r="AE704" s="24"/>
      <c r="AF704" s="170"/>
      <c r="AG704" s="22"/>
      <c r="AH704" s="45"/>
      <c r="AI704" s="24"/>
      <c r="AJ704" s="164"/>
      <c r="AK704" s="22"/>
      <c r="AL704" s="22"/>
      <c r="AM704" s="22"/>
      <c r="AN704" s="22"/>
      <c r="AO704" s="22"/>
      <c r="AP704" s="22"/>
      <c r="AQ704" s="22"/>
      <c r="AR704" s="22"/>
      <c r="AS704" s="22"/>
      <c r="AT704" s="170"/>
      <c r="AU704" s="170"/>
      <c r="AV704" s="170"/>
      <c r="AW704" s="170"/>
      <c r="AX704" s="170"/>
      <c r="AY704" s="170"/>
      <c r="AZ704" s="170"/>
      <c r="BA704" s="170"/>
      <c r="BB704" s="170"/>
      <c r="BC704" s="170"/>
      <c r="BD704" s="170"/>
      <c r="BE704" s="143" t="s">
        <v>115</v>
      </c>
      <c r="BF704" s="137" t="s">
        <v>1128</v>
      </c>
      <c r="BG704" s="139" t="s">
        <v>1129</v>
      </c>
      <c r="BH704" s="220"/>
      <c r="BI704" s="220"/>
      <c r="BJ704" s="220"/>
      <c r="BK704" s="46">
        <f t="shared" si="1"/>
        <v>1</v>
      </c>
      <c r="BL704" s="46"/>
      <c r="BM704" s="46"/>
      <c r="BN704" s="46"/>
    </row>
    <row r="705" spans="1:66" ht="12.75" hidden="1" customHeight="1">
      <c r="A705" s="22">
        <v>703</v>
      </c>
      <c r="B705" s="22" t="s">
        <v>2090</v>
      </c>
      <c r="C705" s="22" t="str">
        <f t="shared" si="0"/>
        <v>Rapid plasma reagin (RPR) test</v>
      </c>
      <c r="D705" s="24" t="s">
        <v>2090</v>
      </c>
      <c r="E705" s="22" t="s">
        <v>96</v>
      </c>
      <c r="F705" s="24" t="s">
        <v>1787</v>
      </c>
      <c r="G705" s="24" t="s">
        <v>2057</v>
      </c>
      <c r="H705" s="24"/>
      <c r="I705" s="24">
        <v>1</v>
      </c>
      <c r="J705" s="24" t="s">
        <v>1767</v>
      </c>
      <c r="K705" s="24"/>
      <c r="L705" s="24"/>
      <c r="M705" s="24"/>
      <c r="N705" s="24"/>
      <c r="O705" s="24"/>
      <c r="P705" s="164"/>
      <c r="Q705" s="164"/>
      <c r="R705" s="162" t="s">
        <v>2090</v>
      </c>
      <c r="S705" s="163" t="s">
        <v>2091</v>
      </c>
      <c r="T705" s="163" t="s">
        <v>2092</v>
      </c>
      <c r="U705" s="163" t="s">
        <v>202</v>
      </c>
      <c r="V705" s="163"/>
      <c r="W705" s="163"/>
      <c r="X705" s="164"/>
      <c r="Y705" s="164"/>
      <c r="Z705" s="24"/>
      <c r="AA705" s="164"/>
      <c r="AB705" s="163" t="s">
        <v>113</v>
      </c>
      <c r="AC705" s="269"/>
      <c r="AD705" s="164"/>
      <c r="AE705" s="24"/>
      <c r="AF705" s="164"/>
      <c r="AG705" s="22"/>
      <c r="AH705" s="45"/>
      <c r="AI705" s="24"/>
      <c r="AJ705" s="164" t="s">
        <v>115</v>
      </c>
      <c r="AK705" s="22"/>
      <c r="AL705" s="22"/>
      <c r="AM705" s="22"/>
      <c r="AN705" s="22"/>
      <c r="AO705" s="22"/>
      <c r="AP705" s="22"/>
      <c r="AQ705" s="22"/>
      <c r="AR705" s="22"/>
      <c r="AS705" s="22"/>
      <c r="AT705" s="164"/>
      <c r="AU705" s="164"/>
      <c r="AV705" s="164"/>
      <c r="AW705" s="164"/>
      <c r="AX705" s="164"/>
      <c r="AY705" s="164"/>
      <c r="AZ705" s="164"/>
      <c r="BA705" s="164"/>
      <c r="BB705" s="164"/>
      <c r="BC705" s="164"/>
      <c r="BD705" s="164"/>
      <c r="BE705" s="143" t="s">
        <v>2060</v>
      </c>
      <c r="BF705" s="143" t="s">
        <v>2082</v>
      </c>
      <c r="BG705" s="167" t="s">
        <v>2083</v>
      </c>
      <c r="BH705" s="220"/>
      <c r="BI705" s="220"/>
      <c r="BJ705" s="220"/>
      <c r="BK705" s="46">
        <f t="shared" si="1"/>
        <v>1</v>
      </c>
      <c r="BL705" s="46"/>
      <c r="BM705" s="46"/>
      <c r="BN705" s="46"/>
    </row>
    <row r="706" spans="1:66" ht="12.75" hidden="1" customHeight="1">
      <c r="A706" s="22">
        <v>704</v>
      </c>
      <c r="B706" s="22" t="s">
        <v>1302</v>
      </c>
      <c r="C706" s="22" t="e">
        <f t="shared" ca="1" si="0"/>
        <v>#NAME?</v>
      </c>
      <c r="D706" s="24" t="s">
        <v>1122</v>
      </c>
      <c r="E706" s="22" t="s">
        <v>180</v>
      </c>
      <c r="F706" s="24" t="s">
        <v>2090</v>
      </c>
      <c r="G706" s="24" t="s">
        <v>2057</v>
      </c>
      <c r="H706" s="24"/>
      <c r="I706" s="24">
        <v>1</v>
      </c>
      <c r="J706" s="24" t="s">
        <v>1767</v>
      </c>
      <c r="K706" s="24"/>
      <c r="L706" s="24"/>
      <c r="M706" s="24"/>
      <c r="N706" s="24"/>
      <c r="O706" s="24"/>
      <c r="P706" s="170"/>
      <c r="Q706" s="170"/>
      <c r="R706" s="162"/>
      <c r="S706" s="163"/>
      <c r="T706" s="163"/>
      <c r="U706" s="163"/>
      <c r="V706" s="163"/>
      <c r="W706" s="163" t="s">
        <v>1122</v>
      </c>
      <c r="X706" s="164"/>
      <c r="Y706" s="164"/>
      <c r="Z706" s="24"/>
      <c r="AA706" s="170"/>
      <c r="AB706" s="163"/>
      <c r="AC706" s="251"/>
      <c r="AD706" s="170"/>
      <c r="AE706" s="24"/>
      <c r="AF706" s="170"/>
      <c r="AG706" s="22"/>
      <c r="AH706" s="45"/>
      <c r="AI706" s="24"/>
      <c r="AJ706" s="164"/>
      <c r="AK706" s="22"/>
      <c r="AL706" s="22"/>
      <c r="AM706" s="22"/>
      <c r="AN706" s="22"/>
      <c r="AO706" s="22"/>
      <c r="AP706" s="22"/>
      <c r="AQ706" s="22"/>
      <c r="AR706" s="22"/>
      <c r="AS706" s="22"/>
      <c r="AT706" s="170"/>
      <c r="AU706" s="170"/>
      <c r="AV706" s="170"/>
      <c r="AW706" s="170"/>
      <c r="AX706" s="170"/>
      <c r="AY706" s="170"/>
      <c r="AZ706" s="170"/>
      <c r="BA706" s="170"/>
      <c r="BB706" s="170"/>
      <c r="BC706" s="170"/>
      <c r="BD706" s="170"/>
      <c r="BE706" s="143" t="s">
        <v>115</v>
      </c>
      <c r="BF706" s="137" t="s">
        <v>1897</v>
      </c>
      <c r="BG706" s="139" t="s">
        <v>1125</v>
      </c>
      <c r="BH706" s="220"/>
      <c r="BI706" s="220"/>
      <c r="BJ706" s="220"/>
      <c r="BK706" s="46">
        <f t="shared" si="1"/>
        <v>1</v>
      </c>
      <c r="BL706" s="46"/>
      <c r="BM706" s="46"/>
      <c r="BN706" s="46"/>
    </row>
    <row r="707" spans="1:66" ht="12.75" hidden="1" customHeight="1">
      <c r="A707" s="22">
        <v>705</v>
      </c>
      <c r="B707" s="22" t="s">
        <v>1305</v>
      </c>
      <c r="C707" s="22" t="e">
        <f t="shared" ca="1" si="0"/>
        <v>#NAME?</v>
      </c>
      <c r="D707" s="24" t="s">
        <v>1126</v>
      </c>
      <c r="E707" s="22" t="s">
        <v>180</v>
      </c>
      <c r="F707" s="24" t="s">
        <v>2090</v>
      </c>
      <c r="G707" s="24" t="s">
        <v>2057</v>
      </c>
      <c r="H707" s="24"/>
      <c r="I707" s="24">
        <v>1</v>
      </c>
      <c r="J707" s="24" t="s">
        <v>1767</v>
      </c>
      <c r="K707" s="24"/>
      <c r="L707" s="24"/>
      <c r="M707" s="24"/>
      <c r="N707" s="24"/>
      <c r="O707" s="24"/>
      <c r="P707" s="170"/>
      <c r="Q707" s="170"/>
      <c r="R707" s="162"/>
      <c r="S707" s="163"/>
      <c r="T707" s="163"/>
      <c r="U707" s="163"/>
      <c r="V707" s="163"/>
      <c r="W707" s="163" t="s">
        <v>1126</v>
      </c>
      <c r="X707" s="164"/>
      <c r="Y707" s="164"/>
      <c r="Z707" s="24"/>
      <c r="AA707" s="170"/>
      <c r="AB707" s="163"/>
      <c r="AC707" s="251"/>
      <c r="AD707" s="170"/>
      <c r="AE707" s="24"/>
      <c r="AF707" s="170"/>
      <c r="AG707" s="22"/>
      <c r="AH707" s="45"/>
      <c r="AI707" s="24"/>
      <c r="AJ707" s="164"/>
      <c r="AK707" s="22"/>
      <c r="AL707" s="22"/>
      <c r="AM707" s="22"/>
      <c r="AN707" s="22"/>
      <c r="AO707" s="22"/>
      <c r="AP707" s="22"/>
      <c r="AQ707" s="22"/>
      <c r="AR707" s="22"/>
      <c r="AS707" s="22"/>
      <c r="AT707" s="170"/>
      <c r="AU707" s="170"/>
      <c r="AV707" s="170"/>
      <c r="AW707" s="170"/>
      <c r="AX707" s="170"/>
      <c r="AY707" s="170"/>
      <c r="AZ707" s="170"/>
      <c r="BA707" s="170"/>
      <c r="BB707" s="170"/>
      <c r="BC707" s="170"/>
      <c r="BD707" s="170"/>
      <c r="BE707" s="143" t="s">
        <v>115</v>
      </c>
      <c r="BF707" s="137" t="s">
        <v>1128</v>
      </c>
      <c r="BG707" s="139" t="s">
        <v>1129</v>
      </c>
      <c r="BH707" s="220"/>
      <c r="BI707" s="220"/>
      <c r="BJ707" s="220"/>
      <c r="BK707" s="46">
        <f t="shared" si="1"/>
        <v>1</v>
      </c>
      <c r="BL707" s="46"/>
      <c r="BM707" s="46"/>
      <c r="BN707" s="46"/>
    </row>
    <row r="708" spans="1:66" ht="12.75" hidden="1" customHeight="1">
      <c r="A708" s="22">
        <v>706</v>
      </c>
      <c r="B708" s="22" t="s">
        <v>2093</v>
      </c>
      <c r="C708" s="22" t="str">
        <f t="shared" si="0"/>
        <v>Off-site lab test for syphilis</v>
      </c>
      <c r="D708" s="24" t="s">
        <v>2093</v>
      </c>
      <c r="E708" s="22" t="s">
        <v>96</v>
      </c>
      <c r="F708" s="24" t="s">
        <v>1787</v>
      </c>
      <c r="G708" s="24" t="s">
        <v>2057</v>
      </c>
      <c r="H708" s="24"/>
      <c r="I708" s="24">
        <v>1</v>
      </c>
      <c r="J708" s="24" t="s">
        <v>1767</v>
      </c>
      <c r="K708" s="24"/>
      <c r="L708" s="24"/>
      <c r="M708" s="24"/>
      <c r="N708" s="24"/>
      <c r="O708" s="24"/>
      <c r="P708" s="170"/>
      <c r="Q708" s="170"/>
      <c r="R708" s="162" t="s">
        <v>2093</v>
      </c>
      <c r="S708" s="163" t="s">
        <v>2094</v>
      </c>
      <c r="T708" s="163" t="s">
        <v>2095</v>
      </c>
      <c r="U708" s="163" t="s">
        <v>202</v>
      </c>
      <c r="V708" s="163"/>
      <c r="W708" s="163"/>
      <c r="X708" s="164"/>
      <c r="Y708" s="164"/>
      <c r="Z708" s="24"/>
      <c r="AA708" s="170"/>
      <c r="AB708" s="163" t="s">
        <v>113</v>
      </c>
      <c r="AC708" s="251"/>
      <c r="AD708" s="170"/>
      <c r="AE708" s="24"/>
      <c r="AF708" s="170"/>
      <c r="AG708" s="22"/>
      <c r="AH708" s="45"/>
      <c r="AI708" s="24"/>
      <c r="AJ708" s="164" t="s">
        <v>115</v>
      </c>
      <c r="AK708" s="22"/>
      <c r="AL708" s="22"/>
      <c r="AM708" s="22"/>
      <c r="AN708" s="22"/>
      <c r="AO708" s="22"/>
      <c r="AP708" s="22"/>
      <c r="AQ708" s="22"/>
      <c r="AR708" s="22"/>
      <c r="AS708" s="22"/>
      <c r="AT708" s="170"/>
      <c r="AU708" s="170"/>
      <c r="AV708" s="170"/>
      <c r="AW708" s="170"/>
      <c r="AX708" s="170"/>
      <c r="AY708" s="170"/>
      <c r="AZ708" s="170"/>
      <c r="BA708" s="170"/>
      <c r="BB708" s="170"/>
      <c r="BC708" s="170"/>
      <c r="BD708" s="170"/>
      <c r="BE708" s="137" t="s">
        <v>115</v>
      </c>
      <c r="BF708" s="143" t="s">
        <v>2085</v>
      </c>
      <c r="BG708" s="139" t="s">
        <v>2086</v>
      </c>
      <c r="BH708" s="220"/>
      <c r="BI708" s="220"/>
      <c r="BJ708" s="220"/>
      <c r="BK708" s="46">
        <f t="shared" si="1"/>
        <v>1</v>
      </c>
      <c r="BL708" s="46"/>
      <c r="BM708" s="46"/>
      <c r="BN708" s="46"/>
    </row>
    <row r="709" spans="1:66" ht="12.75" hidden="1" customHeight="1">
      <c r="A709" s="22">
        <v>707</v>
      </c>
      <c r="B709" s="22" t="s">
        <v>1302</v>
      </c>
      <c r="C709" s="22" t="e">
        <f t="shared" ca="1" si="0"/>
        <v>#NAME?</v>
      </c>
      <c r="D709" s="24" t="s">
        <v>1122</v>
      </c>
      <c r="E709" s="22" t="s">
        <v>180</v>
      </c>
      <c r="F709" s="24" t="s">
        <v>2093</v>
      </c>
      <c r="G709" s="24" t="s">
        <v>2057</v>
      </c>
      <c r="H709" s="24"/>
      <c r="I709" s="24">
        <v>1</v>
      </c>
      <c r="J709" s="24" t="s">
        <v>1767</v>
      </c>
      <c r="K709" s="24"/>
      <c r="L709" s="24"/>
      <c r="M709" s="24"/>
      <c r="N709" s="24"/>
      <c r="O709" s="24"/>
      <c r="P709" s="170"/>
      <c r="Q709" s="170"/>
      <c r="R709" s="162"/>
      <c r="S709" s="163"/>
      <c r="T709" s="163"/>
      <c r="U709" s="163"/>
      <c r="V709" s="163"/>
      <c r="W709" s="163" t="s">
        <v>1122</v>
      </c>
      <c r="X709" s="164"/>
      <c r="Y709" s="164"/>
      <c r="Z709" s="24"/>
      <c r="AA709" s="170"/>
      <c r="AB709" s="163"/>
      <c r="AC709" s="251"/>
      <c r="AD709" s="170"/>
      <c r="AE709" s="24"/>
      <c r="AF709" s="170"/>
      <c r="AG709" s="22"/>
      <c r="AH709" s="45"/>
      <c r="AI709" s="24"/>
      <c r="AJ709" s="164"/>
      <c r="AK709" s="22"/>
      <c r="AL709" s="22"/>
      <c r="AM709" s="22"/>
      <c r="AN709" s="22"/>
      <c r="AO709" s="22"/>
      <c r="AP709" s="22"/>
      <c r="AQ709" s="22"/>
      <c r="AR709" s="22"/>
      <c r="AS709" s="22"/>
      <c r="AT709" s="170"/>
      <c r="AU709" s="170"/>
      <c r="AV709" s="170"/>
      <c r="AW709" s="170"/>
      <c r="AX709" s="170"/>
      <c r="AY709" s="170"/>
      <c r="AZ709" s="170"/>
      <c r="BA709" s="170"/>
      <c r="BB709" s="170"/>
      <c r="BC709" s="170"/>
      <c r="BD709" s="170"/>
      <c r="BE709" s="143" t="s">
        <v>115</v>
      </c>
      <c r="BF709" s="137" t="s">
        <v>1897</v>
      </c>
      <c r="BG709" s="139" t="s">
        <v>1125</v>
      </c>
      <c r="BH709" s="220"/>
      <c r="BI709" s="220"/>
      <c r="BJ709" s="220"/>
      <c r="BK709" s="46">
        <f t="shared" si="1"/>
        <v>1</v>
      </c>
      <c r="BL709" s="46"/>
      <c r="BM709" s="46"/>
      <c r="BN709" s="46"/>
    </row>
    <row r="710" spans="1:66" ht="12.75" hidden="1" customHeight="1">
      <c r="A710" s="22">
        <v>708</v>
      </c>
      <c r="B710" s="22" t="s">
        <v>1305</v>
      </c>
      <c r="C710" s="22" t="e">
        <f t="shared" ca="1" si="0"/>
        <v>#NAME?</v>
      </c>
      <c r="D710" s="24" t="s">
        <v>1126</v>
      </c>
      <c r="E710" s="22" t="s">
        <v>180</v>
      </c>
      <c r="F710" s="24" t="s">
        <v>2093</v>
      </c>
      <c r="G710" s="24" t="s">
        <v>2057</v>
      </c>
      <c r="H710" s="24"/>
      <c r="I710" s="24">
        <v>1</v>
      </c>
      <c r="J710" s="24" t="s">
        <v>1767</v>
      </c>
      <c r="K710" s="24"/>
      <c r="L710" s="24"/>
      <c r="M710" s="24"/>
      <c r="N710" s="24"/>
      <c r="O710" s="24"/>
      <c r="P710" s="170"/>
      <c r="Q710" s="170"/>
      <c r="R710" s="162"/>
      <c r="S710" s="163"/>
      <c r="T710" s="163"/>
      <c r="U710" s="163"/>
      <c r="V710" s="163"/>
      <c r="W710" s="163" t="s">
        <v>1126</v>
      </c>
      <c r="X710" s="164"/>
      <c r="Y710" s="164"/>
      <c r="Z710" s="24"/>
      <c r="AA710" s="170"/>
      <c r="AB710" s="163"/>
      <c r="AC710" s="251"/>
      <c r="AD710" s="170"/>
      <c r="AE710" s="24"/>
      <c r="AF710" s="170"/>
      <c r="AG710" s="22"/>
      <c r="AH710" s="45"/>
      <c r="AI710" s="24"/>
      <c r="AJ710" s="164"/>
      <c r="AK710" s="22"/>
      <c r="AL710" s="22"/>
      <c r="AM710" s="22"/>
      <c r="AN710" s="22"/>
      <c r="AO710" s="22"/>
      <c r="AP710" s="22"/>
      <c r="AQ710" s="22"/>
      <c r="AR710" s="22"/>
      <c r="AS710" s="22"/>
      <c r="AT710" s="170"/>
      <c r="AU710" s="170"/>
      <c r="AV710" s="170"/>
      <c r="AW710" s="170"/>
      <c r="AX710" s="170"/>
      <c r="AY710" s="170"/>
      <c r="AZ710" s="170"/>
      <c r="BA710" s="170"/>
      <c r="BB710" s="170"/>
      <c r="BC710" s="170"/>
      <c r="BD710" s="170"/>
      <c r="BE710" s="143" t="s">
        <v>115</v>
      </c>
      <c r="BF710" s="137" t="s">
        <v>1128</v>
      </c>
      <c r="BG710" s="139" t="s">
        <v>1129</v>
      </c>
      <c r="BH710" s="220"/>
      <c r="BI710" s="220"/>
      <c r="BJ710" s="220"/>
      <c r="BK710" s="46">
        <f t="shared" si="1"/>
        <v>1</v>
      </c>
      <c r="BL710" s="46"/>
      <c r="BM710" s="46"/>
      <c r="BN710" s="46"/>
    </row>
    <row r="711" spans="1:66" ht="12.75" hidden="1" customHeight="1">
      <c r="A711" s="22">
        <v>709</v>
      </c>
      <c r="B711" s="22" t="s">
        <v>2096</v>
      </c>
      <c r="C711" s="22" t="str">
        <f t="shared" si="0"/>
        <v>syphilis_positive</v>
      </c>
      <c r="D711" s="24" t="s">
        <v>2096</v>
      </c>
      <c r="E711" s="22" t="s">
        <v>65</v>
      </c>
      <c r="F711" s="24" t="s">
        <v>1787</v>
      </c>
      <c r="G711" s="24" t="s">
        <v>2057</v>
      </c>
      <c r="H711" s="24"/>
      <c r="I711" s="24">
        <v>1</v>
      </c>
      <c r="J711" s="24" t="s">
        <v>1767</v>
      </c>
      <c r="K711" s="24"/>
      <c r="L711" s="24"/>
      <c r="M711" s="24"/>
      <c r="N711" s="24"/>
      <c r="O711" s="24"/>
      <c r="P711" s="170"/>
      <c r="Q711" s="170"/>
      <c r="R711" s="178" t="s">
        <v>2097</v>
      </c>
      <c r="S711" s="170" t="s">
        <v>2096</v>
      </c>
      <c r="T711" s="170" t="s">
        <v>2098</v>
      </c>
      <c r="U711" s="170" t="s">
        <v>65</v>
      </c>
      <c r="V711" s="170"/>
      <c r="W711" s="170"/>
      <c r="X711" s="170" t="s">
        <v>2099</v>
      </c>
      <c r="Y711" s="225"/>
      <c r="Z711" s="24"/>
      <c r="AA711" s="170"/>
      <c r="AB711" s="170" t="s">
        <v>115</v>
      </c>
      <c r="AC711" s="251"/>
      <c r="AD711" s="170"/>
      <c r="AE711" s="24"/>
      <c r="AF711" s="170"/>
      <c r="AG711" s="22"/>
      <c r="AH711" s="45"/>
      <c r="AI711" s="24"/>
      <c r="AJ711" s="170" t="s">
        <v>115</v>
      </c>
      <c r="AK711" s="22"/>
      <c r="AL711" s="22"/>
      <c r="AM711" s="22"/>
      <c r="AN711" s="22"/>
      <c r="AO711" s="22"/>
      <c r="AP711" s="22"/>
      <c r="AQ711" s="22"/>
      <c r="AR711" s="22"/>
      <c r="AS711" s="22"/>
      <c r="AT711" s="170"/>
      <c r="AU711" s="170"/>
      <c r="AV711" s="170"/>
      <c r="AW711" s="170"/>
      <c r="AX711" s="170"/>
      <c r="AY711" s="170"/>
      <c r="AZ711" s="170"/>
      <c r="BA711" s="170"/>
      <c r="BB711" s="170"/>
      <c r="BC711" s="170"/>
      <c r="BD711" s="170"/>
      <c r="BE711" s="143" t="s">
        <v>115</v>
      </c>
      <c r="BF711" s="143" t="s">
        <v>2100</v>
      </c>
      <c r="BG711" s="139" t="s">
        <v>2101</v>
      </c>
      <c r="BH711" s="220"/>
      <c r="BI711" s="220"/>
      <c r="BJ711" s="220"/>
      <c r="BK711" s="46">
        <f t="shared" si="1"/>
        <v>1</v>
      </c>
      <c r="BL711" s="46"/>
      <c r="BM711" s="46"/>
      <c r="BN711" s="46"/>
    </row>
    <row r="712" spans="1:66" ht="12.75" hidden="1" customHeight="1">
      <c r="A712" s="22">
        <v>710</v>
      </c>
      <c r="B712" s="22" t="s">
        <v>2102</v>
      </c>
      <c r="C712" s="22" t="str">
        <f t="shared" si="0"/>
        <v>Urine test</v>
      </c>
      <c r="D712" s="24" t="s">
        <v>2102</v>
      </c>
      <c r="E712" s="22" t="s">
        <v>96</v>
      </c>
      <c r="F712" s="24" t="s">
        <v>1787</v>
      </c>
      <c r="G712" s="24" t="s">
        <v>2103</v>
      </c>
      <c r="H712" s="24"/>
      <c r="I712" s="24">
        <v>1</v>
      </c>
      <c r="J712" s="24" t="s">
        <v>1767</v>
      </c>
      <c r="K712" s="24"/>
      <c r="L712" s="24"/>
      <c r="M712" s="24"/>
      <c r="N712" s="24"/>
      <c r="O712" s="24"/>
      <c r="P712" s="170"/>
      <c r="Q712" s="170"/>
      <c r="R712" s="162" t="s">
        <v>2102</v>
      </c>
      <c r="S712" s="163" t="s">
        <v>2104</v>
      </c>
      <c r="T712" s="163" t="s">
        <v>2105</v>
      </c>
      <c r="U712" s="163" t="s">
        <v>202</v>
      </c>
      <c r="V712" s="163"/>
      <c r="W712" s="163"/>
      <c r="X712" s="164"/>
      <c r="Y712" s="164"/>
      <c r="Z712" s="24"/>
      <c r="AA712" s="170"/>
      <c r="AB712" s="163" t="s">
        <v>113</v>
      </c>
      <c r="AC712" s="251"/>
      <c r="AD712" s="170"/>
      <c r="AE712" s="24"/>
      <c r="AF712" s="170"/>
      <c r="AG712" s="22"/>
      <c r="AH712" s="45"/>
      <c r="AI712" s="24"/>
      <c r="AJ712" s="164" t="s">
        <v>2106</v>
      </c>
      <c r="AK712" s="22"/>
      <c r="AL712" s="22"/>
      <c r="AM712" s="22"/>
      <c r="AN712" s="22"/>
      <c r="AO712" s="22"/>
      <c r="AP712" s="22"/>
      <c r="AQ712" s="22"/>
      <c r="AR712" s="22"/>
      <c r="AS712" s="22"/>
      <c r="AT712" s="170"/>
      <c r="AU712" s="170"/>
      <c r="AV712" s="170"/>
      <c r="AW712" s="170"/>
      <c r="AX712" s="170"/>
      <c r="AY712" s="170"/>
      <c r="AZ712" s="170"/>
      <c r="BA712" s="170"/>
      <c r="BB712" s="170"/>
      <c r="BC712" s="170"/>
      <c r="BD712" s="170"/>
      <c r="BE712" s="137" t="s">
        <v>2107</v>
      </c>
      <c r="BF712" s="143" t="s">
        <v>1773</v>
      </c>
      <c r="BG712" s="139" t="s">
        <v>1774</v>
      </c>
      <c r="BH712" s="220"/>
      <c r="BI712" s="220"/>
      <c r="BJ712" s="220"/>
      <c r="BK712" s="46">
        <f t="shared" si="1"/>
        <v>1</v>
      </c>
      <c r="BL712" s="46"/>
      <c r="BM712" s="46"/>
      <c r="BN712" s="46"/>
    </row>
    <row r="713" spans="1:66" ht="12.75" hidden="1" customHeight="1">
      <c r="A713" s="22">
        <v>711</v>
      </c>
      <c r="B713" s="22" t="s">
        <v>2651</v>
      </c>
      <c r="C713" s="22" t="e">
        <f t="shared" ca="1" si="0"/>
        <v>#NAME?</v>
      </c>
      <c r="D713" s="24" t="s">
        <v>1775</v>
      </c>
      <c r="E713" s="22" t="s">
        <v>180</v>
      </c>
      <c r="F713" s="24" t="s">
        <v>2102</v>
      </c>
      <c r="G713" s="24" t="s">
        <v>2103</v>
      </c>
      <c r="H713" s="24"/>
      <c r="I713" s="24">
        <v>1</v>
      </c>
      <c r="J713" s="24" t="s">
        <v>1767</v>
      </c>
      <c r="K713" s="24"/>
      <c r="L713" s="24"/>
      <c r="M713" s="24"/>
      <c r="N713" s="24"/>
      <c r="O713" s="24"/>
      <c r="P713" s="170"/>
      <c r="Q713" s="170"/>
      <c r="R713" s="162"/>
      <c r="S713" s="163"/>
      <c r="T713" s="163"/>
      <c r="U713" s="163"/>
      <c r="V713" s="163"/>
      <c r="W713" s="163" t="s">
        <v>1775</v>
      </c>
      <c r="X713" s="163"/>
      <c r="Y713" s="163"/>
      <c r="Z713" s="24"/>
      <c r="AA713" s="170"/>
      <c r="AB713" s="163"/>
      <c r="AC713" s="251"/>
      <c r="AD713" s="170"/>
      <c r="AE713" s="24"/>
      <c r="AF713" s="170"/>
      <c r="AG713" s="22"/>
      <c r="AH713" s="45"/>
      <c r="AI713" s="24"/>
      <c r="AJ713" s="164"/>
      <c r="AK713" s="22"/>
      <c r="AL713" s="22"/>
      <c r="AM713" s="22"/>
      <c r="AN713" s="22"/>
      <c r="AO713" s="22"/>
      <c r="AP713" s="22"/>
      <c r="AQ713" s="22"/>
      <c r="AR713" s="22"/>
      <c r="AS713" s="22"/>
      <c r="AT713" s="170"/>
      <c r="AU713" s="170"/>
      <c r="AV713" s="170"/>
      <c r="AW713" s="170"/>
      <c r="AX713" s="170"/>
      <c r="AY713" s="170"/>
      <c r="AZ713" s="170"/>
      <c r="BA713" s="170"/>
      <c r="BB713" s="170"/>
      <c r="BC713" s="170"/>
      <c r="BD713" s="170"/>
      <c r="BE713" s="137" t="s">
        <v>115</v>
      </c>
      <c r="BF713" s="137" t="s">
        <v>1777</v>
      </c>
      <c r="BG713" s="139" t="s">
        <v>1778</v>
      </c>
      <c r="BH713" s="220"/>
      <c r="BI713" s="220"/>
      <c r="BJ713" s="220"/>
      <c r="BK713" s="46">
        <f t="shared" si="1"/>
        <v>1</v>
      </c>
      <c r="BL713" s="46"/>
      <c r="BM713" s="46"/>
      <c r="BN713" s="46"/>
    </row>
    <row r="714" spans="1:66" ht="12.75" hidden="1" customHeight="1">
      <c r="A714" s="22">
        <v>712</v>
      </c>
      <c r="B714" s="22" t="s">
        <v>2655</v>
      </c>
      <c r="C714" s="22" t="e">
        <f t="shared" ca="1" si="0"/>
        <v>#NAME?</v>
      </c>
      <c r="D714" s="24" t="s">
        <v>1779</v>
      </c>
      <c r="E714" s="22" t="s">
        <v>180</v>
      </c>
      <c r="F714" s="24" t="s">
        <v>2102</v>
      </c>
      <c r="G714" s="24" t="s">
        <v>2103</v>
      </c>
      <c r="H714" s="24"/>
      <c r="I714" s="24">
        <v>1</v>
      </c>
      <c r="J714" s="24" t="s">
        <v>1767</v>
      </c>
      <c r="K714" s="24"/>
      <c r="L714" s="24"/>
      <c r="M714" s="24"/>
      <c r="N714" s="24"/>
      <c r="O714" s="24"/>
      <c r="P714" s="170"/>
      <c r="Q714" s="170"/>
      <c r="R714" s="162"/>
      <c r="S714" s="163"/>
      <c r="T714" s="163"/>
      <c r="U714" s="163"/>
      <c r="V714" s="193"/>
      <c r="W714" s="194" t="s">
        <v>1779</v>
      </c>
      <c r="X714" s="163"/>
      <c r="Y714" s="163"/>
      <c r="Z714" s="24"/>
      <c r="AA714" s="170"/>
      <c r="AB714" s="163"/>
      <c r="AC714" s="251"/>
      <c r="AD714" s="170"/>
      <c r="AE714" s="24"/>
      <c r="AF714" s="170"/>
      <c r="AG714" s="22"/>
      <c r="AH714" s="45"/>
      <c r="AI714" s="24"/>
      <c r="AJ714" s="164"/>
      <c r="AK714" s="22"/>
      <c r="AL714" s="22"/>
      <c r="AM714" s="22"/>
      <c r="AN714" s="22"/>
      <c r="AO714" s="22"/>
      <c r="AP714" s="22"/>
      <c r="AQ714" s="22"/>
      <c r="AR714" s="22"/>
      <c r="AS714" s="22"/>
      <c r="AT714" s="170"/>
      <c r="AU714" s="170"/>
      <c r="AV714" s="170"/>
      <c r="AW714" s="170"/>
      <c r="AX714" s="170"/>
      <c r="AY714" s="170"/>
      <c r="AZ714" s="170"/>
      <c r="BA714" s="170"/>
      <c r="BB714" s="170"/>
      <c r="BC714" s="170"/>
      <c r="BD714" s="170"/>
      <c r="BE714" s="137" t="s">
        <v>115</v>
      </c>
      <c r="BF714" s="137" t="s">
        <v>1781</v>
      </c>
      <c r="BG714" s="139" t="s">
        <v>1782</v>
      </c>
      <c r="BH714" s="220"/>
      <c r="BI714" s="220"/>
      <c r="BJ714" s="220"/>
      <c r="BK714" s="46">
        <f t="shared" si="1"/>
        <v>1</v>
      </c>
      <c r="BL714" s="46"/>
      <c r="BM714" s="46"/>
      <c r="BN714" s="46"/>
    </row>
    <row r="715" spans="1:66" ht="12.75" hidden="1" customHeight="1">
      <c r="A715" s="22">
        <v>713</v>
      </c>
      <c r="B715" s="22" t="s">
        <v>2661</v>
      </c>
      <c r="C715" s="22" t="e">
        <f t="shared" ca="1" si="0"/>
        <v>#NAME?</v>
      </c>
      <c r="D715" s="24" t="s">
        <v>1783</v>
      </c>
      <c r="E715" s="22" t="s">
        <v>180</v>
      </c>
      <c r="F715" s="24" t="s">
        <v>2102</v>
      </c>
      <c r="G715" s="24" t="s">
        <v>2103</v>
      </c>
      <c r="H715" s="24"/>
      <c r="I715" s="24">
        <v>1</v>
      </c>
      <c r="J715" s="24" t="s">
        <v>1767</v>
      </c>
      <c r="K715" s="24"/>
      <c r="L715" s="24"/>
      <c r="M715" s="24"/>
      <c r="N715" s="24"/>
      <c r="O715" s="24"/>
      <c r="P715" s="170"/>
      <c r="Q715" s="170"/>
      <c r="R715" s="162"/>
      <c r="S715" s="163"/>
      <c r="T715" s="163"/>
      <c r="U715" s="163"/>
      <c r="V715" s="193"/>
      <c r="W715" s="194" t="s">
        <v>1783</v>
      </c>
      <c r="X715" s="163"/>
      <c r="Y715" s="163"/>
      <c r="Z715" s="24"/>
      <c r="AA715" s="170"/>
      <c r="AB715" s="163"/>
      <c r="AC715" s="251"/>
      <c r="AD715" s="170"/>
      <c r="AE715" s="24"/>
      <c r="AF715" s="170"/>
      <c r="AG715" s="22"/>
      <c r="AH715" s="45"/>
      <c r="AI715" s="24"/>
      <c r="AJ715" s="164"/>
      <c r="AK715" s="22"/>
      <c r="AL715" s="22"/>
      <c r="AM715" s="22"/>
      <c r="AN715" s="22"/>
      <c r="AO715" s="22"/>
      <c r="AP715" s="22"/>
      <c r="AQ715" s="22"/>
      <c r="AR715" s="22"/>
      <c r="AS715" s="22"/>
      <c r="AT715" s="170"/>
      <c r="AU715" s="170"/>
      <c r="AV715" s="170"/>
      <c r="AW715" s="170"/>
      <c r="AX715" s="170"/>
      <c r="AY715" s="170"/>
      <c r="AZ715" s="170"/>
      <c r="BA715" s="170"/>
      <c r="BB715" s="170"/>
      <c r="BC715" s="170"/>
      <c r="BD715" s="170"/>
      <c r="BE715" s="137" t="s">
        <v>115</v>
      </c>
      <c r="BF715" s="137" t="s">
        <v>1784</v>
      </c>
      <c r="BG715" s="167" t="s">
        <v>1785</v>
      </c>
      <c r="BH715" s="220"/>
      <c r="BI715" s="220"/>
      <c r="BJ715" s="220"/>
      <c r="BK715" s="46">
        <f t="shared" si="1"/>
        <v>1</v>
      </c>
      <c r="BL715" s="46"/>
      <c r="BM715" s="46"/>
      <c r="BN715" s="46"/>
    </row>
    <row r="716" spans="1:66" ht="12.75" hidden="1" customHeight="1">
      <c r="A716" s="22">
        <v>714</v>
      </c>
      <c r="B716" s="22" t="s">
        <v>2118</v>
      </c>
      <c r="C716" s="22" t="e">
        <f t="shared" ca="1" si="0"/>
        <v>#NAME?</v>
      </c>
      <c r="D716" s="24" t="s">
        <v>1468</v>
      </c>
      <c r="E716" s="22" t="s">
        <v>180</v>
      </c>
      <c r="F716" s="24" t="s">
        <v>2102</v>
      </c>
      <c r="G716" s="24" t="s">
        <v>2103</v>
      </c>
      <c r="H716" s="24"/>
      <c r="I716" s="24">
        <v>1</v>
      </c>
      <c r="J716" s="24" t="s">
        <v>1767</v>
      </c>
      <c r="K716" s="24"/>
      <c r="L716" s="24"/>
      <c r="M716" s="24"/>
      <c r="N716" s="24"/>
      <c r="O716" s="24"/>
      <c r="P716" s="170"/>
      <c r="Q716" s="170"/>
      <c r="R716" s="162"/>
      <c r="S716" s="163"/>
      <c r="T716" s="163"/>
      <c r="U716" s="163"/>
      <c r="V716" s="193"/>
      <c r="W716" s="194" t="s">
        <v>1468</v>
      </c>
      <c r="X716" s="163"/>
      <c r="Y716" s="163"/>
      <c r="Z716" s="24"/>
      <c r="AA716" s="170"/>
      <c r="AB716" s="163"/>
      <c r="AC716" s="251"/>
      <c r="AD716" s="170"/>
      <c r="AE716" s="24"/>
      <c r="AF716" s="170"/>
      <c r="AG716" s="22"/>
      <c r="AH716" s="45"/>
      <c r="AI716" s="24"/>
      <c r="AJ716" s="164"/>
      <c r="AK716" s="22"/>
      <c r="AL716" s="22"/>
      <c r="AM716" s="22"/>
      <c r="AN716" s="22"/>
      <c r="AO716" s="22"/>
      <c r="AP716" s="22"/>
      <c r="AQ716" s="22"/>
      <c r="AR716" s="22"/>
      <c r="AS716" s="22"/>
      <c r="AT716" s="170"/>
      <c r="AU716" s="170"/>
      <c r="AV716" s="170"/>
      <c r="AW716" s="170"/>
      <c r="AX716" s="170"/>
      <c r="AY716" s="170"/>
      <c r="AZ716" s="170"/>
      <c r="BA716" s="170"/>
      <c r="BB716" s="170"/>
      <c r="BC716" s="170"/>
      <c r="BD716" s="170"/>
      <c r="BE716" s="137" t="s">
        <v>115</v>
      </c>
      <c r="BF716" s="137" t="s">
        <v>1469</v>
      </c>
      <c r="BG716" s="167" t="s">
        <v>1470</v>
      </c>
      <c r="BH716" s="220"/>
      <c r="BI716" s="220"/>
      <c r="BJ716" s="220"/>
      <c r="BK716" s="46">
        <f t="shared" si="1"/>
        <v>1</v>
      </c>
      <c r="BL716" s="46"/>
      <c r="BM716" s="46"/>
      <c r="BN716" s="46"/>
    </row>
    <row r="717" spans="1:66" ht="12.75" hidden="1" customHeight="1">
      <c r="A717" s="22">
        <v>715</v>
      </c>
      <c r="B717" s="22" t="s">
        <v>2108</v>
      </c>
      <c r="C717" s="22" t="str">
        <f t="shared" si="0"/>
        <v>Reason Urine test not done</v>
      </c>
      <c r="D717" s="24" t="s">
        <v>2108</v>
      </c>
      <c r="E717" s="22" t="s">
        <v>96</v>
      </c>
      <c r="F717" s="24" t="s">
        <v>1787</v>
      </c>
      <c r="G717" s="24" t="s">
        <v>2103</v>
      </c>
      <c r="H717" s="24"/>
      <c r="I717" s="24">
        <v>1</v>
      </c>
      <c r="J717" s="24" t="s">
        <v>1767</v>
      </c>
      <c r="K717" s="24"/>
      <c r="L717" s="24"/>
      <c r="M717" s="24"/>
      <c r="N717" s="24"/>
      <c r="O717" s="24"/>
      <c r="P717" s="170"/>
      <c r="Q717" s="170"/>
      <c r="R717" s="162" t="s">
        <v>1376</v>
      </c>
      <c r="S717" s="163" t="s">
        <v>2109</v>
      </c>
      <c r="T717" s="163" t="s">
        <v>2110</v>
      </c>
      <c r="U717" s="163" t="s">
        <v>238</v>
      </c>
      <c r="V717" s="163"/>
      <c r="W717" s="163"/>
      <c r="X717" s="163"/>
      <c r="Y717" s="163"/>
      <c r="Z717" s="24"/>
      <c r="AA717" s="170"/>
      <c r="AB717" s="163" t="s">
        <v>113</v>
      </c>
      <c r="AC717" s="251"/>
      <c r="AD717" s="170"/>
      <c r="AE717" s="24"/>
      <c r="AF717" s="170"/>
      <c r="AG717" s="22"/>
      <c r="AH717" s="45"/>
      <c r="AI717" s="24"/>
      <c r="AJ717" s="164" t="s">
        <v>115</v>
      </c>
      <c r="AK717" s="22"/>
      <c r="AL717" s="22"/>
      <c r="AM717" s="22"/>
      <c r="AN717" s="22"/>
      <c r="AO717" s="22"/>
      <c r="AP717" s="22"/>
      <c r="AQ717" s="22"/>
      <c r="AR717" s="22"/>
      <c r="AS717" s="22"/>
      <c r="AT717" s="170"/>
      <c r="AU717" s="170"/>
      <c r="AV717" s="170"/>
      <c r="AW717" s="170"/>
      <c r="AX717" s="170"/>
      <c r="AY717" s="170"/>
      <c r="AZ717" s="170"/>
      <c r="BA717" s="170"/>
      <c r="BB717" s="170"/>
      <c r="BC717" s="170"/>
      <c r="BD717" s="170"/>
      <c r="BE717" s="137" t="s">
        <v>2107</v>
      </c>
      <c r="BF717" s="137" t="s">
        <v>1791</v>
      </c>
      <c r="BG717" s="139" t="s">
        <v>1792</v>
      </c>
      <c r="BH717" s="220"/>
      <c r="BI717" s="220"/>
      <c r="BJ717" s="220"/>
      <c r="BK717" s="46">
        <f t="shared" si="1"/>
        <v>1</v>
      </c>
      <c r="BL717" s="46"/>
      <c r="BM717" s="46"/>
      <c r="BN717" s="46"/>
    </row>
    <row r="718" spans="1:66" ht="12.75" hidden="1" customHeight="1">
      <c r="A718" s="22">
        <v>716</v>
      </c>
      <c r="B718" s="22" t="s">
        <v>2870</v>
      </c>
      <c r="C718" s="22" t="e">
        <f t="shared" ca="1" si="0"/>
        <v>#NAME?</v>
      </c>
      <c r="D718" s="24" t="s">
        <v>1909</v>
      </c>
      <c r="E718" s="22" t="s">
        <v>180</v>
      </c>
      <c r="F718" s="24" t="s">
        <v>1376</v>
      </c>
      <c r="G718" s="24" t="s">
        <v>2103</v>
      </c>
      <c r="H718" s="24"/>
      <c r="I718" s="24">
        <v>1</v>
      </c>
      <c r="J718" s="24" t="s">
        <v>1767</v>
      </c>
      <c r="K718" s="24"/>
      <c r="L718" s="24"/>
      <c r="M718" s="24"/>
      <c r="N718" s="24"/>
      <c r="O718" s="24"/>
      <c r="P718" s="170"/>
      <c r="Q718" s="170"/>
      <c r="R718" s="162"/>
      <c r="S718" s="163"/>
      <c r="T718" s="163"/>
      <c r="U718" s="163"/>
      <c r="V718" s="193"/>
      <c r="W718" s="194" t="s">
        <v>1909</v>
      </c>
      <c r="X718" s="163"/>
      <c r="Y718" s="163"/>
      <c r="Z718" s="24"/>
      <c r="AA718" s="170"/>
      <c r="AB718" s="163"/>
      <c r="AC718" s="251"/>
      <c r="AD718" s="170"/>
      <c r="AE718" s="24"/>
      <c r="AF718" s="170"/>
      <c r="AG718" s="22"/>
      <c r="AH718" s="45"/>
      <c r="AI718" s="24"/>
      <c r="AJ718" s="164"/>
      <c r="AK718" s="22"/>
      <c r="AL718" s="22"/>
      <c r="AM718" s="22"/>
      <c r="AN718" s="22"/>
      <c r="AO718" s="22"/>
      <c r="AP718" s="22"/>
      <c r="AQ718" s="22"/>
      <c r="AR718" s="22"/>
      <c r="AS718" s="22"/>
      <c r="AT718" s="170"/>
      <c r="AU718" s="170"/>
      <c r="AV718" s="170"/>
      <c r="AW718" s="170"/>
      <c r="AX718" s="170"/>
      <c r="AY718" s="170"/>
      <c r="AZ718" s="170"/>
      <c r="BA718" s="170"/>
      <c r="BB718" s="170"/>
      <c r="BC718" s="170"/>
      <c r="BD718" s="170"/>
      <c r="BE718" s="137" t="s">
        <v>115</v>
      </c>
      <c r="BF718" s="143" t="s">
        <v>1910</v>
      </c>
      <c r="BG718" s="167" t="s">
        <v>1911</v>
      </c>
      <c r="BH718" s="220"/>
      <c r="BI718" s="220"/>
      <c r="BJ718" s="220"/>
      <c r="BK718" s="46">
        <f t="shared" si="1"/>
        <v>1</v>
      </c>
      <c r="BL718" s="46"/>
      <c r="BM718" s="46"/>
      <c r="BN718" s="46"/>
    </row>
    <row r="719" spans="1:66" ht="12.75" hidden="1" customHeight="1">
      <c r="A719" s="22">
        <v>717</v>
      </c>
      <c r="B719" s="22" t="s">
        <v>2877</v>
      </c>
      <c r="C719" s="22" t="e">
        <f t="shared" ca="1" si="0"/>
        <v>#NAME?</v>
      </c>
      <c r="D719" s="24" t="s">
        <v>1912</v>
      </c>
      <c r="E719" s="22" t="s">
        <v>180</v>
      </c>
      <c r="F719" s="24" t="s">
        <v>1376</v>
      </c>
      <c r="G719" s="24" t="s">
        <v>2103</v>
      </c>
      <c r="H719" s="24"/>
      <c r="I719" s="24">
        <v>1</v>
      </c>
      <c r="J719" s="24" t="s">
        <v>1767</v>
      </c>
      <c r="K719" s="24"/>
      <c r="L719" s="24"/>
      <c r="M719" s="24"/>
      <c r="N719" s="24"/>
      <c r="O719" s="24"/>
      <c r="P719" s="170"/>
      <c r="Q719" s="170"/>
      <c r="R719" s="162"/>
      <c r="S719" s="163"/>
      <c r="T719" s="163"/>
      <c r="U719" s="163"/>
      <c r="V719" s="193"/>
      <c r="W719" s="194" t="s">
        <v>1912</v>
      </c>
      <c r="X719" s="163"/>
      <c r="Y719" s="163"/>
      <c r="Z719" s="24"/>
      <c r="AA719" s="170"/>
      <c r="AB719" s="163"/>
      <c r="AC719" s="251"/>
      <c r="AD719" s="170"/>
      <c r="AE719" s="24"/>
      <c r="AF719" s="170"/>
      <c r="AG719" s="22"/>
      <c r="AH719" s="45"/>
      <c r="AI719" s="24"/>
      <c r="AJ719" s="164"/>
      <c r="AK719" s="22"/>
      <c r="AL719" s="22"/>
      <c r="AM719" s="22"/>
      <c r="AN719" s="22"/>
      <c r="AO719" s="22"/>
      <c r="AP719" s="22"/>
      <c r="AQ719" s="22"/>
      <c r="AR719" s="22"/>
      <c r="AS719" s="22"/>
      <c r="AT719" s="170"/>
      <c r="AU719" s="170"/>
      <c r="AV719" s="170"/>
      <c r="AW719" s="170"/>
      <c r="AX719" s="170"/>
      <c r="AY719" s="170"/>
      <c r="AZ719" s="170"/>
      <c r="BA719" s="170"/>
      <c r="BB719" s="170"/>
      <c r="BC719" s="170"/>
      <c r="BD719" s="170"/>
      <c r="BE719" s="137" t="s">
        <v>115</v>
      </c>
      <c r="BF719" s="143" t="s">
        <v>1913</v>
      </c>
      <c r="BG719" s="167" t="s">
        <v>1914</v>
      </c>
      <c r="BH719" s="220"/>
      <c r="BI719" s="220"/>
      <c r="BJ719" s="220"/>
      <c r="BK719" s="46">
        <f t="shared" si="1"/>
        <v>1</v>
      </c>
      <c r="BL719" s="46"/>
      <c r="BM719" s="46"/>
      <c r="BN719" s="46"/>
    </row>
    <row r="720" spans="1:66" ht="12.75" hidden="1" customHeight="1">
      <c r="A720" s="22">
        <v>718</v>
      </c>
      <c r="B720" s="22" t="s">
        <v>535</v>
      </c>
      <c r="C720" s="22" t="e">
        <f t="shared" ca="1" si="0"/>
        <v>#NAME?</v>
      </c>
      <c r="D720" s="24" t="s">
        <v>405</v>
      </c>
      <c r="E720" s="22" t="s">
        <v>180</v>
      </c>
      <c r="F720" s="24" t="s">
        <v>1376</v>
      </c>
      <c r="G720" s="24" t="s">
        <v>2103</v>
      </c>
      <c r="H720" s="24"/>
      <c r="I720" s="24">
        <v>1</v>
      </c>
      <c r="J720" s="24" t="s">
        <v>1767</v>
      </c>
      <c r="K720" s="24"/>
      <c r="L720" s="24"/>
      <c r="M720" s="24"/>
      <c r="N720" s="24"/>
      <c r="O720" s="24"/>
      <c r="P720" s="170"/>
      <c r="Q720" s="170"/>
      <c r="R720" s="162"/>
      <c r="S720" s="163"/>
      <c r="T720" s="163"/>
      <c r="U720" s="163"/>
      <c r="V720" s="193"/>
      <c r="W720" s="194" t="s">
        <v>405</v>
      </c>
      <c r="X720" s="163"/>
      <c r="Y720" s="163"/>
      <c r="Z720" s="24"/>
      <c r="AA720" s="170"/>
      <c r="AB720" s="163"/>
      <c r="AC720" s="251"/>
      <c r="AD720" s="170"/>
      <c r="AE720" s="24"/>
      <c r="AF720" s="170"/>
      <c r="AG720" s="22"/>
      <c r="AH720" s="45"/>
      <c r="AI720" s="24"/>
      <c r="AJ720" s="164"/>
      <c r="AK720" s="22"/>
      <c r="AL720" s="22"/>
      <c r="AM720" s="22"/>
      <c r="AN720" s="22"/>
      <c r="AO720" s="22"/>
      <c r="AP720" s="22"/>
      <c r="AQ720" s="22"/>
      <c r="AR720" s="22"/>
      <c r="AS720" s="22"/>
      <c r="AT720" s="170"/>
      <c r="AU720" s="170"/>
      <c r="AV720" s="170"/>
      <c r="AW720" s="170"/>
      <c r="AX720" s="170"/>
      <c r="AY720" s="170"/>
      <c r="AZ720" s="170"/>
      <c r="BA720" s="170"/>
      <c r="BB720" s="170"/>
      <c r="BC720" s="170"/>
      <c r="BD720" s="170"/>
      <c r="BE720" s="137" t="s">
        <v>115</v>
      </c>
      <c r="BF720" s="137" t="s">
        <v>406</v>
      </c>
      <c r="BG720" s="139" t="s">
        <v>407</v>
      </c>
      <c r="BH720" s="220"/>
      <c r="BI720" s="220"/>
      <c r="BJ720" s="220"/>
      <c r="BK720" s="46">
        <f t="shared" si="1"/>
        <v>1</v>
      </c>
      <c r="BL720" s="46"/>
      <c r="BM720" s="46"/>
      <c r="BN720" s="46"/>
    </row>
    <row r="721" spans="1:66" ht="12.75" hidden="1" customHeight="1">
      <c r="A721" s="22">
        <v>719</v>
      </c>
      <c r="B721" s="22" t="s">
        <v>2111</v>
      </c>
      <c r="C721" s="22" t="str">
        <f t="shared" si="0"/>
        <v>Specify - Reason Urine test not done</v>
      </c>
      <c r="D721" s="24" t="s">
        <v>2111</v>
      </c>
      <c r="E721" s="22" t="s">
        <v>96</v>
      </c>
      <c r="F721" s="24" t="s">
        <v>1787</v>
      </c>
      <c r="G721" s="24" t="s">
        <v>2103</v>
      </c>
      <c r="H721" s="24"/>
      <c r="I721" s="24">
        <v>1</v>
      </c>
      <c r="J721" s="24" t="s">
        <v>1767</v>
      </c>
      <c r="K721" s="24"/>
      <c r="L721" s="24"/>
      <c r="M721" s="24"/>
      <c r="N721" s="24"/>
      <c r="O721" s="24"/>
      <c r="P721" s="170"/>
      <c r="Q721" s="170"/>
      <c r="R721" s="162" t="s">
        <v>409</v>
      </c>
      <c r="S721" s="163" t="s">
        <v>2112</v>
      </c>
      <c r="T721" s="163" t="s">
        <v>2113</v>
      </c>
      <c r="U721" s="163" t="s">
        <v>111</v>
      </c>
      <c r="V721" s="163"/>
      <c r="W721" s="163"/>
      <c r="X721" s="163"/>
      <c r="Y721" s="163"/>
      <c r="Z721" s="24"/>
      <c r="AA721" s="170"/>
      <c r="AB721" s="163" t="s">
        <v>208</v>
      </c>
      <c r="AC721" s="251"/>
      <c r="AD721" s="170"/>
      <c r="AE721" s="24"/>
      <c r="AF721" s="170"/>
      <c r="AG721" s="22"/>
      <c r="AH721" s="45"/>
      <c r="AI721" s="24"/>
      <c r="AJ721" s="164" t="s">
        <v>115</v>
      </c>
      <c r="AK721" s="22"/>
      <c r="AL721" s="22"/>
      <c r="AM721" s="22"/>
      <c r="AN721" s="22"/>
      <c r="AO721" s="22"/>
      <c r="AP721" s="22"/>
      <c r="AQ721" s="22"/>
      <c r="AR721" s="22"/>
      <c r="AS721" s="22"/>
      <c r="AT721" s="170"/>
      <c r="AU721" s="170"/>
      <c r="AV721" s="170"/>
      <c r="AW721" s="170"/>
      <c r="AX721" s="170"/>
      <c r="AY721" s="170"/>
      <c r="AZ721" s="170"/>
      <c r="BA721" s="170"/>
      <c r="BB721" s="170"/>
      <c r="BC721" s="170"/>
      <c r="BD721" s="170"/>
      <c r="BE721" s="137" t="s">
        <v>2107</v>
      </c>
      <c r="BF721" s="143" t="s">
        <v>1800</v>
      </c>
      <c r="BG721" s="167" t="s">
        <v>1801</v>
      </c>
      <c r="BH721" s="220"/>
      <c r="BI721" s="220"/>
      <c r="BJ721" s="220"/>
      <c r="BK721" s="46">
        <f t="shared" si="1"/>
        <v>1</v>
      </c>
      <c r="BL721" s="46"/>
      <c r="BM721" s="46"/>
      <c r="BN721" s="46"/>
    </row>
    <row r="722" spans="1:66" ht="12.75" hidden="1" customHeight="1">
      <c r="A722" s="22">
        <v>720</v>
      </c>
      <c r="B722" s="22" t="s">
        <v>2114</v>
      </c>
      <c r="C722" s="22" t="str">
        <f t="shared" si="0"/>
        <v>Urine test date</v>
      </c>
      <c r="D722" s="24" t="s">
        <v>2114</v>
      </c>
      <c r="E722" s="22" t="s">
        <v>96</v>
      </c>
      <c r="F722" s="24" t="s">
        <v>1787</v>
      </c>
      <c r="G722" s="24" t="s">
        <v>2103</v>
      </c>
      <c r="H722" s="24"/>
      <c r="I722" s="24">
        <v>1</v>
      </c>
      <c r="J722" s="24" t="s">
        <v>1767</v>
      </c>
      <c r="K722" s="24"/>
      <c r="L722" s="24"/>
      <c r="M722" s="24"/>
      <c r="N722" s="24"/>
      <c r="O722" s="24"/>
      <c r="P722" s="170"/>
      <c r="Q722" s="170"/>
      <c r="R722" s="247" t="s">
        <v>2114</v>
      </c>
      <c r="S722" s="196" t="s">
        <v>2115</v>
      </c>
      <c r="T722" s="194" t="s">
        <v>2116</v>
      </c>
      <c r="U722" s="194" t="s">
        <v>140</v>
      </c>
      <c r="V722" s="194"/>
      <c r="W722" s="194"/>
      <c r="X722" s="196"/>
      <c r="Y722" s="196"/>
      <c r="Z722" s="24"/>
      <c r="AA722" s="170"/>
      <c r="AB722" s="196" t="s">
        <v>113</v>
      </c>
      <c r="AC722" s="251"/>
      <c r="AD722" s="170"/>
      <c r="AE722" s="24"/>
      <c r="AF722" s="170"/>
      <c r="AG722" s="22"/>
      <c r="AH722" s="45"/>
      <c r="AI722" s="24"/>
      <c r="AJ722" s="194" t="s">
        <v>115</v>
      </c>
      <c r="AK722" s="22"/>
      <c r="AL722" s="22"/>
      <c r="AM722" s="22"/>
      <c r="AN722" s="22"/>
      <c r="AO722" s="22"/>
      <c r="AP722" s="22"/>
      <c r="AQ722" s="22"/>
      <c r="AR722" s="22"/>
      <c r="AS722" s="22"/>
      <c r="AT722" s="170"/>
      <c r="AU722" s="170"/>
      <c r="AV722" s="170"/>
      <c r="AW722" s="170"/>
      <c r="AX722" s="170"/>
      <c r="AY722" s="170"/>
      <c r="AZ722" s="170"/>
      <c r="BA722" s="170"/>
      <c r="BB722" s="170"/>
      <c r="BC722" s="170"/>
      <c r="BD722" s="170"/>
      <c r="BE722" s="143" t="s">
        <v>2107</v>
      </c>
      <c r="BF722" s="143" t="s">
        <v>1804</v>
      </c>
      <c r="BG722" s="167" t="s">
        <v>1805</v>
      </c>
      <c r="BH722" s="220"/>
      <c r="BI722" s="220"/>
      <c r="BJ722" s="220"/>
      <c r="BK722" s="46">
        <f t="shared" si="1"/>
        <v>1</v>
      </c>
      <c r="BL722" s="46"/>
      <c r="BM722" s="46"/>
      <c r="BN722" s="46"/>
    </row>
    <row r="723" spans="1:66" ht="12.75" hidden="1" customHeight="1">
      <c r="A723" s="22">
        <v>721</v>
      </c>
      <c r="B723" s="22" t="s">
        <v>2117</v>
      </c>
      <c r="C723" s="22" t="str">
        <f t="shared" si="0"/>
        <v>Urine test type</v>
      </c>
      <c r="D723" s="24" t="s">
        <v>2117</v>
      </c>
      <c r="E723" s="22" t="s">
        <v>96</v>
      </c>
      <c r="F723" s="24" t="s">
        <v>1787</v>
      </c>
      <c r="G723" s="24" t="s">
        <v>2103</v>
      </c>
      <c r="H723" s="24"/>
      <c r="I723" s="24">
        <v>1</v>
      </c>
      <c r="J723" s="24" t="s">
        <v>1767</v>
      </c>
      <c r="K723" s="24"/>
      <c r="L723" s="24"/>
      <c r="M723" s="24"/>
      <c r="N723" s="24"/>
      <c r="O723" s="24"/>
      <c r="P723" s="170"/>
      <c r="Q723" s="170"/>
      <c r="R723" s="162" t="s">
        <v>2117</v>
      </c>
      <c r="S723" s="163" t="s">
        <v>2119</v>
      </c>
      <c r="T723" s="163" t="s">
        <v>2120</v>
      </c>
      <c r="U723" s="163" t="s">
        <v>238</v>
      </c>
      <c r="V723" s="163"/>
      <c r="W723" s="163"/>
      <c r="X723" s="163"/>
      <c r="Y723" s="163"/>
      <c r="Z723" s="24"/>
      <c r="AA723" s="170"/>
      <c r="AB723" s="163" t="s">
        <v>113</v>
      </c>
      <c r="AC723" s="251"/>
      <c r="AD723" s="170"/>
      <c r="AE723" s="24"/>
      <c r="AF723" s="170"/>
      <c r="AG723" s="22"/>
      <c r="AH723" s="45"/>
      <c r="AI723" s="24"/>
      <c r="AJ723" s="164" t="s">
        <v>115</v>
      </c>
      <c r="AK723" s="22"/>
      <c r="AL723" s="22"/>
      <c r="AM723" s="22"/>
      <c r="AN723" s="22"/>
      <c r="AO723" s="22"/>
      <c r="AP723" s="22"/>
      <c r="AQ723" s="22"/>
      <c r="AR723" s="22"/>
      <c r="AS723" s="22"/>
      <c r="AT723" s="170"/>
      <c r="AU723" s="170"/>
      <c r="AV723" s="170"/>
      <c r="AW723" s="170"/>
      <c r="AX723" s="170"/>
      <c r="AY723" s="170"/>
      <c r="AZ723" s="170"/>
      <c r="BA723" s="170"/>
      <c r="BB723" s="170"/>
      <c r="BC723" s="170"/>
      <c r="BD723" s="170"/>
      <c r="BE723" s="137" t="s">
        <v>115</v>
      </c>
      <c r="BF723" s="137" t="s">
        <v>2121</v>
      </c>
      <c r="BG723" s="139" t="s">
        <v>2122</v>
      </c>
      <c r="BH723" s="220"/>
      <c r="BI723" s="220"/>
      <c r="BJ723" s="220"/>
      <c r="BK723" s="46">
        <f t="shared" si="1"/>
        <v>1</v>
      </c>
      <c r="BL723" s="46"/>
      <c r="BM723" s="46"/>
      <c r="BN723" s="46"/>
    </row>
    <row r="724" spans="1:66" ht="12.75" hidden="1" customHeight="1">
      <c r="A724" s="22">
        <v>722</v>
      </c>
      <c r="B724" s="22" t="s">
        <v>3190</v>
      </c>
      <c r="C724" s="22" t="e">
        <f t="shared" ca="1" si="0"/>
        <v>#NAME?</v>
      </c>
      <c r="D724" s="24" t="s">
        <v>2123</v>
      </c>
      <c r="E724" s="22" t="s">
        <v>180</v>
      </c>
      <c r="F724" s="24" t="s">
        <v>2117</v>
      </c>
      <c r="G724" s="24" t="s">
        <v>2103</v>
      </c>
      <c r="H724" s="24"/>
      <c r="I724" s="24">
        <v>1</v>
      </c>
      <c r="J724" s="24" t="s">
        <v>1767</v>
      </c>
      <c r="K724" s="24"/>
      <c r="L724" s="24"/>
      <c r="M724" s="24"/>
      <c r="N724" s="24"/>
      <c r="O724" s="24"/>
      <c r="P724" s="170"/>
      <c r="Q724" s="170"/>
      <c r="R724" s="162"/>
      <c r="S724" s="163"/>
      <c r="T724" s="163"/>
      <c r="U724" s="163"/>
      <c r="V724" s="163"/>
      <c r="W724" s="163" t="s">
        <v>2123</v>
      </c>
      <c r="X724" s="164"/>
      <c r="Y724" s="164"/>
      <c r="Z724" s="24"/>
      <c r="AA724" s="170"/>
      <c r="AB724" s="163"/>
      <c r="AC724" s="251"/>
      <c r="AD724" s="170"/>
      <c r="AE724" s="24"/>
      <c r="AF724" s="170"/>
      <c r="AG724" s="22"/>
      <c r="AH724" s="45"/>
      <c r="AI724" s="24"/>
      <c r="AJ724" s="164"/>
      <c r="AK724" s="22"/>
      <c r="AL724" s="22"/>
      <c r="AM724" s="22"/>
      <c r="AN724" s="22"/>
      <c r="AO724" s="22"/>
      <c r="AP724" s="22"/>
      <c r="AQ724" s="22"/>
      <c r="AR724" s="22"/>
      <c r="AS724" s="22"/>
      <c r="AT724" s="170"/>
      <c r="AU724" s="170"/>
      <c r="AV724" s="170"/>
      <c r="AW724" s="170"/>
      <c r="AX724" s="170"/>
      <c r="AY724" s="170"/>
      <c r="AZ724" s="170"/>
      <c r="BA724" s="170"/>
      <c r="BB724" s="170"/>
      <c r="BC724" s="170"/>
      <c r="BD724" s="170"/>
      <c r="BE724" s="137" t="s">
        <v>115</v>
      </c>
      <c r="BF724" s="137" t="s">
        <v>2124</v>
      </c>
      <c r="BG724" s="139" t="s">
        <v>2125</v>
      </c>
      <c r="BH724" s="220"/>
      <c r="BI724" s="220"/>
      <c r="BJ724" s="220"/>
      <c r="BK724" s="46">
        <f t="shared" si="1"/>
        <v>1</v>
      </c>
      <c r="BL724" s="46"/>
      <c r="BM724" s="46"/>
      <c r="BN724" s="46"/>
    </row>
    <row r="725" spans="1:66" ht="12.75" hidden="1" customHeight="1">
      <c r="A725" s="22">
        <v>723</v>
      </c>
      <c r="B725" s="22" t="s">
        <v>3192</v>
      </c>
      <c r="C725" s="22" t="e">
        <f t="shared" ca="1" si="0"/>
        <v>#NAME?</v>
      </c>
      <c r="D725" s="24" t="s">
        <v>2126</v>
      </c>
      <c r="E725" s="22" t="s">
        <v>180</v>
      </c>
      <c r="F725" s="24" t="s">
        <v>2117</v>
      </c>
      <c r="G725" s="24" t="s">
        <v>2103</v>
      </c>
      <c r="H725" s="24"/>
      <c r="I725" s="24">
        <v>1</v>
      </c>
      <c r="J725" s="24" t="s">
        <v>1767</v>
      </c>
      <c r="K725" s="24"/>
      <c r="L725" s="24"/>
      <c r="M725" s="24"/>
      <c r="N725" s="24"/>
      <c r="O725" s="24"/>
      <c r="P725" s="170"/>
      <c r="Q725" s="170"/>
      <c r="R725" s="162"/>
      <c r="S725" s="163"/>
      <c r="T725" s="163"/>
      <c r="U725" s="163"/>
      <c r="V725" s="163"/>
      <c r="W725" s="163" t="s">
        <v>2126</v>
      </c>
      <c r="X725" s="164"/>
      <c r="Y725" s="164"/>
      <c r="Z725" s="24"/>
      <c r="AA725" s="170"/>
      <c r="AB725" s="163"/>
      <c r="AC725" s="251"/>
      <c r="AD725" s="170"/>
      <c r="AE725" s="24"/>
      <c r="AF725" s="170"/>
      <c r="AG725" s="22"/>
      <c r="AH725" s="45"/>
      <c r="AI725" s="24"/>
      <c r="AJ725" s="164"/>
      <c r="AK725" s="22"/>
      <c r="AL725" s="22"/>
      <c r="AM725" s="22"/>
      <c r="AN725" s="22"/>
      <c r="AO725" s="22"/>
      <c r="AP725" s="22"/>
      <c r="AQ725" s="22"/>
      <c r="AR725" s="22"/>
      <c r="AS725" s="22"/>
      <c r="AT725" s="170"/>
      <c r="AU725" s="170"/>
      <c r="AV725" s="170"/>
      <c r="AW725" s="170"/>
      <c r="AX725" s="170"/>
      <c r="AY725" s="170"/>
      <c r="AZ725" s="170"/>
      <c r="BA725" s="170"/>
      <c r="BB725" s="170"/>
      <c r="BC725" s="170"/>
      <c r="BD725" s="170"/>
      <c r="BE725" s="137" t="s">
        <v>115</v>
      </c>
      <c r="BF725" s="143" t="s">
        <v>2127</v>
      </c>
      <c r="BG725" s="139" t="s">
        <v>2128</v>
      </c>
      <c r="BH725" s="220"/>
      <c r="BI725" s="220"/>
      <c r="BJ725" s="220"/>
      <c r="BK725" s="46">
        <f t="shared" si="1"/>
        <v>1</v>
      </c>
      <c r="BL725" s="46"/>
      <c r="BM725" s="46"/>
      <c r="BN725" s="46"/>
    </row>
    <row r="726" spans="1:66" ht="12.75" hidden="1" customHeight="1">
      <c r="A726" s="22">
        <v>724</v>
      </c>
      <c r="B726" s="22" t="s">
        <v>3195</v>
      </c>
      <c r="C726" s="22" t="e">
        <f t="shared" ca="1" si="0"/>
        <v>#NAME?</v>
      </c>
      <c r="D726" s="24" t="s">
        <v>2129</v>
      </c>
      <c r="E726" s="22" t="s">
        <v>180</v>
      </c>
      <c r="F726" s="24" t="s">
        <v>2117</v>
      </c>
      <c r="G726" s="24" t="s">
        <v>2103</v>
      </c>
      <c r="H726" s="24"/>
      <c r="I726" s="24">
        <v>1</v>
      </c>
      <c r="J726" s="24" t="s">
        <v>1767</v>
      </c>
      <c r="K726" s="24"/>
      <c r="L726" s="24"/>
      <c r="M726" s="24"/>
      <c r="N726" s="24"/>
      <c r="O726" s="24"/>
      <c r="P726" s="170"/>
      <c r="Q726" s="170"/>
      <c r="R726" s="162"/>
      <c r="S726" s="163"/>
      <c r="T726" s="163"/>
      <c r="U726" s="163"/>
      <c r="V726" s="163"/>
      <c r="W726" s="163" t="s">
        <v>2129</v>
      </c>
      <c r="X726" s="164"/>
      <c r="Y726" s="164"/>
      <c r="Z726" s="24"/>
      <c r="AA726" s="170"/>
      <c r="AB726" s="163"/>
      <c r="AC726" s="251"/>
      <c r="AD726" s="170"/>
      <c r="AE726" s="24"/>
      <c r="AF726" s="170"/>
      <c r="AG726" s="22"/>
      <c r="AH726" s="45"/>
      <c r="AI726" s="24"/>
      <c r="AJ726" s="164"/>
      <c r="AK726" s="22"/>
      <c r="AL726" s="22"/>
      <c r="AM726" s="22"/>
      <c r="AN726" s="22"/>
      <c r="AO726" s="22"/>
      <c r="AP726" s="22"/>
      <c r="AQ726" s="22"/>
      <c r="AR726" s="22"/>
      <c r="AS726" s="22"/>
      <c r="AT726" s="170"/>
      <c r="AU726" s="170"/>
      <c r="AV726" s="170"/>
      <c r="AW726" s="170"/>
      <c r="AX726" s="170"/>
      <c r="AY726" s="170"/>
      <c r="AZ726" s="170"/>
      <c r="BA726" s="170"/>
      <c r="BB726" s="170"/>
      <c r="BC726" s="170"/>
      <c r="BD726" s="170"/>
      <c r="BE726" s="137" t="s">
        <v>115</v>
      </c>
      <c r="BF726" s="143" t="s">
        <v>2131</v>
      </c>
      <c r="BG726" s="139" t="s">
        <v>2132</v>
      </c>
      <c r="BH726" s="220"/>
      <c r="BI726" s="220"/>
      <c r="BJ726" s="220"/>
      <c r="BK726" s="46">
        <f t="shared" si="1"/>
        <v>1</v>
      </c>
      <c r="BL726" s="46"/>
      <c r="BM726" s="46"/>
      <c r="BN726" s="46"/>
    </row>
    <row r="727" spans="1:66" ht="12.75" hidden="1" customHeight="1">
      <c r="A727" s="22">
        <v>725</v>
      </c>
      <c r="B727" s="22" t="s">
        <v>2123</v>
      </c>
      <c r="C727" s="22" t="str">
        <f t="shared" si="0"/>
        <v>Midstream urine culture (recommended)</v>
      </c>
      <c r="D727" s="24" t="s">
        <v>2123</v>
      </c>
      <c r="E727" s="22" t="s">
        <v>96</v>
      </c>
      <c r="F727" s="24" t="s">
        <v>1787</v>
      </c>
      <c r="G727" s="24" t="s">
        <v>2103</v>
      </c>
      <c r="H727" s="24"/>
      <c r="I727" s="24">
        <v>1</v>
      </c>
      <c r="J727" s="24" t="s">
        <v>1767</v>
      </c>
      <c r="K727" s="24"/>
      <c r="L727" s="24"/>
      <c r="M727" s="24"/>
      <c r="N727" s="24"/>
      <c r="O727" s="24"/>
      <c r="P727" s="170"/>
      <c r="Q727" s="170"/>
      <c r="R727" s="162" t="s">
        <v>2123</v>
      </c>
      <c r="S727" s="163" t="s">
        <v>2133</v>
      </c>
      <c r="T727" s="163" t="s">
        <v>2134</v>
      </c>
      <c r="U727" s="163" t="s">
        <v>202</v>
      </c>
      <c r="V727" s="163"/>
      <c r="W727" s="163"/>
      <c r="X727" s="164"/>
      <c r="Y727" s="164"/>
      <c r="Z727" s="24"/>
      <c r="AA727" s="170"/>
      <c r="AB727" s="163" t="s">
        <v>113</v>
      </c>
      <c r="AC727" s="251"/>
      <c r="AD727" s="170"/>
      <c r="AE727" s="24"/>
      <c r="AF727" s="170"/>
      <c r="AG727" s="22"/>
      <c r="AH727" s="45"/>
      <c r="AI727" s="24"/>
      <c r="AJ727" s="164" t="s">
        <v>115</v>
      </c>
      <c r="AK727" s="22"/>
      <c r="AL727" s="22"/>
      <c r="AM727" s="22"/>
      <c r="AN727" s="22"/>
      <c r="AO727" s="22"/>
      <c r="AP727" s="22"/>
      <c r="AQ727" s="22"/>
      <c r="AR727" s="22"/>
      <c r="AS727" s="22"/>
      <c r="AT727" s="170"/>
      <c r="AU727" s="170"/>
      <c r="AV727" s="170"/>
      <c r="AW727" s="170"/>
      <c r="AX727" s="170"/>
      <c r="AY727" s="170"/>
      <c r="AZ727" s="170"/>
      <c r="BA727" s="170"/>
      <c r="BB727" s="170"/>
      <c r="BC727" s="170"/>
      <c r="BD727" s="170"/>
      <c r="BE727" s="137" t="s">
        <v>115</v>
      </c>
      <c r="BF727" s="137" t="s">
        <v>2124</v>
      </c>
      <c r="BG727" s="139" t="s">
        <v>2125</v>
      </c>
      <c r="BH727" s="220"/>
      <c r="BI727" s="220"/>
      <c r="BJ727" s="220"/>
      <c r="BK727" s="46">
        <f t="shared" si="1"/>
        <v>1</v>
      </c>
      <c r="BL727" s="46"/>
      <c r="BM727" s="46"/>
      <c r="BN727" s="46"/>
    </row>
    <row r="728" spans="1:66" ht="12.75" hidden="1" customHeight="1">
      <c r="A728" s="22">
        <v>726</v>
      </c>
      <c r="B728" s="22" t="s">
        <v>3207</v>
      </c>
      <c r="C728" s="22" t="e">
        <f t="shared" ca="1" si="0"/>
        <v>#NAME?</v>
      </c>
      <c r="D728" s="24" t="s">
        <v>2135</v>
      </c>
      <c r="E728" s="22" t="s">
        <v>180</v>
      </c>
      <c r="F728" s="24" t="s">
        <v>2123</v>
      </c>
      <c r="G728" s="24" t="s">
        <v>2103</v>
      </c>
      <c r="H728" s="24"/>
      <c r="I728" s="24">
        <v>1</v>
      </c>
      <c r="J728" s="24" t="s">
        <v>1767</v>
      </c>
      <c r="K728" s="24"/>
      <c r="L728" s="24"/>
      <c r="M728" s="24"/>
      <c r="N728" s="24"/>
      <c r="O728" s="24"/>
      <c r="P728" s="170"/>
      <c r="Q728" s="170"/>
      <c r="R728" s="162"/>
      <c r="S728" s="163"/>
      <c r="T728" s="163"/>
      <c r="U728" s="163"/>
      <c r="V728" s="163"/>
      <c r="W728" s="163" t="s">
        <v>2135</v>
      </c>
      <c r="X728" s="164"/>
      <c r="Y728" s="164"/>
      <c r="Z728" s="24"/>
      <c r="AA728" s="170"/>
      <c r="AB728" s="163"/>
      <c r="AC728" s="251"/>
      <c r="AD728" s="170"/>
      <c r="AE728" s="24"/>
      <c r="AF728" s="170"/>
      <c r="AG728" s="22"/>
      <c r="AH728" s="45"/>
      <c r="AI728" s="24"/>
      <c r="AJ728" s="164"/>
      <c r="AK728" s="22"/>
      <c r="AL728" s="22"/>
      <c r="AM728" s="22"/>
      <c r="AN728" s="22"/>
      <c r="AO728" s="22"/>
      <c r="AP728" s="22"/>
      <c r="AQ728" s="22"/>
      <c r="AR728" s="22"/>
      <c r="AS728" s="22"/>
      <c r="AT728" s="170"/>
      <c r="AU728" s="170"/>
      <c r="AV728" s="170"/>
      <c r="AW728" s="170"/>
      <c r="AX728" s="170"/>
      <c r="AY728" s="170"/>
      <c r="AZ728" s="170"/>
      <c r="BA728" s="170"/>
      <c r="BB728" s="170"/>
      <c r="BC728" s="170"/>
      <c r="BD728" s="170"/>
      <c r="BE728" s="137" t="s">
        <v>115</v>
      </c>
      <c r="BF728" s="143" t="s">
        <v>2136</v>
      </c>
      <c r="BG728" s="139" t="s">
        <v>2137</v>
      </c>
      <c r="BH728" s="220"/>
      <c r="BI728" s="220"/>
      <c r="BJ728" s="220"/>
      <c r="BK728" s="46">
        <f t="shared" si="1"/>
        <v>1</v>
      </c>
      <c r="BL728" s="46"/>
      <c r="BM728" s="46"/>
      <c r="BN728" s="46"/>
    </row>
    <row r="729" spans="1:66" ht="12.75" hidden="1" customHeight="1">
      <c r="A729" s="22">
        <v>727</v>
      </c>
      <c r="B729" s="22" t="s">
        <v>3208</v>
      </c>
      <c r="C729" s="22" t="e">
        <f t="shared" ca="1" si="0"/>
        <v>#NAME?</v>
      </c>
      <c r="D729" s="24" t="s">
        <v>2138</v>
      </c>
      <c r="E729" s="22" t="s">
        <v>180</v>
      </c>
      <c r="F729" s="24" t="s">
        <v>2123</v>
      </c>
      <c r="G729" s="24" t="s">
        <v>2103</v>
      </c>
      <c r="H729" s="24"/>
      <c r="I729" s="24">
        <v>1</v>
      </c>
      <c r="J729" s="24" t="s">
        <v>1767</v>
      </c>
      <c r="K729" s="24"/>
      <c r="L729" s="24"/>
      <c r="M729" s="24"/>
      <c r="N729" s="24"/>
      <c r="O729" s="24"/>
      <c r="P729" s="170"/>
      <c r="Q729" s="170"/>
      <c r="R729" s="162"/>
      <c r="S729" s="163"/>
      <c r="T729" s="163"/>
      <c r="U729" s="163"/>
      <c r="V729" s="163"/>
      <c r="W729" s="163" t="s">
        <v>2138</v>
      </c>
      <c r="X729" s="164"/>
      <c r="Y729" s="164"/>
      <c r="Z729" s="24"/>
      <c r="AA729" s="170"/>
      <c r="AB729" s="163"/>
      <c r="AC729" s="251"/>
      <c r="AD729" s="170"/>
      <c r="AE729" s="24"/>
      <c r="AF729" s="170"/>
      <c r="AG729" s="22"/>
      <c r="AH729" s="45"/>
      <c r="AI729" s="24"/>
      <c r="AJ729" s="164"/>
      <c r="AK729" s="22"/>
      <c r="AL729" s="22"/>
      <c r="AM729" s="22"/>
      <c r="AN729" s="22"/>
      <c r="AO729" s="22"/>
      <c r="AP729" s="22"/>
      <c r="AQ729" s="22"/>
      <c r="AR729" s="22"/>
      <c r="AS729" s="22"/>
      <c r="AT729" s="170"/>
      <c r="AU729" s="170"/>
      <c r="AV729" s="170"/>
      <c r="AW729" s="170"/>
      <c r="AX729" s="170"/>
      <c r="AY729" s="170"/>
      <c r="AZ729" s="170"/>
      <c r="BA729" s="170"/>
      <c r="BB729" s="170"/>
      <c r="BC729" s="170"/>
      <c r="BD729" s="170"/>
      <c r="BE729" s="137" t="s">
        <v>115</v>
      </c>
      <c r="BF729" s="143" t="s">
        <v>2139</v>
      </c>
      <c r="BG729" s="139" t="s">
        <v>2140</v>
      </c>
      <c r="BH729" s="220"/>
      <c r="BI729" s="220"/>
      <c r="BJ729" s="220"/>
      <c r="BK729" s="46">
        <f t="shared" si="1"/>
        <v>1</v>
      </c>
      <c r="BL729" s="46"/>
      <c r="BM729" s="46"/>
      <c r="BN729" s="46"/>
    </row>
    <row r="730" spans="1:66" ht="12.75" hidden="1" customHeight="1">
      <c r="A730" s="22">
        <v>728</v>
      </c>
      <c r="B730" s="22" t="s">
        <v>1305</v>
      </c>
      <c r="C730" s="22" t="e">
        <f t="shared" ca="1" si="0"/>
        <v>#NAME?</v>
      </c>
      <c r="D730" s="24" t="s">
        <v>1126</v>
      </c>
      <c r="E730" s="22" t="s">
        <v>180</v>
      </c>
      <c r="F730" s="24" t="s">
        <v>2123</v>
      </c>
      <c r="G730" s="24" t="s">
        <v>2103</v>
      </c>
      <c r="H730" s="24"/>
      <c r="I730" s="24">
        <v>1</v>
      </c>
      <c r="J730" s="24" t="s">
        <v>1767</v>
      </c>
      <c r="K730" s="24"/>
      <c r="L730" s="24"/>
      <c r="M730" s="24"/>
      <c r="N730" s="24"/>
      <c r="O730" s="24"/>
      <c r="P730" s="170"/>
      <c r="Q730" s="170"/>
      <c r="R730" s="162"/>
      <c r="S730" s="163"/>
      <c r="T730" s="163"/>
      <c r="U730" s="163"/>
      <c r="V730" s="163"/>
      <c r="W730" s="163" t="s">
        <v>1126</v>
      </c>
      <c r="X730" s="164"/>
      <c r="Y730" s="164"/>
      <c r="Z730" s="24"/>
      <c r="AA730" s="170"/>
      <c r="AB730" s="163"/>
      <c r="AC730" s="251"/>
      <c r="AD730" s="170"/>
      <c r="AE730" s="24"/>
      <c r="AF730" s="170"/>
      <c r="AG730" s="22"/>
      <c r="AH730" s="45"/>
      <c r="AI730" s="24"/>
      <c r="AJ730" s="164"/>
      <c r="AK730" s="22"/>
      <c r="AL730" s="22"/>
      <c r="AM730" s="22"/>
      <c r="AN730" s="22"/>
      <c r="AO730" s="22"/>
      <c r="AP730" s="22"/>
      <c r="AQ730" s="22"/>
      <c r="AR730" s="22"/>
      <c r="AS730" s="22"/>
      <c r="AT730" s="170"/>
      <c r="AU730" s="170"/>
      <c r="AV730" s="170"/>
      <c r="AW730" s="170"/>
      <c r="AX730" s="170"/>
      <c r="AY730" s="170"/>
      <c r="AZ730" s="170"/>
      <c r="BA730" s="170"/>
      <c r="BB730" s="170"/>
      <c r="BC730" s="170"/>
      <c r="BD730" s="170"/>
      <c r="BE730" s="137" t="s">
        <v>115</v>
      </c>
      <c r="BF730" s="137" t="s">
        <v>2141</v>
      </c>
      <c r="BG730" s="139" t="s">
        <v>2142</v>
      </c>
      <c r="BH730" s="220"/>
      <c r="BI730" s="220"/>
      <c r="BJ730" s="220"/>
      <c r="BK730" s="46">
        <f t="shared" si="1"/>
        <v>1</v>
      </c>
      <c r="BL730" s="46"/>
      <c r="BM730" s="46"/>
      <c r="BN730" s="46"/>
    </row>
    <row r="731" spans="1:66" ht="12.75" hidden="1" customHeight="1">
      <c r="A731" s="22">
        <v>729</v>
      </c>
      <c r="B731" s="22" t="s">
        <v>2144</v>
      </c>
      <c r="C731" s="22" t="str">
        <f t="shared" si="0"/>
        <v xml:space="preserve">Midstream urine Gram-staining  </v>
      </c>
      <c r="D731" s="24" t="s">
        <v>2144</v>
      </c>
      <c r="E731" s="22" t="s">
        <v>96</v>
      </c>
      <c r="F731" s="24" t="s">
        <v>1787</v>
      </c>
      <c r="G731" s="24" t="s">
        <v>2103</v>
      </c>
      <c r="H731" s="24"/>
      <c r="I731" s="24">
        <v>1</v>
      </c>
      <c r="J731" s="24" t="s">
        <v>1767</v>
      </c>
      <c r="K731" s="24"/>
      <c r="L731" s="24"/>
      <c r="M731" s="24"/>
      <c r="N731" s="24"/>
      <c r="O731" s="24"/>
      <c r="P731" s="170"/>
      <c r="Q731" s="170"/>
      <c r="R731" s="162" t="s">
        <v>2144</v>
      </c>
      <c r="S731" s="163" t="s">
        <v>2145</v>
      </c>
      <c r="T731" s="163" t="s">
        <v>2146</v>
      </c>
      <c r="U731" s="163" t="s">
        <v>202</v>
      </c>
      <c r="V731" s="163"/>
      <c r="W731" s="163"/>
      <c r="X731" s="164"/>
      <c r="Y731" s="164"/>
      <c r="Z731" s="24"/>
      <c r="AA731" s="170"/>
      <c r="AB731" s="163" t="s">
        <v>113</v>
      </c>
      <c r="AC731" s="251"/>
      <c r="AD731" s="170"/>
      <c r="AE731" s="24"/>
      <c r="AF731" s="170"/>
      <c r="AG731" s="22"/>
      <c r="AH731" s="45"/>
      <c r="AI731" s="24"/>
      <c r="AJ731" s="164" t="s">
        <v>115</v>
      </c>
      <c r="AK731" s="22"/>
      <c r="AL731" s="22"/>
      <c r="AM731" s="22"/>
      <c r="AN731" s="22"/>
      <c r="AO731" s="22"/>
      <c r="AP731" s="22"/>
      <c r="AQ731" s="22"/>
      <c r="AR731" s="22"/>
      <c r="AS731" s="22"/>
      <c r="AT731" s="170"/>
      <c r="AU731" s="170"/>
      <c r="AV731" s="170"/>
      <c r="AW731" s="170"/>
      <c r="AX731" s="170"/>
      <c r="AY731" s="170"/>
      <c r="AZ731" s="170"/>
      <c r="BA731" s="170"/>
      <c r="BB731" s="170"/>
      <c r="BC731" s="170"/>
      <c r="BD731" s="170"/>
      <c r="BE731" s="137" t="s">
        <v>115</v>
      </c>
      <c r="BF731" s="143" t="s">
        <v>2127</v>
      </c>
      <c r="BG731" s="139" t="s">
        <v>2128</v>
      </c>
      <c r="BH731" s="220"/>
      <c r="BI731" s="220"/>
      <c r="BJ731" s="220"/>
      <c r="BK731" s="46">
        <f t="shared" si="1"/>
        <v>1</v>
      </c>
      <c r="BL731" s="46"/>
      <c r="BM731" s="46"/>
      <c r="BN731" s="46"/>
    </row>
    <row r="732" spans="1:66" ht="12.75" hidden="1" customHeight="1">
      <c r="A732" s="22">
        <v>730</v>
      </c>
      <c r="B732" s="22" t="s">
        <v>1302</v>
      </c>
      <c r="C732" s="22" t="e">
        <f t="shared" ca="1" si="0"/>
        <v>#NAME?</v>
      </c>
      <c r="D732" s="24" t="s">
        <v>1122</v>
      </c>
      <c r="E732" s="22" t="s">
        <v>180</v>
      </c>
      <c r="F732" s="24" t="s">
        <v>2144</v>
      </c>
      <c r="G732" s="24" t="s">
        <v>2103</v>
      </c>
      <c r="H732" s="24"/>
      <c r="I732" s="24">
        <v>1</v>
      </c>
      <c r="J732" s="24" t="s">
        <v>1767</v>
      </c>
      <c r="K732" s="24"/>
      <c r="L732" s="24"/>
      <c r="M732" s="24"/>
      <c r="N732" s="24"/>
      <c r="O732" s="24"/>
      <c r="P732" s="170"/>
      <c r="Q732" s="170"/>
      <c r="R732" s="247"/>
      <c r="S732" s="163"/>
      <c r="T732" s="163"/>
      <c r="U732" s="163"/>
      <c r="V732" s="163"/>
      <c r="W732" s="163" t="s">
        <v>1122</v>
      </c>
      <c r="X732" s="163"/>
      <c r="Y732" s="164"/>
      <c r="Z732" s="24"/>
      <c r="AA732" s="170"/>
      <c r="AB732" s="163"/>
      <c r="AC732" s="251"/>
      <c r="AD732" s="170"/>
      <c r="AE732" s="24"/>
      <c r="AF732" s="170"/>
      <c r="AG732" s="22"/>
      <c r="AH732" s="45"/>
      <c r="AI732" s="24"/>
      <c r="AJ732" s="164"/>
      <c r="AK732" s="22"/>
      <c r="AL732" s="22"/>
      <c r="AM732" s="22"/>
      <c r="AN732" s="22"/>
      <c r="AO732" s="22"/>
      <c r="AP732" s="22"/>
      <c r="AQ732" s="22"/>
      <c r="AR732" s="22"/>
      <c r="AS732" s="22"/>
      <c r="AT732" s="170"/>
      <c r="AU732" s="170"/>
      <c r="AV732" s="170"/>
      <c r="AW732" s="170"/>
      <c r="AX732" s="170"/>
      <c r="AY732" s="170"/>
      <c r="AZ732" s="170"/>
      <c r="BA732" s="170"/>
      <c r="BB732" s="170"/>
      <c r="BC732" s="170"/>
      <c r="BD732" s="170"/>
      <c r="BE732" s="137" t="s">
        <v>115</v>
      </c>
      <c r="BF732" s="137" t="s">
        <v>1897</v>
      </c>
      <c r="BG732" s="139" t="s">
        <v>1125</v>
      </c>
      <c r="BH732" s="220"/>
      <c r="BI732" s="220"/>
      <c r="BJ732" s="220"/>
      <c r="BK732" s="46">
        <f t="shared" si="1"/>
        <v>1</v>
      </c>
      <c r="BL732" s="46"/>
      <c r="BM732" s="46"/>
      <c r="BN732" s="46"/>
    </row>
    <row r="733" spans="1:66" ht="12.75" hidden="1" customHeight="1">
      <c r="A733" s="22">
        <v>731</v>
      </c>
      <c r="B733" s="22" t="s">
        <v>1305</v>
      </c>
      <c r="C733" s="22" t="e">
        <f t="shared" ca="1" si="0"/>
        <v>#NAME?</v>
      </c>
      <c r="D733" s="24" t="s">
        <v>1126</v>
      </c>
      <c r="E733" s="22" t="s">
        <v>180</v>
      </c>
      <c r="F733" s="24" t="s">
        <v>2144</v>
      </c>
      <c r="G733" s="24" t="s">
        <v>2103</v>
      </c>
      <c r="H733" s="24"/>
      <c r="I733" s="24">
        <v>1</v>
      </c>
      <c r="J733" s="24" t="s">
        <v>1767</v>
      </c>
      <c r="K733" s="24"/>
      <c r="L733" s="24"/>
      <c r="M733" s="24"/>
      <c r="N733" s="24"/>
      <c r="O733" s="24"/>
      <c r="P733" s="170"/>
      <c r="Q733" s="170"/>
      <c r="R733" s="247"/>
      <c r="S733" s="163"/>
      <c r="T733" s="163"/>
      <c r="U733" s="163"/>
      <c r="V733" s="163"/>
      <c r="W733" s="163" t="s">
        <v>1126</v>
      </c>
      <c r="X733" s="163"/>
      <c r="Y733" s="164"/>
      <c r="Z733" s="24"/>
      <c r="AA733" s="170"/>
      <c r="AB733" s="163"/>
      <c r="AC733" s="251"/>
      <c r="AD733" s="170"/>
      <c r="AE733" s="24"/>
      <c r="AF733" s="170"/>
      <c r="AG733" s="22"/>
      <c r="AH733" s="45"/>
      <c r="AI733" s="24"/>
      <c r="AJ733" s="164"/>
      <c r="AK733" s="22"/>
      <c r="AL733" s="22"/>
      <c r="AM733" s="22"/>
      <c r="AN733" s="22"/>
      <c r="AO733" s="22"/>
      <c r="AP733" s="22"/>
      <c r="AQ733" s="22"/>
      <c r="AR733" s="22"/>
      <c r="AS733" s="22"/>
      <c r="AT733" s="170"/>
      <c r="AU733" s="170"/>
      <c r="AV733" s="170"/>
      <c r="AW733" s="170"/>
      <c r="AX733" s="170"/>
      <c r="AY733" s="170"/>
      <c r="AZ733" s="170"/>
      <c r="BA733" s="170"/>
      <c r="BB733" s="170"/>
      <c r="BC733" s="170"/>
      <c r="BD733" s="170"/>
      <c r="BE733" s="137" t="s">
        <v>115</v>
      </c>
      <c r="BF733" s="137" t="s">
        <v>1128</v>
      </c>
      <c r="BG733" s="139" t="s">
        <v>1129</v>
      </c>
      <c r="BH733" s="220"/>
      <c r="BI733" s="220"/>
      <c r="BJ733" s="220"/>
      <c r="BK733" s="46">
        <f t="shared" si="1"/>
        <v>1</v>
      </c>
      <c r="BL733" s="46"/>
      <c r="BM733" s="46"/>
      <c r="BN733" s="46"/>
    </row>
    <row r="734" spans="1:66" ht="12.75" hidden="1" customHeight="1">
      <c r="A734" s="22">
        <v>732</v>
      </c>
      <c r="B734" s="22" t="s">
        <v>2147</v>
      </c>
      <c r="C734" s="22" t="str">
        <f t="shared" si="0"/>
        <v>Urine dipstick result - nitrites</v>
      </c>
      <c r="D734" s="24" t="s">
        <v>2147</v>
      </c>
      <c r="E734" s="22" t="s">
        <v>96</v>
      </c>
      <c r="F734" s="24" t="s">
        <v>1787</v>
      </c>
      <c r="G734" s="24" t="s">
        <v>2103</v>
      </c>
      <c r="H734" s="24"/>
      <c r="I734" s="24">
        <v>1</v>
      </c>
      <c r="J734" s="24" t="s">
        <v>1767</v>
      </c>
      <c r="K734" s="24"/>
      <c r="L734" s="24"/>
      <c r="M734" s="24"/>
      <c r="N734" s="24"/>
      <c r="O734" s="24"/>
      <c r="P734" s="170"/>
      <c r="Q734" s="170"/>
      <c r="R734" s="247" t="s">
        <v>2147</v>
      </c>
      <c r="S734" s="163" t="s">
        <v>2148</v>
      </c>
      <c r="T734" s="163" t="s">
        <v>2149</v>
      </c>
      <c r="U734" s="163" t="s">
        <v>202</v>
      </c>
      <c r="V734" s="163"/>
      <c r="W734" s="163"/>
      <c r="X734" s="163"/>
      <c r="Y734" s="164"/>
      <c r="Z734" s="24"/>
      <c r="AA734" s="170"/>
      <c r="AB734" s="163" t="s">
        <v>113</v>
      </c>
      <c r="AC734" s="251"/>
      <c r="AD734" s="170"/>
      <c r="AE734" s="24"/>
      <c r="AF734" s="170"/>
      <c r="AG734" s="22"/>
      <c r="AH734" s="45"/>
      <c r="AI734" s="24"/>
      <c r="AJ734" s="164" t="s">
        <v>115</v>
      </c>
      <c r="AK734" s="22"/>
      <c r="AL734" s="22"/>
      <c r="AM734" s="22"/>
      <c r="AN734" s="22"/>
      <c r="AO734" s="22"/>
      <c r="AP734" s="22"/>
      <c r="AQ734" s="22"/>
      <c r="AR734" s="22"/>
      <c r="AS734" s="22"/>
      <c r="AT734" s="170"/>
      <c r="AU734" s="170"/>
      <c r="AV734" s="170"/>
      <c r="AW734" s="170"/>
      <c r="AX734" s="170"/>
      <c r="AY734" s="170"/>
      <c r="AZ734" s="170"/>
      <c r="BA734" s="170"/>
      <c r="BB734" s="170"/>
      <c r="BC734" s="170"/>
      <c r="BD734" s="170"/>
      <c r="BE734" s="137" t="s">
        <v>115</v>
      </c>
      <c r="BF734" s="143" t="s">
        <v>2150</v>
      </c>
      <c r="BG734" s="139" t="s">
        <v>2151</v>
      </c>
      <c r="BH734" s="220"/>
      <c r="BI734" s="220"/>
      <c r="BJ734" s="220"/>
      <c r="BK734" s="46">
        <f t="shared" si="1"/>
        <v>1</v>
      </c>
      <c r="BL734" s="46"/>
      <c r="BM734" s="46"/>
      <c r="BN734" s="46"/>
    </row>
    <row r="735" spans="1:66" ht="12.75" hidden="1" customHeight="1">
      <c r="A735" s="22">
        <v>733</v>
      </c>
      <c r="B735" s="22" t="s">
        <v>553</v>
      </c>
      <c r="C735" s="22" t="e">
        <f t="shared" ca="1" si="0"/>
        <v>#NAME?</v>
      </c>
      <c r="D735" s="24" t="s">
        <v>423</v>
      </c>
      <c r="E735" s="22" t="s">
        <v>180</v>
      </c>
      <c r="F735" s="24" t="s">
        <v>2147</v>
      </c>
      <c r="G735" s="24" t="s">
        <v>2103</v>
      </c>
      <c r="H735" s="24"/>
      <c r="I735" s="24">
        <v>1</v>
      </c>
      <c r="J735" s="24" t="s">
        <v>1767</v>
      </c>
      <c r="K735" s="24"/>
      <c r="L735" s="24"/>
      <c r="M735" s="24"/>
      <c r="N735" s="24"/>
      <c r="O735" s="24"/>
      <c r="P735" s="170"/>
      <c r="Q735" s="170"/>
      <c r="R735" s="247"/>
      <c r="S735" s="163"/>
      <c r="T735" s="163"/>
      <c r="U735" s="163"/>
      <c r="V735" s="163"/>
      <c r="W735" s="163" t="s">
        <v>423</v>
      </c>
      <c r="X735" s="163"/>
      <c r="Y735" s="164"/>
      <c r="Z735" s="24"/>
      <c r="AA735" s="170"/>
      <c r="AB735" s="163"/>
      <c r="AC735" s="251"/>
      <c r="AD735" s="170"/>
      <c r="AE735" s="24"/>
      <c r="AF735" s="170"/>
      <c r="AG735" s="22"/>
      <c r="AH735" s="45"/>
      <c r="AI735" s="24"/>
      <c r="AJ735" s="164"/>
      <c r="AK735" s="22"/>
      <c r="AL735" s="22"/>
      <c r="AM735" s="22"/>
      <c r="AN735" s="22"/>
      <c r="AO735" s="22"/>
      <c r="AP735" s="22"/>
      <c r="AQ735" s="22"/>
      <c r="AR735" s="22"/>
      <c r="AS735" s="22"/>
      <c r="AT735" s="170"/>
      <c r="AU735" s="170"/>
      <c r="AV735" s="170"/>
      <c r="AW735" s="170"/>
      <c r="AX735" s="170"/>
      <c r="AY735" s="170"/>
      <c r="AZ735" s="170"/>
      <c r="BA735" s="170"/>
      <c r="BB735" s="170"/>
      <c r="BC735" s="170"/>
      <c r="BD735" s="170"/>
      <c r="BE735" s="137" t="s">
        <v>115</v>
      </c>
      <c r="BF735" s="143" t="s">
        <v>424</v>
      </c>
      <c r="BG735" s="139" t="s">
        <v>425</v>
      </c>
      <c r="BH735" s="220"/>
      <c r="BI735" s="220"/>
      <c r="BJ735" s="220"/>
      <c r="BK735" s="46">
        <f t="shared" si="1"/>
        <v>1</v>
      </c>
      <c r="BL735" s="46"/>
      <c r="BM735" s="46"/>
      <c r="BN735" s="46"/>
    </row>
    <row r="736" spans="1:66" ht="12.75" hidden="1" customHeight="1">
      <c r="A736" s="22">
        <v>734</v>
      </c>
      <c r="B736" s="22" t="s">
        <v>2049</v>
      </c>
      <c r="C736" s="22" t="e">
        <f t="shared" ca="1" si="0"/>
        <v>#NAME?</v>
      </c>
      <c r="D736" s="24" t="s">
        <v>1421</v>
      </c>
      <c r="E736" s="22" t="s">
        <v>180</v>
      </c>
      <c r="F736" s="24" t="s">
        <v>2147</v>
      </c>
      <c r="G736" s="24" t="s">
        <v>2103</v>
      </c>
      <c r="H736" s="24"/>
      <c r="I736" s="24">
        <v>1</v>
      </c>
      <c r="J736" s="24" t="s">
        <v>1767</v>
      </c>
      <c r="K736" s="24"/>
      <c r="L736" s="24"/>
      <c r="M736" s="24"/>
      <c r="N736" s="24"/>
      <c r="O736" s="24"/>
      <c r="P736" s="170"/>
      <c r="Q736" s="170"/>
      <c r="R736" s="247"/>
      <c r="S736" s="163"/>
      <c r="T736" s="163"/>
      <c r="U736" s="163"/>
      <c r="V736" s="163"/>
      <c r="W736" s="334" t="s">
        <v>1421</v>
      </c>
      <c r="X736" s="163"/>
      <c r="Y736" s="164"/>
      <c r="Z736" s="24"/>
      <c r="AA736" s="170"/>
      <c r="AB736" s="163"/>
      <c r="AC736" s="251"/>
      <c r="AD736" s="170"/>
      <c r="AE736" s="24"/>
      <c r="AF736" s="170"/>
      <c r="AG736" s="22"/>
      <c r="AH736" s="45"/>
      <c r="AI736" s="24"/>
      <c r="AJ736" s="164"/>
      <c r="AK736" s="22"/>
      <c r="AL736" s="22"/>
      <c r="AM736" s="22"/>
      <c r="AN736" s="22"/>
      <c r="AO736" s="22"/>
      <c r="AP736" s="22"/>
      <c r="AQ736" s="22"/>
      <c r="AR736" s="22"/>
      <c r="AS736" s="22"/>
      <c r="AT736" s="170"/>
      <c r="AU736" s="170"/>
      <c r="AV736" s="170"/>
      <c r="AW736" s="170"/>
      <c r="AX736" s="170"/>
      <c r="AY736" s="170"/>
      <c r="AZ736" s="170"/>
      <c r="BA736" s="170"/>
      <c r="BB736" s="170"/>
      <c r="BC736" s="170"/>
      <c r="BD736" s="170"/>
      <c r="BE736" s="137" t="s">
        <v>115</v>
      </c>
      <c r="BF736" s="137" t="s">
        <v>1422</v>
      </c>
      <c r="BG736" s="167" t="s">
        <v>1423</v>
      </c>
      <c r="BH736" s="220"/>
      <c r="BI736" s="220"/>
      <c r="BJ736" s="220"/>
      <c r="BK736" s="46">
        <f t="shared" si="1"/>
        <v>1</v>
      </c>
      <c r="BL736" s="46"/>
      <c r="BM736" s="46"/>
      <c r="BN736" s="46"/>
    </row>
    <row r="737" spans="1:66" ht="12.75" hidden="1" customHeight="1">
      <c r="A737" s="22">
        <v>735</v>
      </c>
      <c r="B737" s="22" t="s">
        <v>2061</v>
      </c>
      <c r="C737" s="22" t="e">
        <f t="shared" ca="1" si="0"/>
        <v>#NAME?</v>
      </c>
      <c r="D737" s="24" t="s">
        <v>1424</v>
      </c>
      <c r="E737" s="22" t="s">
        <v>180</v>
      </c>
      <c r="F737" s="24" t="s">
        <v>2147</v>
      </c>
      <c r="G737" s="24" t="s">
        <v>2103</v>
      </c>
      <c r="H737" s="24"/>
      <c r="I737" s="24">
        <v>1</v>
      </c>
      <c r="J737" s="24" t="s">
        <v>1767</v>
      </c>
      <c r="K737" s="24"/>
      <c r="L737" s="24"/>
      <c r="M737" s="24"/>
      <c r="N737" s="24"/>
      <c r="O737" s="24"/>
      <c r="P737" s="170"/>
      <c r="Q737" s="170"/>
      <c r="R737" s="247"/>
      <c r="S737" s="163"/>
      <c r="T737" s="163"/>
      <c r="U737" s="163"/>
      <c r="V737" s="163"/>
      <c r="W737" s="334" t="s">
        <v>1424</v>
      </c>
      <c r="X737" s="163"/>
      <c r="Y737" s="164"/>
      <c r="Z737" s="24"/>
      <c r="AA737" s="170"/>
      <c r="AB737" s="163"/>
      <c r="AC737" s="251"/>
      <c r="AD737" s="170"/>
      <c r="AE737" s="24"/>
      <c r="AF737" s="170"/>
      <c r="AG737" s="22"/>
      <c r="AH737" s="45"/>
      <c r="AI737" s="24"/>
      <c r="AJ737" s="164"/>
      <c r="AK737" s="22"/>
      <c r="AL737" s="22"/>
      <c r="AM737" s="22"/>
      <c r="AN737" s="22"/>
      <c r="AO737" s="22"/>
      <c r="AP737" s="22"/>
      <c r="AQ737" s="22"/>
      <c r="AR737" s="22"/>
      <c r="AS737" s="22"/>
      <c r="AT737" s="170"/>
      <c r="AU737" s="170"/>
      <c r="AV737" s="170"/>
      <c r="AW737" s="170"/>
      <c r="AX737" s="170"/>
      <c r="AY737" s="170"/>
      <c r="AZ737" s="170"/>
      <c r="BA737" s="170"/>
      <c r="BB737" s="170"/>
      <c r="BC737" s="170"/>
      <c r="BD737" s="170"/>
      <c r="BE737" s="137" t="s">
        <v>115</v>
      </c>
      <c r="BF737" s="137" t="s">
        <v>1425</v>
      </c>
      <c r="BG737" s="139" t="s">
        <v>1426</v>
      </c>
      <c r="BH737" s="220"/>
      <c r="BI737" s="220"/>
      <c r="BJ737" s="220"/>
      <c r="BK737" s="46">
        <f t="shared" si="1"/>
        <v>1</v>
      </c>
      <c r="BL737" s="46"/>
      <c r="BM737" s="46"/>
      <c r="BN737" s="46"/>
    </row>
    <row r="738" spans="1:66" ht="12.75" hidden="1" customHeight="1">
      <c r="A738" s="22">
        <v>736</v>
      </c>
      <c r="B738" s="22" t="s">
        <v>2062</v>
      </c>
      <c r="C738" s="22" t="e">
        <f t="shared" ca="1" si="0"/>
        <v>#NAME?</v>
      </c>
      <c r="D738" s="24" t="s">
        <v>1427</v>
      </c>
      <c r="E738" s="22" t="s">
        <v>180</v>
      </c>
      <c r="F738" s="24" t="s">
        <v>2147</v>
      </c>
      <c r="G738" s="24" t="s">
        <v>2103</v>
      </c>
      <c r="H738" s="24"/>
      <c r="I738" s="24">
        <v>1</v>
      </c>
      <c r="J738" s="24" t="s">
        <v>1767</v>
      </c>
      <c r="K738" s="24"/>
      <c r="L738" s="24"/>
      <c r="M738" s="24"/>
      <c r="N738" s="24"/>
      <c r="O738" s="24"/>
      <c r="P738" s="170"/>
      <c r="Q738" s="170"/>
      <c r="R738" s="247"/>
      <c r="S738" s="163"/>
      <c r="T738" s="163"/>
      <c r="U738" s="163"/>
      <c r="V738" s="163"/>
      <c r="W738" s="334" t="s">
        <v>1427</v>
      </c>
      <c r="X738" s="163"/>
      <c r="Y738" s="164"/>
      <c r="Z738" s="24"/>
      <c r="AA738" s="170"/>
      <c r="AB738" s="163"/>
      <c r="AC738" s="251"/>
      <c r="AD738" s="170"/>
      <c r="AE738" s="24"/>
      <c r="AF738" s="170"/>
      <c r="AG738" s="22"/>
      <c r="AH738" s="45"/>
      <c r="AI738" s="24"/>
      <c r="AJ738" s="164"/>
      <c r="AK738" s="22"/>
      <c r="AL738" s="22"/>
      <c r="AM738" s="22"/>
      <c r="AN738" s="22"/>
      <c r="AO738" s="22"/>
      <c r="AP738" s="22"/>
      <c r="AQ738" s="22"/>
      <c r="AR738" s="22"/>
      <c r="AS738" s="22"/>
      <c r="AT738" s="170"/>
      <c r="AU738" s="170"/>
      <c r="AV738" s="170"/>
      <c r="AW738" s="170"/>
      <c r="AX738" s="170"/>
      <c r="AY738" s="170"/>
      <c r="AZ738" s="170"/>
      <c r="BA738" s="170"/>
      <c r="BB738" s="170"/>
      <c r="BC738" s="170"/>
      <c r="BD738" s="170"/>
      <c r="BE738" s="137" t="s">
        <v>115</v>
      </c>
      <c r="BF738" s="137" t="s">
        <v>1428</v>
      </c>
      <c r="BG738" s="139" t="s">
        <v>1429</v>
      </c>
      <c r="BH738" s="220"/>
      <c r="BI738" s="220"/>
      <c r="BJ738" s="220"/>
      <c r="BK738" s="46">
        <f t="shared" si="1"/>
        <v>1</v>
      </c>
      <c r="BL738" s="46"/>
      <c r="BM738" s="46"/>
      <c r="BN738" s="46"/>
    </row>
    <row r="739" spans="1:66" ht="12.75" hidden="1" customHeight="1">
      <c r="A739" s="22">
        <v>737</v>
      </c>
      <c r="B739" s="22" t="s">
        <v>2063</v>
      </c>
      <c r="C739" s="22" t="e">
        <f t="shared" ca="1" si="0"/>
        <v>#NAME?</v>
      </c>
      <c r="D739" s="24" t="s">
        <v>1430</v>
      </c>
      <c r="E739" s="22" t="s">
        <v>180</v>
      </c>
      <c r="F739" s="24" t="s">
        <v>2147</v>
      </c>
      <c r="G739" s="24" t="s">
        <v>2103</v>
      </c>
      <c r="H739" s="24"/>
      <c r="I739" s="24">
        <v>1</v>
      </c>
      <c r="J739" s="24" t="s">
        <v>1767</v>
      </c>
      <c r="K739" s="24"/>
      <c r="L739" s="24"/>
      <c r="M739" s="24"/>
      <c r="N739" s="24"/>
      <c r="O739" s="24"/>
      <c r="P739" s="170"/>
      <c r="Q739" s="170"/>
      <c r="R739" s="247"/>
      <c r="S739" s="163"/>
      <c r="T739" s="163"/>
      <c r="U739" s="163"/>
      <c r="V739" s="163"/>
      <c r="W739" s="334" t="s">
        <v>1430</v>
      </c>
      <c r="X739" s="163"/>
      <c r="Y739" s="164"/>
      <c r="Z739" s="24"/>
      <c r="AA739" s="170"/>
      <c r="AB739" s="163"/>
      <c r="AC739" s="251"/>
      <c r="AD739" s="170"/>
      <c r="AE739" s="24"/>
      <c r="AF739" s="170"/>
      <c r="AG739" s="22"/>
      <c r="AH739" s="45"/>
      <c r="AI739" s="24"/>
      <c r="AJ739" s="164"/>
      <c r="AK739" s="22"/>
      <c r="AL739" s="22"/>
      <c r="AM739" s="22"/>
      <c r="AN739" s="22"/>
      <c r="AO739" s="22"/>
      <c r="AP739" s="22"/>
      <c r="AQ739" s="22"/>
      <c r="AR739" s="22"/>
      <c r="AS739" s="22"/>
      <c r="AT739" s="170"/>
      <c r="AU739" s="170"/>
      <c r="AV739" s="170"/>
      <c r="AW739" s="170"/>
      <c r="AX739" s="170"/>
      <c r="AY739" s="170"/>
      <c r="AZ739" s="170"/>
      <c r="BA739" s="170"/>
      <c r="BB739" s="170"/>
      <c r="BC739" s="170"/>
      <c r="BD739" s="170"/>
      <c r="BE739" s="137" t="s">
        <v>115</v>
      </c>
      <c r="BF739" s="137" t="s">
        <v>1431</v>
      </c>
      <c r="BG739" s="139" t="s">
        <v>1432</v>
      </c>
      <c r="BH739" s="220"/>
      <c r="BI739" s="220"/>
      <c r="BJ739" s="220"/>
      <c r="BK739" s="46">
        <f t="shared" si="1"/>
        <v>1</v>
      </c>
      <c r="BL739" s="46"/>
      <c r="BM739" s="46"/>
      <c r="BN739" s="46"/>
    </row>
    <row r="740" spans="1:66" ht="12.75" hidden="1" customHeight="1">
      <c r="A740" s="22">
        <v>738</v>
      </c>
      <c r="B740" s="22" t="s">
        <v>2153</v>
      </c>
      <c r="C740" s="22" t="str">
        <f t="shared" si="0"/>
        <v>Urine dipstick result - leukocytes</v>
      </c>
      <c r="D740" s="24" t="s">
        <v>2153</v>
      </c>
      <c r="E740" s="22" t="s">
        <v>96</v>
      </c>
      <c r="F740" s="24" t="s">
        <v>1787</v>
      </c>
      <c r="G740" s="24" t="s">
        <v>2103</v>
      </c>
      <c r="H740" s="24"/>
      <c r="I740" s="24">
        <v>1</v>
      </c>
      <c r="J740" s="24" t="s">
        <v>1767</v>
      </c>
      <c r="K740" s="24"/>
      <c r="L740" s="24"/>
      <c r="M740" s="24"/>
      <c r="N740" s="24"/>
      <c r="O740" s="24"/>
      <c r="P740" s="170"/>
      <c r="Q740" s="170"/>
      <c r="R740" s="247" t="s">
        <v>2153</v>
      </c>
      <c r="S740" s="163" t="s">
        <v>2154</v>
      </c>
      <c r="T740" s="163" t="s">
        <v>2155</v>
      </c>
      <c r="U740" s="163" t="s">
        <v>202</v>
      </c>
      <c r="V740" s="163"/>
      <c r="W740" s="163"/>
      <c r="X740" s="163"/>
      <c r="Y740" s="164"/>
      <c r="Z740" s="24"/>
      <c r="AA740" s="170"/>
      <c r="AB740" s="163" t="s">
        <v>113</v>
      </c>
      <c r="AC740" s="251"/>
      <c r="AD740" s="170"/>
      <c r="AE740" s="24"/>
      <c r="AF740" s="170"/>
      <c r="AG740" s="22"/>
      <c r="AH740" s="45"/>
      <c r="AI740" s="24"/>
      <c r="AJ740" s="164" t="s">
        <v>115</v>
      </c>
      <c r="AK740" s="22"/>
      <c r="AL740" s="22"/>
      <c r="AM740" s="22"/>
      <c r="AN740" s="22"/>
      <c r="AO740" s="22"/>
      <c r="AP740" s="22"/>
      <c r="AQ740" s="22"/>
      <c r="AR740" s="22"/>
      <c r="AS740" s="22"/>
      <c r="AT740" s="170"/>
      <c r="AU740" s="170"/>
      <c r="AV740" s="170"/>
      <c r="AW740" s="170"/>
      <c r="AX740" s="170"/>
      <c r="AY740" s="170"/>
      <c r="AZ740" s="170"/>
      <c r="BA740" s="170"/>
      <c r="BB740" s="170"/>
      <c r="BC740" s="170"/>
      <c r="BD740" s="170"/>
      <c r="BE740" s="137" t="s">
        <v>115</v>
      </c>
      <c r="BF740" s="143" t="s">
        <v>2156</v>
      </c>
      <c r="BG740" s="139" t="s">
        <v>2157</v>
      </c>
      <c r="BH740" s="220"/>
      <c r="BI740" s="220"/>
      <c r="BJ740" s="220"/>
      <c r="BK740" s="46">
        <f t="shared" si="1"/>
        <v>1</v>
      </c>
      <c r="BL740" s="46"/>
      <c r="BM740" s="46"/>
      <c r="BN740" s="46"/>
    </row>
    <row r="741" spans="1:66" ht="12.75" hidden="1" customHeight="1">
      <c r="A741" s="22">
        <v>739</v>
      </c>
      <c r="B741" s="22" t="s">
        <v>553</v>
      </c>
      <c r="C741" s="22" t="e">
        <f t="shared" ca="1" si="0"/>
        <v>#NAME?</v>
      </c>
      <c r="D741" s="24" t="s">
        <v>423</v>
      </c>
      <c r="E741" s="22" t="s">
        <v>180</v>
      </c>
      <c r="F741" s="24" t="s">
        <v>2153</v>
      </c>
      <c r="G741" s="24" t="s">
        <v>2103</v>
      </c>
      <c r="H741" s="24"/>
      <c r="I741" s="24">
        <v>1</v>
      </c>
      <c r="J741" s="24" t="s">
        <v>1767</v>
      </c>
      <c r="K741" s="24"/>
      <c r="L741" s="24"/>
      <c r="M741" s="24"/>
      <c r="N741" s="24"/>
      <c r="O741" s="24"/>
      <c r="P741" s="170"/>
      <c r="Q741" s="170"/>
      <c r="R741" s="247"/>
      <c r="S741" s="163"/>
      <c r="T741" s="163"/>
      <c r="U741" s="163"/>
      <c r="V741" s="163"/>
      <c r="W741" s="163" t="s">
        <v>423</v>
      </c>
      <c r="X741" s="163"/>
      <c r="Y741" s="164"/>
      <c r="Z741" s="24"/>
      <c r="AA741" s="170"/>
      <c r="AB741" s="163"/>
      <c r="AC741" s="251"/>
      <c r="AD741" s="170"/>
      <c r="AE741" s="24"/>
      <c r="AF741" s="170"/>
      <c r="AG741" s="22"/>
      <c r="AH741" s="45"/>
      <c r="AI741" s="24"/>
      <c r="AJ741" s="164"/>
      <c r="AK741" s="22"/>
      <c r="AL741" s="22"/>
      <c r="AM741" s="22"/>
      <c r="AN741" s="22"/>
      <c r="AO741" s="22"/>
      <c r="AP741" s="22"/>
      <c r="AQ741" s="22"/>
      <c r="AR741" s="22"/>
      <c r="AS741" s="22"/>
      <c r="AT741" s="170"/>
      <c r="AU741" s="170"/>
      <c r="AV741" s="170"/>
      <c r="AW741" s="170"/>
      <c r="AX741" s="170"/>
      <c r="AY741" s="170"/>
      <c r="AZ741" s="170"/>
      <c r="BA741" s="170"/>
      <c r="BB741" s="170"/>
      <c r="BC741" s="170"/>
      <c r="BD741" s="170"/>
      <c r="BE741" s="137" t="s">
        <v>115</v>
      </c>
      <c r="BF741" s="143" t="s">
        <v>424</v>
      </c>
      <c r="BG741" s="139" t="s">
        <v>425</v>
      </c>
      <c r="BH741" s="220"/>
      <c r="BI741" s="220"/>
      <c r="BJ741" s="220"/>
      <c r="BK741" s="46">
        <f t="shared" si="1"/>
        <v>1</v>
      </c>
      <c r="BL741" s="46"/>
      <c r="BM741" s="46"/>
      <c r="BN741" s="46"/>
    </row>
    <row r="742" spans="1:66" ht="12.75" hidden="1" customHeight="1">
      <c r="A742" s="22">
        <v>740</v>
      </c>
      <c r="B742" s="22" t="s">
        <v>2049</v>
      </c>
      <c r="C742" s="22" t="e">
        <f t="shared" ca="1" si="0"/>
        <v>#NAME?</v>
      </c>
      <c r="D742" s="24" t="s">
        <v>1421</v>
      </c>
      <c r="E742" s="22" t="s">
        <v>180</v>
      </c>
      <c r="F742" s="24" t="s">
        <v>2153</v>
      </c>
      <c r="G742" s="24" t="s">
        <v>2103</v>
      </c>
      <c r="H742" s="24"/>
      <c r="I742" s="24">
        <v>1</v>
      </c>
      <c r="J742" s="24" t="s">
        <v>1767</v>
      </c>
      <c r="K742" s="24"/>
      <c r="L742" s="24"/>
      <c r="M742" s="24"/>
      <c r="N742" s="24"/>
      <c r="O742" s="24"/>
      <c r="P742" s="170"/>
      <c r="Q742" s="170"/>
      <c r="R742" s="247"/>
      <c r="S742" s="163"/>
      <c r="T742" s="163"/>
      <c r="U742" s="163"/>
      <c r="V742" s="163"/>
      <c r="W742" s="334" t="s">
        <v>1421</v>
      </c>
      <c r="X742" s="163"/>
      <c r="Y742" s="164"/>
      <c r="Z742" s="24"/>
      <c r="AA742" s="170"/>
      <c r="AB742" s="163"/>
      <c r="AC742" s="251"/>
      <c r="AD742" s="170"/>
      <c r="AE742" s="24"/>
      <c r="AF742" s="170"/>
      <c r="AG742" s="22"/>
      <c r="AH742" s="45"/>
      <c r="AI742" s="24"/>
      <c r="AJ742" s="164"/>
      <c r="AK742" s="22"/>
      <c r="AL742" s="22"/>
      <c r="AM742" s="22"/>
      <c r="AN742" s="22"/>
      <c r="AO742" s="22"/>
      <c r="AP742" s="22"/>
      <c r="AQ742" s="22"/>
      <c r="AR742" s="22"/>
      <c r="AS742" s="22"/>
      <c r="AT742" s="170"/>
      <c r="AU742" s="170"/>
      <c r="AV742" s="170"/>
      <c r="AW742" s="170"/>
      <c r="AX742" s="170"/>
      <c r="AY742" s="170"/>
      <c r="AZ742" s="170"/>
      <c r="BA742" s="170"/>
      <c r="BB742" s="170"/>
      <c r="BC742" s="170"/>
      <c r="BD742" s="170"/>
      <c r="BE742" s="137" t="s">
        <v>115</v>
      </c>
      <c r="BF742" s="137" t="s">
        <v>1422</v>
      </c>
      <c r="BG742" s="167" t="s">
        <v>1423</v>
      </c>
      <c r="BH742" s="220"/>
      <c r="BI742" s="220"/>
      <c r="BJ742" s="220"/>
      <c r="BK742" s="46">
        <f t="shared" si="1"/>
        <v>1</v>
      </c>
      <c r="BL742" s="46"/>
      <c r="BM742" s="46"/>
      <c r="BN742" s="46"/>
    </row>
    <row r="743" spans="1:66" ht="12.75" hidden="1" customHeight="1">
      <c r="A743" s="22">
        <v>741</v>
      </c>
      <c r="B743" s="22" t="s">
        <v>2061</v>
      </c>
      <c r="C743" s="22" t="e">
        <f t="shared" ca="1" si="0"/>
        <v>#NAME?</v>
      </c>
      <c r="D743" s="24" t="s">
        <v>1424</v>
      </c>
      <c r="E743" s="22" t="s">
        <v>180</v>
      </c>
      <c r="F743" s="24" t="s">
        <v>2153</v>
      </c>
      <c r="G743" s="24" t="s">
        <v>2103</v>
      </c>
      <c r="H743" s="24"/>
      <c r="I743" s="24">
        <v>1</v>
      </c>
      <c r="J743" s="24" t="s">
        <v>1767</v>
      </c>
      <c r="K743" s="24"/>
      <c r="L743" s="24"/>
      <c r="M743" s="24"/>
      <c r="N743" s="24"/>
      <c r="O743" s="24"/>
      <c r="P743" s="170"/>
      <c r="Q743" s="170"/>
      <c r="R743" s="247"/>
      <c r="S743" s="163"/>
      <c r="T743" s="163"/>
      <c r="U743" s="163"/>
      <c r="V743" s="163"/>
      <c r="W743" s="334" t="s">
        <v>1424</v>
      </c>
      <c r="X743" s="163"/>
      <c r="Y743" s="164"/>
      <c r="Z743" s="24"/>
      <c r="AA743" s="170"/>
      <c r="AB743" s="163"/>
      <c r="AC743" s="251"/>
      <c r="AD743" s="170"/>
      <c r="AE743" s="24"/>
      <c r="AF743" s="170"/>
      <c r="AG743" s="22"/>
      <c r="AH743" s="45"/>
      <c r="AI743" s="24"/>
      <c r="AJ743" s="164"/>
      <c r="AK743" s="22"/>
      <c r="AL743" s="22"/>
      <c r="AM743" s="22"/>
      <c r="AN743" s="22"/>
      <c r="AO743" s="22"/>
      <c r="AP743" s="22"/>
      <c r="AQ743" s="22"/>
      <c r="AR743" s="22"/>
      <c r="AS743" s="22"/>
      <c r="AT743" s="170"/>
      <c r="AU743" s="170"/>
      <c r="AV743" s="170"/>
      <c r="AW743" s="170"/>
      <c r="AX743" s="170"/>
      <c r="AY743" s="170"/>
      <c r="AZ743" s="170"/>
      <c r="BA743" s="170"/>
      <c r="BB743" s="170"/>
      <c r="BC743" s="170"/>
      <c r="BD743" s="170"/>
      <c r="BE743" s="137" t="s">
        <v>115</v>
      </c>
      <c r="BF743" s="137" t="s">
        <v>1425</v>
      </c>
      <c r="BG743" s="139" t="s">
        <v>1426</v>
      </c>
      <c r="BH743" s="220"/>
      <c r="BI743" s="220"/>
      <c r="BJ743" s="220"/>
      <c r="BK743" s="46">
        <f t="shared" si="1"/>
        <v>1</v>
      </c>
      <c r="BL743" s="46"/>
      <c r="BM743" s="46"/>
      <c r="BN743" s="46"/>
    </row>
    <row r="744" spans="1:66" ht="12.75" hidden="1" customHeight="1">
      <c r="A744" s="22">
        <v>742</v>
      </c>
      <c r="B744" s="22" t="s">
        <v>2062</v>
      </c>
      <c r="C744" s="22" t="e">
        <f t="shared" ca="1" si="0"/>
        <v>#NAME?</v>
      </c>
      <c r="D744" s="24" t="s">
        <v>1427</v>
      </c>
      <c r="E744" s="22" t="s">
        <v>180</v>
      </c>
      <c r="F744" s="24" t="s">
        <v>2153</v>
      </c>
      <c r="G744" s="24" t="s">
        <v>2103</v>
      </c>
      <c r="H744" s="24"/>
      <c r="I744" s="24">
        <v>1</v>
      </c>
      <c r="J744" s="24" t="s">
        <v>1767</v>
      </c>
      <c r="K744" s="24"/>
      <c r="L744" s="24"/>
      <c r="M744" s="24"/>
      <c r="N744" s="24"/>
      <c r="O744" s="24"/>
      <c r="P744" s="170"/>
      <c r="Q744" s="170"/>
      <c r="R744" s="247"/>
      <c r="S744" s="163"/>
      <c r="T744" s="163"/>
      <c r="U744" s="163"/>
      <c r="V744" s="163"/>
      <c r="W744" s="334" t="s">
        <v>1427</v>
      </c>
      <c r="X744" s="163"/>
      <c r="Y744" s="164"/>
      <c r="Z744" s="24"/>
      <c r="AA744" s="170"/>
      <c r="AB744" s="163"/>
      <c r="AC744" s="251"/>
      <c r="AD744" s="170"/>
      <c r="AE744" s="24"/>
      <c r="AF744" s="170"/>
      <c r="AG744" s="22"/>
      <c r="AH744" s="45"/>
      <c r="AI744" s="24"/>
      <c r="AJ744" s="164"/>
      <c r="AK744" s="22"/>
      <c r="AL744" s="22"/>
      <c r="AM744" s="22"/>
      <c r="AN744" s="22"/>
      <c r="AO744" s="22"/>
      <c r="AP744" s="22"/>
      <c r="AQ744" s="22"/>
      <c r="AR744" s="22"/>
      <c r="AS744" s="22"/>
      <c r="AT744" s="170"/>
      <c r="AU744" s="170"/>
      <c r="AV744" s="170"/>
      <c r="AW744" s="170"/>
      <c r="AX744" s="170"/>
      <c r="AY744" s="170"/>
      <c r="AZ744" s="170"/>
      <c r="BA744" s="170"/>
      <c r="BB744" s="170"/>
      <c r="BC744" s="170"/>
      <c r="BD744" s="170"/>
      <c r="BE744" s="137" t="s">
        <v>115</v>
      </c>
      <c r="BF744" s="137" t="s">
        <v>1428</v>
      </c>
      <c r="BG744" s="139" t="s">
        <v>1429</v>
      </c>
      <c r="BH744" s="220"/>
      <c r="BI744" s="220"/>
      <c r="BJ744" s="220"/>
      <c r="BK744" s="46">
        <f t="shared" si="1"/>
        <v>1</v>
      </c>
      <c r="BL744" s="46"/>
      <c r="BM744" s="46"/>
      <c r="BN744" s="46"/>
    </row>
    <row r="745" spans="1:66" ht="12.75" hidden="1" customHeight="1">
      <c r="A745" s="22">
        <v>743</v>
      </c>
      <c r="B745" s="22" t="s">
        <v>2063</v>
      </c>
      <c r="C745" s="22" t="e">
        <f t="shared" ca="1" si="0"/>
        <v>#NAME?</v>
      </c>
      <c r="D745" s="24" t="s">
        <v>1430</v>
      </c>
      <c r="E745" s="22" t="s">
        <v>180</v>
      </c>
      <c r="F745" s="24" t="s">
        <v>2153</v>
      </c>
      <c r="G745" s="24" t="s">
        <v>2103</v>
      </c>
      <c r="H745" s="24"/>
      <c r="I745" s="24">
        <v>1</v>
      </c>
      <c r="J745" s="24" t="s">
        <v>1767</v>
      </c>
      <c r="K745" s="24"/>
      <c r="L745" s="24"/>
      <c r="M745" s="24"/>
      <c r="N745" s="24"/>
      <c r="O745" s="24"/>
      <c r="P745" s="170"/>
      <c r="Q745" s="170"/>
      <c r="R745" s="247"/>
      <c r="S745" s="163"/>
      <c r="T745" s="163"/>
      <c r="U745" s="163"/>
      <c r="V745" s="163"/>
      <c r="W745" s="334" t="s">
        <v>1430</v>
      </c>
      <c r="X745" s="163"/>
      <c r="Y745" s="164"/>
      <c r="Z745" s="24"/>
      <c r="AA745" s="170"/>
      <c r="AB745" s="163"/>
      <c r="AC745" s="251"/>
      <c r="AD745" s="170"/>
      <c r="AE745" s="24"/>
      <c r="AF745" s="170"/>
      <c r="AG745" s="22"/>
      <c r="AH745" s="45"/>
      <c r="AI745" s="24"/>
      <c r="AJ745" s="164"/>
      <c r="AK745" s="22"/>
      <c r="AL745" s="22"/>
      <c r="AM745" s="22"/>
      <c r="AN745" s="22"/>
      <c r="AO745" s="22"/>
      <c r="AP745" s="22"/>
      <c r="AQ745" s="22"/>
      <c r="AR745" s="22"/>
      <c r="AS745" s="22"/>
      <c r="AT745" s="170"/>
      <c r="AU745" s="170"/>
      <c r="AV745" s="170"/>
      <c r="AW745" s="170"/>
      <c r="AX745" s="170"/>
      <c r="AY745" s="170"/>
      <c r="AZ745" s="170"/>
      <c r="BA745" s="170"/>
      <c r="BB745" s="170"/>
      <c r="BC745" s="170"/>
      <c r="BD745" s="170"/>
      <c r="BE745" s="137" t="s">
        <v>115</v>
      </c>
      <c r="BF745" s="137" t="s">
        <v>1431</v>
      </c>
      <c r="BG745" s="139" t="s">
        <v>1432</v>
      </c>
      <c r="BH745" s="220"/>
      <c r="BI745" s="220"/>
      <c r="BJ745" s="220"/>
      <c r="BK745" s="46">
        <f t="shared" si="1"/>
        <v>1</v>
      </c>
      <c r="BL745" s="46"/>
      <c r="BM745" s="46"/>
      <c r="BN745" s="46"/>
    </row>
    <row r="746" spans="1:66" ht="12.75" hidden="1" customHeight="1">
      <c r="A746" s="22">
        <v>744</v>
      </c>
      <c r="B746" s="22" t="s">
        <v>2158</v>
      </c>
      <c r="C746" s="22" t="str">
        <f t="shared" si="0"/>
        <v>Urine dipstick result - protein - Urine</v>
      </c>
      <c r="D746" s="24" t="s">
        <v>2158</v>
      </c>
      <c r="E746" s="22" t="s">
        <v>96</v>
      </c>
      <c r="F746" s="24" t="s">
        <v>1787</v>
      </c>
      <c r="G746" s="24" t="s">
        <v>2103</v>
      </c>
      <c r="H746" s="24"/>
      <c r="I746" s="24">
        <v>1</v>
      </c>
      <c r="J746" s="24" t="s">
        <v>1767</v>
      </c>
      <c r="K746" s="24"/>
      <c r="L746" s="24"/>
      <c r="M746" s="24"/>
      <c r="N746" s="24"/>
      <c r="O746" s="24"/>
      <c r="P746" s="170"/>
      <c r="Q746" s="170"/>
      <c r="R746" s="247" t="s">
        <v>1416</v>
      </c>
      <c r="S746" s="163" t="s">
        <v>1417</v>
      </c>
      <c r="T746" s="163" t="s">
        <v>2160</v>
      </c>
      <c r="U746" s="163" t="s">
        <v>202</v>
      </c>
      <c r="V746" s="163"/>
      <c r="W746" s="163"/>
      <c r="X746" s="163"/>
      <c r="Y746" s="164"/>
      <c r="Z746" s="24"/>
      <c r="AA746" s="170"/>
      <c r="AB746" s="163" t="s">
        <v>113</v>
      </c>
      <c r="AC746" s="251"/>
      <c r="AD746" s="170"/>
      <c r="AE746" s="24"/>
      <c r="AF746" s="170"/>
      <c r="AG746" s="22"/>
      <c r="AH746" s="45"/>
      <c r="AI746" s="24"/>
      <c r="AJ746" s="164" t="s">
        <v>115</v>
      </c>
      <c r="AK746" s="22"/>
      <c r="AL746" s="22"/>
      <c r="AM746" s="22"/>
      <c r="AN746" s="22"/>
      <c r="AO746" s="22"/>
      <c r="AP746" s="22"/>
      <c r="AQ746" s="22"/>
      <c r="AR746" s="22"/>
      <c r="AS746" s="22"/>
      <c r="AT746" s="170"/>
      <c r="AU746" s="170"/>
      <c r="AV746" s="170"/>
      <c r="AW746" s="170"/>
      <c r="AX746" s="170"/>
      <c r="AY746" s="170"/>
      <c r="AZ746" s="170"/>
      <c r="BA746" s="170"/>
      <c r="BB746" s="170"/>
      <c r="BC746" s="170"/>
      <c r="BD746" s="170"/>
      <c r="BE746" s="137" t="s">
        <v>2161</v>
      </c>
      <c r="BF746" s="143" t="s">
        <v>1419</v>
      </c>
      <c r="BG746" s="139" t="s">
        <v>1420</v>
      </c>
      <c r="BH746" s="220"/>
      <c r="BI746" s="220"/>
      <c r="BJ746" s="220"/>
      <c r="BK746" s="46">
        <f t="shared" si="1"/>
        <v>1</v>
      </c>
      <c r="BL746" s="46"/>
      <c r="BM746" s="46"/>
      <c r="BN746" s="46"/>
    </row>
    <row r="747" spans="1:66" ht="12.75" hidden="1" customHeight="1">
      <c r="A747" s="22">
        <v>745</v>
      </c>
      <c r="B747" s="22" t="s">
        <v>553</v>
      </c>
      <c r="C747" s="22" t="e">
        <f t="shared" ca="1" si="0"/>
        <v>#NAME?</v>
      </c>
      <c r="D747" s="24" t="s">
        <v>423</v>
      </c>
      <c r="E747" s="22" t="s">
        <v>180</v>
      </c>
      <c r="F747" s="24" t="s">
        <v>1416</v>
      </c>
      <c r="G747" s="24" t="s">
        <v>2103</v>
      </c>
      <c r="H747" s="24"/>
      <c r="I747" s="24">
        <v>1</v>
      </c>
      <c r="J747" s="24" t="s">
        <v>1767</v>
      </c>
      <c r="K747" s="24"/>
      <c r="L747" s="24"/>
      <c r="M747" s="24"/>
      <c r="N747" s="24"/>
      <c r="O747" s="24"/>
      <c r="P747" s="170"/>
      <c r="Q747" s="170"/>
      <c r="R747" s="247"/>
      <c r="S747" s="163"/>
      <c r="T747" s="163"/>
      <c r="U747" s="163"/>
      <c r="V747" s="163"/>
      <c r="W747" s="163" t="s">
        <v>423</v>
      </c>
      <c r="X747" s="163"/>
      <c r="Y747" s="164"/>
      <c r="Z747" s="24"/>
      <c r="AA747" s="170"/>
      <c r="AB747" s="163"/>
      <c r="AC747" s="251"/>
      <c r="AD747" s="170"/>
      <c r="AE747" s="24"/>
      <c r="AF747" s="170"/>
      <c r="AG747" s="22"/>
      <c r="AH747" s="45"/>
      <c r="AI747" s="24"/>
      <c r="AJ747" s="164"/>
      <c r="AK747" s="22"/>
      <c r="AL747" s="22"/>
      <c r="AM747" s="22"/>
      <c r="AN747" s="22"/>
      <c r="AO747" s="22"/>
      <c r="AP747" s="22"/>
      <c r="AQ747" s="22"/>
      <c r="AR747" s="22"/>
      <c r="AS747" s="22"/>
      <c r="AT747" s="170"/>
      <c r="AU747" s="170"/>
      <c r="AV747" s="170"/>
      <c r="AW747" s="170"/>
      <c r="AX747" s="170"/>
      <c r="AY747" s="170"/>
      <c r="AZ747" s="170"/>
      <c r="BA747" s="170"/>
      <c r="BB747" s="170"/>
      <c r="BC747" s="170"/>
      <c r="BD747" s="170"/>
      <c r="BE747" s="137" t="s">
        <v>115</v>
      </c>
      <c r="BF747" s="143" t="s">
        <v>424</v>
      </c>
      <c r="BG747" s="139" t="s">
        <v>425</v>
      </c>
      <c r="BH747" s="220"/>
      <c r="BI747" s="220"/>
      <c r="BJ747" s="220"/>
      <c r="BK747" s="46">
        <f t="shared" si="1"/>
        <v>1</v>
      </c>
      <c r="BL747" s="46"/>
      <c r="BM747" s="46"/>
      <c r="BN747" s="46"/>
    </row>
    <row r="748" spans="1:66" ht="12.75" hidden="1" customHeight="1">
      <c r="A748" s="22">
        <v>746</v>
      </c>
      <c r="B748" s="22" t="s">
        <v>2049</v>
      </c>
      <c r="C748" s="22" t="e">
        <f t="shared" ca="1" si="0"/>
        <v>#NAME?</v>
      </c>
      <c r="D748" s="24" t="s">
        <v>1421</v>
      </c>
      <c r="E748" s="22" t="s">
        <v>180</v>
      </c>
      <c r="F748" s="24" t="s">
        <v>1416</v>
      </c>
      <c r="G748" s="24" t="s">
        <v>2103</v>
      </c>
      <c r="H748" s="24"/>
      <c r="I748" s="24">
        <v>1</v>
      </c>
      <c r="J748" s="24" t="s">
        <v>1767</v>
      </c>
      <c r="K748" s="24"/>
      <c r="L748" s="24"/>
      <c r="M748" s="24"/>
      <c r="N748" s="24"/>
      <c r="O748" s="24"/>
      <c r="P748" s="170"/>
      <c r="Q748" s="170"/>
      <c r="R748" s="247"/>
      <c r="S748" s="163"/>
      <c r="T748" s="163"/>
      <c r="U748" s="163"/>
      <c r="V748" s="163"/>
      <c r="W748" s="334" t="s">
        <v>1421</v>
      </c>
      <c r="X748" s="163"/>
      <c r="Y748" s="164"/>
      <c r="Z748" s="24"/>
      <c r="AA748" s="170"/>
      <c r="AB748" s="163"/>
      <c r="AC748" s="251"/>
      <c r="AD748" s="170"/>
      <c r="AE748" s="24"/>
      <c r="AF748" s="170"/>
      <c r="AG748" s="22"/>
      <c r="AH748" s="45"/>
      <c r="AI748" s="24"/>
      <c r="AJ748" s="164"/>
      <c r="AK748" s="22"/>
      <c r="AL748" s="22"/>
      <c r="AM748" s="22"/>
      <c r="AN748" s="22"/>
      <c r="AO748" s="22"/>
      <c r="AP748" s="22"/>
      <c r="AQ748" s="22"/>
      <c r="AR748" s="22"/>
      <c r="AS748" s="22"/>
      <c r="AT748" s="170"/>
      <c r="AU748" s="170"/>
      <c r="AV748" s="170"/>
      <c r="AW748" s="170"/>
      <c r="AX748" s="170"/>
      <c r="AY748" s="170"/>
      <c r="AZ748" s="170"/>
      <c r="BA748" s="170"/>
      <c r="BB748" s="170"/>
      <c r="BC748" s="170"/>
      <c r="BD748" s="170"/>
      <c r="BE748" s="137" t="s">
        <v>115</v>
      </c>
      <c r="BF748" s="137" t="s">
        <v>1422</v>
      </c>
      <c r="BG748" s="167" t="s">
        <v>1423</v>
      </c>
      <c r="BH748" s="220"/>
      <c r="BI748" s="220"/>
      <c r="BJ748" s="220"/>
      <c r="BK748" s="46">
        <f t="shared" si="1"/>
        <v>1</v>
      </c>
      <c r="BL748" s="46"/>
      <c r="BM748" s="46"/>
      <c r="BN748" s="46"/>
    </row>
    <row r="749" spans="1:66" ht="12.75" hidden="1" customHeight="1">
      <c r="A749" s="22">
        <v>747</v>
      </c>
      <c r="B749" s="22" t="s">
        <v>2061</v>
      </c>
      <c r="C749" s="22" t="e">
        <f t="shared" ca="1" si="0"/>
        <v>#NAME?</v>
      </c>
      <c r="D749" s="24" t="s">
        <v>1424</v>
      </c>
      <c r="E749" s="22" t="s">
        <v>180</v>
      </c>
      <c r="F749" s="24" t="s">
        <v>1416</v>
      </c>
      <c r="G749" s="24" t="s">
        <v>2103</v>
      </c>
      <c r="H749" s="24"/>
      <c r="I749" s="24">
        <v>1</v>
      </c>
      <c r="J749" s="24" t="s">
        <v>1767</v>
      </c>
      <c r="K749" s="24"/>
      <c r="L749" s="24"/>
      <c r="M749" s="24"/>
      <c r="N749" s="24"/>
      <c r="O749" s="24"/>
      <c r="P749" s="170"/>
      <c r="Q749" s="170"/>
      <c r="R749" s="247"/>
      <c r="S749" s="163"/>
      <c r="T749" s="163"/>
      <c r="U749" s="163"/>
      <c r="V749" s="163"/>
      <c r="W749" s="334" t="s">
        <v>1424</v>
      </c>
      <c r="X749" s="163"/>
      <c r="Y749" s="164"/>
      <c r="Z749" s="24"/>
      <c r="AA749" s="170"/>
      <c r="AB749" s="163"/>
      <c r="AC749" s="251"/>
      <c r="AD749" s="170"/>
      <c r="AE749" s="24"/>
      <c r="AF749" s="170"/>
      <c r="AG749" s="22"/>
      <c r="AH749" s="45"/>
      <c r="AI749" s="24"/>
      <c r="AJ749" s="164"/>
      <c r="AK749" s="22"/>
      <c r="AL749" s="22"/>
      <c r="AM749" s="22"/>
      <c r="AN749" s="22"/>
      <c r="AO749" s="22"/>
      <c r="AP749" s="22"/>
      <c r="AQ749" s="22"/>
      <c r="AR749" s="22"/>
      <c r="AS749" s="22"/>
      <c r="AT749" s="170"/>
      <c r="AU749" s="170"/>
      <c r="AV749" s="170"/>
      <c r="AW749" s="170"/>
      <c r="AX749" s="170"/>
      <c r="AY749" s="170"/>
      <c r="AZ749" s="170"/>
      <c r="BA749" s="170"/>
      <c r="BB749" s="170"/>
      <c r="BC749" s="170"/>
      <c r="BD749" s="170"/>
      <c r="BE749" s="137" t="s">
        <v>115</v>
      </c>
      <c r="BF749" s="137" t="s">
        <v>1425</v>
      </c>
      <c r="BG749" s="139" t="s">
        <v>1426</v>
      </c>
      <c r="BH749" s="220"/>
      <c r="BI749" s="220"/>
      <c r="BJ749" s="220"/>
      <c r="BK749" s="46">
        <f t="shared" si="1"/>
        <v>1</v>
      </c>
      <c r="BL749" s="46"/>
      <c r="BM749" s="46"/>
      <c r="BN749" s="46"/>
    </row>
    <row r="750" spans="1:66" ht="12.75" hidden="1" customHeight="1">
      <c r="A750" s="22">
        <v>748</v>
      </c>
      <c r="B750" s="22" t="s">
        <v>2062</v>
      </c>
      <c r="C750" s="22" t="e">
        <f t="shared" ca="1" si="0"/>
        <v>#NAME?</v>
      </c>
      <c r="D750" s="24" t="s">
        <v>1427</v>
      </c>
      <c r="E750" s="22" t="s">
        <v>180</v>
      </c>
      <c r="F750" s="24" t="s">
        <v>1416</v>
      </c>
      <c r="G750" s="24" t="s">
        <v>2103</v>
      </c>
      <c r="H750" s="24"/>
      <c r="I750" s="24">
        <v>1</v>
      </c>
      <c r="J750" s="24" t="s">
        <v>1767</v>
      </c>
      <c r="K750" s="24"/>
      <c r="L750" s="24"/>
      <c r="M750" s="24"/>
      <c r="N750" s="24"/>
      <c r="O750" s="24"/>
      <c r="P750" s="170"/>
      <c r="Q750" s="170"/>
      <c r="R750" s="247"/>
      <c r="S750" s="163"/>
      <c r="T750" s="163"/>
      <c r="U750" s="163"/>
      <c r="V750" s="163"/>
      <c r="W750" s="334" t="s">
        <v>1427</v>
      </c>
      <c r="X750" s="163"/>
      <c r="Y750" s="164"/>
      <c r="Z750" s="24"/>
      <c r="AA750" s="170"/>
      <c r="AB750" s="163"/>
      <c r="AC750" s="251"/>
      <c r="AD750" s="170"/>
      <c r="AE750" s="24"/>
      <c r="AF750" s="170"/>
      <c r="AG750" s="22"/>
      <c r="AH750" s="45"/>
      <c r="AI750" s="24"/>
      <c r="AJ750" s="164"/>
      <c r="AK750" s="22"/>
      <c r="AL750" s="22"/>
      <c r="AM750" s="22"/>
      <c r="AN750" s="22"/>
      <c r="AO750" s="22"/>
      <c r="AP750" s="22"/>
      <c r="AQ750" s="22"/>
      <c r="AR750" s="22"/>
      <c r="AS750" s="22"/>
      <c r="AT750" s="170"/>
      <c r="AU750" s="170"/>
      <c r="AV750" s="170"/>
      <c r="AW750" s="170"/>
      <c r="AX750" s="170"/>
      <c r="AY750" s="170"/>
      <c r="AZ750" s="170"/>
      <c r="BA750" s="170"/>
      <c r="BB750" s="170"/>
      <c r="BC750" s="170"/>
      <c r="BD750" s="170"/>
      <c r="BE750" s="137" t="s">
        <v>115</v>
      </c>
      <c r="BF750" s="137" t="s">
        <v>1428</v>
      </c>
      <c r="BG750" s="139" t="s">
        <v>1429</v>
      </c>
      <c r="BH750" s="220"/>
      <c r="BI750" s="220"/>
      <c r="BJ750" s="220"/>
      <c r="BK750" s="46">
        <f t="shared" si="1"/>
        <v>1</v>
      </c>
      <c r="BL750" s="46"/>
      <c r="BM750" s="46"/>
      <c r="BN750" s="46"/>
    </row>
    <row r="751" spans="1:66" ht="12.75" hidden="1" customHeight="1">
      <c r="A751" s="22">
        <v>749</v>
      </c>
      <c r="B751" s="22" t="s">
        <v>2063</v>
      </c>
      <c r="C751" s="22" t="e">
        <f t="shared" ca="1" si="0"/>
        <v>#NAME?</v>
      </c>
      <c r="D751" s="24" t="s">
        <v>1430</v>
      </c>
      <c r="E751" s="22" t="s">
        <v>180</v>
      </c>
      <c r="F751" s="24" t="s">
        <v>1416</v>
      </c>
      <c r="G751" s="24" t="s">
        <v>2103</v>
      </c>
      <c r="H751" s="24"/>
      <c r="I751" s="24">
        <v>1</v>
      </c>
      <c r="J751" s="24" t="s">
        <v>1767</v>
      </c>
      <c r="K751" s="24"/>
      <c r="L751" s="24"/>
      <c r="M751" s="24"/>
      <c r="N751" s="24"/>
      <c r="O751" s="24"/>
      <c r="P751" s="164"/>
      <c r="Q751" s="164"/>
      <c r="R751" s="169"/>
      <c r="S751" s="164"/>
      <c r="T751" s="164"/>
      <c r="U751" s="164"/>
      <c r="V751" s="163"/>
      <c r="W751" s="163"/>
      <c r="X751" s="164"/>
      <c r="Y751" s="164"/>
      <c r="Z751" s="24"/>
      <c r="AA751" s="164"/>
      <c r="AB751" s="164"/>
      <c r="AC751" s="269"/>
      <c r="AD751" s="164"/>
      <c r="AE751" s="24"/>
      <c r="AF751" s="164"/>
      <c r="AG751" s="22"/>
      <c r="AH751" s="45"/>
      <c r="AI751" s="24"/>
      <c r="AJ751" s="164"/>
      <c r="AK751" s="22"/>
      <c r="AL751" s="22"/>
      <c r="AM751" s="22"/>
      <c r="AN751" s="22"/>
      <c r="AO751" s="22"/>
      <c r="AP751" s="22"/>
      <c r="AQ751" s="22"/>
      <c r="AR751" s="22"/>
      <c r="AS751" s="22"/>
      <c r="AT751" s="164"/>
      <c r="AU751" s="164"/>
      <c r="AV751" s="164"/>
      <c r="AW751" s="164"/>
      <c r="AX751" s="164"/>
      <c r="AY751" s="164"/>
      <c r="AZ751" s="164"/>
      <c r="BA751" s="164"/>
      <c r="BB751" s="164"/>
      <c r="BC751" s="164"/>
      <c r="BD751" s="164"/>
      <c r="BE751" s="137" t="s">
        <v>115</v>
      </c>
      <c r="BF751" s="137" t="s">
        <v>1431</v>
      </c>
      <c r="BG751" s="139" t="s">
        <v>1432</v>
      </c>
      <c r="BH751" s="220"/>
      <c r="BI751" s="220"/>
      <c r="BJ751" s="220"/>
      <c r="BK751" s="46">
        <f t="shared" si="1"/>
        <v>1</v>
      </c>
      <c r="BL751" s="46"/>
      <c r="BM751" s="46"/>
      <c r="BN751" s="46"/>
    </row>
    <row r="752" spans="1:66" ht="12.75" hidden="1" customHeight="1">
      <c r="A752" s="22">
        <v>750</v>
      </c>
      <c r="B752" s="22" t="s">
        <v>2164</v>
      </c>
      <c r="C752" s="22" t="str">
        <f t="shared" si="0"/>
        <v>Urine dipstick result - glucose</v>
      </c>
      <c r="D752" s="24" t="s">
        <v>2164</v>
      </c>
      <c r="E752" s="22" t="s">
        <v>96</v>
      </c>
      <c r="F752" s="24" t="s">
        <v>1787</v>
      </c>
      <c r="G752" s="24" t="s">
        <v>2103</v>
      </c>
      <c r="H752" s="24"/>
      <c r="I752" s="24">
        <v>1</v>
      </c>
      <c r="J752" s="24" t="s">
        <v>1767</v>
      </c>
      <c r="K752" s="24"/>
      <c r="L752" s="24"/>
      <c r="M752" s="24"/>
      <c r="N752" s="24"/>
      <c r="O752" s="24"/>
      <c r="P752" s="170"/>
      <c r="Q752" s="170"/>
      <c r="R752" s="247" t="s">
        <v>2164</v>
      </c>
      <c r="S752" s="163" t="s">
        <v>2165</v>
      </c>
      <c r="T752" s="163" t="s">
        <v>2166</v>
      </c>
      <c r="U752" s="163" t="s">
        <v>202</v>
      </c>
      <c r="V752" s="163"/>
      <c r="W752" s="163"/>
      <c r="X752" s="163"/>
      <c r="Y752" s="164"/>
      <c r="Z752" s="24"/>
      <c r="AA752" s="170"/>
      <c r="AB752" s="163" t="s">
        <v>113</v>
      </c>
      <c r="AC752" s="251"/>
      <c r="AD752" s="170"/>
      <c r="AE752" s="24"/>
      <c r="AF752" s="170"/>
      <c r="AG752" s="22"/>
      <c r="AH752" s="45"/>
      <c r="AI752" s="24"/>
      <c r="AJ752" s="164" t="s">
        <v>115</v>
      </c>
      <c r="AK752" s="22"/>
      <c r="AL752" s="22"/>
      <c r="AM752" s="22"/>
      <c r="AN752" s="22"/>
      <c r="AO752" s="22"/>
      <c r="AP752" s="22"/>
      <c r="AQ752" s="22"/>
      <c r="AR752" s="22"/>
      <c r="AS752" s="22"/>
      <c r="AT752" s="170"/>
      <c r="AU752" s="170"/>
      <c r="AV752" s="170"/>
      <c r="AW752" s="170"/>
      <c r="AX752" s="170"/>
      <c r="AY752" s="170"/>
      <c r="AZ752" s="170"/>
      <c r="BA752" s="170"/>
      <c r="BB752" s="170"/>
      <c r="BC752" s="170"/>
      <c r="BD752" s="170"/>
      <c r="BE752" s="137" t="s">
        <v>115</v>
      </c>
      <c r="BF752" s="143" t="s">
        <v>2167</v>
      </c>
      <c r="BG752" s="139" t="s">
        <v>2168</v>
      </c>
      <c r="BH752" s="220"/>
      <c r="BI752" s="220"/>
      <c r="BJ752" s="220"/>
      <c r="BK752" s="46">
        <f t="shared" si="1"/>
        <v>1</v>
      </c>
      <c r="BL752" s="46"/>
      <c r="BM752" s="46"/>
      <c r="BN752" s="46"/>
    </row>
    <row r="753" spans="1:66" ht="12.75" hidden="1" customHeight="1">
      <c r="A753" s="22">
        <v>751</v>
      </c>
      <c r="B753" s="22" t="s">
        <v>553</v>
      </c>
      <c r="C753" s="22" t="e">
        <f t="shared" ca="1" si="0"/>
        <v>#NAME?</v>
      </c>
      <c r="D753" s="24" t="s">
        <v>423</v>
      </c>
      <c r="E753" s="22" t="s">
        <v>180</v>
      </c>
      <c r="F753" s="24" t="s">
        <v>2164</v>
      </c>
      <c r="G753" s="24" t="s">
        <v>2103</v>
      </c>
      <c r="H753" s="24"/>
      <c r="I753" s="24">
        <v>1</v>
      </c>
      <c r="J753" s="24" t="s">
        <v>1767</v>
      </c>
      <c r="K753" s="24"/>
      <c r="L753" s="24"/>
      <c r="M753" s="24"/>
      <c r="N753" s="24"/>
      <c r="O753" s="24"/>
      <c r="P753" s="170"/>
      <c r="Q753" s="170"/>
      <c r="R753" s="162"/>
      <c r="S753" s="163"/>
      <c r="T753" s="163"/>
      <c r="U753" s="163"/>
      <c r="V753" s="163"/>
      <c r="W753" s="163" t="s">
        <v>423</v>
      </c>
      <c r="X753" s="163"/>
      <c r="Y753" s="163"/>
      <c r="Z753" s="24"/>
      <c r="AA753" s="170"/>
      <c r="AB753" s="163"/>
      <c r="AC753" s="251"/>
      <c r="AD753" s="170"/>
      <c r="AE753" s="24"/>
      <c r="AF753" s="170"/>
      <c r="AG753" s="22"/>
      <c r="AH753" s="45"/>
      <c r="AI753" s="24"/>
      <c r="AJ753" s="164"/>
      <c r="AK753" s="22"/>
      <c r="AL753" s="22"/>
      <c r="AM753" s="22"/>
      <c r="AN753" s="22"/>
      <c r="AO753" s="22"/>
      <c r="AP753" s="22"/>
      <c r="AQ753" s="22"/>
      <c r="AR753" s="22"/>
      <c r="AS753" s="22"/>
      <c r="AT753" s="170"/>
      <c r="AU753" s="170"/>
      <c r="AV753" s="170"/>
      <c r="AW753" s="170"/>
      <c r="AX753" s="170"/>
      <c r="AY753" s="170"/>
      <c r="AZ753" s="170"/>
      <c r="BA753" s="170"/>
      <c r="BB753" s="170"/>
      <c r="BC753" s="170"/>
      <c r="BD753" s="170"/>
      <c r="BE753" s="137" t="s">
        <v>115</v>
      </c>
      <c r="BF753" s="143" t="s">
        <v>424</v>
      </c>
      <c r="BG753" s="139" t="s">
        <v>425</v>
      </c>
      <c r="BH753" s="220"/>
      <c r="BI753" s="220"/>
      <c r="BJ753" s="220"/>
      <c r="BK753" s="46">
        <f t="shared" si="1"/>
        <v>1</v>
      </c>
      <c r="BL753" s="46"/>
      <c r="BM753" s="46"/>
      <c r="BN753" s="46"/>
    </row>
    <row r="754" spans="1:66" ht="12.75" hidden="1" customHeight="1">
      <c r="A754" s="22">
        <v>752</v>
      </c>
      <c r="B754" s="22" t="s">
        <v>2049</v>
      </c>
      <c r="C754" s="22" t="e">
        <f t="shared" ca="1" si="0"/>
        <v>#NAME?</v>
      </c>
      <c r="D754" s="24" t="s">
        <v>1421</v>
      </c>
      <c r="E754" s="22" t="s">
        <v>180</v>
      </c>
      <c r="F754" s="24" t="s">
        <v>2164</v>
      </c>
      <c r="G754" s="24" t="s">
        <v>2103</v>
      </c>
      <c r="H754" s="24"/>
      <c r="I754" s="24">
        <v>1</v>
      </c>
      <c r="J754" s="24" t="s">
        <v>1767</v>
      </c>
      <c r="K754" s="24"/>
      <c r="L754" s="24"/>
      <c r="M754" s="24"/>
      <c r="N754" s="24"/>
      <c r="O754" s="24"/>
      <c r="P754" s="170"/>
      <c r="Q754" s="170"/>
      <c r="R754" s="162"/>
      <c r="S754" s="163"/>
      <c r="T754" s="163"/>
      <c r="U754" s="163"/>
      <c r="V754" s="163"/>
      <c r="W754" s="334" t="s">
        <v>1421</v>
      </c>
      <c r="X754" s="163"/>
      <c r="Y754" s="163"/>
      <c r="Z754" s="24"/>
      <c r="AA754" s="170"/>
      <c r="AB754" s="163"/>
      <c r="AC754" s="251"/>
      <c r="AD754" s="170"/>
      <c r="AE754" s="24"/>
      <c r="AF754" s="170"/>
      <c r="AG754" s="22"/>
      <c r="AH754" s="45"/>
      <c r="AI754" s="24"/>
      <c r="AJ754" s="164"/>
      <c r="AK754" s="22"/>
      <c r="AL754" s="22"/>
      <c r="AM754" s="22"/>
      <c r="AN754" s="22"/>
      <c r="AO754" s="22"/>
      <c r="AP754" s="22"/>
      <c r="AQ754" s="22"/>
      <c r="AR754" s="22"/>
      <c r="AS754" s="22"/>
      <c r="AT754" s="170"/>
      <c r="AU754" s="170"/>
      <c r="AV754" s="170"/>
      <c r="AW754" s="170"/>
      <c r="AX754" s="170"/>
      <c r="AY754" s="170"/>
      <c r="AZ754" s="170"/>
      <c r="BA754" s="170"/>
      <c r="BB754" s="170"/>
      <c r="BC754" s="170"/>
      <c r="BD754" s="170"/>
      <c r="BE754" s="137" t="s">
        <v>115</v>
      </c>
      <c r="BF754" s="137" t="s">
        <v>1422</v>
      </c>
      <c r="BG754" s="167" t="s">
        <v>1423</v>
      </c>
      <c r="BH754" s="220"/>
      <c r="BI754" s="220"/>
      <c r="BJ754" s="220"/>
      <c r="BK754" s="46">
        <f t="shared" si="1"/>
        <v>1</v>
      </c>
      <c r="BL754" s="46"/>
      <c r="BM754" s="46"/>
      <c r="BN754" s="46"/>
    </row>
    <row r="755" spans="1:66" ht="12.75" hidden="1" customHeight="1">
      <c r="A755" s="22">
        <v>753</v>
      </c>
      <c r="B755" s="22" t="s">
        <v>2061</v>
      </c>
      <c r="C755" s="22" t="e">
        <f t="shared" ca="1" si="0"/>
        <v>#NAME?</v>
      </c>
      <c r="D755" s="24" t="s">
        <v>1424</v>
      </c>
      <c r="E755" s="22" t="s">
        <v>180</v>
      </c>
      <c r="F755" s="24" t="s">
        <v>2164</v>
      </c>
      <c r="G755" s="24" t="s">
        <v>2103</v>
      </c>
      <c r="H755" s="24"/>
      <c r="I755" s="24">
        <v>1</v>
      </c>
      <c r="J755" s="24" t="s">
        <v>1767</v>
      </c>
      <c r="K755" s="24"/>
      <c r="L755" s="24"/>
      <c r="M755" s="24"/>
      <c r="N755" s="24"/>
      <c r="O755" s="24"/>
      <c r="P755" s="170"/>
      <c r="Q755" s="170"/>
      <c r="R755" s="162"/>
      <c r="S755" s="163"/>
      <c r="T755" s="163"/>
      <c r="U755" s="163"/>
      <c r="V755" s="163"/>
      <c r="W755" s="334" t="s">
        <v>1424</v>
      </c>
      <c r="X755" s="163"/>
      <c r="Y755" s="163"/>
      <c r="Z755" s="24"/>
      <c r="AA755" s="170"/>
      <c r="AB755" s="163"/>
      <c r="AC755" s="251"/>
      <c r="AD755" s="170"/>
      <c r="AE755" s="24"/>
      <c r="AF755" s="170"/>
      <c r="AG755" s="22"/>
      <c r="AH755" s="45"/>
      <c r="AI755" s="24"/>
      <c r="AJ755" s="164"/>
      <c r="AK755" s="22"/>
      <c r="AL755" s="22"/>
      <c r="AM755" s="22"/>
      <c r="AN755" s="22"/>
      <c r="AO755" s="22"/>
      <c r="AP755" s="22"/>
      <c r="AQ755" s="22"/>
      <c r="AR755" s="22"/>
      <c r="AS755" s="22"/>
      <c r="AT755" s="170"/>
      <c r="AU755" s="170"/>
      <c r="AV755" s="170"/>
      <c r="AW755" s="170"/>
      <c r="AX755" s="170"/>
      <c r="AY755" s="170"/>
      <c r="AZ755" s="170"/>
      <c r="BA755" s="170"/>
      <c r="BB755" s="170"/>
      <c r="BC755" s="170"/>
      <c r="BD755" s="170"/>
      <c r="BE755" s="137" t="s">
        <v>115</v>
      </c>
      <c r="BF755" s="137" t="s">
        <v>1425</v>
      </c>
      <c r="BG755" s="139" t="s">
        <v>1426</v>
      </c>
      <c r="BH755" s="220"/>
      <c r="BI755" s="220"/>
      <c r="BJ755" s="220"/>
      <c r="BK755" s="46">
        <f t="shared" si="1"/>
        <v>1</v>
      </c>
      <c r="BL755" s="46"/>
      <c r="BM755" s="46"/>
      <c r="BN755" s="46"/>
    </row>
    <row r="756" spans="1:66" ht="12.75" hidden="1" customHeight="1">
      <c r="A756" s="22">
        <v>754</v>
      </c>
      <c r="B756" s="22" t="s">
        <v>2062</v>
      </c>
      <c r="C756" s="22" t="e">
        <f t="shared" ca="1" si="0"/>
        <v>#NAME?</v>
      </c>
      <c r="D756" s="24" t="s">
        <v>1427</v>
      </c>
      <c r="E756" s="22" t="s">
        <v>180</v>
      </c>
      <c r="F756" s="24" t="s">
        <v>2164</v>
      </c>
      <c r="G756" s="24" t="s">
        <v>2103</v>
      </c>
      <c r="H756" s="24"/>
      <c r="I756" s="24">
        <v>1</v>
      </c>
      <c r="J756" s="24" t="s">
        <v>1767</v>
      </c>
      <c r="K756" s="24"/>
      <c r="L756" s="24"/>
      <c r="M756" s="24"/>
      <c r="N756" s="24"/>
      <c r="O756" s="24"/>
      <c r="P756" s="170"/>
      <c r="Q756" s="170"/>
      <c r="R756" s="162"/>
      <c r="S756" s="163"/>
      <c r="T756" s="163"/>
      <c r="U756" s="163"/>
      <c r="V756" s="163"/>
      <c r="W756" s="334" t="s">
        <v>1427</v>
      </c>
      <c r="X756" s="163"/>
      <c r="Y756" s="163"/>
      <c r="Z756" s="24"/>
      <c r="AA756" s="170"/>
      <c r="AB756" s="163"/>
      <c r="AC756" s="251"/>
      <c r="AD756" s="170"/>
      <c r="AE756" s="24"/>
      <c r="AF756" s="170"/>
      <c r="AG756" s="22"/>
      <c r="AH756" s="45"/>
      <c r="AI756" s="24"/>
      <c r="AJ756" s="164"/>
      <c r="AK756" s="22"/>
      <c r="AL756" s="22"/>
      <c r="AM756" s="22"/>
      <c r="AN756" s="22"/>
      <c r="AO756" s="22"/>
      <c r="AP756" s="22"/>
      <c r="AQ756" s="22"/>
      <c r="AR756" s="22"/>
      <c r="AS756" s="22"/>
      <c r="AT756" s="170"/>
      <c r="AU756" s="170"/>
      <c r="AV756" s="170"/>
      <c r="AW756" s="170"/>
      <c r="AX756" s="170"/>
      <c r="AY756" s="170"/>
      <c r="AZ756" s="170"/>
      <c r="BA756" s="170"/>
      <c r="BB756" s="170"/>
      <c r="BC756" s="170"/>
      <c r="BD756" s="170"/>
      <c r="BE756" s="137" t="s">
        <v>115</v>
      </c>
      <c r="BF756" s="137" t="s">
        <v>1428</v>
      </c>
      <c r="BG756" s="139" t="s">
        <v>1429</v>
      </c>
      <c r="BH756" s="220"/>
      <c r="BI756" s="220"/>
      <c r="BJ756" s="220"/>
      <c r="BK756" s="46">
        <f t="shared" si="1"/>
        <v>1</v>
      </c>
      <c r="BL756" s="46"/>
      <c r="BM756" s="46"/>
      <c r="BN756" s="46"/>
    </row>
    <row r="757" spans="1:66" ht="12.75" hidden="1" customHeight="1">
      <c r="A757" s="22">
        <v>755</v>
      </c>
      <c r="B757" s="22" t="s">
        <v>2063</v>
      </c>
      <c r="C757" s="22" t="e">
        <f t="shared" ca="1" si="0"/>
        <v>#NAME?</v>
      </c>
      <c r="D757" s="24" t="s">
        <v>1430</v>
      </c>
      <c r="E757" s="22" t="s">
        <v>180</v>
      </c>
      <c r="F757" s="24" t="s">
        <v>2164</v>
      </c>
      <c r="G757" s="24" t="s">
        <v>2103</v>
      </c>
      <c r="H757" s="24"/>
      <c r="I757" s="24">
        <v>1</v>
      </c>
      <c r="J757" s="24" t="s">
        <v>1767</v>
      </c>
      <c r="K757" s="24"/>
      <c r="L757" s="24"/>
      <c r="M757" s="24"/>
      <c r="N757" s="24"/>
      <c r="O757" s="24"/>
      <c r="P757" s="170"/>
      <c r="Q757" s="170"/>
      <c r="R757" s="162"/>
      <c r="S757" s="163"/>
      <c r="T757" s="163"/>
      <c r="U757" s="163"/>
      <c r="V757" s="163"/>
      <c r="W757" s="334" t="s">
        <v>1430</v>
      </c>
      <c r="X757" s="163"/>
      <c r="Y757" s="163"/>
      <c r="Z757" s="24"/>
      <c r="AA757" s="170"/>
      <c r="AB757" s="163"/>
      <c r="AC757" s="251"/>
      <c r="AD757" s="170"/>
      <c r="AE757" s="24"/>
      <c r="AF757" s="170"/>
      <c r="AG757" s="22"/>
      <c r="AH757" s="45"/>
      <c r="AI757" s="24"/>
      <c r="AJ757" s="164"/>
      <c r="AK757" s="22"/>
      <c r="AL757" s="22"/>
      <c r="AM757" s="22"/>
      <c r="AN757" s="22"/>
      <c r="AO757" s="22"/>
      <c r="AP757" s="22"/>
      <c r="AQ757" s="22"/>
      <c r="AR757" s="22"/>
      <c r="AS757" s="22"/>
      <c r="AT757" s="170"/>
      <c r="AU757" s="170"/>
      <c r="AV757" s="170"/>
      <c r="AW757" s="170"/>
      <c r="AX757" s="170"/>
      <c r="AY757" s="170"/>
      <c r="AZ757" s="170"/>
      <c r="BA757" s="170"/>
      <c r="BB757" s="170"/>
      <c r="BC757" s="170"/>
      <c r="BD757" s="170"/>
      <c r="BE757" s="137" t="s">
        <v>115</v>
      </c>
      <c r="BF757" s="137" t="s">
        <v>1431</v>
      </c>
      <c r="BG757" s="139" t="s">
        <v>1432</v>
      </c>
      <c r="BH757" s="220"/>
      <c r="BI757" s="220"/>
      <c r="BJ757" s="220"/>
      <c r="BK757" s="46">
        <f t="shared" si="1"/>
        <v>1</v>
      </c>
      <c r="BL757" s="46"/>
      <c r="BM757" s="46"/>
      <c r="BN757" s="46"/>
    </row>
    <row r="758" spans="1:66" ht="12.75" hidden="1" customHeight="1">
      <c r="A758" s="22">
        <v>756</v>
      </c>
      <c r="B758" s="22" t="s">
        <v>2170</v>
      </c>
      <c r="C758" s="22" t="str">
        <f t="shared" si="0"/>
        <v>asb_positive</v>
      </c>
      <c r="D758" s="24" t="s">
        <v>2170</v>
      </c>
      <c r="E758" s="22" t="s">
        <v>65</v>
      </c>
      <c r="F758" s="24" t="s">
        <v>1787</v>
      </c>
      <c r="G758" s="24" t="s">
        <v>2103</v>
      </c>
      <c r="H758" s="24"/>
      <c r="I758" s="24">
        <v>1</v>
      </c>
      <c r="J758" s="24" t="s">
        <v>1767</v>
      </c>
      <c r="K758" s="24"/>
      <c r="L758" s="24"/>
      <c r="M758" s="24"/>
      <c r="N758" s="24"/>
      <c r="O758" s="24"/>
      <c r="P758" s="170"/>
      <c r="Q758" s="170"/>
      <c r="R758" s="178" t="s">
        <v>2171</v>
      </c>
      <c r="S758" s="170" t="s">
        <v>2170</v>
      </c>
      <c r="T758" s="170" t="s">
        <v>2172</v>
      </c>
      <c r="U758" s="170" t="s">
        <v>65</v>
      </c>
      <c r="V758" s="170"/>
      <c r="W758" s="170"/>
      <c r="X758" s="170" t="s">
        <v>2173</v>
      </c>
      <c r="Y758" s="225"/>
      <c r="Z758" s="24"/>
      <c r="AA758" s="170"/>
      <c r="AB758" s="170" t="s">
        <v>115</v>
      </c>
      <c r="AC758" s="251"/>
      <c r="AD758" s="170"/>
      <c r="AE758" s="24"/>
      <c r="AF758" s="170"/>
      <c r="AG758" s="22"/>
      <c r="AH758" s="45"/>
      <c r="AI758" s="24"/>
      <c r="AJ758" s="242" t="s">
        <v>115</v>
      </c>
      <c r="AK758" s="22"/>
      <c r="AL758" s="22"/>
      <c r="AM758" s="22"/>
      <c r="AN758" s="22"/>
      <c r="AO758" s="22"/>
      <c r="AP758" s="22"/>
      <c r="AQ758" s="22"/>
      <c r="AR758" s="22"/>
      <c r="AS758" s="22"/>
      <c r="AT758" s="170"/>
      <c r="AU758" s="170"/>
      <c r="AV758" s="170"/>
      <c r="AW758" s="170"/>
      <c r="AX758" s="170"/>
      <c r="AY758" s="170"/>
      <c r="AZ758" s="170"/>
      <c r="BA758" s="170"/>
      <c r="BB758" s="170"/>
      <c r="BC758" s="170"/>
      <c r="BD758" s="170"/>
      <c r="BE758" s="137" t="s">
        <v>115</v>
      </c>
      <c r="BF758" s="143" t="s">
        <v>2174</v>
      </c>
      <c r="BG758" s="139" t="s">
        <v>2175</v>
      </c>
      <c r="BH758" s="220"/>
      <c r="BI758" s="220"/>
      <c r="BJ758" s="220"/>
      <c r="BK758" s="46">
        <f t="shared" si="1"/>
        <v>1</v>
      </c>
      <c r="BL758" s="46"/>
      <c r="BM758" s="46"/>
      <c r="BN758" s="46"/>
    </row>
    <row r="759" spans="1:66" ht="12.75" hidden="1" customHeight="1">
      <c r="A759" s="22">
        <v>757</v>
      </c>
      <c r="B759" s="22" t="s">
        <v>2176</v>
      </c>
      <c r="C759" s="22" t="str">
        <f t="shared" si="0"/>
        <v>Blood glucose test</v>
      </c>
      <c r="D759" s="24" t="s">
        <v>2176</v>
      </c>
      <c r="E759" s="22" t="s">
        <v>96</v>
      </c>
      <c r="F759" s="24" t="s">
        <v>1787</v>
      </c>
      <c r="G759" s="24" t="s">
        <v>2177</v>
      </c>
      <c r="H759" s="24"/>
      <c r="I759" s="24">
        <v>1</v>
      </c>
      <c r="J759" s="24" t="s">
        <v>1767</v>
      </c>
      <c r="K759" s="24"/>
      <c r="L759" s="24"/>
      <c r="M759" s="24"/>
      <c r="N759" s="24"/>
      <c r="O759" s="24"/>
      <c r="P759" s="170"/>
      <c r="Q759" s="170"/>
      <c r="R759" s="162" t="s">
        <v>2176</v>
      </c>
      <c r="S759" s="163" t="s">
        <v>2178</v>
      </c>
      <c r="T759" s="163" t="s">
        <v>2179</v>
      </c>
      <c r="U759" s="163" t="s">
        <v>202</v>
      </c>
      <c r="V759" s="163"/>
      <c r="W759" s="163"/>
      <c r="X759" s="164"/>
      <c r="Y759" s="164"/>
      <c r="Z759" s="24"/>
      <c r="AA759" s="170"/>
      <c r="AB759" s="163" t="s">
        <v>113</v>
      </c>
      <c r="AC759" s="251"/>
      <c r="AD759" s="170"/>
      <c r="AE759" s="24"/>
      <c r="AF759" s="170"/>
      <c r="AG759" s="22"/>
      <c r="AH759" s="45"/>
      <c r="AI759" s="24"/>
      <c r="AJ759" s="164" t="s">
        <v>2180</v>
      </c>
      <c r="AK759" s="22"/>
      <c r="AL759" s="22"/>
      <c r="AM759" s="22"/>
      <c r="AN759" s="22"/>
      <c r="AO759" s="22"/>
      <c r="AP759" s="22"/>
      <c r="AQ759" s="22"/>
      <c r="AR759" s="22"/>
      <c r="AS759" s="22"/>
      <c r="AT759" s="170"/>
      <c r="AU759" s="170"/>
      <c r="AV759" s="170"/>
      <c r="AW759" s="170"/>
      <c r="AX759" s="170"/>
      <c r="AY759" s="170"/>
      <c r="AZ759" s="170"/>
      <c r="BA759" s="170"/>
      <c r="BB759" s="170"/>
      <c r="BC759" s="170"/>
      <c r="BD759" s="170"/>
      <c r="BE759" s="137" t="s">
        <v>2181</v>
      </c>
      <c r="BF759" s="143" t="s">
        <v>1773</v>
      </c>
      <c r="BG759" s="139" t="s">
        <v>1774</v>
      </c>
      <c r="BH759" s="220"/>
      <c r="BI759" s="220"/>
      <c r="BJ759" s="220"/>
      <c r="BK759" s="46">
        <f t="shared" si="1"/>
        <v>1</v>
      </c>
      <c r="BL759" s="46"/>
      <c r="BM759" s="46"/>
      <c r="BN759" s="46"/>
    </row>
    <row r="760" spans="1:66" ht="12.75" hidden="1" customHeight="1">
      <c r="A760" s="22">
        <v>758</v>
      </c>
      <c r="B760" s="22" t="s">
        <v>2651</v>
      </c>
      <c r="C760" s="22" t="e">
        <f t="shared" ca="1" si="0"/>
        <v>#NAME?</v>
      </c>
      <c r="D760" s="24" t="s">
        <v>1775</v>
      </c>
      <c r="E760" s="22" t="s">
        <v>180</v>
      </c>
      <c r="F760" s="24" t="s">
        <v>2176</v>
      </c>
      <c r="G760" s="24" t="s">
        <v>2177</v>
      </c>
      <c r="H760" s="24"/>
      <c r="I760" s="24">
        <v>1</v>
      </c>
      <c r="J760" s="24" t="s">
        <v>1767</v>
      </c>
      <c r="K760" s="24"/>
      <c r="L760" s="24"/>
      <c r="M760" s="24"/>
      <c r="N760" s="24"/>
      <c r="O760" s="24"/>
      <c r="P760" s="170"/>
      <c r="Q760" s="170"/>
      <c r="R760" s="247"/>
      <c r="S760" s="196"/>
      <c r="T760" s="194"/>
      <c r="U760" s="194"/>
      <c r="V760" s="194"/>
      <c r="W760" s="194" t="s">
        <v>1775</v>
      </c>
      <c r="X760" s="196"/>
      <c r="Y760" s="196"/>
      <c r="Z760" s="24"/>
      <c r="AA760" s="170"/>
      <c r="AB760" s="196"/>
      <c r="AC760" s="251"/>
      <c r="AD760" s="170"/>
      <c r="AE760" s="24"/>
      <c r="AF760" s="170"/>
      <c r="AG760" s="22"/>
      <c r="AH760" s="45"/>
      <c r="AI760" s="24"/>
      <c r="AJ760" s="194"/>
      <c r="AK760" s="22"/>
      <c r="AL760" s="22"/>
      <c r="AM760" s="22"/>
      <c r="AN760" s="22"/>
      <c r="AO760" s="22"/>
      <c r="AP760" s="22"/>
      <c r="AQ760" s="22"/>
      <c r="AR760" s="22"/>
      <c r="AS760" s="22"/>
      <c r="AT760" s="170"/>
      <c r="AU760" s="170"/>
      <c r="AV760" s="170"/>
      <c r="AW760" s="170"/>
      <c r="AX760" s="170"/>
      <c r="AY760" s="170"/>
      <c r="AZ760" s="170"/>
      <c r="BA760" s="170"/>
      <c r="BB760" s="170"/>
      <c r="BC760" s="170"/>
      <c r="BD760" s="170"/>
      <c r="BE760" s="143" t="s">
        <v>115</v>
      </c>
      <c r="BF760" s="143" t="s">
        <v>1777</v>
      </c>
      <c r="BG760" s="167" t="s">
        <v>1778</v>
      </c>
      <c r="BH760" s="220"/>
      <c r="BI760" s="220"/>
      <c r="BJ760" s="220"/>
      <c r="BK760" s="46">
        <f t="shared" si="1"/>
        <v>1</v>
      </c>
      <c r="BL760" s="46"/>
      <c r="BM760" s="46"/>
      <c r="BN760" s="46"/>
    </row>
    <row r="761" spans="1:66" ht="12.75" hidden="1" customHeight="1">
      <c r="A761" s="22">
        <v>759</v>
      </c>
      <c r="B761" s="22" t="s">
        <v>2655</v>
      </c>
      <c r="C761" s="22" t="e">
        <f t="shared" ca="1" si="0"/>
        <v>#NAME?</v>
      </c>
      <c r="D761" s="24" t="s">
        <v>1779</v>
      </c>
      <c r="E761" s="22" t="s">
        <v>180</v>
      </c>
      <c r="F761" s="24" t="s">
        <v>2176</v>
      </c>
      <c r="G761" s="24" t="s">
        <v>2177</v>
      </c>
      <c r="H761" s="24"/>
      <c r="I761" s="24">
        <v>1</v>
      </c>
      <c r="J761" s="24" t="s">
        <v>1767</v>
      </c>
      <c r="K761" s="24"/>
      <c r="L761" s="24"/>
      <c r="M761" s="24"/>
      <c r="N761" s="24"/>
      <c r="O761" s="24"/>
      <c r="P761" s="170"/>
      <c r="Q761" s="170"/>
      <c r="R761" s="247"/>
      <c r="S761" s="196"/>
      <c r="T761" s="194"/>
      <c r="U761" s="194"/>
      <c r="V761" s="194"/>
      <c r="W761" s="194" t="s">
        <v>1779</v>
      </c>
      <c r="X761" s="196"/>
      <c r="Y761" s="196"/>
      <c r="Z761" s="24"/>
      <c r="AA761" s="170"/>
      <c r="AB761" s="196"/>
      <c r="AC761" s="251"/>
      <c r="AD761" s="170"/>
      <c r="AE761" s="24"/>
      <c r="AF761" s="170"/>
      <c r="AG761" s="22"/>
      <c r="AH761" s="45"/>
      <c r="AI761" s="24"/>
      <c r="AJ761" s="194"/>
      <c r="AK761" s="22"/>
      <c r="AL761" s="22"/>
      <c r="AM761" s="22"/>
      <c r="AN761" s="22"/>
      <c r="AO761" s="22"/>
      <c r="AP761" s="22"/>
      <c r="AQ761" s="22"/>
      <c r="AR761" s="22"/>
      <c r="AS761" s="22"/>
      <c r="AT761" s="170"/>
      <c r="AU761" s="170"/>
      <c r="AV761" s="170"/>
      <c r="AW761" s="170"/>
      <c r="AX761" s="170"/>
      <c r="AY761" s="170"/>
      <c r="AZ761" s="170"/>
      <c r="BA761" s="170"/>
      <c r="BB761" s="170"/>
      <c r="BC761" s="170"/>
      <c r="BD761" s="170"/>
      <c r="BE761" s="143" t="s">
        <v>115</v>
      </c>
      <c r="BF761" s="143" t="s">
        <v>1781</v>
      </c>
      <c r="BG761" s="167" t="s">
        <v>1782</v>
      </c>
      <c r="BH761" s="220"/>
      <c r="BI761" s="220"/>
      <c r="BJ761" s="220"/>
      <c r="BK761" s="46">
        <f t="shared" si="1"/>
        <v>1</v>
      </c>
      <c r="BL761" s="46"/>
      <c r="BM761" s="46"/>
      <c r="BN761" s="46"/>
    </row>
    <row r="762" spans="1:66" ht="12.75" hidden="1" customHeight="1">
      <c r="A762" s="22">
        <v>760</v>
      </c>
      <c r="B762" s="22" t="s">
        <v>2661</v>
      </c>
      <c r="C762" s="22" t="e">
        <f t="shared" ca="1" si="0"/>
        <v>#NAME?</v>
      </c>
      <c r="D762" s="24" t="s">
        <v>1783</v>
      </c>
      <c r="E762" s="22" t="s">
        <v>180</v>
      </c>
      <c r="F762" s="24" t="s">
        <v>2176</v>
      </c>
      <c r="G762" s="24" t="s">
        <v>2177</v>
      </c>
      <c r="H762" s="24"/>
      <c r="I762" s="24">
        <v>1</v>
      </c>
      <c r="J762" s="24" t="s">
        <v>1767</v>
      </c>
      <c r="K762" s="24"/>
      <c r="L762" s="24"/>
      <c r="M762" s="24"/>
      <c r="N762" s="24"/>
      <c r="O762" s="24"/>
      <c r="P762" s="170"/>
      <c r="Q762" s="170"/>
      <c r="R762" s="247"/>
      <c r="S762" s="196"/>
      <c r="T762" s="194"/>
      <c r="U762" s="194"/>
      <c r="V762" s="194"/>
      <c r="W762" s="194" t="s">
        <v>1783</v>
      </c>
      <c r="X762" s="196"/>
      <c r="Y762" s="196"/>
      <c r="Z762" s="24"/>
      <c r="AA762" s="170"/>
      <c r="AB762" s="196"/>
      <c r="AC762" s="251"/>
      <c r="AD762" s="170"/>
      <c r="AE762" s="24"/>
      <c r="AF762" s="170"/>
      <c r="AG762" s="22"/>
      <c r="AH762" s="45"/>
      <c r="AI762" s="24"/>
      <c r="AJ762" s="194"/>
      <c r="AK762" s="22"/>
      <c r="AL762" s="22"/>
      <c r="AM762" s="22"/>
      <c r="AN762" s="22"/>
      <c r="AO762" s="22"/>
      <c r="AP762" s="22"/>
      <c r="AQ762" s="22"/>
      <c r="AR762" s="22"/>
      <c r="AS762" s="22"/>
      <c r="AT762" s="170"/>
      <c r="AU762" s="170"/>
      <c r="AV762" s="170"/>
      <c r="AW762" s="170"/>
      <c r="AX762" s="170"/>
      <c r="AY762" s="170"/>
      <c r="AZ762" s="170"/>
      <c r="BA762" s="170"/>
      <c r="BB762" s="170"/>
      <c r="BC762" s="170"/>
      <c r="BD762" s="170"/>
      <c r="BE762" s="143" t="s">
        <v>115</v>
      </c>
      <c r="BF762" s="143" t="s">
        <v>1784</v>
      </c>
      <c r="BG762" s="167" t="s">
        <v>1785</v>
      </c>
      <c r="BH762" s="220"/>
      <c r="BI762" s="220"/>
      <c r="BJ762" s="220"/>
      <c r="BK762" s="46">
        <f t="shared" si="1"/>
        <v>1</v>
      </c>
      <c r="BL762" s="46"/>
      <c r="BM762" s="46"/>
      <c r="BN762" s="46"/>
    </row>
    <row r="763" spans="1:66" ht="12.75" hidden="1" customHeight="1">
      <c r="A763" s="22">
        <v>761</v>
      </c>
      <c r="B763" s="22" t="s">
        <v>2118</v>
      </c>
      <c r="C763" s="22" t="e">
        <f t="shared" ca="1" si="0"/>
        <v>#NAME?</v>
      </c>
      <c r="D763" s="24" t="s">
        <v>1468</v>
      </c>
      <c r="E763" s="22" t="s">
        <v>180</v>
      </c>
      <c r="F763" s="24" t="s">
        <v>2176</v>
      </c>
      <c r="G763" s="24" t="s">
        <v>2177</v>
      </c>
      <c r="H763" s="24"/>
      <c r="I763" s="24">
        <v>1</v>
      </c>
      <c r="J763" s="24" t="s">
        <v>1767</v>
      </c>
      <c r="K763" s="24"/>
      <c r="L763" s="24"/>
      <c r="M763" s="24"/>
      <c r="N763" s="24"/>
      <c r="O763" s="24"/>
      <c r="P763" s="170"/>
      <c r="Q763" s="170"/>
      <c r="R763" s="247"/>
      <c r="S763" s="196"/>
      <c r="T763" s="194"/>
      <c r="U763" s="194"/>
      <c r="V763" s="194"/>
      <c r="W763" s="194" t="s">
        <v>1468</v>
      </c>
      <c r="X763" s="196"/>
      <c r="Y763" s="196"/>
      <c r="Z763" s="24"/>
      <c r="AA763" s="170"/>
      <c r="AB763" s="196"/>
      <c r="AC763" s="251"/>
      <c r="AD763" s="170"/>
      <c r="AE763" s="24"/>
      <c r="AF763" s="170"/>
      <c r="AG763" s="22"/>
      <c r="AH763" s="45"/>
      <c r="AI763" s="24"/>
      <c r="AJ763" s="194"/>
      <c r="AK763" s="22"/>
      <c r="AL763" s="22"/>
      <c r="AM763" s="22"/>
      <c r="AN763" s="22"/>
      <c r="AO763" s="22"/>
      <c r="AP763" s="22"/>
      <c r="AQ763" s="22"/>
      <c r="AR763" s="22"/>
      <c r="AS763" s="22"/>
      <c r="AT763" s="170"/>
      <c r="AU763" s="170"/>
      <c r="AV763" s="170"/>
      <c r="AW763" s="170"/>
      <c r="AX763" s="170"/>
      <c r="AY763" s="170"/>
      <c r="AZ763" s="170"/>
      <c r="BA763" s="170"/>
      <c r="BB763" s="170"/>
      <c r="BC763" s="170"/>
      <c r="BD763" s="170"/>
      <c r="BE763" s="143" t="s">
        <v>115</v>
      </c>
      <c r="BF763" s="143" t="s">
        <v>1469</v>
      </c>
      <c r="BG763" s="167" t="s">
        <v>1470</v>
      </c>
      <c r="BH763" s="220"/>
      <c r="BI763" s="220"/>
      <c r="BJ763" s="220"/>
      <c r="BK763" s="46">
        <f t="shared" si="1"/>
        <v>1</v>
      </c>
      <c r="BL763" s="46"/>
      <c r="BM763" s="46"/>
      <c r="BN763" s="46"/>
    </row>
    <row r="764" spans="1:66" ht="12.75" hidden="1" customHeight="1">
      <c r="A764" s="22">
        <v>762</v>
      </c>
      <c r="B764" s="22" t="s">
        <v>2182</v>
      </c>
      <c r="C764" s="22" t="str">
        <f t="shared" si="0"/>
        <v>Blood glucose test date</v>
      </c>
      <c r="D764" s="24" t="s">
        <v>2182</v>
      </c>
      <c r="E764" s="22" t="s">
        <v>96</v>
      </c>
      <c r="F764" s="24" t="s">
        <v>1787</v>
      </c>
      <c r="G764" s="24" t="s">
        <v>2177</v>
      </c>
      <c r="H764" s="24"/>
      <c r="I764" s="24">
        <v>1</v>
      </c>
      <c r="J764" s="24" t="s">
        <v>1767</v>
      </c>
      <c r="K764" s="24"/>
      <c r="L764" s="24"/>
      <c r="M764" s="24"/>
      <c r="N764" s="24"/>
      <c r="O764" s="24"/>
      <c r="P764" s="164"/>
      <c r="Q764" s="164"/>
      <c r="R764" s="247" t="s">
        <v>2182</v>
      </c>
      <c r="S764" s="196" t="s">
        <v>2183</v>
      </c>
      <c r="T764" s="194" t="s">
        <v>2184</v>
      </c>
      <c r="U764" s="194" t="s">
        <v>140</v>
      </c>
      <c r="V764" s="194"/>
      <c r="W764" s="194"/>
      <c r="X764" s="196"/>
      <c r="Y764" s="196"/>
      <c r="Z764" s="24"/>
      <c r="AA764" s="164"/>
      <c r="AB764" s="196" t="s">
        <v>113</v>
      </c>
      <c r="AC764" s="269"/>
      <c r="AD764" s="164"/>
      <c r="AE764" s="24"/>
      <c r="AF764" s="164"/>
      <c r="AG764" s="22"/>
      <c r="AH764" s="45"/>
      <c r="AI764" s="24"/>
      <c r="AJ764" s="194" t="s">
        <v>115</v>
      </c>
      <c r="AK764" s="22"/>
      <c r="AL764" s="22"/>
      <c r="AM764" s="22"/>
      <c r="AN764" s="22"/>
      <c r="AO764" s="22"/>
      <c r="AP764" s="22"/>
      <c r="AQ764" s="22"/>
      <c r="AR764" s="22"/>
      <c r="AS764" s="22"/>
      <c r="AT764" s="164"/>
      <c r="AU764" s="164"/>
      <c r="AV764" s="164"/>
      <c r="AW764" s="164"/>
      <c r="AX764" s="164"/>
      <c r="AY764" s="164"/>
      <c r="AZ764" s="164"/>
      <c r="BA764" s="164"/>
      <c r="BB764" s="164"/>
      <c r="BC764" s="164"/>
      <c r="BD764" s="164"/>
      <c r="BE764" s="143" t="s">
        <v>2181</v>
      </c>
      <c r="BF764" s="143" t="s">
        <v>1804</v>
      </c>
      <c r="BG764" s="167" t="s">
        <v>1805</v>
      </c>
      <c r="BH764" s="220"/>
      <c r="BI764" s="220"/>
      <c r="BJ764" s="220"/>
      <c r="BK764" s="46">
        <f t="shared" si="1"/>
        <v>1</v>
      </c>
      <c r="BL764" s="46"/>
      <c r="BM764" s="46"/>
      <c r="BN764" s="46"/>
    </row>
    <row r="765" spans="1:66" ht="12.75" hidden="1" customHeight="1">
      <c r="A765" s="22">
        <v>763</v>
      </c>
      <c r="B765" s="22" t="s">
        <v>2185</v>
      </c>
      <c r="C765" s="22" t="str">
        <f t="shared" si="0"/>
        <v>Blood glucose test type</v>
      </c>
      <c r="D765" s="24" t="s">
        <v>2185</v>
      </c>
      <c r="E765" s="22" t="s">
        <v>96</v>
      </c>
      <c r="F765" s="24" t="s">
        <v>1787</v>
      </c>
      <c r="G765" s="24" t="s">
        <v>2177</v>
      </c>
      <c r="H765" s="24"/>
      <c r="I765" s="24">
        <v>1</v>
      </c>
      <c r="J765" s="24" t="s">
        <v>1767</v>
      </c>
      <c r="K765" s="24"/>
      <c r="L765" s="24"/>
      <c r="M765" s="24"/>
      <c r="N765" s="24"/>
      <c r="O765" s="24"/>
      <c r="P765" s="170"/>
      <c r="Q765" s="170"/>
      <c r="R765" s="162" t="s">
        <v>2185</v>
      </c>
      <c r="S765" s="163" t="s">
        <v>2186</v>
      </c>
      <c r="T765" s="163" t="s">
        <v>2187</v>
      </c>
      <c r="U765" s="163" t="s">
        <v>202</v>
      </c>
      <c r="V765" s="193"/>
      <c r="W765" s="194"/>
      <c r="X765" s="164"/>
      <c r="Y765" s="164"/>
      <c r="Z765" s="24"/>
      <c r="AA765" s="170"/>
      <c r="AB765" s="163" t="s">
        <v>113</v>
      </c>
      <c r="AC765" s="251"/>
      <c r="AD765" s="170"/>
      <c r="AE765" s="24"/>
      <c r="AF765" s="170"/>
      <c r="AG765" s="22"/>
      <c r="AH765" s="45"/>
      <c r="AI765" s="24"/>
      <c r="AJ765" s="196" t="s">
        <v>115</v>
      </c>
      <c r="AK765" s="22"/>
      <c r="AL765" s="22"/>
      <c r="AM765" s="22"/>
      <c r="AN765" s="22"/>
      <c r="AO765" s="22"/>
      <c r="AP765" s="22"/>
      <c r="AQ765" s="22"/>
      <c r="AR765" s="22"/>
      <c r="AS765" s="22"/>
      <c r="AT765" s="170"/>
      <c r="AU765" s="170"/>
      <c r="AV765" s="170"/>
      <c r="AW765" s="170"/>
      <c r="AX765" s="170"/>
      <c r="AY765" s="170"/>
      <c r="AZ765" s="170"/>
      <c r="BA765" s="170"/>
      <c r="BB765" s="170"/>
      <c r="BC765" s="170"/>
      <c r="BD765" s="170"/>
      <c r="BE765" s="137" t="s">
        <v>115</v>
      </c>
      <c r="BF765" s="137" t="s">
        <v>2188</v>
      </c>
      <c r="BG765" s="139" t="s">
        <v>2189</v>
      </c>
      <c r="BH765" s="220"/>
      <c r="BI765" s="220"/>
      <c r="BJ765" s="220"/>
      <c r="BK765" s="46">
        <f t="shared" si="1"/>
        <v>1</v>
      </c>
      <c r="BL765" s="46"/>
      <c r="BM765" s="46"/>
      <c r="BN765" s="46"/>
    </row>
    <row r="766" spans="1:66" ht="12.75" hidden="1" customHeight="1">
      <c r="A766" s="22">
        <v>764</v>
      </c>
      <c r="B766" s="22" t="s">
        <v>3321</v>
      </c>
      <c r="C766" s="22" t="e">
        <f t="shared" ca="1" si="0"/>
        <v>#NAME?</v>
      </c>
      <c r="D766" s="24" t="s">
        <v>2190</v>
      </c>
      <c r="E766" s="22" t="s">
        <v>180</v>
      </c>
      <c r="F766" s="24" t="s">
        <v>2185</v>
      </c>
      <c r="G766" s="24" t="s">
        <v>2177</v>
      </c>
      <c r="H766" s="24"/>
      <c r="I766" s="24">
        <v>1</v>
      </c>
      <c r="J766" s="24" t="s">
        <v>1767</v>
      </c>
      <c r="K766" s="24"/>
      <c r="L766" s="24"/>
      <c r="M766" s="24"/>
      <c r="N766" s="24"/>
      <c r="O766" s="24"/>
      <c r="P766" s="170"/>
      <c r="Q766" s="170"/>
      <c r="R766" s="162"/>
      <c r="S766" s="163"/>
      <c r="T766" s="163"/>
      <c r="U766" s="163"/>
      <c r="V766" s="193"/>
      <c r="W766" s="194" t="s">
        <v>2190</v>
      </c>
      <c r="X766" s="196"/>
      <c r="Y766" s="194"/>
      <c r="Z766" s="24"/>
      <c r="AA766" s="170"/>
      <c r="AB766" s="163"/>
      <c r="AC766" s="251"/>
      <c r="AD766" s="170"/>
      <c r="AE766" s="24"/>
      <c r="AF766" s="170"/>
      <c r="AG766" s="22"/>
      <c r="AH766" s="45"/>
      <c r="AI766" s="24"/>
      <c r="AJ766" s="196"/>
      <c r="AK766" s="22"/>
      <c r="AL766" s="22"/>
      <c r="AM766" s="22"/>
      <c r="AN766" s="22"/>
      <c r="AO766" s="22"/>
      <c r="AP766" s="22"/>
      <c r="AQ766" s="22"/>
      <c r="AR766" s="22"/>
      <c r="AS766" s="22"/>
      <c r="AT766" s="170"/>
      <c r="AU766" s="170"/>
      <c r="AV766" s="170"/>
      <c r="AW766" s="170"/>
      <c r="AX766" s="170"/>
      <c r="AY766" s="170"/>
      <c r="AZ766" s="170"/>
      <c r="BA766" s="170"/>
      <c r="BB766" s="170"/>
      <c r="BC766" s="170"/>
      <c r="BD766" s="170"/>
      <c r="BE766" s="137" t="s">
        <v>115</v>
      </c>
      <c r="BF766" s="143" t="s">
        <v>2191</v>
      </c>
      <c r="BG766" s="139" t="s">
        <v>2192</v>
      </c>
      <c r="BH766" s="220"/>
      <c r="BI766" s="220"/>
      <c r="BJ766" s="220"/>
      <c r="BK766" s="46">
        <f t="shared" si="1"/>
        <v>1</v>
      </c>
      <c r="BL766" s="46"/>
      <c r="BM766" s="46"/>
      <c r="BN766" s="46"/>
    </row>
    <row r="767" spans="1:66" ht="12.75" hidden="1" customHeight="1">
      <c r="A767" s="22">
        <v>765</v>
      </c>
      <c r="B767" s="22" t="s">
        <v>3330</v>
      </c>
      <c r="C767" s="22" t="e">
        <f t="shared" ca="1" si="0"/>
        <v>#NAME?</v>
      </c>
      <c r="D767" s="24" t="s">
        <v>2193</v>
      </c>
      <c r="E767" s="22" t="s">
        <v>180</v>
      </c>
      <c r="F767" s="24" t="s">
        <v>2185</v>
      </c>
      <c r="G767" s="24" t="s">
        <v>2177</v>
      </c>
      <c r="H767" s="24"/>
      <c r="I767" s="24">
        <v>1</v>
      </c>
      <c r="J767" s="24" t="s">
        <v>1767</v>
      </c>
      <c r="K767" s="24"/>
      <c r="L767" s="24"/>
      <c r="M767" s="24"/>
      <c r="N767" s="24"/>
      <c r="O767" s="24"/>
      <c r="P767" s="170"/>
      <c r="Q767" s="170"/>
      <c r="R767" s="162"/>
      <c r="S767" s="163"/>
      <c r="T767" s="163"/>
      <c r="U767" s="163"/>
      <c r="V767" s="193"/>
      <c r="W767" s="194" t="s">
        <v>2193</v>
      </c>
      <c r="X767" s="196"/>
      <c r="Y767" s="194"/>
      <c r="Z767" s="24"/>
      <c r="AA767" s="170"/>
      <c r="AB767" s="163"/>
      <c r="AC767" s="251"/>
      <c r="AD767" s="170"/>
      <c r="AE767" s="24"/>
      <c r="AF767" s="170"/>
      <c r="AG767" s="22"/>
      <c r="AH767" s="45"/>
      <c r="AI767" s="24"/>
      <c r="AJ767" s="196"/>
      <c r="AK767" s="22"/>
      <c r="AL767" s="22"/>
      <c r="AM767" s="22"/>
      <c r="AN767" s="22"/>
      <c r="AO767" s="22"/>
      <c r="AP767" s="22"/>
      <c r="AQ767" s="22"/>
      <c r="AR767" s="22"/>
      <c r="AS767" s="22"/>
      <c r="AT767" s="170"/>
      <c r="AU767" s="170"/>
      <c r="AV767" s="170"/>
      <c r="AW767" s="170"/>
      <c r="AX767" s="170"/>
      <c r="AY767" s="170"/>
      <c r="AZ767" s="170"/>
      <c r="BA767" s="170"/>
      <c r="BB767" s="170"/>
      <c r="BC767" s="170"/>
      <c r="BD767" s="170"/>
      <c r="BE767" s="137" t="s">
        <v>115</v>
      </c>
      <c r="BF767" s="143" t="s">
        <v>2194</v>
      </c>
      <c r="BG767" s="139" t="s">
        <v>2195</v>
      </c>
      <c r="BH767" s="220"/>
      <c r="BI767" s="220"/>
      <c r="BJ767" s="220"/>
      <c r="BK767" s="46">
        <f t="shared" si="1"/>
        <v>1</v>
      </c>
      <c r="BL767" s="46"/>
      <c r="BM767" s="46"/>
      <c r="BN767" s="46"/>
    </row>
    <row r="768" spans="1:66" ht="12.75" hidden="1" customHeight="1">
      <c r="A768" s="22">
        <v>766</v>
      </c>
      <c r="B768" s="22" t="s">
        <v>3332</v>
      </c>
      <c r="C768" s="22" t="e">
        <f t="shared" ca="1" si="0"/>
        <v>#NAME?</v>
      </c>
      <c r="D768" s="24" t="s">
        <v>2196</v>
      </c>
      <c r="E768" s="22" t="s">
        <v>180</v>
      </c>
      <c r="F768" s="24" t="s">
        <v>2185</v>
      </c>
      <c r="G768" s="24" t="s">
        <v>2177</v>
      </c>
      <c r="H768" s="24"/>
      <c r="I768" s="24">
        <v>1</v>
      </c>
      <c r="J768" s="24" t="s">
        <v>1767</v>
      </c>
      <c r="K768" s="24"/>
      <c r="L768" s="24"/>
      <c r="M768" s="24"/>
      <c r="N768" s="24"/>
      <c r="O768" s="24"/>
      <c r="P768" s="170"/>
      <c r="Q768" s="170"/>
      <c r="R768" s="162"/>
      <c r="S768" s="163"/>
      <c r="T768" s="163"/>
      <c r="U768" s="163"/>
      <c r="V768" s="193"/>
      <c r="W768" s="194" t="s">
        <v>2196</v>
      </c>
      <c r="X768" s="196"/>
      <c r="Y768" s="194"/>
      <c r="Z768" s="24"/>
      <c r="AA768" s="170"/>
      <c r="AB768" s="163"/>
      <c r="AC768" s="251"/>
      <c r="AD768" s="170"/>
      <c r="AE768" s="24"/>
      <c r="AF768" s="170"/>
      <c r="AG768" s="22"/>
      <c r="AH768" s="45"/>
      <c r="AI768" s="24"/>
      <c r="AJ768" s="196"/>
      <c r="AK768" s="22"/>
      <c r="AL768" s="22"/>
      <c r="AM768" s="22"/>
      <c r="AN768" s="22"/>
      <c r="AO768" s="22"/>
      <c r="AP768" s="22"/>
      <c r="AQ768" s="22"/>
      <c r="AR768" s="22"/>
      <c r="AS768" s="22"/>
      <c r="AT768" s="170"/>
      <c r="AU768" s="170"/>
      <c r="AV768" s="170"/>
      <c r="AW768" s="170"/>
      <c r="AX768" s="170"/>
      <c r="AY768" s="170"/>
      <c r="AZ768" s="170"/>
      <c r="BA768" s="170"/>
      <c r="BB768" s="170"/>
      <c r="BC768" s="170"/>
      <c r="BD768" s="170"/>
      <c r="BE768" s="137" t="s">
        <v>115</v>
      </c>
      <c r="BF768" s="143" t="s">
        <v>2197</v>
      </c>
      <c r="BG768" s="139" t="s">
        <v>2198</v>
      </c>
      <c r="BH768" s="220"/>
      <c r="BI768" s="220"/>
      <c r="BJ768" s="220"/>
      <c r="BK768" s="46">
        <f t="shared" si="1"/>
        <v>1</v>
      </c>
      <c r="BL768" s="46"/>
      <c r="BM768" s="46"/>
      <c r="BN768" s="46"/>
    </row>
    <row r="769" spans="1:66" ht="12.75" hidden="1" customHeight="1">
      <c r="A769" s="22">
        <v>767</v>
      </c>
      <c r="B769" s="22" t="s">
        <v>2199</v>
      </c>
      <c r="C769" s="22" t="str">
        <f t="shared" si="0"/>
        <v>Fasting plasma glucose results (mg/dl)</v>
      </c>
      <c r="D769" s="24" t="s">
        <v>2199</v>
      </c>
      <c r="E769" s="22" t="s">
        <v>96</v>
      </c>
      <c r="F769" s="24" t="s">
        <v>1787</v>
      </c>
      <c r="G769" s="24" t="s">
        <v>2177</v>
      </c>
      <c r="H769" s="24"/>
      <c r="I769" s="24">
        <v>1</v>
      </c>
      <c r="J769" s="24" t="s">
        <v>1767</v>
      </c>
      <c r="K769" s="24"/>
      <c r="L769" s="24"/>
      <c r="M769" s="24"/>
      <c r="N769" s="24"/>
      <c r="O769" s="24"/>
      <c r="P769" s="170"/>
      <c r="Q769" s="170"/>
      <c r="R769" s="162" t="s">
        <v>2199</v>
      </c>
      <c r="S769" s="163" t="s">
        <v>2200</v>
      </c>
      <c r="T769" s="163" t="s">
        <v>2201</v>
      </c>
      <c r="U769" s="163" t="s">
        <v>168</v>
      </c>
      <c r="V769" s="193"/>
      <c r="W769" s="194"/>
      <c r="X769" s="196"/>
      <c r="Y769" s="194"/>
      <c r="Z769" s="194" t="s">
        <v>2202</v>
      </c>
      <c r="AA769" s="170"/>
      <c r="AB769" s="163" t="s">
        <v>113</v>
      </c>
      <c r="AC769" s="251"/>
      <c r="AD769" s="170"/>
      <c r="AE769" s="24"/>
      <c r="AF769" s="170"/>
      <c r="AG769" s="22"/>
      <c r="AH769" s="45"/>
      <c r="AI769" s="24"/>
      <c r="AJ769" s="196" t="s">
        <v>115</v>
      </c>
      <c r="AK769" s="22"/>
      <c r="AL769" s="22"/>
      <c r="AM769" s="22"/>
      <c r="AN769" s="22"/>
      <c r="AO769" s="22"/>
      <c r="AP769" s="22"/>
      <c r="AQ769" s="22"/>
      <c r="AR769" s="22"/>
      <c r="AS769" s="22"/>
      <c r="AT769" s="170"/>
      <c r="AU769" s="170"/>
      <c r="AV769" s="170"/>
      <c r="AW769" s="170"/>
      <c r="AX769" s="170"/>
      <c r="AY769" s="170"/>
      <c r="AZ769" s="170"/>
      <c r="BA769" s="170"/>
      <c r="BB769" s="170"/>
      <c r="BC769" s="170"/>
      <c r="BD769" s="170"/>
      <c r="BE769" s="137" t="s">
        <v>115</v>
      </c>
      <c r="BF769" s="143" t="s">
        <v>2191</v>
      </c>
      <c r="BG769" s="139" t="s">
        <v>2192</v>
      </c>
      <c r="BH769" s="220"/>
      <c r="BI769" s="220"/>
      <c r="BJ769" s="220"/>
      <c r="BK769" s="46">
        <f t="shared" si="1"/>
        <v>1</v>
      </c>
      <c r="BL769" s="46"/>
      <c r="BM769" s="46"/>
      <c r="BN769" s="46"/>
    </row>
    <row r="770" spans="1:66" ht="12.75" hidden="1" customHeight="1">
      <c r="A770" s="22">
        <v>768</v>
      </c>
      <c r="B770" s="22" t="s">
        <v>2203</v>
      </c>
      <c r="C770" s="22" t="str">
        <f t="shared" si="0"/>
        <v>75g OGTT - fasting glucose results (mg/dl)</v>
      </c>
      <c r="D770" s="24" t="s">
        <v>2203</v>
      </c>
      <c r="E770" s="22" t="s">
        <v>96</v>
      </c>
      <c r="F770" s="24" t="s">
        <v>1787</v>
      </c>
      <c r="G770" s="24" t="s">
        <v>2177</v>
      </c>
      <c r="H770" s="24"/>
      <c r="I770" s="24">
        <v>1</v>
      </c>
      <c r="J770" s="24" t="s">
        <v>1767</v>
      </c>
      <c r="K770" s="24"/>
      <c r="L770" s="24"/>
      <c r="M770" s="24"/>
      <c r="N770" s="24"/>
      <c r="O770" s="24"/>
      <c r="P770" s="170"/>
      <c r="Q770" s="170"/>
      <c r="R770" s="162" t="s">
        <v>2203</v>
      </c>
      <c r="S770" s="163" t="s">
        <v>2204</v>
      </c>
      <c r="T770" s="163" t="s">
        <v>2205</v>
      </c>
      <c r="U770" s="163" t="s">
        <v>168</v>
      </c>
      <c r="V770" s="163"/>
      <c r="W770" s="163"/>
      <c r="X770" s="164"/>
      <c r="Y770" s="163"/>
      <c r="Z770" s="163" t="s">
        <v>2202</v>
      </c>
      <c r="AA770" s="170"/>
      <c r="AB770" s="163" t="s">
        <v>113</v>
      </c>
      <c r="AC770" s="251"/>
      <c r="AD770" s="170"/>
      <c r="AE770" s="24"/>
      <c r="AF770" s="170"/>
      <c r="AG770" s="22"/>
      <c r="AH770" s="45"/>
      <c r="AI770" s="24"/>
      <c r="AJ770" s="196" t="s">
        <v>115</v>
      </c>
      <c r="AK770" s="22"/>
      <c r="AL770" s="22"/>
      <c r="AM770" s="22"/>
      <c r="AN770" s="22"/>
      <c r="AO770" s="22"/>
      <c r="AP770" s="22"/>
      <c r="AQ770" s="22"/>
      <c r="AR770" s="22"/>
      <c r="AS770" s="22"/>
      <c r="AT770" s="170"/>
      <c r="AU770" s="170"/>
      <c r="AV770" s="170"/>
      <c r="AW770" s="170"/>
      <c r="AX770" s="170"/>
      <c r="AY770" s="170"/>
      <c r="AZ770" s="170"/>
      <c r="BA770" s="170"/>
      <c r="BB770" s="170"/>
      <c r="BC770" s="170"/>
      <c r="BD770" s="170"/>
      <c r="BE770" s="137" t="s">
        <v>115</v>
      </c>
      <c r="BF770" s="143" t="s">
        <v>2194</v>
      </c>
      <c r="BG770" s="139" t="s">
        <v>2195</v>
      </c>
      <c r="BH770" s="220"/>
      <c r="BI770" s="220"/>
      <c r="BJ770" s="220"/>
      <c r="BK770" s="46">
        <f t="shared" si="1"/>
        <v>1</v>
      </c>
      <c r="BL770" s="46"/>
      <c r="BM770" s="46"/>
      <c r="BN770" s="46"/>
    </row>
    <row r="771" spans="1:66" ht="12.75" hidden="1" customHeight="1">
      <c r="A771" s="22">
        <v>769</v>
      </c>
      <c r="B771" s="22" t="s">
        <v>2206</v>
      </c>
      <c r="C771" s="22" t="str">
        <f t="shared" si="0"/>
        <v>75g OGTT - 1 hr results (mg/dl)</v>
      </c>
      <c r="D771" s="24" t="s">
        <v>2206</v>
      </c>
      <c r="E771" s="22" t="s">
        <v>96</v>
      </c>
      <c r="F771" s="24" t="s">
        <v>1787</v>
      </c>
      <c r="G771" s="24" t="s">
        <v>2177</v>
      </c>
      <c r="H771" s="24"/>
      <c r="I771" s="24">
        <v>1</v>
      </c>
      <c r="J771" s="24" t="s">
        <v>1767</v>
      </c>
      <c r="K771" s="24"/>
      <c r="L771" s="24"/>
      <c r="M771" s="24"/>
      <c r="N771" s="24"/>
      <c r="O771" s="24"/>
      <c r="P771" s="170"/>
      <c r="Q771" s="170"/>
      <c r="R771" s="195" t="s">
        <v>2206</v>
      </c>
      <c r="S771" s="194" t="s">
        <v>2207</v>
      </c>
      <c r="T771" s="194" t="s">
        <v>2208</v>
      </c>
      <c r="U771" s="194" t="s">
        <v>168</v>
      </c>
      <c r="V771" s="194"/>
      <c r="W771" s="194"/>
      <c r="X771" s="196"/>
      <c r="Y771" s="194"/>
      <c r="Z771" s="194" t="s">
        <v>2202</v>
      </c>
      <c r="AA771" s="170"/>
      <c r="AB771" s="194" t="s">
        <v>113</v>
      </c>
      <c r="AC771" s="251"/>
      <c r="AD771" s="170"/>
      <c r="AE771" s="24"/>
      <c r="AF771" s="170"/>
      <c r="AG771" s="22"/>
      <c r="AH771" s="45"/>
      <c r="AI771" s="24"/>
      <c r="AJ771" s="196" t="s">
        <v>115</v>
      </c>
      <c r="AK771" s="22"/>
      <c r="AL771" s="22"/>
      <c r="AM771" s="22"/>
      <c r="AN771" s="22"/>
      <c r="AO771" s="22"/>
      <c r="AP771" s="22"/>
      <c r="AQ771" s="22"/>
      <c r="AR771" s="22"/>
      <c r="AS771" s="22"/>
      <c r="AT771" s="170"/>
      <c r="AU771" s="170"/>
      <c r="AV771" s="170"/>
      <c r="AW771" s="170"/>
      <c r="AX771" s="170"/>
      <c r="AY771" s="170"/>
      <c r="AZ771" s="170"/>
      <c r="BA771" s="170"/>
      <c r="BB771" s="170"/>
      <c r="BC771" s="170"/>
      <c r="BD771" s="170"/>
      <c r="BE771" s="137" t="s">
        <v>115</v>
      </c>
      <c r="BF771" s="143" t="s">
        <v>2209</v>
      </c>
      <c r="BG771" s="139" t="s">
        <v>2210</v>
      </c>
      <c r="BH771" s="220"/>
      <c r="BI771" s="220"/>
      <c r="BJ771" s="220"/>
      <c r="BK771" s="46">
        <f t="shared" si="1"/>
        <v>1</v>
      </c>
      <c r="BL771" s="46"/>
      <c r="BM771" s="46"/>
      <c r="BN771" s="46"/>
    </row>
    <row r="772" spans="1:66" ht="12.75" hidden="1" customHeight="1">
      <c r="A772" s="22">
        <v>770</v>
      </c>
      <c r="B772" s="22" t="s">
        <v>2211</v>
      </c>
      <c r="C772" s="22" t="str">
        <f t="shared" si="0"/>
        <v>75g OGTT - 2 hrs results (mg/dl)</v>
      </c>
      <c r="D772" s="24" t="s">
        <v>2211</v>
      </c>
      <c r="E772" s="22" t="s">
        <v>96</v>
      </c>
      <c r="F772" s="24" t="s">
        <v>1787</v>
      </c>
      <c r="G772" s="24" t="s">
        <v>2177</v>
      </c>
      <c r="H772" s="24"/>
      <c r="I772" s="24">
        <v>1</v>
      </c>
      <c r="J772" s="24" t="s">
        <v>1767</v>
      </c>
      <c r="K772" s="24"/>
      <c r="L772" s="24"/>
      <c r="M772" s="24"/>
      <c r="N772" s="24"/>
      <c r="O772" s="24"/>
      <c r="P772" s="170"/>
      <c r="Q772" s="170"/>
      <c r="R772" s="195" t="s">
        <v>2211</v>
      </c>
      <c r="S772" s="194" t="s">
        <v>2212</v>
      </c>
      <c r="T772" s="194" t="s">
        <v>2213</v>
      </c>
      <c r="U772" s="194" t="s">
        <v>168</v>
      </c>
      <c r="V772" s="194"/>
      <c r="W772" s="194"/>
      <c r="X772" s="196"/>
      <c r="Y772" s="194"/>
      <c r="Z772" s="194" t="s">
        <v>2202</v>
      </c>
      <c r="AA772" s="170"/>
      <c r="AB772" s="194" t="s">
        <v>113</v>
      </c>
      <c r="AC772" s="251"/>
      <c r="AD772" s="170"/>
      <c r="AE772" s="24"/>
      <c r="AF772" s="170"/>
      <c r="AG772" s="22"/>
      <c r="AH772" s="45"/>
      <c r="AI772" s="24"/>
      <c r="AJ772" s="196" t="s">
        <v>115</v>
      </c>
      <c r="AK772" s="22"/>
      <c r="AL772" s="22"/>
      <c r="AM772" s="22"/>
      <c r="AN772" s="22"/>
      <c r="AO772" s="22"/>
      <c r="AP772" s="22"/>
      <c r="AQ772" s="22"/>
      <c r="AR772" s="22"/>
      <c r="AS772" s="22"/>
      <c r="AT772" s="170"/>
      <c r="AU772" s="170"/>
      <c r="AV772" s="170"/>
      <c r="AW772" s="170"/>
      <c r="AX772" s="170"/>
      <c r="AY772" s="170"/>
      <c r="AZ772" s="170"/>
      <c r="BA772" s="170"/>
      <c r="BB772" s="170"/>
      <c r="BC772" s="170"/>
      <c r="BD772" s="170"/>
      <c r="BE772" s="137" t="s">
        <v>115</v>
      </c>
      <c r="BF772" s="143" t="s">
        <v>2214</v>
      </c>
      <c r="BG772" s="139" t="s">
        <v>2215</v>
      </c>
      <c r="BH772" s="220"/>
      <c r="BI772" s="220"/>
      <c r="BJ772" s="220"/>
      <c r="BK772" s="46">
        <f t="shared" si="1"/>
        <v>1</v>
      </c>
      <c r="BL772" s="46"/>
      <c r="BM772" s="46"/>
      <c r="BN772" s="46"/>
    </row>
    <row r="773" spans="1:66" ht="12.75" hidden="1" customHeight="1">
      <c r="A773" s="22">
        <v>771</v>
      </c>
      <c r="B773" s="22" t="s">
        <v>2216</v>
      </c>
      <c r="C773" s="22" t="str">
        <f t="shared" si="0"/>
        <v>Random plasma glucose results (mg/dl)</v>
      </c>
      <c r="D773" s="24" t="s">
        <v>2216</v>
      </c>
      <c r="E773" s="22" t="s">
        <v>96</v>
      </c>
      <c r="F773" s="24" t="s">
        <v>1787</v>
      </c>
      <c r="G773" s="24" t="s">
        <v>2177</v>
      </c>
      <c r="H773" s="24"/>
      <c r="I773" s="24">
        <v>1</v>
      </c>
      <c r="J773" s="24" t="s">
        <v>1767</v>
      </c>
      <c r="K773" s="24"/>
      <c r="L773" s="24"/>
      <c r="M773" s="24"/>
      <c r="N773" s="24"/>
      <c r="O773" s="24"/>
      <c r="P773" s="170"/>
      <c r="Q773" s="170"/>
      <c r="R773" s="195" t="s">
        <v>2216</v>
      </c>
      <c r="S773" s="194" t="s">
        <v>2217</v>
      </c>
      <c r="T773" s="194" t="s">
        <v>2218</v>
      </c>
      <c r="U773" s="194" t="s">
        <v>168</v>
      </c>
      <c r="V773" s="194"/>
      <c r="W773" s="194"/>
      <c r="X773" s="194"/>
      <c r="Y773" s="194"/>
      <c r="Z773" s="194" t="s">
        <v>2202</v>
      </c>
      <c r="AA773" s="170"/>
      <c r="AB773" s="194" t="s">
        <v>113</v>
      </c>
      <c r="AC773" s="251"/>
      <c r="AD773" s="170"/>
      <c r="AE773" s="24"/>
      <c r="AF773" s="170"/>
      <c r="AG773" s="22"/>
      <c r="AH773" s="45"/>
      <c r="AI773" s="24"/>
      <c r="AJ773" s="196" t="s">
        <v>115</v>
      </c>
      <c r="AK773" s="22"/>
      <c r="AL773" s="22"/>
      <c r="AM773" s="22"/>
      <c r="AN773" s="22"/>
      <c r="AO773" s="22"/>
      <c r="AP773" s="22"/>
      <c r="AQ773" s="22"/>
      <c r="AR773" s="22"/>
      <c r="AS773" s="22"/>
      <c r="AT773" s="170"/>
      <c r="AU773" s="170"/>
      <c r="AV773" s="170"/>
      <c r="AW773" s="170"/>
      <c r="AX773" s="170"/>
      <c r="AY773" s="170"/>
      <c r="AZ773" s="170"/>
      <c r="BA773" s="170"/>
      <c r="BB773" s="170"/>
      <c r="BC773" s="170"/>
      <c r="BD773" s="170"/>
      <c r="BE773" s="137" t="s">
        <v>115</v>
      </c>
      <c r="BF773" s="143" t="s">
        <v>2197</v>
      </c>
      <c r="BG773" s="139" t="s">
        <v>2198</v>
      </c>
      <c r="BH773" s="220"/>
      <c r="BI773" s="220"/>
      <c r="BJ773" s="220"/>
      <c r="BK773" s="46">
        <f t="shared" si="1"/>
        <v>1</v>
      </c>
      <c r="BL773" s="46"/>
      <c r="BM773" s="46"/>
      <c r="BN773" s="46"/>
    </row>
    <row r="774" spans="1:66" ht="12.75" hidden="1" customHeight="1">
      <c r="A774" s="22">
        <v>772</v>
      </c>
      <c r="B774" s="22" t="s">
        <v>2219</v>
      </c>
      <c r="C774" s="22" t="str">
        <f t="shared" si="0"/>
        <v>gdm</v>
      </c>
      <c r="D774" s="24" t="s">
        <v>2219</v>
      </c>
      <c r="E774" s="22" t="s">
        <v>65</v>
      </c>
      <c r="F774" s="24" t="s">
        <v>1787</v>
      </c>
      <c r="G774" s="24" t="s">
        <v>2177</v>
      </c>
      <c r="H774" s="24"/>
      <c r="I774" s="24">
        <v>1</v>
      </c>
      <c r="J774" s="24" t="s">
        <v>1767</v>
      </c>
      <c r="K774" s="24"/>
      <c r="L774" s="24"/>
      <c r="M774" s="24"/>
      <c r="N774" s="24"/>
      <c r="O774" s="24"/>
      <c r="P774" s="170"/>
      <c r="Q774" s="170"/>
      <c r="R774" s="290" t="s">
        <v>2220</v>
      </c>
      <c r="S774" s="242" t="s">
        <v>2219</v>
      </c>
      <c r="T774" s="242" t="s">
        <v>2221</v>
      </c>
      <c r="U774" s="242" t="s">
        <v>65</v>
      </c>
      <c r="V774" s="242"/>
      <c r="W774" s="242"/>
      <c r="X774" s="242" t="s">
        <v>2222</v>
      </c>
      <c r="Y774" s="249"/>
      <c r="Z774" s="24"/>
      <c r="AA774" s="170"/>
      <c r="AB774" s="242" t="s">
        <v>115</v>
      </c>
      <c r="AC774" s="251"/>
      <c r="AD774" s="170"/>
      <c r="AE774" s="24"/>
      <c r="AF774" s="170"/>
      <c r="AG774" s="22"/>
      <c r="AH774" s="45"/>
      <c r="AI774" s="24"/>
      <c r="AJ774" s="249" t="s">
        <v>115</v>
      </c>
      <c r="AK774" s="22"/>
      <c r="AL774" s="22"/>
      <c r="AM774" s="22"/>
      <c r="AN774" s="22"/>
      <c r="AO774" s="22"/>
      <c r="AP774" s="22"/>
      <c r="AQ774" s="22"/>
      <c r="AR774" s="22"/>
      <c r="AS774" s="22"/>
      <c r="AT774" s="170"/>
      <c r="AU774" s="170"/>
      <c r="AV774" s="170"/>
      <c r="AW774" s="170"/>
      <c r="AX774" s="170"/>
      <c r="AY774" s="170"/>
      <c r="AZ774" s="170"/>
      <c r="BA774" s="170"/>
      <c r="BB774" s="170"/>
      <c r="BC774" s="170"/>
      <c r="BD774" s="170"/>
      <c r="BE774" s="137" t="s">
        <v>115</v>
      </c>
      <c r="BF774" s="143" t="s">
        <v>2223</v>
      </c>
      <c r="BG774" s="139" t="s">
        <v>2224</v>
      </c>
      <c r="BH774" s="220"/>
      <c r="BI774" s="220"/>
      <c r="BJ774" s="220"/>
      <c r="BK774" s="46">
        <f t="shared" si="1"/>
        <v>1</v>
      </c>
      <c r="BL774" s="46"/>
      <c r="BM774" s="46"/>
      <c r="BN774" s="46"/>
    </row>
    <row r="775" spans="1:66" ht="12.75" hidden="1" customHeight="1">
      <c r="A775" s="22">
        <v>773</v>
      </c>
      <c r="B775" s="22" t="s">
        <v>2225</v>
      </c>
      <c r="C775" s="22" t="str">
        <f t="shared" si="0"/>
        <v>dm_in_preg</v>
      </c>
      <c r="D775" s="24" t="s">
        <v>2225</v>
      </c>
      <c r="E775" s="22" t="s">
        <v>65</v>
      </c>
      <c r="F775" s="24" t="s">
        <v>1787</v>
      </c>
      <c r="G775" s="24" t="s">
        <v>2177</v>
      </c>
      <c r="H775" s="24"/>
      <c r="I775" s="24">
        <v>1</v>
      </c>
      <c r="J775" s="24" t="s">
        <v>1767</v>
      </c>
      <c r="K775" s="24"/>
      <c r="L775" s="24"/>
      <c r="M775" s="24"/>
      <c r="N775" s="24"/>
      <c r="O775" s="24"/>
      <c r="P775" s="170"/>
      <c r="Q775" s="170"/>
      <c r="R775" s="290" t="s">
        <v>2226</v>
      </c>
      <c r="S775" s="242" t="s">
        <v>2225</v>
      </c>
      <c r="T775" s="242" t="s">
        <v>2227</v>
      </c>
      <c r="U775" s="242" t="s">
        <v>65</v>
      </c>
      <c r="V775" s="242"/>
      <c r="W775" s="242"/>
      <c r="X775" s="242" t="s">
        <v>2228</v>
      </c>
      <c r="Y775" s="249"/>
      <c r="Z775" s="24"/>
      <c r="AA775" s="170"/>
      <c r="AB775" s="242" t="s">
        <v>115</v>
      </c>
      <c r="AC775" s="251"/>
      <c r="AD775" s="170"/>
      <c r="AE775" s="24"/>
      <c r="AF775" s="170"/>
      <c r="AG775" s="22"/>
      <c r="AH775" s="45"/>
      <c r="AI775" s="24"/>
      <c r="AJ775" s="249" t="s">
        <v>115</v>
      </c>
      <c r="AK775" s="22"/>
      <c r="AL775" s="22"/>
      <c r="AM775" s="22"/>
      <c r="AN775" s="22"/>
      <c r="AO775" s="22"/>
      <c r="AP775" s="22"/>
      <c r="AQ775" s="22"/>
      <c r="AR775" s="22"/>
      <c r="AS775" s="22"/>
      <c r="AT775" s="170"/>
      <c r="AU775" s="170"/>
      <c r="AV775" s="170"/>
      <c r="AW775" s="170"/>
      <c r="AX775" s="170"/>
      <c r="AY775" s="170"/>
      <c r="AZ775" s="170"/>
      <c r="BA775" s="170"/>
      <c r="BB775" s="170"/>
      <c r="BC775" s="170"/>
      <c r="BD775" s="170"/>
      <c r="BE775" s="137" t="s">
        <v>115</v>
      </c>
      <c r="BF775" s="143" t="s">
        <v>2229</v>
      </c>
      <c r="BG775" s="139" t="s">
        <v>2230</v>
      </c>
      <c r="BH775" s="220"/>
      <c r="BI775" s="220"/>
      <c r="BJ775" s="220"/>
      <c r="BK775" s="46">
        <f t="shared" si="1"/>
        <v>1</v>
      </c>
      <c r="BL775" s="46"/>
      <c r="BM775" s="46"/>
      <c r="BN775" s="46"/>
    </row>
    <row r="776" spans="1:66" ht="12.75" hidden="1" customHeight="1">
      <c r="A776" s="22">
        <v>774</v>
      </c>
      <c r="B776" s="22" t="s">
        <v>2231</v>
      </c>
      <c r="C776" s="22" t="str">
        <f t="shared" si="0"/>
        <v>Blood haemoglobin test</v>
      </c>
      <c r="D776" s="24" t="s">
        <v>2231</v>
      </c>
      <c r="E776" s="22" t="s">
        <v>96</v>
      </c>
      <c r="F776" s="24" t="s">
        <v>1787</v>
      </c>
      <c r="G776" s="24" t="s">
        <v>2232</v>
      </c>
      <c r="H776" s="24"/>
      <c r="I776" s="24">
        <v>1</v>
      </c>
      <c r="J776" s="24" t="s">
        <v>1767</v>
      </c>
      <c r="K776" s="24"/>
      <c r="L776" s="24"/>
      <c r="M776" s="24"/>
      <c r="N776" s="24"/>
      <c r="O776" s="24"/>
      <c r="P776" s="170"/>
      <c r="Q776" s="170"/>
      <c r="R776" s="162" t="s">
        <v>2231</v>
      </c>
      <c r="S776" s="163" t="s">
        <v>2233</v>
      </c>
      <c r="T776" s="163" t="s">
        <v>2234</v>
      </c>
      <c r="U776" s="163" t="s">
        <v>202</v>
      </c>
      <c r="V776" s="163"/>
      <c r="W776" s="163"/>
      <c r="X776" s="164"/>
      <c r="Y776" s="163"/>
      <c r="Z776" s="24"/>
      <c r="AA776" s="170"/>
      <c r="AB776" s="163" t="s">
        <v>113</v>
      </c>
      <c r="AC776" s="251"/>
      <c r="AD776" s="170"/>
      <c r="AE776" s="24"/>
      <c r="AF776" s="170"/>
      <c r="AG776" s="22"/>
      <c r="AH776" s="45"/>
      <c r="AI776" s="24"/>
      <c r="AJ776" s="163" t="s">
        <v>2235</v>
      </c>
      <c r="AK776" s="22"/>
      <c r="AL776" s="22"/>
      <c r="AM776" s="22"/>
      <c r="AN776" s="22"/>
      <c r="AO776" s="22"/>
      <c r="AP776" s="22"/>
      <c r="AQ776" s="22"/>
      <c r="AR776" s="22"/>
      <c r="AS776" s="22"/>
      <c r="AT776" s="170"/>
      <c r="AU776" s="170"/>
      <c r="AV776" s="170"/>
      <c r="AW776" s="170"/>
      <c r="AX776" s="170"/>
      <c r="AY776" s="170"/>
      <c r="AZ776" s="170"/>
      <c r="BA776" s="170"/>
      <c r="BB776" s="170"/>
      <c r="BC776" s="170"/>
      <c r="BD776" s="170"/>
      <c r="BE776" s="137" t="s">
        <v>2236</v>
      </c>
      <c r="BF776" s="143" t="s">
        <v>1773</v>
      </c>
      <c r="BG776" s="139" t="s">
        <v>1774</v>
      </c>
      <c r="BH776" s="220"/>
      <c r="BI776" s="220"/>
      <c r="BJ776" s="220"/>
      <c r="BK776" s="46">
        <f t="shared" si="1"/>
        <v>1</v>
      </c>
      <c r="BL776" s="46"/>
      <c r="BM776" s="46"/>
      <c r="BN776" s="46"/>
    </row>
    <row r="777" spans="1:66" ht="12.75" hidden="1" customHeight="1">
      <c r="A777" s="22">
        <v>775</v>
      </c>
      <c r="B777" s="22" t="s">
        <v>2651</v>
      </c>
      <c r="C777" s="22" t="e">
        <f t="shared" ca="1" si="0"/>
        <v>#NAME?</v>
      </c>
      <c r="D777" s="24" t="s">
        <v>1775</v>
      </c>
      <c r="E777" s="22" t="s">
        <v>180</v>
      </c>
      <c r="F777" s="24" t="s">
        <v>2231</v>
      </c>
      <c r="G777" s="24" t="s">
        <v>2232</v>
      </c>
      <c r="H777" s="24"/>
      <c r="I777" s="24">
        <v>1</v>
      </c>
      <c r="J777" s="24" t="s">
        <v>1767</v>
      </c>
      <c r="K777" s="24"/>
      <c r="L777" s="24"/>
      <c r="M777" s="24"/>
      <c r="N777" s="24"/>
      <c r="O777" s="24"/>
      <c r="P777" s="170"/>
      <c r="Q777" s="170"/>
      <c r="R777" s="162"/>
      <c r="S777" s="163"/>
      <c r="T777" s="163"/>
      <c r="U777" s="163"/>
      <c r="V777" s="193"/>
      <c r="W777" s="194" t="s">
        <v>1775</v>
      </c>
      <c r="X777" s="164"/>
      <c r="Y777" s="163"/>
      <c r="Z777" s="24"/>
      <c r="AA777" s="170"/>
      <c r="AB777" s="163"/>
      <c r="AC777" s="251"/>
      <c r="AD777" s="170"/>
      <c r="AE777" s="24"/>
      <c r="AF777" s="170"/>
      <c r="AG777" s="22"/>
      <c r="AH777" s="45"/>
      <c r="AI777" s="24"/>
      <c r="AJ777" s="164"/>
      <c r="AK777" s="22"/>
      <c r="AL777" s="22"/>
      <c r="AM777" s="22"/>
      <c r="AN777" s="22"/>
      <c r="AO777" s="22"/>
      <c r="AP777" s="22"/>
      <c r="AQ777" s="22"/>
      <c r="AR777" s="22"/>
      <c r="AS777" s="22"/>
      <c r="AT777" s="170"/>
      <c r="AU777" s="170"/>
      <c r="AV777" s="170"/>
      <c r="AW777" s="170"/>
      <c r="AX777" s="170"/>
      <c r="AY777" s="170"/>
      <c r="AZ777" s="170"/>
      <c r="BA777" s="170"/>
      <c r="BB777" s="170"/>
      <c r="BC777" s="170"/>
      <c r="BD777" s="170"/>
      <c r="BE777" s="137" t="s">
        <v>115</v>
      </c>
      <c r="BF777" s="137" t="s">
        <v>1777</v>
      </c>
      <c r="BG777" s="139" t="s">
        <v>1778</v>
      </c>
      <c r="BH777" s="220"/>
      <c r="BI777" s="220"/>
      <c r="BJ777" s="220"/>
      <c r="BK777" s="46">
        <f t="shared" si="1"/>
        <v>1</v>
      </c>
      <c r="BL777" s="46"/>
      <c r="BM777" s="46"/>
      <c r="BN777" s="46"/>
    </row>
    <row r="778" spans="1:66" ht="12.75" hidden="1" customHeight="1">
      <c r="A778" s="22">
        <v>776</v>
      </c>
      <c r="B778" s="22" t="s">
        <v>2655</v>
      </c>
      <c r="C778" s="22" t="e">
        <f t="shared" ca="1" si="0"/>
        <v>#NAME?</v>
      </c>
      <c r="D778" s="24" t="s">
        <v>1779</v>
      </c>
      <c r="E778" s="22" t="s">
        <v>180</v>
      </c>
      <c r="F778" s="24" t="s">
        <v>2231</v>
      </c>
      <c r="G778" s="24" t="s">
        <v>2232</v>
      </c>
      <c r="H778" s="24"/>
      <c r="I778" s="24">
        <v>1</v>
      </c>
      <c r="J778" s="24" t="s">
        <v>1767</v>
      </c>
      <c r="K778" s="24"/>
      <c r="L778" s="24"/>
      <c r="M778" s="24"/>
      <c r="N778" s="24"/>
      <c r="O778" s="24"/>
      <c r="P778" s="170"/>
      <c r="Q778" s="170"/>
      <c r="R778" s="162"/>
      <c r="S778" s="163"/>
      <c r="T778" s="163"/>
      <c r="U778" s="163"/>
      <c r="V778" s="193"/>
      <c r="W778" s="194" t="s">
        <v>1779</v>
      </c>
      <c r="X778" s="164"/>
      <c r="Y778" s="163"/>
      <c r="Z778" s="24"/>
      <c r="AA778" s="170"/>
      <c r="AB778" s="163"/>
      <c r="AC778" s="251"/>
      <c r="AD778" s="170"/>
      <c r="AE778" s="24"/>
      <c r="AF778" s="170"/>
      <c r="AG778" s="22"/>
      <c r="AH778" s="45"/>
      <c r="AI778" s="24"/>
      <c r="AJ778" s="164"/>
      <c r="AK778" s="22"/>
      <c r="AL778" s="22"/>
      <c r="AM778" s="22"/>
      <c r="AN778" s="22"/>
      <c r="AO778" s="22"/>
      <c r="AP778" s="22"/>
      <c r="AQ778" s="22"/>
      <c r="AR778" s="22"/>
      <c r="AS778" s="22"/>
      <c r="AT778" s="170"/>
      <c r="AU778" s="170"/>
      <c r="AV778" s="170"/>
      <c r="AW778" s="170"/>
      <c r="AX778" s="170"/>
      <c r="AY778" s="170"/>
      <c r="AZ778" s="170"/>
      <c r="BA778" s="170"/>
      <c r="BB778" s="170"/>
      <c r="BC778" s="170"/>
      <c r="BD778" s="170"/>
      <c r="BE778" s="137" t="s">
        <v>115</v>
      </c>
      <c r="BF778" s="137" t="s">
        <v>1781</v>
      </c>
      <c r="BG778" s="139" t="s">
        <v>1782</v>
      </c>
      <c r="BH778" s="220"/>
      <c r="BI778" s="220"/>
      <c r="BJ778" s="220"/>
      <c r="BK778" s="46">
        <f t="shared" si="1"/>
        <v>1</v>
      </c>
      <c r="BL778" s="46"/>
      <c r="BM778" s="46"/>
      <c r="BN778" s="46"/>
    </row>
    <row r="779" spans="1:66" ht="12.75" hidden="1" customHeight="1">
      <c r="A779" s="22">
        <v>777</v>
      </c>
      <c r="B779" s="22" t="s">
        <v>2661</v>
      </c>
      <c r="C779" s="22" t="e">
        <f t="shared" ca="1" si="0"/>
        <v>#NAME?</v>
      </c>
      <c r="D779" s="24" t="s">
        <v>1783</v>
      </c>
      <c r="E779" s="22" t="s">
        <v>180</v>
      </c>
      <c r="F779" s="24" t="s">
        <v>2231</v>
      </c>
      <c r="G779" s="24" t="s">
        <v>2232</v>
      </c>
      <c r="H779" s="24"/>
      <c r="I779" s="24">
        <v>1</v>
      </c>
      <c r="J779" s="24" t="s">
        <v>1767</v>
      </c>
      <c r="K779" s="24"/>
      <c r="L779" s="24"/>
      <c r="M779" s="24"/>
      <c r="N779" s="24"/>
      <c r="O779" s="24"/>
      <c r="P779" s="170"/>
      <c r="Q779" s="170"/>
      <c r="R779" s="162"/>
      <c r="S779" s="163"/>
      <c r="T779" s="163"/>
      <c r="U779" s="163"/>
      <c r="V779" s="193"/>
      <c r="W779" s="194" t="s">
        <v>1783</v>
      </c>
      <c r="X779" s="164"/>
      <c r="Y779" s="163"/>
      <c r="Z779" s="24"/>
      <c r="AA779" s="170"/>
      <c r="AB779" s="163"/>
      <c r="AC779" s="251"/>
      <c r="AD779" s="170"/>
      <c r="AE779" s="24"/>
      <c r="AF779" s="170"/>
      <c r="AG779" s="22"/>
      <c r="AH779" s="45"/>
      <c r="AI779" s="24"/>
      <c r="AJ779" s="164"/>
      <c r="AK779" s="22"/>
      <c r="AL779" s="22"/>
      <c r="AM779" s="22"/>
      <c r="AN779" s="22"/>
      <c r="AO779" s="22"/>
      <c r="AP779" s="22"/>
      <c r="AQ779" s="22"/>
      <c r="AR779" s="22"/>
      <c r="AS779" s="22"/>
      <c r="AT779" s="170"/>
      <c r="AU779" s="170"/>
      <c r="AV779" s="170"/>
      <c r="AW779" s="170"/>
      <c r="AX779" s="170"/>
      <c r="AY779" s="170"/>
      <c r="AZ779" s="170"/>
      <c r="BA779" s="170"/>
      <c r="BB779" s="170"/>
      <c r="BC779" s="170"/>
      <c r="BD779" s="170"/>
      <c r="BE779" s="137" t="s">
        <v>115</v>
      </c>
      <c r="BF779" s="137" t="s">
        <v>1784</v>
      </c>
      <c r="BG779" s="167" t="s">
        <v>1785</v>
      </c>
      <c r="BH779" s="220"/>
      <c r="BI779" s="220"/>
      <c r="BJ779" s="220"/>
      <c r="BK779" s="46">
        <f t="shared" si="1"/>
        <v>1</v>
      </c>
      <c r="BL779" s="46"/>
      <c r="BM779" s="46"/>
      <c r="BN779" s="46"/>
    </row>
    <row r="780" spans="1:66" ht="12.75" hidden="1" customHeight="1">
      <c r="A780" s="22">
        <v>778</v>
      </c>
      <c r="B780" s="22" t="s">
        <v>2118</v>
      </c>
      <c r="C780" s="22" t="e">
        <f t="shared" ca="1" si="0"/>
        <v>#NAME?</v>
      </c>
      <c r="D780" s="24" t="s">
        <v>1468</v>
      </c>
      <c r="E780" s="22" t="s">
        <v>180</v>
      </c>
      <c r="F780" s="24" t="s">
        <v>2231</v>
      </c>
      <c r="G780" s="24" t="s">
        <v>2232</v>
      </c>
      <c r="H780" s="24"/>
      <c r="I780" s="24">
        <v>1</v>
      </c>
      <c r="J780" s="24" t="s">
        <v>1767</v>
      </c>
      <c r="K780" s="24"/>
      <c r="L780" s="24"/>
      <c r="M780" s="24"/>
      <c r="N780" s="24"/>
      <c r="O780" s="24"/>
      <c r="P780" s="170"/>
      <c r="Q780" s="170"/>
      <c r="R780" s="162"/>
      <c r="S780" s="163"/>
      <c r="T780" s="163"/>
      <c r="U780" s="163"/>
      <c r="V780" s="193"/>
      <c r="W780" s="194" t="s">
        <v>1468</v>
      </c>
      <c r="X780" s="164"/>
      <c r="Y780" s="163"/>
      <c r="Z780" s="24"/>
      <c r="AA780" s="170"/>
      <c r="AB780" s="163"/>
      <c r="AC780" s="251"/>
      <c r="AD780" s="170"/>
      <c r="AE780" s="24"/>
      <c r="AF780" s="170"/>
      <c r="AG780" s="22"/>
      <c r="AH780" s="45"/>
      <c r="AI780" s="24"/>
      <c r="AJ780" s="164"/>
      <c r="AK780" s="22"/>
      <c r="AL780" s="22"/>
      <c r="AM780" s="22"/>
      <c r="AN780" s="22"/>
      <c r="AO780" s="22"/>
      <c r="AP780" s="22"/>
      <c r="AQ780" s="22"/>
      <c r="AR780" s="22"/>
      <c r="AS780" s="22"/>
      <c r="AT780" s="170"/>
      <c r="AU780" s="170"/>
      <c r="AV780" s="170"/>
      <c r="AW780" s="170"/>
      <c r="AX780" s="170"/>
      <c r="AY780" s="170"/>
      <c r="AZ780" s="170"/>
      <c r="BA780" s="170"/>
      <c r="BB780" s="170"/>
      <c r="BC780" s="170"/>
      <c r="BD780" s="170"/>
      <c r="BE780" s="137" t="s">
        <v>115</v>
      </c>
      <c r="BF780" s="137" t="s">
        <v>1469</v>
      </c>
      <c r="BG780" s="167" t="s">
        <v>1470</v>
      </c>
      <c r="BH780" s="220"/>
      <c r="BI780" s="220"/>
      <c r="BJ780" s="220"/>
      <c r="BK780" s="46">
        <f t="shared" si="1"/>
        <v>1</v>
      </c>
      <c r="BL780" s="46"/>
      <c r="BM780" s="46"/>
      <c r="BN780" s="46"/>
    </row>
    <row r="781" spans="1:66" ht="12.75" hidden="1" customHeight="1">
      <c r="A781" s="22">
        <v>779</v>
      </c>
      <c r="B781" s="22" t="s">
        <v>2239</v>
      </c>
      <c r="C781" s="22" t="str">
        <f t="shared" si="0"/>
        <v>Reason Blood haemoglobin test not done</v>
      </c>
      <c r="D781" s="24" t="s">
        <v>2239</v>
      </c>
      <c r="E781" s="22" t="s">
        <v>96</v>
      </c>
      <c r="F781" s="24" t="s">
        <v>1787</v>
      </c>
      <c r="G781" s="24" t="s">
        <v>2232</v>
      </c>
      <c r="H781" s="24"/>
      <c r="I781" s="24">
        <v>1</v>
      </c>
      <c r="J781" s="24" t="s">
        <v>1767</v>
      </c>
      <c r="K781" s="24"/>
      <c r="L781" s="24"/>
      <c r="M781" s="24"/>
      <c r="N781" s="24"/>
      <c r="O781" s="24"/>
      <c r="P781" s="170"/>
      <c r="Q781" s="170"/>
      <c r="R781" s="162" t="s">
        <v>1376</v>
      </c>
      <c r="S781" s="163" t="s">
        <v>2240</v>
      </c>
      <c r="T781" s="163" t="s">
        <v>2241</v>
      </c>
      <c r="U781" s="163" t="s">
        <v>238</v>
      </c>
      <c r="V781" s="163"/>
      <c r="W781" s="163"/>
      <c r="X781" s="164"/>
      <c r="Y781" s="163"/>
      <c r="Z781" s="24"/>
      <c r="AA781" s="170"/>
      <c r="AB781" s="163" t="s">
        <v>113</v>
      </c>
      <c r="AC781" s="251"/>
      <c r="AD781" s="170"/>
      <c r="AE781" s="24"/>
      <c r="AF781" s="170"/>
      <c r="AG781" s="22"/>
      <c r="AH781" s="45"/>
      <c r="AI781" s="24"/>
      <c r="AJ781" s="164" t="s">
        <v>115</v>
      </c>
      <c r="AK781" s="22"/>
      <c r="AL781" s="22"/>
      <c r="AM781" s="22"/>
      <c r="AN781" s="22"/>
      <c r="AO781" s="22"/>
      <c r="AP781" s="22"/>
      <c r="AQ781" s="22"/>
      <c r="AR781" s="22"/>
      <c r="AS781" s="22"/>
      <c r="AT781" s="170"/>
      <c r="AU781" s="170"/>
      <c r="AV781" s="170"/>
      <c r="AW781" s="170"/>
      <c r="AX781" s="170"/>
      <c r="AY781" s="170"/>
      <c r="AZ781" s="170"/>
      <c r="BA781" s="170"/>
      <c r="BB781" s="170"/>
      <c r="BC781" s="170"/>
      <c r="BD781" s="170"/>
      <c r="BE781" s="137" t="s">
        <v>2236</v>
      </c>
      <c r="BF781" s="143" t="s">
        <v>1791</v>
      </c>
      <c r="BG781" s="139" t="s">
        <v>1792</v>
      </c>
      <c r="BH781" s="220"/>
      <c r="BI781" s="220"/>
      <c r="BJ781" s="220"/>
      <c r="BK781" s="46">
        <f t="shared" si="1"/>
        <v>1</v>
      </c>
      <c r="BL781" s="46"/>
      <c r="BM781" s="46"/>
      <c r="BN781" s="46"/>
    </row>
    <row r="782" spans="1:66" ht="12.75" hidden="1" customHeight="1">
      <c r="A782" s="22">
        <v>780</v>
      </c>
      <c r="B782" s="22" t="s">
        <v>3390</v>
      </c>
      <c r="C782" s="22" t="e">
        <f t="shared" ca="1" si="0"/>
        <v>#NAME?</v>
      </c>
      <c r="D782" s="24" t="s">
        <v>2243</v>
      </c>
      <c r="E782" s="22" t="s">
        <v>180</v>
      </c>
      <c r="F782" s="24" t="s">
        <v>1376</v>
      </c>
      <c r="G782" s="24" t="s">
        <v>2232</v>
      </c>
      <c r="H782" s="24"/>
      <c r="I782" s="24">
        <v>1</v>
      </c>
      <c r="J782" s="24" t="s">
        <v>1767</v>
      </c>
      <c r="K782" s="24"/>
      <c r="L782" s="24"/>
      <c r="M782" s="24"/>
      <c r="N782" s="24"/>
      <c r="O782" s="24"/>
      <c r="P782" s="170"/>
      <c r="Q782" s="170"/>
      <c r="R782" s="247"/>
      <c r="S782" s="196"/>
      <c r="T782" s="196"/>
      <c r="U782" s="196"/>
      <c r="V782" s="194"/>
      <c r="W782" s="194" t="s">
        <v>2243</v>
      </c>
      <c r="X782" s="196"/>
      <c r="Y782" s="196"/>
      <c r="Z782" s="24"/>
      <c r="AA782" s="170"/>
      <c r="AB782" s="196"/>
      <c r="AC782" s="251"/>
      <c r="AD782" s="170"/>
      <c r="AE782" s="24"/>
      <c r="AF782" s="170"/>
      <c r="AG782" s="22"/>
      <c r="AH782" s="45"/>
      <c r="AI782" s="24"/>
      <c r="AJ782" s="196"/>
      <c r="AK782" s="22"/>
      <c r="AL782" s="22"/>
      <c r="AM782" s="22"/>
      <c r="AN782" s="22"/>
      <c r="AO782" s="22"/>
      <c r="AP782" s="22"/>
      <c r="AQ782" s="22"/>
      <c r="AR782" s="22"/>
      <c r="AS782" s="22"/>
      <c r="AT782" s="170"/>
      <c r="AU782" s="170"/>
      <c r="AV782" s="170"/>
      <c r="AW782" s="170"/>
      <c r="AX782" s="170"/>
      <c r="AY782" s="170"/>
      <c r="AZ782" s="170"/>
      <c r="BA782" s="170"/>
      <c r="BB782" s="170"/>
      <c r="BC782" s="170"/>
      <c r="BD782" s="170"/>
      <c r="BE782" s="143" t="s">
        <v>115</v>
      </c>
      <c r="BF782" s="143" t="s">
        <v>1910</v>
      </c>
      <c r="BG782" s="167" t="s">
        <v>1911</v>
      </c>
      <c r="BH782" s="220"/>
      <c r="BI782" s="220"/>
      <c r="BJ782" s="220"/>
      <c r="BK782" s="46">
        <f t="shared" si="1"/>
        <v>1</v>
      </c>
      <c r="BL782" s="46"/>
      <c r="BM782" s="46"/>
      <c r="BN782" s="46"/>
    </row>
    <row r="783" spans="1:66" ht="12.75" hidden="1" customHeight="1">
      <c r="A783" s="22">
        <v>781</v>
      </c>
      <c r="B783" s="22" t="s">
        <v>3393</v>
      </c>
      <c r="C783" s="22" t="e">
        <f t="shared" ca="1" si="0"/>
        <v>#NAME?</v>
      </c>
      <c r="D783" s="24" t="s">
        <v>2244</v>
      </c>
      <c r="E783" s="22" t="s">
        <v>180</v>
      </c>
      <c r="F783" s="24" t="s">
        <v>1376</v>
      </c>
      <c r="G783" s="24" t="s">
        <v>2232</v>
      </c>
      <c r="H783" s="24"/>
      <c r="I783" s="24">
        <v>1</v>
      </c>
      <c r="J783" s="24" t="s">
        <v>1767</v>
      </c>
      <c r="K783" s="24"/>
      <c r="L783" s="24"/>
      <c r="M783" s="24"/>
      <c r="N783" s="24"/>
      <c r="O783" s="24"/>
      <c r="P783" s="170"/>
      <c r="Q783" s="170"/>
      <c r="R783" s="247"/>
      <c r="S783" s="196"/>
      <c r="T783" s="196"/>
      <c r="U783" s="196"/>
      <c r="V783" s="194"/>
      <c r="W783" s="194" t="s">
        <v>2244</v>
      </c>
      <c r="X783" s="196"/>
      <c r="Y783" s="196"/>
      <c r="Z783" s="24"/>
      <c r="AA783" s="170"/>
      <c r="AB783" s="196"/>
      <c r="AC783" s="251"/>
      <c r="AD783" s="170"/>
      <c r="AE783" s="24"/>
      <c r="AF783" s="170"/>
      <c r="AG783" s="22"/>
      <c r="AH783" s="45"/>
      <c r="AI783" s="24"/>
      <c r="AJ783" s="196"/>
      <c r="AK783" s="22"/>
      <c r="AL783" s="22"/>
      <c r="AM783" s="22"/>
      <c r="AN783" s="22"/>
      <c r="AO783" s="22"/>
      <c r="AP783" s="22"/>
      <c r="AQ783" s="22"/>
      <c r="AR783" s="22"/>
      <c r="AS783" s="22"/>
      <c r="AT783" s="170"/>
      <c r="AU783" s="170"/>
      <c r="AV783" s="170"/>
      <c r="AW783" s="170"/>
      <c r="AX783" s="170"/>
      <c r="AY783" s="170"/>
      <c r="AZ783" s="170"/>
      <c r="BA783" s="170"/>
      <c r="BB783" s="170"/>
      <c r="BC783" s="170"/>
      <c r="BD783" s="170"/>
      <c r="BE783" s="143" t="s">
        <v>115</v>
      </c>
      <c r="BF783" s="143" t="s">
        <v>1913</v>
      </c>
      <c r="BG783" s="167" t="s">
        <v>1914</v>
      </c>
      <c r="BH783" s="220"/>
      <c r="BI783" s="220"/>
      <c r="BJ783" s="220"/>
      <c r="BK783" s="46">
        <f t="shared" si="1"/>
        <v>1</v>
      </c>
      <c r="BL783" s="46"/>
      <c r="BM783" s="46"/>
      <c r="BN783" s="46"/>
    </row>
    <row r="784" spans="1:66" ht="12.75" hidden="1" customHeight="1">
      <c r="A784" s="22">
        <v>782</v>
      </c>
      <c r="B784" s="22" t="s">
        <v>2005</v>
      </c>
      <c r="C784" s="22" t="e">
        <f t="shared" ca="1" si="0"/>
        <v>#NAME?</v>
      </c>
      <c r="D784" s="24" t="s">
        <v>1387</v>
      </c>
      <c r="E784" s="22" t="s">
        <v>180</v>
      </c>
      <c r="F784" s="24" t="s">
        <v>1376</v>
      </c>
      <c r="G784" s="24" t="s">
        <v>2232</v>
      </c>
      <c r="H784" s="24"/>
      <c r="I784" s="24">
        <v>1</v>
      </c>
      <c r="J784" s="24" t="s">
        <v>1767</v>
      </c>
      <c r="K784" s="24"/>
      <c r="L784" s="24"/>
      <c r="M784" s="24"/>
      <c r="N784" s="24"/>
      <c r="O784" s="24"/>
      <c r="P784" s="164"/>
      <c r="Q784" s="164"/>
      <c r="R784" s="169"/>
      <c r="S784" s="164"/>
      <c r="T784" s="164"/>
      <c r="U784" s="164"/>
      <c r="V784" s="163"/>
      <c r="W784" s="163" t="s">
        <v>1387</v>
      </c>
      <c r="X784" s="164"/>
      <c r="Y784" s="164"/>
      <c r="Z784" s="24"/>
      <c r="AA784" s="164"/>
      <c r="AB784" s="164"/>
      <c r="AC784" s="269"/>
      <c r="AD784" s="164"/>
      <c r="AE784" s="24"/>
      <c r="AF784" s="164"/>
      <c r="AG784" s="22"/>
      <c r="AH784" s="45"/>
      <c r="AI784" s="24"/>
      <c r="AJ784" s="164"/>
      <c r="AK784" s="22"/>
      <c r="AL784" s="22"/>
      <c r="AM784" s="22"/>
      <c r="AN784" s="22"/>
      <c r="AO784" s="22"/>
      <c r="AP784" s="22"/>
      <c r="AQ784" s="22"/>
      <c r="AR784" s="22"/>
      <c r="AS784" s="22"/>
      <c r="AT784" s="164"/>
      <c r="AU784" s="164"/>
      <c r="AV784" s="164"/>
      <c r="AW784" s="164"/>
      <c r="AX784" s="164"/>
      <c r="AY784" s="164"/>
      <c r="AZ784" s="164"/>
      <c r="BA784" s="164"/>
      <c r="BB784" s="164"/>
      <c r="BC784" s="164"/>
      <c r="BD784" s="164"/>
      <c r="BE784" s="137" t="s">
        <v>115</v>
      </c>
      <c r="BF784" s="137" t="s">
        <v>406</v>
      </c>
      <c r="BG784" s="139" t="s">
        <v>407</v>
      </c>
      <c r="BH784" s="220"/>
      <c r="BI784" s="220"/>
      <c r="BJ784" s="220"/>
      <c r="BK784" s="46">
        <f t="shared" si="1"/>
        <v>1</v>
      </c>
      <c r="BL784" s="46"/>
      <c r="BM784" s="46"/>
      <c r="BN784" s="46"/>
    </row>
    <row r="785" spans="1:66" ht="12.75" hidden="1" customHeight="1">
      <c r="A785" s="22">
        <v>783</v>
      </c>
      <c r="B785" s="22" t="s">
        <v>2246</v>
      </c>
      <c r="C785" s="22" t="str">
        <f t="shared" si="0"/>
        <v>Specify HB test not done</v>
      </c>
      <c r="D785" s="24" t="s">
        <v>2246</v>
      </c>
      <c r="E785" s="22" t="s">
        <v>96</v>
      </c>
      <c r="F785" s="24" t="s">
        <v>1787</v>
      </c>
      <c r="G785" s="24" t="s">
        <v>2232</v>
      </c>
      <c r="H785" s="24"/>
      <c r="I785" s="24">
        <v>1</v>
      </c>
      <c r="J785" s="24" t="s">
        <v>1767</v>
      </c>
      <c r="K785" s="24"/>
      <c r="L785" s="24"/>
      <c r="M785" s="24"/>
      <c r="N785" s="24"/>
      <c r="O785" s="24"/>
      <c r="P785" s="170"/>
      <c r="Q785" s="170"/>
      <c r="R785" s="247" t="s">
        <v>2246</v>
      </c>
      <c r="S785" s="196" t="s">
        <v>2247</v>
      </c>
      <c r="T785" s="196" t="s">
        <v>2248</v>
      </c>
      <c r="U785" s="196" t="s">
        <v>111</v>
      </c>
      <c r="V785" s="194"/>
      <c r="W785" s="194"/>
      <c r="X785" s="196"/>
      <c r="Y785" s="196"/>
      <c r="Z785" s="24"/>
      <c r="AA785" s="170"/>
      <c r="AB785" s="196" t="s">
        <v>208</v>
      </c>
      <c r="AC785" s="251"/>
      <c r="AD785" s="170"/>
      <c r="AE785" s="24"/>
      <c r="AF785" s="170"/>
      <c r="AG785" s="22"/>
      <c r="AH785" s="45"/>
      <c r="AI785" s="24"/>
      <c r="AJ785" s="196" t="s">
        <v>115</v>
      </c>
      <c r="AK785" s="22"/>
      <c r="AL785" s="22"/>
      <c r="AM785" s="22"/>
      <c r="AN785" s="22"/>
      <c r="AO785" s="22"/>
      <c r="AP785" s="22"/>
      <c r="AQ785" s="22"/>
      <c r="AR785" s="22"/>
      <c r="AS785" s="22"/>
      <c r="AT785" s="170"/>
      <c r="AU785" s="170"/>
      <c r="AV785" s="170"/>
      <c r="AW785" s="170"/>
      <c r="AX785" s="170"/>
      <c r="AY785" s="170"/>
      <c r="AZ785" s="170"/>
      <c r="BA785" s="170"/>
      <c r="BB785" s="170"/>
      <c r="BC785" s="170"/>
      <c r="BD785" s="170"/>
      <c r="BE785" s="143" t="s">
        <v>2236</v>
      </c>
      <c r="BF785" s="143" t="s">
        <v>1800</v>
      </c>
      <c r="BG785" s="167" t="s">
        <v>1801</v>
      </c>
      <c r="BH785" s="220"/>
      <c r="BI785" s="220"/>
      <c r="BJ785" s="220"/>
      <c r="BK785" s="46">
        <f t="shared" si="1"/>
        <v>1</v>
      </c>
      <c r="BL785" s="46"/>
      <c r="BM785" s="46"/>
      <c r="BN785" s="46"/>
    </row>
    <row r="786" spans="1:66" ht="12.75" hidden="1" customHeight="1">
      <c r="A786" s="22">
        <v>784</v>
      </c>
      <c r="B786" s="22" t="s">
        <v>2250</v>
      </c>
      <c r="C786" s="22" t="str">
        <f t="shared" si="0"/>
        <v>Blood haemoglobin test date</v>
      </c>
      <c r="D786" s="24" t="s">
        <v>2250</v>
      </c>
      <c r="E786" s="22" t="s">
        <v>96</v>
      </c>
      <c r="F786" s="24" t="s">
        <v>1787</v>
      </c>
      <c r="G786" s="24" t="s">
        <v>2232</v>
      </c>
      <c r="H786" s="24"/>
      <c r="I786" s="24">
        <v>1</v>
      </c>
      <c r="J786" s="24" t="s">
        <v>1767</v>
      </c>
      <c r="K786" s="24"/>
      <c r="L786" s="24"/>
      <c r="M786" s="24"/>
      <c r="N786" s="24"/>
      <c r="O786" s="24"/>
      <c r="P786" s="170"/>
      <c r="Q786" s="170"/>
      <c r="R786" s="195" t="s">
        <v>2250</v>
      </c>
      <c r="S786" s="196" t="s">
        <v>2251</v>
      </c>
      <c r="T786" s="194" t="s">
        <v>2252</v>
      </c>
      <c r="U786" s="194" t="s">
        <v>140</v>
      </c>
      <c r="V786" s="194"/>
      <c r="W786" s="194"/>
      <c r="X786" s="196"/>
      <c r="Y786" s="196"/>
      <c r="Z786" s="24"/>
      <c r="AA786" s="170"/>
      <c r="AB786" s="196" t="s">
        <v>113</v>
      </c>
      <c r="AC786" s="251"/>
      <c r="AD786" s="170"/>
      <c r="AE786" s="24"/>
      <c r="AF786" s="170"/>
      <c r="AG786" s="22"/>
      <c r="AH786" s="45"/>
      <c r="AI786" s="24"/>
      <c r="AJ786" s="194" t="s">
        <v>115</v>
      </c>
      <c r="AK786" s="22"/>
      <c r="AL786" s="22"/>
      <c r="AM786" s="22"/>
      <c r="AN786" s="22"/>
      <c r="AO786" s="22"/>
      <c r="AP786" s="22"/>
      <c r="AQ786" s="22"/>
      <c r="AR786" s="22"/>
      <c r="AS786" s="22"/>
      <c r="AT786" s="170"/>
      <c r="AU786" s="170"/>
      <c r="AV786" s="170"/>
      <c r="AW786" s="170"/>
      <c r="AX786" s="170"/>
      <c r="AY786" s="170"/>
      <c r="AZ786" s="170"/>
      <c r="BA786" s="170"/>
      <c r="BB786" s="170"/>
      <c r="BC786" s="170"/>
      <c r="BD786" s="170"/>
      <c r="BE786" s="143" t="s">
        <v>2236</v>
      </c>
      <c r="BF786" s="143" t="s">
        <v>1804</v>
      </c>
      <c r="BG786" s="167" t="s">
        <v>1805</v>
      </c>
      <c r="BH786" s="220"/>
      <c r="BI786" s="220"/>
      <c r="BJ786" s="220"/>
      <c r="BK786" s="46">
        <f t="shared" si="1"/>
        <v>1</v>
      </c>
      <c r="BL786" s="46"/>
      <c r="BM786" s="46"/>
      <c r="BN786" s="46"/>
    </row>
    <row r="787" spans="1:66" ht="12.75" hidden="1" customHeight="1">
      <c r="A787" s="22">
        <v>785</v>
      </c>
      <c r="B787" s="22" t="s">
        <v>2253</v>
      </c>
      <c r="C787" s="22" t="str">
        <f t="shared" si="0"/>
        <v>Blood haemoglobin test type</v>
      </c>
      <c r="D787" s="24" t="s">
        <v>2253</v>
      </c>
      <c r="E787" s="22" t="s">
        <v>96</v>
      </c>
      <c r="F787" s="24" t="s">
        <v>1787</v>
      </c>
      <c r="G787" s="24" t="s">
        <v>2232</v>
      </c>
      <c r="H787" s="24"/>
      <c r="I787" s="24">
        <v>1</v>
      </c>
      <c r="J787" s="24" t="s">
        <v>1767</v>
      </c>
      <c r="K787" s="24"/>
      <c r="L787" s="24"/>
      <c r="M787" s="24"/>
      <c r="N787" s="24"/>
      <c r="O787" s="24"/>
      <c r="P787" s="170"/>
      <c r="Q787" s="170"/>
      <c r="R787" s="247" t="s">
        <v>2253</v>
      </c>
      <c r="S787" s="196" t="s">
        <v>2254</v>
      </c>
      <c r="T787" s="196" t="s">
        <v>2255</v>
      </c>
      <c r="U787" s="196" t="s">
        <v>202</v>
      </c>
      <c r="V787" s="194"/>
      <c r="W787" s="194"/>
      <c r="X787" s="196"/>
      <c r="Y787" s="196"/>
      <c r="Z787" s="24"/>
      <c r="AA787" s="170"/>
      <c r="AB787" s="196" t="s">
        <v>113</v>
      </c>
      <c r="AC787" s="251"/>
      <c r="AD787" s="170"/>
      <c r="AE787" s="24"/>
      <c r="AF787" s="170"/>
      <c r="AG787" s="22"/>
      <c r="AH787" s="45"/>
      <c r="AI787" s="24"/>
      <c r="AJ787" s="196" t="s">
        <v>115</v>
      </c>
      <c r="AK787" s="22"/>
      <c r="AL787" s="22"/>
      <c r="AM787" s="22"/>
      <c r="AN787" s="22"/>
      <c r="AO787" s="22"/>
      <c r="AP787" s="22"/>
      <c r="AQ787" s="22"/>
      <c r="AR787" s="22"/>
      <c r="AS787" s="22"/>
      <c r="AT787" s="170"/>
      <c r="AU787" s="170"/>
      <c r="AV787" s="170"/>
      <c r="AW787" s="170"/>
      <c r="AX787" s="170"/>
      <c r="AY787" s="170"/>
      <c r="AZ787" s="170"/>
      <c r="BA787" s="170"/>
      <c r="BB787" s="170"/>
      <c r="BC787" s="170"/>
      <c r="BD787" s="170"/>
      <c r="BE787" s="143" t="s">
        <v>115</v>
      </c>
      <c r="BF787" s="143" t="s">
        <v>2257</v>
      </c>
      <c r="BG787" s="167" t="s">
        <v>2258</v>
      </c>
      <c r="BH787" s="220"/>
      <c r="BI787" s="220"/>
      <c r="BJ787" s="220"/>
      <c r="BK787" s="46">
        <f t="shared" si="1"/>
        <v>1</v>
      </c>
      <c r="BL787" s="46"/>
      <c r="BM787" s="46"/>
      <c r="BN787" s="46"/>
    </row>
    <row r="788" spans="1:66" ht="12.75" hidden="1" customHeight="1">
      <c r="A788" s="22">
        <v>786</v>
      </c>
      <c r="B788" s="22" t="s">
        <v>3414</v>
      </c>
      <c r="C788" s="22" t="e">
        <f t="shared" ca="1" si="0"/>
        <v>#NAME?</v>
      </c>
      <c r="D788" s="24" t="s">
        <v>2259</v>
      </c>
      <c r="E788" s="22" t="s">
        <v>180</v>
      </c>
      <c r="F788" s="24" t="s">
        <v>2253</v>
      </c>
      <c r="G788" s="24" t="s">
        <v>2232</v>
      </c>
      <c r="H788" s="24"/>
      <c r="I788" s="24">
        <v>1</v>
      </c>
      <c r="J788" s="24" t="s">
        <v>1767</v>
      </c>
      <c r="K788" s="24"/>
      <c r="L788" s="24"/>
      <c r="M788" s="24"/>
      <c r="N788" s="24"/>
      <c r="O788" s="24"/>
      <c r="P788" s="170"/>
      <c r="Q788" s="170"/>
      <c r="R788" s="247"/>
      <c r="S788" s="196"/>
      <c r="T788" s="196"/>
      <c r="U788" s="196"/>
      <c r="V788" s="194"/>
      <c r="W788" s="194" t="s">
        <v>2259</v>
      </c>
      <c r="X788" s="196"/>
      <c r="Y788" s="196"/>
      <c r="Z788" s="24"/>
      <c r="AA788" s="170"/>
      <c r="AB788" s="196"/>
      <c r="AC788" s="251"/>
      <c r="AD788" s="170"/>
      <c r="AE788" s="24"/>
      <c r="AF788" s="170"/>
      <c r="AG788" s="22"/>
      <c r="AH788" s="45"/>
      <c r="AI788" s="24"/>
      <c r="AJ788" s="196"/>
      <c r="AK788" s="22"/>
      <c r="AL788" s="22"/>
      <c r="AM788" s="22"/>
      <c r="AN788" s="22"/>
      <c r="AO788" s="22"/>
      <c r="AP788" s="22"/>
      <c r="AQ788" s="22"/>
      <c r="AR788" s="22"/>
      <c r="AS788" s="22"/>
      <c r="AT788" s="170"/>
      <c r="AU788" s="170"/>
      <c r="AV788" s="170"/>
      <c r="AW788" s="170"/>
      <c r="AX788" s="170"/>
      <c r="AY788" s="170"/>
      <c r="AZ788" s="170"/>
      <c r="BA788" s="170"/>
      <c r="BB788" s="170"/>
      <c r="BC788" s="170"/>
      <c r="BD788" s="170"/>
      <c r="BE788" s="143" t="s">
        <v>115</v>
      </c>
      <c r="BF788" s="143" t="s">
        <v>2260</v>
      </c>
      <c r="BG788" s="167" t="s">
        <v>2261</v>
      </c>
      <c r="BH788" s="220"/>
      <c r="BI788" s="220"/>
      <c r="BJ788" s="220"/>
      <c r="BK788" s="46">
        <f t="shared" si="1"/>
        <v>1</v>
      </c>
      <c r="BL788" s="46"/>
      <c r="BM788" s="46"/>
      <c r="BN788" s="46"/>
    </row>
    <row r="789" spans="1:66" ht="12.75" hidden="1" customHeight="1">
      <c r="A789" s="22">
        <v>787</v>
      </c>
      <c r="B789" s="22" t="s">
        <v>3418</v>
      </c>
      <c r="C789" s="22" t="e">
        <f t="shared" ca="1" si="0"/>
        <v>#NAME?</v>
      </c>
      <c r="D789" s="24" t="s">
        <v>2262</v>
      </c>
      <c r="E789" s="22" t="s">
        <v>180</v>
      </c>
      <c r="F789" s="24" t="s">
        <v>2253</v>
      </c>
      <c r="G789" s="24" t="s">
        <v>2232</v>
      </c>
      <c r="H789" s="24"/>
      <c r="I789" s="24">
        <v>1</v>
      </c>
      <c r="J789" s="24" t="s">
        <v>1767</v>
      </c>
      <c r="K789" s="24"/>
      <c r="L789" s="24"/>
      <c r="M789" s="24"/>
      <c r="N789" s="24"/>
      <c r="O789" s="24"/>
      <c r="P789" s="170"/>
      <c r="Q789" s="170"/>
      <c r="R789" s="247"/>
      <c r="S789" s="196"/>
      <c r="T789" s="196"/>
      <c r="U789" s="196"/>
      <c r="V789" s="194"/>
      <c r="W789" s="194" t="s">
        <v>2262</v>
      </c>
      <c r="X789" s="196"/>
      <c r="Y789" s="196"/>
      <c r="Z789" s="24"/>
      <c r="AA789" s="170"/>
      <c r="AB789" s="196"/>
      <c r="AC789" s="251"/>
      <c r="AD789" s="170"/>
      <c r="AE789" s="24"/>
      <c r="AF789" s="170"/>
      <c r="AG789" s="22"/>
      <c r="AH789" s="45"/>
      <c r="AI789" s="24"/>
      <c r="AJ789" s="196"/>
      <c r="AK789" s="22"/>
      <c r="AL789" s="22"/>
      <c r="AM789" s="22"/>
      <c r="AN789" s="22"/>
      <c r="AO789" s="22"/>
      <c r="AP789" s="22"/>
      <c r="AQ789" s="22"/>
      <c r="AR789" s="22"/>
      <c r="AS789" s="22"/>
      <c r="AT789" s="170"/>
      <c r="AU789" s="170"/>
      <c r="AV789" s="170"/>
      <c r="AW789" s="170"/>
      <c r="AX789" s="170"/>
      <c r="AY789" s="170"/>
      <c r="AZ789" s="170"/>
      <c r="BA789" s="170"/>
      <c r="BB789" s="170"/>
      <c r="BC789" s="170"/>
      <c r="BD789" s="170"/>
      <c r="BE789" s="143" t="s">
        <v>115</v>
      </c>
      <c r="BF789" s="143" t="s">
        <v>2264</v>
      </c>
      <c r="BG789" s="167" t="s">
        <v>2265</v>
      </c>
      <c r="BH789" s="220"/>
      <c r="BI789" s="220"/>
      <c r="BJ789" s="220"/>
      <c r="BK789" s="46">
        <f t="shared" si="1"/>
        <v>1</v>
      </c>
      <c r="BL789" s="46"/>
      <c r="BM789" s="46"/>
      <c r="BN789" s="46"/>
    </row>
    <row r="790" spans="1:66" ht="12.75" hidden="1" customHeight="1">
      <c r="A790" s="22">
        <v>788</v>
      </c>
      <c r="B790" s="22" t="s">
        <v>3425</v>
      </c>
      <c r="C790" s="22" t="e">
        <f t="shared" ca="1" si="0"/>
        <v>#NAME?</v>
      </c>
      <c r="D790" s="24" t="s">
        <v>2266</v>
      </c>
      <c r="E790" s="22" t="s">
        <v>180</v>
      </c>
      <c r="F790" s="24" t="s">
        <v>2253</v>
      </c>
      <c r="G790" s="24" t="s">
        <v>2232</v>
      </c>
      <c r="H790" s="24"/>
      <c r="I790" s="24">
        <v>1</v>
      </c>
      <c r="J790" s="24" t="s">
        <v>1767</v>
      </c>
      <c r="K790" s="24"/>
      <c r="L790" s="24"/>
      <c r="M790" s="24"/>
      <c r="N790" s="24"/>
      <c r="O790" s="24"/>
      <c r="P790" s="170"/>
      <c r="Q790" s="170"/>
      <c r="R790" s="247"/>
      <c r="S790" s="196"/>
      <c r="T790" s="196"/>
      <c r="U790" s="196"/>
      <c r="V790" s="194"/>
      <c r="W790" s="194" t="s">
        <v>2266</v>
      </c>
      <c r="X790" s="196"/>
      <c r="Y790" s="196"/>
      <c r="Z790" s="24"/>
      <c r="AA790" s="170"/>
      <c r="AB790" s="196"/>
      <c r="AC790" s="251"/>
      <c r="AD790" s="170"/>
      <c r="AE790" s="24"/>
      <c r="AF790" s="170"/>
      <c r="AG790" s="22"/>
      <c r="AH790" s="45"/>
      <c r="AI790" s="24"/>
      <c r="AJ790" s="196"/>
      <c r="AK790" s="22"/>
      <c r="AL790" s="22"/>
      <c r="AM790" s="22"/>
      <c r="AN790" s="22"/>
      <c r="AO790" s="22"/>
      <c r="AP790" s="22"/>
      <c r="AQ790" s="22"/>
      <c r="AR790" s="22"/>
      <c r="AS790" s="22"/>
      <c r="AT790" s="170"/>
      <c r="AU790" s="170"/>
      <c r="AV790" s="170"/>
      <c r="AW790" s="170"/>
      <c r="AX790" s="170"/>
      <c r="AY790" s="170"/>
      <c r="AZ790" s="170"/>
      <c r="BA790" s="170"/>
      <c r="BB790" s="170"/>
      <c r="BC790" s="170"/>
      <c r="BD790" s="170"/>
      <c r="BE790" s="143" t="s">
        <v>115</v>
      </c>
      <c r="BF790" s="143" t="s">
        <v>2267</v>
      </c>
      <c r="BG790" s="167" t="s">
        <v>2268</v>
      </c>
      <c r="BH790" s="220"/>
      <c r="BI790" s="220"/>
      <c r="BJ790" s="220"/>
      <c r="BK790" s="46">
        <f t="shared" si="1"/>
        <v>1</v>
      </c>
      <c r="BL790" s="46"/>
      <c r="BM790" s="46"/>
      <c r="BN790" s="46"/>
    </row>
    <row r="791" spans="1:66" ht="12.75" hidden="1" customHeight="1">
      <c r="A791" s="22">
        <v>789</v>
      </c>
      <c r="B791" s="22" t="s">
        <v>2269</v>
      </c>
      <c r="C791" s="22" t="str">
        <f t="shared" si="0"/>
        <v>Complete blood count test result (g/dl) (recommended)</v>
      </c>
      <c r="D791" s="24" t="s">
        <v>2269</v>
      </c>
      <c r="E791" s="22" t="s">
        <v>96</v>
      </c>
      <c r="F791" s="24" t="s">
        <v>1787</v>
      </c>
      <c r="G791" s="24" t="s">
        <v>2232</v>
      </c>
      <c r="H791" s="24"/>
      <c r="I791" s="24">
        <v>1</v>
      </c>
      <c r="J791" s="24" t="s">
        <v>1767</v>
      </c>
      <c r="K791" s="24"/>
      <c r="L791" s="24"/>
      <c r="M791" s="24"/>
      <c r="N791" s="24"/>
      <c r="O791" s="24"/>
      <c r="P791" s="170"/>
      <c r="Q791" s="170"/>
      <c r="R791" s="162" t="s">
        <v>2269</v>
      </c>
      <c r="S791" s="163" t="s">
        <v>2270</v>
      </c>
      <c r="T791" s="163" t="s">
        <v>2271</v>
      </c>
      <c r="U791" s="163" t="s">
        <v>1318</v>
      </c>
      <c r="V791" s="163"/>
      <c r="W791" s="163"/>
      <c r="X791" s="164"/>
      <c r="Y791" s="24"/>
      <c r="Z791" s="163" t="s">
        <v>2272</v>
      </c>
      <c r="AA791" s="170"/>
      <c r="AB791" s="163" t="s">
        <v>113</v>
      </c>
      <c r="AC791" s="251"/>
      <c r="AD791" s="170"/>
      <c r="AE791" s="24"/>
      <c r="AF791" s="170"/>
      <c r="AG791" s="22"/>
      <c r="AH791" s="45"/>
      <c r="AI791" s="24"/>
      <c r="AJ791" s="164" t="s">
        <v>115</v>
      </c>
      <c r="AK791" s="22"/>
      <c r="AL791" s="22"/>
      <c r="AM791" s="22"/>
      <c r="AN791" s="22"/>
      <c r="AO791" s="22"/>
      <c r="AP791" s="22"/>
      <c r="AQ791" s="22"/>
      <c r="AR791" s="22"/>
      <c r="AS791" s="22"/>
      <c r="AT791" s="170"/>
      <c r="AU791" s="170"/>
      <c r="AV791" s="170"/>
      <c r="AW791" s="170"/>
      <c r="AX791" s="170"/>
      <c r="AY791" s="170"/>
      <c r="AZ791" s="170"/>
      <c r="BA791" s="170"/>
      <c r="BB791" s="170"/>
      <c r="BC791" s="170"/>
      <c r="BD791" s="170"/>
      <c r="BE791" s="137" t="s">
        <v>2273</v>
      </c>
      <c r="BF791" s="143" t="s">
        <v>2274</v>
      </c>
      <c r="BG791" s="139" t="s">
        <v>2275</v>
      </c>
      <c r="BH791" s="220"/>
      <c r="BI791" s="220"/>
      <c r="BJ791" s="220"/>
      <c r="BK791" s="46">
        <f t="shared" si="1"/>
        <v>1</v>
      </c>
      <c r="BL791" s="46"/>
      <c r="BM791" s="46"/>
      <c r="BN791" s="46"/>
    </row>
    <row r="792" spans="1:66" ht="12.75" hidden="1" customHeight="1">
      <c r="A792" s="22">
        <v>790</v>
      </c>
      <c r="B792" s="22" t="s">
        <v>2276</v>
      </c>
      <c r="C792" s="22" t="str">
        <f t="shared" si="0"/>
        <v>Hb test result - haemoglobinometer (g/dl)</v>
      </c>
      <c r="D792" s="24" t="s">
        <v>2276</v>
      </c>
      <c r="E792" s="22" t="s">
        <v>96</v>
      </c>
      <c r="F792" s="24" t="s">
        <v>1787</v>
      </c>
      <c r="G792" s="24" t="s">
        <v>2232</v>
      </c>
      <c r="H792" s="24"/>
      <c r="I792" s="24">
        <v>1</v>
      </c>
      <c r="J792" s="24" t="s">
        <v>1767</v>
      </c>
      <c r="K792" s="24"/>
      <c r="L792" s="24"/>
      <c r="M792" s="24"/>
      <c r="N792" s="24"/>
      <c r="O792" s="24"/>
      <c r="P792" s="170"/>
      <c r="Q792" s="170"/>
      <c r="R792" s="162" t="s">
        <v>2276</v>
      </c>
      <c r="S792" s="163" t="s">
        <v>2277</v>
      </c>
      <c r="T792" s="163" t="s">
        <v>2278</v>
      </c>
      <c r="U792" s="163" t="s">
        <v>1318</v>
      </c>
      <c r="V792" s="163"/>
      <c r="W792" s="163"/>
      <c r="X792" s="163"/>
      <c r="Y792" s="24"/>
      <c r="Z792" s="163" t="s">
        <v>2272</v>
      </c>
      <c r="AA792" s="170"/>
      <c r="AB792" s="163" t="s">
        <v>113</v>
      </c>
      <c r="AC792" s="251"/>
      <c r="AD792" s="170"/>
      <c r="AE792" s="24"/>
      <c r="AF792" s="170"/>
      <c r="AG792" s="22"/>
      <c r="AH792" s="45"/>
      <c r="AI792" s="24"/>
      <c r="AJ792" s="164" t="s">
        <v>115</v>
      </c>
      <c r="AK792" s="22"/>
      <c r="AL792" s="22"/>
      <c r="AM792" s="22"/>
      <c r="AN792" s="22"/>
      <c r="AO792" s="22"/>
      <c r="AP792" s="22"/>
      <c r="AQ792" s="22"/>
      <c r="AR792" s="22"/>
      <c r="AS792" s="22"/>
      <c r="AT792" s="170"/>
      <c r="AU792" s="170"/>
      <c r="AV792" s="170"/>
      <c r="AW792" s="170"/>
      <c r="AX792" s="170"/>
      <c r="AY792" s="170"/>
      <c r="AZ792" s="170"/>
      <c r="BA792" s="170"/>
      <c r="BB792" s="170"/>
      <c r="BC792" s="170"/>
      <c r="BD792" s="170"/>
      <c r="BE792" s="137" t="s">
        <v>115</v>
      </c>
      <c r="BF792" s="143" t="s">
        <v>2264</v>
      </c>
      <c r="BG792" s="167" t="s">
        <v>2265</v>
      </c>
      <c r="BH792" s="220"/>
      <c r="BI792" s="220"/>
      <c r="BJ792" s="220"/>
      <c r="BK792" s="46">
        <f t="shared" si="1"/>
        <v>1</v>
      </c>
      <c r="BL792" s="46"/>
      <c r="BM792" s="46"/>
      <c r="BN792" s="46"/>
    </row>
    <row r="793" spans="1:66" ht="12.75" hidden="1" customHeight="1">
      <c r="A793" s="22">
        <v>791</v>
      </c>
      <c r="B793" s="22" t="s">
        <v>2279</v>
      </c>
      <c r="C793" s="22" t="str">
        <f t="shared" si="0"/>
        <v>Hb test result - haemoglobin colour scale (g/dl)</v>
      </c>
      <c r="D793" s="24" t="s">
        <v>2279</v>
      </c>
      <c r="E793" s="22" t="s">
        <v>96</v>
      </c>
      <c r="F793" s="24" t="s">
        <v>1787</v>
      </c>
      <c r="G793" s="24" t="s">
        <v>2232</v>
      </c>
      <c r="H793" s="24"/>
      <c r="I793" s="24">
        <v>1</v>
      </c>
      <c r="J793" s="24" t="s">
        <v>1767</v>
      </c>
      <c r="K793" s="24"/>
      <c r="L793" s="24"/>
      <c r="M793" s="24"/>
      <c r="N793" s="24"/>
      <c r="O793" s="24"/>
      <c r="P793" s="170"/>
      <c r="Q793" s="170"/>
      <c r="R793" s="162" t="s">
        <v>2279</v>
      </c>
      <c r="S793" s="163" t="s">
        <v>2280</v>
      </c>
      <c r="T793" s="163" t="s">
        <v>2281</v>
      </c>
      <c r="U793" s="163" t="s">
        <v>168</v>
      </c>
      <c r="V793" s="163"/>
      <c r="W793" s="163"/>
      <c r="X793" s="163"/>
      <c r="Y793" s="24"/>
      <c r="Z793" s="163" t="s">
        <v>2272</v>
      </c>
      <c r="AA793" s="170"/>
      <c r="AB793" s="163" t="s">
        <v>113</v>
      </c>
      <c r="AC793" s="251"/>
      <c r="AD793" s="170"/>
      <c r="AE793" s="24"/>
      <c r="AF793" s="170"/>
      <c r="AG793" s="22"/>
      <c r="AH793" s="45"/>
      <c r="AI793" s="24"/>
      <c r="AJ793" s="164" t="s">
        <v>115</v>
      </c>
      <c r="AK793" s="22"/>
      <c r="AL793" s="22"/>
      <c r="AM793" s="22"/>
      <c r="AN793" s="22"/>
      <c r="AO793" s="22"/>
      <c r="AP793" s="22"/>
      <c r="AQ793" s="22"/>
      <c r="AR793" s="22"/>
      <c r="AS793" s="22"/>
      <c r="AT793" s="170"/>
      <c r="AU793" s="170"/>
      <c r="AV793" s="170"/>
      <c r="AW793" s="170"/>
      <c r="AX793" s="170"/>
      <c r="AY793" s="170"/>
      <c r="AZ793" s="170"/>
      <c r="BA793" s="170"/>
      <c r="BB793" s="170"/>
      <c r="BC793" s="170"/>
      <c r="BD793" s="170"/>
      <c r="BE793" s="137" t="s">
        <v>115</v>
      </c>
      <c r="BF793" s="143" t="s">
        <v>2267</v>
      </c>
      <c r="BG793" s="167" t="s">
        <v>2268</v>
      </c>
      <c r="BH793" s="220"/>
      <c r="BI793" s="220"/>
      <c r="BJ793" s="220"/>
      <c r="BK793" s="46">
        <f t="shared" si="1"/>
        <v>1</v>
      </c>
      <c r="BL793" s="46"/>
      <c r="BM793" s="46"/>
      <c r="BN793" s="46"/>
    </row>
    <row r="794" spans="1:66" ht="12.75" hidden="1" customHeight="1">
      <c r="A794" s="22">
        <v>792</v>
      </c>
      <c r="B794" s="22" t="s">
        <v>2282</v>
      </c>
      <c r="C794" s="22" t="str">
        <f t="shared" si="0"/>
        <v>hb_result</v>
      </c>
      <c r="D794" s="24" t="s">
        <v>2282</v>
      </c>
      <c r="E794" s="22" t="s">
        <v>65</v>
      </c>
      <c r="F794" s="24" t="s">
        <v>1787</v>
      </c>
      <c r="G794" s="24" t="s">
        <v>2232</v>
      </c>
      <c r="H794" s="24"/>
      <c r="I794" s="24">
        <v>1</v>
      </c>
      <c r="J794" s="24" t="s">
        <v>1767</v>
      </c>
      <c r="K794" s="24"/>
      <c r="L794" s="24"/>
      <c r="M794" s="24"/>
      <c r="N794" s="24"/>
      <c r="O794" s="24"/>
      <c r="P794" s="170"/>
      <c r="Q794" s="170"/>
      <c r="R794" s="162" t="s">
        <v>115</v>
      </c>
      <c r="S794" s="163" t="s">
        <v>2282</v>
      </c>
      <c r="T794" s="163" t="s">
        <v>2283</v>
      </c>
      <c r="U794" s="163" t="s">
        <v>65</v>
      </c>
      <c r="V794" s="163"/>
      <c r="W794" s="163"/>
      <c r="X794" s="163" t="s">
        <v>2284</v>
      </c>
      <c r="Y794" s="163"/>
      <c r="Z794" s="24"/>
      <c r="AA794" s="170"/>
      <c r="AB794" s="163" t="s">
        <v>115</v>
      </c>
      <c r="AC794" s="251"/>
      <c r="AD794" s="170"/>
      <c r="AE794" s="24"/>
      <c r="AF794" s="170"/>
      <c r="AG794" s="22"/>
      <c r="AH794" s="45"/>
      <c r="AI794" s="24"/>
      <c r="AJ794" s="164" t="s">
        <v>115</v>
      </c>
      <c r="AK794" s="22"/>
      <c r="AL794" s="22"/>
      <c r="AM794" s="22"/>
      <c r="AN794" s="22"/>
      <c r="AO794" s="22"/>
      <c r="AP794" s="22"/>
      <c r="AQ794" s="22"/>
      <c r="AR794" s="22"/>
      <c r="AS794" s="22"/>
      <c r="AT794" s="170"/>
      <c r="AU794" s="170"/>
      <c r="AV794" s="170"/>
      <c r="AW794" s="170"/>
      <c r="AX794" s="170"/>
      <c r="AY794" s="170"/>
      <c r="AZ794" s="170"/>
      <c r="BA794" s="170"/>
      <c r="BB794" s="170"/>
      <c r="BC794" s="170"/>
      <c r="BD794" s="170"/>
      <c r="BE794" s="137" t="s">
        <v>115</v>
      </c>
      <c r="BF794" s="137" t="s">
        <v>115</v>
      </c>
      <c r="BG794" s="139" t="s">
        <v>115</v>
      </c>
      <c r="BH794" s="220"/>
      <c r="BI794" s="220"/>
      <c r="BJ794" s="220"/>
      <c r="BK794" s="46">
        <f t="shared" si="1"/>
        <v>1</v>
      </c>
      <c r="BL794" s="46"/>
      <c r="BM794" s="46"/>
      <c r="BN794" s="46"/>
    </row>
    <row r="795" spans="1:66" ht="12.75" hidden="1" customHeight="1">
      <c r="A795" s="22">
        <v>793</v>
      </c>
      <c r="B795" s="22" t="s">
        <v>2285</v>
      </c>
      <c r="C795" s="22" t="str">
        <f t="shared" si="0"/>
        <v>anaemic</v>
      </c>
      <c r="D795" s="24" t="s">
        <v>2285</v>
      </c>
      <c r="E795" s="22" t="s">
        <v>65</v>
      </c>
      <c r="F795" s="24" t="s">
        <v>1787</v>
      </c>
      <c r="G795" s="24" t="s">
        <v>2232</v>
      </c>
      <c r="H795" s="24"/>
      <c r="I795" s="24">
        <v>1</v>
      </c>
      <c r="J795" s="24" t="s">
        <v>1767</v>
      </c>
      <c r="K795" s="24"/>
      <c r="L795" s="24"/>
      <c r="M795" s="24"/>
      <c r="N795" s="24"/>
      <c r="O795" s="24"/>
      <c r="P795" s="170"/>
      <c r="Q795" s="170"/>
      <c r="R795" s="178" t="s">
        <v>2286</v>
      </c>
      <c r="S795" s="170" t="s">
        <v>2285</v>
      </c>
      <c r="T795" s="170" t="s">
        <v>2287</v>
      </c>
      <c r="U795" s="170" t="s">
        <v>65</v>
      </c>
      <c r="V795" s="170"/>
      <c r="W795" s="170"/>
      <c r="X795" s="170" t="s">
        <v>2288</v>
      </c>
      <c r="Y795" s="164"/>
      <c r="Z795" s="24"/>
      <c r="AA795" s="170"/>
      <c r="AB795" s="221" t="s">
        <v>115</v>
      </c>
      <c r="AC795" s="251"/>
      <c r="AD795" s="170"/>
      <c r="AE795" s="24"/>
      <c r="AF795" s="170"/>
      <c r="AG795" s="22"/>
      <c r="AH795" s="45"/>
      <c r="AI795" s="24"/>
      <c r="AJ795" s="221" t="s">
        <v>115</v>
      </c>
      <c r="AK795" s="22"/>
      <c r="AL795" s="22"/>
      <c r="AM795" s="22"/>
      <c r="AN795" s="22"/>
      <c r="AO795" s="22"/>
      <c r="AP795" s="22"/>
      <c r="AQ795" s="22"/>
      <c r="AR795" s="22"/>
      <c r="AS795" s="22"/>
      <c r="AT795" s="170"/>
      <c r="AU795" s="170"/>
      <c r="AV795" s="170"/>
      <c r="AW795" s="170"/>
      <c r="AX795" s="170"/>
      <c r="AY795" s="170"/>
      <c r="AZ795" s="170"/>
      <c r="BA795" s="170"/>
      <c r="BB795" s="170"/>
      <c r="BC795" s="170"/>
      <c r="BD795" s="170"/>
      <c r="BE795" s="137" t="s">
        <v>115</v>
      </c>
      <c r="BF795" s="137" t="s">
        <v>2289</v>
      </c>
      <c r="BG795" s="139" t="s">
        <v>2290</v>
      </c>
      <c r="BH795" s="220"/>
      <c r="BI795" s="220"/>
      <c r="BJ795" s="220"/>
      <c r="BK795" s="46">
        <f t="shared" si="1"/>
        <v>1</v>
      </c>
      <c r="BL795" s="46"/>
      <c r="BM795" s="46"/>
      <c r="BN795" s="46"/>
    </row>
    <row r="796" spans="1:66" ht="12.75" hidden="1" customHeight="1">
      <c r="A796" s="22">
        <v>794</v>
      </c>
      <c r="B796" s="22" t="s">
        <v>2291</v>
      </c>
      <c r="C796" s="22" t="str">
        <f t="shared" si="0"/>
        <v>Hematocrit (Ht)</v>
      </c>
      <c r="D796" s="24" t="s">
        <v>2291</v>
      </c>
      <c r="E796" s="22" t="s">
        <v>96</v>
      </c>
      <c r="F796" s="24" t="s">
        <v>1787</v>
      </c>
      <c r="G796" s="24" t="s">
        <v>2232</v>
      </c>
      <c r="H796" s="24"/>
      <c r="I796" s="24">
        <v>1</v>
      </c>
      <c r="J796" s="24" t="s">
        <v>1767</v>
      </c>
      <c r="K796" s="24"/>
      <c r="L796" s="24"/>
      <c r="M796" s="24"/>
      <c r="N796" s="24"/>
      <c r="O796" s="24"/>
      <c r="P796" s="170"/>
      <c r="Q796" s="170"/>
      <c r="R796" s="162" t="s">
        <v>2291</v>
      </c>
      <c r="S796" s="163" t="s">
        <v>2292</v>
      </c>
      <c r="T796" s="163" t="s">
        <v>2293</v>
      </c>
      <c r="U796" s="163" t="s">
        <v>1318</v>
      </c>
      <c r="V796" s="163"/>
      <c r="W796" s="163"/>
      <c r="X796" s="164"/>
      <c r="Y796" s="164"/>
      <c r="Z796" s="24"/>
      <c r="AA796" s="170"/>
      <c r="AB796" s="163" t="s">
        <v>208</v>
      </c>
      <c r="AC796" s="251"/>
      <c r="AD796" s="170"/>
      <c r="AE796" s="24"/>
      <c r="AF796" s="170"/>
      <c r="AG796" s="22"/>
      <c r="AH796" s="45"/>
      <c r="AI796" s="24"/>
      <c r="AJ796" s="164" t="s">
        <v>115</v>
      </c>
      <c r="AK796" s="22"/>
      <c r="AL796" s="22"/>
      <c r="AM796" s="22"/>
      <c r="AN796" s="22"/>
      <c r="AO796" s="22"/>
      <c r="AP796" s="22"/>
      <c r="AQ796" s="22"/>
      <c r="AR796" s="22"/>
      <c r="AS796" s="22"/>
      <c r="AT796" s="170"/>
      <c r="AU796" s="170"/>
      <c r="AV796" s="170"/>
      <c r="AW796" s="170"/>
      <c r="AX796" s="170"/>
      <c r="AY796" s="170"/>
      <c r="AZ796" s="170"/>
      <c r="BA796" s="170"/>
      <c r="BB796" s="170"/>
      <c r="BC796" s="170"/>
      <c r="BD796" s="170"/>
      <c r="BE796" s="137" t="s">
        <v>115</v>
      </c>
      <c r="BF796" s="137" t="s">
        <v>2294</v>
      </c>
      <c r="BG796" s="139" t="s">
        <v>2295</v>
      </c>
      <c r="BH796" s="220"/>
      <c r="BI796" s="220"/>
      <c r="BJ796" s="220"/>
      <c r="BK796" s="46">
        <f t="shared" si="1"/>
        <v>1</v>
      </c>
      <c r="BL796" s="46"/>
      <c r="BM796" s="46"/>
      <c r="BN796" s="46"/>
    </row>
    <row r="797" spans="1:66" ht="12.75" hidden="1" customHeight="1">
      <c r="A797" s="22">
        <v>795</v>
      </c>
      <c r="B797" s="22" t="s">
        <v>2296</v>
      </c>
      <c r="C797" s="22" t="str">
        <f t="shared" si="0"/>
        <v>White blood cell (WBC) count</v>
      </c>
      <c r="D797" s="24" t="s">
        <v>2296</v>
      </c>
      <c r="E797" s="22" t="s">
        <v>96</v>
      </c>
      <c r="F797" s="24" t="s">
        <v>1787</v>
      </c>
      <c r="G797" s="24" t="s">
        <v>2232</v>
      </c>
      <c r="H797" s="24"/>
      <c r="I797" s="24">
        <v>1</v>
      </c>
      <c r="J797" s="24" t="s">
        <v>1767</v>
      </c>
      <c r="K797" s="24"/>
      <c r="L797" s="24"/>
      <c r="M797" s="24"/>
      <c r="N797" s="24"/>
      <c r="O797" s="24"/>
      <c r="P797" s="170"/>
      <c r="Q797" s="170"/>
      <c r="R797" s="439" t="s">
        <v>2296</v>
      </c>
      <c r="S797" s="163" t="s">
        <v>2297</v>
      </c>
      <c r="T797" s="163" t="s">
        <v>2298</v>
      </c>
      <c r="U797" s="163" t="s">
        <v>168</v>
      </c>
      <c r="V797" s="163"/>
      <c r="W797" s="163"/>
      <c r="X797" s="164"/>
      <c r="Y797" s="164"/>
      <c r="Z797" s="24"/>
      <c r="AA797" s="170"/>
      <c r="AB797" s="163" t="s">
        <v>208</v>
      </c>
      <c r="AC797" s="251"/>
      <c r="AD797" s="170"/>
      <c r="AE797" s="24"/>
      <c r="AF797" s="170"/>
      <c r="AG797" s="22"/>
      <c r="AH797" s="45"/>
      <c r="AI797" s="24"/>
      <c r="AJ797" s="164" t="s">
        <v>115</v>
      </c>
      <c r="AK797" s="22"/>
      <c r="AL797" s="22"/>
      <c r="AM797" s="22"/>
      <c r="AN797" s="22"/>
      <c r="AO797" s="22"/>
      <c r="AP797" s="22"/>
      <c r="AQ797" s="22"/>
      <c r="AR797" s="22"/>
      <c r="AS797" s="22"/>
      <c r="AT797" s="170"/>
      <c r="AU797" s="170"/>
      <c r="AV797" s="170"/>
      <c r="AW797" s="170"/>
      <c r="AX797" s="170"/>
      <c r="AY797" s="170"/>
      <c r="AZ797" s="170"/>
      <c r="BA797" s="170"/>
      <c r="BB797" s="170"/>
      <c r="BC797" s="170"/>
      <c r="BD797" s="170"/>
      <c r="BE797" s="137" t="s">
        <v>115</v>
      </c>
      <c r="BF797" s="137" t="s">
        <v>2299</v>
      </c>
      <c r="BG797" s="139" t="s">
        <v>2300</v>
      </c>
      <c r="BH797" s="220"/>
      <c r="BI797" s="220"/>
      <c r="BJ797" s="220"/>
      <c r="BK797" s="46">
        <f t="shared" si="1"/>
        <v>1</v>
      </c>
      <c r="BL797" s="46"/>
      <c r="BM797" s="46"/>
      <c r="BN797" s="46"/>
    </row>
    <row r="798" spans="1:66" ht="12.75" hidden="1" customHeight="1">
      <c r="A798" s="22">
        <v>796</v>
      </c>
      <c r="B798" s="22" t="s">
        <v>2301</v>
      </c>
      <c r="C798" s="22" t="str">
        <f t="shared" si="0"/>
        <v>Platelet count</v>
      </c>
      <c r="D798" s="24" t="s">
        <v>2301</v>
      </c>
      <c r="E798" s="22" t="s">
        <v>96</v>
      </c>
      <c r="F798" s="24" t="s">
        <v>1787</v>
      </c>
      <c r="G798" s="24" t="s">
        <v>2232</v>
      </c>
      <c r="H798" s="24"/>
      <c r="I798" s="24">
        <v>1</v>
      </c>
      <c r="J798" s="24" t="s">
        <v>1767</v>
      </c>
      <c r="K798" s="24"/>
      <c r="L798" s="24"/>
      <c r="M798" s="24"/>
      <c r="N798" s="24"/>
      <c r="O798" s="24"/>
      <c r="P798" s="170"/>
      <c r="Q798" s="170"/>
      <c r="R798" s="439" t="s">
        <v>2301</v>
      </c>
      <c r="S798" s="163" t="s">
        <v>2302</v>
      </c>
      <c r="T798" s="163" t="s">
        <v>2303</v>
      </c>
      <c r="U798" s="163" t="s">
        <v>168</v>
      </c>
      <c r="V798" s="163"/>
      <c r="W798" s="163"/>
      <c r="X798" s="164"/>
      <c r="Y798" s="164"/>
      <c r="Z798" s="24"/>
      <c r="AA798" s="170"/>
      <c r="AB798" s="163" t="s">
        <v>208</v>
      </c>
      <c r="AC798" s="251"/>
      <c r="AD798" s="170"/>
      <c r="AE798" s="24"/>
      <c r="AF798" s="170"/>
      <c r="AG798" s="22"/>
      <c r="AH798" s="45"/>
      <c r="AI798" s="24"/>
      <c r="AJ798" s="164" t="s">
        <v>115</v>
      </c>
      <c r="AK798" s="22"/>
      <c r="AL798" s="22"/>
      <c r="AM798" s="22"/>
      <c r="AN798" s="22"/>
      <c r="AO798" s="22"/>
      <c r="AP798" s="22"/>
      <c r="AQ798" s="22"/>
      <c r="AR798" s="22"/>
      <c r="AS798" s="22"/>
      <c r="AT798" s="170"/>
      <c r="AU798" s="170"/>
      <c r="AV798" s="170"/>
      <c r="AW798" s="170"/>
      <c r="AX798" s="170"/>
      <c r="AY798" s="170"/>
      <c r="AZ798" s="170"/>
      <c r="BA798" s="170"/>
      <c r="BB798" s="170"/>
      <c r="BC798" s="170"/>
      <c r="BD798" s="170"/>
      <c r="BE798" s="137" t="s">
        <v>115</v>
      </c>
      <c r="BF798" s="137" t="s">
        <v>2304</v>
      </c>
      <c r="BG798" s="139" t="s">
        <v>2305</v>
      </c>
      <c r="BH798" s="220"/>
      <c r="BI798" s="220"/>
      <c r="BJ798" s="220"/>
      <c r="BK798" s="46">
        <f t="shared" si="1"/>
        <v>1</v>
      </c>
      <c r="BL798" s="46"/>
      <c r="BM798" s="46"/>
      <c r="BN798" s="46"/>
    </row>
    <row r="799" spans="1:66" ht="12.75" hidden="1" customHeight="1">
      <c r="A799" s="22">
        <v>797</v>
      </c>
      <c r="B799" s="22" t="s">
        <v>2306</v>
      </c>
      <c r="C799" s="22" t="str">
        <f t="shared" si="0"/>
        <v>TB screening</v>
      </c>
      <c r="D799" s="24" t="s">
        <v>2306</v>
      </c>
      <c r="E799" s="22" t="s">
        <v>96</v>
      </c>
      <c r="F799" s="24" t="s">
        <v>1787</v>
      </c>
      <c r="G799" s="24" t="s">
        <v>2307</v>
      </c>
      <c r="H799" s="24"/>
      <c r="I799" s="24">
        <v>1</v>
      </c>
      <c r="J799" s="24" t="s">
        <v>1767</v>
      </c>
      <c r="K799" s="24"/>
      <c r="L799" s="24"/>
      <c r="M799" s="24"/>
      <c r="N799" s="24"/>
      <c r="O799" s="24"/>
      <c r="P799" s="170"/>
      <c r="Q799" s="170"/>
      <c r="R799" s="162" t="s">
        <v>2306</v>
      </c>
      <c r="S799" s="163" t="s">
        <v>2308</v>
      </c>
      <c r="T799" s="163" t="s">
        <v>2309</v>
      </c>
      <c r="U799" s="163" t="s">
        <v>202</v>
      </c>
      <c r="V799" s="163"/>
      <c r="W799" s="163"/>
      <c r="X799" s="164"/>
      <c r="Y799" s="164"/>
      <c r="Z799" s="24"/>
      <c r="AA799" s="170"/>
      <c r="AB799" s="163" t="s">
        <v>113</v>
      </c>
      <c r="AC799" s="251"/>
      <c r="AD799" s="170"/>
      <c r="AE799" s="24"/>
      <c r="AF799" s="170"/>
      <c r="AG799" s="22"/>
      <c r="AH799" s="45"/>
      <c r="AI799" s="24"/>
      <c r="AJ799" s="164" t="s">
        <v>226</v>
      </c>
      <c r="AK799" s="22"/>
      <c r="AL799" s="22"/>
      <c r="AM799" s="22"/>
      <c r="AN799" s="22"/>
      <c r="AO799" s="22"/>
      <c r="AP799" s="22"/>
      <c r="AQ799" s="22"/>
      <c r="AR799" s="22"/>
      <c r="AS799" s="22"/>
      <c r="AT799" s="170"/>
      <c r="AU799" s="170"/>
      <c r="AV799" s="170"/>
      <c r="AW799" s="170"/>
      <c r="AX799" s="170"/>
      <c r="AY799" s="170"/>
      <c r="AZ799" s="170"/>
      <c r="BA799" s="170"/>
      <c r="BB799" s="170"/>
      <c r="BC799" s="170"/>
      <c r="BD799" s="170"/>
      <c r="BE799" s="137" t="s">
        <v>2310</v>
      </c>
      <c r="BF799" s="143" t="s">
        <v>1773</v>
      </c>
      <c r="BG799" s="139" t="s">
        <v>1774</v>
      </c>
      <c r="BH799" s="220"/>
      <c r="BI799" s="220"/>
      <c r="BJ799" s="220"/>
      <c r="BK799" s="46">
        <f t="shared" si="1"/>
        <v>1</v>
      </c>
      <c r="BL799" s="46"/>
      <c r="BM799" s="46"/>
      <c r="BN799" s="46"/>
    </row>
    <row r="800" spans="1:66" ht="12.75" hidden="1" customHeight="1">
      <c r="A800" s="22">
        <v>798</v>
      </c>
      <c r="B800" s="22" t="s">
        <v>2651</v>
      </c>
      <c r="C800" s="22" t="e">
        <f t="shared" ca="1" si="0"/>
        <v>#NAME?</v>
      </c>
      <c r="D800" s="24" t="s">
        <v>1775</v>
      </c>
      <c r="E800" s="22" t="s">
        <v>180</v>
      </c>
      <c r="F800" s="24" t="s">
        <v>2306</v>
      </c>
      <c r="G800" s="24" t="s">
        <v>2307</v>
      </c>
      <c r="H800" s="24"/>
      <c r="I800" s="24">
        <v>1</v>
      </c>
      <c r="J800" s="24" t="s">
        <v>1767</v>
      </c>
      <c r="K800" s="24"/>
      <c r="L800" s="24"/>
      <c r="M800" s="24"/>
      <c r="N800" s="24"/>
      <c r="O800" s="24"/>
      <c r="P800" s="170"/>
      <c r="Q800" s="170"/>
      <c r="R800" s="162"/>
      <c r="S800" s="163"/>
      <c r="T800" s="163"/>
      <c r="U800" s="164"/>
      <c r="V800" s="193"/>
      <c r="W800" s="194" t="s">
        <v>1775</v>
      </c>
      <c r="X800" s="164"/>
      <c r="Y800" s="164"/>
      <c r="Z800" s="24"/>
      <c r="AA800" s="170"/>
      <c r="AB800" s="163"/>
      <c r="AC800" s="251"/>
      <c r="AD800" s="170"/>
      <c r="AE800" s="24"/>
      <c r="AF800" s="170"/>
      <c r="AG800" s="22"/>
      <c r="AH800" s="45"/>
      <c r="AI800" s="24"/>
      <c r="AJ800" s="164"/>
      <c r="AK800" s="22"/>
      <c r="AL800" s="22"/>
      <c r="AM800" s="22"/>
      <c r="AN800" s="22"/>
      <c r="AO800" s="22"/>
      <c r="AP800" s="22"/>
      <c r="AQ800" s="22"/>
      <c r="AR800" s="22"/>
      <c r="AS800" s="22"/>
      <c r="AT800" s="170"/>
      <c r="AU800" s="170"/>
      <c r="AV800" s="170"/>
      <c r="AW800" s="170"/>
      <c r="AX800" s="170"/>
      <c r="AY800" s="170"/>
      <c r="AZ800" s="170"/>
      <c r="BA800" s="170"/>
      <c r="BB800" s="170"/>
      <c r="BC800" s="170"/>
      <c r="BD800" s="170"/>
      <c r="BE800" s="137" t="s">
        <v>115</v>
      </c>
      <c r="BF800" s="137" t="s">
        <v>1777</v>
      </c>
      <c r="BG800" s="139" t="s">
        <v>1778</v>
      </c>
      <c r="BH800" s="220"/>
      <c r="BI800" s="220"/>
      <c r="BJ800" s="220"/>
      <c r="BK800" s="46">
        <f t="shared" si="1"/>
        <v>1</v>
      </c>
      <c r="BL800" s="46"/>
      <c r="BM800" s="46"/>
      <c r="BN800" s="46"/>
    </row>
    <row r="801" spans="1:66" ht="12.75" hidden="1" customHeight="1">
      <c r="A801" s="22">
        <v>799</v>
      </c>
      <c r="B801" s="22" t="s">
        <v>2655</v>
      </c>
      <c r="C801" s="22" t="e">
        <f t="shared" ca="1" si="0"/>
        <v>#NAME?</v>
      </c>
      <c r="D801" s="24" t="s">
        <v>1779</v>
      </c>
      <c r="E801" s="22" t="s">
        <v>180</v>
      </c>
      <c r="F801" s="24" t="s">
        <v>2306</v>
      </c>
      <c r="G801" s="24" t="s">
        <v>2307</v>
      </c>
      <c r="H801" s="24"/>
      <c r="I801" s="24">
        <v>1</v>
      </c>
      <c r="J801" s="24" t="s">
        <v>1767</v>
      </c>
      <c r="K801" s="24"/>
      <c r="L801" s="24"/>
      <c r="M801" s="24"/>
      <c r="N801" s="24"/>
      <c r="O801" s="24"/>
      <c r="P801" s="164"/>
      <c r="Q801" s="164"/>
      <c r="R801" s="162"/>
      <c r="S801" s="163"/>
      <c r="T801" s="163"/>
      <c r="U801" s="164"/>
      <c r="V801" s="193"/>
      <c r="W801" s="194" t="s">
        <v>1779</v>
      </c>
      <c r="X801" s="164"/>
      <c r="Y801" s="164"/>
      <c r="Z801" s="24"/>
      <c r="AA801" s="164"/>
      <c r="AB801" s="163"/>
      <c r="AC801" s="269"/>
      <c r="AD801" s="164"/>
      <c r="AE801" s="24"/>
      <c r="AF801" s="164"/>
      <c r="AG801" s="22"/>
      <c r="AH801" s="45"/>
      <c r="AI801" s="24"/>
      <c r="AJ801" s="164"/>
      <c r="AK801" s="22"/>
      <c r="AL801" s="22"/>
      <c r="AM801" s="22"/>
      <c r="AN801" s="22"/>
      <c r="AO801" s="22"/>
      <c r="AP801" s="22"/>
      <c r="AQ801" s="22"/>
      <c r="AR801" s="22"/>
      <c r="AS801" s="22"/>
      <c r="AT801" s="164"/>
      <c r="AU801" s="164"/>
      <c r="AV801" s="164"/>
      <c r="AW801" s="164"/>
      <c r="AX801" s="164"/>
      <c r="AY801" s="164"/>
      <c r="AZ801" s="164"/>
      <c r="BA801" s="164"/>
      <c r="BB801" s="164"/>
      <c r="BC801" s="164"/>
      <c r="BD801" s="164"/>
      <c r="BE801" s="137" t="s">
        <v>115</v>
      </c>
      <c r="BF801" s="137" t="s">
        <v>1781</v>
      </c>
      <c r="BG801" s="139" t="s">
        <v>1782</v>
      </c>
      <c r="BH801" s="220"/>
      <c r="BI801" s="220"/>
      <c r="BJ801" s="220"/>
      <c r="BK801" s="46">
        <f t="shared" si="1"/>
        <v>1</v>
      </c>
      <c r="BL801" s="46"/>
      <c r="BM801" s="46"/>
      <c r="BN801" s="46"/>
    </row>
    <row r="802" spans="1:66" ht="12.75" hidden="1" customHeight="1">
      <c r="A802" s="22">
        <v>800</v>
      </c>
      <c r="B802" s="22" t="s">
        <v>2661</v>
      </c>
      <c r="C802" s="22" t="e">
        <f t="shared" ca="1" si="0"/>
        <v>#NAME?</v>
      </c>
      <c r="D802" s="24" t="s">
        <v>1783</v>
      </c>
      <c r="E802" s="22" t="s">
        <v>180</v>
      </c>
      <c r="F802" s="24" t="s">
        <v>2306</v>
      </c>
      <c r="G802" s="24" t="s">
        <v>2307</v>
      </c>
      <c r="H802" s="24"/>
      <c r="I802" s="24">
        <v>1</v>
      </c>
      <c r="J802" s="24" t="s">
        <v>1767</v>
      </c>
      <c r="K802" s="24"/>
      <c r="L802" s="24"/>
      <c r="M802" s="24"/>
      <c r="N802" s="24"/>
      <c r="O802" s="24"/>
      <c r="P802" s="170"/>
      <c r="Q802" s="170"/>
      <c r="R802" s="162"/>
      <c r="S802" s="163"/>
      <c r="T802" s="163"/>
      <c r="U802" s="164"/>
      <c r="V802" s="193"/>
      <c r="W802" s="194" t="s">
        <v>1783</v>
      </c>
      <c r="X802" s="164"/>
      <c r="Y802" s="164"/>
      <c r="Z802" s="24"/>
      <c r="AA802" s="170"/>
      <c r="AB802" s="163"/>
      <c r="AC802" s="251"/>
      <c r="AD802" s="170"/>
      <c r="AE802" s="24"/>
      <c r="AF802" s="170"/>
      <c r="AG802" s="22"/>
      <c r="AH802" s="45"/>
      <c r="AI802" s="24"/>
      <c r="AJ802" s="164"/>
      <c r="AK802" s="22"/>
      <c r="AL802" s="22"/>
      <c r="AM802" s="22"/>
      <c r="AN802" s="22"/>
      <c r="AO802" s="22"/>
      <c r="AP802" s="22"/>
      <c r="AQ802" s="22"/>
      <c r="AR802" s="22"/>
      <c r="AS802" s="22"/>
      <c r="AT802" s="170"/>
      <c r="AU802" s="170"/>
      <c r="AV802" s="170"/>
      <c r="AW802" s="170"/>
      <c r="AX802" s="170"/>
      <c r="AY802" s="170"/>
      <c r="AZ802" s="170"/>
      <c r="BA802" s="170"/>
      <c r="BB802" s="170"/>
      <c r="BC802" s="170"/>
      <c r="BD802" s="170"/>
      <c r="BE802" s="137" t="s">
        <v>115</v>
      </c>
      <c r="BF802" s="137" t="s">
        <v>1784</v>
      </c>
      <c r="BG802" s="167" t="s">
        <v>1785</v>
      </c>
      <c r="BH802" s="220"/>
      <c r="BI802" s="220"/>
      <c r="BJ802" s="220"/>
      <c r="BK802" s="46">
        <f t="shared" si="1"/>
        <v>1</v>
      </c>
      <c r="BL802" s="46"/>
      <c r="BM802" s="46"/>
      <c r="BN802" s="46"/>
    </row>
    <row r="803" spans="1:66" ht="12.75" hidden="1" customHeight="1">
      <c r="A803" s="22">
        <v>801</v>
      </c>
      <c r="B803" s="22" t="s">
        <v>2118</v>
      </c>
      <c r="C803" s="22" t="e">
        <f t="shared" ca="1" si="0"/>
        <v>#NAME?</v>
      </c>
      <c r="D803" s="24" t="s">
        <v>1468</v>
      </c>
      <c r="E803" s="22" t="s">
        <v>180</v>
      </c>
      <c r="F803" s="24" t="s">
        <v>2306</v>
      </c>
      <c r="G803" s="24" t="s">
        <v>2307</v>
      </c>
      <c r="H803" s="24"/>
      <c r="I803" s="24">
        <v>1</v>
      </c>
      <c r="J803" s="24" t="s">
        <v>1767</v>
      </c>
      <c r="K803" s="24"/>
      <c r="L803" s="24"/>
      <c r="M803" s="24"/>
      <c r="N803" s="24"/>
      <c r="O803" s="24"/>
      <c r="P803" s="170"/>
      <c r="Q803" s="170"/>
      <c r="R803" s="162"/>
      <c r="S803" s="163"/>
      <c r="T803" s="163"/>
      <c r="U803" s="164"/>
      <c r="V803" s="193"/>
      <c r="W803" s="194" t="s">
        <v>1468</v>
      </c>
      <c r="X803" s="164"/>
      <c r="Y803" s="164"/>
      <c r="Z803" s="24"/>
      <c r="AA803" s="170"/>
      <c r="AB803" s="163"/>
      <c r="AC803" s="251"/>
      <c r="AD803" s="170"/>
      <c r="AE803" s="24"/>
      <c r="AF803" s="170"/>
      <c r="AG803" s="22"/>
      <c r="AH803" s="45"/>
      <c r="AI803" s="24"/>
      <c r="AJ803" s="164"/>
      <c r="AK803" s="22"/>
      <c r="AL803" s="22"/>
      <c r="AM803" s="22"/>
      <c r="AN803" s="22"/>
      <c r="AO803" s="22"/>
      <c r="AP803" s="22"/>
      <c r="AQ803" s="22"/>
      <c r="AR803" s="22"/>
      <c r="AS803" s="22"/>
      <c r="AT803" s="170"/>
      <c r="AU803" s="170"/>
      <c r="AV803" s="170"/>
      <c r="AW803" s="170"/>
      <c r="AX803" s="170"/>
      <c r="AY803" s="170"/>
      <c r="AZ803" s="170"/>
      <c r="BA803" s="170"/>
      <c r="BB803" s="170"/>
      <c r="BC803" s="170"/>
      <c r="BD803" s="170"/>
      <c r="BE803" s="137" t="s">
        <v>115</v>
      </c>
      <c r="BF803" s="137" t="s">
        <v>1469</v>
      </c>
      <c r="BG803" s="167" t="s">
        <v>1470</v>
      </c>
      <c r="BH803" s="220"/>
      <c r="BI803" s="220"/>
      <c r="BJ803" s="220"/>
      <c r="BK803" s="46">
        <f t="shared" si="1"/>
        <v>1</v>
      </c>
      <c r="BL803" s="46"/>
      <c r="BM803" s="46"/>
      <c r="BN803" s="46"/>
    </row>
    <row r="804" spans="1:66" ht="38.25" hidden="1" customHeight="1">
      <c r="A804" s="22">
        <v>802</v>
      </c>
      <c r="B804" s="22" t="s">
        <v>2311</v>
      </c>
      <c r="C804" s="22" t="str">
        <f t="shared" si="0"/>
        <v>Reason TB screening not done</v>
      </c>
      <c r="D804" s="24" t="s">
        <v>2311</v>
      </c>
      <c r="E804" s="22" t="s">
        <v>96</v>
      </c>
      <c r="F804" s="24" t="s">
        <v>1787</v>
      </c>
      <c r="G804" s="24" t="s">
        <v>2307</v>
      </c>
      <c r="H804" s="24"/>
      <c r="I804" s="24">
        <v>1</v>
      </c>
      <c r="J804" s="24" t="s">
        <v>1767</v>
      </c>
      <c r="K804" s="24"/>
      <c r="L804" s="24"/>
      <c r="M804" s="24"/>
      <c r="N804" s="24"/>
      <c r="O804" s="24"/>
      <c r="P804" s="170"/>
      <c r="Q804" s="170"/>
      <c r="R804" s="162" t="s">
        <v>1376</v>
      </c>
      <c r="S804" s="163" t="s">
        <v>2312</v>
      </c>
      <c r="T804" s="163" t="s">
        <v>2313</v>
      </c>
      <c r="U804" s="164" t="s">
        <v>238</v>
      </c>
      <c r="V804" s="163"/>
      <c r="W804" s="163"/>
      <c r="X804" s="164"/>
      <c r="Y804" s="164"/>
      <c r="Z804" s="24"/>
      <c r="AA804" s="170"/>
      <c r="AB804" s="163" t="s">
        <v>113</v>
      </c>
      <c r="AC804" s="251"/>
      <c r="AD804" s="170"/>
      <c r="AE804" s="24"/>
      <c r="AF804" s="170"/>
      <c r="AG804" s="22"/>
      <c r="AH804" s="45"/>
      <c r="AI804" s="24"/>
      <c r="AJ804" s="164" t="s">
        <v>115</v>
      </c>
      <c r="AK804" s="22"/>
      <c r="AL804" s="22"/>
      <c r="AM804" s="22"/>
      <c r="AN804" s="22"/>
      <c r="AO804" s="22"/>
      <c r="AP804" s="22"/>
      <c r="AQ804" s="22"/>
      <c r="AR804" s="22"/>
      <c r="AS804" s="22"/>
      <c r="AT804" s="170"/>
      <c r="AU804" s="170"/>
      <c r="AV804" s="170"/>
      <c r="AW804" s="170"/>
      <c r="AX804" s="170"/>
      <c r="AY804" s="170"/>
      <c r="AZ804" s="170"/>
      <c r="BA804" s="170"/>
      <c r="BB804" s="170"/>
      <c r="BC804" s="170"/>
      <c r="BD804" s="170"/>
      <c r="BE804" s="137" t="s">
        <v>2310</v>
      </c>
      <c r="BF804" s="143" t="s">
        <v>1791</v>
      </c>
      <c r="BG804" s="139" t="s">
        <v>1792</v>
      </c>
      <c r="BH804" s="220"/>
      <c r="BI804" s="220"/>
      <c r="BJ804" s="220"/>
      <c r="BK804" s="46">
        <f t="shared" si="1"/>
        <v>1</v>
      </c>
      <c r="BL804" s="46"/>
      <c r="BM804" s="46"/>
      <c r="BN804" s="46"/>
    </row>
    <row r="805" spans="1:66" ht="25.5" hidden="1" customHeight="1">
      <c r="A805" s="22">
        <v>803</v>
      </c>
      <c r="B805" s="22" t="s">
        <v>3473</v>
      </c>
      <c r="C805" s="22" t="e">
        <f t="shared" ca="1" si="0"/>
        <v>#NAME?</v>
      </c>
      <c r="D805" s="24" t="s">
        <v>2314</v>
      </c>
      <c r="E805" s="22" t="s">
        <v>180</v>
      </c>
      <c r="F805" s="24" t="s">
        <v>1376</v>
      </c>
      <c r="G805" s="24" t="s">
        <v>2307</v>
      </c>
      <c r="H805" s="24"/>
      <c r="I805" s="24">
        <v>1</v>
      </c>
      <c r="J805" s="24" t="s">
        <v>1767</v>
      </c>
      <c r="K805" s="24"/>
      <c r="L805" s="24"/>
      <c r="M805" s="24"/>
      <c r="N805" s="24"/>
      <c r="O805" s="24"/>
      <c r="P805" s="170"/>
      <c r="Q805" s="170"/>
      <c r="R805" s="247"/>
      <c r="S805" s="196"/>
      <c r="T805" s="196"/>
      <c r="U805" s="196"/>
      <c r="V805" s="194"/>
      <c r="W805" s="194" t="s">
        <v>2314</v>
      </c>
      <c r="X805" s="196"/>
      <c r="Y805" s="196"/>
      <c r="Z805" s="24"/>
      <c r="AA805" s="170"/>
      <c r="AB805" s="196"/>
      <c r="AC805" s="251"/>
      <c r="AD805" s="170"/>
      <c r="AE805" s="24"/>
      <c r="AF805" s="170"/>
      <c r="AG805" s="22"/>
      <c r="AH805" s="45"/>
      <c r="AI805" s="24"/>
      <c r="AJ805" s="196"/>
      <c r="AK805" s="22"/>
      <c r="AL805" s="22"/>
      <c r="AM805" s="22"/>
      <c r="AN805" s="22"/>
      <c r="AO805" s="22"/>
      <c r="AP805" s="22"/>
      <c r="AQ805" s="22"/>
      <c r="AR805" s="22"/>
      <c r="AS805" s="22"/>
      <c r="AT805" s="170"/>
      <c r="AU805" s="170"/>
      <c r="AV805" s="170"/>
      <c r="AW805" s="170"/>
      <c r="AX805" s="170"/>
      <c r="AY805" s="170"/>
      <c r="AZ805" s="170"/>
      <c r="BA805" s="170"/>
      <c r="BB805" s="170"/>
      <c r="BC805" s="170"/>
      <c r="BD805" s="170"/>
      <c r="BE805" s="143" t="s">
        <v>115</v>
      </c>
      <c r="BF805" s="143" t="s">
        <v>2315</v>
      </c>
      <c r="BG805" s="167" t="s">
        <v>2316</v>
      </c>
      <c r="BH805" s="220"/>
      <c r="BI805" s="220"/>
      <c r="BJ805" s="220"/>
      <c r="BK805" s="46">
        <f t="shared" si="1"/>
        <v>1</v>
      </c>
      <c r="BL805" s="46"/>
      <c r="BM805" s="46"/>
      <c r="BN805" s="46"/>
    </row>
    <row r="806" spans="1:66" ht="12.75" hidden="1" customHeight="1">
      <c r="A806" s="22">
        <v>804</v>
      </c>
      <c r="B806" s="22" t="s">
        <v>3481</v>
      </c>
      <c r="C806" s="22" t="e">
        <f t="shared" ca="1" si="0"/>
        <v>#NAME?</v>
      </c>
      <c r="D806" s="24" t="s">
        <v>2317</v>
      </c>
      <c r="E806" s="22" t="s">
        <v>180</v>
      </c>
      <c r="F806" s="24" t="s">
        <v>1376</v>
      </c>
      <c r="G806" s="24" t="s">
        <v>2307</v>
      </c>
      <c r="H806" s="24"/>
      <c r="I806" s="24">
        <v>1</v>
      </c>
      <c r="J806" s="24" t="s">
        <v>1767</v>
      </c>
      <c r="K806" s="24"/>
      <c r="L806" s="24"/>
      <c r="M806" s="24"/>
      <c r="N806" s="24"/>
      <c r="O806" s="24"/>
      <c r="P806" s="170"/>
      <c r="Q806" s="170"/>
      <c r="R806" s="247"/>
      <c r="S806" s="196"/>
      <c r="T806" s="196"/>
      <c r="U806" s="196"/>
      <c r="V806" s="194"/>
      <c r="W806" s="194" t="s">
        <v>2317</v>
      </c>
      <c r="X806" s="196"/>
      <c r="Y806" s="196"/>
      <c r="Z806" s="24"/>
      <c r="AA806" s="170"/>
      <c r="AB806" s="196"/>
      <c r="AC806" s="251"/>
      <c r="AD806" s="170"/>
      <c r="AE806" s="24"/>
      <c r="AF806" s="170"/>
      <c r="AG806" s="22"/>
      <c r="AH806" s="45"/>
      <c r="AI806" s="24"/>
      <c r="AJ806" s="196"/>
      <c r="AK806" s="22"/>
      <c r="AL806" s="22"/>
      <c r="AM806" s="22"/>
      <c r="AN806" s="22"/>
      <c r="AO806" s="22"/>
      <c r="AP806" s="22"/>
      <c r="AQ806" s="22"/>
      <c r="AR806" s="22"/>
      <c r="AS806" s="22"/>
      <c r="AT806" s="170"/>
      <c r="AU806" s="170"/>
      <c r="AV806" s="170"/>
      <c r="AW806" s="170"/>
      <c r="AX806" s="170"/>
      <c r="AY806" s="170"/>
      <c r="AZ806" s="170"/>
      <c r="BA806" s="170"/>
      <c r="BB806" s="170"/>
      <c r="BC806" s="170"/>
      <c r="BD806" s="170"/>
      <c r="BE806" s="143" t="s">
        <v>115</v>
      </c>
      <c r="BF806" s="143" t="s">
        <v>2318</v>
      </c>
      <c r="BG806" s="167" t="s">
        <v>2319</v>
      </c>
      <c r="BH806" s="220"/>
      <c r="BI806" s="220"/>
      <c r="BJ806" s="220"/>
      <c r="BK806" s="46">
        <f t="shared" si="1"/>
        <v>1</v>
      </c>
      <c r="BL806" s="46"/>
      <c r="BM806" s="46"/>
      <c r="BN806" s="46"/>
    </row>
    <row r="807" spans="1:66" ht="12.75" hidden="1" customHeight="1">
      <c r="A807" s="22">
        <v>805</v>
      </c>
      <c r="B807" s="22" t="s">
        <v>3487</v>
      </c>
      <c r="C807" s="22" t="e">
        <f t="shared" ca="1" si="0"/>
        <v>#NAME?</v>
      </c>
      <c r="D807" s="24" t="s">
        <v>2320</v>
      </c>
      <c r="E807" s="22" t="s">
        <v>180</v>
      </c>
      <c r="F807" s="24" t="s">
        <v>1376</v>
      </c>
      <c r="G807" s="24" t="s">
        <v>2307</v>
      </c>
      <c r="H807" s="24"/>
      <c r="I807" s="24">
        <v>1</v>
      </c>
      <c r="J807" s="24" t="s">
        <v>1767</v>
      </c>
      <c r="K807" s="24"/>
      <c r="L807" s="24"/>
      <c r="M807" s="24"/>
      <c r="N807" s="24"/>
      <c r="O807" s="24"/>
      <c r="P807" s="170"/>
      <c r="Q807" s="170"/>
      <c r="R807" s="247"/>
      <c r="S807" s="196"/>
      <c r="T807" s="196"/>
      <c r="U807" s="196"/>
      <c r="V807" s="194"/>
      <c r="W807" s="194" t="s">
        <v>2320</v>
      </c>
      <c r="X807" s="196"/>
      <c r="Y807" s="196"/>
      <c r="Z807" s="24"/>
      <c r="AA807" s="170"/>
      <c r="AB807" s="196"/>
      <c r="AC807" s="251"/>
      <c r="AD807" s="170"/>
      <c r="AE807" s="24"/>
      <c r="AF807" s="170"/>
      <c r="AG807" s="22"/>
      <c r="AH807" s="45"/>
      <c r="AI807" s="24"/>
      <c r="AJ807" s="196"/>
      <c r="AK807" s="22"/>
      <c r="AL807" s="22"/>
      <c r="AM807" s="22"/>
      <c r="AN807" s="22"/>
      <c r="AO807" s="22"/>
      <c r="AP807" s="22"/>
      <c r="AQ807" s="22"/>
      <c r="AR807" s="22"/>
      <c r="AS807" s="22"/>
      <c r="AT807" s="170"/>
      <c r="AU807" s="170"/>
      <c r="AV807" s="170"/>
      <c r="AW807" s="170"/>
      <c r="AX807" s="170"/>
      <c r="AY807" s="170"/>
      <c r="AZ807" s="170"/>
      <c r="BA807" s="170"/>
      <c r="BB807" s="170"/>
      <c r="BC807" s="170"/>
      <c r="BD807" s="170"/>
      <c r="BE807" s="143" t="s">
        <v>115</v>
      </c>
      <c r="BF807" s="143" t="s">
        <v>2321</v>
      </c>
      <c r="BG807" s="167" t="s">
        <v>2322</v>
      </c>
      <c r="BH807" s="220"/>
      <c r="BI807" s="220"/>
      <c r="BJ807" s="220"/>
      <c r="BK807" s="46">
        <f t="shared" si="1"/>
        <v>1</v>
      </c>
      <c r="BL807" s="46"/>
      <c r="BM807" s="46"/>
      <c r="BN807" s="46"/>
    </row>
    <row r="808" spans="1:66" ht="12.75" hidden="1" customHeight="1">
      <c r="A808" s="22">
        <v>806</v>
      </c>
      <c r="B808" s="22" t="s">
        <v>3494</v>
      </c>
      <c r="C808" s="22" t="e">
        <f t="shared" ca="1" si="0"/>
        <v>#NAME?</v>
      </c>
      <c r="D808" s="24" t="s">
        <v>2323</v>
      </c>
      <c r="E808" s="22" t="s">
        <v>180</v>
      </c>
      <c r="F808" s="24" t="s">
        <v>1376</v>
      </c>
      <c r="G808" s="24" t="s">
        <v>2307</v>
      </c>
      <c r="H808" s="24"/>
      <c r="I808" s="24">
        <v>1</v>
      </c>
      <c r="J808" s="24" t="s">
        <v>1767</v>
      </c>
      <c r="K808" s="24"/>
      <c r="L808" s="24"/>
      <c r="M808" s="24"/>
      <c r="N808" s="24"/>
      <c r="O808" s="24"/>
      <c r="P808" s="170"/>
      <c r="Q808" s="170"/>
      <c r="R808" s="247"/>
      <c r="S808" s="196"/>
      <c r="T808" s="196"/>
      <c r="U808" s="196"/>
      <c r="V808" s="194"/>
      <c r="W808" s="194" t="s">
        <v>2323</v>
      </c>
      <c r="X808" s="196"/>
      <c r="Y808" s="196"/>
      <c r="Z808" s="24"/>
      <c r="AA808" s="170"/>
      <c r="AB808" s="196"/>
      <c r="AC808" s="251"/>
      <c r="AD808" s="170"/>
      <c r="AE808" s="24"/>
      <c r="AF808" s="170"/>
      <c r="AG808" s="22"/>
      <c r="AH808" s="45"/>
      <c r="AI808" s="24"/>
      <c r="AJ808" s="196"/>
      <c r="AK808" s="22"/>
      <c r="AL808" s="22"/>
      <c r="AM808" s="22"/>
      <c r="AN808" s="22"/>
      <c r="AO808" s="22"/>
      <c r="AP808" s="22"/>
      <c r="AQ808" s="22"/>
      <c r="AR808" s="22"/>
      <c r="AS808" s="22"/>
      <c r="AT808" s="170"/>
      <c r="AU808" s="170"/>
      <c r="AV808" s="170"/>
      <c r="AW808" s="170"/>
      <c r="AX808" s="170"/>
      <c r="AY808" s="170"/>
      <c r="AZ808" s="170"/>
      <c r="BA808" s="170"/>
      <c r="BB808" s="170"/>
      <c r="BC808" s="170"/>
      <c r="BD808" s="170"/>
      <c r="BE808" s="143" t="s">
        <v>115</v>
      </c>
      <c r="BF808" s="143" t="s">
        <v>2325</v>
      </c>
      <c r="BG808" s="167" t="s">
        <v>2326</v>
      </c>
      <c r="BH808" s="220"/>
      <c r="BI808" s="220"/>
      <c r="BJ808" s="220"/>
      <c r="BK808" s="46">
        <f t="shared" si="1"/>
        <v>1</v>
      </c>
      <c r="BL808" s="46"/>
      <c r="BM808" s="46"/>
      <c r="BN808" s="46"/>
    </row>
    <row r="809" spans="1:66" ht="12.75" hidden="1" customHeight="1">
      <c r="A809" s="22">
        <v>807</v>
      </c>
      <c r="B809" s="22" t="s">
        <v>3497</v>
      </c>
      <c r="C809" s="22" t="e">
        <f t="shared" ca="1" si="0"/>
        <v>#NAME?</v>
      </c>
      <c r="D809" s="24" t="s">
        <v>2327</v>
      </c>
      <c r="E809" s="22" t="s">
        <v>180</v>
      </c>
      <c r="F809" s="24" t="s">
        <v>1376</v>
      </c>
      <c r="G809" s="24" t="s">
        <v>2307</v>
      </c>
      <c r="H809" s="24"/>
      <c r="I809" s="24">
        <v>1</v>
      </c>
      <c r="J809" s="24" t="s">
        <v>1767</v>
      </c>
      <c r="K809" s="24"/>
      <c r="L809" s="24"/>
      <c r="M809" s="24"/>
      <c r="N809" s="24"/>
      <c r="O809" s="24"/>
      <c r="P809" s="170"/>
      <c r="Q809" s="170"/>
      <c r="R809" s="247"/>
      <c r="S809" s="196"/>
      <c r="T809" s="196"/>
      <c r="U809" s="196"/>
      <c r="V809" s="194"/>
      <c r="W809" s="194" t="s">
        <v>2327</v>
      </c>
      <c r="X809" s="196"/>
      <c r="Y809" s="196"/>
      <c r="Z809" s="24"/>
      <c r="AA809" s="170"/>
      <c r="AB809" s="196"/>
      <c r="AC809" s="251"/>
      <c r="AD809" s="170"/>
      <c r="AE809" s="24"/>
      <c r="AF809" s="170"/>
      <c r="AG809" s="22"/>
      <c r="AH809" s="45"/>
      <c r="AI809" s="24"/>
      <c r="AJ809" s="196"/>
      <c r="AK809" s="22"/>
      <c r="AL809" s="22"/>
      <c r="AM809" s="22"/>
      <c r="AN809" s="22"/>
      <c r="AO809" s="22"/>
      <c r="AP809" s="22"/>
      <c r="AQ809" s="22"/>
      <c r="AR809" s="22"/>
      <c r="AS809" s="22"/>
      <c r="AT809" s="170"/>
      <c r="AU809" s="170"/>
      <c r="AV809" s="170"/>
      <c r="AW809" s="170"/>
      <c r="AX809" s="170"/>
      <c r="AY809" s="170"/>
      <c r="AZ809" s="170"/>
      <c r="BA809" s="170"/>
      <c r="BB809" s="170"/>
      <c r="BC809" s="170"/>
      <c r="BD809" s="170"/>
      <c r="BE809" s="143" t="s">
        <v>115</v>
      </c>
      <c r="BF809" s="143" t="s">
        <v>1910</v>
      </c>
      <c r="BG809" s="167" t="s">
        <v>1911</v>
      </c>
      <c r="BH809" s="220"/>
      <c r="BI809" s="220"/>
      <c r="BJ809" s="220"/>
      <c r="BK809" s="46">
        <f t="shared" si="1"/>
        <v>1</v>
      </c>
      <c r="BL809" s="46"/>
      <c r="BM809" s="46"/>
      <c r="BN809" s="46"/>
    </row>
    <row r="810" spans="1:66" ht="12.75" hidden="1" customHeight="1">
      <c r="A810" s="22">
        <v>808</v>
      </c>
      <c r="B810" s="22" t="s">
        <v>3506</v>
      </c>
      <c r="C810" s="22" t="e">
        <f t="shared" ca="1" si="0"/>
        <v>#NAME?</v>
      </c>
      <c r="D810" s="24" t="s">
        <v>2328</v>
      </c>
      <c r="E810" s="22" t="s">
        <v>180</v>
      </c>
      <c r="F810" s="24" t="s">
        <v>1376</v>
      </c>
      <c r="G810" s="24" t="s">
        <v>2307</v>
      </c>
      <c r="H810" s="24"/>
      <c r="I810" s="24">
        <v>1</v>
      </c>
      <c r="J810" s="24" t="s">
        <v>1767</v>
      </c>
      <c r="K810" s="24"/>
      <c r="L810" s="24"/>
      <c r="M810" s="24"/>
      <c r="N810" s="24"/>
      <c r="O810" s="24"/>
      <c r="P810" s="170"/>
      <c r="Q810" s="170"/>
      <c r="R810" s="247"/>
      <c r="S810" s="196"/>
      <c r="T810" s="196"/>
      <c r="U810" s="196"/>
      <c r="V810" s="194"/>
      <c r="W810" s="194" t="s">
        <v>2328</v>
      </c>
      <c r="X810" s="196"/>
      <c r="Y810" s="196"/>
      <c r="Z810" s="24"/>
      <c r="AA810" s="170"/>
      <c r="AB810" s="196"/>
      <c r="AC810" s="251"/>
      <c r="AD810" s="170"/>
      <c r="AE810" s="24"/>
      <c r="AF810" s="170"/>
      <c r="AG810" s="22"/>
      <c r="AH810" s="45"/>
      <c r="AI810" s="24"/>
      <c r="AJ810" s="196"/>
      <c r="AK810" s="22"/>
      <c r="AL810" s="22"/>
      <c r="AM810" s="22"/>
      <c r="AN810" s="22"/>
      <c r="AO810" s="22"/>
      <c r="AP810" s="22"/>
      <c r="AQ810" s="22"/>
      <c r="AR810" s="22"/>
      <c r="AS810" s="22"/>
      <c r="AT810" s="170"/>
      <c r="AU810" s="170"/>
      <c r="AV810" s="170"/>
      <c r="AW810" s="170"/>
      <c r="AX810" s="170"/>
      <c r="AY810" s="170"/>
      <c r="AZ810" s="170"/>
      <c r="BA810" s="170"/>
      <c r="BB810" s="170"/>
      <c r="BC810" s="170"/>
      <c r="BD810" s="170"/>
      <c r="BE810" s="143" t="s">
        <v>115</v>
      </c>
      <c r="BF810" s="143" t="s">
        <v>2329</v>
      </c>
      <c r="BG810" s="167" t="s">
        <v>1386</v>
      </c>
      <c r="BH810" s="220"/>
      <c r="BI810" s="220"/>
      <c r="BJ810" s="220"/>
      <c r="BK810" s="46">
        <f t="shared" si="1"/>
        <v>1</v>
      </c>
      <c r="BL810" s="46"/>
      <c r="BM810" s="46"/>
      <c r="BN810" s="46"/>
    </row>
    <row r="811" spans="1:66" ht="14.25" hidden="1" customHeight="1">
      <c r="A811" s="22">
        <v>809</v>
      </c>
      <c r="B811" s="22" t="s">
        <v>3508</v>
      </c>
      <c r="C811" s="22" t="e">
        <f t="shared" ca="1" si="0"/>
        <v>#NAME?</v>
      </c>
      <c r="D811" s="24" t="s">
        <v>2330</v>
      </c>
      <c r="E811" s="22" t="s">
        <v>180</v>
      </c>
      <c r="F811" s="24" t="s">
        <v>1376</v>
      </c>
      <c r="G811" s="24" t="s">
        <v>2307</v>
      </c>
      <c r="H811" s="24"/>
      <c r="I811" s="24">
        <v>1</v>
      </c>
      <c r="J811" s="24" t="s">
        <v>1767</v>
      </c>
      <c r="K811" s="24"/>
      <c r="L811" s="24"/>
      <c r="M811" s="24"/>
      <c r="N811" s="24"/>
      <c r="O811" s="24"/>
      <c r="P811" s="170"/>
      <c r="Q811" s="170"/>
      <c r="R811" s="247"/>
      <c r="S811" s="196"/>
      <c r="T811" s="196"/>
      <c r="U811" s="196"/>
      <c r="V811" s="194"/>
      <c r="W811" s="194" t="s">
        <v>2330</v>
      </c>
      <c r="X811" s="196"/>
      <c r="Y811" s="196"/>
      <c r="Z811" s="24"/>
      <c r="AA811" s="170"/>
      <c r="AB811" s="196"/>
      <c r="AC811" s="251"/>
      <c r="AD811" s="170"/>
      <c r="AE811" s="24"/>
      <c r="AF811" s="170"/>
      <c r="AG811" s="22"/>
      <c r="AH811" s="45"/>
      <c r="AI811" s="24"/>
      <c r="AJ811" s="196"/>
      <c r="AK811" s="22"/>
      <c r="AL811" s="22"/>
      <c r="AM811" s="22"/>
      <c r="AN811" s="22"/>
      <c r="AO811" s="22"/>
      <c r="AP811" s="22"/>
      <c r="AQ811" s="22"/>
      <c r="AR811" s="22"/>
      <c r="AS811" s="22"/>
      <c r="AT811" s="170"/>
      <c r="AU811" s="170"/>
      <c r="AV811" s="170"/>
      <c r="AW811" s="170"/>
      <c r="AX811" s="170"/>
      <c r="AY811" s="170"/>
      <c r="AZ811" s="170"/>
      <c r="BA811" s="170"/>
      <c r="BB811" s="170"/>
      <c r="BC811" s="170"/>
      <c r="BD811" s="170"/>
      <c r="BE811" s="143" t="s">
        <v>115</v>
      </c>
      <c r="BF811" s="143" t="s">
        <v>2332</v>
      </c>
      <c r="BG811" s="167" t="s">
        <v>2333</v>
      </c>
      <c r="BH811" s="220"/>
      <c r="BI811" s="220"/>
      <c r="BJ811" s="220"/>
      <c r="BK811" s="46">
        <f t="shared" si="1"/>
        <v>1</v>
      </c>
      <c r="BL811" s="46"/>
      <c r="BM811" s="46"/>
      <c r="BN811" s="46"/>
    </row>
    <row r="812" spans="1:66" ht="12.75" hidden="1" customHeight="1">
      <c r="A812" s="22">
        <v>810</v>
      </c>
      <c r="B812" s="22" t="s">
        <v>535</v>
      </c>
      <c r="C812" s="22" t="e">
        <f t="shared" ca="1" si="0"/>
        <v>#NAME?</v>
      </c>
      <c r="D812" s="24" t="s">
        <v>405</v>
      </c>
      <c r="E812" s="22" t="s">
        <v>180</v>
      </c>
      <c r="F812" s="24" t="s">
        <v>1376</v>
      </c>
      <c r="G812" s="24" t="s">
        <v>2307</v>
      </c>
      <c r="H812" s="24"/>
      <c r="I812" s="24">
        <v>1</v>
      </c>
      <c r="J812" s="24" t="s">
        <v>1767</v>
      </c>
      <c r="K812" s="24"/>
      <c r="L812" s="24"/>
      <c r="M812" s="24"/>
      <c r="N812" s="24"/>
      <c r="O812" s="24"/>
      <c r="P812" s="170"/>
      <c r="Q812" s="170"/>
      <c r="R812" s="247"/>
      <c r="S812" s="196"/>
      <c r="T812" s="196"/>
      <c r="U812" s="196"/>
      <c r="V812" s="194"/>
      <c r="W812" s="194" t="s">
        <v>405</v>
      </c>
      <c r="X812" s="196"/>
      <c r="Y812" s="196"/>
      <c r="Z812" s="24"/>
      <c r="AA812" s="170"/>
      <c r="AB812" s="196"/>
      <c r="AC812" s="251"/>
      <c r="AD812" s="170"/>
      <c r="AE812" s="24"/>
      <c r="AF812" s="170"/>
      <c r="AG812" s="22"/>
      <c r="AH812" s="45"/>
      <c r="AI812" s="24"/>
      <c r="AJ812" s="196"/>
      <c r="AK812" s="22"/>
      <c r="AL812" s="22"/>
      <c r="AM812" s="22"/>
      <c r="AN812" s="22"/>
      <c r="AO812" s="22"/>
      <c r="AP812" s="22"/>
      <c r="AQ812" s="22"/>
      <c r="AR812" s="22"/>
      <c r="AS812" s="22"/>
      <c r="AT812" s="170"/>
      <c r="AU812" s="170"/>
      <c r="AV812" s="170"/>
      <c r="AW812" s="170"/>
      <c r="AX812" s="170"/>
      <c r="AY812" s="170"/>
      <c r="AZ812" s="170"/>
      <c r="BA812" s="170"/>
      <c r="BB812" s="170"/>
      <c r="BC812" s="170"/>
      <c r="BD812" s="170"/>
      <c r="BE812" s="143" t="s">
        <v>115</v>
      </c>
      <c r="BF812" s="143" t="s">
        <v>406</v>
      </c>
      <c r="BG812" s="167" t="s">
        <v>407</v>
      </c>
      <c r="BH812" s="220"/>
      <c r="BI812" s="220"/>
      <c r="BJ812" s="220"/>
      <c r="BK812" s="46">
        <f t="shared" si="1"/>
        <v>1</v>
      </c>
      <c r="BL812" s="46"/>
      <c r="BM812" s="46"/>
      <c r="BN812" s="46"/>
    </row>
    <row r="813" spans="1:66" ht="12.75" hidden="1" customHeight="1">
      <c r="A813" s="22">
        <v>811</v>
      </c>
      <c r="B813" s="22" t="s">
        <v>2334</v>
      </c>
      <c r="C813" s="22" t="str">
        <f t="shared" si="0"/>
        <v>Specify - Reason TB screening not done</v>
      </c>
      <c r="D813" s="24" t="s">
        <v>2334</v>
      </c>
      <c r="E813" s="22" t="s">
        <v>96</v>
      </c>
      <c r="F813" s="24" t="s">
        <v>1787</v>
      </c>
      <c r="G813" s="24" t="s">
        <v>2307</v>
      </c>
      <c r="H813" s="24"/>
      <c r="I813" s="24">
        <v>1</v>
      </c>
      <c r="J813" s="24" t="s">
        <v>1767</v>
      </c>
      <c r="K813" s="24"/>
      <c r="L813" s="24"/>
      <c r="M813" s="24"/>
      <c r="N813" s="24"/>
      <c r="O813" s="24"/>
      <c r="P813" s="170"/>
      <c r="Q813" s="170"/>
      <c r="R813" s="247" t="s">
        <v>409</v>
      </c>
      <c r="S813" s="196" t="s">
        <v>2335</v>
      </c>
      <c r="T813" s="196" t="s">
        <v>2336</v>
      </c>
      <c r="U813" s="196" t="s">
        <v>111</v>
      </c>
      <c r="V813" s="194"/>
      <c r="W813" s="194"/>
      <c r="X813" s="196"/>
      <c r="Y813" s="196"/>
      <c r="Z813" s="24"/>
      <c r="AA813" s="170"/>
      <c r="AB813" s="196" t="s">
        <v>208</v>
      </c>
      <c r="AC813" s="251"/>
      <c r="AD813" s="170"/>
      <c r="AE813" s="24"/>
      <c r="AF813" s="170"/>
      <c r="AG813" s="22"/>
      <c r="AH813" s="45"/>
      <c r="AI813" s="24"/>
      <c r="AJ813" s="196" t="s">
        <v>115</v>
      </c>
      <c r="AK813" s="22"/>
      <c r="AL813" s="22"/>
      <c r="AM813" s="22"/>
      <c r="AN813" s="22"/>
      <c r="AO813" s="22"/>
      <c r="AP813" s="22"/>
      <c r="AQ813" s="22"/>
      <c r="AR813" s="22"/>
      <c r="AS813" s="22"/>
      <c r="AT813" s="170"/>
      <c r="AU813" s="170"/>
      <c r="AV813" s="170"/>
      <c r="AW813" s="170"/>
      <c r="AX813" s="170"/>
      <c r="AY813" s="170"/>
      <c r="AZ813" s="170"/>
      <c r="BA813" s="170"/>
      <c r="BB813" s="170"/>
      <c r="BC813" s="170"/>
      <c r="BD813" s="170"/>
      <c r="BE813" s="143" t="s">
        <v>2310</v>
      </c>
      <c r="BF813" s="143" t="s">
        <v>1800</v>
      </c>
      <c r="BG813" s="167" t="s">
        <v>1801</v>
      </c>
      <c r="BH813" s="220"/>
      <c r="BI813" s="220"/>
      <c r="BJ813" s="220"/>
      <c r="BK813" s="46">
        <f t="shared" si="1"/>
        <v>1</v>
      </c>
      <c r="BL813" s="46"/>
      <c r="BM813" s="46"/>
      <c r="BN813" s="46"/>
    </row>
    <row r="814" spans="1:66" ht="25.5" hidden="1" customHeight="1">
      <c r="A814" s="22">
        <v>812</v>
      </c>
      <c r="B814" s="22" t="s">
        <v>2338</v>
      </c>
      <c r="C814" s="22" t="str">
        <f t="shared" si="0"/>
        <v>TB screening date</v>
      </c>
      <c r="D814" s="24" t="s">
        <v>2338</v>
      </c>
      <c r="E814" s="22" t="s">
        <v>96</v>
      </c>
      <c r="F814" s="24" t="s">
        <v>1787</v>
      </c>
      <c r="G814" s="24" t="s">
        <v>2307</v>
      </c>
      <c r="H814" s="24"/>
      <c r="I814" s="24">
        <v>1</v>
      </c>
      <c r="J814" s="24" t="s">
        <v>1767</v>
      </c>
      <c r="K814" s="24"/>
      <c r="L814" s="24"/>
      <c r="M814" s="24"/>
      <c r="N814" s="24"/>
      <c r="O814" s="24"/>
      <c r="P814" s="170"/>
      <c r="Q814" s="170"/>
      <c r="R814" s="247" t="s">
        <v>2338</v>
      </c>
      <c r="S814" s="196" t="s">
        <v>2339</v>
      </c>
      <c r="T814" s="194" t="s">
        <v>2340</v>
      </c>
      <c r="U814" s="196" t="s">
        <v>140</v>
      </c>
      <c r="V814" s="194"/>
      <c r="W814" s="194"/>
      <c r="X814" s="196"/>
      <c r="Y814" s="196"/>
      <c r="Z814" s="24"/>
      <c r="AA814" s="170"/>
      <c r="AB814" s="196" t="s">
        <v>113</v>
      </c>
      <c r="AC814" s="251"/>
      <c r="AD814" s="170"/>
      <c r="AE814" s="24"/>
      <c r="AF814" s="170"/>
      <c r="AG814" s="22"/>
      <c r="AH814" s="45"/>
      <c r="AI814" s="24"/>
      <c r="AJ814" s="196" t="s">
        <v>115</v>
      </c>
      <c r="AK814" s="22"/>
      <c r="AL814" s="22"/>
      <c r="AM814" s="22"/>
      <c r="AN814" s="22"/>
      <c r="AO814" s="22"/>
      <c r="AP814" s="22"/>
      <c r="AQ814" s="22"/>
      <c r="AR814" s="22"/>
      <c r="AS814" s="22"/>
      <c r="AT814" s="170"/>
      <c r="AU814" s="170"/>
      <c r="AV814" s="170"/>
      <c r="AW814" s="170"/>
      <c r="AX814" s="170"/>
      <c r="AY814" s="170"/>
      <c r="AZ814" s="170"/>
      <c r="BA814" s="170"/>
      <c r="BB814" s="170"/>
      <c r="BC814" s="170"/>
      <c r="BD814" s="170"/>
      <c r="BE814" s="143" t="s">
        <v>2310</v>
      </c>
      <c r="BF814" s="143" t="s">
        <v>1804</v>
      </c>
      <c r="BG814" s="167" t="s">
        <v>1805</v>
      </c>
      <c r="BH814" s="220"/>
      <c r="BI814" s="220"/>
      <c r="BJ814" s="220"/>
      <c r="BK814" s="46">
        <f t="shared" si="1"/>
        <v>1</v>
      </c>
      <c r="BL814" s="46"/>
      <c r="BM814" s="46"/>
      <c r="BN814" s="46"/>
    </row>
    <row r="815" spans="1:66" ht="12.75" hidden="1" customHeight="1">
      <c r="A815" s="22">
        <v>813</v>
      </c>
      <c r="B815" s="22" t="s">
        <v>2341</v>
      </c>
      <c r="C815" s="22" t="str">
        <f t="shared" si="0"/>
        <v>Record result - TB Screening</v>
      </c>
      <c r="D815" s="24" t="s">
        <v>2341</v>
      </c>
      <c r="E815" s="22" t="s">
        <v>96</v>
      </c>
      <c r="F815" s="24" t="s">
        <v>1787</v>
      </c>
      <c r="G815" s="24" t="s">
        <v>2307</v>
      </c>
      <c r="H815" s="24"/>
      <c r="I815" s="24">
        <v>1</v>
      </c>
      <c r="J815" s="24" t="s">
        <v>1767</v>
      </c>
      <c r="K815" s="24"/>
      <c r="L815" s="24"/>
      <c r="M815" s="24"/>
      <c r="N815" s="24"/>
      <c r="O815" s="24"/>
      <c r="P815" s="170"/>
      <c r="Q815" s="170"/>
      <c r="R815" s="162" t="s">
        <v>1926</v>
      </c>
      <c r="S815" s="163" t="s">
        <v>2342</v>
      </c>
      <c r="T815" s="163" t="s">
        <v>2343</v>
      </c>
      <c r="U815" s="163" t="s">
        <v>202</v>
      </c>
      <c r="V815" s="163"/>
      <c r="W815" s="163"/>
      <c r="X815" s="164"/>
      <c r="Y815" s="164"/>
      <c r="Z815" s="24"/>
      <c r="AA815" s="170"/>
      <c r="AB815" s="163" t="s">
        <v>113</v>
      </c>
      <c r="AC815" s="251"/>
      <c r="AD815" s="170"/>
      <c r="AE815" s="24"/>
      <c r="AF815" s="170"/>
      <c r="AG815" s="22"/>
      <c r="AH815" s="45"/>
      <c r="AI815" s="24"/>
      <c r="AJ815" s="196" t="s">
        <v>115</v>
      </c>
      <c r="AK815" s="22"/>
      <c r="AL815" s="22"/>
      <c r="AM815" s="22"/>
      <c r="AN815" s="22"/>
      <c r="AO815" s="22"/>
      <c r="AP815" s="22"/>
      <c r="AQ815" s="22"/>
      <c r="AR815" s="22"/>
      <c r="AS815" s="22"/>
      <c r="AT815" s="170"/>
      <c r="AU815" s="170"/>
      <c r="AV815" s="170"/>
      <c r="AW815" s="170"/>
      <c r="AX815" s="170"/>
      <c r="AY815" s="170"/>
      <c r="AZ815" s="170"/>
      <c r="BA815" s="170"/>
      <c r="BB815" s="170"/>
      <c r="BC815" s="170"/>
      <c r="BD815" s="170"/>
      <c r="BE815" s="137" t="s">
        <v>115</v>
      </c>
      <c r="BF815" s="143" t="s">
        <v>2344</v>
      </c>
      <c r="BG815" s="167" t="s">
        <v>2345</v>
      </c>
      <c r="BH815" s="220"/>
      <c r="BI815" s="220"/>
      <c r="BJ815" s="220"/>
      <c r="BK815" s="46">
        <f t="shared" si="1"/>
        <v>1</v>
      </c>
      <c r="BL815" s="46"/>
      <c r="BM815" s="46"/>
      <c r="BN815" s="46"/>
    </row>
    <row r="816" spans="1:66" ht="14.25" hidden="1" customHeight="1">
      <c r="A816" s="22">
        <v>814</v>
      </c>
      <c r="B816" s="22" t="s">
        <v>1302</v>
      </c>
      <c r="C816" s="22" t="e">
        <f t="shared" ca="1" si="0"/>
        <v>#NAME?</v>
      </c>
      <c r="D816" s="24" t="s">
        <v>1122</v>
      </c>
      <c r="E816" s="22" t="s">
        <v>180</v>
      </c>
      <c r="F816" s="24" t="s">
        <v>1926</v>
      </c>
      <c r="G816" s="24" t="s">
        <v>2307</v>
      </c>
      <c r="H816" s="24"/>
      <c r="I816" s="24">
        <v>1</v>
      </c>
      <c r="J816" s="24" t="s">
        <v>1767</v>
      </c>
      <c r="K816" s="24"/>
      <c r="L816" s="24"/>
      <c r="M816" s="24"/>
      <c r="N816" s="24"/>
      <c r="O816" s="24"/>
      <c r="P816" s="170"/>
      <c r="Q816" s="170"/>
      <c r="R816" s="169"/>
      <c r="S816" s="164"/>
      <c r="T816" s="164"/>
      <c r="U816" s="164"/>
      <c r="V816" s="163"/>
      <c r="W816" s="163" t="s">
        <v>1122</v>
      </c>
      <c r="X816" s="164"/>
      <c r="Y816" s="164"/>
      <c r="Z816" s="24"/>
      <c r="AA816" s="170"/>
      <c r="AB816" s="164"/>
      <c r="AC816" s="251"/>
      <c r="AD816" s="170"/>
      <c r="AE816" s="24"/>
      <c r="AF816" s="170"/>
      <c r="AG816" s="22"/>
      <c r="AH816" s="45"/>
      <c r="AI816" s="24"/>
      <c r="AJ816" s="164"/>
      <c r="AK816" s="22"/>
      <c r="AL816" s="22"/>
      <c r="AM816" s="22"/>
      <c r="AN816" s="22"/>
      <c r="AO816" s="22"/>
      <c r="AP816" s="22"/>
      <c r="AQ816" s="22"/>
      <c r="AR816" s="22"/>
      <c r="AS816" s="22"/>
      <c r="AT816" s="170"/>
      <c r="AU816" s="170"/>
      <c r="AV816" s="170"/>
      <c r="AW816" s="170"/>
      <c r="AX816" s="170"/>
      <c r="AY816" s="170"/>
      <c r="AZ816" s="170"/>
      <c r="BA816" s="170"/>
      <c r="BB816" s="170"/>
      <c r="BC816" s="170"/>
      <c r="BD816" s="170"/>
      <c r="BE816" s="137" t="s">
        <v>115</v>
      </c>
      <c r="BF816" s="143" t="s">
        <v>1897</v>
      </c>
      <c r="BG816" s="167" t="s">
        <v>1125</v>
      </c>
      <c r="BH816" s="220"/>
      <c r="BI816" s="220"/>
      <c r="BJ816" s="220"/>
      <c r="BK816" s="46">
        <f t="shared" si="1"/>
        <v>1</v>
      </c>
      <c r="BL816" s="46"/>
      <c r="BM816" s="46"/>
      <c r="BN816" s="46"/>
    </row>
    <row r="817" spans="1:66" ht="12.75" hidden="1" customHeight="1">
      <c r="A817" s="22">
        <v>815</v>
      </c>
      <c r="B817" s="22" t="s">
        <v>1305</v>
      </c>
      <c r="C817" s="22" t="e">
        <f t="shared" ca="1" si="0"/>
        <v>#NAME?</v>
      </c>
      <c r="D817" s="24" t="s">
        <v>1126</v>
      </c>
      <c r="E817" s="22" t="s">
        <v>180</v>
      </c>
      <c r="F817" s="24" t="s">
        <v>1926</v>
      </c>
      <c r="G817" s="24" t="s">
        <v>2307</v>
      </c>
      <c r="H817" s="24"/>
      <c r="I817" s="24">
        <v>1</v>
      </c>
      <c r="J817" s="24" t="s">
        <v>1767</v>
      </c>
      <c r="K817" s="24"/>
      <c r="L817" s="24"/>
      <c r="M817" s="24"/>
      <c r="N817" s="24"/>
      <c r="O817" s="24"/>
      <c r="P817" s="170"/>
      <c r="Q817" s="170"/>
      <c r="R817" s="169"/>
      <c r="S817" s="164"/>
      <c r="T817" s="164"/>
      <c r="U817" s="164"/>
      <c r="V817" s="170"/>
      <c r="W817" s="170" t="s">
        <v>1126</v>
      </c>
      <c r="X817" s="164"/>
      <c r="Y817" s="164"/>
      <c r="Z817" s="24"/>
      <c r="AA817" s="170"/>
      <c r="AB817" s="164"/>
      <c r="AC817" s="251"/>
      <c r="AD817" s="170"/>
      <c r="AE817" s="24"/>
      <c r="AF817" s="170"/>
      <c r="AG817" s="22"/>
      <c r="AH817" s="45"/>
      <c r="AI817" s="24"/>
      <c r="AJ817" s="164"/>
      <c r="AK817" s="22"/>
      <c r="AL817" s="22"/>
      <c r="AM817" s="22"/>
      <c r="AN817" s="22"/>
      <c r="AO817" s="22"/>
      <c r="AP817" s="22"/>
      <c r="AQ817" s="22"/>
      <c r="AR817" s="22"/>
      <c r="AS817" s="22"/>
      <c r="AT817" s="170"/>
      <c r="AU817" s="170"/>
      <c r="AV817" s="170"/>
      <c r="AW817" s="170"/>
      <c r="AX817" s="170"/>
      <c r="AY817" s="170"/>
      <c r="AZ817" s="170"/>
      <c r="BA817" s="170"/>
      <c r="BB817" s="170"/>
      <c r="BC817" s="170"/>
      <c r="BD817" s="170"/>
      <c r="BE817" s="137" t="s">
        <v>115</v>
      </c>
      <c r="BF817" s="143" t="s">
        <v>1128</v>
      </c>
      <c r="BG817" s="167" t="s">
        <v>1129</v>
      </c>
      <c r="BH817" s="220"/>
      <c r="BI817" s="220"/>
      <c r="BJ817" s="220"/>
      <c r="BK817" s="46">
        <f t="shared" si="1"/>
        <v>1</v>
      </c>
      <c r="BL817" s="46"/>
      <c r="BM817" s="46"/>
      <c r="BN817" s="46"/>
    </row>
    <row r="818" spans="1:66" ht="12.75" hidden="1" customHeight="1">
      <c r="A818" s="22">
        <v>816</v>
      </c>
      <c r="B818" s="22" t="s">
        <v>2898</v>
      </c>
      <c r="C818" s="22" t="e">
        <f t="shared" ca="1" si="0"/>
        <v>#NAME?</v>
      </c>
      <c r="D818" s="24" t="s">
        <v>1932</v>
      </c>
      <c r="E818" s="22" t="s">
        <v>180</v>
      </c>
      <c r="F818" s="24" t="s">
        <v>1926</v>
      </c>
      <c r="G818" s="24" t="s">
        <v>2307</v>
      </c>
      <c r="H818" s="24"/>
      <c r="I818" s="24">
        <v>1</v>
      </c>
      <c r="J818" s="24" t="s">
        <v>1767</v>
      </c>
      <c r="K818" s="24"/>
      <c r="L818" s="24"/>
      <c r="M818" s="24"/>
      <c r="N818" s="24"/>
      <c r="O818" s="24"/>
      <c r="P818" s="170"/>
      <c r="Q818" s="170"/>
      <c r="R818" s="169"/>
      <c r="S818" s="164"/>
      <c r="T818" s="164"/>
      <c r="U818" s="164"/>
      <c r="V818" s="170"/>
      <c r="W818" s="170" t="s">
        <v>1932</v>
      </c>
      <c r="X818" s="164"/>
      <c r="Y818" s="164"/>
      <c r="Z818" s="24"/>
      <c r="AA818" s="170"/>
      <c r="AB818" s="164"/>
      <c r="AC818" s="251"/>
      <c r="AD818" s="170"/>
      <c r="AE818" s="24"/>
      <c r="AF818" s="170"/>
      <c r="AG818" s="22"/>
      <c r="AH818" s="45"/>
      <c r="AI818" s="24"/>
      <c r="AJ818" s="164"/>
      <c r="AK818" s="22"/>
      <c r="AL818" s="22"/>
      <c r="AM818" s="22"/>
      <c r="AN818" s="22"/>
      <c r="AO818" s="22"/>
      <c r="AP818" s="22"/>
      <c r="AQ818" s="22"/>
      <c r="AR818" s="22"/>
      <c r="AS818" s="22"/>
      <c r="AT818" s="170"/>
      <c r="AU818" s="170"/>
      <c r="AV818" s="170"/>
      <c r="AW818" s="170"/>
      <c r="AX818" s="170"/>
      <c r="AY818" s="170"/>
      <c r="AZ818" s="170"/>
      <c r="BA818" s="170"/>
      <c r="BB818" s="170"/>
      <c r="BC818" s="170"/>
      <c r="BD818" s="170"/>
      <c r="BE818" s="137" t="s">
        <v>115</v>
      </c>
      <c r="BF818" s="143" t="s">
        <v>1934</v>
      </c>
      <c r="BG818" s="139" t="s">
        <v>1935</v>
      </c>
      <c r="BH818" s="220"/>
      <c r="BI818" s="220"/>
      <c r="BJ818" s="220"/>
      <c r="BK818" s="46">
        <f t="shared" si="1"/>
        <v>1</v>
      </c>
      <c r="BL818" s="46"/>
      <c r="BM818" s="46"/>
      <c r="BN818" s="46"/>
    </row>
    <row r="819" spans="1:66" ht="12.75" hidden="1" customHeight="1">
      <c r="A819" s="22">
        <v>817</v>
      </c>
      <c r="B819" s="22" t="s">
        <v>3551</v>
      </c>
      <c r="C819" s="22" t="e">
        <f t="shared" ca="1" si="0"/>
        <v>#NAME?</v>
      </c>
      <c r="D819" s="24" t="s">
        <v>2347</v>
      </c>
      <c r="E819" s="22" t="s">
        <v>180</v>
      </c>
      <c r="F819" s="24" t="s">
        <v>1926</v>
      </c>
      <c r="G819" s="24" t="s">
        <v>2307</v>
      </c>
      <c r="H819" s="24"/>
      <c r="I819" s="24">
        <v>1</v>
      </c>
      <c r="J819" s="24" t="s">
        <v>1767</v>
      </c>
      <c r="K819" s="24"/>
      <c r="L819" s="24"/>
      <c r="M819" s="24"/>
      <c r="N819" s="24"/>
      <c r="O819" s="24"/>
      <c r="P819" s="170"/>
      <c r="Q819" s="170"/>
      <c r="R819" s="169"/>
      <c r="S819" s="164"/>
      <c r="T819" s="164"/>
      <c r="U819" s="164"/>
      <c r="V819" s="170"/>
      <c r="W819" s="170" t="s">
        <v>2347</v>
      </c>
      <c r="X819" s="164"/>
      <c r="Y819" s="164"/>
      <c r="Z819" s="24"/>
      <c r="AA819" s="170"/>
      <c r="AB819" s="164"/>
      <c r="AC819" s="251"/>
      <c r="AD819" s="170"/>
      <c r="AE819" s="24"/>
      <c r="AF819" s="170"/>
      <c r="AG819" s="22"/>
      <c r="AH819" s="45"/>
      <c r="AI819" s="24"/>
      <c r="AJ819" s="164"/>
      <c r="AK819" s="22"/>
      <c r="AL819" s="22"/>
      <c r="AM819" s="22"/>
      <c r="AN819" s="22"/>
      <c r="AO819" s="22"/>
      <c r="AP819" s="22"/>
      <c r="AQ819" s="22"/>
      <c r="AR819" s="22"/>
      <c r="AS819" s="22"/>
      <c r="AT819" s="170"/>
      <c r="AU819" s="170"/>
      <c r="AV819" s="170"/>
      <c r="AW819" s="170"/>
      <c r="AX819" s="170"/>
      <c r="AY819" s="170"/>
      <c r="AZ819" s="170"/>
      <c r="BA819" s="170"/>
      <c r="BB819" s="170"/>
      <c r="BC819" s="170"/>
      <c r="BD819" s="170"/>
      <c r="BE819" s="137" t="s">
        <v>115</v>
      </c>
      <c r="BF819" s="143" t="s">
        <v>2349</v>
      </c>
      <c r="BG819" s="139" t="s">
        <v>946</v>
      </c>
      <c r="BH819" s="220"/>
      <c r="BI819" s="220"/>
      <c r="BJ819" s="220"/>
      <c r="BK819" s="46">
        <f t="shared" si="1"/>
        <v>1</v>
      </c>
      <c r="BL819" s="46"/>
      <c r="BM819" s="46"/>
      <c r="BN819" s="46"/>
    </row>
    <row r="820" spans="1:66" ht="12.75" hidden="1" customHeight="1">
      <c r="A820" s="22">
        <v>818</v>
      </c>
      <c r="B820" s="22" t="s">
        <v>2350</v>
      </c>
      <c r="C820" s="22" t="str">
        <f t="shared" si="0"/>
        <v>Other test</v>
      </c>
      <c r="D820" s="24" t="s">
        <v>2350</v>
      </c>
      <c r="E820" s="22" t="s">
        <v>96</v>
      </c>
      <c r="F820" s="24" t="s">
        <v>1787</v>
      </c>
      <c r="G820" s="24" t="s">
        <v>2351</v>
      </c>
      <c r="H820" s="24"/>
      <c r="I820" s="24">
        <v>1</v>
      </c>
      <c r="J820" s="24" t="s">
        <v>1767</v>
      </c>
      <c r="K820" s="24"/>
      <c r="L820" s="24"/>
      <c r="M820" s="24"/>
      <c r="N820" s="24"/>
      <c r="O820" s="24"/>
      <c r="P820" s="170"/>
      <c r="Q820" s="170"/>
      <c r="R820" s="162" t="s">
        <v>2350</v>
      </c>
      <c r="S820" s="163" t="s">
        <v>2352</v>
      </c>
      <c r="T820" s="163" t="s">
        <v>2353</v>
      </c>
      <c r="U820" s="163" t="s">
        <v>202</v>
      </c>
      <c r="V820" s="163"/>
      <c r="W820" s="163"/>
      <c r="X820" s="164"/>
      <c r="Y820" s="164"/>
      <c r="Z820" s="24"/>
      <c r="AA820" s="170"/>
      <c r="AB820" s="163" t="s">
        <v>208</v>
      </c>
      <c r="AC820" s="251"/>
      <c r="AD820" s="170"/>
      <c r="AE820" s="24"/>
      <c r="AF820" s="170"/>
      <c r="AG820" s="22"/>
      <c r="AH820" s="45"/>
      <c r="AI820" s="24"/>
      <c r="AJ820" s="164" t="s">
        <v>2354</v>
      </c>
      <c r="AK820" s="22"/>
      <c r="AL820" s="22"/>
      <c r="AM820" s="22"/>
      <c r="AN820" s="22"/>
      <c r="AO820" s="22"/>
      <c r="AP820" s="22"/>
      <c r="AQ820" s="22"/>
      <c r="AR820" s="22"/>
      <c r="AS820" s="22"/>
      <c r="AT820" s="170"/>
      <c r="AU820" s="170"/>
      <c r="AV820" s="170"/>
      <c r="AW820" s="170"/>
      <c r="AX820" s="170"/>
      <c r="AY820" s="170"/>
      <c r="AZ820" s="170"/>
      <c r="BA820" s="170"/>
      <c r="BB820" s="170"/>
      <c r="BC820" s="170"/>
      <c r="BD820" s="170"/>
      <c r="BE820" s="137" t="s">
        <v>2355</v>
      </c>
      <c r="BF820" s="143" t="s">
        <v>1773</v>
      </c>
      <c r="BG820" s="139" t="s">
        <v>1774</v>
      </c>
      <c r="BH820" s="220"/>
      <c r="BI820" s="220"/>
      <c r="BJ820" s="220"/>
      <c r="BK820" s="46">
        <f t="shared" si="1"/>
        <v>1</v>
      </c>
      <c r="BL820" s="46"/>
      <c r="BM820" s="46"/>
      <c r="BN820" s="46"/>
    </row>
    <row r="821" spans="1:66" ht="12.75" hidden="1" customHeight="1">
      <c r="A821" s="22">
        <v>819</v>
      </c>
      <c r="B821" s="22" t="s">
        <v>2651</v>
      </c>
      <c r="C821" s="22" t="e">
        <f t="shared" ca="1" si="0"/>
        <v>#NAME?</v>
      </c>
      <c r="D821" s="24" t="s">
        <v>1775</v>
      </c>
      <c r="E821" s="22" t="s">
        <v>180</v>
      </c>
      <c r="F821" s="24" t="s">
        <v>2350</v>
      </c>
      <c r="G821" s="24" t="s">
        <v>2351</v>
      </c>
      <c r="H821" s="24"/>
      <c r="I821" s="24">
        <v>1</v>
      </c>
      <c r="J821" s="24" t="s">
        <v>1767</v>
      </c>
      <c r="K821" s="24"/>
      <c r="L821" s="24"/>
      <c r="M821" s="24"/>
      <c r="N821" s="24"/>
      <c r="O821" s="24"/>
      <c r="P821" s="170"/>
      <c r="Q821" s="170"/>
      <c r="R821" s="162"/>
      <c r="S821" s="163"/>
      <c r="T821" s="163"/>
      <c r="U821" s="163"/>
      <c r="V821" s="163"/>
      <c r="W821" s="163" t="s">
        <v>1775</v>
      </c>
      <c r="X821" s="164"/>
      <c r="Y821" s="164"/>
      <c r="Z821" s="24"/>
      <c r="AA821" s="170"/>
      <c r="AB821" s="163"/>
      <c r="AC821" s="251"/>
      <c r="AD821" s="170"/>
      <c r="AE821" s="24"/>
      <c r="AF821" s="170"/>
      <c r="AG821" s="22"/>
      <c r="AH821" s="45"/>
      <c r="AI821" s="24"/>
      <c r="AJ821" s="164"/>
      <c r="AK821" s="22"/>
      <c r="AL821" s="22"/>
      <c r="AM821" s="22"/>
      <c r="AN821" s="22"/>
      <c r="AO821" s="22"/>
      <c r="AP821" s="22"/>
      <c r="AQ821" s="22"/>
      <c r="AR821" s="22"/>
      <c r="AS821" s="22"/>
      <c r="AT821" s="170"/>
      <c r="AU821" s="170"/>
      <c r="AV821" s="170"/>
      <c r="AW821" s="170"/>
      <c r="AX821" s="170"/>
      <c r="AY821" s="170"/>
      <c r="AZ821" s="170"/>
      <c r="BA821" s="170"/>
      <c r="BB821" s="170"/>
      <c r="BC821" s="170"/>
      <c r="BD821" s="170"/>
      <c r="BE821" s="137" t="s">
        <v>115</v>
      </c>
      <c r="BF821" s="137" t="s">
        <v>1777</v>
      </c>
      <c r="BG821" s="139" t="s">
        <v>1778</v>
      </c>
      <c r="BH821" s="220"/>
      <c r="BI821" s="220"/>
      <c r="BJ821" s="220"/>
      <c r="BK821" s="46">
        <f t="shared" si="1"/>
        <v>1</v>
      </c>
      <c r="BL821" s="46"/>
      <c r="BM821" s="46"/>
      <c r="BN821" s="46"/>
    </row>
    <row r="822" spans="1:66" ht="12.75" hidden="1" customHeight="1">
      <c r="A822" s="22">
        <v>820</v>
      </c>
      <c r="B822" s="22" t="s">
        <v>2655</v>
      </c>
      <c r="C822" s="22" t="e">
        <f t="shared" ca="1" si="0"/>
        <v>#NAME?</v>
      </c>
      <c r="D822" s="24" t="s">
        <v>1779</v>
      </c>
      <c r="E822" s="22" t="s">
        <v>180</v>
      </c>
      <c r="F822" s="24" t="s">
        <v>2350</v>
      </c>
      <c r="G822" s="24" t="s">
        <v>2351</v>
      </c>
      <c r="H822" s="24"/>
      <c r="I822" s="24">
        <v>1</v>
      </c>
      <c r="J822" s="24" t="s">
        <v>1767</v>
      </c>
      <c r="K822" s="24"/>
      <c r="L822" s="24"/>
      <c r="M822" s="24"/>
      <c r="N822" s="24"/>
      <c r="O822" s="24"/>
      <c r="P822" s="170"/>
      <c r="Q822" s="170"/>
      <c r="R822" s="162"/>
      <c r="S822" s="163"/>
      <c r="T822" s="163"/>
      <c r="U822" s="163"/>
      <c r="V822" s="163"/>
      <c r="W822" s="163" t="s">
        <v>1779</v>
      </c>
      <c r="X822" s="164"/>
      <c r="Y822" s="164"/>
      <c r="Z822" s="24"/>
      <c r="AA822" s="170"/>
      <c r="AB822" s="163"/>
      <c r="AC822" s="251"/>
      <c r="AD822" s="170"/>
      <c r="AE822" s="24"/>
      <c r="AF822" s="170"/>
      <c r="AG822" s="22"/>
      <c r="AH822" s="45"/>
      <c r="AI822" s="24"/>
      <c r="AJ822" s="164"/>
      <c r="AK822" s="22"/>
      <c r="AL822" s="22"/>
      <c r="AM822" s="22"/>
      <c r="AN822" s="22"/>
      <c r="AO822" s="22"/>
      <c r="AP822" s="22"/>
      <c r="AQ822" s="22"/>
      <c r="AR822" s="22"/>
      <c r="AS822" s="22"/>
      <c r="AT822" s="170"/>
      <c r="AU822" s="170"/>
      <c r="AV822" s="170"/>
      <c r="AW822" s="170"/>
      <c r="AX822" s="170"/>
      <c r="AY822" s="170"/>
      <c r="AZ822" s="170"/>
      <c r="BA822" s="170"/>
      <c r="BB822" s="170"/>
      <c r="BC822" s="170"/>
      <c r="BD822" s="170"/>
      <c r="BE822" s="137" t="s">
        <v>115</v>
      </c>
      <c r="BF822" s="137" t="s">
        <v>1781</v>
      </c>
      <c r="BG822" s="139" t="s">
        <v>1782</v>
      </c>
      <c r="BH822" s="220"/>
      <c r="BI822" s="220"/>
      <c r="BJ822" s="220"/>
      <c r="BK822" s="46">
        <f t="shared" si="1"/>
        <v>1</v>
      </c>
      <c r="BL822" s="46"/>
      <c r="BM822" s="46"/>
      <c r="BN822" s="46"/>
    </row>
    <row r="823" spans="1:66" ht="12.75" hidden="1" customHeight="1">
      <c r="A823" s="22">
        <v>821</v>
      </c>
      <c r="B823" s="22" t="s">
        <v>2356</v>
      </c>
      <c r="C823" s="22" t="str">
        <f t="shared" si="0"/>
        <v xml:space="preserve">Which test? </v>
      </c>
      <c r="D823" s="24" t="s">
        <v>2356</v>
      </c>
      <c r="E823" s="22" t="s">
        <v>96</v>
      </c>
      <c r="F823" s="24" t="s">
        <v>1787</v>
      </c>
      <c r="G823" s="24" t="s">
        <v>2351</v>
      </c>
      <c r="H823" s="24"/>
      <c r="I823" s="24">
        <v>1</v>
      </c>
      <c r="J823" s="24" t="s">
        <v>1767</v>
      </c>
      <c r="K823" s="24"/>
      <c r="L823" s="24"/>
      <c r="M823" s="24"/>
      <c r="N823" s="24"/>
      <c r="O823" s="24"/>
      <c r="P823" s="170"/>
      <c r="Q823" s="170"/>
      <c r="R823" s="162" t="s">
        <v>2356</v>
      </c>
      <c r="S823" s="163" t="s">
        <v>2357</v>
      </c>
      <c r="T823" s="163" t="s">
        <v>2358</v>
      </c>
      <c r="U823" s="163" t="s">
        <v>111</v>
      </c>
      <c r="V823" s="163"/>
      <c r="W823" s="163"/>
      <c r="X823" s="164"/>
      <c r="Y823" s="164"/>
      <c r="Z823" s="24"/>
      <c r="AA823" s="170"/>
      <c r="AB823" s="163" t="s">
        <v>208</v>
      </c>
      <c r="AC823" s="251"/>
      <c r="AD823" s="170"/>
      <c r="AE823" s="24"/>
      <c r="AF823" s="170"/>
      <c r="AG823" s="22"/>
      <c r="AH823" s="45"/>
      <c r="AI823" s="24"/>
      <c r="AJ823" s="164" t="s">
        <v>115</v>
      </c>
      <c r="AK823" s="22"/>
      <c r="AL823" s="22"/>
      <c r="AM823" s="22"/>
      <c r="AN823" s="22"/>
      <c r="AO823" s="22"/>
      <c r="AP823" s="22"/>
      <c r="AQ823" s="22"/>
      <c r="AR823" s="22"/>
      <c r="AS823" s="22"/>
      <c r="AT823" s="170"/>
      <c r="AU823" s="170"/>
      <c r="AV823" s="170"/>
      <c r="AW823" s="170"/>
      <c r="AX823" s="170"/>
      <c r="AY823" s="170"/>
      <c r="AZ823" s="170"/>
      <c r="BA823" s="170"/>
      <c r="BB823" s="170"/>
      <c r="BC823" s="170"/>
      <c r="BD823" s="170"/>
      <c r="BE823" s="137" t="s">
        <v>115</v>
      </c>
      <c r="BF823" s="143" t="s">
        <v>2360</v>
      </c>
      <c r="BG823" s="139" t="s">
        <v>2361</v>
      </c>
      <c r="BH823" s="220"/>
      <c r="BI823" s="220"/>
      <c r="BJ823" s="220"/>
      <c r="BK823" s="46">
        <f t="shared" si="1"/>
        <v>1</v>
      </c>
      <c r="BL823" s="46"/>
      <c r="BM823" s="46"/>
      <c r="BN823" s="46"/>
    </row>
    <row r="824" spans="1:66" ht="12.75" hidden="1" customHeight="1">
      <c r="A824" s="22">
        <v>822</v>
      </c>
      <c r="B824" s="22" t="s">
        <v>2362</v>
      </c>
      <c r="C824" s="22" t="str">
        <f t="shared" si="0"/>
        <v>Test date</v>
      </c>
      <c r="D824" s="24" t="s">
        <v>2362</v>
      </c>
      <c r="E824" s="22" t="s">
        <v>96</v>
      </c>
      <c r="F824" s="24" t="s">
        <v>1787</v>
      </c>
      <c r="G824" s="24" t="s">
        <v>2351</v>
      </c>
      <c r="H824" s="24"/>
      <c r="I824" s="24">
        <v>1</v>
      </c>
      <c r="J824" s="24" t="s">
        <v>1767</v>
      </c>
      <c r="K824" s="24"/>
      <c r="L824" s="24"/>
      <c r="M824" s="24"/>
      <c r="N824" s="24"/>
      <c r="O824" s="24"/>
      <c r="P824" s="170"/>
      <c r="Q824" s="170"/>
      <c r="R824" s="162" t="s">
        <v>2362</v>
      </c>
      <c r="S824" s="163" t="s">
        <v>2363</v>
      </c>
      <c r="T824" s="163" t="s">
        <v>2364</v>
      </c>
      <c r="U824" s="163" t="s">
        <v>140</v>
      </c>
      <c r="V824" s="163"/>
      <c r="W824" s="163"/>
      <c r="X824" s="164"/>
      <c r="Y824" s="164"/>
      <c r="Z824" s="24"/>
      <c r="AA824" s="170"/>
      <c r="AB824" s="163" t="s">
        <v>208</v>
      </c>
      <c r="AC824" s="251"/>
      <c r="AD824" s="170"/>
      <c r="AE824" s="24"/>
      <c r="AF824" s="170"/>
      <c r="AG824" s="22"/>
      <c r="AH824" s="45"/>
      <c r="AI824" s="24"/>
      <c r="AJ824" s="164" t="s">
        <v>115</v>
      </c>
      <c r="AK824" s="22"/>
      <c r="AL824" s="22"/>
      <c r="AM824" s="22"/>
      <c r="AN824" s="22"/>
      <c r="AO824" s="22"/>
      <c r="AP824" s="22"/>
      <c r="AQ824" s="22"/>
      <c r="AR824" s="22"/>
      <c r="AS824" s="22"/>
      <c r="AT824" s="170"/>
      <c r="AU824" s="170"/>
      <c r="AV824" s="170"/>
      <c r="AW824" s="170"/>
      <c r="AX824" s="170"/>
      <c r="AY824" s="170"/>
      <c r="AZ824" s="170"/>
      <c r="BA824" s="170"/>
      <c r="BB824" s="170"/>
      <c r="BC824" s="170"/>
      <c r="BD824" s="170"/>
      <c r="BE824" s="137" t="s">
        <v>2355</v>
      </c>
      <c r="BF824" s="143" t="s">
        <v>1804</v>
      </c>
      <c r="BG824" s="139" t="s">
        <v>1805</v>
      </c>
      <c r="BH824" s="220"/>
      <c r="BI824" s="220"/>
      <c r="BJ824" s="220"/>
      <c r="BK824" s="46">
        <f t="shared" si="1"/>
        <v>1</v>
      </c>
      <c r="BL824" s="46"/>
      <c r="BM824" s="46"/>
      <c r="BN824" s="46"/>
    </row>
    <row r="825" spans="1:66" ht="12.75" hidden="1" customHeight="1">
      <c r="A825" s="22">
        <v>823</v>
      </c>
      <c r="B825" s="22" t="s">
        <v>2365</v>
      </c>
      <c r="C825" s="22" t="str">
        <f t="shared" si="0"/>
        <v>Test result?</v>
      </c>
      <c r="D825" s="24" t="s">
        <v>2365</v>
      </c>
      <c r="E825" s="22" t="s">
        <v>96</v>
      </c>
      <c r="F825" s="24" t="s">
        <v>1787</v>
      </c>
      <c r="G825" s="24" t="s">
        <v>2351</v>
      </c>
      <c r="H825" s="24"/>
      <c r="I825" s="24">
        <v>1</v>
      </c>
      <c r="J825" s="24" t="s">
        <v>1767</v>
      </c>
      <c r="K825" s="24"/>
      <c r="L825" s="24"/>
      <c r="M825" s="24"/>
      <c r="N825" s="24"/>
      <c r="O825" s="24"/>
      <c r="P825" s="170"/>
      <c r="Q825" s="170"/>
      <c r="R825" s="162" t="s">
        <v>2365</v>
      </c>
      <c r="S825" s="163" t="s">
        <v>2366</v>
      </c>
      <c r="T825" s="163" t="s">
        <v>2367</v>
      </c>
      <c r="U825" s="163" t="s">
        <v>111</v>
      </c>
      <c r="V825" s="163"/>
      <c r="W825" s="163"/>
      <c r="X825" s="164"/>
      <c r="Y825" s="164"/>
      <c r="Z825" s="24"/>
      <c r="AA825" s="170"/>
      <c r="AB825" s="163" t="s">
        <v>208</v>
      </c>
      <c r="AC825" s="251"/>
      <c r="AD825" s="170"/>
      <c r="AE825" s="24"/>
      <c r="AF825" s="170"/>
      <c r="AG825" s="22"/>
      <c r="AH825" s="45"/>
      <c r="AI825" s="24"/>
      <c r="AJ825" s="164" t="s">
        <v>115</v>
      </c>
      <c r="AK825" s="22"/>
      <c r="AL825" s="22"/>
      <c r="AM825" s="22"/>
      <c r="AN825" s="22"/>
      <c r="AO825" s="22"/>
      <c r="AP825" s="22"/>
      <c r="AQ825" s="22"/>
      <c r="AR825" s="22"/>
      <c r="AS825" s="22"/>
      <c r="AT825" s="170"/>
      <c r="AU825" s="170"/>
      <c r="AV825" s="170"/>
      <c r="AW825" s="170"/>
      <c r="AX825" s="170"/>
      <c r="AY825" s="170"/>
      <c r="AZ825" s="170"/>
      <c r="BA825" s="170"/>
      <c r="BB825" s="170"/>
      <c r="BC825" s="170"/>
      <c r="BD825" s="170"/>
      <c r="BE825" s="137" t="s">
        <v>2355</v>
      </c>
      <c r="BF825" s="143" t="s">
        <v>2368</v>
      </c>
      <c r="BG825" s="139" t="s">
        <v>2369</v>
      </c>
      <c r="BH825" s="220"/>
      <c r="BI825" s="220"/>
      <c r="BJ825" s="220"/>
      <c r="BK825" s="46">
        <f t="shared" si="1"/>
        <v>1</v>
      </c>
      <c r="BL825" s="46"/>
      <c r="BM825" s="46"/>
      <c r="BN825" s="46"/>
    </row>
    <row r="826" spans="1:66" ht="12.75" hidden="1" customHeight="1">
      <c r="A826" s="22">
        <v>824</v>
      </c>
      <c r="B826" s="22" t="s">
        <v>2370</v>
      </c>
      <c r="C826" s="22" t="str">
        <f t="shared" si="0"/>
        <v>Referred to hospital?</v>
      </c>
      <c r="D826" s="24" t="s">
        <v>2370</v>
      </c>
      <c r="E826" s="22" t="s">
        <v>96</v>
      </c>
      <c r="F826" s="24" t="s">
        <v>1787</v>
      </c>
      <c r="G826" s="24" t="s">
        <v>2371</v>
      </c>
      <c r="H826" s="24"/>
      <c r="I826" s="24">
        <v>1</v>
      </c>
      <c r="J826" s="24" t="s">
        <v>2372</v>
      </c>
      <c r="K826" s="24"/>
      <c r="L826" s="24"/>
      <c r="M826" s="24"/>
      <c r="N826" s="24"/>
      <c r="O826" s="24"/>
      <c r="P826" s="170"/>
      <c r="Q826" s="170"/>
      <c r="R826" s="178" t="s">
        <v>2370</v>
      </c>
      <c r="S826" s="170" t="s">
        <v>2373</v>
      </c>
      <c r="T826" s="170" t="s">
        <v>2374</v>
      </c>
      <c r="U826" s="170" t="s">
        <v>202</v>
      </c>
      <c r="V826" s="163"/>
      <c r="W826" s="163"/>
      <c r="X826" s="164"/>
      <c r="Y826" s="164"/>
      <c r="Z826" s="164"/>
      <c r="AA826" s="170"/>
      <c r="AB826" s="170" t="s">
        <v>113</v>
      </c>
      <c r="AC826" s="251"/>
      <c r="AD826" s="170"/>
      <c r="AE826" s="225"/>
      <c r="AF826" s="170"/>
      <c r="AG826" s="170"/>
      <c r="AH826" s="251"/>
      <c r="AI826" s="170"/>
      <c r="AJ826" s="194" t="s">
        <v>2375</v>
      </c>
      <c r="AK826" s="22"/>
      <c r="AL826" s="170"/>
      <c r="AM826" s="170"/>
      <c r="AN826" s="170"/>
      <c r="AO826" s="170"/>
      <c r="AP826" s="170"/>
      <c r="AQ826" s="22"/>
      <c r="AR826" s="22"/>
      <c r="AS826" s="22"/>
      <c r="AT826" s="170"/>
      <c r="AU826" s="170"/>
      <c r="AV826" s="170"/>
      <c r="AW826" s="170"/>
      <c r="AX826" s="170"/>
      <c r="AY826" s="170"/>
      <c r="AZ826" s="170"/>
      <c r="BA826" s="170"/>
      <c r="BB826" s="170"/>
      <c r="BC826" s="170"/>
      <c r="BD826" s="170"/>
      <c r="BE826" s="137" t="s">
        <v>115</v>
      </c>
      <c r="BF826" s="137" t="s">
        <v>2376</v>
      </c>
      <c r="BG826" s="139" t="s">
        <v>2377</v>
      </c>
      <c r="BH826" s="220"/>
      <c r="BI826" s="220"/>
      <c r="BJ826" s="220"/>
      <c r="BK826" s="46">
        <f t="shared" si="1"/>
        <v>1</v>
      </c>
      <c r="BL826" s="46"/>
      <c r="BM826" s="46"/>
      <c r="BN826" s="46"/>
    </row>
    <row r="827" spans="1:66" ht="12.75" hidden="1" customHeight="1">
      <c r="A827" s="22">
        <v>825</v>
      </c>
      <c r="B827" s="22" t="s">
        <v>250</v>
      </c>
      <c r="C827" s="22" t="e">
        <f t="shared" ca="1" si="0"/>
        <v>#NAME?</v>
      </c>
      <c r="D827" s="24" t="s">
        <v>113</v>
      </c>
      <c r="E827" s="22" t="s">
        <v>180</v>
      </c>
      <c r="F827" s="24" t="s">
        <v>2370</v>
      </c>
      <c r="G827" s="24" t="s">
        <v>2371</v>
      </c>
      <c r="H827" s="24"/>
      <c r="I827" s="24">
        <v>1</v>
      </c>
      <c r="J827" s="24" t="s">
        <v>2372</v>
      </c>
      <c r="K827" s="24"/>
      <c r="L827" s="24"/>
      <c r="M827" s="24"/>
      <c r="N827" s="24"/>
      <c r="O827" s="24"/>
      <c r="P827" s="170"/>
      <c r="Q827" s="170"/>
      <c r="R827" s="178"/>
      <c r="S827" s="170"/>
      <c r="T827" s="170"/>
      <c r="U827" s="170"/>
      <c r="V827" s="163"/>
      <c r="W827" s="163" t="s">
        <v>113</v>
      </c>
      <c r="X827" s="164"/>
      <c r="Y827" s="164"/>
      <c r="Z827" s="164"/>
      <c r="AA827" s="170"/>
      <c r="AB827" s="170"/>
      <c r="AC827" s="251"/>
      <c r="AD827" s="170"/>
      <c r="AE827" s="225"/>
      <c r="AF827" s="170"/>
      <c r="AG827" s="170"/>
      <c r="AH827" s="251"/>
      <c r="AI827" s="170"/>
      <c r="AJ827" s="194"/>
      <c r="AK827" s="22"/>
      <c r="AL827" s="170"/>
      <c r="AM827" s="170"/>
      <c r="AN827" s="170"/>
      <c r="AO827" s="170"/>
      <c r="AP827" s="170"/>
      <c r="AQ827" s="22"/>
      <c r="AR827" s="22"/>
      <c r="AS827" s="22"/>
      <c r="AT827" s="170"/>
      <c r="AU827" s="170"/>
      <c r="AV827" s="170"/>
      <c r="AW827" s="170"/>
      <c r="AX827" s="170"/>
      <c r="AY827" s="170"/>
      <c r="AZ827" s="170"/>
      <c r="BA827" s="170"/>
      <c r="BB827" s="170"/>
      <c r="BC827" s="170"/>
      <c r="BD827" s="170"/>
      <c r="BE827" s="137" t="s">
        <v>115</v>
      </c>
      <c r="BF827" s="137" t="s">
        <v>206</v>
      </c>
      <c r="BG827" s="139" t="s">
        <v>207</v>
      </c>
      <c r="BH827" s="220"/>
      <c r="BI827" s="220"/>
      <c r="BJ827" s="220"/>
      <c r="BK827" s="46">
        <f t="shared" si="1"/>
        <v>1</v>
      </c>
      <c r="BL827" s="46"/>
      <c r="BM827" s="46"/>
      <c r="BN827" s="46"/>
    </row>
    <row r="828" spans="1:66" ht="12.75" hidden="1" customHeight="1">
      <c r="A828" s="22">
        <v>826</v>
      </c>
      <c r="B828" s="22" t="s">
        <v>255</v>
      </c>
      <c r="C828" s="22" t="e">
        <f t="shared" ca="1" si="0"/>
        <v>#NAME?</v>
      </c>
      <c r="D828" s="24" t="s">
        <v>208</v>
      </c>
      <c r="E828" s="22" t="s">
        <v>180</v>
      </c>
      <c r="F828" s="24" t="s">
        <v>2370</v>
      </c>
      <c r="G828" s="24" t="s">
        <v>2371</v>
      </c>
      <c r="H828" s="24"/>
      <c r="I828" s="24">
        <v>1</v>
      </c>
      <c r="J828" s="24" t="s">
        <v>2372</v>
      </c>
      <c r="K828" s="24"/>
      <c r="L828" s="24"/>
      <c r="M828" s="24"/>
      <c r="N828" s="24"/>
      <c r="O828" s="24"/>
      <c r="P828" s="170"/>
      <c r="Q828" s="170"/>
      <c r="R828" s="169"/>
      <c r="S828" s="170"/>
      <c r="T828" s="164"/>
      <c r="U828" s="170"/>
      <c r="V828" s="163"/>
      <c r="W828" s="163" t="s">
        <v>208</v>
      </c>
      <c r="X828" s="164"/>
      <c r="Y828" s="164"/>
      <c r="Z828" s="164"/>
      <c r="AA828" s="170"/>
      <c r="AB828" s="164"/>
      <c r="AC828" s="251"/>
      <c r="AD828" s="170"/>
      <c r="AE828" s="225"/>
      <c r="AF828" s="170"/>
      <c r="AG828" s="170"/>
      <c r="AH828" s="251"/>
      <c r="AI828" s="170"/>
      <c r="AJ828" s="164"/>
      <c r="AK828" s="22"/>
      <c r="AL828" s="170"/>
      <c r="AM828" s="170"/>
      <c r="AN828" s="170"/>
      <c r="AO828" s="170"/>
      <c r="AP828" s="170"/>
      <c r="AQ828" s="22"/>
      <c r="AR828" s="22"/>
      <c r="AS828" s="22"/>
      <c r="AT828" s="170"/>
      <c r="AU828" s="170"/>
      <c r="AV828" s="170"/>
      <c r="AW828" s="170"/>
      <c r="AX828" s="170"/>
      <c r="AY828" s="170"/>
      <c r="AZ828" s="170"/>
      <c r="BA828" s="170"/>
      <c r="BB828" s="170"/>
      <c r="BC828" s="170"/>
      <c r="BD828" s="170"/>
      <c r="BE828" s="137" t="s">
        <v>115</v>
      </c>
      <c r="BF828" s="137" t="s">
        <v>209</v>
      </c>
      <c r="BG828" s="139" t="s">
        <v>210</v>
      </c>
      <c r="BH828" s="220"/>
      <c r="BI828" s="220"/>
      <c r="BJ828" s="220"/>
      <c r="BK828" s="46">
        <f t="shared" si="1"/>
        <v>1</v>
      </c>
      <c r="BL828" s="46"/>
      <c r="BM828" s="46"/>
      <c r="BN828" s="46"/>
    </row>
    <row r="829" spans="1:66" ht="12.75" hidden="1" customHeight="1">
      <c r="A829" s="22">
        <v>827</v>
      </c>
      <c r="B829" s="22" t="s">
        <v>2378</v>
      </c>
      <c r="C829" s="22" t="str">
        <f t="shared" si="0"/>
        <v>Reason Not Referred to Hospital</v>
      </c>
      <c r="D829" s="24" t="s">
        <v>2378</v>
      </c>
      <c r="E829" s="22" t="s">
        <v>96</v>
      </c>
      <c r="F829" s="24" t="s">
        <v>1787</v>
      </c>
      <c r="G829" s="24" t="s">
        <v>2371</v>
      </c>
      <c r="H829" s="24"/>
      <c r="I829" s="24">
        <v>1</v>
      </c>
      <c r="J829" s="24" t="s">
        <v>2372</v>
      </c>
      <c r="K829" s="24"/>
      <c r="L829" s="24"/>
      <c r="M829" s="24"/>
      <c r="N829" s="24"/>
      <c r="O829" s="24"/>
      <c r="P829" s="170"/>
      <c r="Q829" s="170"/>
      <c r="R829" s="169" t="s">
        <v>1376</v>
      </c>
      <c r="S829" s="170" t="s">
        <v>2379</v>
      </c>
      <c r="T829" s="164" t="s">
        <v>2380</v>
      </c>
      <c r="U829" s="170" t="s">
        <v>238</v>
      </c>
      <c r="V829" s="163"/>
      <c r="W829" s="163"/>
      <c r="X829" s="164"/>
      <c r="Y829" s="164"/>
      <c r="Z829" s="164"/>
      <c r="AA829" s="170"/>
      <c r="AB829" s="164" t="s">
        <v>113</v>
      </c>
      <c r="AC829" s="251"/>
      <c r="AD829" s="170"/>
      <c r="AE829" s="225"/>
      <c r="AF829" s="170"/>
      <c r="AG829" s="170"/>
      <c r="AH829" s="251"/>
      <c r="AI829" s="170"/>
      <c r="AJ829" s="164" t="s">
        <v>115</v>
      </c>
      <c r="AK829" s="22"/>
      <c r="AL829" s="170"/>
      <c r="AM829" s="170"/>
      <c r="AN829" s="170"/>
      <c r="AO829" s="170"/>
      <c r="AP829" s="170"/>
      <c r="AQ829" s="22"/>
      <c r="AR829" s="22"/>
      <c r="AS829" s="22"/>
      <c r="AT829" s="170"/>
      <c r="AU829" s="170"/>
      <c r="AV829" s="170"/>
      <c r="AW829" s="170"/>
      <c r="AX829" s="170"/>
      <c r="AY829" s="170"/>
      <c r="AZ829" s="170"/>
      <c r="BA829" s="170"/>
      <c r="BB829" s="170"/>
      <c r="BC829" s="170"/>
      <c r="BD829" s="170"/>
      <c r="BE829" s="137" t="s">
        <v>115</v>
      </c>
      <c r="BF829" s="137" t="s">
        <v>2381</v>
      </c>
      <c r="BG829" s="139" t="s">
        <v>2382</v>
      </c>
      <c r="BH829" s="220"/>
      <c r="BI829" s="220"/>
      <c r="BJ829" s="220"/>
      <c r="BK829" s="46">
        <f t="shared" si="1"/>
        <v>1</v>
      </c>
      <c r="BL829" s="46"/>
      <c r="BM829" s="46"/>
      <c r="BN829" s="46"/>
    </row>
    <row r="830" spans="1:66" ht="12.75" hidden="1" customHeight="1">
      <c r="A830" s="22">
        <v>828</v>
      </c>
      <c r="B830" s="22" t="s">
        <v>3588</v>
      </c>
      <c r="C830" s="22" t="e">
        <f t="shared" ca="1" si="0"/>
        <v>#NAME?</v>
      </c>
      <c r="D830" s="24" t="s">
        <v>2383</v>
      </c>
      <c r="E830" s="22" t="s">
        <v>180</v>
      </c>
      <c r="F830" s="24" t="s">
        <v>2378</v>
      </c>
      <c r="G830" s="24" t="s">
        <v>2371</v>
      </c>
      <c r="H830" s="24"/>
      <c r="I830" s="24">
        <v>1</v>
      </c>
      <c r="J830" s="24" t="s">
        <v>2372</v>
      </c>
      <c r="K830" s="24"/>
      <c r="L830" s="24"/>
      <c r="M830" s="24"/>
      <c r="N830" s="24"/>
      <c r="O830" s="24"/>
      <c r="P830" s="170"/>
      <c r="Q830" s="170"/>
      <c r="R830" s="169"/>
      <c r="S830" s="170"/>
      <c r="T830" s="164"/>
      <c r="U830" s="170"/>
      <c r="V830" s="163"/>
      <c r="W830" s="163" t="s">
        <v>2383</v>
      </c>
      <c r="X830" s="164"/>
      <c r="Y830" s="164"/>
      <c r="Z830" s="164"/>
      <c r="AA830" s="170"/>
      <c r="AB830" s="164"/>
      <c r="AC830" s="251"/>
      <c r="AD830" s="170"/>
      <c r="AE830" s="225"/>
      <c r="AF830" s="170"/>
      <c r="AG830" s="170"/>
      <c r="AH830" s="251"/>
      <c r="AI830" s="170"/>
      <c r="AJ830" s="164"/>
      <c r="AK830" s="22"/>
      <c r="AL830" s="170"/>
      <c r="AM830" s="170"/>
      <c r="AN830" s="170"/>
      <c r="AO830" s="170"/>
      <c r="AP830" s="170"/>
      <c r="AQ830" s="22"/>
      <c r="AR830" s="22"/>
      <c r="AS830" s="22"/>
      <c r="AT830" s="170"/>
      <c r="AU830" s="170"/>
      <c r="AV830" s="170"/>
      <c r="AW830" s="170"/>
      <c r="AX830" s="170"/>
      <c r="AY830" s="170"/>
      <c r="AZ830" s="170"/>
      <c r="BA830" s="170"/>
      <c r="BB830" s="170"/>
      <c r="BC830" s="170"/>
      <c r="BD830" s="170"/>
      <c r="BE830" s="137" t="s">
        <v>115</v>
      </c>
      <c r="BF830" s="137" t="s">
        <v>2384</v>
      </c>
      <c r="BG830" s="139" t="s">
        <v>2385</v>
      </c>
      <c r="BH830" s="220"/>
      <c r="BI830" s="220"/>
      <c r="BJ830" s="220"/>
      <c r="BK830" s="46">
        <f t="shared" si="1"/>
        <v>1</v>
      </c>
      <c r="BL830" s="46"/>
      <c r="BM830" s="46"/>
      <c r="BN830" s="46"/>
    </row>
    <row r="831" spans="1:66" ht="12.75" hidden="1" customHeight="1">
      <c r="A831" s="22">
        <v>829</v>
      </c>
      <c r="B831" s="22" t="s">
        <v>3591</v>
      </c>
      <c r="C831" s="22" t="e">
        <f t="shared" ca="1" si="0"/>
        <v>#NAME?</v>
      </c>
      <c r="D831" s="24" t="s">
        <v>2386</v>
      </c>
      <c r="E831" s="22" t="s">
        <v>180</v>
      </c>
      <c r="F831" s="24" t="s">
        <v>2378</v>
      </c>
      <c r="G831" s="24" t="s">
        <v>2371</v>
      </c>
      <c r="H831" s="24"/>
      <c r="I831" s="24">
        <v>1</v>
      </c>
      <c r="J831" s="24" t="s">
        <v>2372</v>
      </c>
      <c r="K831" s="24"/>
      <c r="L831" s="24"/>
      <c r="M831" s="24"/>
      <c r="N831" s="24"/>
      <c r="O831" s="24"/>
      <c r="P831" s="170"/>
      <c r="Q831" s="170"/>
      <c r="R831" s="247"/>
      <c r="S831" s="170"/>
      <c r="T831" s="164"/>
      <c r="U831" s="170"/>
      <c r="V831" s="163"/>
      <c r="W831" s="163" t="s">
        <v>2386</v>
      </c>
      <c r="X831" s="164"/>
      <c r="Y831" s="164"/>
      <c r="Z831" s="164"/>
      <c r="AA831" s="170"/>
      <c r="AB831" s="164"/>
      <c r="AC831" s="251"/>
      <c r="AD831" s="170"/>
      <c r="AE831" s="225"/>
      <c r="AF831" s="170"/>
      <c r="AG831" s="170"/>
      <c r="AH831" s="251"/>
      <c r="AI831" s="170"/>
      <c r="AJ831" s="164"/>
      <c r="AK831" s="22"/>
      <c r="AL831" s="170"/>
      <c r="AM831" s="170"/>
      <c r="AN831" s="170"/>
      <c r="AO831" s="170"/>
      <c r="AP831" s="170"/>
      <c r="AQ831" s="22"/>
      <c r="AR831" s="22"/>
      <c r="AS831" s="22"/>
      <c r="AT831" s="170"/>
      <c r="AU831" s="170"/>
      <c r="AV831" s="170"/>
      <c r="AW831" s="170"/>
      <c r="AX831" s="170"/>
      <c r="AY831" s="170"/>
      <c r="AZ831" s="170"/>
      <c r="BA831" s="170"/>
      <c r="BB831" s="170"/>
      <c r="BC831" s="170"/>
      <c r="BD831" s="170"/>
      <c r="BE831" s="137" t="s">
        <v>115</v>
      </c>
      <c r="BF831" s="137" t="s">
        <v>2387</v>
      </c>
      <c r="BG831" s="139" t="s">
        <v>2388</v>
      </c>
      <c r="BH831" s="220"/>
      <c r="BI831" s="220"/>
      <c r="BJ831" s="220"/>
      <c r="BK831" s="46">
        <f t="shared" si="1"/>
        <v>1</v>
      </c>
      <c r="BL831" s="46"/>
      <c r="BM831" s="46"/>
      <c r="BN831" s="46"/>
    </row>
    <row r="832" spans="1:66" ht="12.75" hidden="1" customHeight="1">
      <c r="A832" s="22">
        <v>830</v>
      </c>
      <c r="B832" s="22" t="s">
        <v>535</v>
      </c>
      <c r="C832" s="22" t="e">
        <f t="shared" ca="1" si="0"/>
        <v>#NAME?</v>
      </c>
      <c r="D832" s="24" t="s">
        <v>405</v>
      </c>
      <c r="E832" s="22" t="s">
        <v>180</v>
      </c>
      <c r="F832" s="24" t="s">
        <v>2378</v>
      </c>
      <c r="G832" s="24" t="s">
        <v>2371</v>
      </c>
      <c r="H832" s="24"/>
      <c r="I832" s="24">
        <v>1</v>
      </c>
      <c r="J832" s="24" t="s">
        <v>2372</v>
      </c>
      <c r="K832" s="24"/>
      <c r="L832" s="24"/>
      <c r="M832" s="24"/>
      <c r="N832" s="24"/>
      <c r="O832" s="24"/>
      <c r="P832" s="170"/>
      <c r="Q832" s="170"/>
      <c r="R832" s="247"/>
      <c r="S832" s="170"/>
      <c r="T832" s="164"/>
      <c r="U832" s="170"/>
      <c r="V832" s="163"/>
      <c r="W832" s="163" t="s">
        <v>405</v>
      </c>
      <c r="X832" s="164"/>
      <c r="Y832" s="164"/>
      <c r="Z832" s="164"/>
      <c r="AA832" s="170"/>
      <c r="AB832" s="164"/>
      <c r="AC832" s="251"/>
      <c r="AD832" s="170"/>
      <c r="AE832" s="225"/>
      <c r="AF832" s="170"/>
      <c r="AG832" s="170"/>
      <c r="AH832" s="251"/>
      <c r="AI832" s="170"/>
      <c r="AJ832" s="164"/>
      <c r="AK832" s="22"/>
      <c r="AL832" s="170"/>
      <c r="AM832" s="170"/>
      <c r="AN832" s="170"/>
      <c r="AO832" s="170"/>
      <c r="AP832" s="170"/>
      <c r="AQ832" s="22"/>
      <c r="AR832" s="22"/>
      <c r="AS832" s="22"/>
      <c r="AT832" s="170"/>
      <c r="AU832" s="170"/>
      <c r="AV832" s="170"/>
      <c r="AW832" s="170"/>
      <c r="AX832" s="170"/>
      <c r="AY832" s="170"/>
      <c r="AZ832" s="170"/>
      <c r="BA832" s="170"/>
      <c r="BB832" s="170"/>
      <c r="BC832" s="170"/>
      <c r="BD832" s="170"/>
      <c r="BE832" s="137" t="s">
        <v>115</v>
      </c>
      <c r="BF832" s="143" t="s">
        <v>406</v>
      </c>
      <c r="BG832" s="167" t="s">
        <v>407</v>
      </c>
      <c r="BH832" s="220"/>
      <c r="BI832" s="220"/>
      <c r="BJ832" s="220"/>
      <c r="BK832" s="46">
        <f t="shared" si="1"/>
        <v>1</v>
      </c>
      <c r="BL832" s="46"/>
      <c r="BM832" s="46"/>
      <c r="BN832" s="46"/>
    </row>
    <row r="833" spans="1:66" ht="12.75" hidden="1" customHeight="1">
      <c r="A833" s="22">
        <v>831</v>
      </c>
      <c r="B833" s="22" t="s">
        <v>2389</v>
      </c>
      <c r="C833" s="22" t="str">
        <f t="shared" si="0"/>
        <v>Specify - Reason Not Referred to Hospital</v>
      </c>
      <c r="D833" s="24" t="s">
        <v>2389</v>
      </c>
      <c r="E833" s="22" t="s">
        <v>96</v>
      </c>
      <c r="F833" s="24" t="s">
        <v>1787</v>
      </c>
      <c r="G833" s="24" t="s">
        <v>2371</v>
      </c>
      <c r="H833" s="24"/>
      <c r="I833" s="24">
        <v>1</v>
      </c>
      <c r="J833" s="24" t="s">
        <v>2372</v>
      </c>
      <c r="K833" s="24"/>
      <c r="L833" s="24"/>
      <c r="M833" s="24"/>
      <c r="N833" s="24"/>
      <c r="O833" s="24"/>
      <c r="P833" s="170"/>
      <c r="Q833" s="170"/>
      <c r="R833" s="247" t="s">
        <v>409</v>
      </c>
      <c r="S833" s="170" t="s">
        <v>2390</v>
      </c>
      <c r="T833" s="164" t="s">
        <v>2391</v>
      </c>
      <c r="U833" s="170" t="s">
        <v>111</v>
      </c>
      <c r="V833" s="163"/>
      <c r="W833" s="163"/>
      <c r="X833" s="164"/>
      <c r="Y833" s="164"/>
      <c r="Z833" s="164"/>
      <c r="AA833" s="170"/>
      <c r="AB833" s="164" t="s">
        <v>208</v>
      </c>
      <c r="AC833" s="251"/>
      <c r="AD833" s="170"/>
      <c r="AE833" s="225"/>
      <c r="AF833" s="170"/>
      <c r="AG833" s="170"/>
      <c r="AH833" s="251"/>
      <c r="AI833" s="170"/>
      <c r="AJ833" s="164" t="s">
        <v>115</v>
      </c>
      <c r="AK833" s="22"/>
      <c r="AL833" s="170"/>
      <c r="AM833" s="170"/>
      <c r="AN833" s="170"/>
      <c r="AO833" s="170"/>
      <c r="AP833" s="170"/>
      <c r="AQ833" s="22"/>
      <c r="AR833" s="22"/>
      <c r="AS833" s="22"/>
      <c r="AT833" s="170"/>
      <c r="AU833" s="170"/>
      <c r="AV833" s="170"/>
      <c r="AW833" s="170"/>
      <c r="AX833" s="170"/>
      <c r="AY833" s="170"/>
      <c r="AZ833" s="170"/>
      <c r="BA833" s="170"/>
      <c r="BB833" s="170"/>
      <c r="BC833" s="170"/>
      <c r="BD833" s="170"/>
      <c r="BE833" s="137" t="s">
        <v>2392</v>
      </c>
      <c r="BF833" s="268" t="s">
        <v>415</v>
      </c>
      <c r="BG833" s="167" t="s">
        <v>416</v>
      </c>
      <c r="BH833" s="220"/>
      <c r="BI833" s="220"/>
      <c r="BJ833" s="220"/>
      <c r="BK833" s="46">
        <f t="shared" si="1"/>
        <v>1</v>
      </c>
      <c r="BL833" s="46"/>
      <c r="BM833" s="46"/>
      <c r="BN833" s="46"/>
    </row>
    <row r="834" spans="1:66" ht="12.75" hidden="1" customHeight="1">
      <c r="A834" s="22">
        <v>832</v>
      </c>
      <c r="B834" s="22" t="s">
        <v>2393</v>
      </c>
      <c r="C834" s="22" t="str">
        <f t="shared" si="0"/>
        <v>Caffeine reduction counseling</v>
      </c>
      <c r="D834" s="24" t="s">
        <v>2393</v>
      </c>
      <c r="E834" s="22" t="s">
        <v>96</v>
      </c>
      <c r="F834" s="24" t="s">
        <v>1787</v>
      </c>
      <c r="G834" s="24" t="s">
        <v>2394</v>
      </c>
      <c r="H834" s="24"/>
      <c r="I834" s="24">
        <v>1</v>
      </c>
      <c r="J834" s="24" t="s">
        <v>2372</v>
      </c>
      <c r="K834" s="24"/>
      <c r="L834" s="24"/>
      <c r="M834" s="24"/>
      <c r="N834" s="24"/>
      <c r="O834" s="24"/>
      <c r="P834" s="170"/>
      <c r="Q834" s="170"/>
      <c r="R834" s="162" t="s">
        <v>2393</v>
      </c>
      <c r="S834" s="170" t="s">
        <v>2395</v>
      </c>
      <c r="T834" s="194" t="s">
        <v>2396</v>
      </c>
      <c r="U834" s="170" t="s">
        <v>202</v>
      </c>
      <c r="V834" s="193"/>
      <c r="W834" s="194"/>
      <c r="X834" s="164"/>
      <c r="Y834" s="164"/>
      <c r="Z834" s="164"/>
      <c r="AA834" s="170"/>
      <c r="AB834" s="170" t="s">
        <v>113</v>
      </c>
      <c r="AC834" s="251"/>
      <c r="AD834" s="170"/>
      <c r="AE834" s="225"/>
      <c r="AF834" s="170"/>
      <c r="AG834" s="170"/>
      <c r="AH834" s="251"/>
      <c r="AI834" s="170"/>
      <c r="AJ834" s="194" t="s">
        <v>2375</v>
      </c>
      <c r="AK834" s="22"/>
      <c r="AL834" s="170"/>
      <c r="AM834" s="170"/>
      <c r="AN834" s="170"/>
      <c r="AO834" s="170"/>
      <c r="AP834" s="170"/>
      <c r="AQ834" s="22"/>
      <c r="AR834" s="22"/>
      <c r="AS834" s="22"/>
      <c r="AT834" s="170"/>
      <c r="AU834" s="170"/>
      <c r="AV834" s="170"/>
      <c r="AW834" s="170"/>
      <c r="AX834" s="170"/>
      <c r="AY834" s="170"/>
      <c r="AZ834" s="170"/>
      <c r="BA834" s="170"/>
      <c r="BB834" s="170"/>
      <c r="BC834" s="170"/>
      <c r="BD834" s="170"/>
      <c r="BE834" s="137" t="s">
        <v>2397</v>
      </c>
      <c r="BF834" s="445" t="s">
        <v>2398</v>
      </c>
      <c r="BG834" s="139" t="s">
        <v>2399</v>
      </c>
      <c r="BH834" s="220"/>
      <c r="BI834" s="220"/>
      <c r="BJ834" s="220"/>
      <c r="BK834" s="46">
        <f t="shared" si="1"/>
        <v>1</v>
      </c>
      <c r="BL834" s="46"/>
      <c r="BM834" s="46"/>
      <c r="BN834" s="46"/>
    </row>
    <row r="835" spans="1:66" ht="12.75" hidden="1" customHeight="1">
      <c r="A835" s="22">
        <v>833</v>
      </c>
      <c r="B835" s="22" t="s">
        <v>2527</v>
      </c>
      <c r="C835" s="22" t="e">
        <f t="shared" ca="1" si="0"/>
        <v>#NAME?</v>
      </c>
      <c r="D835" s="24" t="s">
        <v>1673</v>
      </c>
      <c r="E835" s="22" t="s">
        <v>180</v>
      </c>
      <c r="F835" s="24" t="s">
        <v>2393</v>
      </c>
      <c r="G835" s="24" t="s">
        <v>2394</v>
      </c>
      <c r="H835" s="24"/>
      <c r="I835" s="24">
        <v>1</v>
      </c>
      <c r="J835" s="24" t="s">
        <v>2372</v>
      </c>
      <c r="K835" s="24"/>
      <c r="L835" s="24"/>
      <c r="M835" s="24"/>
      <c r="N835" s="24"/>
      <c r="O835" s="24"/>
      <c r="P835" s="170"/>
      <c r="Q835" s="170"/>
      <c r="R835" s="169"/>
      <c r="S835" s="164"/>
      <c r="T835" s="164"/>
      <c r="U835" s="164"/>
      <c r="V835" s="193"/>
      <c r="W835" s="194" t="s">
        <v>1673</v>
      </c>
      <c r="X835" s="164"/>
      <c r="Y835" s="164"/>
      <c r="Z835" s="164"/>
      <c r="AA835" s="170"/>
      <c r="AB835" s="164"/>
      <c r="AC835" s="251"/>
      <c r="AD835" s="170"/>
      <c r="AE835" s="225"/>
      <c r="AF835" s="170"/>
      <c r="AG835" s="170"/>
      <c r="AH835" s="251"/>
      <c r="AI835" s="170"/>
      <c r="AJ835" s="164"/>
      <c r="AK835" s="22"/>
      <c r="AL835" s="170"/>
      <c r="AM835" s="170"/>
      <c r="AN835" s="170"/>
      <c r="AO835" s="170"/>
      <c r="AP835" s="170"/>
      <c r="AQ835" s="22"/>
      <c r="AR835" s="22"/>
      <c r="AS835" s="22"/>
      <c r="AT835" s="170"/>
      <c r="AU835" s="170"/>
      <c r="AV835" s="170"/>
      <c r="AW835" s="170"/>
      <c r="AX835" s="170"/>
      <c r="AY835" s="170"/>
      <c r="AZ835" s="170"/>
      <c r="BA835" s="170"/>
      <c r="BB835" s="170"/>
      <c r="BC835" s="170"/>
      <c r="BD835" s="170"/>
      <c r="BE835" s="137" t="s">
        <v>115</v>
      </c>
      <c r="BF835" s="445" t="s">
        <v>942</v>
      </c>
      <c r="BG835" s="167" t="s">
        <v>943</v>
      </c>
      <c r="BH835" s="220"/>
      <c r="BI835" s="220"/>
      <c r="BJ835" s="220"/>
      <c r="BK835" s="46">
        <f t="shared" si="1"/>
        <v>1</v>
      </c>
      <c r="BL835" s="46"/>
      <c r="BM835" s="46"/>
      <c r="BN835" s="46"/>
    </row>
    <row r="836" spans="1:66" ht="12.75" hidden="1" customHeight="1">
      <c r="A836" s="22">
        <v>834</v>
      </c>
      <c r="B836" s="22" t="s">
        <v>2118</v>
      </c>
      <c r="C836" s="22" t="e">
        <f t="shared" ca="1" si="0"/>
        <v>#NAME?</v>
      </c>
      <c r="D836" s="24" t="s">
        <v>1468</v>
      </c>
      <c r="E836" s="22" t="s">
        <v>180</v>
      </c>
      <c r="F836" s="24" t="s">
        <v>2393</v>
      </c>
      <c r="G836" s="24" t="s">
        <v>2394</v>
      </c>
      <c r="H836" s="24"/>
      <c r="I836" s="24">
        <v>1</v>
      </c>
      <c r="J836" s="24" t="s">
        <v>2372</v>
      </c>
      <c r="K836" s="24"/>
      <c r="L836" s="24"/>
      <c r="M836" s="24"/>
      <c r="N836" s="24"/>
      <c r="O836" s="24"/>
      <c r="P836" s="170"/>
      <c r="Q836" s="170"/>
      <c r="R836" s="169"/>
      <c r="S836" s="164"/>
      <c r="T836" s="164"/>
      <c r="U836" s="164"/>
      <c r="V836" s="163"/>
      <c r="W836" s="163" t="s">
        <v>1468</v>
      </c>
      <c r="X836" s="164"/>
      <c r="Y836" s="164"/>
      <c r="Z836" s="164"/>
      <c r="AA836" s="170"/>
      <c r="AB836" s="164"/>
      <c r="AC836" s="251"/>
      <c r="AD836" s="170"/>
      <c r="AE836" s="225"/>
      <c r="AF836" s="170"/>
      <c r="AG836" s="170"/>
      <c r="AH836" s="251"/>
      <c r="AI836" s="170"/>
      <c r="AJ836" s="164"/>
      <c r="AK836" s="22"/>
      <c r="AL836" s="170"/>
      <c r="AM836" s="170"/>
      <c r="AN836" s="170"/>
      <c r="AO836" s="170"/>
      <c r="AP836" s="170"/>
      <c r="AQ836" s="22"/>
      <c r="AR836" s="22"/>
      <c r="AS836" s="22"/>
      <c r="AT836" s="170"/>
      <c r="AU836" s="170"/>
      <c r="AV836" s="170"/>
      <c r="AW836" s="170"/>
      <c r="AX836" s="170"/>
      <c r="AY836" s="170"/>
      <c r="AZ836" s="170"/>
      <c r="BA836" s="170"/>
      <c r="BB836" s="170"/>
      <c r="BC836" s="170"/>
      <c r="BD836" s="170"/>
      <c r="BE836" s="137" t="s">
        <v>115</v>
      </c>
      <c r="BF836" s="445" t="s">
        <v>1469</v>
      </c>
      <c r="BG836" s="167" t="s">
        <v>1470</v>
      </c>
      <c r="BH836" s="220"/>
      <c r="BI836" s="220"/>
      <c r="BJ836" s="220"/>
      <c r="BK836" s="46">
        <f t="shared" si="1"/>
        <v>1</v>
      </c>
      <c r="BL836" s="46"/>
      <c r="BM836" s="46"/>
      <c r="BN836" s="46"/>
    </row>
    <row r="837" spans="1:66" ht="12.75" hidden="1" customHeight="1">
      <c r="A837" s="22">
        <v>835</v>
      </c>
      <c r="B837" s="22" t="s">
        <v>2400</v>
      </c>
      <c r="C837" s="22" t="str">
        <f t="shared" si="0"/>
        <v>Reason Caffiene rediction not done</v>
      </c>
      <c r="D837" s="24" t="s">
        <v>2400</v>
      </c>
      <c r="E837" s="22" t="s">
        <v>96</v>
      </c>
      <c r="F837" s="24" t="s">
        <v>1787</v>
      </c>
      <c r="G837" s="24" t="s">
        <v>2394</v>
      </c>
      <c r="H837" s="24"/>
      <c r="I837" s="24">
        <v>1</v>
      </c>
      <c r="J837" s="24" t="s">
        <v>2372</v>
      </c>
      <c r="K837" s="24"/>
      <c r="L837" s="24"/>
      <c r="M837" s="24"/>
      <c r="N837" s="24"/>
      <c r="O837" s="24"/>
      <c r="P837" s="170"/>
      <c r="Q837" s="170"/>
      <c r="R837" s="169" t="s">
        <v>1376</v>
      </c>
      <c r="S837" s="164" t="s">
        <v>2401</v>
      </c>
      <c r="T837" s="164" t="s">
        <v>2402</v>
      </c>
      <c r="U837" s="164" t="s">
        <v>238</v>
      </c>
      <c r="V837" s="163"/>
      <c r="W837" s="163"/>
      <c r="X837" s="164"/>
      <c r="Y837" s="164"/>
      <c r="Z837" s="164"/>
      <c r="AA837" s="170"/>
      <c r="AB837" s="164" t="s">
        <v>208</v>
      </c>
      <c r="AC837" s="251"/>
      <c r="AD837" s="170"/>
      <c r="AE837" s="225"/>
      <c r="AF837" s="170"/>
      <c r="AG837" s="170"/>
      <c r="AH837" s="251"/>
      <c r="AI837" s="170"/>
      <c r="AJ837" s="164" t="s">
        <v>115</v>
      </c>
      <c r="AK837" s="22"/>
      <c r="AL837" s="170"/>
      <c r="AM837" s="170"/>
      <c r="AN837" s="170"/>
      <c r="AO837" s="170"/>
      <c r="AP837" s="170"/>
      <c r="AQ837" s="22"/>
      <c r="AR837" s="22"/>
      <c r="AS837" s="22"/>
      <c r="AT837" s="170"/>
      <c r="AU837" s="170"/>
      <c r="AV837" s="170"/>
      <c r="AW837" s="170"/>
      <c r="AX837" s="170"/>
      <c r="AY837" s="170"/>
      <c r="AZ837" s="170"/>
      <c r="BA837" s="170"/>
      <c r="BB837" s="170"/>
      <c r="BC837" s="170"/>
      <c r="BD837" s="170"/>
      <c r="BE837" s="137" t="s">
        <v>2397</v>
      </c>
      <c r="BF837" s="445" t="s">
        <v>2403</v>
      </c>
      <c r="BG837" s="139" t="s">
        <v>2404</v>
      </c>
      <c r="BH837" s="220"/>
      <c r="BI837" s="220"/>
      <c r="BJ837" s="220"/>
      <c r="BK837" s="46">
        <f t="shared" si="1"/>
        <v>1</v>
      </c>
      <c r="BL837" s="46"/>
      <c r="BM837" s="46"/>
      <c r="BN837" s="46"/>
    </row>
    <row r="838" spans="1:66" ht="12.75" hidden="1" customHeight="1">
      <c r="A838" s="22">
        <v>836</v>
      </c>
      <c r="B838" s="22" t="s">
        <v>3616</v>
      </c>
      <c r="C838" s="22" t="e">
        <f t="shared" ca="1" si="0"/>
        <v>#NAME?</v>
      </c>
      <c r="D838" s="24" t="s">
        <v>2405</v>
      </c>
      <c r="E838" s="22" t="s">
        <v>180</v>
      </c>
      <c r="F838" s="24" t="s">
        <v>2400</v>
      </c>
      <c r="G838" s="24" t="s">
        <v>2394</v>
      </c>
      <c r="H838" s="24"/>
      <c r="I838" s="24">
        <v>1</v>
      </c>
      <c r="J838" s="24" t="s">
        <v>2372</v>
      </c>
      <c r="K838" s="24"/>
      <c r="L838" s="24"/>
      <c r="M838" s="24"/>
      <c r="N838" s="24"/>
      <c r="O838" s="24"/>
      <c r="P838" s="170"/>
      <c r="Q838" s="170"/>
      <c r="R838" s="247"/>
      <c r="S838" s="196"/>
      <c r="T838" s="196"/>
      <c r="U838" s="196"/>
      <c r="V838" s="194"/>
      <c r="W838" s="194" t="s">
        <v>2405</v>
      </c>
      <c r="X838" s="196"/>
      <c r="Y838" s="196"/>
      <c r="Z838" s="196"/>
      <c r="AA838" s="170"/>
      <c r="AB838" s="196"/>
      <c r="AC838" s="251"/>
      <c r="AD838" s="170"/>
      <c r="AE838" s="225"/>
      <c r="AF838" s="170"/>
      <c r="AG838" s="170"/>
      <c r="AH838" s="251"/>
      <c r="AI838" s="170"/>
      <c r="AJ838" s="196"/>
      <c r="AK838" s="22"/>
      <c r="AL838" s="170"/>
      <c r="AM838" s="170"/>
      <c r="AN838" s="170"/>
      <c r="AO838" s="170"/>
      <c r="AP838" s="170"/>
      <c r="AQ838" s="22"/>
      <c r="AR838" s="22"/>
      <c r="AS838" s="22"/>
      <c r="AT838" s="170"/>
      <c r="AU838" s="170"/>
      <c r="AV838" s="170"/>
      <c r="AW838" s="170"/>
      <c r="AX838" s="170"/>
      <c r="AY838" s="170"/>
      <c r="AZ838" s="170"/>
      <c r="BA838" s="170"/>
      <c r="BB838" s="170"/>
      <c r="BC838" s="170"/>
      <c r="BD838" s="170"/>
      <c r="BE838" s="143" t="s">
        <v>115</v>
      </c>
      <c r="BF838" s="268" t="s">
        <v>2406</v>
      </c>
      <c r="BG838" s="167" t="s">
        <v>2407</v>
      </c>
      <c r="BH838" s="220"/>
      <c r="BI838" s="220"/>
      <c r="BJ838" s="220"/>
      <c r="BK838" s="46">
        <f t="shared" si="1"/>
        <v>1</v>
      </c>
      <c r="BL838" s="46"/>
      <c r="BM838" s="46"/>
      <c r="BN838" s="46"/>
    </row>
    <row r="839" spans="1:66" ht="12.75" hidden="1" customHeight="1">
      <c r="A839" s="22">
        <v>837</v>
      </c>
      <c r="B839" s="22" t="s">
        <v>535</v>
      </c>
      <c r="C839" s="22" t="e">
        <f t="shared" ca="1" si="0"/>
        <v>#NAME?</v>
      </c>
      <c r="D839" s="24" t="s">
        <v>405</v>
      </c>
      <c r="E839" s="22" t="s">
        <v>180</v>
      </c>
      <c r="F839" s="24" t="s">
        <v>2400</v>
      </c>
      <c r="G839" s="24" t="s">
        <v>2394</v>
      </c>
      <c r="H839" s="24"/>
      <c r="I839" s="24">
        <v>1</v>
      </c>
      <c r="J839" s="24" t="s">
        <v>2372</v>
      </c>
      <c r="K839" s="24"/>
      <c r="L839" s="24"/>
      <c r="M839" s="24"/>
      <c r="N839" s="24"/>
      <c r="O839" s="24"/>
      <c r="P839" s="170"/>
      <c r="Q839" s="170"/>
      <c r="R839" s="247"/>
      <c r="S839" s="196"/>
      <c r="T839" s="196"/>
      <c r="U839" s="196"/>
      <c r="V839" s="194"/>
      <c r="W839" s="194" t="s">
        <v>405</v>
      </c>
      <c r="X839" s="196"/>
      <c r="Y839" s="196"/>
      <c r="Z839" s="196"/>
      <c r="AA839" s="170"/>
      <c r="AB839" s="196"/>
      <c r="AC839" s="251"/>
      <c r="AD839" s="170"/>
      <c r="AE839" s="225"/>
      <c r="AF839" s="170"/>
      <c r="AG839" s="170"/>
      <c r="AH839" s="251"/>
      <c r="AI839" s="170"/>
      <c r="AJ839" s="196"/>
      <c r="AK839" s="22"/>
      <c r="AL839" s="170"/>
      <c r="AM839" s="170"/>
      <c r="AN839" s="170"/>
      <c r="AO839" s="170"/>
      <c r="AP839" s="170"/>
      <c r="AQ839" s="22"/>
      <c r="AR839" s="22"/>
      <c r="AS839" s="22"/>
      <c r="AT839" s="170"/>
      <c r="AU839" s="170"/>
      <c r="AV839" s="170"/>
      <c r="AW839" s="170"/>
      <c r="AX839" s="170"/>
      <c r="AY839" s="170"/>
      <c r="AZ839" s="170"/>
      <c r="BA839" s="170"/>
      <c r="BB839" s="170"/>
      <c r="BC839" s="170"/>
      <c r="BD839" s="170"/>
      <c r="BE839" s="143" t="s">
        <v>115</v>
      </c>
      <c r="BF839" s="268" t="s">
        <v>406</v>
      </c>
      <c r="BG839" s="167" t="s">
        <v>407</v>
      </c>
      <c r="BH839" s="220"/>
      <c r="BI839" s="220"/>
      <c r="BJ839" s="220"/>
      <c r="BK839" s="46">
        <f t="shared" si="1"/>
        <v>1</v>
      </c>
      <c r="BL839" s="46"/>
      <c r="BM839" s="46"/>
      <c r="BN839" s="46"/>
    </row>
    <row r="840" spans="1:66" ht="12.75" hidden="1" customHeight="1">
      <c r="A840" s="22">
        <v>838</v>
      </c>
      <c r="B840" s="22" t="s">
        <v>2408</v>
      </c>
      <c r="C840" s="22" t="str">
        <f t="shared" si="0"/>
        <v>Specify - Reason Caffiene rediction not done</v>
      </c>
      <c r="D840" s="24" t="s">
        <v>2408</v>
      </c>
      <c r="E840" s="22" t="s">
        <v>96</v>
      </c>
      <c r="F840" s="24" t="s">
        <v>1787</v>
      </c>
      <c r="G840" s="24" t="s">
        <v>2394</v>
      </c>
      <c r="H840" s="24"/>
      <c r="I840" s="24">
        <v>1</v>
      </c>
      <c r="J840" s="24" t="s">
        <v>2372</v>
      </c>
      <c r="K840" s="24"/>
      <c r="L840" s="24"/>
      <c r="M840" s="24"/>
      <c r="N840" s="24"/>
      <c r="O840" s="24"/>
      <c r="P840" s="170"/>
      <c r="Q840" s="170"/>
      <c r="R840" s="247" t="s">
        <v>409</v>
      </c>
      <c r="S840" s="196" t="s">
        <v>2409</v>
      </c>
      <c r="T840" s="196" t="s">
        <v>2410</v>
      </c>
      <c r="U840" s="196" t="s">
        <v>111</v>
      </c>
      <c r="V840" s="194"/>
      <c r="W840" s="194"/>
      <c r="X840" s="196"/>
      <c r="Y840" s="196"/>
      <c r="Z840" s="196"/>
      <c r="AA840" s="170"/>
      <c r="AB840" s="196" t="s">
        <v>208</v>
      </c>
      <c r="AC840" s="251"/>
      <c r="AD840" s="170"/>
      <c r="AE840" s="225"/>
      <c r="AF840" s="170"/>
      <c r="AG840" s="170"/>
      <c r="AH840" s="251"/>
      <c r="AI840" s="170"/>
      <c r="AJ840" s="196" t="s">
        <v>115</v>
      </c>
      <c r="AK840" s="22"/>
      <c r="AL840" s="170"/>
      <c r="AM840" s="170"/>
      <c r="AN840" s="170"/>
      <c r="AO840" s="170"/>
      <c r="AP840" s="170"/>
      <c r="AQ840" s="22"/>
      <c r="AR840" s="22"/>
      <c r="AS840" s="22"/>
      <c r="AT840" s="170"/>
      <c r="AU840" s="170"/>
      <c r="AV840" s="170"/>
      <c r="AW840" s="170"/>
      <c r="AX840" s="170"/>
      <c r="AY840" s="170"/>
      <c r="AZ840" s="170"/>
      <c r="BA840" s="170"/>
      <c r="BB840" s="170"/>
      <c r="BC840" s="170"/>
      <c r="BD840" s="170"/>
      <c r="BE840" s="143" t="s">
        <v>2397</v>
      </c>
      <c r="BF840" s="268" t="s">
        <v>2411</v>
      </c>
      <c r="BG840" s="167" t="s">
        <v>2412</v>
      </c>
      <c r="BH840" s="220"/>
      <c r="BI840" s="220"/>
      <c r="BJ840" s="220"/>
      <c r="BK840" s="46">
        <f t="shared" si="1"/>
        <v>1</v>
      </c>
      <c r="BL840" s="46"/>
      <c r="BM840" s="46"/>
      <c r="BN840" s="46"/>
    </row>
    <row r="841" spans="1:66" ht="12.75" hidden="1" customHeight="1">
      <c r="A841" s="22">
        <v>839</v>
      </c>
      <c r="B841" s="22" t="s">
        <v>2413</v>
      </c>
      <c r="C841" s="22" t="str">
        <f t="shared" si="0"/>
        <v>Tobacco cessation counseling</v>
      </c>
      <c r="D841" s="24" t="s">
        <v>2413</v>
      </c>
      <c r="E841" s="22" t="s">
        <v>96</v>
      </c>
      <c r="F841" s="24" t="s">
        <v>1787</v>
      </c>
      <c r="G841" s="24" t="s">
        <v>2394</v>
      </c>
      <c r="H841" s="24"/>
      <c r="I841" s="24">
        <v>1</v>
      </c>
      <c r="J841" s="24" t="s">
        <v>2372</v>
      </c>
      <c r="K841" s="24"/>
      <c r="L841" s="24"/>
      <c r="M841" s="24"/>
      <c r="N841" s="24"/>
      <c r="O841" s="24"/>
      <c r="P841" s="170"/>
      <c r="Q841" s="170"/>
      <c r="R841" s="162" t="s">
        <v>2413</v>
      </c>
      <c r="S841" s="164" t="s">
        <v>2414</v>
      </c>
      <c r="T841" s="194" t="s">
        <v>2415</v>
      </c>
      <c r="U841" s="170" t="s">
        <v>202</v>
      </c>
      <c r="V841" s="193"/>
      <c r="W841" s="194"/>
      <c r="X841" s="164"/>
      <c r="Y841" s="164"/>
      <c r="Z841" s="164"/>
      <c r="AA841" s="170"/>
      <c r="AB841" s="164" t="s">
        <v>113</v>
      </c>
      <c r="AC841" s="251"/>
      <c r="AD841" s="170"/>
      <c r="AE841" s="225"/>
      <c r="AF841" s="170"/>
      <c r="AG841" s="170"/>
      <c r="AH841" s="251"/>
      <c r="AI841" s="170"/>
      <c r="AJ841" s="194" t="s">
        <v>2375</v>
      </c>
      <c r="AK841" s="22"/>
      <c r="AL841" s="170"/>
      <c r="AM841" s="170"/>
      <c r="AN841" s="170"/>
      <c r="AO841" s="170"/>
      <c r="AP841" s="170"/>
      <c r="AQ841" s="22"/>
      <c r="AR841" s="22"/>
      <c r="AS841" s="22"/>
      <c r="AT841" s="170"/>
      <c r="AU841" s="170"/>
      <c r="AV841" s="170"/>
      <c r="AW841" s="170"/>
      <c r="AX841" s="170"/>
      <c r="AY841" s="170"/>
      <c r="AZ841" s="170"/>
      <c r="BA841" s="170"/>
      <c r="BB841" s="170"/>
      <c r="BC841" s="170"/>
      <c r="BD841" s="170"/>
      <c r="BE841" s="137" t="s">
        <v>2416</v>
      </c>
      <c r="BF841" s="445" t="s">
        <v>2398</v>
      </c>
      <c r="BG841" s="139" t="s">
        <v>2399</v>
      </c>
      <c r="BH841" s="220"/>
      <c r="BI841" s="220"/>
      <c r="BJ841" s="220"/>
      <c r="BK841" s="46">
        <f t="shared" si="1"/>
        <v>1</v>
      </c>
      <c r="BL841" s="46"/>
      <c r="BM841" s="46"/>
      <c r="BN841" s="46"/>
    </row>
    <row r="842" spans="1:66" ht="12.75" hidden="1" customHeight="1">
      <c r="A842" s="22">
        <v>840</v>
      </c>
      <c r="B842" s="22" t="s">
        <v>2527</v>
      </c>
      <c r="C842" s="22" t="e">
        <f t="shared" ca="1" si="0"/>
        <v>#NAME?</v>
      </c>
      <c r="D842" s="24" t="s">
        <v>1673</v>
      </c>
      <c r="E842" s="22" t="s">
        <v>180</v>
      </c>
      <c r="F842" s="24" t="s">
        <v>2413</v>
      </c>
      <c r="G842" s="24" t="s">
        <v>2394</v>
      </c>
      <c r="H842" s="24"/>
      <c r="I842" s="24">
        <v>1</v>
      </c>
      <c r="J842" s="24" t="s">
        <v>2372</v>
      </c>
      <c r="K842" s="24"/>
      <c r="L842" s="24"/>
      <c r="M842" s="24"/>
      <c r="N842" s="24"/>
      <c r="O842" s="24"/>
      <c r="P842" s="170"/>
      <c r="Q842" s="170"/>
      <c r="R842" s="169"/>
      <c r="S842" s="164"/>
      <c r="T842" s="164"/>
      <c r="U842" s="164"/>
      <c r="V842" s="193"/>
      <c r="W842" s="194" t="s">
        <v>1673</v>
      </c>
      <c r="X842" s="164"/>
      <c r="Y842" s="164"/>
      <c r="Z842" s="164"/>
      <c r="AA842" s="170"/>
      <c r="AB842" s="164"/>
      <c r="AC842" s="251"/>
      <c r="AD842" s="170"/>
      <c r="AE842" s="225"/>
      <c r="AF842" s="170"/>
      <c r="AG842" s="170"/>
      <c r="AH842" s="251"/>
      <c r="AI842" s="170"/>
      <c r="AJ842" s="164"/>
      <c r="AK842" s="22"/>
      <c r="AL842" s="170"/>
      <c r="AM842" s="170"/>
      <c r="AN842" s="170"/>
      <c r="AO842" s="170"/>
      <c r="AP842" s="170"/>
      <c r="AQ842" s="22"/>
      <c r="AR842" s="22"/>
      <c r="AS842" s="22"/>
      <c r="AT842" s="170"/>
      <c r="AU842" s="170"/>
      <c r="AV842" s="170"/>
      <c r="AW842" s="170"/>
      <c r="AX842" s="170"/>
      <c r="AY842" s="170"/>
      <c r="AZ842" s="170"/>
      <c r="BA842" s="170"/>
      <c r="BB842" s="170"/>
      <c r="BC842" s="170"/>
      <c r="BD842" s="170"/>
      <c r="BE842" s="137" t="s">
        <v>115</v>
      </c>
      <c r="BF842" s="445" t="s">
        <v>942</v>
      </c>
      <c r="BG842" s="167" t="s">
        <v>943</v>
      </c>
      <c r="BH842" s="220"/>
      <c r="BI842" s="220"/>
      <c r="BJ842" s="220"/>
      <c r="BK842" s="46">
        <f t="shared" si="1"/>
        <v>1</v>
      </c>
      <c r="BL842" s="46"/>
      <c r="BM842" s="46"/>
      <c r="BN842" s="46"/>
    </row>
    <row r="843" spans="1:66" ht="12.75" hidden="1" customHeight="1">
      <c r="A843" s="22">
        <v>841</v>
      </c>
      <c r="B843" s="22" t="s">
        <v>2118</v>
      </c>
      <c r="C843" s="22" t="e">
        <f t="shared" ca="1" si="0"/>
        <v>#NAME?</v>
      </c>
      <c r="D843" s="24" t="s">
        <v>1468</v>
      </c>
      <c r="E843" s="22" t="s">
        <v>180</v>
      </c>
      <c r="F843" s="24" t="s">
        <v>2413</v>
      </c>
      <c r="G843" s="24" t="s">
        <v>2394</v>
      </c>
      <c r="H843" s="24"/>
      <c r="I843" s="24">
        <v>1</v>
      </c>
      <c r="J843" s="24" t="s">
        <v>2372</v>
      </c>
      <c r="K843" s="24"/>
      <c r="L843" s="24"/>
      <c r="M843" s="24"/>
      <c r="N843" s="24"/>
      <c r="O843" s="24"/>
      <c r="P843" s="170"/>
      <c r="Q843" s="170"/>
      <c r="R843" s="169"/>
      <c r="S843" s="164"/>
      <c r="T843" s="164"/>
      <c r="U843" s="164"/>
      <c r="V843" s="163"/>
      <c r="W843" s="163" t="s">
        <v>1468</v>
      </c>
      <c r="X843" s="164"/>
      <c r="Y843" s="164"/>
      <c r="Z843" s="164"/>
      <c r="AA843" s="170"/>
      <c r="AB843" s="164"/>
      <c r="AC843" s="251"/>
      <c r="AD843" s="170"/>
      <c r="AE843" s="225"/>
      <c r="AF843" s="170"/>
      <c r="AG843" s="170"/>
      <c r="AH843" s="251"/>
      <c r="AI843" s="170"/>
      <c r="AJ843" s="164"/>
      <c r="AK843" s="22"/>
      <c r="AL843" s="170"/>
      <c r="AM843" s="170"/>
      <c r="AN843" s="170"/>
      <c r="AO843" s="170"/>
      <c r="AP843" s="170"/>
      <c r="AQ843" s="22"/>
      <c r="AR843" s="22"/>
      <c r="AS843" s="22"/>
      <c r="AT843" s="170"/>
      <c r="AU843" s="170"/>
      <c r="AV843" s="170"/>
      <c r="AW843" s="170"/>
      <c r="AX843" s="170"/>
      <c r="AY843" s="170"/>
      <c r="AZ843" s="170"/>
      <c r="BA843" s="170"/>
      <c r="BB843" s="170"/>
      <c r="BC843" s="170"/>
      <c r="BD843" s="170"/>
      <c r="BE843" s="137" t="s">
        <v>115</v>
      </c>
      <c r="BF843" s="445" t="s">
        <v>1469</v>
      </c>
      <c r="BG843" s="167" t="s">
        <v>1470</v>
      </c>
      <c r="BH843" s="220"/>
      <c r="BI843" s="220"/>
      <c r="BJ843" s="220"/>
      <c r="BK843" s="46">
        <f t="shared" si="1"/>
        <v>1</v>
      </c>
      <c r="BL843" s="46"/>
      <c r="BM843" s="46"/>
      <c r="BN843" s="46"/>
    </row>
    <row r="844" spans="1:66" ht="12.75" hidden="1" customHeight="1">
      <c r="A844" s="22">
        <v>842</v>
      </c>
      <c r="B844" s="22" t="s">
        <v>2417</v>
      </c>
      <c r="C844" s="22" t="str">
        <f t="shared" si="0"/>
        <v>Reason Tobacco Cessation Not Done</v>
      </c>
      <c r="D844" s="24" t="s">
        <v>2417</v>
      </c>
      <c r="E844" s="22" t="s">
        <v>96</v>
      </c>
      <c r="F844" s="24" t="s">
        <v>1787</v>
      </c>
      <c r="G844" s="24" t="s">
        <v>2394</v>
      </c>
      <c r="H844" s="24"/>
      <c r="I844" s="24">
        <v>1</v>
      </c>
      <c r="J844" s="24" t="s">
        <v>2372</v>
      </c>
      <c r="K844" s="24"/>
      <c r="L844" s="24"/>
      <c r="M844" s="24"/>
      <c r="N844" s="24"/>
      <c r="O844" s="24"/>
      <c r="P844" s="170"/>
      <c r="Q844" s="170"/>
      <c r="R844" s="169" t="s">
        <v>1376</v>
      </c>
      <c r="S844" s="164" t="s">
        <v>2418</v>
      </c>
      <c r="T844" s="164" t="s">
        <v>2419</v>
      </c>
      <c r="U844" s="164" t="s">
        <v>238</v>
      </c>
      <c r="V844" s="163"/>
      <c r="W844" s="163"/>
      <c r="X844" s="164"/>
      <c r="Y844" s="164"/>
      <c r="Z844" s="164"/>
      <c r="AA844" s="170"/>
      <c r="AB844" s="164" t="s">
        <v>208</v>
      </c>
      <c r="AC844" s="251"/>
      <c r="AD844" s="170"/>
      <c r="AE844" s="225"/>
      <c r="AF844" s="170"/>
      <c r="AG844" s="170"/>
      <c r="AH844" s="251"/>
      <c r="AI844" s="170"/>
      <c r="AJ844" s="164" t="s">
        <v>115</v>
      </c>
      <c r="AK844" s="22"/>
      <c r="AL844" s="170"/>
      <c r="AM844" s="170"/>
      <c r="AN844" s="170"/>
      <c r="AO844" s="170"/>
      <c r="AP844" s="170"/>
      <c r="AQ844" s="22"/>
      <c r="AR844" s="22"/>
      <c r="AS844" s="22"/>
      <c r="AT844" s="170"/>
      <c r="AU844" s="170"/>
      <c r="AV844" s="170"/>
      <c r="AW844" s="170"/>
      <c r="AX844" s="170"/>
      <c r="AY844" s="170"/>
      <c r="AZ844" s="170"/>
      <c r="BA844" s="170"/>
      <c r="BB844" s="170"/>
      <c r="BC844" s="170"/>
      <c r="BD844" s="170"/>
      <c r="BE844" s="137" t="s">
        <v>2416</v>
      </c>
      <c r="BF844" s="445" t="s">
        <v>2403</v>
      </c>
      <c r="BG844" s="139" t="s">
        <v>2404</v>
      </c>
      <c r="BH844" s="220"/>
      <c r="BI844" s="220"/>
      <c r="BJ844" s="220"/>
      <c r="BK844" s="46">
        <f t="shared" si="1"/>
        <v>1</v>
      </c>
      <c r="BL844" s="46"/>
      <c r="BM844" s="46"/>
      <c r="BN844" s="46"/>
    </row>
    <row r="845" spans="1:66" ht="12.75" hidden="1" customHeight="1">
      <c r="A845" s="22">
        <v>843</v>
      </c>
      <c r="B845" s="22" t="s">
        <v>3616</v>
      </c>
      <c r="C845" s="22" t="e">
        <f t="shared" ca="1" si="0"/>
        <v>#NAME?</v>
      </c>
      <c r="D845" s="24" t="s">
        <v>2405</v>
      </c>
      <c r="E845" s="22" t="s">
        <v>180</v>
      </c>
      <c r="F845" s="24" t="s">
        <v>2417</v>
      </c>
      <c r="G845" s="24" t="s">
        <v>2394</v>
      </c>
      <c r="H845" s="24"/>
      <c r="I845" s="24">
        <v>1</v>
      </c>
      <c r="J845" s="24" t="s">
        <v>2372</v>
      </c>
      <c r="K845" s="24"/>
      <c r="L845" s="24"/>
      <c r="M845" s="24"/>
      <c r="N845" s="24"/>
      <c r="O845" s="24"/>
      <c r="P845" s="170"/>
      <c r="Q845" s="170"/>
      <c r="R845" s="247"/>
      <c r="S845" s="196"/>
      <c r="T845" s="196"/>
      <c r="U845" s="196"/>
      <c r="V845" s="194"/>
      <c r="W845" s="194" t="s">
        <v>2405</v>
      </c>
      <c r="X845" s="196"/>
      <c r="Y845" s="196"/>
      <c r="Z845" s="196"/>
      <c r="AA845" s="170"/>
      <c r="AB845" s="196"/>
      <c r="AC845" s="251"/>
      <c r="AD845" s="170"/>
      <c r="AE845" s="225"/>
      <c r="AF845" s="170"/>
      <c r="AG845" s="170"/>
      <c r="AH845" s="251"/>
      <c r="AI845" s="170"/>
      <c r="AJ845" s="196"/>
      <c r="AK845" s="22"/>
      <c r="AL845" s="170"/>
      <c r="AM845" s="170"/>
      <c r="AN845" s="170"/>
      <c r="AO845" s="170"/>
      <c r="AP845" s="170"/>
      <c r="AQ845" s="22"/>
      <c r="AR845" s="22"/>
      <c r="AS845" s="22"/>
      <c r="AT845" s="170"/>
      <c r="AU845" s="170"/>
      <c r="AV845" s="170"/>
      <c r="AW845" s="170"/>
      <c r="AX845" s="170"/>
      <c r="AY845" s="170"/>
      <c r="AZ845" s="170"/>
      <c r="BA845" s="170"/>
      <c r="BB845" s="170"/>
      <c r="BC845" s="170"/>
      <c r="BD845" s="170"/>
      <c r="BE845" s="143" t="s">
        <v>115</v>
      </c>
      <c r="BF845" s="268" t="s">
        <v>2406</v>
      </c>
      <c r="BG845" s="167" t="s">
        <v>2407</v>
      </c>
      <c r="BH845" s="220"/>
      <c r="BI845" s="220"/>
      <c r="BJ845" s="220"/>
      <c r="BK845" s="46">
        <f t="shared" si="1"/>
        <v>1</v>
      </c>
      <c r="BL845" s="46"/>
      <c r="BM845" s="46"/>
      <c r="BN845" s="46"/>
    </row>
    <row r="846" spans="1:66" ht="12.75" hidden="1" customHeight="1">
      <c r="A846" s="22">
        <v>844</v>
      </c>
      <c r="B846" s="22" t="s">
        <v>535</v>
      </c>
      <c r="C846" s="22" t="e">
        <f t="shared" ca="1" si="0"/>
        <v>#NAME?</v>
      </c>
      <c r="D846" s="24" t="s">
        <v>405</v>
      </c>
      <c r="E846" s="22" t="s">
        <v>180</v>
      </c>
      <c r="F846" s="24" t="s">
        <v>2417</v>
      </c>
      <c r="G846" s="24" t="s">
        <v>2394</v>
      </c>
      <c r="H846" s="24"/>
      <c r="I846" s="24">
        <v>1</v>
      </c>
      <c r="J846" s="24" t="s">
        <v>2372</v>
      </c>
      <c r="K846" s="24"/>
      <c r="L846" s="24"/>
      <c r="M846" s="24"/>
      <c r="N846" s="24"/>
      <c r="O846" s="24"/>
      <c r="P846" s="170"/>
      <c r="Q846" s="170"/>
      <c r="R846" s="247"/>
      <c r="S846" s="196"/>
      <c r="T846" s="196"/>
      <c r="U846" s="196"/>
      <c r="V846" s="194"/>
      <c r="W846" s="194" t="s">
        <v>405</v>
      </c>
      <c r="X846" s="196"/>
      <c r="Y846" s="196"/>
      <c r="Z846" s="196"/>
      <c r="AA846" s="170"/>
      <c r="AB846" s="196"/>
      <c r="AC846" s="251"/>
      <c r="AD846" s="170"/>
      <c r="AE846" s="225"/>
      <c r="AF846" s="170"/>
      <c r="AG846" s="170"/>
      <c r="AH846" s="251"/>
      <c r="AI846" s="170"/>
      <c r="AJ846" s="196"/>
      <c r="AK846" s="22"/>
      <c r="AL846" s="170"/>
      <c r="AM846" s="170"/>
      <c r="AN846" s="170"/>
      <c r="AO846" s="170"/>
      <c r="AP846" s="170"/>
      <c r="AQ846" s="22"/>
      <c r="AR846" s="22"/>
      <c r="AS846" s="22"/>
      <c r="AT846" s="170"/>
      <c r="AU846" s="170"/>
      <c r="AV846" s="170"/>
      <c r="AW846" s="170"/>
      <c r="AX846" s="170"/>
      <c r="AY846" s="170"/>
      <c r="AZ846" s="170"/>
      <c r="BA846" s="170"/>
      <c r="BB846" s="170"/>
      <c r="BC846" s="170"/>
      <c r="BD846" s="170"/>
      <c r="BE846" s="143" t="s">
        <v>115</v>
      </c>
      <c r="BF846" s="268" t="s">
        <v>406</v>
      </c>
      <c r="BG846" s="167" t="s">
        <v>407</v>
      </c>
      <c r="BH846" s="220"/>
      <c r="BI846" s="220"/>
      <c r="BJ846" s="220"/>
      <c r="BK846" s="46">
        <f t="shared" si="1"/>
        <v>1</v>
      </c>
      <c r="BL846" s="46"/>
      <c r="BM846" s="46"/>
      <c r="BN846" s="46"/>
    </row>
    <row r="847" spans="1:66" ht="12.75" hidden="1" customHeight="1">
      <c r="A847" s="22">
        <v>845</v>
      </c>
      <c r="B847" s="22" t="s">
        <v>2420</v>
      </c>
      <c r="C847" s="22" t="str">
        <f t="shared" si="0"/>
        <v>Specify - Reason Tobacco Cessation Not Done</v>
      </c>
      <c r="D847" s="24" t="s">
        <v>2420</v>
      </c>
      <c r="E847" s="22" t="s">
        <v>96</v>
      </c>
      <c r="F847" s="24" t="s">
        <v>1787</v>
      </c>
      <c r="G847" s="24" t="s">
        <v>2394</v>
      </c>
      <c r="H847" s="24"/>
      <c r="I847" s="24">
        <v>1</v>
      </c>
      <c r="J847" s="24" t="s">
        <v>2372</v>
      </c>
      <c r="K847" s="24"/>
      <c r="L847" s="24"/>
      <c r="M847" s="24"/>
      <c r="N847" s="24"/>
      <c r="O847" s="24"/>
      <c r="P847" s="170"/>
      <c r="Q847" s="170"/>
      <c r="R847" s="247" t="s">
        <v>409</v>
      </c>
      <c r="S847" s="196" t="s">
        <v>2421</v>
      </c>
      <c r="T847" s="196" t="s">
        <v>2410</v>
      </c>
      <c r="U847" s="196" t="s">
        <v>111</v>
      </c>
      <c r="V847" s="194"/>
      <c r="W847" s="194"/>
      <c r="X847" s="196"/>
      <c r="Y847" s="196"/>
      <c r="Z847" s="196"/>
      <c r="AA847" s="170"/>
      <c r="AB847" s="196" t="s">
        <v>208</v>
      </c>
      <c r="AC847" s="251"/>
      <c r="AD847" s="170"/>
      <c r="AE847" s="225"/>
      <c r="AF847" s="170"/>
      <c r="AG847" s="170"/>
      <c r="AH847" s="251"/>
      <c r="AI847" s="170"/>
      <c r="AJ847" s="196" t="s">
        <v>115</v>
      </c>
      <c r="AK847" s="22"/>
      <c r="AL847" s="170"/>
      <c r="AM847" s="170"/>
      <c r="AN847" s="170"/>
      <c r="AO847" s="170"/>
      <c r="AP847" s="170"/>
      <c r="AQ847" s="22"/>
      <c r="AR847" s="22"/>
      <c r="AS847" s="22"/>
      <c r="AT847" s="170"/>
      <c r="AU847" s="170"/>
      <c r="AV847" s="170"/>
      <c r="AW847" s="170"/>
      <c r="AX847" s="170"/>
      <c r="AY847" s="170"/>
      <c r="AZ847" s="170"/>
      <c r="BA847" s="170"/>
      <c r="BB847" s="170"/>
      <c r="BC847" s="170"/>
      <c r="BD847" s="170"/>
      <c r="BE847" s="143" t="s">
        <v>2416</v>
      </c>
      <c r="BF847" s="268" t="s">
        <v>2411</v>
      </c>
      <c r="BG847" s="167" t="s">
        <v>2412</v>
      </c>
      <c r="BH847" s="220"/>
      <c r="BI847" s="220"/>
      <c r="BJ847" s="220"/>
      <c r="BK847" s="46">
        <f t="shared" si="1"/>
        <v>1</v>
      </c>
      <c r="BL847" s="46"/>
      <c r="BM847" s="46"/>
      <c r="BN847" s="46"/>
    </row>
    <row r="848" spans="1:66" ht="12.75" hidden="1" customHeight="1">
      <c r="A848" s="22">
        <v>846</v>
      </c>
      <c r="B848" s="22" t="s">
        <v>2422</v>
      </c>
      <c r="C848" s="22" t="str">
        <f t="shared" si="0"/>
        <v>Second-hand smoke counseling</v>
      </c>
      <c r="D848" s="24" t="s">
        <v>2422</v>
      </c>
      <c r="E848" s="22" t="s">
        <v>96</v>
      </c>
      <c r="F848" s="24" t="s">
        <v>1787</v>
      </c>
      <c r="G848" s="24" t="s">
        <v>2394</v>
      </c>
      <c r="H848" s="24"/>
      <c r="I848" s="24">
        <v>1</v>
      </c>
      <c r="J848" s="24" t="s">
        <v>2372</v>
      </c>
      <c r="K848" s="24"/>
      <c r="L848" s="24"/>
      <c r="M848" s="24"/>
      <c r="N848" s="24"/>
      <c r="O848" s="24"/>
      <c r="P848" s="170"/>
      <c r="Q848" s="170"/>
      <c r="R848" s="162" t="s">
        <v>2422</v>
      </c>
      <c r="S848" s="164" t="s">
        <v>2423</v>
      </c>
      <c r="T848" s="194" t="s">
        <v>2424</v>
      </c>
      <c r="U848" s="170" t="s">
        <v>202</v>
      </c>
      <c r="V848" s="193"/>
      <c r="W848" s="194"/>
      <c r="X848" s="164"/>
      <c r="Y848" s="164"/>
      <c r="Z848" s="164"/>
      <c r="AA848" s="170"/>
      <c r="AB848" s="164" t="s">
        <v>113</v>
      </c>
      <c r="AC848" s="251"/>
      <c r="AD848" s="170"/>
      <c r="AE848" s="225"/>
      <c r="AF848" s="170"/>
      <c r="AG848" s="170"/>
      <c r="AH848" s="251"/>
      <c r="AI848" s="170"/>
      <c r="AJ848" s="194" t="s">
        <v>2375</v>
      </c>
      <c r="AK848" s="22"/>
      <c r="AL848" s="170"/>
      <c r="AM848" s="170"/>
      <c r="AN848" s="170"/>
      <c r="AO848" s="170"/>
      <c r="AP848" s="170"/>
      <c r="AQ848" s="22"/>
      <c r="AR848" s="22"/>
      <c r="AS848" s="22"/>
      <c r="AT848" s="170"/>
      <c r="AU848" s="170"/>
      <c r="AV848" s="170"/>
      <c r="AW848" s="170"/>
      <c r="AX848" s="170"/>
      <c r="AY848" s="170"/>
      <c r="AZ848" s="170"/>
      <c r="BA848" s="170"/>
      <c r="BB848" s="170"/>
      <c r="BC848" s="170"/>
      <c r="BD848" s="170"/>
      <c r="BE848" s="137" t="s">
        <v>2425</v>
      </c>
      <c r="BF848" s="445" t="s">
        <v>2398</v>
      </c>
      <c r="BG848" s="139" t="s">
        <v>2399</v>
      </c>
      <c r="BH848" s="220"/>
      <c r="BI848" s="220"/>
      <c r="BJ848" s="220"/>
      <c r="BK848" s="46">
        <f t="shared" si="1"/>
        <v>1</v>
      </c>
      <c r="BL848" s="46"/>
      <c r="BM848" s="46"/>
      <c r="BN848" s="46"/>
    </row>
    <row r="849" spans="1:66" ht="12.75" hidden="1" customHeight="1">
      <c r="A849" s="22">
        <v>847</v>
      </c>
      <c r="B849" s="22" t="s">
        <v>2527</v>
      </c>
      <c r="C849" s="22" t="e">
        <f t="shared" ca="1" si="0"/>
        <v>#NAME?</v>
      </c>
      <c r="D849" s="24" t="s">
        <v>1673</v>
      </c>
      <c r="E849" s="22" t="s">
        <v>180</v>
      </c>
      <c r="F849" s="24" t="s">
        <v>2422</v>
      </c>
      <c r="G849" s="24" t="s">
        <v>2394</v>
      </c>
      <c r="H849" s="24"/>
      <c r="I849" s="24">
        <v>1</v>
      </c>
      <c r="J849" s="24" t="s">
        <v>2372</v>
      </c>
      <c r="K849" s="24"/>
      <c r="L849" s="24"/>
      <c r="M849" s="24"/>
      <c r="N849" s="24"/>
      <c r="O849" s="24"/>
      <c r="P849" s="170"/>
      <c r="Q849" s="170"/>
      <c r="R849" s="169"/>
      <c r="S849" s="164"/>
      <c r="T849" s="164"/>
      <c r="U849" s="164"/>
      <c r="V849" s="193"/>
      <c r="W849" s="194" t="s">
        <v>1673</v>
      </c>
      <c r="X849" s="164"/>
      <c r="Y849" s="164"/>
      <c r="Z849" s="164"/>
      <c r="AA849" s="170"/>
      <c r="AB849" s="164"/>
      <c r="AC849" s="251"/>
      <c r="AD849" s="170"/>
      <c r="AE849" s="225"/>
      <c r="AF849" s="170"/>
      <c r="AG849" s="170"/>
      <c r="AH849" s="251"/>
      <c r="AI849" s="170"/>
      <c r="AJ849" s="196"/>
      <c r="AK849" s="22"/>
      <c r="AL849" s="170"/>
      <c r="AM849" s="170"/>
      <c r="AN849" s="170"/>
      <c r="AO849" s="170"/>
      <c r="AP849" s="170"/>
      <c r="AQ849" s="22"/>
      <c r="AR849" s="22"/>
      <c r="AS849" s="22"/>
      <c r="AT849" s="170"/>
      <c r="AU849" s="170"/>
      <c r="AV849" s="170"/>
      <c r="AW849" s="170"/>
      <c r="AX849" s="170"/>
      <c r="AY849" s="170"/>
      <c r="AZ849" s="170"/>
      <c r="BA849" s="170"/>
      <c r="BB849" s="170"/>
      <c r="BC849" s="170"/>
      <c r="BD849" s="170"/>
      <c r="BE849" s="137" t="s">
        <v>115</v>
      </c>
      <c r="BF849" s="445" t="s">
        <v>942</v>
      </c>
      <c r="BG849" s="167" t="s">
        <v>943</v>
      </c>
      <c r="BH849" s="220"/>
      <c r="BI849" s="220"/>
      <c r="BJ849" s="220"/>
      <c r="BK849" s="46">
        <f t="shared" si="1"/>
        <v>1</v>
      </c>
      <c r="BL849" s="46"/>
      <c r="BM849" s="46"/>
      <c r="BN849" s="46"/>
    </row>
    <row r="850" spans="1:66" ht="12.75" hidden="1" customHeight="1">
      <c r="A850" s="22">
        <v>848</v>
      </c>
      <c r="B850" s="22" t="s">
        <v>2118</v>
      </c>
      <c r="C850" s="22" t="e">
        <f t="shared" ca="1" si="0"/>
        <v>#NAME?</v>
      </c>
      <c r="D850" s="24" t="s">
        <v>1468</v>
      </c>
      <c r="E850" s="22" t="s">
        <v>180</v>
      </c>
      <c r="F850" s="24" t="s">
        <v>2422</v>
      </c>
      <c r="G850" s="24" t="s">
        <v>2394</v>
      </c>
      <c r="H850" s="24"/>
      <c r="I850" s="24">
        <v>1</v>
      </c>
      <c r="J850" s="24" t="s">
        <v>2372</v>
      </c>
      <c r="K850" s="24"/>
      <c r="L850" s="24"/>
      <c r="M850" s="24"/>
      <c r="N850" s="24"/>
      <c r="O850" s="24"/>
      <c r="P850" s="170"/>
      <c r="Q850" s="170"/>
      <c r="R850" s="169"/>
      <c r="S850" s="164"/>
      <c r="T850" s="164"/>
      <c r="U850" s="164"/>
      <c r="V850" s="163"/>
      <c r="W850" s="163" t="s">
        <v>1468</v>
      </c>
      <c r="X850" s="164"/>
      <c r="Y850" s="164"/>
      <c r="Z850" s="164"/>
      <c r="AA850" s="170"/>
      <c r="AB850" s="164"/>
      <c r="AC850" s="251"/>
      <c r="AD850" s="170"/>
      <c r="AE850" s="225"/>
      <c r="AF850" s="170"/>
      <c r="AG850" s="170"/>
      <c r="AH850" s="251"/>
      <c r="AI850" s="170"/>
      <c r="AJ850" s="196"/>
      <c r="AK850" s="22"/>
      <c r="AL850" s="170"/>
      <c r="AM850" s="170"/>
      <c r="AN850" s="170"/>
      <c r="AO850" s="170"/>
      <c r="AP850" s="170"/>
      <c r="AQ850" s="22"/>
      <c r="AR850" s="22"/>
      <c r="AS850" s="22"/>
      <c r="AT850" s="170"/>
      <c r="AU850" s="170"/>
      <c r="AV850" s="170"/>
      <c r="AW850" s="170"/>
      <c r="AX850" s="170"/>
      <c r="AY850" s="170"/>
      <c r="AZ850" s="170"/>
      <c r="BA850" s="170"/>
      <c r="BB850" s="170"/>
      <c r="BC850" s="170"/>
      <c r="BD850" s="170"/>
      <c r="BE850" s="137" t="s">
        <v>115</v>
      </c>
      <c r="BF850" s="445" t="s">
        <v>1469</v>
      </c>
      <c r="BG850" s="167" t="s">
        <v>1470</v>
      </c>
      <c r="BH850" s="220"/>
      <c r="BI850" s="220"/>
      <c r="BJ850" s="220"/>
      <c r="BK850" s="46">
        <f t="shared" si="1"/>
        <v>1</v>
      </c>
      <c r="BL850" s="46"/>
      <c r="BM850" s="46"/>
      <c r="BN850" s="46"/>
    </row>
    <row r="851" spans="1:66" ht="12.75" hidden="1" customHeight="1">
      <c r="A851" s="22">
        <v>849</v>
      </c>
      <c r="B851" s="22" t="s">
        <v>2427</v>
      </c>
      <c r="C851" s="22" t="str">
        <f t="shared" si="0"/>
        <v>Reason Secondhand Smoke Counseling Not Done</v>
      </c>
      <c r="D851" s="24" t="s">
        <v>2427</v>
      </c>
      <c r="E851" s="22" t="s">
        <v>96</v>
      </c>
      <c r="F851" s="24" t="s">
        <v>1787</v>
      </c>
      <c r="G851" s="24" t="s">
        <v>2394</v>
      </c>
      <c r="H851" s="24"/>
      <c r="I851" s="24">
        <v>1</v>
      </c>
      <c r="J851" s="24" t="s">
        <v>2372</v>
      </c>
      <c r="K851" s="24"/>
      <c r="L851" s="24"/>
      <c r="M851" s="24"/>
      <c r="N851" s="24"/>
      <c r="O851" s="24"/>
      <c r="P851" s="170"/>
      <c r="Q851" s="170"/>
      <c r="R851" s="169" t="s">
        <v>1376</v>
      </c>
      <c r="S851" s="164" t="s">
        <v>2428</v>
      </c>
      <c r="T851" s="164" t="s">
        <v>2429</v>
      </c>
      <c r="U851" s="164" t="s">
        <v>238</v>
      </c>
      <c r="V851" s="163"/>
      <c r="W851" s="163"/>
      <c r="X851" s="164"/>
      <c r="Y851" s="164"/>
      <c r="Z851" s="164"/>
      <c r="AA851" s="170"/>
      <c r="AB851" s="164" t="s">
        <v>208</v>
      </c>
      <c r="AC851" s="251"/>
      <c r="AD851" s="170"/>
      <c r="AE851" s="225"/>
      <c r="AF851" s="170"/>
      <c r="AG851" s="170"/>
      <c r="AH851" s="251"/>
      <c r="AI851" s="170"/>
      <c r="AJ851" s="196" t="s">
        <v>115</v>
      </c>
      <c r="AK851" s="22"/>
      <c r="AL851" s="170"/>
      <c r="AM851" s="170"/>
      <c r="AN851" s="170"/>
      <c r="AO851" s="170"/>
      <c r="AP851" s="170"/>
      <c r="AQ851" s="22"/>
      <c r="AR851" s="22"/>
      <c r="AS851" s="22"/>
      <c r="AT851" s="170"/>
      <c r="AU851" s="170"/>
      <c r="AV851" s="170"/>
      <c r="AW851" s="170"/>
      <c r="AX851" s="170"/>
      <c r="AY851" s="170"/>
      <c r="AZ851" s="170"/>
      <c r="BA851" s="170"/>
      <c r="BB851" s="170"/>
      <c r="BC851" s="170"/>
      <c r="BD851" s="170"/>
      <c r="BE851" s="137" t="s">
        <v>2425</v>
      </c>
      <c r="BF851" s="445" t="s">
        <v>2403</v>
      </c>
      <c r="BG851" s="139" t="s">
        <v>2404</v>
      </c>
      <c r="BH851" s="220"/>
      <c r="BI851" s="220"/>
      <c r="BJ851" s="220"/>
      <c r="BK851" s="46">
        <f t="shared" si="1"/>
        <v>1</v>
      </c>
      <c r="BL851" s="46"/>
      <c r="BM851" s="46"/>
      <c r="BN851" s="46"/>
    </row>
    <row r="852" spans="1:66" ht="12.75" hidden="1" customHeight="1">
      <c r="A852" s="22">
        <v>850</v>
      </c>
      <c r="B852" s="22" t="s">
        <v>3616</v>
      </c>
      <c r="C852" s="22" t="e">
        <f t="shared" ca="1" si="0"/>
        <v>#NAME?</v>
      </c>
      <c r="D852" s="24" t="s">
        <v>2405</v>
      </c>
      <c r="E852" s="22" t="s">
        <v>180</v>
      </c>
      <c r="F852" s="24" t="s">
        <v>2427</v>
      </c>
      <c r="G852" s="24" t="s">
        <v>2394</v>
      </c>
      <c r="H852" s="24"/>
      <c r="I852" s="24">
        <v>1</v>
      </c>
      <c r="J852" s="24" t="s">
        <v>2372</v>
      </c>
      <c r="K852" s="24"/>
      <c r="L852" s="24"/>
      <c r="M852" s="24"/>
      <c r="N852" s="24"/>
      <c r="O852" s="24"/>
      <c r="P852" s="170"/>
      <c r="Q852" s="170"/>
      <c r="R852" s="247"/>
      <c r="S852" s="196"/>
      <c r="T852" s="196"/>
      <c r="U852" s="196"/>
      <c r="V852" s="194"/>
      <c r="W852" s="194" t="s">
        <v>2405</v>
      </c>
      <c r="X852" s="196"/>
      <c r="Y852" s="196"/>
      <c r="Z852" s="196"/>
      <c r="AA852" s="170"/>
      <c r="AB852" s="196"/>
      <c r="AC852" s="251"/>
      <c r="AD852" s="170"/>
      <c r="AE852" s="225"/>
      <c r="AF852" s="170"/>
      <c r="AG852" s="170"/>
      <c r="AH852" s="251"/>
      <c r="AI852" s="170"/>
      <c r="AJ852" s="196"/>
      <c r="AK852" s="22"/>
      <c r="AL852" s="170"/>
      <c r="AM852" s="170"/>
      <c r="AN852" s="170"/>
      <c r="AO852" s="170"/>
      <c r="AP852" s="170"/>
      <c r="AQ852" s="22"/>
      <c r="AR852" s="22"/>
      <c r="AS852" s="22"/>
      <c r="AT852" s="170"/>
      <c r="AU852" s="170"/>
      <c r="AV852" s="170"/>
      <c r="AW852" s="170"/>
      <c r="AX852" s="170"/>
      <c r="AY852" s="170"/>
      <c r="AZ852" s="170"/>
      <c r="BA852" s="170"/>
      <c r="BB852" s="170"/>
      <c r="BC852" s="170"/>
      <c r="BD852" s="170"/>
      <c r="BE852" s="137" t="s">
        <v>115</v>
      </c>
      <c r="BF852" s="268" t="s">
        <v>2406</v>
      </c>
      <c r="BG852" s="167" t="s">
        <v>2407</v>
      </c>
      <c r="BH852" s="220"/>
      <c r="BI852" s="220"/>
      <c r="BJ852" s="220"/>
      <c r="BK852" s="46">
        <f t="shared" si="1"/>
        <v>1</v>
      </c>
      <c r="BL852" s="46"/>
      <c r="BM852" s="46"/>
      <c r="BN852" s="46"/>
    </row>
    <row r="853" spans="1:66" ht="12.75" hidden="1" customHeight="1">
      <c r="A853" s="22">
        <v>851</v>
      </c>
      <c r="B853" s="22" t="s">
        <v>535</v>
      </c>
      <c r="C853" s="22" t="e">
        <f t="shared" ca="1" si="0"/>
        <v>#NAME?</v>
      </c>
      <c r="D853" s="24" t="s">
        <v>405</v>
      </c>
      <c r="E853" s="22" t="s">
        <v>180</v>
      </c>
      <c r="F853" s="24" t="s">
        <v>2427</v>
      </c>
      <c r="G853" s="24" t="s">
        <v>2394</v>
      </c>
      <c r="H853" s="24"/>
      <c r="I853" s="24">
        <v>1</v>
      </c>
      <c r="J853" s="24" t="s">
        <v>2372</v>
      </c>
      <c r="K853" s="24"/>
      <c r="L853" s="24"/>
      <c r="M853" s="24"/>
      <c r="N853" s="24"/>
      <c r="O853" s="24"/>
      <c r="P853" s="170"/>
      <c r="Q853" s="170"/>
      <c r="R853" s="247"/>
      <c r="S853" s="196"/>
      <c r="T853" s="196"/>
      <c r="U853" s="196"/>
      <c r="V853" s="194"/>
      <c r="W853" s="194" t="s">
        <v>405</v>
      </c>
      <c r="X853" s="196"/>
      <c r="Y853" s="196"/>
      <c r="Z853" s="196"/>
      <c r="AA853" s="170"/>
      <c r="AB853" s="196"/>
      <c r="AC853" s="251"/>
      <c r="AD853" s="170"/>
      <c r="AE853" s="225"/>
      <c r="AF853" s="170"/>
      <c r="AG853" s="170"/>
      <c r="AH853" s="251"/>
      <c r="AI853" s="170"/>
      <c r="AJ853" s="196"/>
      <c r="AK853" s="22"/>
      <c r="AL853" s="170"/>
      <c r="AM853" s="170"/>
      <c r="AN853" s="170"/>
      <c r="AO853" s="170"/>
      <c r="AP853" s="170"/>
      <c r="AQ853" s="22"/>
      <c r="AR853" s="22"/>
      <c r="AS853" s="22"/>
      <c r="AT853" s="170"/>
      <c r="AU853" s="170"/>
      <c r="AV853" s="170"/>
      <c r="AW853" s="170"/>
      <c r="AX853" s="170"/>
      <c r="AY853" s="170"/>
      <c r="AZ853" s="170"/>
      <c r="BA853" s="170"/>
      <c r="BB853" s="170"/>
      <c r="BC853" s="170"/>
      <c r="BD853" s="170"/>
      <c r="BE853" s="137" t="s">
        <v>115</v>
      </c>
      <c r="BF853" s="268" t="s">
        <v>406</v>
      </c>
      <c r="BG853" s="167" t="s">
        <v>407</v>
      </c>
      <c r="BH853" s="220"/>
      <c r="BI853" s="220"/>
      <c r="BJ853" s="220"/>
      <c r="BK853" s="46">
        <f t="shared" si="1"/>
        <v>1</v>
      </c>
      <c r="BL853" s="46"/>
      <c r="BM853" s="46"/>
      <c r="BN853" s="46"/>
    </row>
    <row r="854" spans="1:66" ht="12.75" hidden="1" customHeight="1">
      <c r="A854" s="22">
        <v>852</v>
      </c>
      <c r="B854" s="22" t="s">
        <v>2431</v>
      </c>
      <c r="C854" s="22" t="str">
        <f t="shared" si="0"/>
        <v>Specify - Reason Secondhand Smoke Counseling Not Done</v>
      </c>
      <c r="D854" s="24" t="s">
        <v>2431</v>
      </c>
      <c r="E854" s="22" t="s">
        <v>96</v>
      </c>
      <c r="F854" s="24" t="s">
        <v>1787</v>
      </c>
      <c r="G854" s="24" t="s">
        <v>2394</v>
      </c>
      <c r="H854" s="24"/>
      <c r="I854" s="24">
        <v>1</v>
      </c>
      <c r="J854" s="24" t="s">
        <v>2372</v>
      </c>
      <c r="K854" s="24"/>
      <c r="L854" s="24"/>
      <c r="M854" s="24"/>
      <c r="N854" s="24"/>
      <c r="O854" s="24"/>
      <c r="P854" s="170"/>
      <c r="Q854" s="170"/>
      <c r="R854" s="247" t="s">
        <v>409</v>
      </c>
      <c r="S854" s="196" t="s">
        <v>2432</v>
      </c>
      <c r="T854" s="196" t="s">
        <v>2410</v>
      </c>
      <c r="U854" s="196" t="s">
        <v>111</v>
      </c>
      <c r="V854" s="194"/>
      <c r="W854" s="194"/>
      <c r="X854" s="196"/>
      <c r="Y854" s="196"/>
      <c r="Z854" s="196"/>
      <c r="AA854" s="170"/>
      <c r="AB854" s="196" t="s">
        <v>208</v>
      </c>
      <c r="AC854" s="251"/>
      <c r="AD854" s="170"/>
      <c r="AE854" s="225"/>
      <c r="AF854" s="170"/>
      <c r="AG854" s="170"/>
      <c r="AH854" s="251"/>
      <c r="AI854" s="170"/>
      <c r="AJ854" s="196" t="s">
        <v>115</v>
      </c>
      <c r="AK854" s="22"/>
      <c r="AL854" s="170"/>
      <c r="AM854" s="170"/>
      <c r="AN854" s="170"/>
      <c r="AO854" s="170"/>
      <c r="AP854" s="170"/>
      <c r="AQ854" s="22"/>
      <c r="AR854" s="22"/>
      <c r="AS854" s="22"/>
      <c r="AT854" s="170"/>
      <c r="AU854" s="170"/>
      <c r="AV854" s="170"/>
      <c r="AW854" s="170"/>
      <c r="AX854" s="170"/>
      <c r="AY854" s="170"/>
      <c r="AZ854" s="170"/>
      <c r="BA854" s="170"/>
      <c r="BB854" s="170"/>
      <c r="BC854" s="170"/>
      <c r="BD854" s="170"/>
      <c r="BE854" s="143" t="s">
        <v>2425</v>
      </c>
      <c r="BF854" s="268" t="s">
        <v>2411</v>
      </c>
      <c r="BG854" s="167" t="s">
        <v>2412</v>
      </c>
      <c r="BH854" s="220"/>
      <c r="BI854" s="220"/>
      <c r="BJ854" s="220"/>
      <c r="BK854" s="46">
        <f t="shared" si="1"/>
        <v>1</v>
      </c>
      <c r="BL854" s="46"/>
      <c r="BM854" s="46"/>
      <c r="BN854" s="46"/>
    </row>
    <row r="855" spans="1:66" ht="12.75" hidden="1" customHeight="1">
      <c r="A855" s="22">
        <v>853</v>
      </c>
      <c r="B855" s="22" t="s">
        <v>2434</v>
      </c>
      <c r="C855" s="22" t="str">
        <f t="shared" si="0"/>
        <v>Condom counseling</v>
      </c>
      <c r="D855" s="24" t="s">
        <v>2434</v>
      </c>
      <c r="E855" s="22" t="s">
        <v>96</v>
      </c>
      <c r="F855" s="24" t="s">
        <v>1787</v>
      </c>
      <c r="G855" s="24" t="s">
        <v>2394</v>
      </c>
      <c r="H855" s="24"/>
      <c r="I855" s="24">
        <v>1</v>
      </c>
      <c r="J855" s="24" t="s">
        <v>2372</v>
      </c>
      <c r="K855" s="24"/>
      <c r="L855" s="24"/>
      <c r="M855" s="24"/>
      <c r="N855" s="24"/>
      <c r="O855" s="24"/>
      <c r="P855" s="170"/>
      <c r="Q855" s="170"/>
      <c r="R855" s="162" t="s">
        <v>2434</v>
      </c>
      <c r="S855" s="164" t="s">
        <v>2435</v>
      </c>
      <c r="T855" s="194" t="s">
        <v>2436</v>
      </c>
      <c r="U855" s="170" t="s">
        <v>202</v>
      </c>
      <c r="V855" s="193"/>
      <c r="W855" s="194"/>
      <c r="X855" s="164"/>
      <c r="Y855" s="164"/>
      <c r="Z855" s="164"/>
      <c r="AA855" s="170"/>
      <c r="AB855" s="164" t="s">
        <v>1459</v>
      </c>
      <c r="AC855" s="251"/>
      <c r="AD855" s="170"/>
      <c r="AE855" s="225"/>
      <c r="AF855" s="170"/>
      <c r="AG855" s="170"/>
      <c r="AH855" s="251"/>
      <c r="AI855" s="170"/>
      <c r="AJ855" s="194" t="s">
        <v>2375</v>
      </c>
      <c r="AK855" s="22"/>
      <c r="AL855" s="170"/>
      <c r="AM855" s="170"/>
      <c r="AN855" s="170"/>
      <c r="AO855" s="170"/>
      <c r="AP855" s="170"/>
      <c r="AQ855" s="22"/>
      <c r="AR855" s="22"/>
      <c r="AS855" s="22"/>
      <c r="AT855" s="170"/>
      <c r="AU855" s="170"/>
      <c r="AV855" s="170"/>
      <c r="AW855" s="170"/>
      <c r="AX855" s="170"/>
      <c r="AY855" s="170"/>
      <c r="AZ855" s="170"/>
      <c r="BA855" s="170"/>
      <c r="BB855" s="170"/>
      <c r="BC855" s="170"/>
      <c r="BD855" s="170"/>
      <c r="BE855" s="137" t="s">
        <v>2437</v>
      </c>
      <c r="BF855" s="445" t="s">
        <v>2398</v>
      </c>
      <c r="BG855" s="139" t="s">
        <v>2399</v>
      </c>
      <c r="BH855" s="220"/>
      <c r="BI855" s="220"/>
      <c r="BJ855" s="220"/>
      <c r="BK855" s="46">
        <f t="shared" si="1"/>
        <v>1</v>
      </c>
      <c r="BL855" s="46"/>
      <c r="BM855" s="46"/>
      <c r="BN855" s="46"/>
    </row>
    <row r="856" spans="1:66" ht="12.75" hidden="1" customHeight="1">
      <c r="A856" s="22">
        <v>854</v>
      </c>
      <c r="B856" s="22" t="s">
        <v>2527</v>
      </c>
      <c r="C856" s="22" t="e">
        <f t="shared" ca="1" si="0"/>
        <v>#NAME?</v>
      </c>
      <c r="D856" s="24" t="s">
        <v>1673</v>
      </c>
      <c r="E856" s="22" t="s">
        <v>180</v>
      </c>
      <c r="F856" s="24" t="s">
        <v>2434</v>
      </c>
      <c r="G856" s="24" t="s">
        <v>2394</v>
      </c>
      <c r="H856" s="24"/>
      <c r="I856" s="24">
        <v>1</v>
      </c>
      <c r="J856" s="24" t="s">
        <v>2372</v>
      </c>
      <c r="K856" s="24"/>
      <c r="L856" s="24"/>
      <c r="M856" s="24"/>
      <c r="N856" s="24"/>
      <c r="O856" s="24"/>
      <c r="P856" s="170"/>
      <c r="Q856" s="170"/>
      <c r="R856" s="169"/>
      <c r="S856" s="164"/>
      <c r="T856" s="164"/>
      <c r="U856" s="164"/>
      <c r="V856" s="193"/>
      <c r="W856" s="194" t="s">
        <v>1673</v>
      </c>
      <c r="X856" s="164"/>
      <c r="Y856" s="164"/>
      <c r="Z856" s="164"/>
      <c r="AA856" s="170"/>
      <c r="AB856" s="164"/>
      <c r="AC856" s="251"/>
      <c r="AD856" s="170"/>
      <c r="AE856" s="225"/>
      <c r="AF856" s="170"/>
      <c r="AG856" s="170"/>
      <c r="AH856" s="251"/>
      <c r="AI856" s="170"/>
      <c r="AJ856" s="196"/>
      <c r="AK856" s="22"/>
      <c r="AL856" s="170"/>
      <c r="AM856" s="170"/>
      <c r="AN856" s="170"/>
      <c r="AO856" s="170"/>
      <c r="AP856" s="170"/>
      <c r="AQ856" s="22"/>
      <c r="AR856" s="22"/>
      <c r="AS856" s="22"/>
      <c r="AT856" s="170"/>
      <c r="AU856" s="170"/>
      <c r="AV856" s="170"/>
      <c r="AW856" s="170"/>
      <c r="AX856" s="170"/>
      <c r="AY856" s="170"/>
      <c r="AZ856" s="170"/>
      <c r="BA856" s="170"/>
      <c r="BB856" s="170"/>
      <c r="BC856" s="170"/>
      <c r="BD856" s="170"/>
      <c r="BE856" s="137" t="s">
        <v>115</v>
      </c>
      <c r="BF856" s="445" t="s">
        <v>942</v>
      </c>
      <c r="BG856" s="167" t="s">
        <v>943</v>
      </c>
      <c r="BH856" s="220"/>
      <c r="BI856" s="220"/>
      <c r="BJ856" s="220"/>
      <c r="BK856" s="46">
        <f t="shared" si="1"/>
        <v>1</v>
      </c>
      <c r="BL856" s="46"/>
      <c r="BM856" s="46"/>
      <c r="BN856" s="46"/>
    </row>
    <row r="857" spans="1:66" ht="12.75" hidden="1" customHeight="1">
      <c r="A857" s="22">
        <v>855</v>
      </c>
      <c r="B857" s="22" t="s">
        <v>2118</v>
      </c>
      <c r="C857" s="22" t="e">
        <f t="shared" ca="1" si="0"/>
        <v>#NAME?</v>
      </c>
      <c r="D857" s="24" t="s">
        <v>1468</v>
      </c>
      <c r="E857" s="22" t="s">
        <v>180</v>
      </c>
      <c r="F857" s="24" t="s">
        <v>2434</v>
      </c>
      <c r="G857" s="24" t="s">
        <v>2394</v>
      </c>
      <c r="H857" s="24"/>
      <c r="I857" s="24">
        <v>1</v>
      </c>
      <c r="J857" s="24" t="s">
        <v>2372</v>
      </c>
      <c r="K857" s="24"/>
      <c r="L857" s="24"/>
      <c r="M857" s="24"/>
      <c r="N857" s="24"/>
      <c r="O857" s="24"/>
      <c r="P857" s="170"/>
      <c r="Q857" s="170"/>
      <c r="R857" s="169"/>
      <c r="S857" s="164"/>
      <c r="T857" s="164"/>
      <c r="U857" s="164"/>
      <c r="V857" s="163"/>
      <c r="W857" s="163" t="s">
        <v>1468</v>
      </c>
      <c r="X857" s="164"/>
      <c r="Y857" s="164"/>
      <c r="Z857" s="164"/>
      <c r="AA857" s="170"/>
      <c r="AB857" s="164"/>
      <c r="AC857" s="251"/>
      <c r="AD857" s="170"/>
      <c r="AE857" s="225"/>
      <c r="AF857" s="170"/>
      <c r="AG857" s="170"/>
      <c r="AH857" s="251"/>
      <c r="AI857" s="170"/>
      <c r="AJ857" s="196"/>
      <c r="AK857" s="22"/>
      <c r="AL857" s="170"/>
      <c r="AM857" s="170"/>
      <c r="AN857" s="170"/>
      <c r="AO857" s="170"/>
      <c r="AP857" s="170"/>
      <c r="AQ857" s="22"/>
      <c r="AR857" s="22"/>
      <c r="AS857" s="22"/>
      <c r="AT857" s="170"/>
      <c r="AU857" s="170"/>
      <c r="AV857" s="170"/>
      <c r="AW857" s="170"/>
      <c r="AX857" s="170"/>
      <c r="AY857" s="170"/>
      <c r="AZ857" s="170"/>
      <c r="BA857" s="170"/>
      <c r="BB857" s="170"/>
      <c r="BC857" s="170"/>
      <c r="BD857" s="170"/>
      <c r="BE857" s="137" t="s">
        <v>115</v>
      </c>
      <c r="BF857" s="445" t="s">
        <v>1469</v>
      </c>
      <c r="BG857" s="167" t="s">
        <v>1470</v>
      </c>
      <c r="BH857" s="220"/>
      <c r="BI857" s="220"/>
      <c r="BJ857" s="220"/>
      <c r="BK857" s="46">
        <f t="shared" si="1"/>
        <v>1</v>
      </c>
      <c r="BL857" s="46"/>
      <c r="BM857" s="46"/>
      <c r="BN857" s="46"/>
    </row>
    <row r="858" spans="1:66" ht="12.75" hidden="1" customHeight="1">
      <c r="A858" s="22">
        <v>856</v>
      </c>
      <c r="B858" s="22" t="s">
        <v>2438</v>
      </c>
      <c r="C858" s="22" t="str">
        <f t="shared" si="0"/>
        <v>Reason Condom Counseling Not Done</v>
      </c>
      <c r="D858" s="24" t="s">
        <v>2438</v>
      </c>
      <c r="E858" s="22" t="s">
        <v>96</v>
      </c>
      <c r="F858" s="24" t="s">
        <v>1787</v>
      </c>
      <c r="G858" s="24" t="s">
        <v>2394</v>
      </c>
      <c r="H858" s="24"/>
      <c r="I858" s="24">
        <v>1</v>
      </c>
      <c r="J858" s="24" t="s">
        <v>2372</v>
      </c>
      <c r="K858" s="24"/>
      <c r="L858" s="24"/>
      <c r="M858" s="24"/>
      <c r="N858" s="24"/>
      <c r="O858" s="24"/>
      <c r="P858" s="170"/>
      <c r="Q858" s="170"/>
      <c r="R858" s="169" t="s">
        <v>1376</v>
      </c>
      <c r="S858" s="164" t="s">
        <v>2440</v>
      </c>
      <c r="T858" s="164" t="s">
        <v>2441</v>
      </c>
      <c r="U858" s="164" t="s">
        <v>238</v>
      </c>
      <c r="V858" s="163"/>
      <c r="W858" s="163"/>
      <c r="X858" s="164"/>
      <c r="Y858" s="164"/>
      <c r="Z858" s="164"/>
      <c r="AA858" s="170"/>
      <c r="AB858" s="164" t="s">
        <v>208</v>
      </c>
      <c r="AC858" s="251"/>
      <c r="AD858" s="170"/>
      <c r="AE858" s="225"/>
      <c r="AF858" s="170"/>
      <c r="AG858" s="170"/>
      <c r="AH858" s="251"/>
      <c r="AI858" s="170"/>
      <c r="AJ858" s="196" t="s">
        <v>115</v>
      </c>
      <c r="AK858" s="22"/>
      <c r="AL858" s="170"/>
      <c r="AM858" s="170"/>
      <c r="AN858" s="170"/>
      <c r="AO858" s="170"/>
      <c r="AP858" s="170"/>
      <c r="AQ858" s="22"/>
      <c r="AR858" s="22"/>
      <c r="AS858" s="22"/>
      <c r="AT858" s="170"/>
      <c r="AU858" s="170"/>
      <c r="AV858" s="170"/>
      <c r="AW858" s="170"/>
      <c r="AX858" s="170"/>
      <c r="AY858" s="170"/>
      <c r="AZ858" s="170"/>
      <c r="BA858" s="170"/>
      <c r="BB858" s="170"/>
      <c r="BC858" s="170"/>
      <c r="BD858" s="170"/>
      <c r="BE858" s="137" t="s">
        <v>2437</v>
      </c>
      <c r="BF858" s="445" t="s">
        <v>2403</v>
      </c>
      <c r="BG858" s="139" t="s">
        <v>2404</v>
      </c>
      <c r="BH858" s="220"/>
      <c r="BI858" s="220"/>
      <c r="BJ858" s="220"/>
      <c r="BK858" s="46">
        <f t="shared" si="1"/>
        <v>1</v>
      </c>
      <c r="BL858" s="46"/>
      <c r="BM858" s="46"/>
      <c r="BN858" s="46"/>
    </row>
    <row r="859" spans="1:66" ht="12.75" hidden="1" customHeight="1">
      <c r="A859" s="22">
        <v>857</v>
      </c>
      <c r="B859" s="22" t="s">
        <v>3616</v>
      </c>
      <c r="C859" s="22" t="e">
        <f t="shared" ca="1" si="0"/>
        <v>#NAME?</v>
      </c>
      <c r="D859" s="24" t="s">
        <v>2405</v>
      </c>
      <c r="E859" s="22" t="s">
        <v>180</v>
      </c>
      <c r="F859" s="24" t="s">
        <v>2438</v>
      </c>
      <c r="G859" s="24" t="s">
        <v>2394</v>
      </c>
      <c r="H859" s="24"/>
      <c r="I859" s="24">
        <v>1</v>
      </c>
      <c r="J859" s="24" t="s">
        <v>2372</v>
      </c>
      <c r="K859" s="24"/>
      <c r="L859" s="24"/>
      <c r="M859" s="24"/>
      <c r="N859" s="24"/>
      <c r="O859" s="24"/>
      <c r="P859" s="170"/>
      <c r="Q859" s="170"/>
      <c r="R859" s="247"/>
      <c r="S859" s="196"/>
      <c r="T859" s="196"/>
      <c r="U859" s="196"/>
      <c r="V859" s="163"/>
      <c r="W859" s="163" t="s">
        <v>2405</v>
      </c>
      <c r="X859" s="196"/>
      <c r="Y859" s="196"/>
      <c r="Z859" s="196"/>
      <c r="AA859" s="170"/>
      <c r="AB859" s="196"/>
      <c r="AC859" s="251"/>
      <c r="AD859" s="170"/>
      <c r="AE859" s="225"/>
      <c r="AF859" s="170"/>
      <c r="AG859" s="170"/>
      <c r="AH859" s="251"/>
      <c r="AI859" s="170"/>
      <c r="AJ859" s="196"/>
      <c r="AK859" s="22"/>
      <c r="AL859" s="170"/>
      <c r="AM859" s="170"/>
      <c r="AN859" s="170"/>
      <c r="AO859" s="170"/>
      <c r="AP859" s="170"/>
      <c r="AQ859" s="22"/>
      <c r="AR859" s="22"/>
      <c r="AS859" s="22"/>
      <c r="AT859" s="170"/>
      <c r="AU859" s="170"/>
      <c r="AV859" s="170"/>
      <c r="AW859" s="170"/>
      <c r="AX859" s="170"/>
      <c r="AY859" s="170"/>
      <c r="AZ859" s="170"/>
      <c r="BA859" s="170"/>
      <c r="BB859" s="170"/>
      <c r="BC859" s="170"/>
      <c r="BD859" s="170"/>
      <c r="BE859" s="137" t="s">
        <v>115</v>
      </c>
      <c r="BF859" s="268" t="s">
        <v>2406</v>
      </c>
      <c r="BG859" s="167" t="s">
        <v>2407</v>
      </c>
      <c r="BH859" s="220"/>
      <c r="BI859" s="220"/>
      <c r="BJ859" s="220"/>
      <c r="BK859" s="46">
        <f t="shared" si="1"/>
        <v>1</v>
      </c>
      <c r="BL859" s="46"/>
      <c r="BM859" s="46"/>
      <c r="BN859" s="46"/>
    </row>
    <row r="860" spans="1:66" ht="12.75" hidden="1" customHeight="1">
      <c r="A860" s="22">
        <v>858</v>
      </c>
      <c r="B860" s="22" t="s">
        <v>535</v>
      </c>
      <c r="C860" s="22" t="e">
        <f t="shared" ca="1" si="0"/>
        <v>#NAME?</v>
      </c>
      <c r="D860" s="24" t="s">
        <v>405</v>
      </c>
      <c r="E860" s="22" t="s">
        <v>180</v>
      </c>
      <c r="F860" s="24" t="s">
        <v>2438</v>
      </c>
      <c r="G860" s="24" t="s">
        <v>2394</v>
      </c>
      <c r="H860" s="24"/>
      <c r="I860" s="24">
        <v>1</v>
      </c>
      <c r="J860" s="24" t="s">
        <v>2372</v>
      </c>
      <c r="K860" s="24"/>
      <c r="L860" s="24"/>
      <c r="M860" s="24"/>
      <c r="N860" s="24"/>
      <c r="O860" s="24"/>
      <c r="P860" s="170"/>
      <c r="Q860" s="170"/>
      <c r="R860" s="247"/>
      <c r="S860" s="196"/>
      <c r="T860" s="196"/>
      <c r="U860" s="196"/>
      <c r="V860" s="194"/>
      <c r="W860" s="194" t="s">
        <v>405</v>
      </c>
      <c r="X860" s="196"/>
      <c r="Y860" s="196"/>
      <c r="Z860" s="196"/>
      <c r="AA860" s="170"/>
      <c r="AB860" s="196"/>
      <c r="AC860" s="251"/>
      <c r="AD860" s="170"/>
      <c r="AE860" s="225"/>
      <c r="AF860" s="170"/>
      <c r="AG860" s="170"/>
      <c r="AH860" s="251"/>
      <c r="AI860" s="170"/>
      <c r="AJ860" s="196"/>
      <c r="AK860" s="22"/>
      <c r="AL860" s="170"/>
      <c r="AM860" s="170"/>
      <c r="AN860" s="170"/>
      <c r="AO860" s="170"/>
      <c r="AP860" s="170"/>
      <c r="AQ860" s="22"/>
      <c r="AR860" s="22"/>
      <c r="AS860" s="22"/>
      <c r="AT860" s="170"/>
      <c r="AU860" s="170"/>
      <c r="AV860" s="170"/>
      <c r="AW860" s="170"/>
      <c r="AX860" s="170"/>
      <c r="AY860" s="170"/>
      <c r="AZ860" s="170"/>
      <c r="BA860" s="170"/>
      <c r="BB860" s="170"/>
      <c r="BC860" s="170"/>
      <c r="BD860" s="170"/>
      <c r="BE860" s="137" t="s">
        <v>115</v>
      </c>
      <c r="BF860" s="268" t="s">
        <v>406</v>
      </c>
      <c r="BG860" s="167" t="s">
        <v>407</v>
      </c>
      <c r="BH860" s="220"/>
      <c r="BI860" s="220"/>
      <c r="BJ860" s="220"/>
      <c r="BK860" s="46">
        <f t="shared" si="1"/>
        <v>1</v>
      </c>
      <c r="BL860" s="46"/>
      <c r="BM860" s="46"/>
      <c r="BN860" s="46"/>
    </row>
    <row r="861" spans="1:66" ht="12.75" hidden="1" customHeight="1">
      <c r="A861" s="22">
        <v>859</v>
      </c>
      <c r="B861" s="22" t="s">
        <v>2442</v>
      </c>
      <c r="C861" s="22" t="str">
        <f t="shared" si="0"/>
        <v>Specify - Reason Condom Counseling Not Done</v>
      </c>
      <c r="D861" s="24" t="s">
        <v>2442</v>
      </c>
      <c r="E861" s="22" t="s">
        <v>96</v>
      </c>
      <c r="F861" s="24" t="s">
        <v>1787</v>
      </c>
      <c r="G861" s="24" t="s">
        <v>2394</v>
      </c>
      <c r="H861" s="24"/>
      <c r="I861" s="24">
        <v>1</v>
      </c>
      <c r="J861" s="24" t="s">
        <v>2372</v>
      </c>
      <c r="K861" s="24"/>
      <c r="L861" s="24"/>
      <c r="M861" s="24"/>
      <c r="N861" s="24"/>
      <c r="O861" s="24"/>
      <c r="P861" s="170"/>
      <c r="Q861" s="170"/>
      <c r="R861" s="247" t="s">
        <v>409</v>
      </c>
      <c r="S861" s="196" t="s">
        <v>2443</v>
      </c>
      <c r="T861" s="196" t="s">
        <v>2410</v>
      </c>
      <c r="U861" s="196" t="s">
        <v>111</v>
      </c>
      <c r="V861" s="194"/>
      <c r="W861" s="194"/>
      <c r="X861" s="196"/>
      <c r="Y861" s="196"/>
      <c r="Z861" s="196"/>
      <c r="AA861" s="170"/>
      <c r="AB861" s="196" t="s">
        <v>208</v>
      </c>
      <c r="AC861" s="251"/>
      <c r="AD861" s="170"/>
      <c r="AE861" s="225"/>
      <c r="AF861" s="170"/>
      <c r="AG861" s="170"/>
      <c r="AH861" s="251"/>
      <c r="AI861" s="170"/>
      <c r="AJ861" s="196" t="s">
        <v>115</v>
      </c>
      <c r="AK861" s="22"/>
      <c r="AL861" s="170"/>
      <c r="AM861" s="170"/>
      <c r="AN861" s="170"/>
      <c r="AO861" s="170"/>
      <c r="AP861" s="170"/>
      <c r="AQ861" s="22"/>
      <c r="AR861" s="22"/>
      <c r="AS861" s="22"/>
      <c r="AT861" s="170"/>
      <c r="AU861" s="170"/>
      <c r="AV861" s="170"/>
      <c r="AW861" s="170"/>
      <c r="AX861" s="170"/>
      <c r="AY861" s="170"/>
      <c r="AZ861" s="170"/>
      <c r="BA861" s="170"/>
      <c r="BB861" s="170"/>
      <c r="BC861" s="170"/>
      <c r="BD861" s="170"/>
      <c r="BE861" s="143" t="s">
        <v>2437</v>
      </c>
      <c r="BF861" s="268" t="s">
        <v>2411</v>
      </c>
      <c r="BG861" s="167" t="s">
        <v>2412</v>
      </c>
      <c r="BH861" s="220"/>
      <c r="BI861" s="220"/>
      <c r="BJ861" s="220"/>
      <c r="BK861" s="46">
        <f t="shared" si="1"/>
        <v>1</v>
      </c>
      <c r="BL861" s="46"/>
      <c r="BM861" s="46"/>
      <c r="BN861" s="46"/>
    </row>
    <row r="862" spans="1:66" ht="12.75" hidden="1" customHeight="1">
      <c r="A862" s="22">
        <v>860</v>
      </c>
      <c r="B862" s="22" t="s">
        <v>2444</v>
      </c>
      <c r="C862" s="22" t="str">
        <f t="shared" si="0"/>
        <v>Alcohol / substance use counseling</v>
      </c>
      <c r="D862" s="24" t="s">
        <v>2444</v>
      </c>
      <c r="E862" s="22" t="s">
        <v>96</v>
      </c>
      <c r="F862" s="24" t="s">
        <v>1787</v>
      </c>
      <c r="G862" s="24" t="s">
        <v>2394</v>
      </c>
      <c r="H862" s="24"/>
      <c r="I862" s="24">
        <v>1</v>
      </c>
      <c r="J862" s="24" t="s">
        <v>2372</v>
      </c>
      <c r="K862" s="24"/>
      <c r="L862" s="24"/>
      <c r="M862" s="24"/>
      <c r="N862" s="24"/>
      <c r="O862" s="24"/>
      <c r="P862" s="170"/>
      <c r="Q862" s="170"/>
      <c r="R862" s="162" t="s">
        <v>2444</v>
      </c>
      <c r="S862" s="164" t="s">
        <v>2445</v>
      </c>
      <c r="T862" s="164" t="s">
        <v>2446</v>
      </c>
      <c r="U862" s="170" t="s">
        <v>202</v>
      </c>
      <c r="V862" s="193"/>
      <c r="W862" s="194"/>
      <c r="X862" s="164"/>
      <c r="Y862" s="164"/>
      <c r="Z862" s="164"/>
      <c r="AA862" s="170"/>
      <c r="AB862" s="164" t="s">
        <v>113</v>
      </c>
      <c r="AC862" s="251"/>
      <c r="AD862" s="170"/>
      <c r="AE862" s="225"/>
      <c r="AF862" s="170"/>
      <c r="AG862" s="170"/>
      <c r="AH862" s="251"/>
      <c r="AI862" s="170"/>
      <c r="AJ862" s="194" t="s">
        <v>2375</v>
      </c>
      <c r="AK862" s="22"/>
      <c r="AL862" s="170"/>
      <c r="AM862" s="170"/>
      <c r="AN862" s="170"/>
      <c r="AO862" s="170"/>
      <c r="AP862" s="170"/>
      <c r="AQ862" s="22"/>
      <c r="AR862" s="22"/>
      <c r="AS862" s="22"/>
      <c r="AT862" s="170"/>
      <c r="AU862" s="170"/>
      <c r="AV862" s="170"/>
      <c r="AW862" s="170"/>
      <c r="AX862" s="170"/>
      <c r="AY862" s="170"/>
      <c r="AZ862" s="170"/>
      <c r="BA862" s="170"/>
      <c r="BB862" s="170"/>
      <c r="BC862" s="170"/>
      <c r="BD862" s="170"/>
      <c r="BE862" s="137" t="s">
        <v>2447</v>
      </c>
      <c r="BF862" s="445" t="s">
        <v>2398</v>
      </c>
      <c r="BG862" s="139" t="s">
        <v>2399</v>
      </c>
      <c r="BH862" s="220"/>
      <c r="BI862" s="220"/>
      <c r="BJ862" s="220"/>
      <c r="BK862" s="46">
        <f t="shared" si="1"/>
        <v>1</v>
      </c>
      <c r="BL862" s="46"/>
      <c r="BM862" s="46"/>
      <c r="BN862" s="46"/>
    </row>
    <row r="863" spans="1:66" ht="12.75" hidden="1" customHeight="1">
      <c r="A863" s="22">
        <v>861</v>
      </c>
      <c r="B863" s="22" t="s">
        <v>2527</v>
      </c>
      <c r="C863" s="22" t="e">
        <f t="shared" ca="1" si="0"/>
        <v>#NAME?</v>
      </c>
      <c r="D863" s="24" t="s">
        <v>1673</v>
      </c>
      <c r="E863" s="22" t="s">
        <v>180</v>
      </c>
      <c r="F863" s="24" t="s">
        <v>2444</v>
      </c>
      <c r="G863" s="24" t="s">
        <v>2394</v>
      </c>
      <c r="H863" s="24"/>
      <c r="I863" s="24">
        <v>1</v>
      </c>
      <c r="J863" s="24" t="s">
        <v>2372</v>
      </c>
      <c r="K863" s="24"/>
      <c r="L863" s="24"/>
      <c r="M863" s="24"/>
      <c r="N863" s="24"/>
      <c r="O863" s="24"/>
      <c r="P863" s="170"/>
      <c r="Q863" s="170"/>
      <c r="R863" s="169"/>
      <c r="S863" s="164"/>
      <c r="T863" s="164"/>
      <c r="U863" s="164"/>
      <c r="V863" s="193"/>
      <c r="W863" s="194" t="s">
        <v>1673</v>
      </c>
      <c r="X863" s="164"/>
      <c r="Y863" s="164"/>
      <c r="Z863" s="164"/>
      <c r="AA863" s="170"/>
      <c r="AB863" s="164"/>
      <c r="AC863" s="251"/>
      <c r="AD863" s="170"/>
      <c r="AE863" s="225"/>
      <c r="AF863" s="170"/>
      <c r="AG863" s="170"/>
      <c r="AH863" s="251"/>
      <c r="AI863" s="170"/>
      <c r="AJ863" s="164"/>
      <c r="AK863" s="22"/>
      <c r="AL863" s="170"/>
      <c r="AM863" s="170"/>
      <c r="AN863" s="170"/>
      <c r="AO863" s="170"/>
      <c r="AP863" s="170"/>
      <c r="AQ863" s="22"/>
      <c r="AR863" s="22"/>
      <c r="AS863" s="22"/>
      <c r="AT863" s="170"/>
      <c r="AU863" s="170"/>
      <c r="AV863" s="170"/>
      <c r="AW863" s="170"/>
      <c r="AX863" s="170"/>
      <c r="AY863" s="170"/>
      <c r="AZ863" s="170"/>
      <c r="BA863" s="170"/>
      <c r="BB863" s="170"/>
      <c r="BC863" s="170"/>
      <c r="BD863" s="170"/>
      <c r="BE863" s="137" t="s">
        <v>115</v>
      </c>
      <c r="BF863" s="445" t="s">
        <v>942</v>
      </c>
      <c r="BG863" s="167" t="s">
        <v>943</v>
      </c>
      <c r="BH863" s="220"/>
      <c r="BI863" s="220"/>
      <c r="BJ863" s="220"/>
      <c r="BK863" s="46">
        <f t="shared" si="1"/>
        <v>1</v>
      </c>
      <c r="BL863" s="46"/>
      <c r="BM863" s="46"/>
      <c r="BN863" s="46"/>
    </row>
    <row r="864" spans="1:66" ht="12.75" hidden="1" customHeight="1">
      <c r="A864" s="22">
        <v>862</v>
      </c>
      <c r="B864" s="22" t="s">
        <v>2118</v>
      </c>
      <c r="C864" s="22" t="e">
        <f t="shared" ca="1" si="0"/>
        <v>#NAME?</v>
      </c>
      <c r="D864" s="24" t="s">
        <v>1468</v>
      </c>
      <c r="E864" s="22" t="s">
        <v>180</v>
      </c>
      <c r="F864" s="24" t="s">
        <v>2444</v>
      </c>
      <c r="G864" s="24" t="s">
        <v>2394</v>
      </c>
      <c r="H864" s="24"/>
      <c r="I864" s="24">
        <v>1</v>
      </c>
      <c r="J864" s="24" t="s">
        <v>2372</v>
      </c>
      <c r="K864" s="24"/>
      <c r="L864" s="24"/>
      <c r="M864" s="24"/>
      <c r="N864" s="24"/>
      <c r="O864" s="24"/>
      <c r="P864" s="170"/>
      <c r="Q864" s="170"/>
      <c r="R864" s="169"/>
      <c r="S864" s="164"/>
      <c r="T864" s="164"/>
      <c r="U864" s="164"/>
      <c r="V864" s="163"/>
      <c r="W864" s="163" t="s">
        <v>1468</v>
      </c>
      <c r="X864" s="164"/>
      <c r="Y864" s="164"/>
      <c r="Z864" s="164"/>
      <c r="AA864" s="170"/>
      <c r="AB864" s="164"/>
      <c r="AC864" s="251"/>
      <c r="AD864" s="170"/>
      <c r="AE864" s="225"/>
      <c r="AF864" s="170"/>
      <c r="AG864" s="170"/>
      <c r="AH864" s="251"/>
      <c r="AI864" s="170"/>
      <c r="AJ864" s="164"/>
      <c r="AK864" s="22"/>
      <c r="AL864" s="170"/>
      <c r="AM864" s="170"/>
      <c r="AN864" s="170"/>
      <c r="AO864" s="170"/>
      <c r="AP864" s="170"/>
      <c r="AQ864" s="22"/>
      <c r="AR864" s="22"/>
      <c r="AS864" s="22"/>
      <c r="AT864" s="170"/>
      <c r="AU864" s="170"/>
      <c r="AV864" s="170"/>
      <c r="AW864" s="170"/>
      <c r="AX864" s="170"/>
      <c r="AY864" s="170"/>
      <c r="AZ864" s="170"/>
      <c r="BA864" s="170"/>
      <c r="BB864" s="170"/>
      <c r="BC864" s="170"/>
      <c r="BD864" s="170"/>
      <c r="BE864" s="137" t="s">
        <v>115</v>
      </c>
      <c r="BF864" s="445" t="s">
        <v>1469</v>
      </c>
      <c r="BG864" s="167" t="s">
        <v>1470</v>
      </c>
      <c r="BH864" s="220"/>
      <c r="BI864" s="220"/>
      <c r="BJ864" s="220"/>
      <c r="BK864" s="46">
        <f t="shared" si="1"/>
        <v>1</v>
      </c>
      <c r="BL864" s="46"/>
      <c r="BM864" s="46"/>
      <c r="BN864" s="46"/>
    </row>
    <row r="865" spans="1:66" ht="12.75" hidden="1" customHeight="1">
      <c r="A865" s="22">
        <v>863</v>
      </c>
      <c r="B865" s="22" t="s">
        <v>2448</v>
      </c>
      <c r="C865" s="22" t="str">
        <f t="shared" si="0"/>
        <v>Reason Alcohol/Substance Abuse Counseling Not Done</v>
      </c>
      <c r="D865" s="24" t="s">
        <v>2448</v>
      </c>
      <c r="E865" s="22" t="s">
        <v>96</v>
      </c>
      <c r="F865" s="24" t="s">
        <v>1787</v>
      </c>
      <c r="G865" s="24" t="s">
        <v>2394</v>
      </c>
      <c r="H865" s="24"/>
      <c r="I865" s="24">
        <v>1</v>
      </c>
      <c r="J865" s="24" t="s">
        <v>2372</v>
      </c>
      <c r="K865" s="24"/>
      <c r="L865" s="24"/>
      <c r="M865" s="24"/>
      <c r="N865" s="24"/>
      <c r="O865" s="24"/>
      <c r="P865" s="170"/>
      <c r="Q865" s="170"/>
      <c r="R865" s="169" t="s">
        <v>1376</v>
      </c>
      <c r="S865" s="164" t="s">
        <v>2449</v>
      </c>
      <c r="T865" s="164" t="s">
        <v>2450</v>
      </c>
      <c r="U865" s="164" t="s">
        <v>238</v>
      </c>
      <c r="V865" s="163"/>
      <c r="W865" s="163"/>
      <c r="X865" s="164"/>
      <c r="Y865" s="164"/>
      <c r="Z865" s="164"/>
      <c r="AA865" s="170"/>
      <c r="AB865" s="164" t="s">
        <v>208</v>
      </c>
      <c r="AC865" s="251"/>
      <c r="AD865" s="170"/>
      <c r="AE865" s="225"/>
      <c r="AF865" s="170"/>
      <c r="AG865" s="170"/>
      <c r="AH865" s="251"/>
      <c r="AI865" s="170"/>
      <c r="AJ865" s="164" t="s">
        <v>115</v>
      </c>
      <c r="AK865" s="22"/>
      <c r="AL865" s="170"/>
      <c r="AM865" s="170"/>
      <c r="AN865" s="170"/>
      <c r="AO865" s="170"/>
      <c r="AP865" s="170"/>
      <c r="AQ865" s="22"/>
      <c r="AR865" s="22"/>
      <c r="AS865" s="22"/>
      <c r="AT865" s="170"/>
      <c r="AU865" s="170"/>
      <c r="AV865" s="170"/>
      <c r="AW865" s="170"/>
      <c r="AX865" s="170"/>
      <c r="AY865" s="170"/>
      <c r="AZ865" s="170"/>
      <c r="BA865" s="170"/>
      <c r="BB865" s="170"/>
      <c r="BC865" s="170"/>
      <c r="BD865" s="170"/>
      <c r="BE865" s="137" t="s">
        <v>2447</v>
      </c>
      <c r="BF865" s="445" t="s">
        <v>2403</v>
      </c>
      <c r="BG865" s="139" t="s">
        <v>2404</v>
      </c>
      <c r="BH865" s="220"/>
      <c r="BI865" s="220"/>
      <c r="BJ865" s="220"/>
      <c r="BK865" s="46">
        <f t="shared" si="1"/>
        <v>1</v>
      </c>
      <c r="BL865" s="46"/>
      <c r="BM865" s="46"/>
      <c r="BN865" s="46"/>
    </row>
    <row r="866" spans="1:66" ht="12.75" hidden="1" customHeight="1">
      <c r="A866" s="22">
        <v>864</v>
      </c>
      <c r="B866" s="22" t="s">
        <v>3616</v>
      </c>
      <c r="C866" s="22" t="e">
        <f t="shared" ca="1" si="0"/>
        <v>#NAME?</v>
      </c>
      <c r="D866" s="24" t="s">
        <v>2405</v>
      </c>
      <c r="E866" s="22" t="s">
        <v>180</v>
      </c>
      <c r="F866" s="24" t="s">
        <v>2448</v>
      </c>
      <c r="G866" s="24" t="s">
        <v>2394</v>
      </c>
      <c r="H866" s="24"/>
      <c r="I866" s="24">
        <v>1</v>
      </c>
      <c r="J866" s="24" t="s">
        <v>2372</v>
      </c>
      <c r="K866" s="24"/>
      <c r="L866" s="24"/>
      <c r="M866" s="24"/>
      <c r="N866" s="24"/>
      <c r="O866" s="24"/>
      <c r="P866" s="170"/>
      <c r="Q866" s="170"/>
      <c r="R866" s="247"/>
      <c r="S866" s="196"/>
      <c r="T866" s="196"/>
      <c r="U866" s="196"/>
      <c r="V866" s="194"/>
      <c r="W866" s="194" t="s">
        <v>2405</v>
      </c>
      <c r="X866" s="196"/>
      <c r="Y866" s="196"/>
      <c r="Z866" s="196"/>
      <c r="AA866" s="170"/>
      <c r="AB866" s="196"/>
      <c r="AC866" s="251"/>
      <c r="AD866" s="170"/>
      <c r="AE866" s="225"/>
      <c r="AF866" s="170"/>
      <c r="AG866" s="170"/>
      <c r="AH866" s="251"/>
      <c r="AI866" s="170"/>
      <c r="AJ866" s="196"/>
      <c r="AK866" s="22"/>
      <c r="AL866" s="170"/>
      <c r="AM866" s="170"/>
      <c r="AN866" s="170"/>
      <c r="AO866" s="170"/>
      <c r="AP866" s="170"/>
      <c r="AQ866" s="22"/>
      <c r="AR866" s="22"/>
      <c r="AS866" s="22"/>
      <c r="AT866" s="170"/>
      <c r="AU866" s="170"/>
      <c r="AV866" s="170"/>
      <c r="AW866" s="170"/>
      <c r="AX866" s="170"/>
      <c r="AY866" s="170"/>
      <c r="AZ866" s="170"/>
      <c r="BA866" s="170"/>
      <c r="BB866" s="170"/>
      <c r="BC866" s="170"/>
      <c r="BD866" s="170"/>
      <c r="BE866" s="143" t="s">
        <v>115</v>
      </c>
      <c r="BF866" s="268" t="s">
        <v>2406</v>
      </c>
      <c r="BG866" s="167" t="s">
        <v>2407</v>
      </c>
      <c r="BH866" s="220"/>
      <c r="BI866" s="220"/>
      <c r="BJ866" s="220"/>
      <c r="BK866" s="46">
        <f t="shared" si="1"/>
        <v>1</v>
      </c>
      <c r="BL866" s="46"/>
      <c r="BM866" s="46"/>
      <c r="BN866" s="46"/>
    </row>
    <row r="867" spans="1:66" ht="12.75" hidden="1" customHeight="1">
      <c r="A867" s="22">
        <v>865</v>
      </c>
      <c r="B867" s="22" t="s">
        <v>535</v>
      </c>
      <c r="C867" s="22" t="e">
        <f t="shared" ca="1" si="0"/>
        <v>#NAME?</v>
      </c>
      <c r="D867" s="24" t="s">
        <v>405</v>
      </c>
      <c r="E867" s="22" t="s">
        <v>180</v>
      </c>
      <c r="F867" s="24" t="s">
        <v>2448</v>
      </c>
      <c r="G867" s="24" t="s">
        <v>2394</v>
      </c>
      <c r="H867" s="24"/>
      <c r="I867" s="24">
        <v>1</v>
      </c>
      <c r="J867" s="24" t="s">
        <v>2372</v>
      </c>
      <c r="K867" s="24"/>
      <c r="L867" s="24"/>
      <c r="M867" s="24"/>
      <c r="N867" s="24"/>
      <c r="O867" s="24"/>
      <c r="P867" s="170"/>
      <c r="Q867" s="170"/>
      <c r="R867" s="247"/>
      <c r="S867" s="196"/>
      <c r="T867" s="196"/>
      <c r="U867" s="196"/>
      <c r="V867" s="194"/>
      <c r="W867" s="194" t="s">
        <v>405</v>
      </c>
      <c r="X867" s="196"/>
      <c r="Y867" s="196"/>
      <c r="Z867" s="196"/>
      <c r="AA867" s="170"/>
      <c r="AB867" s="196"/>
      <c r="AC867" s="251"/>
      <c r="AD867" s="170"/>
      <c r="AE867" s="225"/>
      <c r="AF867" s="170"/>
      <c r="AG867" s="170"/>
      <c r="AH867" s="251"/>
      <c r="AI867" s="170"/>
      <c r="AJ867" s="196"/>
      <c r="AK867" s="22"/>
      <c r="AL867" s="170"/>
      <c r="AM867" s="170"/>
      <c r="AN867" s="170"/>
      <c r="AO867" s="170"/>
      <c r="AP867" s="170"/>
      <c r="AQ867" s="22"/>
      <c r="AR867" s="22"/>
      <c r="AS867" s="22"/>
      <c r="AT867" s="170"/>
      <c r="AU867" s="170"/>
      <c r="AV867" s="170"/>
      <c r="AW867" s="170"/>
      <c r="AX867" s="170"/>
      <c r="AY867" s="170"/>
      <c r="AZ867" s="170"/>
      <c r="BA867" s="170"/>
      <c r="BB867" s="170"/>
      <c r="BC867" s="170"/>
      <c r="BD867" s="170"/>
      <c r="BE867" s="143" t="s">
        <v>115</v>
      </c>
      <c r="BF867" s="268" t="s">
        <v>406</v>
      </c>
      <c r="BG867" s="167" t="s">
        <v>407</v>
      </c>
      <c r="BH867" s="220"/>
      <c r="BI867" s="220"/>
      <c r="BJ867" s="220"/>
      <c r="BK867" s="46">
        <f t="shared" si="1"/>
        <v>1</v>
      </c>
      <c r="BL867" s="46"/>
      <c r="BM867" s="46"/>
      <c r="BN867" s="46"/>
    </row>
    <row r="868" spans="1:66" ht="12.75" hidden="1" customHeight="1">
      <c r="A868" s="22">
        <v>866</v>
      </c>
      <c r="B868" s="22" t="s">
        <v>2451</v>
      </c>
      <c r="C868" s="22" t="str">
        <f t="shared" si="0"/>
        <v>Specify - Reason Alcohol/Substance Abuse Counseling Not Done</v>
      </c>
      <c r="D868" s="24" t="s">
        <v>2451</v>
      </c>
      <c r="E868" s="22" t="s">
        <v>96</v>
      </c>
      <c r="F868" s="24" t="s">
        <v>1787</v>
      </c>
      <c r="G868" s="24" t="s">
        <v>2394</v>
      </c>
      <c r="H868" s="24"/>
      <c r="I868" s="24">
        <v>1</v>
      </c>
      <c r="J868" s="24" t="s">
        <v>2372</v>
      </c>
      <c r="K868" s="24"/>
      <c r="L868" s="24"/>
      <c r="M868" s="24"/>
      <c r="N868" s="24"/>
      <c r="O868" s="24"/>
      <c r="P868" s="170"/>
      <c r="Q868" s="170"/>
      <c r="R868" s="247" t="s">
        <v>409</v>
      </c>
      <c r="S868" s="196" t="s">
        <v>2452</v>
      </c>
      <c r="T868" s="196" t="s">
        <v>2410</v>
      </c>
      <c r="U868" s="196" t="s">
        <v>111</v>
      </c>
      <c r="V868" s="194"/>
      <c r="W868" s="194"/>
      <c r="X868" s="196"/>
      <c r="Y868" s="196"/>
      <c r="Z868" s="196"/>
      <c r="AA868" s="170"/>
      <c r="AB868" s="196" t="s">
        <v>208</v>
      </c>
      <c r="AC868" s="251"/>
      <c r="AD868" s="170"/>
      <c r="AE868" s="225"/>
      <c r="AF868" s="170"/>
      <c r="AG868" s="170"/>
      <c r="AH868" s="251"/>
      <c r="AI868" s="170"/>
      <c r="AJ868" s="196" t="s">
        <v>115</v>
      </c>
      <c r="AK868" s="22"/>
      <c r="AL868" s="170"/>
      <c r="AM868" s="170"/>
      <c r="AN868" s="170"/>
      <c r="AO868" s="170"/>
      <c r="AP868" s="170"/>
      <c r="AQ868" s="22"/>
      <c r="AR868" s="22"/>
      <c r="AS868" s="22"/>
      <c r="AT868" s="170"/>
      <c r="AU868" s="170"/>
      <c r="AV868" s="170"/>
      <c r="AW868" s="170"/>
      <c r="AX868" s="170"/>
      <c r="AY868" s="170"/>
      <c r="AZ868" s="170"/>
      <c r="BA868" s="170"/>
      <c r="BB868" s="170"/>
      <c r="BC868" s="170"/>
      <c r="BD868" s="170"/>
      <c r="BE868" s="143" t="s">
        <v>2447</v>
      </c>
      <c r="BF868" s="268" t="s">
        <v>2411</v>
      </c>
      <c r="BG868" s="167" t="s">
        <v>2412</v>
      </c>
      <c r="BH868" s="220"/>
      <c r="BI868" s="220"/>
      <c r="BJ868" s="220"/>
      <c r="BK868" s="46">
        <f t="shared" si="1"/>
        <v>1</v>
      </c>
      <c r="BL868" s="46"/>
      <c r="BM868" s="46"/>
      <c r="BN868" s="46"/>
    </row>
    <row r="869" spans="1:66" ht="12.75" hidden="1" customHeight="1">
      <c r="A869" s="22">
        <v>867</v>
      </c>
      <c r="B869" s="22" t="s">
        <v>2453</v>
      </c>
      <c r="C869" s="22" t="str">
        <f t="shared" si="0"/>
        <v>Non-pharma measures to relieve nausea and vomiting counseling</v>
      </c>
      <c r="D869" s="24" t="s">
        <v>2453</v>
      </c>
      <c r="E869" s="22" t="s">
        <v>96</v>
      </c>
      <c r="F869" s="24" t="s">
        <v>1787</v>
      </c>
      <c r="G869" s="24" t="s">
        <v>2454</v>
      </c>
      <c r="H869" s="24"/>
      <c r="I869" s="24">
        <v>1</v>
      </c>
      <c r="J869" s="24" t="s">
        <v>2372</v>
      </c>
      <c r="K869" s="24"/>
      <c r="L869" s="24"/>
      <c r="M869" s="24"/>
      <c r="N869" s="24"/>
      <c r="O869" s="24"/>
      <c r="P869" s="170"/>
      <c r="Q869" s="170"/>
      <c r="R869" s="290" t="s">
        <v>2453</v>
      </c>
      <c r="S869" s="194" t="s">
        <v>2455</v>
      </c>
      <c r="T869" s="194" t="s">
        <v>2456</v>
      </c>
      <c r="U869" s="242" t="s">
        <v>202</v>
      </c>
      <c r="V869" s="194"/>
      <c r="W869" s="194"/>
      <c r="X869" s="196"/>
      <c r="Y869" s="196"/>
      <c r="Z869" s="164"/>
      <c r="AA869" s="170"/>
      <c r="AB869" s="194" t="s">
        <v>113</v>
      </c>
      <c r="AC869" s="251"/>
      <c r="AD869" s="170"/>
      <c r="AE869" s="225"/>
      <c r="AF869" s="170"/>
      <c r="AG869" s="170"/>
      <c r="AH869" s="251"/>
      <c r="AI869" s="170"/>
      <c r="AJ869" s="194" t="s">
        <v>2375</v>
      </c>
      <c r="AK869" s="22"/>
      <c r="AL869" s="170"/>
      <c r="AM869" s="170"/>
      <c r="AN869" s="170"/>
      <c r="AO869" s="170"/>
      <c r="AP869" s="170"/>
      <c r="AQ869" s="22"/>
      <c r="AR869" s="22"/>
      <c r="AS869" s="22"/>
      <c r="AT869" s="170"/>
      <c r="AU869" s="170"/>
      <c r="AV869" s="170"/>
      <c r="AW869" s="170"/>
      <c r="AX869" s="170"/>
      <c r="AY869" s="170"/>
      <c r="AZ869" s="170"/>
      <c r="BA869" s="170"/>
      <c r="BB869" s="170"/>
      <c r="BC869" s="170"/>
      <c r="BD869" s="170"/>
      <c r="BE869" s="137" t="s">
        <v>2457</v>
      </c>
      <c r="BF869" s="445" t="s">
        <v>2398</v>
      </c>
      <c r="BG869" s="139" t="s">
        <v>2399</v>
      </c>
      <c r="BH869" s="220"/>
      <c r="BI869" s="220"/>
      <c r="BJ869" s="220"/>
      <c r="BK869" s="46">
        <f t="shared" si="1"/>
        <v>1</v>
      </c>
      <c r="BL869" s="46"/>
      <c r="BM869" s="46"/>
      <c r="BN869" s="46"/>
    </row>
    <row r="870" spans="1:66" ht="12.75" hidden="1" customHeight="1">
      <c r="A870" s="22">
        <v>868</v>
      </c>
      <c r="B870" s="22" t="s">
        <v>2527</v>
      </c>
      <c r="C870" s="22" t="e">
        <f t="shared" ca="1" si="0"/>
        <v>#NAME?</v>
      </c>
      <c r="D870" s="24" t="s">
        <v>1673</v>
      </c>
      <c r="E870" s="22" t="s">
        <v>180</v>
      </c>
      <c r="F870" s="24" t="s">
        <v>2453</v>
      </c>
      <c r="G870" s="24" t="s">
        <v>2454</v>
      </c>
      <c r="H870" s="24"/>
      <c r="I870" s="24">
        <v>1</v>
      </c>
      <c r="J870" s="24" t="s">
        <v>2372</v>
      </c>
      <c r="K870" s="24"/>
      <c r="L870" s="24"/>
      <c r="M870" s="24"/>
      <c r="N870" s="24"/>
      <c r="O870" s="24"/>
      <c r="P870" s="170"/>
      <c r="Q870" s="170"/>
      <c r="R870" s="290"/>
      <c r="S870" s="194"/>
      <c r="T870" s="164"/>
      <c r="U870" s="242"/>
      <c r="V870" s="194"/>
      <c r="W870" s="194" t="s">
        <v>1673</v>
      </c>
      <c r="X870" s="196"/>
      <c r="Y870" s="196"/>
      <c r="Z870" s="164"/>
      <c r="AA870" s="170"/>
      <c r="AB870" s="194"/>
      <c r="AC870" s="251"/>
      <c r="AD870" s="170"/>
      <c r="AE870" s="225"/>
      <c r="AF870" s="170"/>
      <c r="AG870" s="170"/>
      <c r="AH870" s="251"/>
      <c r="AI870" s="170"/>
      <c r="AJ870" s="164"/>
      <c r="AK870" s="22"/>
      <c r="AL870" s="170"/>
      <c r="AM870" s="170"/>
      <c r="AN870" s="170"/>
      <c r="AO870" s="170"/>
      <c r="AP870" s="170"/>
      <c r="AQ870" s="22"/>
      <c r="AR870" s="22"/>
      <c r="AS870" s="22"/>
      <c r="AT870" s="170"/>
      <c r="AU870" s="170"/>
      <c r="AV870" s="170"/>
      <c r="AW870" s="170"/>
      <c r="AX870" s="170"/>
      <c r="AY870" s="170"/>
      <c r="AZ870" s="170"/>
      <c r="BA870" s="170"/>
      <c r="BB870" s="170"/>
      <c r="BC870" s="170"/>
      <c r="BD870" s="170"/>
      <c r="BE870" s="137" t="s">
        <v>115</v>
      </c>
      <c r="BF870" s="445" t="s">
        <v>942</v>
      </c>
      <c r="BG870" s="167" t="s">
        <v>943</v>
      </c>
      <c r="BH870" s="220"/>
      <c r="BI870" s="220"/>
      <c r="BJ870" s="220"/>
      <c r="BK870" s="46">
        <f t="shared" si="1"/>
        <v>1</v>
      </c>
      <c r="BL870" s="46"/>
      <c r="BM870" s="46"/>
      <c r="BN870" s="46"/>
    </row>
    <row r="871" spans="1:66" ht="12.75" hidden="1" customHeight="1">
      <c r="A871" s="22">
        <v>869</v>
      </c>
      <c r="B871" s="22" t="s">
        <v>2118</v>
      </c>
      <c r="C871" s="22" t="e">
        <f t="shared" ca="1" si="0"/>
        <v>#NAME?</v>
      </c>
      <c r="D871" s="24" t="s">
        <v>1468</v>
      </c>
      <c r="E871" s="22" t="s">
        <v>180</v>
      </c>
      <c r="F871" s="24" t="s">
        <v>2453</v>
      </c>
      <c r="G871" s="24" t="s">
        <v>2454</v>
      </c>
      <c r="H871" s="24"/>
      <c r="I871" s="24">
        <v>1</v>
      </c>
      <c r="J871" s="24" t="s">
        <v>2372</v>
      </c>
      <c r="K871" s="24"/>
      <c r="L871" s="24"/>
      <c r="M871" s="24"/>
      <c r="N871" s="24"/>
      <c r="O871" s="24"/>
      <c r="P871" s="170"/>
      <c r="Q871" s="170"/>
      <c r="R871" s="290"/>
      <c r="S871" s="194"/>
      <c r="T871" s="164"/>
      <c r="U871" s="242"/>
      <c r="V871" s="163"/>
      <c r="W871" s="163" t="s">
        <v>1468</v>
      </c>
      <c r="X871" s="196"/>
      <c r="Y871" s="196"/>
      <c r="Z871" s="164"/>
      <c r="AA871" s="170"/>
      <c r="AB871" s="194"/>
      <c r="AC871" s="251"/>
      <c r="AD871" s="170"/>
      <c r="AE871" s="225"/>
      <c r="AF871" s="170"/>
      <c r="AG871" s="170"/>
      <c r="AH871" s="251"/>
      <c r="AI871" s="170"/>
      <c r="AJ871" s="164"/>
      <c r="AK871" s="22"/>
      <c r="AL871" s="170"/>
      <c r="AM871" s="170"/>
      <c r="AN871" s="170"/>
      <c r="AO871" s="170"/>
      <c r="AP871" s="170"/>
      <c r="AQ871" s="22"/>
      <c r="AR871" s="22"/>
      <c r="AS871" s="22"/>
      <c r="AT871" s="170"/>
      <c r="AU871" s="170"/>
      <c r="AV871" s="170"/>
      <c r="AW871" s="170"/>
      <c r="AX871" s="170"/>
      <c r="AY871" s="170"/>
      <c r="AZ871" s="170"/>
      <c r="BA871" s="170"/>
      <c r="BB871" s="170"/>
      <c r="BC871" s="170"/>
      <c r="BD871" s="170"/>
      <c r="BE871" s="137" t="s">
        <v>115</v>
      </c>
      <c r="BF871" s="445" t="s">
        <v>1469</v>
      </c>
      <c r="BG871" s="167" t="s">
        <v>1470</v>
      </c>
      <c r="BH871" s="220"/>
      <c r="BI871" s="220"/>
      <c r="BJ871" s="220"/>
      <c r="BK871" s="46">
        <f t="shared" si="1"/>
        <v>1</v>
      </c>
      <c r="BL871" s="46"/>
      <c r="BM871" s="46"/>
      <c r="BN871" s="46"/>
    </row>
    <row r="872" spans="1:66" ht="12.75" hidden="1" customHeight="1">
      <c r="A872" s="22">
        <v>870</v>
      </c>
      <c r="B872" s="22" t="s">
        <v>2458</v>
      </c>
      <c r="C872" s="22" t="str">
        <f t="shared" si="0"/>
        <v>Reason Non-pharma measures Not Done</v>
      </c>
      <c r="D872" s="24" t="s">
        <v>2458</v>
      </c>
      <c r="E872" s="22" t="s">
        <v>96</v>
      </c>
      <c r="F872" s="24" t="s">
        <v>1787</v>
      </c>
      <c r="G872" s="24" t="s">
        <v>2454</v>
      </c>
      <c r="H872" s="24"/>
      <c r="I872" s="24">
        <v>1</v>
      </c>
      <c r="J872" s="24" t="s">
        <v>2372</v>
      </c>
      <c r="K872" s="24"/>
      <c r="L872" s="24"/>
      <c r="M872" s="24"/>
      <c r="N872" s="24"/>
      <c r="O872" s="24"/>
      <c r="P872" s="170"/>
      <c r="Q872" s="170"/>
      <c r="R872" s="290" t="s">
        <v>1376</v>
      </c>
      <c r="S872" s="194" t="s">
        <v>2459</v>
      </c>
      <c r="T872" s="164" t="s">
        <v>2460</v>
      </c>
      <c r="U872" s="242" t="s">
        <v>202</v>
      </c>
      <c r="V872" s="163"/>
      <c r="W872" s="163"/>
      <c r="X872" s="196"/>
      <c r="Y872" s="196"/>
      <c r="Z872" s="164"/>
      <c r="AA872" s="170"/>
      <c r="AB872" s="194" t="s">
        <v>208</v>
      </c>
      <c r="AC872" s="251"/>
      <c r="AD872" s="170"/>
      <c r="AE872" s="225"/>
      <c r="AF872" s="170"/>
      <c r="AG872" s="170"/>
      <c r="AH872" s="251"/>
      <c r="AI872" s="170"/>
      <c r="AJ872" s="164" t="s">
        <v>115</v>
      </c>
      <c r="AK872" s="22"/>
      <c r="AL872" s="170"/>
      <c r="AM872" s="170"/>
      <c r="AN872" s="170"/>
      <c r="AO872" s="170"/>
      <c r="AP872" s="170"/>
      <c r="AQ872" s="22"/>
      <c r="AR872" s="22"/>
      <c r="AS872" s="22"/>
      <c r="AT872" s="170"/>
      <c r="AU872" s="170"/>
      <c r="AV872" s="170"/>
      <c r="AW872" s="170"/>
      <c r="AX872" s="170"/>
      <c r="AY872" s="170"/>
      <c r="AZ872" s="170"/>
      <c r="BA872" s="170"/>
      <c r="BB872" s="170"/>
      <c r="BC872" s="170"/>
      <c r="BD872" s="170"/>
      <c r="BE872" s="137" t="s">
        <v>2457</v>
      </c>
      <c r="BF872" s="445" t="s">
        <v>2403</v>
      </c>
      <c r="BG872" s="139" t="s">
        <v>2404</v>
      </c>
      <c r="BH872" s="220"/>
      <c r="BI872" s="220"/>
      <c r="BJ872" s="220"/>
      <c r="BK872" s="46">
        <f t="shared" si="1"/>
        <v>1</v>
      </c>
      <c r="BL872" s="46"/>
      <c r="BM872" s="46"/>
      <c r="BN872" s="46"/>
    </row>
    <row r="873" spans="1:66" ht="12.75" hidden="1" customHeight="1">
      <c r="A873" s="22">
        <v>871</v>
      </c>
      <c r="B873" s="22" t="s">
        <v>3616</v>
      </c>
      <c r="C873" s="22" t="e">
        <f t="shared" ca="1" si="0"/>
        <v>#NAME?</v>
      </c>
      <c r="D873" s="24" t="s">
        <v>2405</v>
      </c>
      <c r="E873" s="22" t="s">
        <v>180</v>
      </c>
      <c r="F873" s="24" t="s">
        <v>2458</v>
      </c>
      <c r="G873" s="24" t="s">
        <v>2454</v>
      </c>
      <c r="H873" s="24"/>
      <c r="I873" s="24">
        <v>1</v>
      </c>
      <c r="J873" s="24" t="s">
        <v>2372</v>
      </c>
      <c r="K873" s="24"/>
      <c r="L873" s="24"/>
      <c r="M873" s="24"/>
      <c r="N873" s="24"/>
      <c r="O873" s="24"/>
      <c r="P873" s="170"/>
      <c r="Q873" s="170"/>
      <c r="R873" s="290"/>
      <c r="S873" s="194"/>
      <c r="T873" s="164"/>
      <c r="U873" s="242"/>
      <c r="V873" s="194"/>
      <c r="W873" s="194" t="s">
        <v>2405</v>
      </c>
      <c r="X873" s="196"/>
      <c r="Y873" s="196"/>
      <c r="Z873" s="164"/>
      <c r="AA873" s="170"/>
      <c r="AB873" s="194"/>
      <c r="AC873" s="251"/>
      <c r="AD873" s="170"/>
      <c r="AE873" s="225"/>
      <c r="AF873" s="170"/>
      <c r="AG873" s="170"/>
      <c r="AH873" s="251"/>
      <c r="AI873" s="170"/>
      <c r="AJ873" s="196"/>
      <c r="AK873" s="22"/>
      <c r="AL873" s="170"/>
      <c r="AM873" s="170"/>
      <c r="AN873" s="170"/>
      <c r="AO873" s="170"/>
      <c r="AP873" s="170"/>
      <c r="AQ873" s="22"/>
      <c r="AR873" s="22"/>
      <c r="AS873" s="22"/>
      <c r="AT873" s="170"/>
      <c r="AU873" s="170"/>
      <c r="AV873" s="170"/>
      <c r="AW873" s="170"/>
      <c r="AX873" s="170"/>
      <c r="AY873" s="170"/>
      <c r="AZ873" s="170"/>
      <c r="BA873" s="170"/>
      <c r="BB873" s="170"/>
      <c r="BC873" s="170"/>
      <c r="BD873" s="170"/>
      <c r="BE873" s="143" t="s">
        <v>115</v>
      </c>
      <c r="BF873" s="268" t="s">
        <v>2406</v>
      </c>
      <c r="BG873" s="167" t="s">
        <v>2407</v>
      </c>
      <c r="BH873" s="220"/>
      <c r="BI873" s="220"/>
      <c r="BJ873" s="220"/>
      <c r="BK873" s="46">
        <f t="shared" si="1"/>
        <v>1</v>
      </c>
      <c r="BL873" s="46"/>
      <c r="BM873" s="46"/>
      <c r="BN873" s="46"/>
    </row>
    <row r="874" spans="1:66" ht="12.75" hidden="1" customHeight="1">
      <c r="A874" s="22">
        <v>872</v>
      </c>
      <c r="B874" s="22" t="s">
        <v>535</v>
      </c>
      <c r="C874" s="22" t="e">
        <f t="shared" ca="1" si="0"/>
        <v>#NAME?</v>
      </c>
      <c r="D874" s="24" t="s">
        <v>405</v>
      </c>
      <c r="E874" s="22" t="s">
        <v>180</v>
      </c>
      <c r="F874" s="24" t="s">
        <v>2458</v>
      </c>
      <c r="G874" s="24" t="s">
        <v>2454</v>
      </c>
      <c r="H874" s="24"/>
      <c r="I874" s="24">
        <v>1</v>
      </c>
      <c r="J874" s="24" t="s">
        <v>2372</v>
      </c>
      <c r="K874" s="24"/>
      <c r="L874" s="24"/>
      <c r="M874" s="24"/>
      <c r="N874" s="24"/>
      <c r="O874" s="24"/>
      <c r="P874" s="170"/>
      <c r="Q874" s="170"/>
      <c r="R874" s="290"/>
      <c r="S874" s="194"/>
      <c r="T874" s="164"/>
      <c r="U874" s="242"/>
      <c r="V874" s="194"/>
      <c r="W874" s="194" t="s">
        <v>405</v>
      </c>
      <c r="X874" s="196"/>
      <c r="Y874" s="196"/>
      <c r="Z874" s="164"/>
      <c r="AA874" s="170"/>
      <c r="AB874" s="194"/>
      <c r="AC874" s="251"/>
      <c r="AD874" s="170"/>
      <c r="AE874" s="225"/>
      <c r="AF874" s="170"/>
      <c r="AG874" s="170"/>
      <c r="AH874" s="251"/>
      <c r="AI874" s="170"/>
      <c r="AJ874" s="196"/>
      <c r="AK874" s="22"/>
      <c r="AL874" s="170"/>
      <c r="AM874" s="170"/>
      <c r="AN874" s="170"/>
      <c r="AO874" s="170"/>
      <c r="AP874" s="170"/>
      <c r="AQ874" s="22"/>
      <c r="AR874" s="22"/>
      <c r="AS874" s="22"/>
      <c r="AT874" s="170"/>
      <c r="AU874" s="170"/>
      <c r="AV874" s="170"/>
      <c r="AW874" s="170"/>
      <c r="AX874" s="170"/>
      <c r="AY874" s="170"/>
      <c r="AZ874" s="170"/>
      <c r="BA874" s="170"/>
      <c r="BB874" s="170"/>
      <c r="BC874" s="170"/>
      <c r="BD874" s="170"/>
      <c r="BE874" s="143" t="s">
        <v>115</v>
      </c>
      <c r="BF874" s="268" t="s">
        <v>406</v>
      </c>
      <c r="BG874" s="167" t="s">
        <v>407</v>
      </c>
      <c r="BH874" s="220"/>
      <c r="BI874" s="220"/>
      <c r="BJ874" s="220"/>
      <c r="BK874" s="46">
        <f t="shared" si="1"/>
        <v>1</v>
      </c>
      <c r="BL874" s="46"/>
      <c r="BM874" s="46"/>
      <c r="BN874" s="46"/>
    </row>
    <row r="875" spans="1:66" ht="12.75" hidden="1" customHeight="1">
      <c r="A875" s="22">
        <v>873</v>
      </c>
      <c r="B875" s="22" t="s">
        <v>2461</v>
      </c>
      <c r="C875" s="22" t="str">
        <f t="shared" si="0"/>
        <v>Specify - Reason Non-pharma measures Not Done</v>
      </c>
      <c r="D875" s="24" t="s">
        <v>2461</v>
      </c>
      <c r="E875" s="22" t="s">
        <v>96</v>
      </c>
      <c r="F875" s="24" t="s">
        <v>1787</v>
      </c>
      <c r="G875" s="24" t="s">
        <v>2454</v>
      </c>
      <c r="H875" s="24"/>
      <c r="I875" s="24">
        <v>1</v>
      </c>
      <c r="J875" s="24" t="s">
        <v>2372</v>
      </c>
      <c r="K875" s="24"/>
      <c r="L875" s="24"/>
      <c r="M875" s="24"/>
      <c r="N875" s="24"/>
      <c r="O875" s="24"/>
      <c r="P875" s="170"/>
      <c r="Q875" s="170"/>
      <c r="R875" s="290" t="s">
        <v>409</v>
      </c>
      <c r="S875" s="194" t="s">
        <v>2462</v>
      </c>
      <c r="T875" s="164" t="s">
        <v>2410</v>
      </c>
      <c r="U875" s="242" t="s">
        <v>111</v>
      </c>
      <c r="V875" s="194"/>
      <c r="W875" s="194"/>
      <c r="X875" s="196"/>
      <c r="Y875" s="196"/>
      <c r="Z875" s="164"/>
      <c r="AA875" s="170"/>
      <c r="AB875" s="194" t="s">
        <v>208</v>
      </c>
      <c r="AC875" s="251"/>
      <c r="AD875" s="170"/>
      <c r="AE875" s="225"/>
      <c r="AF875" s="170"/>
      <c r="AG875" s="170"/>
      <c r="AH875" s="251"/>
      <c r="AI875" s="170"/>
      <c r="AJ875" s="196" t="s">
        <v>115</v>
      </c>
      <c r="AK875" s="22"/>
      <c r="AL875" s="170"/>
      <c r="AM875" s="170"/>
      <c r="AN875" s="170"/>
      <c r="AO875" s="170"/>
      <c r="AP875" s="170"/>
      <c r="AQ875" s="22"/>
      <c r="AR875" s="22"/>
      <c r="AS875" s="22"/>
      <c r="AT875" s="170"/>
      <c r="AU875" s="170"/>
      <c r="AV875" s="170"/>
      <c r="AW875" s="170"/>
      <c r="AX875" s="170"/>
      <c r="AY875" s="170"/>
      <c r="AZ875" s="170"/>
      <c r="BA875" s="170"/>
      <c r="BB875" s="170"/>
      <c r="BC875" s="170"/>
      <c r="BD875" s="170"/>
      <c r="BE875" s="143" t="s">
        <v>2457</v>
      </c>
      <c r="BF875" s="268" t="s">
        <v>2411</v>
      </c>
      <c r="BG875" s="167" t="s">
        <v>2412</v>
      </c>
      <c r="BH875" s="220"/>
      <c r="BI875" s="220"/>
      <c r="BJ875" s="220"/>
      <c r="BK875" s="46">
        <f t="shared" si="1"/>
        <v>1</v>
      </c>
      <c r="BL875" s="46"/>
      <c r="BM875" s="46"/>
      <c r="BN875" s="46"/>
    </row>
    <row r="876" spans="1:66" ht="12.75" hidden="1" customHeight="1">
      <c r="A876" s="22">
        <v>874</v>
      </c>
      <c r="B876" s="22" t="s">
        <v>2463</v>
      </c>
      <c r="C876" s="22" t="str">
        <f t="shared" si="0"/>
        <v>Pharmacological treatments for nausea and vomiting counseling</v>
      </c>
      <c r="D876" s="24" t="s">
        <v>2463</v>
      </c>
      <c r="E876" s="22" t="s">
        <v>96</v>
      </c>
      <c r="F876" s="24" t="s">
        <v>1787</v>
      </c>
      <c r="G876" s="24" t="s">
        <v>2454</v>
      </c>
      <c r="H876" s="24"/>
      <c r="I876" s="24">
        <v>1</v>
      </c>
      <c r="J876" s="24" t="s">
        <v>2372</v>
      </c>
      <c r="K876" s="24"/>
      <c r="L876" s="24"/>
      <c r="M876" s="24"/>
      <c r="N876" s="24"/>
      <c r="O876" s="24"/>
      <c r="P876" s="170"/>
      <c r="Q876" s="170"/>
      <c r="R876" s="290" t="s">
        <v>2463</v>
      </c>
      <c r="S876" s="242" t="s">
        <v>2464</v>
      </c>
      <c r="T876" s="194" t="s">
        <v>2465</v>
      </c>
      <c r="U876" s="242" t="s">
        <v>202</v>
      </c>
      <c r="V876" s="194"/>
      <c r="W876" s="194"/>
      <c r="X876" s="196"/>
      <c r="Y876" s="196"/>
      <c r="Z876" s="164"/>
      <c r="AA876" s="170"/>
      <c r="AB876" s="242" t="s">
        <v>208</v>
      </c>
      <c r="AC876" s="251"/>
      <c r="AD876" s="170"/>
      <c r="AE876" s="225"/>
      <c r="AF876" s="170"/>
      <c r="AG876" s="170"/>
      <c r="AH876" s="251"/>
      <c r="AI876" s="170"/>
      <c r="AJ876" s="194" t="s">
        <v>2375</v>
      </c>
      <c r="AK876" s="22"/>
      <c r="AL876" s="170"/>
      <c r="AM876" s="170"/>
      <c r="AN876" s="170"/>
      <c r="AO876" s="170"/>
      <c r="AP876" s="170"/>
      <c r="AQ876" s="22"/>
      <c r="AR876" s="22"/>
      <c r="AS876" s="22"/>
      <c r="AT876" s="170"/>
      <c r="AU876" s="170"/>
      <c r="AV876" s="170"/>
      <c r="AW876" s="170"/>
      <c r="AX876" s="170"/>
      <c r="AY876" s="170"/>
      <c r="AZ876" s="170"/>
      <c r="BA876" s="170"/>
      <c r="BB876" s="170"/>
      <c r="BC876" s="170"/>
      <c r="BD876" s="170"/>
      <c r="BE876" s="137" t="s">
        <v>2466</v>
      </c>
      <c r="BF876" s="445" t="s">
        <v>2398</v>
      </c>
      <c r="BG876" s="139" t="s">
        <v>2399</v>
      </c>
      <c r="BH876" s="220"/>
      <c r="BI876" s="220"/>
      <c r="BJ876" s="220"/>
      <c r="BK876" s="46">
        <f t="shared" si="1"/>
        <v>1</v>
      </c>
      <c r="BL876" s="46"/>
      <c r="BM876" s="46"/>
      <c r="BN876" s="46"/>
    </row>
    <row r="877" spans="1:66" ht="12.75" hidden="1" customHeight="1">
      <c r="A877" s="22">
        <v>875</v>
      </c>
      <c r="B877" s="22" t="s">
        <v>2527</v>
      </c>
      <c r="C877" s="22" t="e">
        <f t="shared" ca="1" si="0"/>
        <v>#NAME?</v>
      </c>
      <c r="D877" s="24" t="s">
        <v>1673</v>
      </c>
      <c r="E877" s="22" t="s">
        <v>180</v>
      </c>
      <c r="F877" s="24" t="s">
        <v>2463</v>
      </c>
      <c r="G877" s="24" t="s">
        <v>2454</v>
      </c>
      <c r="H877" s="24"/>
      <c r="I877" s="24">
        <v>1</v>
      </c>
      <c r="J877" s="24" t="s">
        <v>2372</v>
      </c>
      <c r="K877" s="24"/>
      <c r="L877" s="24"/>
      <c r="M877" s="24"/>
      <c r="N877" s="24"/>
      <c r="O877" s="24"/>
      <c r="P877" s="170"/>
      <c r="Q877" s="170"/>
      <c r="R877" s="290"/>
      <c r="S877" s="242"/>
      <c r="T877" s="164"/>
      <c r="U877" s="242"/>
      <c r="V877" s="194"/>
      <c r="W877" s="194" t="s">
        <v>1673</v>
      </c>
      <c r="X877" s="196"/>
      <c r="Y877" s="196"/>
      <c r="Z877" s="164"/>
      <c r="AA877" s="170"/>
      <c r="AB877" s="194"/>
      <c r="AC877" s="251"/>
      <c r="AD877" s="170"/>
      <c r="AE877" s="225"/>
      <c r="AF877" s="170"/>
      <c r="AG877" s="170"/>
      <c r="AH877" s="251"/>
      <c r="AI877" s="170"/>
      <c r="AJ877" s="196"/>
      <c r="AK877" s="22"/>
      <c r="AL877" s="170"/>
      <c r="AM877" s="170"/>
      <c r="AN877" s="170"/>
      <c r="AO877" s="170"/>
      <c r="AP877" s="170"/>
      <c r="AQ877" s="22"/>
      <c r="AR877" s="22"/>
      <c r="AS877" s="22"/>
      <c r="AT877" s="170"/>
      <c r="AU877" s="170"/>
      <c r="AV877" s="170"/>
      <c r="AW877" s="170"/>
      <c r="AX877" s="170"/>
      <c r="AY877" s="170"/>
      <c r="AZ877" s="170"/>
      <c r="BA877" s="170"/>
      <c r="BB877" s="170"/>
      <c r="BC877" s="170"/>
      <c r="BD877" s="170"/>
      <c r="BE877" s="137" t="s">
        <v>115</v>
      </c>
      <c r="BF877" s="445" t="s">
        <v>942</v>
      </c>
      <c r="BG877" s="167" t="s">
        <v>943</v>
      </c>
      <c r="BH877" s="220"/>
      <c r="BI877" s="220"/>
      <c r="BJ877" s="220"/>
      <c r="BK877" s="46">
        <f t="shared" si="1"/>
        <v>1</v>
      </c>
      <c r="BL877" s="46"/>
      <c r="BM877" s="46"/>
      <c r="BN877" s="46"/>
    </row>
    <row r="878" spans="1:66" ht="12.75" hidden="1" customHeight="1">
      <c r="A878" s="22">
        <v>876</v>
      </c>
      <c r="B878" s="22" t="s">
        <v>2118</v>
      </c>
      <c r="C878" s="22" t="e">
        <f t="shared" ca="1" si="0"/>
        <v>#NAME?</v>
      </c>
      <c r="D878" s="24" t="s">
        <v>1468</v>
      </c>
      <c r="E878" s="22" t="s">
        <v>180</v>
      </c>
      <c r="F878" s="24" t="s">
        <v>2463</v>
      </c>
      <c r="G878" s="24" t="s">
        <v>2454</v>
      </c>
      <c r="H878" s="24"/>
      <c r="I878" s="24">
        <v>1</v>
      </c>
      <c r="J878" s="24" t="s">
        <v>2372</v>
      </c>
      <c r="K878" s="24"/>
      <c r="L878" s="24"/>
      <c r="M878" s="24"/>
      <c r="N878" s="24"/>
      <c r="O878" s="24"/>
      <c r="P878" s="170"/>
      <c r="Q878" s="170"/>
      <c r="R878" s="290"/>
      <c r="S878" s="242"/>
      <c r="T878" s="164"/>
      <c r="U878" s="242"/>
      <c r="V878" s="194"/>
      <c r="W878" s="194" t="s">
        <v>1468</v>
      </c>
      <c r="X878" s="196"/>
      <c r="Y878" s="196"/>
      <c r="Z878" s="164"/>
      <c r="AA878" s="170"/>
      <c r="AB878" s="194"/>
      <c r="AC878" s="251"/>
      <c r="AD878" s="170"/>
      <c r="AE878" s="225"/>
      <c r="AF878" s="170"/>
      <c r="AG878" s="170"/>
      <c r="AH878" s="251"/>
      <c r="AI878" s="170"/>
      <c r="AJ878" s="196"/>
      <c r="AK878" s="22"/>
      <c r="AL878" s="170"/>
      <c r="AM878" s="170"/>
      <c r="AN878" s="170"/>
      <c r="AO878" s="170"/>
      <c r="AP878" s="170"/>
      <c r="AQ878" s="22"/>
      <c r="AR878" s="22"/>
      <c r="AS878" s="22"/>
      <c r="AT878" s="170"/>
      <c r="AU878" s="170"/>
      <c r="AV878" s="170"/>
      <c r="AW878" s="170"/>
      <c r="AX878" s="170"/>
      <c r="AY878" s="170"/>
      <c r="AZ878" s="170"/>
      <c r="BA878" s="170"/>
      <c r="BB878" s="170"/>
      <c r="BC878" s="170"/>
      <c r="BD878" s="170"/>
      <c r="BE878" s="137" t="s">
        <v>115</v>
      </c>
      <c r="BF878" s="445" t="s">
        <v>1469</v>
      </c>
      <c r="BG878" s="167" t="s">
        <v>1470</v>
      </c>
      <c r="BH878" s="220"/>
      <c r="BI878" s="220"/>
      <c r="BJ878" s="220"/>
      <c r="BK878" s="46">
        <f t="shared" si="1"/>
        <v>1</v>
      </c>
      <c r="BL878" s="46"/>
      <c r="BM878" s="46"/>
      <c r="BN878" s="46"/>
    </row>
    <row r="879" spans="1:66" ht="12.75" hidden="1" customHeight="1">
      <c r="A879" s="22">
        <v>877</v>
      </c>
      <c r="B879" s="22" t="s">
        <v>2468</v>
      </c>
      <c r="C879" s="22" t="str">
        <f t="shared" si="0"/>
        <v>Reason Pharmacological treatments for nausea and vomiting counseling not done</v>
      </c>
      <c r="D879" s="24" t="s">
        <v>2468</v>
      </c>
      <c r="E879" s="22" t="s">
        <v>96</v>
      </c>
      <c r="F879" s="24" t="s">
        <v>1787</v>
      </c>
      <c r="G879" s="24" t="s">
        <v>2454</v>
      </c>
      <c r="H879" s="24"/>
      <c r="I879" s="24">
        <v>1</v>
      </c>
      <c r="J879" s="24" t="s">
        <v>2372</v>
      </c>
      <c r="K879" s="24"/>
      <c r="L879" s="24"/>
      <c r="M879" s="24"/>
      <c r="N879" s="24"/>
      <c r="O879" s="24"/>
      <c r="P879" s="170"/>
      <c r="Q879" s="170"/>
      <c r="R879" s="290" t="s">
        <v>1376</v>
      </c>
      <c r="S879" s="242" t="s">
        <v>2469</v>
      </c>
      <c r="T879" s="164" t="s">
        <v>2470</v>
      </c>
      <c r="U879" s="242" t="s">
        <v>202</v>
      </c>
      <c r="V879" s="163"/>
      <c r="W879" s="163"/>
      <c r="X879" s="196"/>
      <c r="Y879" s="196"/>
      <c r="Z879" s="164"/>
      <c r="AA879" s="170"/>
      <c r="AB879" s="194" t="s">
        <v>208</v>
      </c>
      <c r="AC879" s="251"/>
      <c r="AD879" s="170"/>
      <c r="AE879" s="225"/>
      <c r="AF879" s="170"/>
      <c r="AG879" s="170"/>
      <c r="AH879" s="251"/>
      <c r="AI879" s="170"/>
      <c r="AJ879" s="196" t="s">
        <v>115</v>
      </c>
      <c r="AK879" s="22"/>
      <c r="AL879" s="170"/>
      <c r="AM879" s="170"/>
      <c r="AN879" s="170"/>
      <c r="AO879" s="170"/>
      <c r="AP879" s="170"/>
      <c r="AQ879" s="22"/>
      <c r="AR879" s="22"/>
      <c r="AS879" s="22"/>
      <c r="AT879" s="170"/>
      <c r="AU879" s="170"/>
      <c r="AV879" s="170"/>
      <c r="AW879" s="170"/>
      <c r="AX879" s="170"/>
      <c r="AY879" s="170"/>
      <c r="AZ879" s="170"/>
      <c r="BA879" s="170"/>
      <c r="BB879" s="170"/>
      <c r="BC879" s="170"/>
      <c r="BD879" s="170"/>
      <c r="BE879" s="137" t="s">
        <v>2466</v>
      </c>
      <c r="BF879" s="445" t="s">
        <v>2403</v>
      </c>
      <c r="BG879" s="139" t="s">
        <v>2404</v>
      </c>
      <c r="BH879" s="220"/>
      <c r="BI879" s="220"/>
      <c r="BJ879" s="220"/>
      <c r="BK879" s="46">
        <f t="shared" si="1"/>
        <v>1</v>
      </c>
      <c r="BL879" s="46"/>
      <c r="BM879" s="46"/>
      <c r="BN879" s="46"/>
    </row>
    <row r="880" spans="1:66" ht="12.75" hidden="1" customHeight="1">
      <c r="A880" s="22">
        <v>878</v>
      </c>
      <c r="B880" s="22" t="s">
        <v>3616</v>
      </c>
      <c r="C880" s="22" t="e">
        <f t="shared" ca="1" si="0"/>
        <v>#NAME?</v>
      </c>
      <c r="D880" s="24" t="s">
        <v>2405</v>
      </c>
      <c r="E880" s="22" t="s">
        <v>180</v>
      </c>
      <c r="F880" s="24" t="s">
        <v>2468</v>
      </c>
      <c r="G880" s="24" t="s">
        <v>2454</v>
      </c>
      <c r="H880" s="24"/>
      <c r="I880" s="24">
        <v>1</v>
      </c>
      <c r="J880" s="24" t="s">
        <v>2372</v>
      </c>
      <c r="K880" s="24"/>
      <c r="L880" s="24"/>
      <c r="M880" s="24"/>
      <c r="N880" s="24"/>
      <c r="O880" s="24"/>
      <c r="P880" s="170"/>
      <c r="Q880" s="170"/>
      <c r="R880" s="290"/>
      <c r="S880" s="242"/>
      <c r="T880" s="164"/>
      <c r="U880" s="242"/>
      <c r="V880" s="194"/>
      <c r="W880" s="194" t="s">
        <v>2405</v>
      </c>
      <c r="X880" s="196"/>
      <c r="Y880" s="196"/>
      <c r="Z880" s="196"/>
      <c r="AA880" s="170"/>
      <c r="AB880" s="194"/>
      <c r="AC880" s="251"/>
      <c r="AD880" s="170"/>
      <c r="AE880" s="225"/>
      <c r="AF880" s="170"/>
      <c r="AG880" s="170"/>
      <c r="AH880" s="251"/>
      <c r="AI880" s="170"/>
      <c r="AJ880" s="196"/>
      <c r="AK880" s="22"/>
      <c r="AL880" s="170"/>
      <c r="AM880" s="170"/>
      <c r="AN880" s="170"/>
      <c r="AO880" s="170"/>
      <c r="AP880" s="170"/>
      <c r="AQ880" s="22"/>
      <c r="AR880" s="22"/>
      <c r="AS880" s="22"/>
      <c r="AT880" s="170"/>
      <c r="AU880" s="170"/>
      <c r="AV880" s="170"/>
      <c r="AW880" s="170"/>
      <c r="AX880" s="170"/>
      <c r="AY880" s="170"/>
      <c r="AZ880" s="170"/>
      <c r="BA880" s="170"/>
      <c r="BB880" s="170"/>
      <c r="BC880" s="170"/>
      <c r="BD880" s="170"/>
      <c r="BE880" s="143" t="s">
        <v>115</v>
      </c>
      <c r="BF880" s="268" t="s">
        <v>2406</v>
      </c>
      <c r="BG880" s="167" t="s">
        <v>2407</v>
      </c>
      <c r="BH880" s="220"/>
      <c r="BI880" s="220"/>
      <c r="BJ880" s="220"/>
      <c r="BK880" s="46">
        <f t="shared" si="1"/>
        <v>1</v>
      </c>
      <c r="BL880" s="46"/>
      <c r="BM880" s="46"/>
      <c r="BN880" s="46"/>
    </row>
    <row r="881" spans="1:66" ht="12.75" hidden="1" customHeight="1">
      <c r="A881" s="22">
        <v>879</v>
      </c>
      <c r="B881" s="22" t="s">
        <v>535</v>
      </c>
      <c r="C881" s="22" t="e">
        <f t="shared" ca="1" si="0"/>
        <v>#NAME?</v>
      </c>
      <c r="D881" s="24" t="s">
        <v>405</v>
      </c>
      <c r="E881" s="22" t="s">
        <v>180</v>
      </c>
      <c r="F881" s="24" t="s">
        <v>2468</v>
      </c>
      <c r="G881" s="24" t="s">
        <v>2454</v>
      </c>
      <c r="H881" s="24"/>
      <c r="I881" s="24">
        <v>1</v>
      </c>
      <c r="J881" s="24" t="s">
        <v>2372</v>
      </c>
      <c r="K881" s="24"/>
      <c r="L881" s="24"/>
      <c r="M881" s="24"/>
      <c r="N881" s="24"/>
      <c r="O881" s="24"/>
      <c r="P881" s="170"/>
      <c r="Q881" s="170"/>
      <c r="R881" s="290"/>
      <c r="S881" s="242"/>
      <c r="T881" s="164"/>
      <c r="U881" s="242"/>
      <c r="V881" s="194"/>
      <c r="W881" s="194" t="s">
        <v>405</v>
      </c>
      <c r="X881" s="196"/>
      <c r="Y881" s="196"/>
      <c r="Z881" s="196"/>
      <c r="AA881" s="170"/>
      <c r="AB881" s="194"/>
      <c r="AC881" s="251"/>
      <c r="AD881" s="170"/>
      <c r="AE881" s="225"/>
      <c r="AF881" s="170"/>
      <c r="AG881" s="170"/>
      <c r="AH881" s="251"/>
      <c r="AI881" s="170"/>
      <c r="AJ881" s="196"/>
      <c r="AK881" s="22"/>
      <c r="AL881" s="170"/>
      <c r="AM881" s="170"/>
      <c r="AN881" s="170"/>
      <c r="AO881" s="170"/>
      <c r="AP881" s="170"/>
      <c r="AQ881" s="22"/>
      <c r="AR881" s="22"/>
      <c r="AS881" s="22"/>
      <c r="AT881" s="170"/>
      <c r="AU881" s="170"/>
      <c r="AV881" s="170"/>
      <c r="AW881" s="170"/>
      <c r="AX881" s="170"/>
      <c r="AY881" s="170"/>
      <c r="AZ881" s="170"/>
      <c r="BA881" s="170"/>
      <c r="BB881" s="170"/>
      <c r="BC881" s="170"/>
      <c r="BD881" s="170"/>
      <c r="BE881" s="143" t="s">
        <v>115</v>
      </c>
      <c r="BF881" s="268" t="s">
        <v>406</v>
      </c>
      <c r="BG881" s="167" t="s">
        <v>407</v>
      </c>
      <c r="BH881" s="220"/>
      <c r="BI881" s="220"/>
      <c r="BJ881" s="220"/>
      <c r="BK881" s="46">
        <f t="shared" si="1"/>
        <v>1</v>
      </c>
      <c r="BL881" s="46"/>
      <c r="BM881" s="46"/>
      <c r="BN881" s="46"/>
    </row>
    <row r="882" spans="1:66" ht="12.75" hidden="1" customHeight="1">
      <c r="A882" s="22">
        <v>880</v>
      </c>
      <c r="B882" s="22" t="s">
        <v>2471</v>
      </c>
      <c r="C882" s="22" t="str">
        <f t="shared" si="0"/>
        <v>Specify - Reason Pharmacological treatments for nausea and vomiting counseling not done</v>
      </c>
      <c r="D882" s="24" t="s">
        <v>2471</v>
      </c>
      <c r="E882" s="22" t="s">
        <v>96</v>
      </c>
      <c r="F882" s="24" t="s">
        <v>1787</v>
      </c>
      <c r="G882" s="24" t="s">
        <v>2454</v>
      </c>
      <c r="H882" s="24"/>
      <c r="I882" s="24">
        <v>1</v>
      </c>
      <c r="J882" s="24" t="s">
        <v>2372</v>
      </c>
      <c r="K882" s="24"/>
      <c r="L882" s="24"/>
      <c r="M882" s="24"/>
      <c r="N882" s="24"/>
      <c r="O882" s="24"/>
      <c r="P882" s="170"/>
      <c r="Q882" s="170"/>
      <c r="R882" s="290" t="s">
        <v>409</v>
      </c>
      <c r="S882" s="242" t="s">
        <v>2472</v>
      </c>
      <c r="T882" s="164" t="s">
        <v>2410</v>
      </c>
      <c r="U882" s="242" t="s">
        <v>111</v>
      </c>
      <c r="V882" s="194"/>
      <c r="W882" s="194"/>
      <c r="X882" s="196"/>
      <c r="Y882" s="196"/>
      <c r="Z882" s="164"/>
      <c r="AA882" s="170"/>
      <c r="AB882" s="194" t="s">
        <v>208</v>
      </c>
      <c r="AC882" s="251"/>
      <c r="AD882" s="170"/>
      <c r="AE882" s="225"/>
      <c r="AF882" s="170"/>
      <c r="AG882" s="170"/>
      <c r="AH882" s="251"/>
      <c r="AI882" s="170"/>
      <c r="AJ882" s="196" t="s">
        <v>115</v>
      </c>
      <c r="AK882" s="22"/>
      <c r="AL882" s="170"/>
      <c r="AM882" s="170"/>
      <c r="AN882" s="170"/>
      <c r="AO882" s="170"/>
      <c r="AP882" s="170"/>
      <c r="AQ882" s="22"/>
      <c r="AR882" s="22"/>
      <c r="AS882" s="22"/>
      <c r="AT882" s="170"/>
      <c r="AU882" s="170"/>
      <c r="AV882" s="170"/>
      <c r="AW882" s="170"/>
      <c r="AX882" s="170"/>
      <c r="AY882" s="170"/>
      <c r="AZ882" s="170"/>
      <c r="BA882" s="170"/>
      <c r="BB882" s="170"/>
      <c r="BC882" s="170"/>
      <c r="BD882" s="170"/>
      <c r="BE882" s="143" t="s">
        <v>2466</v>
      </c>
      <c r="BF882" s="268" t="s">
        <v>2411</v>
      </c>
      <c r="BG882" s="167" t="s">
        <v>2412</v>
      </c>
      <c r="BH882" s="220"/>
      <c r="BI882" s="220"/>
      <c r="BJ882" s="220"/>
      <c r="BK882" s="46">
        <f t="shared" si="1"/>
        <v>1</v>
      </c>
      <c r="BL882" s="46"/>
      <c r="BM882" s="46"/>
      <c r="BN882" s="46"/>
    </row>
    <row r="883" spans="1:66" ht="12.75" hidden="1" customHeight="1">
      <c r="A883" s="22">
        <v>881</v>
      </c>
      <c r="B883" s="22" t="s">
        <v>2474</v>
      </c>
      <c r="C883" s="22" t="str">
        <f t="shared" si="0"/>
        <v>Diet and lifestyle changes to prevent and relieve heartburn counseling</v>
      </c>
      <c r="D883" s="24" t="s">
        <v>2474</v>
      </c>
      <c r="E883" s="22" t="s">
        <v>96</v>
      </c>
      <c r="F883" s="24" t="s">
        <v>1787</v>
      </c>
      <c r="G883" s="24" t="s">
        <v>2454</v>
      </c>
      <c r="H883" s="24"/>
      <c r="I883" s="24">
        <v>1</v>
      </c>
      <c r="J883" s="24" t="s">
        <v>2372</v>
      </c>
      <c r="K883" s="24"/>
      <c r="L883" s="24"/>
      <c r="M883" s="24"/>
      <c r="N883" s="24"/>
      <c r="O883" s="24"/>
      <c r="P883" s="170"/>
      <c r="Q883" s="170"/>
      <c r="R883" s="290" t="s">
        <v>2474</v>
      </c>
      <c r="S883" s="242" t="s">
        <v>2475</v>
      </c>
      <c r="T883" s="194" t="s">
        <v>2476</v>
      </c>
      <c r="U883" s="242" t="s">
        <v>202</v>
      </c>
      <c r="V883" s="194"/>
      <c r="W883" s="194"/>
      <c r="X883" s="196"/>
      <c r="Y883" s="196"/>
      <c r="Z883" s="164"/>
      <c r="AA883" s="170"/>
      <c r="AB883" s="194" t="s">
        <v>113</v>
      </c>
      <c r="AC883" s="251"/>
      <c r="AD883" s="170"/>
      <c r="AE883" s="225"/>
      <c r="AF883" s="170"/>
      <c r="AG883" s="170"/>
      <c r="AH883" s="251"/>
      <c r="AI883" s="170"/>
      <c r="AJ883" s="194" t="s">
        <v>2375</v>
      </c>
      <c r="AK883" s="22"/>
      <c r="AL883" s="170"/>
      <c r="AM883" s="170"/>
      <c r="AN883" s="170"/>
      <c r="AO883" s="170"/>
      <c r="AP883" s="170"/>
      <c r="AQ883" s="22"/>
      <c r="AR883" s="22"/>
      <c r="AS883" s="22"/>
      <c r="AT883" s="170"/>
      <c r="AU883" s="170"/>
      <c r="AV883" s="170"/>
      <c r="AW883" s="170"/>
      <c r="AX883" s="170"/>
      <c r="AY883" s="170"/>
      <c r="AZ883" s="170"/>
      <c r="BA883" s="170"/>
      <c r="BB883" s="170"/>
      <c r="BC883" s="170"/>
      <c r="BD883" s="170"/>
      <c r="BE883" s="137" t="s">
        <v>2477</v>
      </c>
      <c r="BF883" s="445" t="s">
        <v>2398</v>
      </c>
      <c r="BG883" s="139" t="s">
        <v>2399</v>
      </c>
      <c r="BH883" s="220"/>
      <c r="BI883" s="220"/>
      <c r="BJ883" s="220"/>
      <c r="BK883" s="46">
        <f t="shared" si="1"/>
        <v>1</v>
      </c>
      <c r="BL883" s="46"/>
      <c r="BM883" s="46"/>
      <c r="BN883" s="46"/>
    </row>
    <row r="884" spans="1:66" ht="12.75" hidden="1" customHeight="1">
      <c r="A884" s="22">
        <v>882</v>
      </c>
      <c r="B884" s="22" t="s">
        <v>2527</v>
      </c>
      <c r="C884" s="22" t="e">
        <f t="shared" ca="1" si="0"/>
        <v>#NAME?</v>
      </c>
      <c r="D884" s="24" t="s">
        <v>1673</v>
      </c>
      <c r="E884" s="22" t="s">
        <v>180</v>
      </c>
      <c r="F884" s="24" t="s">
        <v>2474</v>
      </c>
      <c r="G884" s="24" t="s">
        <v>2454</v>
      </c>
      <c r="H884" s="24"/>
      <c r="I884" s="24">
        <v>1</v>
      </c>
      <c r="J884" s="24" t="s">
        <v>2372</v>
      </c>
      <c r="K884" s="24"/>
      <c r="L884" s="24"/>
      <c r="M884" s="24"/>
      <c r="N884" s="24"/>
      <c r="O884" s="24"/>
      <c r="P884" s="170"/>
      <c r="Q884" s="170"/>
      <c r="R884" s="290"/>
      <c r="S884" s="242"/>
      <c r="T884" s="164"/>
      <c r="U884" s="242"/>
      <c r="V884" s="194"/>
      <c r="W884" s="194" t="s">
        <v>1673</v>
      </c>
      <c r="X884" s="196"/>
      <c r="Y884" s="196"/>
      <c r="Z884" s="164"/>
      <c r="AA884" s="170"/>
      <c r="AB884" s="194"/>
      <c r="AC884" s="251"/>
      <c r="AD884" s="170"/>
      <c r="AE884" s="225"/>
      <c r="AF884" s="170"/>
      <c r="AG884" s="170"/>
      <c r="AH884" s="251"/>
      <c r="AI884" s="170"/>
      <c r="AJ884" s="196"/>
      <c r="AK884" s="22"/>
      <c r="AL884" s="170"/>
      <c r="AM884" s="170"/>
      <c r="AN884" s="170"/>
      <c r="AO884" s="170"/>
      <c r="AP884" s="170"/>
      <c r="AQ884" s="22"/>
      <c r="AR884" s="22"/>
      <c r="AS884" s="22"/>
      <c r="AT884" s="170"/>
      <c r="AU884" s="170"/>
      <c r="AV884" s="170"/>
      <c r="AW884" s="170"/>
      <c r="AX884" s="170"/>
      <c r="AY884" s="170"/>
      <c r="AZ884" s="170"/>
      <c r="BA884" s="170"/>
      <c r="BB884" s="170"/>
      <c r="BC884" s="170"/>
      <c r="BD884" s="170"/>
      <c r="BE884" s="137" t="s">
        <v>115</v>
      </c>
      <c r="BF884" s="445" t="s">
        <v>942</v>
      </c>
      <c r="BG884" s="167" t="s">
        <v>943</v>
      </c>
      <c r="BH884" s="220"/>
      <c r="BI884" s="220"/>
      <c r="BJ884" s="220"/>
      <c r="BK884" s="46">
        <f t="shared" si="1"/>
        <v>1</v>
      </c>
      <c r="BL884" s="46"/>
      <c r="BM884" s="46"/>
      <c r="BN884" s="46"/>
    </row>
    <row r="885" spans="1:66" ht="12.75" hidden="1" customHeight="1">
      <c r="A885" s="22">
        <v>883</v>
      </c>
      <c r="B885" s="22" t="s">
        <v>2118</v>
      </c>
      <c r="C885" s="22" t="e">
        <f t="shared" ca="1" si="0"/>
        <v>#NAME?</v>
      </c>
      <c r="D885" s="24" t="s">
        <v>1468</v>
      </c>
      <c r="E885" s="22" t="s">
        <v>180</v>
      </c>
      <c r="F885" s="24" t="s">
        <v>2474</v>
      </c>
      <c r="G885" s="24" t="s">
        <v>2454</v>
      </c>
      <c r="H885" s="24"/>
      <c r="I885" s="24">
        <v>1</v>
      </c>
      <c r="J885" s="24" t="s">
        <v>2372</v>
      </c>
      <c r="K885" s="24"/>
      <c r="L885" s="24"/>
      <c r="M885" s="24"/>
      <c r="N885" s="24"/>
      <c r="O885" s="24"/>
      <c r="P885" s="170"/>
      <c r="Q885" s="170"/>
      <c r="R885" s="290"/>
      <c r="S885" s="242"/>
      <c r="T885" s="164"/>
      <c r="U885" s="242"/>
      <c r="V885" s="163"/>
      <c r="W885" s="163" t="s">
        <v>1468</v>
      </c>
      <c r="X885" s="196"/>
      <c r="Y885" s="196"/>
      <c r="Z885" s="164"/>
      <c r="AA885" s="170"/>
      <c r="AB885" s="194"/>
      <c r="AC885" s="251"/>
      <c r="AD885" s="170"/>
      <c r="AE885" s="225"/>
      <c r="AF885" s="170"/>
      <c r="AG885" s="170"/>
      <c r="AH885" s="251"/>
      <c r="AI885" s="170"/>
      <c r="AJ885" s="196"/>
      <c r="AK885" s="22"/>
      <c r="AL885" s="170"/>
      <c r="AM885" s="170"/>
      <c r="AN885" s="170"/>
      <c r="AO885" s="170"/>
      <c r="AP885" s="170"/>
      <c r="AQ885" s="22"/>
      <c r="AR885" s="22"/>
      <c r="AS885" s="22"/>
      <c r="AT885" s="170"/>
      <c r="AU885" s="170"/>
      <c r="AV885" s="170"/>
      <c r="AW885" s="170"/>
      <c r="AX885" s="170"/>
      <c r="AY885" s="170"/>
      <c r="AZ885" s="170"/>
      <c r="BA885" s="170"/>
      <c r="BB885" s="170"/>
      <c r="BC885" s="170"/>
      <c r="BD885" s="170"/>
      <c r="BE885" s="137" t="s">
        <v>115</v>
      </c>
      <c r="BF885" s="445" t="s">
        <v>1469</v>
      </c>
      <c r="BG885" s="167" t="s">
        <v>1470</v>
      </c>
      <c r="BH885" s="220"/>
      <c r="BI885" s="220"/>
      <c r="BJ885" s="220"/>
      <c r="BK885" s="46">
        <f t="shared" si="1"/>
        <v>1</v>
      </c>
      <c r="BL885" s="46"/>
      <c r="BM885" s="46"/>
      <c r="BN885" s="46"/>
    </row>
    <row r="886" spans="1:66" ht="12.75" hidden="1" customHeight="1">
      <c r="A886" s="22">
        <v>884</v>
      </c>
      <c r="B886" s="22" t="s">
        <v>2479</v>
      </c>
      <c r="C886" s="22" t="str">
        <f t="shared" si="0"/>
        <v>Reason Diet and lifestyle changes to prevent and relieve heartburn counseling not done</v>
      </c>
      <c r="D886" s="24" t="s">
        <v>2479</v>
      </c>
      <c r="E886" s="22" t="s">
        <v>96</v>
      </c>
      <c r="F886" s="24" t="s">
        <v>1787</v>
      </c>
      <c r="G886" s="24" t="s">
        <v>2454</v>
      </c>
      <c r="H886" s="24"/>
      <c r="I886" s="24">
        <v>1</v>
      </c>
      <c r="J886" s="24" t="s">
        <v>2372</v>
      </c>
      <c r="K886" s="24"/>
      <c r="L886" s="24"/>
      <c r="M886" s="24"/>
      <c r="N886" s="24"/>
      <c r="O886" s="24"/>
      <c r="P886" s="170"/>
      <c r="Q886" s="170"/>
      <c r="R886" s="290" t="s">
        <v>1376</v>
      </c>
      <c r="S886" s="242" t="s">
        <v>2480</v>
      </c>
      <c r="T886" s="164" t="s">
        <v>2481</v>
      </c>
      <c r="U886" s="242" t="s">
        <v>202</v>
      </c>
      <c r="V886" s="163"/>
      <c r="W886" s="163"/>
      <c r="X886" s="196"/>
      <c r="Y886" s="196"/>
      <c r="Z886" s="164"/>
      <c r="AA886" s="170"/>
      <c r="AB886" s="194" t="s">
        <v>208</v>
      </c>
      <c r="AC886" s="251"/>
      <c r="AD886" s="170"/>
      <c r="AE886" s="225"/>
      <c r="AF886" s="170"/>
      <c r="AG886" s="170"/>
      <c r="AH886" s="251"/>
      <c r="AI886" s="170"/>
      <c r="AJ886" s="196" t="s">
        <v>115</v>
      </c>
      <c r="AK886" s="22"/>
      <c r="AL886" s="170"/>
      <c r="AM886" s="170"/>
      <c r="AN886" s="170"/>
      <c r="AO886" s="170"/>
      <c r="AP886" s="170"/>
      <c r="AQ886" s="22"/>
      <c r="AR886" s="22"/>
      <c r="AS886" s="22"/>
      <c r="AT886" s="170"/>
      <c r="AU886" s="170"/>
      <c r="AV886" s="170"/>
      <c r="AW886" s="170"/>
      <c r="AX886" s="170"/>
      <c r="AY886" s="170"/>
      <c r="AZ886" s="170"/>
      <c r="BA886" s="170"/>
      <c r="BB886" s="170"/>
      <c r="BC886" s="170"/>
      <c r="BD886" s="170"/>
      <c r="BE886" s="137" t="s">
        <v>2477</v>
      </c>
      <c r="BF886" s="445" t="s">
        <v>2403</v>
      </c>
      <c r="BG886" s="139" t="s">
        <v>2404</v>
      </c>
      <c r="BH886" s="220"/>
      <c r="BI886" s="220"/>
      <c r="BJ886" s="220"/>
      <c r="BK886" s="46">
        <f t="shared" si="1"/>
        <v>1</v>
      </c>
      <c r="BL886" s="46"/>
      <c r="BM886" s="46"/>
      <c r="BN886" s="46"/>
    </row>
    <row r="887" spans="1:66" ht="12.75" hidden="1" customHeight="1">
      <c r="A887" s="22">
        <v>885</v>
      </c>
      <c r="B887" s="22" t="s">
        <v>3616</v>
      </c>
      <c r="C887" s="22" t="e">
        <f t="shared" ca="1" si="0"/>
        <v>#NAME?</v>
      </c>
      <c r="D887" s="24" t="s">
        <v>2405</v>
      </c>
      <c r="E887" s="22" t="s">
        <v>180</v>
      </c>
      <c r="F887" s="24" t="s">
        <v>2479</v>
      </c>
      <c r="G887" s="24" t="s">
        <v>2454</v>
      </c>
      <c r="H887" s="24"/>
      <c r="I887" s="24">
        <v>1</v>
      </c>
      <c r="J887" s="24" t="s">
        <v>2372</v>
      </c>
      <c r="K887" s="24"/>
      <c r="L887" s="24"/>
      <c r="M887" s="24"/>
      <c r="N887" s="24"/>
      <c r="O887" s="24"/>
      <c r="P887" s="170"/>
      <c r="Q887" s="170"/>
      <c r="R887" s="290"/>
      <c r="S887" s="242"/>
      <c r="T887" s="164"/>
      <c r="U887" s="242"/>
      <c r="V887" s="194"/>
      <c r="W887" s="194" t="s">
        <v>2405</v>
      </c>
      <c r="X887" s="196"/>
      <c r="Y887" s="196"/>
      <c r="Z887" s="164"/>
      <c r="AA887" s="170"/>
      <c r="AB887" s="194"/>
      <c r="AC887" s="251"/>
      <c r="AD887" s="170"/>
      <c r="AE887" s="225"/>
      <c r="AF887" s="170"/>
      <c r="AG887" s="170"/>
      <c r="AH887" s="251"/>
      <c r="AI887" s="170"/>
      <c r="AJ887" s="196"/>
      <c r="AK887" s="22"/>
      <c r="AL887" s="170"/>
      <c r="AM887" s="170"/>
      <c r="AN887" s="170"/>
      <c r="AO887" s="170"/>
      <c r="AP887" s="170"/>
      <c r="AQ887" s="22"/>
      <c r="AR887" s="22"/>
      <c r="AS887" s="22"/>
      <c r="AT887" s="170"/>
      <c r="AU887" s="170"/>
      <c r="AV887" s="170"/>
      <c r="AW887" s="170"/>
      <c r="AX887" s="170"/>
      <c r="AY887" s="170"/>
      <c r="AZ887" s="170"/>
      <c r="BA887" s="170"/>
      <c r="BB887" s="170"/>
      <c r="BC887" s="170"/>
      <c r="BD887" s="170"/>
      <c r="BE887" s="143" t="s">
        <v>115</v>
      </c>
      <c r="BF887" s="268" t="s">
        <v>2406</v>
      </c>
      <c r="BG887" s="167" t="s">
        <v>2407</v>
      </c>
      <c r="BH887" s="220"/>
      <c r="BI887" s="220"/>
      <c r="BJ887" s="220"/>
      <c r="BK887" s="46">
        <f t="shared" si="1"/>
        <v>1</v>
      </c>
      <c r="BL887" s="46"/>
      <c r="BM887" s="46"/>
      <c r="BN887" s="46"/>
    </row>
    <row r="888" spans="1:66" ht="12.75" hidden="1" customHeight="1">
      <c r="A888" s="22">
        <v>886</v>
      </c>
      <c r="B888" s="22" t="s">
        <v>535</v>
      </c>
      <c r="C888" s="22" t="e">
        <f t="shared" ca="1" si="0"/>
        <v>#NAME?</v>
      </c>
      <c r="D888" s="24" t="s">
        <v>405</v>
      </c>
      <c r="E888" s="22" t="s">
        <v>180</v>
      </c>
      <c r="F888" s="24" t="s">
        <v>2479</v>
      </c>
      <c r="G888" s="24" t="s">
        <v>2454</v>
      </c>
      <c r="H888" s="24"/>
      <c r="I888" s="24">
        <v>1</v>
      </c>
      <c r="J888" s="24" t="s">
        <v>2372</v>
      </c>
      <c r="K888" s="24"/>
      <c r="L888" s="24"/>
      <c r="M888" s="24"/>
      <c r="N888" s="24"/>
      <c r="O888" s="24"/>
      <c r="P888" s="170"/>
      <c r="Q888" s="170"/>
      <c r="R888" s="290"/>
      <c r="S888" s="242"/>
      <c r="T888" s="164"/>
      <c r="U888" s="242"/>
      <c r="V888" s="194"/>
      <c r="W888" s="194" t="s">
        <v>405</v>
      </c>
      <c r="X888" s="196"/>
      <c r="Y888" s="196"/>
      <c r="Z888" s="164"/>
      <c r="AA888" s="170"/>
      <c r="AB888" s="194"/>
      <c r="AC888" s="251"/>
      <c r="AD888" s="170"/>
      <c r="AE888" s="225"/>
      <c r="AF888" s="170"/>
      <c r="AG888" s="170"/>
      <c r="AH888" s="251"/>
      <c r="AI888" s="170"/>
      <c r="AJ888" s="196"/>
      <c r="AK888" s="22"/>
      <c r="AL888" s="170"/>
      <c r="AM888" s="170"/>
      <c r="AN888" s="170"/>
      <c r="AO888" s="170"/>
      <c r="AP888" s="170"/>
      <c r="AQ888" s="22"/>
      <c r="AR888" s="22"/>
      <c r="AS888" s="22"/>
      <c r="AT888" s="170"/>
      <c r="AU888" s="170"/>
      <c r="AV888" s="170"/>
      <c r="AW888" s="170"/>
      <c r="AX888" s="170"/>
      <c r="AY888" s="170"/>
      <c r="AZ888" s="170"/>
      <c r="BA888" s="170"/>
      <c r="BB888" s="170"/>
      <c r="BC888" s="170"/>
      <c r="BD888" s="170"/>
      <c r="BE888" s="143" t="s">
        <v>115</v>
      </c>
      <c r="BF888" s="268" t="s">
        <v>406</v>
      </c>
      <c r="BG888" s="167" t="s">
        <v>407</v>
      </c>
      <c r="BH888" s="220"/>
      <c r="BI888" s="220"/>
      <c r="BJ888" s="220"/>
      <c r="BK888" s="46">
        <f t="shared" si="1"/>
        <v>1</v>
      </c>
      <c r="BL888" s="46"/>
      <c r="BM888" s="46"/>
      <c r="BN888" s="46"/>
    </row>
    <row r="889" spans="1:66" ht="12.75" hidden="1" customHeight="1">
      <c r="A889" s="22">
        <v>887</v>
      </c>
      <c r="B889" s="22" t="s">
        <v>2483</v>
      </c>
      <c r="C889" s="22" t="str">
        <f t="shared" si="0"/>
        <v>Specify - Reason Diet and lifestyle changes to prevent and relieve heartburn counseling not done</v>
      </c>
      <c r="D889" s="24" t="s">
        <v>2483</v>
      </c>
      <c r="E889" s="22" t="s">
        <v>96</v>
      </c>
      <c r="F889" s="24" t="s">
        <v>1787</v>
      </c>
      <c r="G889" s="24" t="s">
        <v>2454</v>
      </c>
      <c r="H889" s="24"/>
      <c r="I889" s="24">
        <v>1</v>
      </c>
      <c r="J889" s="24" t="s">
        <v>2372</v>
      </c>
      <c r="K889" s="24"/>
      <c r="L889" s="24"/>
      <c r="M889" s="24"/>
      <c r="N889" s="24"/>
      <c r="O889" s="24"/>
      <c r="P889" s="170"/>
      <c r="Q889" s="170"/>
      <c r="R889" s="290" t="s">
        <v>409</v>
      </c>
      <c r="S889" s="242" t="s">
        <v>2484</v>
      </c>
      <c r="T889" s="164" t="s">
        <v>2410</v>
      </c>
      <c r="U889" s="242" t="s">
        <v>111</v>
      </c>
      <c r="V889" s="194"/>
      <c r="W889" s="194"/>
      <c r="X889" s="196"/>
      <c r="Y889" s="196"/>
      <c r="Z889" s="164"/>
      <c r="AA889" s="170"/>
      <c r="AB889" s="194" t="s">
        <v>208</v>
      </c>
      <c r="AC889" s="251"/>
      <c r="AD889" s="170"/>
      <c r="AE889" s="225"/>
      <c r="AF889" s="170"/>
      <c r="AG889" s="170"/>
      <c r="AH889" s="251"/>
      <c r="AI889" s="170"/>
      <c r="AJ889" s="196" t="s">
        <v>115</v>
      </c>
      <c r="AK889" s="22"/>
      <c r="AL889" s="170"/>
      <c r="AM889" s="170"/>
      <c r="AN889" s="170"/>
      <c r="AO889" s="170"/>
      <c r="AP889" s="170"/>
      <c r="AQ889" s="22"/>
      <c r="AR889" s="22"/>
      <c r="AS889" s="22"/>
      <c r="AT889" s="170"/>
      <c r="AU889" s="170"/>
      <c r="AV889" s="170"/>
      <c r="AW889" s="170"/>
      <c r="AX889" s="170"/>
      <c r="AY889" s="170"/>
      <c r="AZ889" s="170"/>
      <c r="BA889" s="170"/>
      <c r="BB889" s="170"/>
      <c r="BC889" s="170"/>
      <c r="BD889" s="170"/>
      <c r="BE889" s="143" t="s">
        <v>2477</v>
      </c>
      <c r="BF889" s="268" t="s">
        <v>2411</v>
      </c>
      <c r="BG889" s="167" t="s">
        <v>2412</v>
      </c>
      <c r="BH889" s="220"/>
      <c r="BI889" s="220"/>
      <c r="BJ889" s="220"/>
      <c r="BK889" s="46">
        <f t="shared" si="1"/>
        <v>1</v>
      </c>
      <c r="BL889" s="46"/>
      <c r="BM889" s="46"/>
      <c r="BN889" s="46"/>
    </row>
    <row r="890" spans="1:66" ht="12.75" hidden="1" customHeight="1">
      <c r="A890" s="22">
        <v>888</v>
      </c>
      <c r="B890" s="22" t="s">
        <v>2485</v>
      </c>
      <c r="C890" s="22" t="str">
        <f t="shared" si="0"/>
        <v>Antacid preparations to relieve heartburn counseling</v>
      </c>
      <c r="D890" s="24" t="s">
        <v>2485</v>
      </c>
      <c r="E890" s="22" t="s">
        <v>96</v>
      </c>
      <c r="F890" s="24" t="s">
        <v>1787</v>
      </c>
      <c r="G890" s="24" t="s">
        <v>2454</v>
      </c>
      <c r="H890" s="24"/>
      <c r="I890" s="24">
        <v>1</v>
      </c>
      <c r="J890" s="24" t="s">
        <v>2372</v>
      </c>
      <c r="K890" s="24"/>
      <c r="L890" s="24"/>
      <c r="M890" s="24"/>
      <c r="N890" s="24"/>
      <c r="O890" s="24"/>
      <c r="P890" s="170"/>
      <c r="Q890" s="170"/>
      <c r="R890" s="290" t="s">
        <v>2485</v>
      </c>
      <c r="S890" s="242" t="s">
        <v>2486</v>
      </c>
      <c r="T890" s="194" t="s">
        <v>2487</v>
      </c>
      <c r="U890" s="242" t="s">
        <v>202</v>
      </c>
      <c r="V890" s="194"/>
      <c r="W890" s="194"/>
      <c r="X890" s="196"/>
      <c r="Y890" s="196"/>
      <c r="Z890" s="164"/>
      <c r="AA890" s="170"/>
      <c r="AB890" s="196" t="s">
        <v>208</v>
      </c>
      <c r="AC890" s="251"/>
      <c r="AD890" s="170"/>
      <c r="AE890" s="225"/>
      <c r="AF890" s="170"/>
      <c r="AG890" s="170"/>
      <c r="AH890" s="251"/>
      <c r="AI890" s="170"/>
      <c r="AJ890" s="194" t="s">
        <v>2375</v>
      </c>
      <c r="AK890" s="22"/>
      <c r="AL890" s="170"/>
      <c r="AM890" s="170"/>
      <c r="AN890" s="170"/>
      <c r="AO890" s="170"/>
      <c r="AP890" s="170"/>
      <c r="AQ890" s="22"/>
      <c r="AR890" s="22"/>
      <c r="AS890" s="22"/>
      <c r="AT890" s="170"/>
      <c r="AU890" s="170"/>
      <c r="AV890" s="170"/>
      <c r="AW890" s="170"/>
      <c r="AX890" s="170"/>
      <c r="AY890" s="170"/>
      <c r="AZ890" s="170"/>
      <c r="BA890" s="170"/>
      <c r="BB890" s="170"/>
      <c r="BC890" s="170"/>
      <c r="BD890" s="170"/>
      <c r="BE890" s="137" t="s">
        <v>2488</v>
      </c>
      <c r="BF890" s="445" t="s">
        <v>2398</v>
      </c>
      <c r="BG890" s="139" t="s">
        <v>2399</v>
      </c>
      <c r="BH890" s="220"/>
      <c r="BI890" s="220"/>
      <c r="BJ890" s="220"/>
      <c r="BK890" s="46">
        <f t="shared" si="1"/>
        <v>1</v>
      </c>
      <c r="BL890" s="46"/>
      <c r="BM890" s="46"/>
      <c r="BN890" s="46"/>
    </row>
    <row r="891" spans="1:66" ht="12.75" hidden="1" customHeight="1">
      <c r="A891" s="22">
        <v>889</v>
      </c>
      <c r="B891" s="22" t="s">
        <v>2527</v>
      </c>
      <c r="C891" s="22" t="e">
        <f t="shared" ca="1" si="0"/>
        <v>#NAME?</v>
      </c>
      <c r="D891" s="24" t="s">
        <v>1673</v>
      </c>
      <c r="E891" s="22" t="s">
        <v>180</v>
      </c>
      <c r="F891" s="24" t="s">
        <v>2485</v>
      </c>
      <c r="G891" s="24" t="s">
        <v>2454</v>
      </c>
      <c r="H891" s="24"/>
      <c r="I891" s="24">
        <v>1</v>
      </c>
      <c r="J891" s="24" t="s">
        <v>2372</v>
      </c>
      <c r="K891" s="24"/>
      <c r="L891" s="24"/>
      <c r="M891" s="24"/>
      <c r="N891" s="24"/>
      <c r="O891" s="24"/>
      <c r="P891" s="170"/>
      <c r="Q891" s="170"/>
      <c r="R891" s="290"/>
      <c r="S891" s="242"/>
      <c r="T891" s="164"/>
      <c r="U891" s="242"/>
      <c r="V891" s="194"/>
      <c r="W891" s="194" t="s">
        <v>1673</v>
      </c>
      <c r="X891" s="196"/>
      <c r="Y891" s="196"/>
      <c r="Z891" s="164"/>
      <c r="AA891" s="170"/>
      <c r="AB891" s="194"/>
      <c r="AC891" s="251"/>
      <c r="AD891" s="170"/>
      <c r="AE891" s="225"/>
      <c r="AF891" s="170"/>
      <c r="AG891" s="170"/>
      <c r="AH891" s="251"/>
      <c r="AI891" s="170"/>
      <c r="AJ891" s="196"/>
      <c r="AK891" s="22"/>
      <c r="AL891" s="170"/>
      <c r="AM891" s="170"/>
      <c r="AN891" s="170"/>
      <c r="AO891" s="170"/>
      <c r="AP891" s="170"/>
      <c r="AQ891" s="22"/>
      <c r="AR891" s="22"/>
      <c r="AS891" s="22"/>
      <c r="AT891" s="170"/>
      <c r="AU891" s="170"/>
      <c r="AV891" s="170"/>
      <c r="AW891" s="170"/>
      <c r="AX891" s="170"/>
      <c r="AY891" s="170"/>
      <c r="AZ891" s="170"/>
      <c r="BA891" s="170"/>
      <c r="BB891" s="170"/>
      <c r="BC891" s="170"/>
      <c r="BD891" s="170"/>
      <c r="BE891" s="137" t="s">
        <v>115</v>
      </c>
      <c r="BF891" s="445" t="s">
        <v>942</v>
      </c>
      <c r="BG891" s="167" t="s">
        <v>943</v>
      </c>
      <c r="BH891" s="220"/>
      <c r="BI891" s="220"/>
      <c r="BJ891" s="220"/>
      <c r="BK891" s="46">
        <f t="shared" si="1"/>
        <v>1</v>
      </c>
      <c r="BL891" s="46"/>
      <c r="BM891" s="46"/>
      <c r="BN891" s="46"/>
    </row>
    <row r="892" spans="1:66" ht="12.75" hidden="1" customHeight="1">
      <c r="A892" s="22">
        <v>890</v>
      </c>
      <c r="B892" s="22" t="s">
        <v>2118</v>
      </c>
      <c r="C892" s="22" t="e">
        <f t="shared" ca="1" si="0"/>
        <v>#NAME?</v>
      </c>
      <c r="D892" s="24" t="s">
        <v>1468</v>
      </c>
      <c r="E892" s="22" t="s">
        <v>180</v>
      </c>
      <c r="F892" s="24" t="s">
        <v>2485</v>
      </c>
      <c r="G892" s="24" t="s">
        <v>2454</v>
      </c>
      <c r="H892" s="24"/>
      <c r="I892" s="24">
        <v>1</v>
      </c>
      <c r="J892" s="24" t="s">
        <v>2372</v>
      </c>
      <c r="K892" s="24"/>
      <c r="L892" s="24"/>
      <c r="M892" s="24"/>
      <c r="N892" s="24"/>
      <c r="O892" s="24"/>
      <c r="P892" s="170"/>
      <c r="Q892" s="170"/>
      <c r="R892" s="290"/>
      <c r="S892" s="242"/>
      <c r="T892" s="164"/>
      <c r="U892" s="242"/>
      <c r="V892" s="163"/>
      <c r="W892" s="163" t="s">
        <v>1468</v>
      </c>
      <c r="X892" s="196"/>
      <c r="Y892" s="196"/>
      <c r="Z892" s="164"/>
      <c r="AA892" s="170"/>
      <c r="AB892" s="194"/>
      <c r="AC892" s="251"/>
      <c r="AD892" s="170"/>
      <c r="AE892" s="225"/>
      <c r="AF892" s="170"/>
      <c r="AG892" s="170"/>
      <c r="AH892" s="251"/>
      <c r="AI892" s="170"/>
      <c r="AJ892" s="196"/>
      <c r="AK892" s="22"/>
      <c r="AL892" s="170"/>
      <c r="AM892" s="170"/>
      <c r="AN892" s="170"/>
      <c r="AO892" s="170"/>
      <c r="AP892" s="170"/>
      <c r="AQ892" s="22"/>
      <c r="AR892" s="22"/>
      <c r="AS892" s="22"/>
      <c r="AT892" s="170"/>
      <c r="AU892" s="170"/>
      <c r="AV892" s="170"/>
      <c r="AW892" s="170"/>
      <c r="AX892" s="170"/>
      <c r="AY892" s="170"/>
      <c r="AZ892" s="170"/>
      <c r="BA892" s="170"/>
      <c r="BB892" s="170"/>
      <c r="BC892" s="170"/>
      <c r="BD892" s="170"/>
      <c r="BE892" s="137" t="s">
        <v>115</v>
      </c>
      <c r="BF892" s="445" t="s">
        <v>1469</v>
      </c>
      <c r="BG892" s="167" t="s">
        <v>1470</v>
      </c>
      <c r="BH892" s="220"/>
      <c r="BI892" s="220"/>
      <c r="BJ892" s="220"/>
      <c r="BK892" s="46">
        <f t="shared" si="1"/>
        <v>1</v>
      </c>
      <c r="BL892" s="46"/>
      <c r="BM892" s="46"/>
      <c r="BN892" s="46"/>
    </row>
    <row r="893" spans="1:66" ht="12.75" hidden="1" customHeight="1">
      <c r="A893" s="22">
        <v>891</v>
      </c>
      <c r="B893" s="22" t="s">
        <v>2491</v>
      </c>
      <c r="C893" s="22" t="str">
        <f t="shared" si="0"/>
        <v>Reason Antacid preparations to relieve heartburn counseling not done</v>
      </c>
      <c r="D893" s="24" t="s">
        <v>2491</v>
      </c>
      <c r="E893" s="22" t="s">
        <v>96</v>
      </c>
      <c r="F893" s="24" t="s">
        <v>1787</v>
      </c>
      <c r="G893" s="24" t="s">
        <v>2454</v>
      </c>
      <c r="H893" s="24"/>
      <c r="I893" s="24">
        <v>1</v>
      </c>
      <c r="J893" s="24" t="s">
        <v>2372</v>
      </c>
      <c r="K893" s="24"/>
      <c r="L893" s="24"/>
      <c r="M893" s="24"/>
      <c r="N893" s="24"/>
      <c r="O893" s="24"/>
      <c r="P893" s="170"/>
      <c r="Q893" s="170"/>
      <c r="R893" s="290" t="s">
        <v>1376</v>
      </c>
      <c r="S893" s="242" t="s">
        <v>2492</v>
      </c>
      <c r="T893" s="164" t="s">
        <v>2493</v>
      </c>
      <c r="U893" s="242" t="s">
        <v>202</v>
      </c>
      <c r="V893" s="163"/>
      <c r="W893" s="163"/>
      <c r="X893" s="196"/>
      <c r="Y893" s="196"/>
      <c r="Z893" s="164"/>
      <c r="AA893" s="170"/>
      <c r="AB893" s="194" t="s">
        <v>208</v>
      </c>
      <c r="AC893" s="251"/>
      <c r="AD893" s="170"/>
      <c r="AE893" s="225"/>
      <c r="AF893" s="170"/>
      <c r="AG893" s="170"/>
      <c r="AH893" s="251"/>
      <c r="AI893" s="170"/>
      <c r="AJ893" s="196" t="s">
        <v>115</v>
      </c>
      <c r="AK893" s="22"/>
      <c r="AL893" s="170"/>
      <c r="AM893" s="170"/>
      <c r="AN893" s="170"/>
      <c r="AO893" s="170"/>
      <c r="AP893" s="170"/>
      <c r="AQ893" s="22"/>
      <c r="AR893" s="22"/>
      <c r="AS893" s="22"/>
      <c r="AT893" s="170"/>
      <c r="AU893" s="170"/>
      <c r="AV893" s="170"/>
      <c r="AW893" s="170"/>
      <c r="AX893" s="170"/>
      <c r="AY893" s="170"/>
      <c r="AZ893" s="170"/>
      <c r="BA893" s="170"/>
      <c r="BB893" s="170"/>
      <c r="BC893" s="170"/>
      <c r="BD893" s="170"/>
      <c r="BE893" s="137" t="s">
        <v>2488</v>
      </c>
      <c r="BF893" s="445" t="s">
        <v>2403</v>
      </c>
      <c r="BG893" s="139" t="s">
        <v>2404</v>
      </c>
      <c r="BH893" s="220"/>
      <c r="BI893" s="220"/>
      <c r="BJ893" s="220"/>
      <c r="BK893" s="46">
        <f t="shared" si="1"/>
        <v>1</v>
      </c>
      <c r="BL893" s="46"/>
      <c r="BM893" s="46"/>
      <c r="BN893" s="46"/>
    </row>
    <row r="894" spans="1:66" ht="12.75" hidden="1" customHeight="1">
      <c r="A894" s="22">
        <v>892</v>
      </c>
      <c r="B894" s="22" t="s">
        <v>3616</v>
      </c>
      <c r="C894" s="22" t="e">
        <f t="shared" ca="1" si="0"/>
        <v>#NAME?</v>
      </c>
      <c r="D894" s="24" t="s">
        <v>2405</v>
      </c>
      <c r="E894" s="22" t="s">
        <v>180</v>
      </c>
      <c r="F894" s="24" t="s">
        <v>2491</v>
      </c>
      <c r="G894" s="24" t="s">
        <v>2454</v>
      </c>
      <c r="H894" s="24"/>
      <c r="I894" s="24">
        <v>1</v>
      </c>
      <c r="J894" s="24" t="s">
        <v>2372</v>
      </c>
      <c r="K894" s="24"/>
      <c r="L894" s="24"/>
      <c r="M894" s="24"/>
      <c r="N894" s="24"/>
      <c r="O894" s="24"/>
      <c r="P894" s="170"/>
      <c r="Q894" s="170"/>
      <c r="R894" s="290"/>
      <c r="S894" s="242"/>
      <c r="T894" s="164"/>
      <c r="U894" s="242"/>
      <c r="V894" s="194"/>
      <c r="W894" s="194" t="s">
        <v>2405</v>
      </c>
      <c r="X894" s="196"/>
      <c r="Y894" s="196"/>
      <c r="Z894" s="164"/>
      <c r="AA894" s="170"/>
      <c r="AB894" s="194"/>
      <c r="AC894" s="251"/>
      <c r="AD894" s="170"/>
      <c r="AE894" s="225"/>
      <c r="AF894" s="170"/>
      <c r="AG894" s="170"/>
      <c r="AH894" s="251"/>
      <c r="AI894" s="170"/>
      <c r="AJ894" s="196"/>
      <c r="AK894" s="22"/>
      <c r="AL894" s="170"/>
      <c r="AM894" s="170"/>
      <c r="AN894" s="170"/>
      <c r="AO894" s="170"/>
      <c r="AP894" s="170"/>
      <c r="AQ894" s="22"/>
      <c r="AR894" s="22"/>
      <c r="AS894" s="22"/>
      <c r="AT894" s="170"/>
      <c r="AU894" s="170"/>
      <c r="AV894" s="170"/>
      <c r="AW894" s="170"/>
      <c r="AX894" s="170"/>
      <c r="AY894" s="170"/>
      <c r="AZ894" s="170"/>
      <c r="BA894" s="170"/>
      <c r="BB894" s="170"/>
      <c r="BC894" s="170"/>
      <c r="BD894" s="170"/>
      <c r="BE894" s="143" t="s">
        <v>115</v>
      </c>
      <c r="BF894" s="268" t="s">
        <v>2406</v>
      </c>
      <c r="BG894" s="167" t="s">
        <v>2407</v>
      </c>
      <c r="BH894" s="220"/>
      <c r="BI894" s="220"/>
      <c r="BJ894" s="220"/>
      <c r="BK894" s="46">
        <f t="shared" si="1"/>
        <v>1</v>
      </c>
      <c r="BL894" s="46"/>
      <c r="BM894" s="46"/>
      <c r="BN894" s="46"/>
    </row>
    <row r="895" spans="1:66" ht="12.75" hidden="1" customHeight="1">
      <c r="A895" s="22">
        <v>893</v>
      </c>
      <c r="B895" s="22" t="s">
        <v>535</v>
      </c>
      <c r="C895" s="22" t="e">
        <f t="shared" ca="1" si="0"/>
        <v>#NAME?</v>
      </c>
      <c r="D895" s="24" t="s">
        <v>405</v>
      </c>
      <c r="E895" s="22" t="s">
        <v>180</v>
      </c>
      <c r="F895" s="24" t="s">
        <v>2491</v>
      </c>
      <c r="G895" s="24" t="s">
        <v>2454</v>
      </c>
      <c r="H895" s="24"/>
      <c r="I895" s="24">
        <v>1</v>
      </c>
      <c r="J895" s="24" t="s">
        <v>2372</v>
      </c>
      <c r="K895" s="24"/>
      <c r="L895" s="24"/>
      <c r="M895" s="24"/>
      <c r="N895" s="24"/>
      <c r="O895" s="24"/>
      <c r="P895" s="170"/>
      <c r="Q895" s="170"/>
      <c r="R895" s="290"/>
      <c r="S895" s="242"/>
      <c r="T895" s="164"/>
      <c r="U895" s="242"/>
      <c r="V895" s="194"/>
      <c r="W895" s="194" t="s">
        <v>405</v>
      </c>
      <c r="X895" s="196"/>
      <c r="Y895" s="196"/>
      <c r="Z895" s="164"/>
      <c r="AA895" s="170"/>
      <c r="AB895" s="194"/>
      <c r="AC895" s="251"/>
      <c r="AD895" s="170"/>
      <c r="AE895" s="225"/>
      <c r="AF895" s="170"/>
      <c r="AG895" s="170"/>
      <c r="AH895" s="251"/>
      <c r="AI895" s="170"/>
      <c r="AJ895" s="196"/>
      <c r="AK895" s="22"/>
      <c r="AL895" s="170"/>
      <c r="AM895" s="170"/>
      <c r="AN895" s="170"/>
      <c r="AO895" s="170"/>
      <c r="AP895" s="170"/>
      <c r="AQ895" s="22"/>
      <c r="AR895" s="22"/>
      <c r="AS895" s="22"/>
      <c r="AT895" s="170"/>
      <c r="AU895" s="170"/>
      <c r="AV895" s="170"/>
      <c r="AW895" s="170"/>
      <c r="AX895" s="170"/>
      <c r="AY895" s="170"/>
      <c r="AZ895" s="170"/>
      <c r="BA895" s="170"/>
      <c r="BB895" s="170"/>
      <c r="BC895" s="170"/>
      <c r="BD895" s="170"/>
      <c r="BE895" s="143" t="s">
        <v>115</v>
      </c>
      <c r="BF895" s="268" t="s">
        <v>406</v>
      </c>
      <c r="BG895" s="167" t="s">
        <v>407</v>
      </c>
      <c r="BH895" s="220"/>
      <c r="BI895" s="220"/>
      <c r="BJ895" s="220"/>
      <c r="BK895" s="46">
        <f t="shared" si="1"/>
        <v>1</v>
      </c>
      <c r="BL895" s="46"/>
      <c r="BM895" s="46"/>
      <c r="BN895" s="46"/>
    </row>
    <row r="896" spans="1:66" ht="12.75" hidden="1" customHeight="1">
      <c r="A896" s="22">
        <v>894</v>
      </c>
      <c r="B896" s="22" t="s">
        <v>2495</v>
      </c>
      <c r="C896" s="22" t="str">
        <f t="shared" si="0"/>
        <v>Specify - Reason Antacid preparations to relieve heartburn counseling not done</v>
      </c>
      <c r="D896" s="24" t="s">
        <v>2495</v>
      </c>
      <c r="E896" s="22" t="s">
        <v>96</v>
      </c>
      <c r="F896" s="24" t="s">
        <v>1787</v>
      </c>
      <c r="G896" s="24" t="s">
        <v>2454</v>
      </c>
      <c r="H896" s="24"/>
      <c r="I896" s="24">
        <v>1</v>
      </c>
      <c r="J896" s="24" t="s">
        <v>2372</v>
      </c>
      <c r="K896" s="24"/>
      <c r="L896" s="24"/>
      <c r="M896" s="24"/>
      <c r="N896" s="24"/>
      <c r="O896" s="24"/>
      <c r="P896" s="170"/>
      <c r="Q896" s="170"/>
      <c r="R896" s="290" t="s">
        <v>409</v>
      </c>
      <c r="S896" s="242" t="s">
        <v>2496</v>
      </c>
      <c r="T896" s="164" t="s">
        <v>2410</v>
      </c>
      <c r="U896" s="242" t="s">
        <v>111</v>
      </c>
      <c r="V896" s="194"/>
      <c r="W896" s="194"/>
      <c r="X896" s="196"/>
      <c r="Y896" s="196"/>
      <c r="Z896" s="164"/>
      <c r="AA896" s="170"/>
      <c r="AB896" s="194" t="s">
        <v>208</v>
      </c>
      <c r="AC896" s="251"/>
      <c r="AD896" s="170"/>
      <c r="AE896" s="225"/>
      <c r="AF896" s="170"/>
      <c r="AG896" s="170"/>
      <c r="AH896" s="251"/>
      <c r="AI896" s="170"/>
      <c r="AJ896" s="196" t="s">
        <v>115</v>
      </c>
      <c r="AK896" s="22"/>
      <c r="AL896" s="170"/>
      <c r="AM896" s="170"/>
      <c r="AN896" s="170"/>
      <c r="AO896" s="170"/>
      <c r="AP896" s="170"/>
      <c r="AQ896" s="22"/>
      <c r="AR896" s="22"/>
      <c r="AS896" s="22"/>
      <c r="AT896" s="170"/>
      <c r="AU896" s="170"/>
      <c r="AV896" s="170"/>
      <c r="AW896" s="170"/>
      <c r="AX896" s="170"/>
      <c r="AY896" s="170"/>
      <c r="AZ896" s="170"/>
      <c r="BA896" s="170"/>
      <c r="BB896" s="170"/>
      <c r="BC896" s="170"/>
      <c r="BD896" s="170"/>
      <c r="BE896" s="143" t="s">
        <v>2488</v>
      </c>
      <c r="BF896" s="268" t="s">
        <v>2411</v>
      </c>
      <c r="BG896" s="167" t="s">
        <v>2412</v>
      </c>
      <c r="BH896" s="220"/>
      <c r="BI896" s="220"/>
      <c r="BJ896" s="220"/>
      <c r="BK896" s="46">
        <f t="shared" si="1"/>
        <v>1</v>
      </c>
      <c r="BL896" s="46"/>
      <c r="BM896" s="46"/>
      <c r="BN896" s="46"/>
    </row>
    <row r="897" spans="1:66" ht="12.75" hidden="1" customHeight="1">
      <c r="A897" s="22">
        <v>895</v>
      </c>
      <c r="B897" s="22" t="s">
        <v>2498</v>
      </c>
      <c r="C897" s="22" t="str">
        <f t="shared" si="0"/>
        <v>Non-pharmacological treatment for the relief of leg cramps counseling</v>
      </c>
      <c r="D897" s="24" t="s">
        <v>2498</v>
      </c>
      <c r="E897" s="22" t="s">
        <v>96</v>
      </c>
      <c r="F897" s="24" t="s">
        <v>1787</v>
      </c>
      <c r="G897" s="24" t="s">
        <v>2454</v>
      </c>
      <c r="H897" s="24"/>
      <c r="I897" s="24">
        <v>1</v>
      </c>
      <c r="J897" s="24" t="s">
        <v>2372</v>
      </c>
      <c r="K897" s="24"/>
      <c r="L897" s="24"/>
      <c r="M897" s="24"/>
      <c r="N897" s="24"/>
      <c r="O897" s="24"/>
      <c r="P897" s="170"/>
      <c r="Q897" s="170"/>
      <c r="R897" s="290" t="s">
        <v>2498</v>
      </c>
      <c r="S897" s="242" t="s">
        <v>2499</v>
      </c>
      <c r="T897" s="194" t="s">
        <v>2500</v>
      </c>
      <c r="U897" s="242" t="s">
        <v>202</v>
      </c>
      <c r="V897" s="194"/>
      <c r="W897" s="194"/>
      <c r="X897" s="196"/>
      <c r="Y897" s="196"/>
      <c r="Z897" s="164"/>
      <c r="AA897" s="170"/>
      <c r="AB897" s="196" t="s">
        <v>113</v>
      </c>
      <c r="AC897" s="251"/>
      <c r="AD897" s="170"/>
      <c r="AE897" s="225"/>
      <c r="AF897" s="170"/>
      <c r="AG897" s="170"/>
      <c r="AH897" s="251"/>
      <c r="AI897" s="170"/>
      <c r="AJ897" s="194" t="s">
        <v>2375</v>
      </c>
      <c r="AK897" s="22"/>
      <c r="AL897" s="170"/>
      <c r="AM897" s="170"/>
      <c r="AN897" s="170"/>
      <c r="AO897" s="170"/>
      <c r="AP897" s="170"/>
      <c r="AQ897" s="22"/>
      <c r="AR897" s="22"/>
      <c r="AS897" s="22"/>
      <c r="AT897" s="170"/>
      <c r="AU897" s="170"/>
      <c r="AV897" s="170"/>
      <c r="AW897" s="170"/>
      <c r="AX897" s="170"/>
      <c r="AY897" s="170"/>
      <c r="AZ897" s="170"/>
      <c r="BA897" s="170"/>
      <c r="BB897" s="170"/>
      <c r="BC897" s="170"/>
      <c r="BD897" s="170"/>
      <c r="BE897" s="137" t="s">
        <v>2501</v>
      </c>
      <c r="BF897" s="445" t="s">
        <v>2398</v>
      </c>
      <c r="BG897" s="139" t="s">
        <v>2399</v>
      </c>
      <c r="BH897" s="220"/>
      <c r="BI897" s="220"/>
      <c r="BJ897" s="220"/>
      <c r="BK897" s="46">
        <f t="shared" si="1"/>
        <v>1</v>
      </c>
      <c r="BL897" s="46"/>
      <c r="BM897" s="46"/>
      <c r="BN897" s="46"/>
    </row>
    <row r="898" spans="1:66" ht="12.75" hidden="1" customHeight="1">
      <c r="A898" s="22">
        <v>896</v>
      </c>
      <c r="B898" s="22" t="s">
        <v>2527</v>
      </c>
      <c r="C898" s="22" t="e">
        <f t="shared" ca="1" si="0"/>
        <v>#NAME?</v>
      </c>
      <c r="D898" s="24" t="s">
        <v>1673</v>
      </c>
      <c r="E898" s="22" t="s">
        <v>180</v>
      </c>
      <c r="F898" s="24" t="s">
        <v>2498</v>
      </c>
      <c r="G898" s="24" t="s">
        <v>2454</v>
      </c>
      <c r="H898" s="24"/>
      <c r="I898" s="24">
        <v>1</v>
      </c>
      <c r="J898" s="24" t="s">
        <v>2372</v>
      </c>
      <c r="K898" s="24"/>
      <c r="L898" s="24"/>
      <c r="M898" s="24"/>
      <c r="N898" s="24"/>
      <c r="O898" s="24"/>
      <c r="P898" s="170"/>
      <c r="Q898" s="170"/>
      <c r="R898" s="290"/>
      <c r="S898" s="242"/>
      <c r="T898" s="164"/>
      <c r="U898" s="242"/>
      <c r="V898" s="194"/>
      <c r="W898" s="194" t="s">
        <v>1673</v>
      </c>
      <c r="X898" s="196"/>
      <c r="Y898" s="196"/>
      <c r="Z898" s="164"/>
      <c r="AA898" s="170"/>
      <c r="AB898" s="194"/>
      <c r="AC898" s="251"/>
      <c r="AD898" s="170"/>
      <c r="AE898" s="225"/>
      <c r="AF898" s="170"/>
      <c r="AG898" s="170"/>
      <c r="AH898" s="251"/>
      <c r="AI898" s="170"/>
      <c r="AJ898" s="196"/>
      <c r="AK898" s="22"/>
      <c r="AL898" s="170"/>
      <c r="AM898" s="170"/>
      <c r="AN898" s="170"/>
      <c r="AO898" s="170"/>
      <c r="AP898" s="170"/>
      <c r="AQ898" s="22"/>
      <c r="AR898" s="22"/>
      <c r="AS898" s="22"/>
      <c r="AT898" s="170"/>
      <c r="AU898" s="170"/>
      <c r="AV898" s="170"/>
      <c r="AW898" s="170"/>
      <c r="AX898" s="170"/>
      <c r="AY898" s="170"/>
      <c r="AZ898" s="170"/>
      <c r="BA898" s="170"/>
      <c r="BB898" s="170"/>
      <c r="BC898" s="170"/>
      <c r="BD898" s="170"/>
      <c r="BE898" s="137" t="s">
        <v>115</v>
      </c>
      <c r="BF898" s="445" t="s">
        <v>942</v>
      </c>
      <c r="BG898" s="167" t="s">
        <v>943</v>
      </c>
      <c r="BH898" s="220"/>
      <c r="BI898" s="220"/>
      <c r="BJ898" s="220"/>
      <c r="BK898" s="46">
        <f t="shared" si="1"/>
        <v>1</v>
      </c>
      <c r="BL898" s="46"/>
      <c r="BM898" s="46"/>
      <c r="BN898" s="46"/>
    </row>
    <row r="899" spans="1:66" ht="12.75" hidden="1" customHeight="1">
      <c r="A899" s="22">
        <v>897</v>
      </c>
      <c r="B899" s="22" t="s">
        <v>2118</v>
      </c>
      <c r="C899" s="22" t="e">
        <f t="shared" ca="1" si="0"/>
        <v>#NAME?</v>
      </c>
      <c r="D899" s="24" t="s">
        <v>1468</v>
      </c>
      <c r="E899" s="22" t="s">
        <v>180</v>
      </c>
      <c r="F899" s="24" t="s">
        <v>2498</v>
      </c>
      <c r="G899" s="24" t="s">
        <v>2454</v>
      </c>
      <c r="H899" s="24"/>
      <c r="I899" s="24">
        <v>1</v>
      </c>
      <c r="J899" s="24" t="s">
        <v>2372</v>
      </c>
      <c r="K899" s="24"/>
      <c r="L899" s="24"/>
      <c r="M899" s="24"/>
      <c r="N899" s="24"/>
      <c r="O899" s="24"/>
      <c r="P899" s="170"/>
      <c r="Q899" s="170"/>
      <c r="R899" s="290"/>
      <c r="S899" s="242"/>
      <c r="T899" s="164"/>
      <c r="U899" s="242"/>
      <c r="V899" s="163"/>
      <c r="W899" s="163" t="s">
        <v>1468</v>
      </c>
      <c r="X899" s="196"/>
      <c r="Y899" s="196"/>
      <c r="Z899" s="164"/>
      <c r="AA899" s="170"/>
      <c r="AB899" s="194"/>
      <c r="AC899" s="251"/>
      <c r="AD899" s="170"/>
      <c r="AE899" s="225"/>
      <c r="AF899" s="170"/>
      <c r="AG899" s="170"/>
      <c r="AH899" s="251"/>
      <c r="AI899" s="170"/>
      <c r="AJ899" s="196"/>
      <c r="AK899" s="22"/>
      <c r="AL899" s="170"/>
      <c r="AM899" s="170"/>
      <c r="AN899" s="170"/>
      <c r="AO899" s="170"/>
      <c r="AP899" s="170"/>
      <c r="AQ899" s="22"/>
      <c r="AR899" s="22"/>
      <c r="AS899" s="22"/>
      <c r="AT899" s="170"/>
      <c r="AU899" s="170"/>
      <c r="AV899" s="170"/>
      <c r="AW899" s="170"/>
      <c r="AX899" s="170"/>
      <c r="AY899" s="170"/>
      <c r="AZ899" s="170"/>
      <c r="BA899" s="170"/>
      <c r="BB899" s="170"/>
      <c r="BC899" s="170"/>
      <c r="BD899" s="170"/>
      <c r="BE899" s="137" t="s">
        <v>115</v>
      </c>
      <c r="BF899" s="445" t="s">
        <v>1469</v>
      </c>
      <c r="BG899" s="167" t="s">
        <v>1470</v>
      </c>
      <c r="BH899" s="220"/>
      <c r="BI899" s="220"/>
      <c r="BJ899" s="220"/>
      <c r="BK899" s="46">
        <f t="shared" si="1"/>
        <v>1</v>
      </c>
      <c r="BL899" s="46"/>
      <c r="BM899" s="46"/>
      <c r="BN899" s="46"/>
    </row>
    <row r="900" spans="1:66" ht="12.75" hidden="1" customHeight="1">
      <c r="A900" s="22">
        <v>898</v>
      </c>
      <c r="B900" s="22" t="s">
        <v>2503</v>
      </c>
      <c r="C900" s="22" t="str">
        <f t="shared" si="0"/>
        <v>Reason Non-pharmacological treatment for the relief of leg cramps counseling not done</v>
      </c>
      <c r="D900" s="24" t="s">
        <v>2503</v>
      </c>
      <c r="E900" s="22" t="s">
        <v>96</v>
      </c>
      <c r="F900" s="24" t="s">
        <v>1787</v>
      </c>
      <c r="G900" s="24" t="s">
        <v>2454</v>
      </c>
      <c r="H900" s="24"/>
      <c r="I900" s="24">
        <v>1</v>
      </c>
      <c r="J900" s="24" t="s">
        <v>2372</v>
      </c>
      <c r="K900" s="24"/>
      <c r="L900" s="24"/>
      <c r="M900" s="24"/>
      <c r="N900" s="24"/>
      <c r="O900" s="24"/>
      <c r="P900" s="170"/>
      <c r="Q900" s="170"/>
      <c r="R900" s="290" t="s">
        <v>1376</v>
      </c>
      <c r="S900" s="242" t="s">
        <v>2504</v>
      </c>
      <c r="T900" s="164" t="s">
        <v>2505</v>
      </c>
      <c r="U900" s="242" t="s">
        <v>202</v>
      </c>
      <c r="V900" s="163"/>
      <c r="W900" s="163"/>
      <c r="X900" s="196"/>
      <c r="Y900" s="196"/>
      <c r="Z900" s="164"/>
      <c r="AA900" s="170"/>
      <c r="AB900" s="194" t="s">
        <v>208</v>
      </c>
      <c r="AC900" s="251"/>
      <c r="AD900" s="170"/>
      <c r="AE900" s="225"/>
      <c r="AF900" s="170"/>
      <c r="AG900" s="170"/>
      <c r="AH900" s="251"/>
      <c r="AI900" s="170"/>
      <c r="AJ900" s="196" t="s">
        <v>115</v>
      </c>
      <c r="AK900" s="22"/>
      <c r="AL900" s="170"/>
      <c r="AM900" s="170"/>
      <c r="AN900" s="170"/>
      <c r="AO900" s="170"/>
      <c r="AP900" s="170"/>
      <c r="AQ900" s="22"/>
      <c r="AR900" s="22"/>
      <c r="AS900" s="22"/>
      <c r="AT900" s="170"/>
      <c r="AU900" s="170"/>
      <c r="AV900" s="170"/>
      <c r="AW900" s="170"/>
      <c r="AX900" s="170"/>
      <c r="AY900" s="170"/>
      <c r="AZ900" s="170"/>
      <c r="BA900" s="170"/>
      <c r="BB900" s="170"/>
      <c r="BC900" s="170"/>
      <c r="BD900" s="170"/>
      <c r="BE900" s="137" t="s">
        <v>2501</v>
      </c>
      <c r="BF900" s="445" t="s">
        <v>2403</v>
      </c>
      <c r="BG900" s="139" t="s">
        <v>2404</v>
      </c>
      <c r="BH900" s="220"/>
      <c r="BI900" s="220"/>
      <c r="BJ900" s="220"/>
      <c r="BK900" s="46">
        <f t="shared" si="1"/>
        <v>1</v>
      </c>
      <c r="BL900" s="46"/>
      <c r="BM900" s="46"/>
      <c r="BN900" s="46"/>
    </row>
    <row r="901" spans="1:66" ht="12.75" hidden="1" customHeight="1">
      <c r="A901" s="22">
        <v>899</v>
      </c>
      <c r="B901" s="22" t="s">
        <v>3616</v>
      </c>
      <c r="C901" s="22" t="e">
        <f t="shared" ca="1" si="0"/>
        <v>#NAME?</v>
      </c>
      <c r="D901" s="24" t="s">
        <v>2405</v>
      </c>
      <c r="E901" s="22" t="s">
        <v>180</v>
      </c>
      <c r="F901" s="24" t="s">
        <v>2503</v>
      </c>
      <c r="G901" s="24" t="s">
        <v>2454</v>
      </c>
      <c r="H901" s="24"/>
      <c r="I901" s="24">
        <v>1</v>
      </c>
      <c r="J901" s="24" t="s">
        <v>2372</v>
      </c>
      <c r="K901" s="24"/>
      <c r="L901" s="24"/>
      <c r="M901" s="24"/>
      <c r="N901" s="24"/>
      <c r="O901" s="24"/>
      <c r="P901" s="170"/>
      <c r="Q901" s="170"/>
      <c r="R901" s="290"/>
      <c r="S901" s="242"/>
      <c r="T901" s="164"/>
      <c r="U901" s="242"/>
      <c r="V901" s="194"/>
      <c r="W901" s="194" t="s">
        <v>2405</v>
      </c>
      <c r="X901" s="196"/>
      <c r="Y901" s="196"/>
      <c r="Z901" s="164"/>
      <c r="AA901" s="170"/>
      <c r="AB901" s="194"/>
      <c r="AC901" s="251"/>
      <c r="AD901" s="170"/>
      <c r="AE901" s="225"/>
      <c r="AF901" s="170"/>
      <c r="AG901" s="170"/>
      <c r="AH901" s="251"/>
      <c r="AI901" s="170"/>
      <c r="AJ901" s="196"/>
      <c r="AK901" s="22"/>
      <c r="AL901" s="170"/>
      <c r="AM901" s="170"/>
      <c r="AN901" s="170"/>
      <c r="AO901" s="170"/>
      <c r="AP901" s="170"/>
      <c r="AQ901" s="22"/>
      <c r="AR901" s="22"/>
      <c r="AS901" s="22"/>
      <c r="AT901" s="170"/>
      <c r="AU901" s="170"/>
      <c r="AV901" s="170"/>
      <c r="AW901" s="170"/>
      <c r="AX901" s="170"/>
      <c r="AY901" s="170"/>
      <c r="AZ901" s="170"/>
      <c r="BA901" s="170"/>
      <c r="BB901" s="170"/>
      <c r="BC901" s="170"/>
      <c r="BD901" s="170"/>
      <c r="BE901" s="143" t="s">
        <v>115</v>
      </c>
      <c r="BF901" s="268" t="s">
        <v>2406</v>
      </c>
      <c r="BG901" s="167" t="s">
        <v>2407</v>
      </c>
      <c r="BH901" s="220"/>
      <c r="BI901" s="220"/>
      <c r="BJ901" s="220"/>
      <c r="BK901" s="46">
        <f t="shared" si="1"/>
        <v>1</v>
      </c>
      <c r="BL901" s="46"/>
      <c r="BM901" s="46"/>
      <c r="BN901" s="46"/>
    </row>
    <row r="902" spans="1:66" ht="12.75" hidden="1" customHeight="1">
      <c r="A902" s="22">
        <v>900</v>
      </c>
      <c r="B902" s="22" t="s">
        <v>535</v>
      </c>
      <c r="C902" s="22" t="e">
        <f t="shared" ca="1" si="0"/>
        <v>#NAME?</v>
      </c>
      <c r="D902" s="24" t="s">
        <v>405</v>
      </c>
      <c r="E902" s="22" t="s">
        <v>180</v>
      </c>
      <c r="F902" s="24" t="s">
        <v>2503</v>
      </c>
      <c r="G902" s="24" t="s">
        <v>2454</v>
      </c>
      <c r="H902" s="24"/>
      <c r="I902" s="24">
        <v>1</v>
      </c>
      <c r="J902" s="24" t="s">
        <v>2372</v>
      </c>
      <c r="K902" s="24"/>
      <c r="L902" s="24"/>
      <c r="M902" s="24"/>
      <c r="N902" s="24"/>
      <c r="O902" s="24"/>
      <c r="P902" s="170"/>
      <c r="Q902" s="170"/>
      <c r="R902" s="290"/>
      <c r="S902" s="242"/>
      <c r="T902" s="164"/>
      <c r="U902" s="242"/>
      <c r="V902" s="194"/>
      <c r="W902" s="194" t="s">
        <v>405</v>
      </c>
      <c r="X902" s="196"/>
      <c r="Y902" s="196"/>
      <c r="Z902" s="164"/>
      <c r="AA902" s="170"/>
      <c r="AB902" s="194"/>
      <c r="AC902" s="251"/>
      <c r="AD902" s="170"/>
      <c r="AE902" s="225"/>
      <c r="AF902" s="170"/>
      <c r="AG902" s="170"/>
      <c r="AH902" s="251"/>
      <c r="AI902" s="170"/>
      <c r="AJ902" s="196"/>
      <c r="AK902" s="22"/>
      <c r="AL902" s="170"/>
      <c r="AM902" s="170"/>
      <c r="AN902" s="170"/>
      <c r="AO902" s="170"/>
      <c r="AP902" s="170"/>
      <c r="AQ902" s="22"/>
      <c r="AR902" s="22"/>
      <c r="AS902" s="22"/>
      <c r="AT902" s="170"/>
      <c r="AU902" s="170"/>
      <c r="AV902" s="170"/>
      <c r="AW902" s="170"/>
      <c r="AX902" s="170"/>
      <c r="AY902" s="170"/>
      <c r="AZ902" s="170"/>
      <c r="BA902" s="170"/>
      <c r="BB902" s="170"/>
      <c r="BC902" s="170"/>
      <c r="BD902" s="170"/>
      <c r="BE902" s="143" t="s">
        <v>115</v>
      </c>
      <c r="BF902" s="268" t="s">
        <v>406</v>
      </c>
      <c r="BG902" s="167" t="s">
        <v>407</v>
      </c>
      <c r="BH902" s="220"/>
      <c r="BI902" s="220"/>
      <c r="BJ902" s="220"/>
      <c r="BK902" s="46">
        <f t="shared" si="1"/>
        <v>1</v>
      </c>
      <c r="BL902" s="46"/>
      <c r="BM902" s="46"/>
      <c r="BN902" s="46"/>
    </row>
    <row r="903" spans="1:66" ht="12.75" hidden="1" customHeight="1">
      <c r="A903" s="22">
        <v>901</v>
      </c>
      <c r="B903" s="22" t="s">
        <v>2508</v>
      </c>
      <c r="C903" s="22" t="str">
        <f t="shared" si="0"/>
        <v>Specify - Reason Non-pharmacological treatment for the relief of leg cramps counseling not done</v>
      </c>
      <c r="D903" s="24" t="s">
        <v>2508</v>
      </c>
      <c r="E903" s="22" t="s">
        <v>96</v>
      </c>
      <c r="F903" s="24" t="s">
        <v>1787</v>
      </c>
      <c r="G903" s="24" t="s">
        <v>2454</v>
      </c>
      <c r="H903" s="24"/>
      <c r="I903" s="24">
        <v>1</v>
      </c>
      <c r="J903" s="24" t="s">
        <v>2372</v>
      </c>
      <c r="K903" s="24"/>
      <c r="L903" s="24"/>
      <c r="M903" s="24"/>
      <c r="N903" s="24"/>
      <c r="O903" s="24"/>
      <c r="P903" s="170"/>
      <c r="Q903" s="170"/>
      <c r="R903" s="290" t="s">
        <v>409</v>
      </c>
      <c r="S903" s="242" t="s">
        <v>2509</v>
      </c>
      <c r="T903" s="164" t="s">
        <v>2410</v>
      </c>
      <c r="U903" s="242" t="s">
        <v>111</v>
      </c>
      <c r="V903" s="194"/>
      <c r="W903" s="194"/>
      <c r="X903" s="196"/>
      <c r="Y903" s="196"/>
      <c r="Z903" s="164"/>
      <c r="AA903" s="170"/>
      <c r="AB903" s="194" t="s">
        <v>208</v>
      </c>
      <c r="AC903" s="251"/>
      <c r="AD903" s="170"/>
      <c r="AE903" s="225"/>
      <c r="AF903" s="170"/>
      <c r="AG903" s="170"/>
      <c r="AH903" s="251"/>
      <c r="AI903" s="170"/>
      <c r="AJ903" s="196" t="s">
        <v>115</v>
      </c>
      <c r="AK903" s="22"/>
      <c r="AL903" s="170"/>
      <c r="AM903" s="170"/>
      <c r="AN903" s="170"/>
      <c r="AO903" s="170"/>
      <c r="AP903" s="170"/>
      <c r="AQ903" s="22"/>
      <c r="AR903" s="22"/>
      <c r="AS903" s="22"/>
      <c r="AT903" s="170"/>
      <c r="AU903" s="170"/>
      <c r="AV903" s="170"/>
      <c r="AW903" s="170"/>
      <c r="AX903" s="170"/>
      <c r="AY903" s="170"/>
      <c r="AZ903" s="170"/>
      <c r="BA903" s="170"/>
      <c r="BB903" s="170"/>
      <c r="BC903" s="170"/>
      <c r="BD903" s="170"/>
      <c r="BE903" s="143" t="s">
        <v>2501</v>
      </c>
      <c r="BF903" s="268" t="s">
        <v>2411</v>
      </c>
      <c r="BG903" s="167" t="s">
        <v>2412</v>
      </c>
      <c r="BH903" s="220"/>
      <c r="BI903" s="220"/>
      <c r="BJ903" s="220"/>
      <c r="BK903" s="46">
        <f t="shared" si="1"/>
        <v>1</v>
      </c>
      <c r="BL903" s="46"/>
      <c r="BM903" s="46"/>
      <c r="BN903" s="46"/>
    </row>
    <row r="904" spans="1:66" ht="12.75" hidden="1" customHeight="1">
      <c r="A904" s="22">
        <v>902</v>
      </c>
      <c r="B904" s="22" t="s">
        <v>2510</v>
      </c>
      <c r="C904" s="22" t="str">
        <f t="shared" si="0"/>
        <v>Magnesium and calcium to relieve leg cramps counseling</v>
      </c>
      <c r="D904" s="24" t="s">
        <v>2510</v>
      </c>
      <c r="E904" s="22" t="s">
        <v>96</v>
      </c>
      <c r="F904" s="24" t="s">
        <v>1787</v>
      </c>
      <c r="G904" s="24" t="s">
        <v>2454</v>
      </c>
      <c r="H904" s="24"/>
      <c r="I904" s="24">
        <v>1</v>
      </c>
      <c r="J904" s="24" t="s">
        <v>2372</v>
      </c>
      <c r="K904" s="24"/>
      <c r="L904" s="24"/>
      <c r="M904" s="24"/>
      <c r="N904" s="24"/>
      <c r="O904" s="24"/>
      <c r="P904" s="170"/>
      <c r="Q904" s="170"/>
      <c r="R904" s="290" t="s">
        <v>2510</v>
      </c>
      <c r="S904" s="242" t="s">
        <v>2511</v>
      </c>
      <c r="T904" s="194" t="s">
        <v>2512</v>
      </c>
      <c r="U904" s="242" t="s">
        <v>202</v>
      </c>
      <c r="V904" s="194"/>
      <c r="W904" s="194"/>
      <c r="X904" s="196"/>
      <c r="Y904" s="196"/>
      <c r="Z904" s="164"/>
      <c r="AA904" s="170"/>
      <c r="AB904" s="196" t="s">
        <v>208</v>
      </c>
      <c r="AC904" s="251"/>
      <c r="AD904" s="170"/>
      <c r="AE904" s="225"/>
      <c r="AF904" s="170"/>
      <c r="AG904" s="170"/>
      <c r="AH904" s="251"/>
      <c r="AI904" s="170"/>
      <c r="AJ904" s="194" t="s">
        <v>2375</v>
      </c>
      <c r="AK904" s="22"/>
      <c r="AL904" s="170"/>
      <c r="AM904" s="170"/>
      <c r="AN904" s="170"/>
      <c r="AO904" s="170"/>
      <c r="AP904" s="170"/>
      <c r="AQ904" s="22"/>
      <c r="AR904" s="22"/>
      <c r="AS904" s="22"/>
      <c r="AT904" s="170"/>
      <c r="AU904" s="170"/>
      <c r="AV904" s="170"/>
      <c r="AW904" s="170"/>
      <c r="AX904" s="170"/>
      <c r="AY904" s="170"/>
      <c r="AZ904" s="170"/>
      <c r="BA904" s="170"/>
      <c r="BB904" s="170"/>
      <c r="BC904" s="170"/>
      <c r="BD904" s="170"/>
      <c r="BE904" s="137" t="s">
        <v>2514</v>
      </c>
      <c r="BF904" s="445" t="s">
        <v>2398</v>
      </c>
      <c r="BG904" s="139" t="s">
        <v>2399</v>
      </c>
      <c r="BH904" s="220"/>
      <c r="BI904" s="220"/>
      <c r="BJ904" s="220"/>
      <c r="BK904" s="46">
        <f t="shared" si="1"/>
        <v>1</v>
      </c>
      <c r="BL904" s="46"/>
      <c r="BM904" s="46"/>
      <c r="BN904" s="46"/>
    </row>
    <row r="905" spans="1:66" ht="12.75" hidden="1" customHeight="1">
      <c r="A905" s="22">
        <v>903</v>
      </c>
      <c r="B905" s="22" t="s">
        <v>2527</v>
      </c>
      <c r="C905" s="22" t="e">
        <f t="shared" ca="1" si="0"/>
        <v>#NAME?</v>
      </c>
      <c r="D905" s="24" t="s">
        <v>1673</v>
      </c>
      <c r="E905" s="22" t="s">
        <v>180</v>
      </c>
      <c r="F905" s="24" t="s">
        <v>2510</v>
      </c>
      <c r="G905" s="24" t="s">
        <v>2454</v>
      </c>
      <c r="H905" s="24"/>
      <c r="I905" s="24">
        <v>1</v>
      </c>
      <c r="J905" s="24" t="s">
        <v>2372</v>
      </c>
      <c r="K905" s="24"/>
      <c r="L905" s="24"/>
      <c r="M905" s="24"/>
      <c r="N905" s="24"/>
      <c r="O905" s="24"/>
      <c r="P905" s="170"/>
      <c r="Q905" s="170"/>
      <c r="R905" s="290"/>
      <c r="S905" s="242"/>
      <c r="T905" s="164"/>
      <c r="U905" s="242"/>
      <c r="V905" s="194"/>
      <c r="W905" s="194" t="s">
        <v>1673</v>
      </c>
      <c r="X905" s="196"/>
      <c r="Y905" s="196"/>
      <c r="Z905" s="164"/>
      <c r="AA905" s="170"/>
      <c r="AB905" s="194"/>
      <c r="AC905" s="251"/>
      <c r="AD905" s="170"/>
      <c r="AE905" s="225"/>
      <c r="AF905" s="170"/>
      <c r="AG905" s="170"/>
      <c r="AH905" s="251"/>
      <c r="AI905" s="170"/>
      <c r="AJ905" s="194"/>
      <c r="AK905" s="22"/>
      <c r="AL905" s="170"/>
      <c r="AM905" s="170"/>
      <c r="AN905" s="170"/>
      <c r="AO905" s="170"/>
      <c r="AP905" s="170"/>
      <c r="AQ905" s="22"/>
      <c r="AR905" s="22"/>
      <c r="AS905" s="22"/>
      <c r="AT905" s="170"/>
      <c r="AU905" s="170"/>
      <c r="AV905" s="170"/>
      <c r="AW905" s="170"/>
      <c r="AX905" s="170"/>
      <c r="AY905" s="170"/>
      <c r="AZ905" s="170"/>
      <c r="BA905" s="170"/>
      <c r="BB905" s="170"/>
      <c r="BC905" s="170"/>
      <c r="BD905" s="170"/>
      <c r="BE905" s="137" t="s">
        <v>115</v>
      </c>
      <c r="BF905" s="445" t="s">
        <v>942</v>
      </c>
      <c r="BG905" s="167" t="s">
        <v>943</v>
      </c>
      <c r="BH905" s="220"/>
      <c r="BI905" s="220"/>
      <c r="BJ905" s="220"/>
      <c r="BK905" s="46">
        <f t="shared" si="1"/>
        <v>1</v>
      </c>
      <c r="BL905" s="46"/>
      <c r="BM905" s="46"/>
      <c r="BN905" s="46"/>
    </row>
    <row r="906" spans="1:66" ht="12.75" hidden="1" customHeight="1">
      <c r="A906" s="22">
        <v>904</v>
      </c>
      <c r="B906" s="22" t="s">
        <v>2118</v>
      </c>
      <c r="C906" s="22" t="e">
        <f t="shared" ca="1" si="0"/>
        <v>#NAME?</v>
      </c>
      <c r="D906" s="24" t="s">
        <v>1468</v>
      </c>
      <c r="E906" s="22" t="s">
        <v>180</v>
      </c>
      <c r="F906" s="24" t="s">
        <v>2510</v>
      </c>
      <c r="G906" s="24" t="s">
        <v>2454</v>
      </c>
      <c r="H906" s="24"/>
      <c r="I906" s="24">
        <v>1</v>
      </c>
      <c r="J906" s="24" t="s">
        <v>2372</v>
      </c>
      <c r="K906" s="24"/>
      <c r="L906" s="24"/>
      <c r="M906" s="24"/>
      <c r="N906" s="24"/>
      <c r="O906" s="24"/>
      <c r="P906" s="170"/>
      <c r="Q906" s="170"/>
      <c r="R906" s="290"/>
      <c r="S906" s="242"/>
      <c r="T906" s="164"/>
      <c r="U906" s="242"/>
      <c r="V906" s="163"/>
      <c r="W906" s="163" t="s">
        <v>1468</v>
      </c>
      <c r="X906" s="196"/>
      <c r="Y906" s="196"/>
      <c r="Z906" s="164"/>
      <c r="AA906" s="170"/>
      <c r="AB906" s="194"/>
      <c r="AC906" s="251"/>
      <c r="AD906" s="170"/>
      <c r="AE906" s="225"/>
      <c r="AF906" s="170"/>
      <c r="AG906" s="170"/>
      <c r="AH906" s="251"/>
      <c r="AI906" s="170"/>
      <c r="AJ906" s="194"/>
      <c r="AK906" s="22"/>
      <c r="AL906" s="170"/>
      <c r="AM906" s="170"/>
      <c r="AN906" s="170"/>
      <c r="AO906" s="170"/>
      <c r="AP906" s="170"/>
      <c r="AQ906" s="22"/>
      <c r="AR906" s="22"/>
      <c r="AS906" s="22"/>
      <c r="AT906" s="170"/>
      <c r="AU906" s="170"/>
      <c r="AV906" s="170"/>
      <c r="AW906" s="170"/>
      <c r="AX906" s="170"/>
      <c r="AY906" s="170"/>
      <c r="AZ906" s="170"/>
      <c r="BA906" s="170"/>
      <c r="BB906" s="170"/>
      <c r="BC906" s="170"/>
      <c r="BD906" s="170"/>
      <c r="BE906" s="137" t="s">
        <v>115</v>
      </c>
      <c r="BF906" s="445" t="s">
        <v>1469</v>
      </c>
      <c r="BG906" s="167" t="s">
        <v>1470</v>
      </c>
      <c r="BH906" s="220"/>
      <c r="BI906" s="220"/>
      <c r="BJ906" s="220"/>
      <c r="BK906" s="46">
        <f t="shared" si="1"/>
        <v>1</v>
      </c>
      <c r="BL906" s="46"/>
      <c r="BM906" s="46"/>
      <c r="BN906" s="46"/>
    </row>
    <row r="907" spans="1:66" ht="12.75" hidden="1" customHeight="1">
      <c r="A907" s="22">
        <v>905</v>
      </c>
      <c r="B907" s="22" t="s">
        <v>2515</v>
      </c>
      <c r="C907" s="22" t="str">
        <f t="shared" si="0"/>
        <v>Reason Magnesium and calcium to relieve leg cramps counseling not done</v>
      </c>
      <c r="D907" s="24" t="s">
        <v>2515</v>
      </c>
      <c r="E907" s="22" t="s">
        <v>96</v>
      </c>
      <c r="F907" s="24" t="s">
        <v>1787</v>
      </c>
      <c r="G907" s="24" t="s">
        <v>2454</v>
      </c>
      <c r="H907" s="24"/>
      <c r="I907" s="24">
        <v>1</v>
      </c>
      <c r="J907" s="24" t="s">
        <v>2372</v>
      </c>
      <c r="K907" s="24"/>
      <c r="L907" s="24"/>
      <c r="M907" s="24"/>
      <c r="N907" s="24"/>
      <c r="O907" s="24"/>
      <c r="P907" s="170"/>
      <c r="Q907" s="170"/>
      <c r="R907" s="290" t="s">
        <v>1376</v>
      </c>
      <c r="S907" s="242" t="s">
        <v>2516</v>
      </c>
      <c r="T907" s="164" t="s">
        <v>2517</v>
      </c>
      <c r="U907" s="242" t="s">
        <v>202</v>
      </c>
      <c r="V907" s="163"/>
      <c r="W907" s="163"/>
      <c r="X907" s="196"/>
      <c r="Y907" s="196"/>
      <c r="Z907" s="164"/>
      <c r="AA907" s="170"/>
      <c r="AB907" s="194" t="s">
        <v>208</v>
      </c>
      <c r="AC907" s="251"/>
      <c r="AD907" s="170"/>
      <c r="AE907" s="225"/>
      <c r="AF907" s="170"/>
      <c r="AG907" s="170"/>
      <c r="AH907" s="251"/>
      <c r="AI907" s="170"/>
      <c r="AJ907" s="194" t="s">
        <v>115</v>
      </c>
      <c r="AK907" s="22"/>
      <c r="AL907" s="170"/>
      <c r="AM907" s="170"/>
      <c r="AN907" s="170"/>
      <c r="AO907" s="170"/>
      <c r="AP907" s="170"/>
      <c r="AQ907" s="22"/>
      <c r="AR907" s="22"/>
      <c r="AS907" s="22"/>
      <c r="AT907" s="170"/>
      <c r="AU907" s="170"/>
      <c r="AV907" s="170"/>
      <c r="AW907" s="170"/>
      <c r="AX907" s="170"/>
      <c r="AY907" s="170"/>
      <c r="AZ907" s="170"/>
      <c r="BA907" s="170"/>
      <c r="BB907" s="170"/>
      <c r="BC907" s="170"/>
      <c r="BD907" s="170"/>
      <c r="BE907" s="137" t="s">
        <v>2514</v>
      </c>
      <c r="BF907" s="445" t="s">
        <v>2403</v>
      </c>
      <c r="BG907" s="139" t="s">
        <v>2404</v>
      </c>
      <c r="BH907" s="220"/>
      <c r="BI907" s="220"/>
      <c r="BJ907" s="220"/>
      <c r="BK907" s="46">
        <f t="shared" si="1"/>
        <v>1</v>
      </c>
      <c r="BL907" s="46"/>
      <c r="BM907" s="46"/>
      <c r="BN907" s="46"/>
    </row>
    <row r="908" spans="1:66" ht="12.75" hidden="1" customHeight="1">
      <c r="A908" s="22">
        <v>906</v>
      </c>
      <c r="B908" s="22" t="s">
        <v>3616</v>
      </c>
      <c r="C908" s="22" t="e">
        <f t="shared" ca="1" si="0"/>
        <v>#NAME?</v>
      </c>
      <c r="D908" s="24" t="s">
        <v>2405</v>
      </c>
      <c r="E908" s="22" t="s">
        <v>180</v>
      </c>
      <c r="F908" s="24" t="s">
        <v>2515</v>
      </c>
      <c r="G908" s="24" t="s">
        <v>2454</v>
      </c>
      <c r="H908" s="24"/>
      <c r="I908" s="24">
        <v>1</v>
      </c>
      <c r="J908" s="24" t="s">
        <v>2372</v>
      </c>
      <c r="K908" s="24"/>
      <c r="L908" s="24"/>
      <c r="M908" s="24"/>
      <c r="N908" s="24"/>
      <c r="O908" s="24"/>
      <c r="P908" s="170"/>
      <c r="Q908" s="170"/>
      <c r="R908" s="290"/>
      <c r="S908" s="242"/>
      <c r="T908" s="164"/>
      <c r="U908" s="242"/>
      <c r="V908" s="194"/>
      <c r="W908" s="194" t="s">
        <v>2405</v>
      </c>
      <c r="X908" s="196"/>
      <c r="Y908" s="196"/>
      <c r="Z908" s="164"/>
      <c r="AA908" s="170"/>
      <c r="AB908" s="194"/>
      <c r="AC908" s="251"/>
      <c r="AD908" s="170"/>
      <c r="AE908" s="225"/>
      <c r="AF908" s="170"/>
      <c r="AG908" s="170"/>
      <c r="AH908" s="251"/>
      <c r="AI908" s="170"/>
      <c r="AJ908" s="194"/>
      <c r="AK908" s="22"/>
      <c r="AL908" s="170"/>
      <c r="AM908" s="170"/>
      <c r="AN908" s="170"/>
      <c r="AO908" s="170"/>
      <c r="AP908" s="170"/>
      <c r="AQ908" s="22"/>
      <c r="AR908" s="22"/>
      <c r="AS908" s="22"/>
      <c r="AT908" s="170"/>
      <c r="AU908" s="170"/>
      <c r="AV908" s="170"/>
      <c r="AW908" s="170"/>
      <c r="AX908" s="170"/>
      <c r="AY908" s="170"/>
      <c r="AZ908" s="170"/>
      <c r="BA908" s="170"/>
      <c r="BB908" s="170"/>
      <c r="BC908" s="170"/>
      <c r="BD908" s="170"/>
      <c r="BE908" s="143" t="s">
        <v>115</v>
      </c>
      <c r="BF908" s="268" t="s">
        <v>2406</v>
      </c>
      <c r="BG908" s="167" t="s">
        <v>2407</v>
      </c>
      <c r="BH908" s="220"/>
      <c r="BI908" s="220"/>
      <c r="BJ908" s="220"/>
      <c r="BK908" s="46">
        <f t="shared" si="1"/>
        <v>1</v>
      </c>
      <c r="BL908" s="46"/>
      <c r="BM908" s="46"/>
      <c r="BN908" s="46"/>
    </row>
    <row r="909" spans="1:66" ht="12.75" hidden="1" customHeight="1">
      <c r="A909" s="22">
        <v>907</v>
      </c>
      <c r="B909" s="22" t="s">
        <v>535</v>
      </c>
      <c r="C909" s="22" t="e">
        <f t="shared" ca="1" si="0"/>
        <v>#NAME?</v>
      </c>
      <c r="D909" s="24" t="s">
        <v>405</v>
      </c>
      <c r="E909" s="22" t="s">
        <v>180</v>
      </c>
      <c r="F909" s="24" t="s">
        <v>2515</v>
      </c>
      <c r="G909" s="24" t="s">
        <v>2454</v>
      </c>
      <c r="H909" s="24"/>
      <c r="I909" s="24">
        <v>1</v>
      </c>
      <c r="J909" s="24" t="s">
        <v>2372</v>
      </c>
      <c r="K909" s="24"/>
      <c r="L909" s="24"/>
      <c r="M909" s="24"/>
      <c r="N909" s="24"/>
      <c r="O909" s="24"/>
      <c r="P909" s="170"/>
      <c r="Q909" s="170"/>
      <c r="R909" s="290"/>
      <c r="S909" s="242"/>
      <c r="T909" s="164"/>
      <c r="U909" s="242"/>
      <c r="V909" s="194"/>
      <c r="W909" s="194" t="s">
        <v>405</v>
      </c>
      <c r="X909" s="196"/>
      <c r="Y909" s="196"/>
      <c r="Z909" s="164"/>
      <c r="AA909" s="170"/>
      <c r="AB909" s="194"/>
      <c r="AC909" s="251"/>
      <c r="AD909" s="170"/>
      <c r="AE909" s="225"/>
      <c r="AF909" s="170"/>
      <c r="AG909" s="170"/>
      <c r="AH909" s="251"/>
      <c r="AI909" s="170"/>
      <c r="AJ909" s="194"/>
      <c r="AK909" s="22"/>
      <c r="AL909" s="170"/>
      <c r="AM909" s="170"/>
      <c r="AN909" s="170"/>
      <c r="AO909" s="170"/>
      <c r="AP909" s="170"/>
      <c r="AQ909" s="22"/>
      <c r="AR909" s="22"/>
      <c r="AS909" s="22"/>
      <c r="AT909" s="170"/>
      <c r="AU909" s="170"/>
      <c r="AV909" s="170"/>
      <c r="AW909" s="170"/>
      <c r="AX909" s="170"/>
      <c r="AY909" s="170"/>
      <c r="AZ909" s="170"/>
      <c r="BA909" s="170"/>
      <c r="BB909" s="170"/>
      <c r="BC909" s="170"/>
      <c r="BD909" s="170"/>
      <c r="BE909" s="143" t="s">
        <v>115</v>
      </c>
      <c r="BF909" s="268" t="s">
        <v>406</v>
      </c>
      <c r="BG909" s="167" t="s">
        <v>407</v>
      </c>
      <c r="BH909" s="220"/>
      <c r="BI909" s="220"/>
      <c r="BJ909" s="220"/>
      <c r="BK909" s="46">
        <f t="shared" si="1"/>
        <v>1</v>
      </c>
      <c r="BL909" s="46"/>
      <c r="BM909" s="46"/>
      <c r="BN909" s="46"/>
    </row>
    <row r="910" spans="1:66" ht="12.75" hidden="1" customHeight="1">
      <c r="A910" s="22">
        <v>908</v>
      </c>
      <c r="B910" s="22" t="s">
        <v>2518</v>
      </c>
      <c r="C910" s="22" t="str">
        <f t="shared" si="0"/>
        <v>Specify - Reason Magnesium and calcium to relieve leg cramps counseling not done</v>
      </c>
      <c r="D910" s="24" t="s">
        <v>2518</v>
      </c>
      <c r="E910" s="22" t="s">
        <v>96</v>
      </c>
      <c r="F910" s="24" t="s">
        <v>1787</v>
      </c>
      <c r="G910" s="24" t="s">
        <v>2454</v>
      </c>
      <c r="H910" s="24"/>
      <c r="I910" s="24">
        <v>1</v>
      </c>
      <c r="J910" s="24" t="s">
        <v>2372</v>
      </c>
      <c r="K910" s="24"/>
      <c r="L910" s="24"/>
      <c r="M910" s="24"/>
      <c r="N910" s="24"/>
      <c r="O910" s="24"/>
      <c r="P910" s="170"/>
      <c r="Q910" s="170"/>
      <c r="R910" s="290" t="s">
        <v>409</v>
      </c>
      <c r="S910" s="242" t="s">
        <v>2519</v>
      </c>
      <c r="T910" s="164" t="s">
        <v>2410</v>
      </c>
      <c r="U910" s="242" t="s">
        <v>111</v>
      </c>
      <c r="V910" s="194"/>
      <c r="W910" s="194"/>
      <c r="X910" s="196"/>
      <c r="Y910" s="196"/>
      <c r="Z910" s="164"/>
      <c r="AA910" s="170"/>
      <c r="AB910" s="194" t="s">
        <v>208</v>
      </c>
      <c r="AC910" s="251"/>
      <c r="AD910" s="170"/>
      <c r="AE910" s="225"/>
      <c r="AF910" s="170"/>
      <c r="AG910" s="170"/>
      <c r="AH910" s="251"/>
      <c r="AI910" s="170"/>
      <c r="AJ910" s="194" t="s">
        <v>115</v>
      </c>
      <c r="AK910" s="22"/>
      <c r="AL910" s="170"/>
      <c r="AM910" s="170"/>
      <c r="AN910" s="170"/>
      <c r="AO910" s="170"/>
      <c r="AP910" s="170"/>
      <c r="AQ910" s="22"/>
      <c r="AR910" s="22"/>
      <c r="AS910" s="22"/>
      <c r="AT910" s="170"/>
      <c r="AU910" s="170"/>
      <c r="AV910" s="170"/>
      <c r="AW910" s="170"/>
      <c r="AX910" s="170"/>
      <c r="AY910" s="170"/>
      <c r="AZ910" s="170"/>
      <c r="BA910" s="170"/>
      <c r="BB910" s="170"/>
      <c r="BC910" s="170"/>
      <c r="BD910" s="170"/>
      <c r="BE910" s="143" t="s">
        <v>2514</v>
      </c>
      <c r="BF910" s="268" t="s">
        <v>2411</v>
      </c>
      <c r="BG910" s="167" t="s">
        <v>2412</v>
      </c>
      <c r="BH910" s="220"/>
      <c r="BI910" s="220"/>
      <c r="BJ910" s="220"/>
      <c r="BK910" s="46">
        <f t="shared" si="1"/>
        <v>1</v>
      </c>
      <c r="BL910" s="46"/>
      <c r="BM910" s="46"/>
      <c r="BN910" s="46"/>
    </row>
    <row r="911" spans="1:66" ht="12.75" hidden="1" customHeight="1">
      <c r="A911" s="22">
        <v>909</v>
      </c>
      <c r="B911" s="22" t="s">
        <v>2520</v>
      </c>
      <c r="C911" s="22" t="str">
        <f t="shared" si="0"/>
        <v>Dietary modifications to relieve constipation counseling</v>
      </c>
      <c r="D911" s="24" t="s">
        <v>2520</v>
      </c>
      <c r="E911" s="22" t="s">
        <v>96</v>
      </c>
      <c r="F911" s="24" t="s">
        <v>1787</v>
      </c>
      <c r="G911" s="24" t="s">
        <v>2454</v>
      </c>
      <c r="H911" s="24"/>
      <c r="I911" s="24">
        <v>1</v>
      </c>
      <c r="J911" s="24" t="s">
        <v>2372</v>
      </c>
      <c r="K911" s="24"/>
      <c r="L911" s="24"/>
      <c r="M911" s="24"/>
      <c r="N911" s="24"/>
      <c r="O911" s="24"/>
      <c r="P911" s="170"/>
      <c r="Q911" s="170"/>
      <c r="R911" s="290" t="s">
        <v>2520</v>
      </c>
      <c r="S911" s="242" t="s">
        <v>2521</v>
      </c>
      <c r="T911" s="194" t="s">
        <v>2522</v>
      </c>
      <c r="U911" s="242" t="s">
        <v>202</v>
      </c>
      <c r="V911" s="194"/>
      <c r="W911" s="194"/>
      <c r="X911" s="196"/>
      <c r="Y911" s="196"/>
      <c r="Z911" s="164"/>
      <c r="AA911" s="170"/>
      <c r="AB911" s="196" t="s">
        <v>113</v>
      </c>
      <c r="AC911" s="251"/>
      <c r="AD911" s="170"/>
      <c r="AE911" s="225"/>
      <c r="AF911" s="170"/>
      <c r="AG911" s="170"/>
      <c r="AH911" s="251"/>
      <c r="AI911" s="170"/>
      <c r="AJ911" s="194" t="s">
        <v>2375</v>
      </c>
      <c r="AK911" s="22"/>
      <c r="AL911" s="170"/>
      <c r="AM911" s="170"/>
      <c r="AN911" s="170"/>
      <c r="AO911" s="170"/>
      <c r="AP911" s="170"/>
      <c r="AQ911" s="22"/>
      <c r="AR911" s="22"/>
      <c r="AS911" s="22"/>
      <c r="AT911" s="170"/>
      <c r="AU911" s="170"/>
      <c r="AV911" s="170"/>
      <c r="AW911" s="170"/>
      <c r="AX911" s="170"/>
      <c r="AY911" s="170"/>
      <c r="AZ911" s="170"/>
      <c r="BA911" s="170"/>
      <c r="BB911" s="170"/>
      <c r="BC911" s="170"/>
      <c r="BD911" s="170"/>
      <c r="BE911" s="137" t="s">
        <v>2523</v>
      </c>
      <c r="BF911" s="445" t="s">
        <v>2398</v>
      </c>
      <c r="BG911" s="139" t="s">
        <v>2399</v>
      </c>
      <c r="BH911" s="220"/>
      <c r="BI911" s="220"/>
      <c r="BJ911" s="220"/>
      <c r="BK911" s="46">
        <f t="shared" si="1"/>
        <v>1</v>
      </c>
      <c r="BL911" s="46"/>
      <c r="BM911" s="46"/>
      <c r="BN911" s="46"/>
    </row>
    <row r="912" spans="1:66" ht="12.75" hidden="1" customHeight="1">
      <c r="A912" s="22">
        <v>910</v>
      </c>
      <c r="B912" s="22" t="s">
        <v>2527</v>
      </c>
      <c r="C912" s="22" t="e">
        <f t="shared" ca="1" si="0"/>
        <v>#NAME?</v>
      </c>
      <c r="D912" s="24" t="s">
        <v>1673</v>
      </c>
      <c r="E912" s="22" t="s">
        <v>180</v>
      </c>
      <c r="F912" s="24" t="s">
        <v>2520</v>
      </c>
      <c r="G912" s="24" t="s">
        <v>2454</v>
      </c>
      <c r="H912" s="24"/>
      <c r="I912" s="24">
        <v>1</v>
      </c>
      <c r="J912" s="24" t="s">
        <v>2372</v>
      </c>
      <c r="K912" s="24"/>
      <c r="L912" s="24"/>
      <c r="M912" s="24"/>
      <c r="N912" s="24"/>
      <c r="O912" s="24"/>
      <c r="P912" s="170"/>
      <c r="Q912" s="170"/>
      <c r="R912" s="290"/>
      <c r="S912" s="242"/>
      <c r="T912" s="164"/>
      <c r="U912" s="242"/>
      <c r="V912" s="194"/>
      <c r="W912" s="194" t="s">
        <v>1673</v>
      </c>
      <c r="X912" s="196"/>
      <c r="Y912" s="196"/>
      <c r="Z912" s="164"/>
      <c r="AA912" s="170"/>
      <c r="AB912" s="194"/>
      <c r="AC912" s="251"/>
      <c r="AD912" s="170"/>
      <c r="AE912" s="225"/>
      <c r="AF912" s="170"/>
      <c r="AG912" s="170"/>
      <c r="AH912" s="251"/>
      <c r="AI912" s="170"/>
      <c r="AJ912" s="194"/>
      <c r="AK912" s="22"/>
      <c r="AL912" s="170"/>
      <c r="AM912" s="170"/>
      <c r="AN912" s="170"/>
      <c r="AO912" s="170"/>
      <c r="AP912" s="170"/>
      <c r="AQ912" s="22"/>
      <c r="AR912" s="22"/>
      <c r="AS912" s="22"/>
      <c r="AT912" s="170"/>
      <c r="AU912" s="170"/>
      <c r="AV912" s="170"/>
      <c r="AW912" s="170"/>
      <c r="AX912" s="170"/>
      <c r="AY912" s="170"/>
      <c r="AZ912" s="170"/>
      <c r="BA912" s="170"/>
      <c r="BB912" s="170"/>
      <c r="BC912" s="170"/>
      <c r="BD912" s="170"/>
      <c r="BE912" s="137" t="s">
        <v>115</v>
      </c>
      <c r="BF912" s="445" t="s">
        <v>942</v>
      </c>
      <c r="BG912" s="167" t="s">
        <v>943</v>
      </c>
      <c r="BH912" s="220"/>
      <c r="BI912" s="220"/>
      <c r="BJ912" s="220"/>
      <c r="BK912" s="46">
        <f t="shared" si="1"/>
        <v>1</v>
      </c>
      <c r="BL912" s="46"/>
      <c r="BM912" s="46"/>
      <c r="BN912" s="46"/>
    </row>
    <row r="913" spans="1:66" ht="12.75" hidden="1" customHeight="1">
      <c r="A913" s="22">
        <v>911</v>
      </c>
      <c r="B913" s="22" t="s">
        <v>2118</v>
      </c>
      <c r="C913" s="22" t="e">
        <f t="shared" ca="1" si="0"/>
        <v>#NAME?</v>
      </c>
      <c r="D913" s="24" t="s">
        <v>1468</v>
      </c>
      <c r="E913" s="22" t="s">
        <v>180</v>
      </c>
      <c r="F913" s="24" t="s">
        <v>2520</v>
      </c>
      <c r="G913" s="24" t="s">
        <v>2454</v>
      </c>
      <c r="H913" s="24"/>
      <c r="I913" s="24">
        <v>1</v>
      </c>
      <c r="J913" s="24" t="s">
        <v>2372</v>
      </c>
      <c r="K913" s="24"/>
      <c r="L913" s="24"/>
      <c r="M913" s="24"/>
      <c r="N913" s="24"/>
      <c r="O913" s="24"/>
      <c r="P913" s="170"/>
      <c r="Q913" s="170"/>
      <c r="R913" s="290"/>
      <c r="S913" s="242"/>
      <c r="T913" s="164"/>
      <c r="U913" s="242"/>
      <c r="V913" s="163"/>
      <c r="W913" s="163" t="s">
        <v>1468</v>
      </c>
      <c r="X913" s="196"/>
      <c r="Y913" s="196"/>
      <c r="Z913" s="164"/>
      <c r="AA913" s="170"/>
      <c r="AB913" s="194"/>
      <c r="AC913" s="251"/>
      <c r="AD913" s="170"/>
      <c r="AE913" s="225"/>
      <c r="AF913" s="170"/>
      <c r="AG913" s="170"/>
      <c r="AH913" s="251"/>
      <c r="AI913" s="170"/>
      <c r="AJ913" s="194"/>
      <c r="AK913" s="22"/>
      <c r="AL913" s="170"/>
      <c r="AM913" s="170"/>
      <c r="AN913" s="170"/>
      <c r="AO913" s="170"/>
      <c r="AP913" s="170"/>
      <c r="AQ913" s="22"/>
      <c r="AR913" s="22"/>
      <c r="AS913" s="22"/>
      <c r="AT913" s="170"/>
      <c r="AU913" s="170"/>
      <c r="AV913" s="170"/>
      <c r="AW913" s="170"/>
      <c r="AX913" s="170"/>
      <c r="AY913" s="170"/>
      <c r="AZ913" s="170"/>
      <c r="BA913" s="170"/>
      <c r="BB913" s="170"/>
      <c r="BC913" s="170"/>
      <c r="BD913" s="170"/>
      <c r="BE913" s="137" t="s">
        <v>115</v>
      </c>
      <c r="BF913" s="445" t="s">
        <v>1469</v>
      </c>
      <c r="BG913" s="167" t="s">
        <v>1470</v>
      </c>
      <c r="BH913" s="220"/>
      <c r="BI913" s="220"/>
      <c r="BJ913" s="220"/>
      <c r="BK913" s="46">
        <f t="shared" si="1"/>
        <v>1</v>
      </c>
      <c r="BL913" s="46"/>
      <c r="BM913" s="46"/>
      <c r="BN913" s="46"/>
    </row>
    <row r="914" spans="1:66" ht="12.75" hidden="1" customHeight="1">
      <c r="A914" s="22">
        <v>912</v>
      </c>
      <c r="B914" s="22" t="s">
        <v>2524</v>
      </c>
      <c r="C914" s="22" t="str">
        <f t="shared" si="0"/>
        <v>Reason Dietary modifications to relieve constipation counseling not done</v>
      </c>
      <c r="D914" s="24" t="s">
        <v>2524</v>
      </c>
      <c r="E914" s="22" t="s">
        <v>96</v>
      </c>
      <c r="F914" s="24" t="s">
        <v>1787</v>
      </c>
      <c r="G914" s="24" t="s">
        <v>2454</v>
      </c>
      <c r="H914" s="24"/>
      <c r="I914" s="24">
        <v>1</v>
      </c>
      <c r="J914" s="24" t="s">
        <v>2372</v>
      </c>
      <c r="K914" s="24"/>
      <c r="L914" s="24"/>
      <c r="M914" s="24"/>
      <c r="N914" s="24"/>
      <c r="O914" s="24"/>
      <c r="P914" s="170"/>
      <c r="Q914" s="170"/>
      <c r="R914" s="290" t="s">
        <v>1376</v>
      </c>
      <c r="S914" s="242" t="s">
        <v>2525</v>
      </c>
      <c r="T914" s="164" t="s">
        <v>2526</v>
      </c>
      <c r="U914" s="242" t="s">
        <v>202</v>
      </c>
      <c r="V914" s="163"/>
      <c r="W914" s="163"/>
      <c r="X914" s="196"/>
      <c r="Y914" s="196"/>
      <c r="Z914" s="164"/>
      <c r="AA914" s="170"/>
      <c r="AB914" s="194" t="s">
        <v>208</v>
      </c>
      <c r="AC914" s="251"/>
      <c r="AD914" s="170"/>
      <c r="AE914" s="225"/>
      <c r="AF914" s="170"/>
      <c r="AG914" s="170"/>
      <c r="AH914" s="251"/>
      <c r="AI914" s="170"/>
      <c r="AJ914" s="194" t="s">
        <v>115</v>
      </c>
      <c r="AK914" s="22"/>
      <c r="AL914" s="170"/>
      <c r="AM914" s="170"/>
      <c r="AN914" s="170"/>
      <c r="AO914" s="170"/>
      <c r="AP914" s="170"/>
      <c r="AQ914" s="22"/>
      <c r="AR914" s="22"/>
      <c r="AS914" s="22"/>
      <c r="AT914" s="170"/>
      <c r="AU914" s="170"/>
      <c r="AV914" s="170"/>
      <c r="AW914" s="170"/>
      <c r="AX914" s="170"/>
      <c r="AY914" s="170"/>
      <c r="AZ914" s="170"/>
      <c r="BA914" s="170"/>
      <c r="BB914" s="170"/>
      <c r="BC914" s="170"/>
      <c r="BD914" s="170"/>
      <c r="BE914" s="137" t="s">
        <v>2523</v>
      </c>
      <c r="BF914" s="445" t="s">
        <v>2403</v>
      </c>
      <c r="BG914" s="139" t="s">
        <v>2404</v>
      </c>
      <c r="BH914" s="220"/>
      <c r="BI914" s="220"/>
      <c r="BJ914" s="220"/>
      <c r="BK914" s="46">
        <f t="shared" si="1"/>
        <v>1</v>
      </c>
      <c r="BL914" s="46"/>
      <c r="BM914" s="46"/>
      <c r="BN914" s="46"/>
    </row>
    <row r="915" spans="1:66" ht="12.75" hidden="1" customHeight="1">
      <c r="A915" s="22">
        <v>913</v>
      </c>
      <c r="B915" s="22" t="s">
        <v>3616</v>
      </c>
      <c r="C915" s="22" t="e">
        <f t="shared" ca="1" si="0"/>
        <v>#NAME?</v>
      </c>
      <c r="D915" s="24" t="s">
        <v>2405</v>
      </c>
      <c r="E915" s="22" t="s">
        <v>180</v>
      </c>
      <c r="F915" s="24" t="s">
        <v>2524</v>
      </c>
      <c r="G915" s="24" t="s">
        <v>2454</v>
      </c>
      <c r="H915" s="24"/>
      <c r="I915" s="24">
        <v>1</v>
      </c>
      <c r="J915" s="24" t="s">
        <v>2372</v>
      </c>
      <c r="K915" s="24"/>
      <c r="L915" s="24"/>
      <c r="M915" s="24"/>
      <c r="N915" s="24"/>
      <c r="O915" s="24"/>
      <c r="P915" s="170"/>
      <c r="Q915" s="170"/>
      <c r="R915" s="290"/>
      <c r="S915" s="242"/>
      <c r="T915" s="164"/>
      <c r="U915" s="242"/>
      <c r="V915" s="194"/>
      <c r="W915" s="194" t="s">
        <v>2405</v>
      </c>
      <c r="X915" s="196"/>
      <c r="Y915" s="196"/>
      <c r="Z915" s="164"/>
      <c r="AA915" s="170"/>
      <c r="AB915" s="194"/>
      <c r="AC915" s="251"/>
      <c r="AD915" s="170"/>
      <c r="AE915" s="225"/>
      <c r="AF915" s="170"/>
      <c r="AG915" s="170"/>
      <c r="AH915" s="251"/>
      <c r="AI915" s="170"/>
      <c r="AJ915" s="194"/>
      <c r="AK915" s="22"/>
      <c r="AL915" s="170"/>
      <c r="AM915" s="170"/>
      <c r="AN915" s="170"/>
      <c r="AO915" s="170"/>
      <c r="AP915" s="170"/>
      <c r="AQ915" s="22"/>
      <c r="AR915" s="22"/>
      <c r="AS915" s="22"/>
      <c r="AT915" s="170"/>
      <c r="AU915" s="170"/>
      <c r="AV915" s="170"/>
      <c r="AW915" s="170"/>
      <c r="AX915" s="170"/>
      <c r="AY915" s="170"/>
      <c r="AZ915" s="170"/>
      <c r="BA915" s="170"/>
      <c r="BB915" s="170"/>
      <c r="BC915" s="170"/>
      <c r="BD915" s="170"/>
      <c r="BE915" s="143" t="s">
        <v>115</v>
      </c>
      <c r="BF915" s="268" t="s">
        <v>2406</v>
      </c>
      <c r="BG915" s="167" t="s">
        <v>2407</v>
      </c>
      <c r="BH915" s="220"/>
      <c r="BI915" s="220"/>
      <c r="BJ915" s="220"/>
      <c r="BK915" s="46">
        <f t="shared" si="1"/>
        <v>1</v>
      </c>
      <c r="BL915" s="46"/>
      <c r="BM915" s="46"/>
      <c r="BN915" s="46"/>
    </row>
    <row r="916" spans="1:66" ht="12.75" hidden="1" customHeight="1">
      <c r="A916" s="22">
        <v>914</v>
      </c>
      <c r="B916" s="22" t="s">
        <v>535</v>
      </c>
      <c r="C916" s="22" t="e">
        <f t="shared" ca="1" si="0"/>
        <v>#NAME?</v>
      </c>
      <c r="D916" s="24" t="s">
        <v>405</v>
      </c>
      <c r="E916" s="22" t="s">
        <v>180</v>
      </c>
      <c r="F916" s="24" t="s">
        <v>2524</v>
      </c>
      <c r="G916" s="24" t="s">
        <v>2454</v>
      </c>
      <c r="H916" s="24"/>
      <c r="I916" s="24">
        <v>1</v>
      </c>
      <c r="J916" s="24" t="s">
        <v>2372</v>
      </c>
      <c r="K916" s="24"/>
      <c r="L916" s="24"/>
      <c r="M916" s="24"/>
      <c r="N916" s="24"/>
      <c r="O916" s="24"/>
      <c r="P916" s="170"/>
      <c r="Q916" s="170"/>
      <c r="R916" s="290"/>
      <c r="S916" s="242"/>
      <c r="T916" s="164"/>
      <c r="U916" s="242"/>
      <c r="V916" s="194"/>
      <c r="W916" s="194" t="s">
        <v>405</v>
      </c>
      <c r="X916" s="196"/>
      <c r="Y916" s="196"/>
      <c r="Z916" s="164"/>
      <c r="AA916" s="170"/>
      <c r="AB916" s="194"/>
      <c r="AC916" s="251"/>
      <c r="AD916" s="170"/>
      <c r="AE916" s="225"/>
      <c r="AF916" s="170"/>
      <c r="AG916" s="170"/>
      <c r="AH916" s="251"/>
      <c r="AI916" s="170"/>
      <c r="AJ916" s="194"/>
      <c r="AK916" s="22"/>
      <c r="AL916" s="170"/>
      <c r="AM916" s="170"/>
      <c r="AN916" s="170"/>
      <c r="AO916" s="170"/>
      <c r="AP916" s="170"/>
      <c r="AQ916" s="22"/>
      <c r="AR916" s="22"/>
      <c r="AS916" s="22"/>
      <c r="AT916" s="170"/>
      <c r="AU916" s="170"/>
      <c r="AV916" s="170"/>
      <c r="AW916" s="170"/>
      <c r="AX916" s="170"/>
      <c r="AY916" s="170"/>
      <c r="AZ916" s="170"/>
      <c r="BA916" s="170"/>
      <c r="BB916" s="170"/>
      <c r="BC916" s="170"/>
      <c r="BD916" s="170"/>
      <c r="BE916" s="143" t="s">
        <v>115</v>
      </c>
      <c r="BF916" s="268" t="s">
        <v>406</v>
      </c>
      <c r="BG916" s="167" t="s">
        <v>407</v>
      </c>
      <c r="BH916" s="220"/>
      <c r="BI916" s="220"/>
      <c r="BJ916" s="220"/>
      <c r="BK916" s="46">
        <f t="shared" si="1"/>
        <v>1</v>
      </c>
      <c r="BL916" s="46"/>
      <c r="BM916" s="46"/>
      <c r="BN916" s="46"/>
    </row>
    <row r="917" spans="1:66" ht="12.75" hidden="1" customHeight="1">
      <c r="A917" s="22">
        <v>915</v>
      </c>
      <c r="B917" s="22" t="s">
        <v>2528</v>
      </c>
      <c r="C917" s="22" t="str">
        <f t="shared" si="0"/>
        <v>Specify - Reason Dietary modifications to relieve constipation counseling not done</v>
      </c>
      <c r="D917" s="24" t="s">
        <v>2528</v>
      </c>
      <c r="E917" s="22" t="s">
        <v>96</v>
      </c>
      <c r="F917" s="24" t="s">
        <v>1787</v>
      </c>
      <c r="G917" s="24" t="s">
        <v>2454</v>
      </c>
      <c r="H917" s="24"/>
      <c r="I917" s="24">
        <v>1</v>
      </c>
      <c r="J917" s="24" t="s">
        <v>2372</v>
      </c>
      <c r="K917" s="24"/>
      <c r="L917" s="24"/>
      <c r="M917" s="24"/>
      <c r="N917" s="24"/>
      <c r="O917" s="24"/>
      <c r="P917" s="170"/>
      <c r="Q917" s="170"/>
      <c r="R917" s="290" t="s">
        <v>409</v>
      </c>
      <c r="S917" s="242" t="s">
        <v>2529</v>
      </c>
      <c r="T917" s="164" t="s">
        <v>2410</v>
      </c>
      <c r="U917" s="242" t="s">
        <v>111</v>
      </c>
      <c r="V917" s="194"/>
      <c r="W917" s="194"/>
      <c r="X917" s="196"/>
      <c r="Y917" s="196"/>
      <c r="Z917" s="164"/>
      <c r="AA917" s="170"/>
      <c r="AB917" s="194" t="s">
        <v>208</v>
      </c>
      <c r="AC917" s="251"/>
      <c r="AD917" s="170"/>
      <c r="AE917" s="225"/>
      <c r="AF917" s="170"/>
      <c r="AG917" s="170"/>
      <c r="AH917" s="251"/>
      <c r="AI917" s="170"/>
      <c r="AJ917" s="194" t="s">
        <v>115</v>
      </c>
      <c r="AK917" s="22"/>
      <c r="AL917" s="170"/>
      <c r="AM917" s="170"/>
      <c r="AN917" s="170"/>
      <c r="AO917" s="170"/>
      <c r="AP917" s="170"/>
      <c r="AQ917" s="22"/>
      <c r="AR917" s="22"/>
      <c r="AS917" s="22"/>
      <c r="AT917" s="170"/>
      <c r="AU917" s="170"/>
      <c r="AV917" s="170"/>
      <c r="AW917" s="170"/>
      <c r="AX917" s="170"/>
      <c r="AY917" s="170"/>
      <c r="AZ917" s="170"/>
      <c r="BA917" s="170"/>
      <c r="BB917" s="170"/>
      <c r="BC917" s="170"/>
      <c r="BD917" s="170"/>
      <c r="BE917" s="143" t="s">
        <v>2523</v>
      </c>
      <c r="BF917" s="268" t="s">
        <v>2411</v>
      </c>
      <c r="BG917" s="167" t="s">
        <v>2412</v>
      </c>
      <c r="BH917" s="220"/>
      <c r="BI917" s="220"/>
      <c r="BJ917" s="220"/>
      <c r="BK917" s="46">
        <f t="shared" si="1"/>
        <v>1</v>
      </c>
      <c r="BL917" s="46"/>
      <c r="BM917" s="46"/>
      <c r="BN917" s="46"/>
    </row>
    <row r="918" spans="1:66" ht="12.75" hidden="1" customHeight="1">
      <c r="A918" s="22">
        <v>916</v>
      </c>
      <c r="B918" s="22" t="s">
        <v>2530</v>
      </c>
      <c r="C918" s="22" t="str">
        <f t="shared" si="0"/>
        <v>Wheat bran or other fiber supplements to relieve constipation counseling</v>
      </c>
      <c r="D918" s="24" t="s">
        <v>2530</v>
      </c>
      <c r="E918" s="22" t="s">
        <v>96</v>
      </c>
      <c r="F918" s="24" t="s">
        <v>1787</v>
      </c>
      <c r="G918" s="24" t="s">
        <v>2454</v>
      </c>
      <c r="H918" s="24"/>
      <c r="I918" s="24">
        <v>1</v>
      </c>
      <c r="J918" s="24" t="s">
        <v>2372</v>
      </c>
      <c r="K918" s="24"/>
      <c r="L918" s="24"/>
      <c r="M918" s="24"/>
      <c r="N918" s="24"/>
      <c r="O918" s="24"/>
      <c r="P918" s="170"/>
      <c r="Q918" s="170"/>
      <c r="R918" s="290" t="s">
        <v>2530</v>
      </c>
      <c r="S918" s="242" t="s">
        <v>2531</v>
      </c>
      <c r="T918" s="194" t="s">
        <v>2532</v>
      </c>
      <c r="U918" s="242" t="s">
        <v>202</v>
      </c>
      <c r="V918" s="194"/>
      <c r="W918" s="194"/>
      <c r="X918" s="196"/>
      <c r="Y918" s="196"/>
      <c r="Z918" s="164"/>
      <c r="AA918" s="170"/>
      <c r="AB918" s="196" t="s">
        <v>208</v>
      </c>
      <c r="AC918" s="251"/>
      <c r="AD918" s="170"/>
      <c r="AE918" s="225"/>
      <c r="AF918" s="170"/>
      <c r="AG918" s="170"/>
      <c r="AH918" s="251"/>
      <c r="AI918" s="170"/>
      <c r="AJ918" s="194" t="s">
        <v>2375</v>
      </c>
      <c r="AK918" s="22"/>
      <c r="AL918" s="170"/>
      <c r="AM918" s="170"/>
      <c r="AN918" s="170"/>
      <c r="AO918" s="170"/>
      <c r="AP918" s="170"/>
      <c r="AQ918" s="22"/>
      <c r="AR918" s="22"/>
      <c r="AS918" s="22"/>
      <c r="AT918" s="170"/>
      <c r="AU918" s="170"/>
      <c r="AV918" s="170"/>
      <c r="AW918" s="170"/>
      <c r="AX918" s="170"/>
      <c r="AY918" s="170"/>
      <c r="AZ918" s="170"/>
      <c r="BA918" s="170"/>
      <c r="BB918" s="170"/>
      <c r="BC918" s="170"/>
      <c r="BD918" s="170"/>
      <c r="BE918" s="137" t="s">
        <v>2533</v>
      </c>
      <c r="BF918" s="445" t="s">
        <v>2398</v>
      </c>
      <c r="BG918" s="139" t="s">
        <v>2399</v>
      </c>
      <c r="BH918" s="220"/>
      <c r="BI918" s="220"/>
      <c r="BJ918" s="220"/>
      <c r="BK918" s="46">
        <f t="shared" si="1"/>
        <v>1</v>
      </c>
      <c r="BL918" s="46"/>
      <c r="BM918" s="46"/>
      <c r="BN918" s="46"/>
    </row>
    <row r="919" spans="1:66" ht="12.75" hidden="1" customHeight="1">
      <c r="A919" s="22">
        <v>917</v>
      </c>
      <c r="B919" s="22" t="s">
        <v>2527</v>
      </c>
      <c r="C919" s="22" t="e">
        <f t="shared" ca="1" si="0"/>
        <v>#NAME?</v>
      </c>
      <c r="D919" s="24" t="s">
        <v>1673</v>
      </c>
      <c r="E919" s="22" t="s">
        <v>180</v>
      </c>
      <c r="F919" s="24" t="s">
        <v>2530</v>
      </c>
      <c r="G919" s="24" t="s">
        <v>2454</v>
      </c>
      <c r="H919" s="24"/>
      <c r="I919" s="24">
        <v>1</v>
      </c>
      <c r="J919" s="24" t="s">
        <v>2372</v>
      </c>
      <c r="K919" s="24"/>
      <c r="L919" s="24"/>
      <c r="M919" s="24"/>
      <c r="N919" s="24"/>
      <c r="O919" s="24"/>
      <c r="P919" s="170"/>
      <c r="Q919" s="170"/>
      <c r="R919" s="290"/>
      <c r="S919" s="242"/>
      <c r="T919" s="164"/>
      <c r="U919" s="242"/>
      <c r="V919" s="194"/>
      <c r="W919" s="194" t="s">
        <v>1673</v>
      </c>
      <c r="X919" s="196"/>
      <c r="Y919" s="196"/>
      <c r="Z919" s="164"/>
      <c r="AA919" s="170"/>
      <c r="AB919" s="194"/>
      <c r="AC919" s="251"/>
      <c r="AD919" s="170"/>
      <c r="AE919" s="225"/>
      <c r="AF919" s="170"/>
      <c r="AG919" s="170"/>
      <c r="AH919" s="251"/>
      <c r="AI919" s="170"/>
      <c r="AJ919" s="194"/>
      <c r="AK919" s="22"/>
      <c r="AL919" s="170"/>
      <c r="AM919" s="170"/>
      <c r="AN919" s="170"/>
      <c r="AO919" s="170"/>
      <c r="AP919" s="170"/>
      <c r="AQ919" s="22"/>
      <c r="AR919" s="22"/>
      <c r="AS919" s="22"/>
      <c r="AT919" s="170"/>
      <c r="AU919" s="170"/>
      <c r="AV919" s="170"/>
      <c r="AW919" s="170"/>
      <c r="AX919" s="170"/>
      <c r="AY919" s="170"/>
      <c r="AZ919" s="170"/>
      <c r="BA919" s="170"/>
      <c r="BB919" s="170"/>
      <c r="BC919" s="170"/>
      <c r="BD919" s="170"/>
      <c r="BE919" s="137" t="s">
        <v>115</v>
      </c>
      <c r="BF919" s="445" t="s">
        <v>942</v>
      </c>
      <c r="BG919" s="167" t="s">
        <v>943</v>
      </c>
      <c r="BH919" s="220"/>
      <c r="BI919" s="220"/>
      <c r="BJ919" s="220"/>
      <c r="BK919" s="46">
        <f t="shared" si="1"/>
        <v>1</v>
      </c>
      <c r="BL919" s="46"/>
      <c r="BM919" s="46"/>
      <c r="BN919" s="46"/>
    </row>
    <row r="920" spans="1:66" ht="12.75" hidden="1" customHeight="1">
      <c r="A920" s="22">
        <v>918</v>
      </c>
      <c r="B920" s="22" t="s">
        <v>2118</v>
      </c>
      <c r="C920" s="22" t="e">
        <f t="shared" ca="1" si="0"/>
        <v>#NAME?</v>
      </c>
      <c r="D920" s="24" t="s">
        <v>1468</v>
      </c>
      <c r="E920" s="22" t="s">
        <v>180</v>
      </c>
      <c r="F920" s="24" t="s">
        <v>2530</v>
      </c>
      <c r="G920" s="24" t="s">
        <v>2454</v>
      </c>
      <c r="H920" s="24"/>
      <c r="I920" s="24">
        <v>1</v>
      </c>
      <c r="J920" s="24" t="s">
        <v>2372</v>
      </c>
      <c r="K920" s="24"/>
      <c r="L920" s="24"/>
      <c r="M920" s="24"/>
      <c r="N920" s="24"/>
      <c r="O920" s="24"/>
      <c r="P920" s="170"/>
      <c r="Q920" s="170"/>
      <c r="R920" s="290"/>
      <c r="S920" s="242"/>
      <c r="T920" s="164"/>
      <c r="U920" s="242"/>
      <c r="V920" s="163"/>
      <c r="W920" s="163" t="s">
        <v>1468</v>
      </c>
      <c r="X920" s="196"/>
      <c r="Y920" s="196"/>
      <c r="Z920" s="164"/>
      <c r="AA920" s="170"/>
      <c r="AB920" s="194"/>
      <c r="AC920" s="251"/>
      <c r="AD920" s="170"/>
      <c r="AE920" s="225"/>
      <c r="AF920" s="170"/>
      <c r="AG920" s="170"/>
      <c r="AH920" s="251"/>
      <c r="AI920" s="170"/>
      <c r="AJ920" s="194"/>
      <c r="AK920" s="22"/>
      <c r="AL920" s="170"/>
      <c r="AM920" s="170"/>
      <c r="AN920" s="170"/>
      <c r="AO920" s="170"/>
      <c r="AP920" s="170"/>
      <c r="AQ920" s="22"/>
      <c r="AR920" s="22"/>
      <c r="AS920" s="22"/>
      <c r="AT920" s="170"/>
      <c r="AU920" s="170"/>
      <c r="AV920" s="170"/>
      <c r="AW920" s="170"/>
      <c r="AX920" s="170"/>
      <c r="AY920" s="170"/>
      <c r="AZ920" s="170"/>
      <c r="BA920" s="170"/>
      <c r="BB920" s="170"/>
      <c r="BC920" s="170"/>
      <c r="BD920" s="170"/>
      <c r="BE920" s="137" t="s">
        <v>115</v>
      </c>
      <c r="BF920" s="445" t="s">
        <v>1469</v>
      </c>
      <c r="BG920" s="167" t="s">
        <v>1470</v>
      </c>
      <c r="BH920" s="220"/>
      <c r="BI920" s="220"/>
      <c r="BJ920" s="220"/>
      <c r="BK920" s="46">
        <f t="shared" si="1"/>
        <v>1</v>
      </c>
      <c r="BL920" s="46"/>
      <c r="BM920" s="46"/>
      <c r="BN920" s="46"/>
    </row>
    <row r="921" spans="1:66" ht="12.75" hidden="1" customHeight="1">
      <c r="A921" s="22">
        <v>919</v>
      </c>
      <c r="B921" s="22" t="s">
        <v>2534</v>
      </c>
      <c r="C921" s="22" t="str">
        <f t="shared" si="0"/>
        <v>Reason Wheat bran or other fiber supplements to relieve constipation counseling not done</v>
      </c>
      <c r="D921" s="24" t="s">
        <v>2534</v>
      </c>
      <c r="E921" s="22" t="s">
        <v>96</v>
      </c>
      <c r="F921" s="24" t="s">
        <v>1787</v>
      </c>
      <c r="G921" s="24" t="s">
        <v>2454</v>
      </c>
      <c r="H921" s="24"/>
      <c r="I921" s="24">
        <v>1</v>
      </c>
      <c r="J921" s="24" t="s">
        <v>2372</v>
      </c>
      <c r="K921" s="24"/>
      <c r="L921" s="24"/>
      <c r="M921" s="24"/>
      <c r="N921" s="24"/>
      <c r="O921" s="24"/>
      <c r="P921" s="170"/>
      <c r="Q921" s="170"/>
      <c r="R921" s="290" t="s">
        <v>1376</v>
      </c>
      <c r="S921" s="242" t="s">
        <v>2535</v>
      </c>
      <c r="T921" s="164" t="s">
        <v>2536</v>
      </c>
      <c r="U921" s="242" t="s">
        <v>202</v>
      </c>
      <c r="V921" s="163"/>
      <c r="W921" s="163"/>
      <c r="X921" s="196"/>
      <c r="Y921" s="196"/>
      <c r="Z921" s="164"/>
      <c r="AA921" s="170"/>
      <c r="AB921" s="194" t="s">
        <v>208</v>
      </c>
      <c r="AC921" s="251"/>
      <c r="AD921" s="170"/>
      <c r="AE921" s="225"/>
      <c r="AF921" s="170"/>
      <c r="AG921" s="170"/>
      <c r="AH921" s="251"/>
      <c r="AI921" s="170"/>
      <c r="AJ921" s="194" t="s">
        <v>115</v>
      </c>
      <c r="AK921" s="22"/>
      <c r="AL921" s="170"/>
      <c r="AM921" s="170"/>
      <c r="AN921" s="170"/>
      <c r="AO921" s="170"/>
      <c r="AP921" s="170"/>
      <c r="AQ921" s="22"/>
      <c r="AR921" s="22"/>
      <c r="AS921" s="22"/>
      <c r="AT921" s="170"/>
      <c r="AU921" s="170"/>
      <c r="AV921" s="170"/>
      <c r="AW921" s="170"/>
      <c r="AX921" s="170"/>
      <c r="AY921" s="170"/>
      <c r="AZ921" s="170"/>
      <c r="BA921" s="170"/>
      <c r="BB921" s="170"/>
      <c r="BC921" s="170"/>
      <c r="BD921" s="170"/>
      <c r="BE921" s="137" t="s">
        <v>2533</v>
      </c>
      <c r="BF921" s="445" t="s">
        <v>2403</v>
      </c>
      <c r="BG921" s="139" t="s">
        <v>2404</v>
      </c>
      <c r="BH921" s="220"/>
      <c r="BI921" s="220"/>
      <c r="BJ921" s="220"/>
      <c r="BK921" s="46">
        <f t="shared" si="1"/>
        <v>1</v>
      </c>
      <c r="BL921" s="46"/>
      <c r="BM921" s="46"/>
      <c r="BN921" s="46"/>
    </row>
    <row r="922" spans="1:66" ht="12.75" hidden="1" customHeight="1">
      <c r="A922" s="22">
        <v>920</v>
      </c>
      <c r="B922" s="22" t="s">
        <v>3616</v>
      </c>
      <c r="C922" s="22" t="e">
        <f t="shared" ca="1" si="0"/>
        <v>#NAME?</v>
      </c>
      <c r="D922" s="24" t="s">
        <v>2405</v>
      </c>
      <c r="E922" s="22" t="s">
        <v>180</v>
      </c>
      <c r="F922" s="24" t="s">
        <v>2534</v>
      </c>
      <c r="G922" s="24" t="s">
        <v>2454</v>
      </c>
      <c r="H922" s="24"/>
      <c r="I922" s="24">
        <v>1</v>
      </c>
      <c r="J922" s="24" t="s">
        <v>2372</v>
      </c>
      <c r="K922" s="24"/>
      <c r="L922" s="24"/>
      <c r="M922" s="24"/>
      <c r="N922" s="24"/>
      <c r="O922" s="24"/>
      <c r="P922" s="170"/>
      <c r="Q922" s="170"/>
      <c r="R922" s="290"/>
      <c r="S922" s="242"/>
      <c r="T922" s="164"/>
      <c r="U922" s="242"/>
      <c r="V922" s="194"/>
      <c r="W922" s="194" t="s">
        <v>2405</v>
      </c>
      <c r="X922" s="196"/>
      <c r="Y922" s="196"/>
      <c r="Z922" s="164"/>
      <c r="AA922" s="170"/>
      <c r="AB922" s="194"/>
      <c r="AC922" s="251"/>
      <c r="AD922" s="170"/>
      <c r="AE922" s="225"/>
      <c r="AF922" s="170"/>
      <c r="AG922" s="170"/>
      <c r="AH922" s="251"/>
      <c r="AI922" s="170"/>
      <c r="AJ922" s="194"/>
      <c r="AK922" s="22"/>
      <c r="AL922" s="170"/>
      <c r="AM922" s="170"/>
      <c r="AN922" s="170"/>
      <c r="AO922" s="170"/>
      <c r="AP922" s="170"/>
      <c r="AQ922" s="22"/>
      <c r="AR922" s="22"/>
      <c r="AS922" s="22"/>
      <c r="AT922" s="170"/>
      <c r="AU922" s="170"/>
      <c r="AV922" s="170"/>
      <c r="AW922" s="170"/>
      <c r="AX922" s="170"/>
      <c r="AY922" s="170"/>
      <c r="AZ922" s="170"/>
      <c r="BA922" s="170"/>
      <c r="BB922" s="170"/>
      <c r="BC922" s="170"/>
      <c r="BD922" s="170"/>
      <c r="BE922" s="143" t="s">
        <v>115</v>
      </c>
      <c r="BF922" s="268" t="s">
        <v>2406</v>
      </c>
      <c r="BG922" s="167" t="s">
        <v>2407</v>
      </c>
      <c r="BH922" s="220"/>
      <c r="BI922" s="220"/>
      <c r="BJ922" s="220"/>
      <c r="BK922" s="46">
        <f t="shared" si="1"/>
        <v>1</v>
      </c>
      <c r="BL922" s="46"/>
      <c r="BM922" s="46"/>
      <c r="BN922" s="46"/>
    </row>
    <row r="923" spans="1:66" ht="12.75" hidden="1" customHeight="1">
      <c r="A923" s="22">
        <v>921</v>
      </c>
      <c r="B923" s="22" t="s">
        <v>535</v>
      </c>
      <c r="C923" s="22" t="e">
        <f t="shared" ca="1" si="0"/>
        <v>#NAME?</v>
      </c>
      <c r="D923" s="24" t="s">
        <v>405</v>
      </c>
      <c r="E923" s="22" t="s">
        <v>180</v>
      </c>
      <c r="F923" s="24" t="s">
        <v>2534</v>
      </c>
      <c r="G923" s="24" t="s">
        <v>2454</v>
      </c>
      <c r="H923" s="24"/>
      <c r="I923" s="24">
        <v>1</v>
      </c>
      <c r="J923" s="24" t="s">
        <v>2372</v>
      </c>
      <c r="K923" s="24"/>
      <c r="L923" s="24"/>
      <c r="M923" s="24"/>
      <c r="N923" s="24"/>
      <c r="O923" s="24"/>
      <c r="P923" s="170"/>
      <c r="Q923" s="170"/>
      <c r="R923" s="290"/>
      <c r="S923" s="242"/>
      <c r="T923" s="164"/>
      <c r="U923" s="242"/>
      <c r="V923" s="194"/>
      <c r="W923" s="194" t="s">
        <v>405</v>
      </c>
      <c r="X923" s="196"/>
      <c r="Y923" s="196"/>
      <c r="Z923" s="164"/>
      <c r="AA923" s="170"/>
      <c r="AB923" s="194"/>
      <c r="AC923" s="251"/>
      <c r="AD923" s="170"/>
      <c r="AE923" s="225"/>
      <c r="AF923" s="170"/>
      <c r="AG923" s="170"/>
      <c r="AH923" s="251"/>
      <c r="AI923" s="170"/>
      <c r="AJ923" s="194"/>
      <c r="AK923" s="22"/>
      <c r="AL923" s="170"/>
      <c r="AM923" s="170"/>
      <c r="AN923" s="170"/>
      <c r="AO923" s="170"/>
      <c r="AP923" s="170"/>
      <c r="AQ923" s="22"/>
      <c r="AR923" s="22"/>
      <c r="AS923" s="22"/>
      <c r="AT923" s="170"/>
      <c r="AU923" s="170"/>
      <c r="AV923" s="170"/>
      <c r="AW923" s="170"/>
      <c r="AX923" s="170"/>
      <c r="AY923" s="170"/>
      <c r="AZ923" s="170"/>
      <c r="BA923" s="170"/>
      <c r="BB923" s="170"/>
      <c r="BC923" s="170"/>
      <c r="BD923" s="170"/>
      <c r="BE923" s="143" t="s">
        <v>115</v>
      </c>
      <c r="BF923" s="268" t="s">
        <v>406</v>
      </c>
      <c r="BG923" s="167" t="s">
        <v>407</v>
      </c>
      <c r="BH923" s="220"/>
      <c r="BI923" s="220"/>
      <c r="BJ923" s="220"/>
      <c r="BK923" s="46">
        <f t="shared" si="1"/>
        <v>1</v>
      </c>
      <c r="BL923" s="46"/>
      <c r="BM923" s="46"/>
      <c r="BN923" s="46"/>
    </row>
    <row r="924" spans="1:66" ht="12.75" hidden="1" customHeight="1">
      <c r="A924" s="22">
        <v>922</v>
      </c>
      <c r="B924" s="22" t="s">
        <v>2537</v>
      </c>
      <c r="C924" s="22" t="str">
        <f t="shared" si="0"/>
        <v>Specify - Reason Wheat bran or other fiber supplements to relieve constipation counseling not done</v>
      </c>
      <c r="D924" s="24" t="s">
        <v>2537</v>
      </c>
      <c r="E924" s="22" t="s">
        <v>96</v>
      </c>
      <c r="F924" s="24" t="s">
        <v>1787</v>
      </c>
      <c r="G924" s="24" t="s">
        <v>2454</v>
      </c>
      <c r="H924" s="24"/>
      <c r="I924" s="24">
        <v>1</v>
      </c>
      <c r="J924" s="24" t="s">
        <v>2372</v>
      </c>
      <c r="K924" s="24"/>
      <c r="L924" s="24"/>
      <c r="M924" s="24"/>
      <c r="N924" s="24"/>
      <c r="O924" s="24"/>
      <c r="P924" s="170"/>
      <c r="Q924" s="170"/>
      <c r="R924" s="178" t="s">
        <v>409</v>
      </c>
      <c r="S924" s="242" t="s">
        <v>2538</v>
      </c>
      <c r="T924" s="164" t="s">
        <v>2410</v>
      </c>
      <c r="U924" s="242" t="s">
        <v>111</v>
      </c>
      <c r="V924" s="194"/>
      <c r="W924" s="194"/>
      <c r="X924" s="196"/>
      <c r="Y924" s="196"/>
      <c r="Z924" s="164"/>
      <c r="AA924" s="170"/>
      <c r="AB924" s="194" t="s">
        <v>208</v>
      </c>
      <c r="AC924" s="251"/>
      <c r="AD924" s="170"/>
      <c r="AE924" s="225"/>
      <c r="AF924" s="170"/>
      <c r="AG924" s="170"/>
      <c r="AH924" s="251"/>
      <c r="AI924" s="170"/>
      <c r="AJ924" s="194" t="s">
        <v>115</v>
      </c>
      <c r="AK924" s="22"/>
      <c r="AL924" s="170"/>
      <c r="AM924" s="170"/>
      <c r="AN924" s="170"/>
      <c r="AO924" s="170"/>
      <c r="AP924" s="170"/>
      <c r="AQ924" s="22"/>
      <c r="AR924" s="22"/>
      <c r="AS924" s="22"/>
      <c r="AT924" s="170"/>
      <c r="AU924" s="170"/>
      <c r="AV924" s="170"/>
      <c r="AW924" s="170"/>
      <c r="AX924" s="170"/>
      <c r="AY924" s="170"/>
      <c r="AZ924" s="170"/>
      <c r="BA924" s="170"/>
      <c r="BB924" s="170"/>
      <c r="BC924" s="170"/>
      <c r="BD924" s="170"/>
      <c r="BE924" s="143" t="s">
        <v>2533</v>
      </c>
      <c r="BF924" s="268" t="s">
        <v>2411</v>
      </c>
      <c r="BG924" s="167" t="s">
        <v>2412</v>
      </c>
      <c r="BH924" s="220"/>
      <c r="BI924" s="220"/>
      <c r="BJ924" s="220"/>
      <c r="BK924" s="46">
        <f t="shared" si="1"/>
        <v>1</v>
      </c>
      <c r="BL924" s="46"/>
      <c r="BM924" s="46"/>
      <c r="BN924" s="46"/>
    </row>
    <row r="925" spans="1:66" ht="12.75" hidden="1" customHeight="1">
      <c r="A925" s="22">
        <v>923</v>
      </c>
      <c r="B925" s="22" t="s">
        <v>2539</v>
      </c>
      <c r="C925" s="22" t="str">
        <f t="shared" si="0"/>
        <v>Regular exercise, physiotherapy, support belts and acupuncture to relieve low back and pelvic pain counseling</v>
      </c>
      <c r="D925" s="24" t="s">
        <v>2539</v>
      </c>
      <c r="E925" s="22" t="s">
        <v>96</v>
      </c>
      <c r="F925" s="24" t="s">
        <v>1787</v>
      </c>
      <c r="G925" s="24" t="s">
        <v>2454</v>
      </c>
      <c r="H925" s="24"/>
      <c r="I925" s="24">
        <v>1</v>
      </c>
      <c r="J925" s="24" t="s">
        <v>2372</v>
      </c>
      <c r="K925" s="24"/>
      <c r="L925" s="24"/>
      <c r="M925" s="24"/>
      <c r="N925" s="24"/>
      <c r="O925" s="24"/>
      <c r="P925" s="170"/>
      <c r="Q925" s="170"/>
      <c r="R925" s="290" t="s">
        <v>2539</v>
      </c>
      <c r="S925" s="242" t="s">
        <v>2540</v>
      </c>
      <c r="T925" s="194" t="s">
        <v>2541</v>
      </c>
      <c r="U925" s="242" t="s">
        <v>202</v>
      </c>
      <c r="V925" s="194"/>
      <c r="W925" s="194"/>
      <c r="X925" s="196"/>
      <c r="Y925" s="196"/>
      <c r="Z925" s="196"/>
      <c r="AA925" s="170"/>
      <c r="AB925" s="196" t="s">
        <v>113</v>
      </c>
      <c r="AC925" s="251"/>
      <c r="AD925" s="170"/>
      <c r="AE925" s="225"/>
      <c r="AF925" s="170"/>
      <c r="AG925" s="170"/>
      <c r="AH925" s="251"/>
      <c r="AI925" s="170"/>
      <c r="AJ925" s="194" t="s">
        <v>2375</v>
      </c>
      <c r="AK925" s="22"/>
      <c r="AL925" s="170"/>
      <c r="AM925" s="170"/>
      <c r="AN925" s="170"/>
      <c r="AO925" s="170"/>
      <c r="AP925" s="170"/>
      <c r="AQ925" s="22"/>
      <c r="AR925" s="22"/>
      <c r="AS925" s="22"/>
      <c r="AT925" s="170"/>
      <c r="AU925" s="170"/>
      <c r="AV925" s="170"/>
      <c r="AW925" s="170"/>
      <c r="AX925" s="170"/>
      <c r="AY925" s="170"/>
      <c r="AZ925" s="170"/>
      <c r="BA925" s="170"/>
      <c r="BB925" s="170"/>
      <c r="BC925" s="170"/>
      <c r="BD925" s="170"/>
      <c r="BE925" s="137" t="s">
        <v>2542</v>
      </c>
      <c r="BF925" s="445" t="s">
        <v>2398</v>
      </c>
      <c r="BG925" s="139" t="s">
        <v>2399</v>
      </c>
      <c r="BH925" s="220"/>
      <c r="BI925" s="220"/>
      <c r="BJ925" s="220"/>
      <c r="BK925" s="46">
        <f t="shared" si="1"/>
        <v>1</v>
      </c>
      <c r="BL925" s="46"/>
      <c r="BM925" s="46"/>
      <c r="BN925" s="46"/>
    </row>
    <row r="926" spans="1:66" ht="12.75" hidden="1" customHeight="1">
      <c r="A926" s="22">
        <v>924</v>
      </c>
      <c r="B926" s="22" t="s">
        <v>2527</v>
      </c>
      <c r="C926" s="22" t="e">
        <f t="shared" ca="1" si="0"/>
        <v>#NAME?</v>
      </c>
      <c r="D926" s="24" t="s">
        <v>1673</v>
      </c>
      <c r="E926" s="22" t="s">
        <v>180</v>
      </c>
      <c r="F926" s="24" t="s">
        <v>2539</v>
      </c>
      <c r="G926" s="24" t="s">
        <v>2454</v>
      </c>
      <c r="H926" s="24"/>
      <c r="I926" s="24">
        <v>1</v>
      </c>
      <c r="J926" s="24" t="s">
        <v>2372</v>
      </c>
      <c r="K926" s="24"/>
      <c r="L926" s="24"/>
      <c r="M926" s="24"/>
      <c r="N926" s="24"/>
      <c r="O926" s="24"/>
      <c r="P926" s="170"/>
      <c r="Q926" s="170"/>
      <c r="R926" s="290"/>
      <c r="S926" s="242"/>
      <c r="T926" s="164"/>
      <c r="U926" s="242"/>
      <c r="V926" s="194"/>
      <c r="W926" s="194" t="s">
        <v>1673</v>
      </c>
      <c r="X926" s="196"/>
      <c r="Y926" s="196"/>
      <c r="Z926" s="164"/>
      <c r="AA926" s="170"/>
      <c r="AB926" s="194"/>
      <c r="AC926" s="251"/>
      <c r="AD926" s="170"/>
      <c r="AE926" s="225"/>
      <c r="AF926" s="170"/>
      <c r="AG926" s="170"/>
      <c r="AH926" s="251"/>
      <c r="AI926" s="170"/>
      <c r="AJ926" s="194"/>
      <c r="AK926" s="22"/>
      <c r="AL926" s="170"/>
      <c r="AM926" s="170"/>
      <c r="AN926" s="170"/>
      <c r="AO926" s="170"/>
      <c r="AP926" s="170"/>
      <c r="AQ926" s="22"/>
      <c r="AR926" s="22"/>
      <c r="AS926" s="22"/>
      <c r="AT926" s="170"/>
      <c r="AU926" s="170"/>
      <c r="AV926" s="170"/>
      <c r="AW926" s="170"/>
      <c r="AX926" s="170"/>
      <c r="AY926" s="170"/>
      <c r="AZ926" s="170"/>
      <c r="BA926" s="170"/>
      <c r="BB926" s="170"/>
      <c r="BC926" s="170"/>
      <c r="BD926" s="170"/>
      <c r="BE926" s="137" t="s">
        <v>115</v>
      </c>
      <c r="BF926" s="445" t="s">
        <v>942</v>
      </c>
      <c r="BG926" s="167" t="s">
        <v>943</v>
      </c>
      <c r="BH926" s="220"/>
      <c r="BI926" s="220"/>
      <c r="BJ926" s="220"/>
      <c r="BK926" s="46">
        <f t="shared" si="1"/>
        <v>1</v>
      </c>
      <c r="BL926" s="46"/>
      <c r="BM926" s="46"/>
      <c r="BN926" s="46"/>
    </row>
    <row r="927" spans="1:66" ht="12.75" hidden="1" customHeight="1">
      <c r="A927" s="22">
        <v>925</v>
      </c>
      <c r="B927" s="22" t="s">
        <v>2118</v>
      </c>
      <c r="C927" s="22" t="e">
        <f t="shared" ca="1" si="0"/>
        <v>#NAME?</v>
      </c>
      <c r="D927" s="24" t="s">
        <v>1468</v>
      </c>
      <c r="E927" s="22" t="s">
        <v>180</v>
      </c>
      <c r="F927" s="24" t="s">
        <v>2539</v>
      </c>
      <c r="G927" s="24" t="s">
        <v>2454</v>
      </c>
      <c r="H927" s="24"/>
      <c r="I927" s="24">
        <v>1</v>
      </c>
      <c r="J927" s="24" t="s">
        <v>2372</v>
      </c>
      <c r="K927" s="24"/>
      <c r="L927" s="24"/>
      <c r="M927" s="24"/>
      <c r="N927" s="24"/>
      <c r="O927" s="24"/>
      <c r="P927" s="170"/>
      <c r="Q927" s="170"/>
      <c r="R927" s="290"/>
      <c r="S927" s="242"/>
      <c r="T927" s="164"/>
      <c r="U927" s="242"/>
      <c r="V927" s="163"/>
      <c r="W927" s="163" t="s">
        <v>1468</v>
      </c>
      <c r="X927" s="196"/>
      <c r="Y927" s="196"/>
      <c r="Z927" s="164"/>
      <c r="AA927" s="170"/>
      <c r="AB927" s="194"/>
      <c r="AC927" s="251"/>
      <c r="AD927" s="170"/>
      <c r="AE927" s="225"/>
      <c r="AF927" s="170"/>
      <c r="AG927" s="170"/>
      <c r="AH927" s="251"/>
      <c r="AI927" s="170"/>
      <c r="AJ927" s="194"/>
      <c r="AK927" s="22"/>
      <c r="AL927" s="170"/>
      <c r="AM927" s="170"/>
      <c r="AN927" s="170"/>
      <c r="AO927" s="170"/>
      <c r="AP927" s="170"/>
      <c r="AQ927" s="22"/>
      <c r="AR927" s="22"/>
      <c r="AS927" s="22"/>
      <c r="AT927" s="170"/>
      <c r="AU927" s="170"/>
      <c r="AV927" s="170"/>
      <c r="AW927" s="170"/>
      <c r="AX927" s="170"/>
      <c r="AY927" s="170"/>
      <c r="AZ927" s="170"/>
      <c r="BA927" s="170"/>
      <c r="BB927" s="170"/>
      <c r="BC927" s="170"/>
      <c r="BD927" s="170"/>
      <c r="BE927" s="137" t="s">
        <v>115</v>
      </c>
      <c r="BF927" s="445" t="s">
        <v>1469</v>
      </c>
      <c r="BG927" s="167" t="s">
        <v>1470</v>
      </c>
      <c r="BH927" s="220"/>
      <c r="BI927" s="220"/>
      <c r="BJ927" s="220"/>
      <c r="BK927" s="46">
        <f t="shared" si="1"/>
        <v>1</v>
      </c>
      <c r="BL927" s="46"/>
      <c r="BM927" s="46"/>
      <c r="BN927" s="46"/>
    </row>
    <row r="928" spans="1:66" ht="12.75" hidden="1" customHeight="1">
      <c r="A928" s="22">
        <v>926</v>
      </c>
      <c r="B928" s="22" t="s">
        <v>2543</v>
      </c>
      <c r="C928" s="22" t="str">
        <f t="shared" si="0"/>
        <v>Reason Regular exercise, physiotherapy, support belts and acupuncture to relieve low back and pelvic pain counseling not done</v>
      </c>
      <c r="D928" s="24" t="s">
        <v>2543</v>
      </c>
      <c r="E928" s="22" t="s">
        <v>96</v>
      </c>
      <c r="F928" s="24" t="s">
        <v>1787</v>
      </c>
      <c r="G928" s="24" t="s">
        <v>2454</v>
      </c>
      <c r="H928" s="24"/>
      <c r="I928" s="24">
        <v>1</v>
      </c>
      <c r="J928" s="24" t="s">
        <v>2372</v>
      </c>
      <c r="K928" s="24"/>
      <c r="L928" s="24"/>
      <c r="M928" s="24"/>
      <c r="N928" s="24"/>
      <c r="O928" s="24"/>
      <c r="P928" s="170"/>
      <c r="Q928" s="170"/>
      <c r="R928" s="290" t="s">
        <v>1376</v>
      </c>
      <c r="S928" s="242" t="s">
        <v>2544</v>
      </c>
      <c r="T928" s="164" t="s">
        <v>2545</v>
      </c>
      <c r="U928" s="242" t="s">
        <v>202</v>
      </c>
      <c r="V928" s="163"/>
      <c r="W928" s="163"/>
      <c r="X928" s="196"/>
      <c r="Y928" s="196"/>
      <c r="Z928" s="164"/>
      <c r="AA928" s="170"/>
      <c r="AB928" s="194" t="s">
        <v>208</v>
      </c>
      <c r="AC928" s="251"/>
      <c r="AD928" s="170"/>
      <c r="AE928" s="225"/>
      <c r="AF928" s="170"/>
      <c r="AG928" s="170"/>
      <c r="AH928" s="251"/>
      <c r="AI928" s="170"/>
      <c r="AJ928" s="194" t="s">
        <v>115</v>
      </c>
      <c r="AK928" s="22"/>
      <c r="AL928" s="170"/>
      <c r="AM928" s="170"/>
      <c r="AN928" s="170"/>
      <c r="AO928" s="170"/>
      <c r="AP928" s="170"/>
      <c r="AQ928" s="22"/>
      <c r="AR928" s="22"/>
      <c r="AS928" s="22"/>
      <c r="AT928" s="170"/>
      <c r="AU928" s="170"/>
      <c r="AV928" s="170"/>
      <c r="AW928" s="170"/>
      <c r="AX928" s="170"/>
      <c r="AY928" s="170"/>
      <c r="AZ928" s="170"/>
      <c r="BA928" s="170"/>
      <c r="BB928" s="170"/>
      <c r="BC928" s="170"/>
      <c r="BD928" s="170"/>
      <c r="BE928" s="137" t="s">
        <v>2542</v>
      </c>
      <c r="BF928" s="445" t="s">
        <v>2403</v>
      </c>
      <c r="BG928" s="139" t="s">
        <v>2404</v>
      </c>
      <c r="BH928" s="220"/>
      <c r="BI928" s="220"/>
      <c r="BJ928" s="220"/>
      <c r="BK928" s="46">
        <f t="shared" si="1"/>
        <v>1</v>
      </c>
      <c r="BL928" s="46"/>
      <c r="BM928" s="46"/>
      <c r="BN928" s="46"/>
    </row>
    <row r="929" spans="1:66" ht="12.75" hidden="1" customHeight="1">
      <c r="A929" s="22">
        <v>927</v>
      </c>
      <c r="B929" s="22" t="s">
        <v>3616</v>
      </c>
      <c r="C929" s="22" t="e">
        <f t="shared" ca="1" si="0"/>
        <v>#NAME?</v>
      </c>
      <c r="D929" s="24" t="s">
        <v>2405</v>
      </c>
      <c r="E929" s="22" t="s">
        <v>180</v>
      </c>
      <c r="F929" s="24" t="s">
        <v>2543</v>
      </c>
      <c r="G929" s="24" t="s">
        <v>2454</v>
      </c>
      <c r="H929" s="24"/>
      <c r="I929" s="24">
        <v>1</v>
      </c>
      <c r="J929" s="24" t="s">
        <v>2372</v>
      </c>
      <c r="K929" s="24"/>
      <c r="L929" s="24"/>
      <c r="M929" s="24"/>
      <c r="N929" s="24"/>
      <c r="O929" s="24"/>
      <c r="P929" s="170"/>
      <c r="Q929" s="170"/>
      <c r="R929" s="290"/>
      <c r="S929" s="242"/>
      <c r="T929" s="164"/>
      <c r="U929" s="242"/>
      <c r="V929" s="194"/>
      <c r="W929" s="194" t="s">
        <v>2405</v>
      </c>
      <c r="X929" s="196"/>
      <c r="Y929" s="196"/>
      <c r="Z929" s="164"/>
      <c r="AA929" s="170"/>
      <c r="AB929" s="194"/>
      <c r="AC929" s="251"/>
      <c r="AD929" s="170"/>
      <c r="AE929" s="225"/>
      <c r="AF929" s="170"/>
      <c r="AG929" s="170"/>
      <c r="AH929" s="251"/>
      <c r="AI929" s="170"/>
      <c r="AJ929" s="194"/>
      <c r="AK929" s="22"/>
      <c r="AL929" s="170"/>
      <c r="AM929" s="170"/>
      <c r="AN929" s="170"/>
      <c r="AO929" s="170"/>
      <c r="AP929" s="170"/>
      <c r="AQ929" s="22"/>
      <c r="AR929" s="22"/>
      <c r="AS929" s="22"/>
      <c r="AT929" s="170"/>
      <c r="AU929" s="170"/>
      <c r="AV929" s="170"/>
      <c r="AW929" s="170"/>
      <c r="AX929" s="170"/>
      <c r="AY929" s="170"/>
      <c r="AZ929" s="170"/>
      <c r="BA929" s="170"/>
      <c r="BB929" s="170"/>
      <c r="BC929" s="170"/>
      <c r="BD929" s="170"/>
      <c r="BE929" s="143" t="s">
        <v>115</v>
      </c>
      <c r="BF929" s="268" t="s">
        <v>2406</v>
      </c>
      <c r="BG929" s="167" t="s">
        <v>2407</v>
      </c>
      <c r="BH929" s="220"/>
      <c r="BI929" s="220"/>
      <c r="BJ929" s="220"/>
      <c r="BK929" s="46">
        <f t="shared" si="1"/>
        <v>1</v>
      </c>
      <c r="BL929" s="46"/>
      <c r="BM929" s="46"/>
      <c r="BN929" s="46"/>
    </row>
    <row r="930" spans="1:66" ht="12.75" hidden="1" customHeight="1">
      <c r="A930" s="22">
        <v>928</v>
      </c>
      <c r="B930" s="22" t="s">
        <v>535</v>
      </c>
      <c r="C930" s="22" t="e">
        <f t="shared" ca="1" si="0"/>
        <v>#NAME?</v>
      </c>
      <c r="D930" s="24" t="s">
        <v>405</v>
      </c>
      <c r="E930" s="22" t="s">
        <v>180</v>
      </c>
      <c r="F930" s="24" t="s">
        <v>2543</v>
      </c>
      <c r="G930" s="24" t="s">
        <v>2454</v>
      </c>
      <c r="H930" s="24"/>
      <c r="I930" s="24">
        <v>1</v>
      </c>
      <c r="J930" s="24" t="s">
        <v>2372</v>
      </c>
      <c r="K930" s="24"/>
      <c r="L930" s="24"/>
      <c r="M930" s="24"/>
      <c r="N930" s="24"/>
      <c r="O930" s="24"/>
      <c r="P930" s="170"/>
      <c r="Q930" s="170"/>
      <c r="R930" s="290"/>
      <c r="S930" s="242"/>
      <c r="T930" s="164"/>
      <c r="U930" s="242"/>
      <c r="V930" s="194"/>
      <c r="W930" s="194" t="s">
        <v>405</v>
      </c>
      <c r="X930" s="196"/>
      <c r="Y930" s="196"/>
      <c r="Z930" s="164"/>
      <c r="AA930" s="170"/>
      <c r="AB930" s="194"/>
      <c r="AC930" s="251"/>
      <c r="AD930" s="170"/>
      <c r="AE930" s="225"/>
      <c r="AF930" s="170"/>
      <c r="AG930" s="170"/>
      <c r="AH930" s="251"/>
      <c r="AI930" s="170"/>
      <c r="AJ930" s="194"/>
      <c r="AK930" s="22"/>
      <c r="AL930" s="170"/>
      <c r="AM930" s="170"/>
      <c r="AN930" s="170"/>
      <c r="AO930" s="170"/>
      <c r="AP930" s="170"/>
      <c r="AQ930" s="22"/>
      <c r="AR930" s="22"/>
      <c r="AS930" s="22"/>
      <c r="AT930" s="170"/>
      <c r="AU930" s="170"/>
      <c r="AV930" s="170"/>
      <c r="AW930" s="170"/>
      <c r="AX930" s="170"/>
      <c r="AY930" s="170"/>
      <c r="AZ930" s="170"/>
      <c r="BA930" s="170"/>
      <c r="BB930" s="170"/>
      <c r="BC930" s="170"/>
      <c r="BD930" s="170"/>
      <c r="BE930" s="143" t="s">
        <v>115</v>
      </c>
      <c r="BF930" s="268" t="s">
        <v>406</v>
      </c>
      <c r="BG930" s="167" t="s">
        <v>407</v>
      </c>
      <c r="BH930" s="220"/>
      <c r="BI930" s="220"/>
      <c r="BJ930" s="220"/>
      <c r="BK930" s="46">
        <f t="shared" si="1"/>
        <v>1</v>
      </c>
      <c r="BL930" s="46"/>
      <c r="BM930" s="46"/>
      <c r="BN930" s="46"/>
    </row>
    <row r="931" spans="1:66" ht="12.75" hidden="1" customHeight="1">
      <c r="A931" s="22">
        <v>929</v>
      </c>
      <c r="B931" s="22" t="s">
        <v>2548</v>
      </c>
      <c r="C931" s="22" t="str">
        <f t="shared" si="0"/>
        <v>Specify - Reason Regular exercise, physiotherapy, support belts and acupuncture to relieve low back and pelvic pain counseling not done</v>
      </c>
      <c r="D931" s="24" t="s">
        <v>2548</v>
      </c>
      <c r="E931" s="22" t="s">
        <v>96</v>
      </c>
      <c r="F931" s="24" t="s">
        <v>1787</v>
      </c>
      <c r="G931" s="24" t="s">
        <v>2454</v>
      </c>
      <c r="H931" s="24"/>
      <c r="I931" s="24">
        <v>1</v>
      </c>
      <c r="J931" s="24" t="s">
        <v>2372</v>
      </c>
      <c r="K931" s="24"/>
      <c r="L931" s="24"/>
      <c r="M931" s="24"/>
      <c r="N931" s="24"/>
      <c r="O931" s="24"/>
      <c r="P931" s="170"/>
      <c r="Q931" s="170"/>
      <c r="R931" s="290" t="s">
        <v>409</v>
      </c>
      <c r="S931" s="242" t="s">
        <v>2549</v>
      </c>
      <c r="T931" s="164" t="s">
        <v>2410</v>
      </c>
      <c r="U931" s="242" t="s">
        <v>111</v>
      </c>
      <c r="V931" s="194"/>
      <c r="W931" s="194"/>
      <c r="X931" s="196"/>
      <c r="Y931" s="196"/>
      <c r="Z931" s="164"/>
      <c r="AA931" s="170"/>
      <c r="AB931" s="194" t="s">
        <v>208</v>
      </c>
      <c r="AC931" s="251"/>
      <c r="AD931" s="170"/>
      <c r="AE931" s="225"/>
      <c r="AF931" s="170"/>
      <c r="AG931" s="170"/>
      <c r="AH931" s="251"/>
      <c r="AI931" s="170"/>
      <c r="AJ931" s="194" t="s">
        <v>115</v>
      </c>
      <c r="AK931" s="22"/>
      <c r="AL931" s="170"/>
      <c r="AM931" s="170"/>
      <c r="AN931" s="170"/>
      <c r="AO931" s="170"/>
      <c r="AP931" s="170"/>
      <c r="AQ931" s="22"/>
      <c r="AR931" s="22"/>
      <c r="AS931" s="22"/>
      <c r="AT931" s="170"/>
      <c r="AU931" s="170"/>
      <c r="AV931" s="170"/>
      <c r="AW931" s="170"/>
      <c r="AX931" s="170"/>
      <c r="AY931" s="170"/>
      <c r="AZ931" s="170"/>
      <c r="BA931" s="170"/>
      <c r="BB931" s="170"/>
      <c r="BC931" s="170"/>
      <c r="BD931" s="170"/>
      <c r="BE931" s="143" t="s">
        <v>2542</v>
      </c>
      <c r="BF931" s="268" t="s">
        <v>2411</v>
      </c>
      <c r="BG931" s="167" t="s">
        <v>2412</v>
      </c>
      <c r="BH931" s="220"/>
      <c r="BI931" s="220"/>
      <c r="BJ931" s="220"/>
      <c r="BK931" s="46">
        <f t="shared" si="1"/>
        <v>1</v>
      </c>
      <c r="BL931" s="46"/>
      <c r="BM931" s="46"/>
      <c r="BN931" s="46"/>
    </row>
    <row r="932" spans="1:66" ht="12.75" hidden="1" customHeight="1">
      <c r="A932" s="22">
        <v>930</v>
      </c>
      <c r="B932" s="22" t="s">
        <v>2550</v>
      </c>
      <c r="C932" s="22" t="str">
        <f t="shared" si="0"/>
        <v>Non-pharmacological options for varicose veins and oedema counseling</v>
      </c>
      <c r="D932" s="24" t="s">
        <v>2550</v>
      </c>
      <c r="E932" s="22" t="s">
        <v>96</v>
      </c>
      <c r="F932" s="24" t="s">
        <v>1787</v>
      </c>
      <c r="G932" s="24" t="s">
        <v>2454</v>
      </c>
      <c r="H932" s="24"/>
      <c r="I932" s="24">
        <v>1</v>
      </c>
      <c r="J932" s="24" t="s">
        <v>2372</v>
      </c>
      <c r="K932" s="24"/>
      <c r="L932" s="24"/>
      <c r="M932" s="24"/>
      <c r="N932" s="24"/>
      <c r="O932" s="24"/>
      <c r="P932" s="170"/>
      <c r="Q932" s="170"/>
      <c r="R932" s="290" t="s">
        <v>2550</v>
      </c>
      <c r="S932" s="242" t="s">
        <v>2551</v>
      </c>
      <c r="T932" s="194" t="s">
        <v>2552</v>
      </c>
      <c r="U932" s="242" t="s">
        <v>202</v>
      </c>
      <c r="V932" s="194"/>
      <c r="W932" s="194"/>
      <c r="X932" s="196"/>
      <c r="Y932" s="196"/>
      <c r="Z932" s="164"/>
      <c r="AA932" s="170"/>
      <c r="AB932" s="196" t="s">
        <v>113</v>
      </c>
      <c r="AC932" s="251"/>
      <c r="AD932" s="170"/>
      <c r="AE932" s="225"/>
      <c r="AF932" s="170"/>
      <c r="AG932" s="170"/>
      <c r="AH932" s="251"/>
      <c r="AI932" s="170"/>
      <c r="AJ932" s="194" t="s">
        <v>2375</v>
      </c>
      <c r="AK932" s="22"/>
      <c r="AL932" s="170"/>
      <c r="AM932" s="170"/>
      <c r="AN932" s="170"/>
      <c r="AO932" s="170"/>
      <c r="AP932" s="170"/>
      <c r="AQ932" s="22"/>
      <c r="AR932" s="22"/>
      <c r="AS932" s="22"/>
      <c r="AT932" s="170"/>
      <c r="AU932" s="170"/>
      <c r="AV932" s="170"/>
      <c r="AW932" s="170"/>
      <c r="AX932" s="170"/>
      <c r="AY932" s="170"/>
      <c r="AZ932" s="170"/>
      <c r="BA932" s="170"/>
      <c r="BB932" s="170"/>
      <c r="BC932" s="170"/>
      <c r="BD932" s="170"/>
      <c r="BE932" s="137" t="s">
        <v>2554</v>
      </c>
      <c r="BF932" s="445" t="s">
        <v>2398</v>
      </c>
      <c r="BG932" s="139" t="s">
        <v>2399</v>
      </c>
      <c r="BH932" s="220"/>
      <c r="BI932" s="220"/>
      <c r="BJ932" s="220"/>
      <c r="BK932" s="46">
        <f t="shared" si="1"/>
        <v>1</v>
      </c>
      <c r="BL932" s="46"/>
      <c r="BM932" s="46"/>
      <c r="BN932" s="46"/>
    </row>
    <row r="933" spans="1:66" ht="12.75" hidden="1" customHeight="1">
      <c r="A933" s="22">
        <v>931</v>
      </c>
      <c r="B933" s="22" t="s">
        <v>2527</v>
      </c>
      <c r="C933" s="22" t="e">
        <f t="shared" ca="1" si="0"/>
        <v>#NAME?</v>
      </c>
      <c r="D933" s="24" t="s">
        <v>1673</v>
      </c>
      <c r="E933" s="22" t="s">
        <v>180</v>
      </c>
      <c r="F933" s="24" t="s">
        <v>2550</v>
      </c>
      <c r="G933" s="24" t="s">
        <v>2454</v>
      </c>
      <c r="H933" s="24"/>
      <c r="I933" s="24">
        <v>1</v>
      </c>
      <c r="J933" s="24" t="s">
        <v>2372</v>
      </c>
      <c r="K933" s="24"/>
      <c r="L933" s="24"/>
      <c r="M933" s="24"/>
      <c r="N933" s="24"/>
      <c r="O933" s="24"/>
      <c r="P933" s="170"/>
      <c r="Q933" s="170"/>
      <c r="R933" s="290"/>
      <c r="S933" s="242"/>
      <c r="T933" s="164"/>
      <c r="U933" s="242"/>
      <c r="V933" s="194"/>
      <c r="W933" s="194" t="s">
        <v>1673</v>
      </c>
      <c r="X933" s="196"/>
      <c r="Y933" s="196"/>
      <c r="Z933" s="164"/>
      <c r="AA933" s="170"/>
      <c r="AB933" s="194"/>
      <c r="AC933" s="251"/>
      <c r="AD933" s="170"/>
      <c r="AE933" s="225"/>
      <c r="AF933" s="170"/>
      <c r="AG933" s="170"/>
      <c r="AH933" s="251"/>
      <c r="AI933" s="170"/>
      <c r="AJ933" s="194"/>
      <c r="AK933" s="22"/>
      <c r="AL933" s="170"/>
      <c r="AM933" s="170"/>
      <c r="AN933" s="170"/>
      <c r="AO933" s="170"/>
      <c r="AP933" s="170"/>
      <c r="AQ933" s="22"/>
      <c r="AR933" s="22"/>
      <c r="AS933" s="22"/>
      <c r="AT933" s="170"/>
      <c r="AU933" s="170"/>
      <c r="AV933" s="170"/>
      <c r="AW933" s="170"/>
      <c r="AX933" s="170"/>
      <c r="AY933" s="170"/>
      <c r="AZ933" s="170"/>
      <c r="BA933" s="170"/>
      <c r="BB933" s="170"/>
      <c r="BC933" s="170"/>
      <c r="BD933" s="170"/>
      <c r="BE933" s="137" t="s">
        <v>115</v>
      </c>
      <c r="BF933" s="445" t="s">
        <v>942</v>
      </c>
      <c r="BG933" s="167" t="s">
        <v>943</v>
      </c>
      <c r="BH933" s="220"/>
      <c r="BI933" s="220"/>
      <c r="BJ933" s="220"/>
      <c r="BK933" s="46">
        <f t="shared" si="1"/>
        <v>1</v>
      </c>
      <c r="BL933" s="46"/>
      <c r="BM933" s="46"/>
      <c r="BN933" s="46"/>
    </row>
    <row r="934" spans="1:66" ht="12.75" hidden="1" customHeight="1">
      <c r="A934" s="22">
        <v>932</v>
      </c>
      <c r="B934" s="22" t="s">
        <v>2118</v>
      </c>
      <c r="C934" s="22" t="e">
        <f t="shared" ca="1" si="0"/>
        <v>#NAME?</v>
      </c>
      <c r="D934" s="24" t="s">
        <v>1468</v>
      </c>
      <c r="E934" s="22" t="s">
        <v>180</v>
      </c>
      <c r="F934" s="24" t="s">
        <v>2550</v>
      </c>
      <c r="G934" s="24" t="s">
        <v>2454</v>
      </c>
      <c r="H934" s="24"/>
      <c r="I934" s="24">
        <v>1</v>
      </c>
      <c r="J934" s="24" t="s">
        <v>2372</v>
      </c>
      <c r="K934" s="24"/>
      <c r="L934" s="24"/>
      <c r="M934" s="24"/>
      <c r="N934" s="24"/>
      <c r="O934" s="24"/>
      <c r="P934" s="170"/>
      <c r="Q934" s="170"/>
      <c r="R934" s="290"/>
      <c r="S934" s="242"/>
      <c r="T934" s="164"/>
      <c r="U934" s="242"/>
      <c r="V934" s="163"/>
      <c r="W934" s="163" t="s">
        <v>1468</v>
      </c>
      <c r="X934" s="196"/>
      <c r="Y934" s="196"/>
      <c r="Z934" s="164"/>
      <c r="AA934" s="170"/>
      <c r="AB934" s="194"/>
      <c r="AC934" s="251"/>
      <c r="AD934" s="170"/>
      <c r="AE934" s="225"/>
      <c r="AF934" s="170"/>
      <c r="AG934" s="170"/>
      <c r="AH934" s="251"/>
      <c r="AI934" s="170"/>
      <c r="AJ934" s="194"/>
      <c r="AK934" s="22"/>
      <c r="AL934" s="170"/>
      <c r="AM934" s="170"/>
      <c r="AN934" s="170"/>
      <c r="AO934" s="170"/>
      <c r="AP934" s="170"/>
      <c r="AQ934" s="22"/>
      <c r="AR934" s="22"/>
      <c r="AS934" s="22"/>
      <c r="AT934" s="170"/>
      <c r="AU934" s="170"/>
      <c r="AV934" s="170"/>
      <c r="AW934" s="170"/>
      <c r="AX934" s="170"/>
      <c r="AY934" s="170"/>
      <c r="AZ934" s="170"/>
      <c r="BA934" s="170"/>
      <c r="BB934" s="170"/>
      <c r="BC934" s="170"/>
      <c r="BD934" s="170"/>
      <c r="BE934" s="137" t="s">
        <v>115</v>
      </c>
      <c r="BF934" s="445" t="s">
        <v>1469</v>
      </c>
      <c r="BG934" s="167" t="s">
        <v>1470</v>
      </c>
      <c r="BH934" s="220"/>
      <c r="BI934" s="220"/>
      <c r="BJ934" s="220"/>
      <c r="BK934" s="46">
        <f t="shared" si="1"/>
        <v>1</v>
      </c>
      <c r="BL934" s="46"/>
      <c r="BM934" s="46"/>
      <c r="BN934" s="46"/>
    </row>
    <row r="935" spans="1:66" ht="12.75" hidden="1" customHeight="1">
      <c r="A935" s="22">
        <v>933</v>
      </c>
      <c r="B935" s="22" t="s">
        <v>2556</v>
      </c>
      <c r="C935" s="22" t="str">
        <f t="shared" si="0"/>
        <v>Reason Non-pharmacological options for varicose veins and oedema counseling not done</v>
      </c>
      <c r="D935" s="24" t="s">
        <v>2556</v>
      </c>
      <c r="E935" s="22" t="s">
        <v>96</v>
      </c>
      <c r="F935" s="24" t="s">
        <v>1787</v>
      </c>
      <c r="G935" s="24" t="s">
        <v>2454</v>
      </c>
      <c r="H935" s="24"/>
      <c r="I935" s="24">
        <v>1</v>
      </c>
      <c r="J935" s="24" t="s">
        <v>2372</v>
      </c>
      <c r="K935" s="24"/>
      <c r="L935" s="24"/>
      <c r="M935" s="24"/>
      <c r="N935" s="24"/>
      <c r="O935" s="24"/>
      <c r="P935" s="170"/>
      <c r="Q935" s="170"/>
      <c r="R935" s="290" t="s">
        <v>1376</v>
      </c>
      <c r="S935" s="242" t="s">
        <v>2557</v>
      </c>
      <c r="T935" s="164" t="s">
        <v>2558</v>
      </c>
      <c r="U935" s="242" t="s">
        <v>202</v>
      </c>
      <c r="V935" s="163"/>
      <c r="W935" s="163"/>
      <c r="X935" s="196"/>
      <c r="Y935" s="196"/>
      <c r="Z935" s="164"/>
      <c r="AA935" s="170"/>
      <c r="AB935" s="194" t="s">
        <v>208</v>
      </c>
      <c r="AC935" s="251"/>
      <c r="AD935" s="170"/>
      <c r="AE935" s="225"/>
      <c r="AF935" s="170"/>
      <c r="AG935" s="170"/>
      <c r="AH935" s="251"/>
      <c r="AI935" s="170"/>
      <c r="AJ935" s="194" t="s">
        <v>115</v>
      </c>
      <c r="AK935" s="22"/>
      <c r="AL935" s="170"/>
      <c r="AM935" s="170"/>
      <c r="AN935" s="170"/>
      <c r="AO935" s="170"/>
      <c r="AP935" s="170"/>
      <c r="AQ935" s="22"/>
      <c r="AR935" s="22"/>
      <c r="AS935" s="22"/>
      <c r="AT935" s="170"/>
      <c r="AU935" s="170"/>
      <c r="AV935" s="170"/>
      <c r="AW935" s="170"/>
      <c r="AX935" s="170"/>
      <c r="AY935" s="170"/>
      <c r="AZ935" s="170"/>
      <c r="BA935" s="170"/>
      <c r="BB935" s="170"/>
      <c r="BC935" s="170"/>
      <c r="BD935" s="170"/>
      <c r="BE935" s="137" t="s">
        <v>2554</v>
      </c>
      <c r="BF935" s="445" t="s">
        <v>2403</v>
      </c>
      <c r="BG935" s="139" t="s">
        <v>2404</v>
      </c>
      <c r="BH935" s="220"/>
      <c r="BI935" s="220"/>
      <c r="BJ935" s="220"/>
      <c r="BK935" s="46">
        <f t="shared" si="1"/>
        <v>1</v>
      </c>
      <c r="BL935" s="46"/>
      <c r="BM935" s="46"/>
      <c r="BN935" s="46"/>
    </row>
    <row r="936" spans="1:66" ht="12.75" hidden="1" customHeight="1">
      <c r="A936" s="22">
        <v>934</v>
      </c>
      <c r="B936" s="22" t="s">
        <v>3616</v>
      </c>
      <c r="C936" s="22" t="e">
        <f t="shared" ca="1" si="0"/>
        <v>#NAME?</v>
      </c>
      <c r="D936" s="24" t="s">
        <v>2405</v>
      </c>
      <c r="E936" s="22" t="s">
        <v>180</v>
      </c>
      <c r="F936" s="24" t="s">
        <v>2556</v>
      </c>
      <c r="G936" s="24" t="s">
        <v>2454</v>
      </c>
      <c r="H936" s="24"/>
      <c r="I936" s="24">
        <v>1</v>
      </c>
      <c r="J936" s="24" t="s">
        <v>2372</v>
      </c>
      <c r="K936" s="24"/>
      <c r="L936" s="24"/>
      <c r="M936" s="24"/>
      <c r="N936" s="24"/>
      <c r="O936" s="24"/>
      <c r="P936" s="170"/>
      <c r="Q936" s="170"/>
      <c r="R936" s="290"/>
      <c r="S936" s="242"/>
      <c r="T936" s="164"/>
      <c r="U936" s="242"/>
      <c r="V936" s="194"/>
      <c r="W936" s="194" t="s">
        <v>2405</v>
      </c>
      <c r="X936" s="196"/>
      <c r="Y936" s="196"/>
      <c r="Z936" s="164"/>
      <c r="AA936" s="170"/>
      <c r="AB936" s="194"/>
      <c r="AC936" s="251"/>
      <c r="AD936" s="170"/>
      <c r="AE936" s="225"/>
      <c r="AF936" s="170"/>
      <c r="AG936" s="170"/>
      <c r="AH936" s="251"/>
      <c r="AI936" s="170"/>
      <c r="AJ936" s="194"/>
      <c r="AK936" s="22"/>
      <c r="AL936" s="170"/>
      <c r="AM936" s="170"/>
      <c r="AN936" s="170"/>
      <c r="AO936" s="170"/>
      <c r="AP936" s="170"/>
      <c r="AQ936" s="22"/>
      <c r="AR936" s="22"/>
      <c r="AS936" s="22"/>
      <c r="AT936" s="170"/>
      <c r="AU936" s="170"/>
      <c r="AV936" s="170"/>
      <c r="AW936" s="170"/>
      <c r="AX936" s="170"/>
      <c r="AY936" s="170"/>
      <c r="AZ936" s="170"/>
      <c r="BA936" s="170"/>
      <c r="BB936" s="170"/>
      <c r="BC936" s="170"/>
      <c r="BD936" s="170"/>
      <c r="BE936" s="143" t="s">
        <v>115</v>
      </c>
      <c r="BF936" s="268" t="s">
        <v>2406</v>
      </c>
      <c r="BG936" s="167" t="s">
        <v>2407</v>
      </c>
      <c r="BH936" s="220"/>
      <c r="BI936" s="220"/>
      <c r="BJ936" s="220"/>
      <c r="BK936" s="46">
        <f t="shared" si="1"/>
        <v>1</v>
      </c>
      <c r="BL936" s="46"/>
      <c r="BM936" s="46"/>
      <c r="BN936" s="46"/>
    </row>
    <row r="937" spans="1:66" ht="12.75" hidden="1" customHeight="1">
      <c r="A937" s="22">
        <v>935</v>
      </c>
      <c r="B937" s="22" t="s">
        <v>535</v>
      </c>
      <c r="C937" s="22" t="e">
        <f t="shared" ca="1" si="0"/>
        <v>#NAME?</v>
      </c>
      <c r="D937" s="24" t="s">
        <v>405</v>
      </c>
      <c r="E937" s="22" t="s">
        <v>180</v>
      </c>
      <c r="F937" s="24" t="s">
        <v>2556</v>
      </c>
      <c r="G937" s="24" t="s">
        <v>2454</v>
      </c>
      <c r="H937" s="24"/>
      <c r="I937" s="24">
        <v>1</v>
      </c>
      <c r="J937" s="24" t="s">
        <v>2372</v>
      </c>
      <c r="K937" s="24"/>
      <c r="L937" s="24"/>
      <c r="M937" s="24"/>
      <c r="N937" s="24"/>
      <c r="O937" s="24"/>
      <c r="P937" s="170"/>
      <c r="Q937" s="170"/>
      <c r="R937" s="290"/>
      <c r="S937" s="242"/>
      <c r="T937" s="164"/>
      <c r="U937" s="242"/>
      <c r="V937" s="194"/>
      <c r="W937" s="194" t="s">
        <v>405</v>
      </c>
      <c r="X937" s="196"/>
      <c r="Y937" s="196"/>
      <c r="Z937" s="164"/>
      <c r="AA937" s="170"/>
      <c r="AB937" s="194"/>
      <c r="AC937" s="251"/>
      <c r="AD937" s="170"/>
      <c r="AE937" s="225"/>
      <c r="AF937" s="170"/>
      <c r="AG937" s="170"/>
      <c r="AH937" s="251"/>
      <c r="AI937" s="170"/>
      <c r="AJ937" s="194"/>
      <c r="AK937" s="22"/>
      <c r="AL937" s="170"/>
      <c r="AM937" s="170"/>
      <c r="AN937" s="170"/>
      <c r="AO937" s="170"/>
      <c r="AP937" s="170"/>
      <c r="AQ937" s="22"/>
      <c r="AR937" s="22"/>
      <c r="AS937" s="22"/>
      <c r="AT937" s="170"/>
      <c r="AU937" s="170"/>
      <c r="AV937" s="170"/>
      <c r="AW937" s="170"/>
      <c r="AX937" s="170"/>
      <c r="AY937" s="170"/>
      <c r="AZ937" s="170"/>
      <c r="BA937" s="170"/>
      <c r="BB937" s="170"/>
      <c r="BC937" s="170"/>
      <c r="BD937" s="170"/>
      <c r="BE937" s="143" t="s">
        <v>115</v>
      </c>
      <c r="BF937" s="268" t="s">
        <v>406</v>
      </c>
      <c r="BG937" s="167" t="s">
        <v>407</v>
      </c>
      <c r="BH937" s="220"/>
      <c r="BI937" s="220"/>
      <c r="BJ937" s="220"/>
      <c r="BK937" s="46">
        <f t="shared" si="1"/>
        <v>1</v>
      </c>
      <c r="BL937" s="46"/>
      <c r="BM937" s="46"/>
      <c r="BN937" s="46"/>
    </row>
    <row r="938" spans="1:66" ht="12.75" hidden="1" customHeight="1">
      <c r="A938" s="22">
        <v>936</v>
      </c>
      <c r="B938" s="22" t="s">
        <v>2559</v>
      </c>
      <c r="C938" s="22" t="str">
        <f t="shared" si="0"/>
        <v>Specify - Reason Non-pharmacological options for varicose veins and oedema counseling not done</v>
      </c>
      <c r="D938" s="24" t="s">
        <v>2559</v>
      </c>
      <c r="E938" s="22" t="s">
        <v>96</v>
      </c>
      <c r="F938" s="24" t="s">
        <v>1787</v>
      </c>
      <c r="G938" s="24" t="s">
        <v>2454</v>
      </c>
      <c r="H938" s="24"/>
      <c r="I938" s="24">
        <v>1</v>
      </c>
      <c r="J938" s="24" t="s">
        <v>2372</v>
      </c>
      <c r="K938" s="24"/>
      <c r="L938" s="24"/>
      <c r="M938" s="24"/>
      <c r="N938" s="24"/>
      <c r="O938" s="24"/>
      <c r="P938" s="170"/>
      <c r="Q938" s="170"/>
      <c r="R938" s="290" t="s">
        <v>409</v>
      </c>
      <c r="S938" s="242" t="s">
        <v>2560</v>
      </c>
      <c r="T938" s="164" t="s">
        <v>2410</v>
      </c>
      <c r="U938" s="242" t="s">
        <v>111</v>
      </c>
      <c r="V938" s="194"/>
      <c r="W938" s="194"/>
      <c r="X938" s="196"/>
      <c r="Y938" s="196"/>
      <c r="Z938" s="164"/>
      <c r="AA938" s="170"/>
      <c r="AB938" s="194" t="s">
        <v>208</v>
      </c>
      <c r="AC938" s="251"/>
      <c r="AD938" s="170"/>
      <c r="AE938" s="225"/>
      <c r="AF938" s="170"/>
      <c r="AG938" s="170"/>
      <c r="AH938" s="251"/>
      <c r="AI938" s="170"/>
      <c r="AJ938" s="194" t="s">
        <v>115</v>
      </c>
      <c r="AK938" s="22"/>
      <c r="AL938" s="170"/>
      <c r="AM938" s="170"/>
      <c r="AN938" s="170"/>
      <c r="AO938" s="170"/>
      <c r="AP938" s="170"/>
      <c r="AQ938" s="22"/>
      <c r="AR938" s="22"/>
      <c r="AS938" s="22"/>
      <c r="AT938" s="170"/>
      <c r="AU938" s="170"/>
      <c r="AV938" s="170"/>
      <c r="AW938" s="170"/>
      <c r="AX938" s="170"/>
      <c r="AY938" s="170"/>
      <c r="AZ938" s="170"/>
      <c r="BA938" s="170"/>
      <c r="BB938" s="170"/>
      <c r="BC938" s="170"/>
      <c r="BD938" s="170"/>
      <c r="BE938" s="143" t="s">
        <v>2554</v>
      </c>
      <c r="BF938" s="268" t="s">
        <v>2411</v>
      </c>
      <c r="BG938" s="167" t="s">
        <v>2412</v>
      </c>
      <c r="BH938" s="220"/>
      <c r="BI938" s="220"/>
      <c r="BJ938" s="220"/>
      <c r="BK938" s="46">
        <f t="shared" si="1"/>
        <v>1</v>
      </c>
      <c r="BL938" s="46"/>
      <c r="BM938" s="46"/>
      <c r="BN938" s="46"/>
    </row>
    <row r="939" spans="1:66" ht="12.75" hidden="1" customHeight="1">
      <c r="A939" s="22">
        <v>937</v>
      </c>
      <c r="B939" s="22" t="s">
        <v>2561</v>
      </c>
      <c r="C939" s="22" t="str">
        <f t="shared" si="0"/>
        <v>mag_calc</v>
      </c>
      <c r="D939" s="24" t="s">
        <v>2561</v>
      </c>
      <c r="E939" s="22" t="s">
        <v>65</v>
      </c>
      <c r="F939" s="24" t="s">
        <v>1787</v>
      </c>
      <c r="G939" s="24" t="s">
        <v>2454</v>
      </c>
      <c r="H939" s="24"/>
      <c r="I939" s="24">
        <v>1</v>
      </c>
      <c r="J939" s="24" t="s">
        <v>2372</v>
      </c>
      <c r="K939" s="24"/>
      <c r="L939" s="24"/>
      <c r="M939" s="24"/>
      <c r="N939" s="24"/>
      <c r="O939" s="24"/>
      <c r="P939" s="170"/>
      <c r="Q939" s="170"/>
      <c r="R939" s="222" t="s">
        <v>115</v>
      </c>
      <c r="S939" s="221" t="s">
        <v>2561</v>
      </c>
      <c r="T939" s="221" t="s">
        <v>2562</v>
      </c>
      <c r="U939" s="221" t="s">
        <v>65</v>
      </c>
      <c r="V939" s="163"/>
      <c r="W939" s="163"/>
      <c r="X939" s="221" t="s">
        <v>2563</v>
      </c>
      <c r="Y939" s="221"/>
      <c r="Z939" s="164"/>
      <c r="AA939" s="170"/>
      <c r="AB939" s="221" t="s">
        <v>115</v>
      </c>
      <c r="AC939" s="251"/>
      <c r="AD939" s="170"/>
      <c r="AE939" s="225"/>
      <c r="AF939" s="170"/>
      <c r="AG939" s="170"/>
      <c r="AH939" s="251"/>
      <c r="AI939" s="170"/>
      <c r="AJ939" s="221" t="s">
        <v>115</v>
      </c>
      <c r="AK939" s="22"/>
      <c r="AL939" s="170"/>
      <c r="AM939" s="170"/>
      <c r="AN939" s="170"/>
      <c r="AO939" s="170"/>
      <c r="AP939" s="170"/>
      <c r="AQ939" s="22"/>
      <c r="AR939" s="22"/>
      <c r="AS939" s="22"/>
      <c r="AT939" s="170"/>
      <c r="AU939" s="170"/>
      <c r="AV939" s="170"/>
      <c r="AW939" s="170"/>
      <c r="AX939" s="170"/>
      <c r="AY939" s="170"/>
      <c r="AZ939" s="170"/>
      <c r="BA939" s="170"/>
      <c r="BB939" s="170"/>
      <c r="BC939" s="170"/>
      <c r="BD939" s="170"/>
      <c r="BE939" s="137" t="s">
        <v>115</v>
      </c>
      <c r="BF939" s="137" t="s">
        <v>115</v>
      </c>
      <c r="BG939" s="139" t="s">
        <v>115</v>
      </c>
      <c r="BH939" s="220"/>
      <c r="BI939" s="220"/>
      <c r="BJ939" s="220"/>
      <c r="BK939" s="46">
        <f t="shared" si="1"/>
        <v>1</v>
      </c>
      <c r="BL939" s="46"/>
      <c r="BM939" s="46"/>
      <c r="BN939" s="46"/>
    </row>
    <row r="940" spans="1:66" ht="12.75" hidden="1" customHeight="1">
      <c r="A940" s="22">
        <v>938</v>
      </c>
      <c r="B940" s="22" t="s">
        <v>2564</v>
      </c>
      <c r="C940" s="22" t="str">
        <f t="shared" si="0"/>
        <v>nausea_pharma</v>
      </c>
      <c r="D940" s="24" t="s">
        <v>2564</v>
      </c>
      <c r="E940" s="22" t="s">
        <v>65</v>
      </c>
      <c r="F940" s="24" t="s">
        <v>1787</v>
      </c>
      <c r="G940" s="24" t="s">
        <v>2454</v>
      </c>
      <c r="H940" s="24"/>
      <c r="I940" s="24">
        <v>1</v>
      </c>
      <c r="J940" s="24" t="s">
        <v>2372</v>
      </c>
      <c r="K940" s="24"/>
      <c r="L940" s="24"/>
      <c r="M940" s="24"/>
      <c r="N940" s="24"/>
      <c r="O940" s="24"/>
      <c r="P940" s="170"/>
      <c r="Q940" s="170"/>
      <c r="R940" s="222" t="s">
        <v>115</v>
      </c>
      <c r="S940" s="221" t="s">
        <v>2564</v>
      </c>
      <c r="T940" s="221" t="s">
        <v>2565</v>
      </c>
      <c r="U940" s="221" t="s">
        <v>65</v>
      </c>
      <c r="V940" s="163"/>
      <c r="W940" s="163"/>
      <c r="X940" s="221" t="s">
        <v>2566</v>
      </c>
      <c r="Y940" s="221"/>
      <c r="Z940" s="164"/>
      <c r="AA940" s="170"/>
      <c r="AB940" s="221" t="s">
        <v>115</v>
      </c>
      <c r="AC940" s="251"/>
      <c r="AD940" s="170"/>
      <c r="AE940" s="225"/>
      <c r="AF940" s="170"/>
      <c r="AG940" s="170"/>
      <c r="AH940" s="251"/>
      <c r="AI940" s="170"/>
      <c r="AJ940" s="221" t="s">
        <v>115</v>
      </c>
      <c r="AK940" s="22"/>
      <c r="AL940" s="170"/>
      <c r="AM940" s="170"/>
      <c r="AN940" s="170"/>
      <c r="AO940" s="170"/>
      <c r="AP940" s="170"/>
      <c r="AQ940" s="22"/>
      <c r="AR940" s="22"/>
      <c r="AS940" s="22"/>
      <c r="AT940" s="170"/>
      <c r="AU940" s="170"/>
      <c r="AV940" s="170"/>
      <c r="AW940" s="170"/>
      <c r="AX940" s="170"/>
      <c r="AY940" s="170"/>
      <c r="AZ940" s="170"/>
      <c r="BA940" s="170"/>
      <c r="BB940" s="170"/>
      <c r="BC940" s="170"/>
      <c r="BD940" s="170"/>
      <c r="BE940" s="137" t="s">
        <v>115</v>
      </c>
      <c r="BF940" s="137" t="s">
        <v>115</v>
      </c>
      <c r="BG940" s="139" t="s">
        <v>115</v>
      </c>
      <c r="BH940" s="220"/>
      <c r="BI940" s="220"/>
      <c r="BJ940" s="220"/>
      <c r="BK940" s="46">
        <f t="shared" si="1"/>
        <v>1</v>
      </c>
      <c r="BL940" s="46"/>
      <c r="BM940" s="46"/>
      <c r="BN940" s="46"/>
    </row>
    <row r="941" spans="1:66" ht="12.75" hidden="1" customHeight="1">
      <c r="A941" s="22">
        <v>939</v>
      </c>
      <c r="B941" s="22" t="s">
        <v>2567</v>
      </c>
      <c r="C941" s="22" t="str">
        <f t="shared" si="0"/>
        <v>antacid</v>
      </c>
      <c r="D941" s="24" t="s">
        <v>2567</v>
      </c>
      <c r="E941" s="22" t="s">
        <v>65</v>
      </c>
      <c r="F941" s="24" t="s">
        <v>1787</v>
      </c>
      <c r="G941" s="24" t="s">
        <v>2454</v>
      </c>
      <c r="H941" s="24"/>
      <c r="I941" s="24">
        <v>1</v>
      </c>
      <c r="J941" s="24" t="s">
        <v>2372</v>
      </c>
      <c r="K941" s="24"/>
      <c r="L941" s="24"/>
      <c r="M941" s="24"/>
      <c r="N941" s="24"/>
      <c r="O941" s="24"/>
      <c r="P941" s="170"/>
      <c r="Q941" s="170"/>
      <c r="R941" s="222" t="s">
        <v>115</v>
      </c>
      <c r="S941" s="221" t="s">
        <v>2567</v>
      </c>
      <c r="T941" s="221" t="s">
        <v>2568</v>
      </c>
      <c r="U941" s="221" t="s">
        <v>65</v>
      </c>
      <c r="V941" s="163"/>
      <c r="W941" s="163"/>
      <c r="X941" s="221" t="s">
        <v>2569</v>
      </c>
      <c r="Y941" s="221"/>
      <c r="Z941" s="164"/>
      <c r="AA941" s="170"/>
      <c r="AB941" s="221" t="s">
        <v>115</v>
      </c>
      <c r="AC941" s="251"/>
      <c r="AD941" s="170"/>
      <c r="AE941" s="225"/>
      <c r="AF941" s="170"/>
      <c r="AG941" s="170"/>
      <c r="AH941" s="251"/>
      <c r="AI941" s="170"/>
      <c r="AJ941" s="221" t="s">
        <v>115</v>
      </c>
      <c r="AK941" s="22"/>
      <c r="AL941" s="170"/>
      <c r="AM941" s="170"/>
      <c r="AN941" s="170"/>
      <c r="AO941" s="170"/>
      <c r="AP941" s="170"/>
      <c r="AQ941" s="22"/>
      <c r="AR941" s="22"/>
      <c r="AS941" s="22"/>
      <c r="AT941" s="170"/>
      <c r="AU941" s="170"/>
      <c r="AV941" s="170"/>
      <c r="AW941" s="170"/>
      <c r="AX941" s="170"/>
      <c r="AY941" s="170"/>
      <c r="AZ941" s="170"/>
      <c r="BA941" s="170"/>
      <c r="BB941" s="170"/>
      <c r="BC941" s="170"/>
      <c r="BD941" s="170"/>
      <c r="BE941" s="137" t="s">
        <v>115</v>
      </c>
      <c r="BF941" s="137" t="s">
        <v>115</v>
      </c>
      <c r="BG941" s="139" t="s">
        <v>115</v>
      </c>
      <c r="BH941" s="220"/>
      <c r="BI941" s="220"/>
      <c r="BJ941" s="220"/>
      <c r="BK941" s="46">
        <f t="shared" si="1"/>
        <v>1</v>
      </c>
      <c r="BL941" s="46"/>
      <c r="BM941" s="46"/>
      <c r="BN941" s="46"/>
    </row>
    <row r="942" spans="1:66" ht="12.75" hidden="1" customHeight="1">
      <c r="A942" s="22">
        <v>940</v>
      </c>
      <c r="B942" s="22" t="s">
        <v>2570</v>
      </c>
      <c r="C942" s="22" t="str">
        <f t="shared" si="0"/>
        <v>Healthy eating and keeping physically active counseling</v>
      </c>
      <c r="D942" s="24" t="s">
        <v>2570</v>
      </c>
      <c r="E942" s="22" t="s">
        <v>96</v>
      </c>
      <c r="F942" s="24" t="s">
        <v>1787</v>
      </c>
      <c r="G942" s="24" t="s">
        <v>2571</v>
      </c>
      <c r="H942" s="24"/>
      <c r="I942" s="24">
        <v>1</v>
      </c>
      <c r="J942" s="24" t="s">
        <v>2372</v>
      </c>
      <c r="K942" s="24"/>
      <c r="L942" s="24"/>
      <c r="M942" s="24"/>
      <c r="N942" s="24"/>
      <c r="O942" s="24"/>
      <c r="P942" s="170"/>
      <c r="Q942" s="170"/>
      <c r="R942" s="195" t="s">
        <v>2570</v>
      </c>
      <c r="S942" s="194" t="s">
        <v>2572</v>
      </c>
      <c r="T942" s="194" t="s">
        <v>2573</v>
      </c>
      <c r="U942" s="194" t="s">
        <v>202</v>
      </c>
      <c r="V942" s="194"/>
      <c r="W942" s="194"/>
      <c r="X942" s="196"/>
      <c r="Y942" s="196"/>
      <c r="Z942" s="196"/>
      <c r="AA942" s="170"/>
      <c r="AB942" s="194" t="s">
        <v>113</v>
      </c>
      <c r="AC942" s="251"/>
      <c r="AD942" s="170"/>
      <c r="AE942" s="225"/>
      <c r="AF942" s="170"/>
      <c r="AG942" s="170"/>
      <c r="AH942" s="251"/>
      <c r="AI942" s="170"/>
      <c r="AJ942" s="194" t="s">
        <v>1277</v>
      </c>
      <c r="AK942" s="22"/>
      <c r="AL942" s="170"/>
      <c r="AM942" s="170"/>
      <c r="AN942" s="170"/>
      <c r="AO942" s="170"/>
      <c r="AP942" s="170"/>
      <c r="AQ942" s="22"/>
      <c r="AR942" s="22"/>
      <c r="AS942" s="22"/>
      <c r="AT942" s="170"/>
      <c r="AU942" s="170"/>
      <c r="AV942" s="170"/>
      <c r="AW942" s="170"/>
      <c r="AX942" s="170"/>
      <c r="AY942" s="170"/>
      <c r="AZ942" s="170"/>
      <c r="BA942" s="170"/>
      <c r="BB942" s="170"/>
      <c r="BC942" s="170"/>
      <c r="BD942" s="170"/>
      <c r="BE942" s="137" t="s">
        <v>2574</v>
      </c>
      <c r="BF942" s="455" t="s">
        <v>2398</v>
      </c>
      <c r="BG942" s="139" t="s">
        <v>2399</v>
      </c>
      <c r="BH942" s="220"/>
      <c r="BI942" s="220"/>
      <c r="BJ942" s="220"/>
      <c r="BK942" s="46">
        <f t="shared" si="1"/>
        <v>1</v>
      </c>
      <c r="BL942" s="46"/>
      <c r="BM942" s="46"/>
      <c r="BN942" s="46"/>
    </row>
    <row r="943" spans="1:66" ht="12.75" hidden="1" customHeight="1">
      <c r="A943" s="22">
        <v>941</v>
      </c>
      <c r="B943" s="22" t="s">
        <v>2527</v>
      </c>
      <c r="C943" s="22" t="e">
        <f t="shared" ca="1" si="0"/>
        <v>#NAME?</v>
      </c>
      <c r="D943" s="24" t="s">
        <v>1673</v>
      </c>
      <c r="E943" s="22" t="s">
        <v>180</v>
      </c>
      <c r="F943" s="24" t="s">
        <v>2570</v>
      </c>
      <c r="G943" s="24" t="s">
        <v>2571</v>
      </c>
      <c r="H943" s="24"/>
      <c r="I943" s="24">
        <v>1</v>
      </c>
      <c r="J943" s="24" t="s">
        <v>2372</v>
      </c>
      <c r="K943" s="24"/>
      <c r="L943" s="24"/>
      <c r="M943" s="24"/>
      <c r="N943" s="24"/>
      <c r="O943" s="24"/>
      <c r="P943" s="170"/>
      <c r="Q943" s="170"/>
      <c r="R943" s="169"/>
      <c r="S943" s="194"/>
      <c r="T943" s="164"/>
      <c r="U943" s="164"/>
      <c r="V943" s="193"/>
      <c r="W943" s="194" t="s">
        <v>1673</v>
      </c>
      <c r="X943" s="164"/>
      <c r="Y943" s="164"/>
      <c r="Z943" s="164"/>
      <c r="AA943" s="170"/>
      <c r="AB943" s="164"/>
      <c r="AC943" s="251"/>
      <c r="AD943" s="170"/>
      <c r="AE943" s="225"/>
      <c r="AF943" s="170"/>
      <c r="AG943" s="170"/>
      <c r="AH943" s="251"/>
      <c r="AI943" s="170"/>
      <c r="AJ943" s="194"/>
      <c r="AK943" s="22"/>
      <c r="AL943" s="170"/>
      <c r="AM943" s="170"/>
      <c r="AN943" s="170"/>
      <c r="AO943" s="170"/>
      <c r="AP943" s="170"/>
      <c r="AQ943" s="22"/>
      <c r="AR943" s="22"/>
      <c r="AS943" s="22"/>
      <c r="AT943" s="170"/>
      <c r="AU943" s="170"/>
      <c r="AV943" s="170"/>
      <c r="AW943" s="170"/>
      <c r="AX943" s="170"/>
      <c r="AY943" s="170"/>
      <c r="AZ943" s="170"/>
      <c r="BA943" s="170"/>
      <c r="BB943" s="170"/>
      <c r="BC943" s="170"/>
      <c r="BD943" s="170"/>
      <c r="BE943" s="137" t="s">
        <v>115</v>
      </c>
      <c r="BF943" s="455" t="s">
        <v>942</v>
      </c>
      <c r="BG943" s="167" t="s">
        <v>943</v>
      </c>
      <c r="BH943" s="220"/>
      <c r="BI943" s="220"/>
      <c r="BJ943" s="220"/>
      <c r="BK943" s="46">
        <f t="shared" si="1"/>
        <v>1</v>
      </c>
      <c r="BL943" s="46"/>
      <c r="BM943" s="46"/>
      <c r="BN943" s="46"/>
    </row>
    <row r="944" spans="1:66" ht="12.75" hidden="1" customHeight="1">
      <c r="A944" s="22">
        <v>942</v>
      </c>
      <c r="B944" s="22" t="s">
        <v>2118</v>
      </c>
      <c r="C944" s="22" t="e">
        <f t="shared" ca="1" si="0"/>
        <v>#NAME?</v>
      </c>
      <c r="D944" s="24" t="s">
        <v>1468</v>
      </c>
      <c r="E944" s="22" t="s">
        <v>180</v>
      </c>
      <c r="F944" s="24" t="s">
        <v>2570</v>
      </c>
      <c r="G944" s="24" t="s">
        <v>2571</v>
      </c>
      <c r="H944" s="24"/>
      <c r="I944" s="24">
        <v>1</v>
      </c>
      <c r="J944" s="24" t="s">
        <v>2372</v>
      </c>
      <c r="K944" s="24"/>
      <c r="L944" s="24"/>
      <c r="M944" s="24"/>
      <c r="N944" s="24"/>
      <c r="O944" s="24"/>
      <c r="P944" s="170"/>
      <c r="Q944" s="170"/>
      <c r="R944" s="169"/>
      <c r="S944" s="194"/>
      <c r="T944" s="164"/>
      <c r="U944" s="164"/>
      <c r="V944" s="163"/>
      <c r="W944" s="163" t="s">
        <v>1468</v>
      </c>
      <c r="X944" s="164"/>
      <c r="Y944" s="164"/>
      <c r="Z944" s="164"/>
      <c r="AA944" s="170"/>
      <c r="AB944" s="164"/>
      <c r="AC944" s="251"/>
      <c r="AD944" s="170"/>
      <c r="AE944" s="225"/>
      <c r="AF944" s="170"/>
      <c r="AG944" s="170"/>
      <c r="AH944" s="251"/>
      <c r="AI944" s="170"/>
      <c r="AJ944" s="194"/>
      <c r="AK944" s="22"/>
      <c r="AL944" s="170"/>
      <c r="AM944" s="170"/>
      <c r="AN944" s="170"/>
      <c r="AO944" s="170"/>
      <c r="AP944" s="170"/>
      <c r="AQ944" s="22"/>
      <c r="AR944" s="22"/>
      <c r="AS944" s="22"/>
      <c r="AT944" s="170"/>
      <c r="AU944" s="170"/>
      <c r="AV944" s="170"/>
      <c r="AW944" s="170"/>
      <c r="AX944" s="170"/>
      <c r="AY944" s="170"/>
      <c r="AZ944" s="170"/>
      <c r="BA944" s="170"/>
      <c r="BB944" s="170"/>
      <c r="BC944" s="170"/>
      <c r="BD944" s="170"/>
      <c r="BE944" s="137" t="s">
        <v>115</v>
      </c>
      <c r="BF944" s="455" t="s">
        <v>1469</v>
      </c>
      <c r="BG944" s="167" t="s">
        <v>1470</v>
      </c>
      <c r="BH944" s="220"/>
      <c r="BI944" s="220"/>
      <c r="BJ944" s="220"/>
      <c r="BK944" s="46">
        <f t="shared" si="1"/>
        <v>1</v>
      </c>
      <c r="BL944" s="46"/>
      <c r="BM944" s="46"/>
      <c r="BN944" s="46"/>
    </row>
    <row r="945" spans="1:66" ht="12.75" hidden="1" customHeight="1">
      <c r="A945" s="22">
        <v>943</v>
      </c>
      <c r="B945" s="22" t="s">
        <v>2575</v>
      </c>
      <c r="C945" s="22" t="str">
        <f t="shared" si="0"/>
        <v>Reason Healthy eating and keeping physically active counseling not done</v>
      </c>
      <c r="D945" s="24" t="s">
        <v>2575</v>
      </c>
      <c r="E945" s="22" t="s">
        <v>96</v>
      </c>
      <c r="F945" s="24" t="s">
        <v>1787</v>
      </c>
      <c r="G945" s="24" t="s">
        <v>2571</v>
      </c>
      <c r="H945" s="24"/>
      <c r="I945" s="24">
        <v>1</v>
      </c>
      <c r="J945" s="24" t="s">
        <v>2372</v>
      </c>
      <c r="K945" s="24"/>
      <c r="L945" s="24"/>
      <c r="M945" s="24"/>
      <c r="N945" s="24"/>
      <c r="O945" s="24"/>
      <c r="P945" s="170"/>
      <c r="Q945" s="170"/>
      <c r="R945" s="169" t="s">
        <v>1376</v>
      </c>
      <c r="S945" s="194" t="s">
        <v>2576</v>
      </c>
      <c r="T945" s="164" t="s">
        <v>2577</v>
      </c>
      <c r="U945" s="164" t="s">
        <v>238</v>
      </c>
      <c r="V945" s="163"/>
      <c r="W945" s="163"/>
      <c r="X945" s="164"/>
      <c r="Y945" s="164"/>
      <c r="Z945" s="164"/>
      <c r="AA945" s="170"/>
      <c r="AB945" s="164" t="s">
        <v>113</v>
      </c>
      <c r="AC945" s="251"/>
      <c r="AD945" s="170"/>
      <c r="AE945" s="225"/>
      <c r="AF945" s="170"/>
      <c r="AG945" s="170"/>
      <c r="AH945" s="251"/>
      <c r="AI945" s="170"/>
      <c r="AJ945" s="194" t="s">
        <v>115</v>
      </c>
      <c r="AK945" s="22"/>
      <c r="AL945" s="170"/>
      <c r="AM945" s="170"/>
      <c r="AN945" s="170"/>
      <c r="AO945" s="170"/>
      <c r="AP945" s="170"/>
      <c r="AQ945" s="22"/>
      <c r="AR945" s="22"/>
      <c r="AS945" s="22"/>
      <c r="AT945" s="170"/>
      <c r="AU945" s="170"/>
      <c r="AV945" s="170"/>
      <c r="AW945" s="170"/>
      <c r="AX945" s="170"/>
      <c r="AY945" s="170"/>
      <c r="AZ945" s="170"/>
      <c r="BA945" s="170"/>
      <c r="BB945" s="170"/>
      <c r="BC945" s="170"/>
      <c r="BD945" s="170"/>
      <c r="BE945" s="137" t="s">
        <v>2574</v>
      </c>
      <c r="BF945" s="455" t="s">
        <v>2403</v>
      </c>
      <c r="BG945" s="139" t="s">
        <v>2404</v>
      </c>
      <c r="BH945" s="220"/>
      <c r="BI945" s="220"/>
      <c r="BJ945" s="220"/>
      <c r="BK945" s="46">
        <f t="shared" si="1"/>
        <v>1</v>
      </c>
      <c r="BL945" s="46"/>
      <c r="BM945" s="46"/>
      <c r="BN945" s="46"/>
    </row>
    <row r="946" spans="1:66" ht="12.75" hidden="1" customHeight="1">
      <c r="A946" s="22">
        <v>944</v>
      </c>
      <c r="B946" s="22" t="s">
        <v>3616</v>
      </c>
      <c r="C946" s="22" t="e">
        <f t="shared" ca="1" si="0"/>
        <v>#NAME?</v>
      </c>
      <c r="D946" s="24" t="s">
        <v>2405</v>
      </c>
      <c r="E946" s="22" t="s">
        <v>180</v>
      </c>
      <c r="F946" s="24" t="s">
        <v>2575</v>
      </c>
      <c r="G946" s="24" t="s">
        <v>2571</v>
      </c>
      <c r="H946" s="24"/>
      <c r="I946" s="24">
        <v>1</v>
      </c>
      <c r="J946" s="24" t="s">
        <v>2372</v>
      </c>
      <c r="K946" s="24"/>
      <c r="L946" s="24"/>
      <c r="M946" s="24"/>
      <c r="N946" s="24"/>
      <c r="O946" s="24"/>
      <c r="P946" s="170"/>
      <c r="Q946" s="170"/>
      <c r="R946" s="247"/>
      <c r="S946" s="196"/>
      <c r="T946" s="196"/>
      <c r="U946" s="196"/>
      <c r="V946" s="163"/>
      <c r="W946" s="163" t="s">
        <v>2405</v>
      </c>
      <c r="X946" s="196"/>
      <c r="Y946" s="196"/>
      <c r="Z946" s="196"/>
      <c r="AA946" s="170"/>
      <c r="AB946" s="196"/>
      <c r="AC946" s="251"/>
      <c r="AD946" s="170"/>
      <c r="AE946" s="225"/>
      <c r="AF946" s="170"/>
      <c r="AG946" s="170"/>
      <c r="AH946" s="251"/>
      <c r="AI946" s="170"/>
      <c r="AJ946" s="196"/>
      <c r="AK946" s="22"/>
      <c r="AL946" s="170"/>
      <c r="AM946" s="170"/>
      <c r="AN946" s="170"/>
      <c r="AO946" s="170"/>
      <c r="AP946" s="170"/>
      <c r="AQ946" s="22"/>
      <c r="AR946" s="22"/>
      <c r="AS946" s="22"/>
      <c r="AT946" s="170"/>
      <c r="AU946" s="170"/>
      <c r="AV946" s="170"/>
      <c r="AW946" s="170"/>
      <c r="AX946" s="170"/>
      <c r="AY946" s="170"/>
      <c r="AZ946" s="170"/>
      <c r="BA946" s="170"/>
      <c r="BB946" s="170"/>
      <c r="BC946" s="170"/>
      <c r="BD946" s="170"/>
      <c r="BE946" s="143" t="s">
        <v>115</v>
      </c>
      <c r="BF946" s="457" t="s">
        <v>2406</v>
      </c>
      <c r="BG946" s="167" t="s">
        <v>2407</v>
      </c>
      <c r="BH946" s="220"/>
      <c r="BI946" s="220"/>
      <c r="BJ946" s="220"/>
      <c r="BK946" s="46">
        <f t="shared" si="1"/>
        <v>1</v>
      </c>
      <c r="BL946" s="46"/>
      <c r="BM946" s="46"/>
      <c r="BN946" s="46"/>
    </row>
    <row r="947" spans="1:66" ht="12.75" hidden="1" customHeight="1">
      <c r="A947" s="22">
        <v>945</v>
      </c>
      <c r="B947" s="22" t="s">
        <v>535</v>
      </c>
      <c r="C947" s="22" t="e">
        <f t="shared" ca="1" si="0"/>
        <v>#NAME?</v>
      </c>
      <c r="D947" s="24" t="s">
        <v>405</v>
      </c>
      <c r="E947" s="22" t="s">
        <v>180</v>
      </c>
      <c r="F947" s="24" t="s">
        <v>2575</v>
      </c>
      <c r="G947" s="24" t="s">
        <v>2571</v>
      </c>
      <c r="H947" s="24"/>
      <c r="I947" s="24">
        <v>1</v>
      </c>
      <c r="J947" s="24" t="s">
        <v>2372</v>
      </c>
      <c r="K947" s="24"/>
      <c r="L947" s="24"/>
      <c r="M947" s="24"/>
      <c r="N947" s="24"/>
      <c r="O947" s="24"/>
      <c r="P947" s="170"/>
      <c r="Q947" s="170"/>
      <c r="R947" s="247"/>
      <c r="S947" s="196"/>
      <c r="T947" s="196"/>
      <c r="U947" s="196"/>
      <c r="V947" s="194"/>
      <c r="W947" s="194" t="s">
        <v>405</v>
      </c>
      <c r="X947" s="196"/>
      <c r="Y947" s="196"/>
      <c r="Z947" s="196"/>
      <c r="AA947" s="170"/>
      <c r="AB947" s="196"/>
      <c r="AC947" s="251"/>
      <c r="AD947" s="170"/>
      <c r="AE947" s="225"/>
      <c r="AF947" s="170"/>
      <c r="AG947" s="170"/>
      <c r="AH947" s="251"/>
      <c r="AI947" s="170"/>
      <c r="AJ947" s="196"/>
      <c r="AK947" s="22"/>
      <c r="AL947" s="170"/>
      <c r="AM947" s="170"/>
      <c r="AN947" s="170"/>
      <c r="AO947" s="170"/>
      <c r="AP947" s="170"/>
      <c r="AQ947" s="22"/>
      <c r="AR947" s="22"/>
      <c r="AS947" s="22"/>
      <c r="AT947" s="170"/>
      <c r="AU947" s="170"/>
      <c r="AV947" s="170"/>
      <c r="AW947" s="170"/>
      <c r="AX947" s="170"/>
      <c r="AY947" s="170"/>
      <c r="AZ947" s="170"/>
      <c r="BA947" s="170"/>
      <c r="BB947" s="170"/>
      <c r="BC947" s="170"/>
      <c r="BD947" s="170"/>
      <c r="BE947" s="143" t="s">
        <v>115</v>
      </c>
      <c r="BF947" s="457" t="s">
        <v>406</v>
      </c>
      <c r="BG947" s="167" t="s">
        <v>407</v>
      </c>
      <c r="BH947" s="220"/>
      <c r="BI947" s="220"/>
      <c r="BJ947" s="220"/>
      <c r="BK947" s="46">
        <f t="shared" si="1"/>
        <v>1</v>
      </c>
      <c r="BL947" s="46"/>
      <c r="BM947" s="46"/>
      <c r="BN947" s="46"/>
    </row>
    <row r="948" spans="1:66" ht="12.75" hidden="1" customHeight="1">
      <c r="A948" s="22">
        <v>946</v>
      </c>
      <c r="B948" s="22" t="s">
        <v>2578</v>
      </c>
      <c r="C948" s="22" t="str">
        <f t="shared" si="0"/>
        <v>Specify - Reason Healthy eating and keeping physically active counseling not done</v>
      </c>
      <c r="D948" s="24" t="s">
        <v>2578</v>
      </c>
      <c r="E948" s="22" t="s">
        <v>96</v>
      </c>
      <c r="F948" s="24" t="s">
        <v>1787</v>
      </c>
      <c r="G948" s="24" t="s">
        <v>2571</v>
      </c>
      <c r="H948" s="24"/>
      <c r="I948" s="24">
        <v>1</v>
      </c>
      <c r="J948" s="24" t="s">
        <v>2372</v>
      </c>
      <c r="K948" s="24"/>
      <c r="L948" s="24"/>
      <c r="M948" s="24"/>
      <c r="N948" s="24"/>
      <c r="O948" s="24"/>
      <c r="P948" s="170"/>
      <c r="Q948" s="170"/>
      <c r="R948" s="247" t="s">
        <v>409</v>
      </c>
      <c r="S948" s="196" t="s">
        <v>2579</v>
      </c>
      <c r="T948" s="196" t="s">
        <v>2410</v>
      </c>
      <c r="U948" s="196" t="s">
        <v>111</v>
      </c>
      <c r="V948" s="194"/>
      <c r="W948" s="194"/>
      <c r="X948" s="196"/>
      <c r="Y948" s="196"/>
      <c r="Z948" s="196"/>
      <c r="AA948" s="170"/>
      <c r="AB948" s="196" t="s">
        <v>208</v>
      </c>
      <c r="AC948" s="251"/>
      <c r="AD948" s="170"/>
      <c r="AE948" s="225"/>
      <c r="AF948" s="170"/>
      <c r="AG948" s="170"/>
      <c r="AH948" s="251"/>
      <c r="AI948" s="170"/>
      <c r="AJ948" s="196" t="s">
        <v>115</v>
      </c>
      <c r="AK948" s="22"/>
      <c r="AL948" s="170"/>
      <c r="AM948" s="170"/>
      <c r="AN948" s="170"/>
      <c r="AO948" s="170"/>
      <c r="AP948" s="170"/>
      <c r="AQ948" s="22"/>
      <c r="AR948" s="22"/>
      <c r="AS948" s="22"/>
      <c r="AT948" s="170"/>
      <c r="AU948" s="170"/>
      <c r="AV948" s="170"/>
      <c r="AW948" s="170"/>
      <c r="AX948" s="170"/>
      <c r="AY948" s="170"/>
      <c r="AZ948" s="170"/>
      <c r="BA948" s="170"/>
      <c r="BB948" s="170"/>
      <c r="BC948" s="170"/>
      <c r="BD948" s="170"/>
      <c r="BE948" s="143" t="s">
        <v>2574</v>
      </c>
      <c r="BF948" s="457" t="s">
        <v>2411</v>
      </c>
      <c r="BG948" s="167" t="s">
        <v>2412</v>
      </c>
      <c r="BH948" s="220"/>
      <c r="BI948" s="220"/>
      <c r="BJ948" s="220"/>
      <c r="BK948" s="46">
        <f t="shared" si="1"/>
        <v>1</v>
      </c>
      <c r="BL948" s="46"/>
      <c r="BM948" s="46"/>
      <c r="BN948" s="46"/>
    </row>
    <row r="949" spans="1:66" ht="12.75" hidden="1" customHeight="1">
      <c r="A949" s="22">
        <v>947</v>
      </c>
      <c r="B949" s="22" t="s">
        <v>2580</v>
      </c>
      <c r="C949" s="22" t="str">
        <f t="shared" si="0"/>
        <v>Increase daily energy and protein intake counseling</v>
      </c>
      <c r="D949" s="24" t="s">
        <v>2580</v>
      </c>
      <c r="E949" s="22" t="s">
        <v>96</v>
      </c>
      <c r="F949" s="24" t="s">
        <v>1787</v>
      </c>
      <c r="G949" s="24" t="s">
        <v>2571</v>
      </c>
      <c r="H949" s="24"/>
      <c r="I949" s="24">
        <v>1</v>
      </c>
      <c r="J949" s="24" t="s">
        <v>2372</v>
      </c>
      <c r="K949" s="24"/>
      <c r="L949" s="24"/>
      <c r="M949" s="24"/>
      <c r="N949" s="24"/>
      <c r="O949" s="24"/>
      <c r="P949" s="170"/>
      <c r="Q949" s="170"/>
      <c r="R949" s="195" t="s">
        <v>2580</v>
      </c>
      <c r="S949" s="194" t="s">
        <v>2581</v>
      </c>
      <c r="T949" s="194" t="s">
        <v>2582</v>
      </c>
      <c r="U949" s="194" t="s">
        <v>202</v>
      </c>
      <c r="V949" s="194"/>
      <c r="W949" s="194"/>
      <c r="X949" s="196"/>
      <c r="Y949" s="196"/>
      <c r="Z949" s="196"/>
      <c r="AA949" s="170"/>
      <c r="AB949" s="194" t="s">
        <v>113</v>
      </c>
      <c r="AC949" s="251"/>
      <c r="AD949" s="170"/>
      <c r="AE949" s="225"/>
      <c r="AF949" s="170"/>
      <c r="AG949" s="170"/>
      <c r="AH949" s="251"/>
      <c r="AI949" s="170"/>
      <c r="AJ949" s="194" t="s">
        <v>2375</v>
      </c>
      <c r="AK949" s="22"/>
      <c r="AL949" s="170"/>
      <c r="AM949" s="170"/>
      <c r="AN949" s="170"/>
      <c r="AO949" s="170"/>
      <c r="AP949" s="170"/>
      <c r="AQ949" s="22"/>
      <c r="AR949" s="22"/>
      <c r="AS949" s="22"/>
      <c r="AT949" s="170"/>
      <c r="AU949" s="170"/>
      <c r="AV949" s="170"/>
      <c r="AW949" s="170"/>
      <c r="AX949" s="170"/>
      <c r="AY949" s="170"/>
      <c r="AZ949" s="170"/>
      <c r="BA949" s="170"/>
      <c r="BB949" s="170"/>
      <c r="BC949" s="170"/>
      <c r="BD949" s="170"/>
      <c r="BE949" s="137" t="s">
        <v>2583</v>
      </c>
      <c r="BF949" s="455" t="s">
        <v>2398</v>
      </c>
      <c r="BG949" s="139" t="s">
        <v>2399</v>
      </c>
      <c r="BH949" s="220"/>
      <c r="BI949" s="220"/>
      <c r="BJ949" s="220"/>
      <c r="BK949" s="46">
        <f t="shared" si="1"/>
        <v>1</v>
      </c>
      <c r="BL949" s="46"/>
      <c r="BM949" s="46"/>
      <c r="BN949" s="46"/>
    </row>
    <row r="950" spans="1:66" ht="12.75" hidden="1" customHeight="1">
      <c r="A950" s="22">
        <v>948</v>
      </c>
      <c r="B950" s="22" t="s">
        <v>2527</v>
      </c>
      <c r="C950" s="22" t="e">
        <f t="shared" ca="1" si="0"/>
        <v>#NAME?</v>
      </c>
      <c r="D950" s="24" t="s">
        <v>1673</v>
      </c>
      <c r="E950" s="22" t="s">
        <v>180</v>
      </c>
      <c r="F950" s="24" t="s">
        <v>2580</v>
      </c>
      <c r="G950" s="24" t="s">
        <v>2571</v>
      </c>
      <c r="H950" s="24"/>
      <c r="I950" s="24">
        <v>1</v>
      </c>
      <c r="J950" s="24" t="s">
        <v>2372</v>
      </c>
      <c r="K950" s="24"/>
      <c r="L950" s="24"/>
      <c r="M950" s="24"/>
      <c r="N950" s="24"/>
      <c r="O950" s="24"/>
      <c r="P950" s="170"/>
      <c r="Q950" s="170"/>
      <c r="R950" s="169"/>
      <c r="S950" s="194"/>
      <c r="T950" s="164"/>
      <c r="U950" s="164"/>
      <c r="V950" s="193"/>
      <c r="W950" s="194" t="s">
        <v>1673</v>
      </c>
      <c r="X950" s="164"/>
      <c r="Y950" s="164"/>
      <c r="Z950" s="164"/>
      <c r="AA950" s="170"/>
      <c r="AB950" s="164"/>
      <c r="AC950" s="251"/>
      <c r="AD950" s="170"/>
      <c r="AE950" s="225"/>
      <c r="AF950" s="170"/>
      <c r="AG950" s="170"/>
      <c r="AH950" s="251"/>
      <c r="AI950" s="170"/>
      <c r="AJ950" s="194"/>
      <c r="AK950" s="22"/>
      <c r="AL950" s="170"/>
      <c r="AM950" s="170"/>
      <c r="AN950" s="170"/>
      <c r="AO950" s="170"/>
      <c r="AP950" s="170"/>
      <c r="AQ950" s="22"/>
      <c r="AR950" s="22"/>
      <c r="AS950" s="22"/>
      <c r="AT950" s="170"/>
      <c r="AU950" s="170"/>
      <c r="AV950" s="170"/>
      <c r="AW950" s="170"/>
      <c r="AX950" s="170"/>
      <c r="AY950" s="170"/>
      <c r="AZ950" s="170"/>
      <c r="BA950" s="170"/>
      <c r="BB950" s="170"/>
      <c r="BC950" s="170"/>
      <c r="BD950" s="170"/>
      <c r="BE950" s="137" t="s">
        <v>115</v>
      </c>
      <c r="BF950" s="455" t="s">
        <v>942</v>
      </c>
      <c r="BG950" s="167" t="s">
        <v>943</v>
      </c>
      <c r="BH950" s="220"/>
      <c r="BI950" s="220"/>
      <c r="BJ950" s="220"/>
      <c r="BK950" s="46">
        <f t="shared" si="1"/>
        <v>1</v>
      </c>
      <c r="BL950" s="46"/>
      <c r="BM950" s="46"/>
      <c r="BN950" s="46"/>
    </row>
    <row r="951" spans="1:66" ht="12.75" hidden="1" customHeight="1">
      <c r="A951" s="22">
        <v>949</v>
      </c>
      <c r="B951" s="22" t="s">
        <v>2118</v>
      </c>
      <c r="C951" s="22" t="e">
        <f t="shared" ca="1" si="0"/>
        <v>#NAME?</v>
      </c>
      <c r="D951" s="24" t="s">
        <v>1468</v>
      </c>
      <c r="E951" s="22" t="s">
        <v>180</v>
      </c>
      <c r="F951" s="24" t="s">
        <v>2580</v>
      </c>
      <c r="G951" s="24" t="s">
        <v>2571</v>
      </c>
      <c r="H951" s="24"/>
      <c r="I951" s="24">
        <v>1</v>
      </c>
      <c r="J951" s="24" t="s">
        <v>2372</v>
      </c>
      <c r="K951" s="24"/>
      <c r="L951" s="24"/>
      <c r="M951" s="24"/>
      <c r="N951" s="24"/>
      <c r="O951" s="24"/>
      <c r="P951" s="170"/>
      <c r="Q951" s="170"/>
      <c r="R951" s="169"/>
      <c r="S951" s="194"/>
      <c r="T951" s="164"/>
      <c r="U951" s="164"/>
      <c r="V951" s="163"/>
      <c r="W951" s="163" t="s">
        <v>1468</v>
      </c>
      <c r="X951" s="164"/>
      <c r="Y951" s="164"/>
      <c r="Z951" s="164"/>
      <c r="AA951" s="170"/>
      <c r="AB951" s="164"/>
      <c r="AC951" s="251"/>
      <c r="AD951" s="170"/>
      <c r="AE951" s="225"/>
      <c r="AF951" s="170"/>
      <c r="AG951" s="170"/>
      <c r="AH951" s="251"/>
      <c r="AI951" s="170"/>
      <c r="AJ951" s="194"/>
      <c r="AK951" s="22"/>
      <c r="AL951" s="170"/>
      <c r="AM951" s="170"/>
      <c r="AN951" s="170"/>
      <c r="AO951" s="170"/>
      <c r="AP951" s="170"/>
      <c r="AQ951" s="22"/>
      <c r="AR951" s="22"/>
      <c r="AS951" s="22"/>
      <c r="AT951" s="170"/>
      <c r="AU951" s="170"/>
      <c r="AV951" s="170"/>
      <c r="AW951" s="170"/>
      <c r="AX951" s="170"/>
      <c r="AY951" s="170"/>
      <c r="AZ951" s="170"/>
      <c r="BA951" s="170"/>
      <c r="BB951" s="170"/>
      <c r="BC951" s="170"/>
      <c r="BD951" s="170"/>
      <c r="BE951" s="137" t="s">
        <v>115</v>
      </c>
      <c r="BF951" s="455" t="s">
        <v>1469</v>
      </c>
      <c r="BG951" s="167" t="s">
        <v>1470</v>
      </c>
      <c r="BH951" s="220"/>
      <c r="BI951" s="220"/>
      <c r="BJ951" s="220"/>
      <c r="BK951" s="46">
        <f t="shared" si="1"/>
        <v>1</v>
      </c>
      <c r="BL951" s="46"/>
      <c r="BM951" s="46"/>
      <c r="BN951" s="46"/>
    </row>
    <row r="952" spans="1:66" ht="12.75" hidden="1" customHeight="1">
      <c r="A952" s="22">
        <v>950</v>
      </c>
      <c r="B952" s="22" t="s">
        <v>2584</v>
      </c>
      <c r="C952" s="22" t="str">
        <f t="shared" si="0"/>
        <v>Reason Increase daily energy and protein intake counseling not done</v>
      </c>
      <c r="D952" s="24" t="s">
        <v>2584</v>
      </c>
      <c r="E952" s="22" t="s">
        <v>96</v>
      </c>
      <c r="F952" s="24" t="s">
        <v>1787</v>
      </c>
      <c r="G952" s="24" t="s">
        <v>2571</v>
      </c>
      <c r="H952" s="24"/>
      <c r="I952" s="24">
        <v>1</v>
      </c>
      <c r="J952" s="24" t="s">
        <v>2372</v>
      </c>
      <c r="K952" s="24"/>
      <c r="L952" s="24"/>
      <c r="M952" s="24"/>
      <c r="N952" s="24"/>
      <c r="O952" s="24"/>
      <c r="P952" s="170"/>
      <c r="Q952" s="170"/>
      <c r="R952" s="169" t="s">
        <v>1376</v>
      </c>
      <c r="S952" s="194" t="s">
        <v>2585</v>
      </c>
      <c r="T952" s="164" t="s">
        <v>2586</v>
      </c>
      <c r="U952" s="164" t="s">
        <v>238</v>
      </c>
      <c r="V952" s="163"/>
      <c r="W952" s="163"/>
      <c r="X952" s="164"/>
      <c r="Y952" s="164"/>
      <c r="Z952" s="164"/>
      <c r="AA952" s="170"/>
      <c r="AB952" s="164" t="s">
        <v>113</v>
      </c>
      <c r="AC952" s="251"/>
      <c r="AD952" s="170"/>
      <c r="AE952" s="225"/>
      <c r="AF952" s="170"/>
      <c r="AG952" s="170"/>
      <c r="AH952" s="251"/>
      <c r="AI952" s="170"/>
      <c r="AJ952" s="194" t="s">
        <v>115</v>
      </c>
      <c r="AK952" s="22"/>
      <c r="AL952" s="170"/>
      <c r="AM952" s="170"/>
      <c r="AN952" s="170"/>
      <c r="AO952" s="170"/>
      <c r="AP952" s="170"/>
      <c r="AQ952" s="22"/>
      <c r="AR952" s="22"/>
      <c r="AS952" s="22"/>
      <c r="AT952" s="170"/>
      <c r="AU952" s="170"/>
      <c r="AV952" s="170"/>
      <c r="AW952" s="170"/>
      <c r="AX952" s="170"/>
      <c r="AY952" s="170"/>
      <c r="AZ952" s="170"/>
      <c r="BA952" s="170"/>
      <c r="BB952" s="170"/>
      <c r="BC952" s="170"/>
      <c r="BD952" s="170"/>
      <c r="BE952" s="137" t="s">
        <v>2583</v>
      </c>
      <c r="BF952" s="455" t="s">
        <v>2403</v>
      </c>
      <c r="BG952" s="139" t="s">
        <v>2404</v>
      </c>
      <c r="BH952" s="220"/>
      <c r="BI952" s="220"/>
      <c r="BJ952" s="220"/>
      <c r="BK952" s="46">
        <f t="shared" si="1"/>
        <v>1</v>
      </c>
      <c r="BL952" s="46"/>
      <c r="BM952" s="46"/>
      <c r="BN952" s="46"/>
    </row>
    <row r="953" spans="1:66" ht="12.75" hidden="1" customHeight="1">
      <c r="A953" s="22">
        <v>951</v>
      </c>
      <c r="B953" s="22" t="s">
        <v>3616</v>
      </c>
      <c r="C953" s="22" t="e">
        <f t="shared" ca="1" si="0"/>
        <v>#NAME?</v>
      </c>
      <c r="D953" s="24" t="s">
        <v>2405</v>
      </c>
      <c r="E953" s="22" t="s">
        <v>180</v>
      </c>
      <c r="F953" s="24" t="s">
        <v>2584</v>
      </c>
      <c r="G953" s="24" t="s">
        <v>2571</v>
      </c>
      <c r="H953" s="24"/>
      <c r="I953" s="24">
        <v>1</v>
      </c>
      <c r="J953" s="24" t="s">
        <v>2372</v>
      </c>
      <c r="K953" s="24"/>
      <c r="L953" s="24"/>
      <c r="M953" s="24"/>
      <c r="N953" s="24"/>
      <c r="O953" s="24"/>
      <c r="P953" s="170"/>
      <c r="Q953" s="170"/>
      <c r="R953" s="169"/>
      <c r="S953" s="194"/>
      <c r="T953" s="164"/>
      <c r="U953" s="164"/>
      <c r="V953" s="193"/>
      <c r="W953" s="194" t="s">
        <v>2405</v>
      </c>
      <c r="X953" s="164"/>
      <c r="Y953" s="164"/>
      <c r="Z953" s="164"/>
      <c r="AA953" s="170"/>
      <c r="AB953" s="164"/>
      <c r="AC953" s="251"/>
      <c r="AD953" s="170"/>
      <c r="AE953" s="225"/>
      <c r="AF953" s="170"/>
      <c r="AG953" s="170"/>
      <c r="AH953" s="251"/>
      <c r="AI953" s="170"/>
      <c r="AJ953" s="194"/>
      <c r="AK953" s="22"/>
      <c r="AL953" s="170"/>
      <c r="AM953" s="170"/>
      <c r="AN953" s="170"/>
      <c r="AO953" s="170"/>
      <c r="AP953" s="170"/>
      <c r="AQ953" s="22"/>
      <c r="AR953" s="22"/>
      <c r="AS953" s="22"/>
      <c r="AT953" s="170"/>
      <c r="AU953" s="170"/>
      <c r="AV953" s="170"/>
      <c r="AW953" s="170"/>
      <c r="AX953" s="170"/>
      <c r="AY953" s="170"/>
      <c r="AZ953" s="170"/>
      <c r="BA953" s="170"/>
      <c r="BB953" s="170"/>
      <c r="BC953" s="170"/>
      <c r="BD953" s="170"/>
      <c r="BE953" s="137" t="s">
        <v>115</v>
      </c>
      <c r="BF953" s="457" t="s">
        <v>2406</v>
      </c>
      <c r="BG953" s="167" t="s">
        <v>2407</v>
      </c>
      <c r="BH953" s="220"/>
      <c r="BI953" s="220"/>
      <c r="BJ953" s="220"/>
      <c r="BK953" s="46">
        <f t="shared" si="1"/>
        <v>1</v>
      </c>
      <c r="BL953" s="46"/>
      <c r="BM953" s="46"/>
      <c r="BN953" s="46"/>
    </row>
    <row r="954" spans="1:66" ht="12.75" hidden="1" customHeight="1">
      <c r="A954" s="22">
        <v>952</v>
      </c>
      <c r="B954" s="22" t="s">
        <v>535</v>
      </c>
      <c r="C954" s="22" t="e">
        <f t="shared" ca="1" si="0"/>
        <v>#NAME?</v>
      </c>
      <c r="D954" s="24" t="s">
        <v>405</v>
      </c>
      <c r="E954" s="22" t="s">
        <v>180</v>
      </c>
      <c r="F954" s="24" t="s">
        <v>2584</v>
      </c>
      <c r="G954" s="24" t="s">
        <v>2571</v>
      </c>
      <c r="H954" s="24"/>
      <c r="I954" s="24">
        <v>1</v>
      </c>
      <c r="J954" s="24" t="s">
        <v>2372</v>
      </c>
      <c r="K954" s="24"/>
      <c r="L954" s="24"/>
      <c r="M954" s="24"/>
      <c r="N954" s="24"/>
      <c r="O954" s="24"/>
      <c r="P954" s="170"/>
      <c r="Q954" s="170"/>
      <c r="R954" s="169"/>
      <c r="S954" s="194"/>
      <c r="T954" s="164"/>
      <c r="U954" s="164"/>
      <c r="V954" s="193"/>
      <c r="W954" s="194" t="s">
        <v>405</v>
      </c>
      <c r="X954" s="164"/>
      <c r="Y954" s="164"/>
      <c r="Z954" s="164"/>
      <c r="AA954" s="170"/>
      <c r="AB954" s="164"/>
      <c r="AC954" s="251"/>
      <c r="AD954" s="170"/>
      <c r="AE954" s="225"/>
      <c r="AF954" s="170"/>
      <c r="AG954" s="170"/>
      <c r="AH954" s="251"/>
      <c r="AI954" s="170"/>
      <c r="AJ954" s="194"/>
      <c r="AK954" s="22"/>
      <c r="AL954" s="170"/>
      <c r="AM954" s="170"/>
      <c r="AN954" s="170"/>
      <c r="AO954" s="170"/>
      <c r="AP954" s="170"/>
      <c r="AQ954" s="22"/>
      <c r="AR954" s="22"/>
      <c r="AS954" s="22"/>
      <c r="AT954" s="170"/>
      <c r="AU954" s="170"/>
      <c r="AV954" s="170"/>
      <c r="AW954" s="170"/>
      <c r="AX954" s="170"/>
      <c r="AY954" s="170"/>
      <c r="AZ954" s="170"/>
      <c r="BA954" s="170"/>
      <c r="BB954" s="170"/>
      <c r="BC954" s="170"/>
      <c r="BD954" s="170"/>
      <c r="BE954" s="137" t="s">
        <v>115</v>
      </c>
      <c r="BF954" s="457" t="s">
        <v>406</v>
      </c>
      <c r="BG954" s="167" t="s">
        <v>407</v>
      </c>
      <c r="BH954" s="220"/>
      <c r="BI954" s="220"/>
      <c r="BJ954" s="220"/>
      <c r="BK954" s="46">
        <f t="shared" si="1"/>
        <v>1</v>
      </c>
      <c r="BL954" s="46"/>
      <c r="BM954" s="46"/>
      <c r="BN954" s="46"/>
    </row>
    <row r="955" spans="1:66" ht="12.75" hidden="1" customHeight="1">
      <c r="A955" s="22">
        <v>953</v>
      </c>
      <c r="B955" s="22" t="s">
        <v>2587</v>
      </c>
      <c r="C955" s="22" t="str">
        <f t="shared" si="0"/>
        <v>Specify - Reason Increase daily energy and protein intake counseling not done</v>
      </c>
      <c r="D955" s="24" t="s">
        <v>2587</v>
      </c>
      <c r="E955" s="22" t="s">
        <v>96</v>
      </c>
      <c r="F955" s="24" t="s">
        <v>1787</v>
      </c>
      <c r="G955" s="24" t="s">
        <v>2571</v>
      </c>
      <c r="H955" s="24"/>
      <c r="I955" s="24">
        <v>1</v>
      </c>
      <c r="J955" s="24" t="s">
        <v>2372</v>
      </c>
      <c r="K955" s="24"/>
      <c r="L955" s="24"/>
      <c r="M955" s="24"/>
      <c r="N955" s="24"/>
      <c r="O955" s="24"/>
      <c r="P955" s="170"/>
      <c r="Q955" s="170"/>
      <c r="R955" s="247" t="s">
        <v>409</v>
      </c>
      <c r="S955" s="196" t="s">
        <v>2588</v>
      </c>
      <c r="T955" s="196" t="s">
        <v>2410</v>
      </c>
      <c r="U955" s="196" t="s">
        <v>111</v>
      </c>
      <c r="V955" s="194"/>
      <c r="W955" s="194"/>
      <c r="X955" s="196"/>
      <c r="Y955" s="196"/>
      <c r="Z955" s="196"/>
      <c r="AA955" s="170"/>
      <c r="AB955" s="196" t="s">
        <v>208</v>
      </c>
      <c r="AC955" s="251"/>
      <c r="AD955" s="170"/>
      <c r="AE955" s="225"/>
      <c r="AF955" s="170"/>
      <c r="AG955" s="170"/>
      <c r="AH955" s="251"/>
      <c r="AI955" s="170"/>
      <c r="AJ955" s="194" t="s">
        <v>115</v>
      </c>
      <c r="AK955" s="22"/>
      <c r="AL955" s="170"/>
      <c r="AM955" s="170"/>
      <c r="AN955" s="170"/>
      <c r="AO955" s="170"/>
      <c r="AP955" s="170"/>
      <c r="AQ955" s="22"/>
      <c r="AR955" s="22"/>
      <c r="AS955" s="22"/>
      <c r="AT955" s="170"/>
      <c r="AU955" s="170"/>
      <c r="AV955" s="170"/>
      <c r="AW955" s="170"/>
      <c r="AX955" s="170"/>
      <c r="AY955" s="170"/>
      <c r="AZ955" s="170"/>
      <c r="BA955" s="170"/>
      <c r="BB955" s="170"/>
      <c r="BC955" s="170"/>
      <c r="BD955" s="170"/>
      <c r="BE955" s="143" t="s">
        <v>2583</v>
      </c>
      <c r="BF955" s="457" t="s">
        <v>2411</v>
      </c>
      <c r="BG955" s="167" t="s">
        <v>2412</v>
      </c>
      <c r="BH955" s="220"/>
      <c r="BI955" s="220"/>
      <c r="BJ955" s="220"/>
      <c r="BK955" s="46">
        <f t="shared" si="1"/>
        <v>1</v>
      </c>
      <c r="BL955" s="46"/>
      <c r="BM955" s="46"/>
      <c r="BN955" s="46"/>
    </row>
    <row r="956" spans="1:66" ht="12.75" hidden="1" customHeight="1">
      <c r="A956" s="22">
        <v>954</v>
      </c>
      <c r="B956" s="22" t="s">
        <v>2589</v>
      </c>
      <c r="C956" s="22" t="str">
        <f t="shared" si="0"/>
        <v>Balanced energy and protein dietary supplementation counseling</v>
      </c>
      <c r="D956" s="24" t="s">
        <v>2589</v>
      </c>
      <c r="E956" s="22" t="s">
        <v>96</v>
      </c>
      <c r="F956" s="24" t="s">
        <v>1787</v>
      </c>
      <c r="G956" s="24" t="s">
        <v>2571</v>
      </c>
      <c r="H956" s="24"/>
      <c r="I956" s="24">
        <v>1</v>
      </c>
      <c r="J956" s="24" t="s">
        <v>2372</v>
      </c>
      <c r="K956" s="24"/>
      <c r="L956" s="24"/>
      <c r="M956" s="24"/>
      <c r="N956" s="24"/>
      <c r="O956" s="24"/>
      <c r="P956" s="170"/>
      <c r="Q956" s="170"/>
      <c r="R956" s="195" t="s">
        <v>2589</v>
      </c>
      <c r="S956" s="194" t="s">
        <v>2590</v>
      </c>
      <c r="T956" s="194" t="s">
        <v>2591</v>
      </c>
      <c r="U956" s="194" t="s">
        <v>202</v>
      </c>
      <c r="V956" s="194"/>
      <c r="W956" s="194"/>
      <c r="X956" s="196"/>
      <c r="Y956" s="196"/>
      <c r="Z956" s="196"/>
      <c r="AA956" s="170"/>
      <c r="AB956" s="194" t="s">
        <v>113</v>
      </c>
      <c r="AC956" s="251"/>
      <c r="AD956" s="170"/>
      <c r="AE956" s="225"/>
      <c r="AF956" s="170"/>
      <c r="AG956" s="170"/>
      <c r="AH956" s="251"/>
      <c r="AI956" s="170"/>
      <c r="AJ956" s="194" t="s">
        <v>2375</v>
      </c>
      <c r="AK956" s="22"/>
      <c r="AL956" s="170"/>
      <c r="AM956" s="170"/>
      <c r="AN956" s="170"/>
      <c r="AO956" s="170"/>
      <c r="AP956" s="170"/>
      <c r="AQ956" s="22"/>
      <c r="AR956" s="22"/>
      <c r="AS956" s="22"/>
      <c r="AT956" s="170"/>
      <c r="AU956" s="170"/>
      <c r="AV956" s="170"/>
      <c r="AW956" s="170"/>
      <c r="AX956" s="170"/>
      <c r="AY956" s="170"/>
      <c r="AZ956" s="170"/>
      <c r="BA956" s="170"/>
      <c r="BB956" s="170"/>
      <c r="BC956" s="170"/>
      <c r="BD956" s="170"/>
      <c r="BE956" s="137" t="s">
        <v>2592</v>
      </c>
      <c r="BF956" s="455" t="s">
        <v>2398</v>
      </c>
      <c r="BG956" s="139" t="s">
        <v>2399</v>
      </c>
      <c r="BH956" s="220"/>
      <c r="BI956" s="220"/>
      <c r="BJ956" s="220"/>
      <c r="BK956" s="46">
        <f t="shared" si="1"/>
        <v>1</v>
      </c>
      <c r="BL956" s="46"/>
      <c r="BM956" s="46"/>
      <c r="BN956" s="46"/>
    </row>
    <row r="957" spans="1:66" ht="12.75" hidden="1" customHeight="1">
      <c r="A957" s="22">
        <v>955</v>
      </c>
      <c r="B957" s="22" t="s">
        <v>2527</v>
      </c>
      <c r="C957" s="22" t="e">
        <f t="shared" ca="1" si="0"/>
        <v>#NAME?</v>
      </c>
      <c r="D957" s="24" t="s">
        <v>1673</v>
      </c>
      <c r="E957" s="22" t="s">
        <v>180</v>
      </c>
      <c r="F957" s="24" t="s">
        <v>2589</v>
      </c>
      <c r="G957" s="24" t="s">
        <v>2571</v>
      </c>
      <c r="H957" s="24"/>
      <c r="I957" s="24">
        <v>1</v>
      </c>
      <c r="J957" s="24" t="s">
        <v>2372</v>
      </c>
      <c r="K957" s="24"/>
      <c r="L957" s="24"/>
      <c r="M957" s="24"/>
      <c r="N957" s="24"/>
      <c r="O957" s="24"/>
      <c r="P957" s="170"/>
      <c r="Q957" s="170"/>
      <c r="R957" s="195"/>
      <c r="S957" s="194"/>
      <c r="T957" s="194"/>
      <c r="U957" s="194"/>
      <c r="V957" s="194"/>
      <c r="W957" s="194" t="s">
        <v>1673</v>
      </c>
      <c r="X957" s="196"/>
      <c r="Y957" s="196"/>
      <c r="Z957" s="196"/>
      <c r="AA957" s="170"/>
      <c r="AB957" s="194"/>
      <c r="AC957" s="251"/>
      <c r="AD957" s="170"/>
      <c r="AE957" s="225"/>
      <c r="AF957" s="170"/>
      <c r="AG957" s="170"/>
      <c r="AH957" s="251"/>
      <c r="AI957" s="170"/>
      <c r="AJ957" s="194"/>
      <c r="AK957" s="22"/>
      <c r="AL957" s="170"/>
      <c r="AM957" s="170"/>
      <c r="AN957" s="170"/>
      <c r="AO957" s="170"/>
      <c r="AP957" s="170"/>
      <c r="AQ957" s="22"/>
      <c r="AR957" s="22"/>
      <c r="AS957" s="22"/>
      <c r="AT957" s="170"/>
      <c r="AU957" s="170"/>
      <c r="AV957" s="170"/>
      <c r="AW957" s="170"/>
      <c r="AX957" s="170"/>
      <c r="AY957" s="170"/>
      <c r="AZ957" s="170"/>
      <c r="BA957" s="170"/>
      <c r="BB957" s="170"/>
      <c r="BC957" s="170"/>
      <c r="BD957" s="170"/>
      <c r="BE957" s="137" t="s">
        <v>115</v>
      </c>
      <c r="BF957" s="455" t="s">
        <v>942</v>
      </c>
      <c r="BG957" s="167" t="s">
        <v>943</v>
      </c>
      <c r="BH957" s="220"/>
      <c r="BI957" s="220"/>
      <c r="BJ957" s="220"/>
      <c r="BK957" s="46">
        <f t="shared" si="1"/>
        <v>1</v>
      </c>
      <c r="BL957" s="46"/>
      <c r="BM957" s="46"/>
      <c r="BN957" s="46"/>
    </row>
    <row r="958" spans="1:66" ht="12.75" hidden="1" customHeight="1">
      <c r="A958" s="22">
        <v>956</v>
      </c>
      <c r="B958" s="22" t="s">
        <v>2118</v>
      </c>
      <c r="C958" s="22" t="e">
        <f t="shared" ca="1" si="0"/>
        <v>#NAME?</v>
      </c>
      <c r="D958" s="24" t="s">
        <v>1468</v>
      </c>
      <c r="E958" s="22" t="s">
        <v>180</v>
      </c>
      <c r="F958" s="24" t="s">
        <v>2589</v>
      </c>
      <c r="G958" s="24" t="s">
        <v>2571</v>
      </c>
      <c r="H958" s="24"/>
      <c r="I958" s="24">
        <v>1</v>
      </c>
      <c r="J958" s="24" t="s">
        <v>2372</v>
      </c>
      <c r="K958" s="24"/>
      <c r="L958" s="24"/>
      <c r="M958" s="24"/>
      <c r="N958" s="24"/>
      <c r="O958" s="24"/>
      <c r="P958" s="170"/>
      <c r="Q958" s="170"/>
      <c r="R958" s="195"/>
      <c r="S958" s="194"/>
      <c r="T958" s="194"/>
      <c r="U958" s="194"/>
      <c r="V958" s="163"/>
      <c r="W958" s="163" t="s">
        <v>1468</v>
      </c>
      <c r="X958" s="196"/>
      <c r="Y958" s="196"/>
      <c r="Z958" s="196"/>
      <c r="AA958" s="170"/>
      <c r="AB958" s="194"/>
      <c r="AC958" s="251"/>
      <c r="AD958" s="170"/>
      <c r="AE958" s="225"/>
      <c r="AF958" s="170"/>
      <c r="AG958" s="170"/>
      <c r="AH958" s="251"/>
      <c r="AI958" s="170"/>
      <c r="AJ958" s="194"/>
      <c r="AK958" s="22"/>
      <c r="AL958" s="170"/>
      <c r="AM958" s="170"/>
      <c r="AN958" s="170"/>
      <c r="AO958" s="170"/>
      <c r="AP958" s="170"/>
      <c r="AQ958" s="22"/>
      <c r="AR958" s="22"/>
      <c r="AS958" s="22"/>
      <c r="AT958" s="170"/>
      <c r="AU958" s="170"/>
      <c r="AV958" s="170"/>
      <c r="AW958" s="170"/>
      <c r="AX958" s="170"/>
      <c r="AY958" s="170"/>
      <c r="AZ958" s="170"/>
      <c r="BA958" s="170"/>
      <c r="BB958" s="170"/>
      <c r="BC958" s="170"/>
      <c r="BD958" s="170"/>
      <c r="BE958" s="137" t="s">
        <v>115</v>
      </c>
      <c r="BF958" s="455" t="s">
        <v>1469</v>
      </c>
      <c r="BG958" s="167" t="s">
        <v>1470</v>
      </c>
      <c r="BH958" s="220"/>
      <c r="BI958" s="220"/>
      <c r="BJ958" s="220"/>
      <c r="BK958" s="46">
        <f t="shared" si="1"/>
        <v>1</v>
      </c>
      <c r="BL958" s="46"/>
      <c r="BM958" s="46"/>
      <c r="BN958" s="46"/>
    </row>
    <row r="959" spans="1:66" ht="12.75" hidden="1" customHeight="1">
      <c r="A959" s="22">
        <v>957</v>
      </c>
      <c r="B959" s="22" t="s">
        <v>2593</v>
      </c>
      <c r="C959" s="22" t="str">
        <f t="shared" si="0"/>
        <v>Reason Balanced energy and protein dietary supplementation counseling not done</v>
      </c>
      <c r="D959" s="24" t="s">
        <v>2593</v>
      </c>
      <c r="E959" s="22" t="s">
        <v>96</v>
      </c>
      <c r="F959" s="24" t="s">
        <v>1787</v>
      </c>
      <c r="G959" s="24" t="s">
        <v>2571</v>
      </c>
      <c r="H959" s="24"/>
      <c r="I959" s="24">
        <v>1</v>
      </c>
      <c r="J959" s="24" t="s">
        <v>2372</v>
      </c>
      <c r="K959" s="24"/>
      <c r="L959" s="24"/>
      <c r="M959" s="24"/>
      <c r="N959" s="24"/>
      <c r="O959" s="24"/>
      <c r="P959" s="170"/>
      <c r="Q959" s="170"/>
      <c r="R959" s="169" t="s">
        <v>1376</v>
      </c>
      <c r="S959" s="194" t="s">
        <v>2594</v>
      </c>
      <c r="T959" s="164" t="s">
        <v>2595</v>
      </c>
      <c r="U959" s="164" t="s">
        <v>238</v>
      </c>
      <c r="V959" s="163"/>
      <c r="W959" s="163"/>
      <c r="X959" s="164"/>
      <c r="Y959" s="164"/>
      <c r="Z959" s="164"/>
      <c r="AA959" s="170"/>
      <c r="AB959" s="164" t="s">
        <v>113</v>
      </c>
      <c r="AC959" s="251"/>
      <c r="AD959" s="170"/>
      <c r="AE959" s="225"/>
      <c r="AF959" s="170"/>
      <c r="AG959" s="170"/>
      <c r="AH959" s="251"/>
      <c r="AI959" s="170"/>
      <c r="AJ959" s="194" t="s">
        <v>115</v>
      </c>
      <c r="AK959" s="22"/>
      <c r="AL959" s="170"/>
      <c r="AM959" s="170"/>
      <c r="AN959" s="170"/>
      <c r="AO959" s="170"/>
      <c r="AP959" s="170"/>
      <c r="AQ959" s="22"/>
      <c r="AR959" s="22"/>
      <c r="AS959" s="22"/>
      <c r="AT959" s="170"/>
      <c r="AU959" s="170"/>
      <c r="AV959" s="170"/>
      <c r="AW959" s="170"/>
      <c r="AX959" s="170"/>
      <c r="AY959" s="170"/>
      <c r="AZ959" s="170"/>
      <c r="BA959" s="170"/>
      <c r="BB959" s="170"/>
      <c r="BC959" s="170"/>
      <c r="BD959" s="170"/>
      <c r="BE959" s="137" t="s">
        <v>2592</v>
      </c>
      <c r="BF959" s="455" t="s">
        <v>2403</v>
      </c>
      <c r="BG959" s="139" t="s">
        <v>2404</v>
      </c>
      <c r="BH959" s="220"/>
      <c r="BI959" s="220"/>
      <c r="BJ959" s="220"/>
      <c r="BK959" s="46">
        <f t="shared" si="1"/>
        <v>1</v>
      </c>
      <c r="BL959" s="46"/>
      <c r="BM959" s="46"/>
      <c r="BN959" s="46"/>
    </row>
    <row r="960" spans="1:66" ht="12.75" hidden="1" customHeight="1">
      <c r="A960" s="22">
        <v>958</v>
      </c>
      <c r="B960" s="22" t="s">
        <v>3616</v>
      </c>
      <c r="C960" s="22" t="e">
        <f t="shared" ca="1" si="0"/>
        <v>#NAME?</v>
      </c>
      <c r="D960" s="24" t="s">
        <v>2405</v>
      </c>
      <c r="E960" s="22" t="s">
        <v>180</v>
      </c>
      <c r="F960" s="24" t="s">
        <v>2593</v>
      </c>
      <c r="G960" s="24" t="s">
        <v>2571</v>
      </c>
      <c r="H960" s="24"/>
      <c r="I960" s="24">
        <v>1</v>
      </c>
      <c r="J960" s="24" t="s">
        <v>2372</v>
      </c>
      <c r="K960" s="24"/>
      <c r="L960" s="24"/>
      <c r="M960" s="24"/>
      <c r="N960" s="24"/>
      <c r="O960" s="24"/>
      <c r="P960" s="170"/>
      <c r="Q960" s="170"/>
      <c r="R960" s="169"/>
      <c r="S960" s="194"/>
      <c r="T960" s="164"/>
      <c r="U960" s="164"/>
      <c r="V960" s="193"/>
      <c r="W960" s="194" t="s">
        <v>2405</v>
      </c>
      <c r="X960" s="164"/>
      <c r="Y960" s="164"/>
      <c r="Z960" s="164"/>
      <c r="AA960" s="170"/>
      <c r="AB960" s="164"/>
      <c r="AC960" s="251"/>
      <c r="AD960" s="170"/>
      <c r="AE960" s="225"/>
      <c r="AF960" s="170"/>
      <c r="AG960" s="170"/>
      <c r="AH960" s="251"/>
      <c r="AI960" s="170"/>
      <c r="AJ960" s="194"/>
      <c r="AK960" s="22"/>
      <c r="AL960" s="170"/>
      <c r="AM960" s="170"/>
      <c r="AN960" s="170"/>
      <c r="AO960" s="170"/>
      <c r="AP960" s="170"/>
      <c r="AQ960" s="22"/>
      <c r="AR960" s="22"/>
      <c r="AS960" s="22"/>
      <c r="AT960" s="170"/>
      <c r="AU960" s="170"/>
      <c r="AV960" s="170"/>
      <c r="AW960" s="170"/>
      <c r="AX960" s="170"/>
      <c r="AY960" s="170"/>
      <c r="AZ960" s="170"/>
      <c r="BA960" s="170"/>
      <c r="BB960" s="170"/>
      <c r="BC960" s="170"/>
      <c r="BD960" s="170"/>
      <c r="BE960" s="137" t="s">
        <v>115</v>
      </c>
      <c r="BF960" s="457" t="s">
        <v>2406</v>
      </c>
      <c r="BG960" s="167" t="s">
        <v>2407</v>
      </c>
      <c r="BH960" s="220"/>
      <c r="BI960" s="220"/>
      <c r="BJ960" s="220"/>
      <c r="BK960" s="46">
        <f t="shared" si="1"/>
        <v>1</v>
      </c>
      <c r="BL960" s="46"/>
      <c r="BM960" s="46"/>
      <c r="BN960" s="46"/>
    </row>
    <row r="961" spans="1:66" ht="12.75" hidden="1" customHeight="1">
      <c r="A961" s="22">
        <v>959</v>
      </c>
      <c r="B961" s="22" t="s">
        <v>535</v>
      </c>
      <c r="C961" s="22" t="e">
        <f t="shared" ca="1" si="0"/>
        <v>#NAME?</v>
      </c>
      <c r="D961" s="24" t="s">
        <v>405</v>
      </c>
      <c r="E961" s="22" t="s">
        <v>180</v>
      </c>
      <c r="F961" s="24" t="s">
        <v>2593</v>
      </c>
      <c r="G961" s="24" t="s">
        <v>2571</v>
      </c>
      <c r="H961" s="24"/>
      <c r="I961" s="24">
        <v>1</v>
      </c>
      <c r="J961" s="24" t="s">
        <v>2372</v>
      </c>
      <c r="K961" s="24"/>
      <c r="L961" s="24"/>
      <c r="M961" s="24"/>
      <c r="N961" s="24"/>
      <c r="O961" s="24"/>
      <c r="P961" s="170"/>
      <c r="Q961" s="170"/>
      <c r="R961" s="169"/>
      <c r="S961" s="194"/>
      <c r="T961" s="164"/>
      <c r="U961" s="164"/>
      <c r="V961" s="193"/>
      <c r="W961" s="194" t="s">
        <v>405</v>
      </c>
      <c r="X961" s="164"/>
      <c r="Y961" s="164"/>
      <c r="Z961" s="164"/>
      <c r="AA961" s="170"/>
      <c r="AB961" s="164"/>
      <c r="AC961" s="251"/>
      <c r="AD961" s="170"/>
      <c r="AE961" s="225"/>
      <c r="AF961" s="170"/>
      <c r="AG961" s="170"/>
      <c r="AH961" s="251"/>
      <c r="AI961" s="170"/>
      <c r="AJ961" s="194"/>
      <c r="AK961" s="22"/>
      <c r="AL961" s="170"/>
      <c r="AM961" s="170"/>
      <c r="AN961" s="170"/>
      <c r="AO961" s="170"/>
      <c r="AP961" s="170"/>
      <c r="AQ961" s="22"/>
      <c r="AR961" s="22"/>
      <c r="AS961" s="22"/>
      <c r="AT961" s="170"/>
      <c r="AU961" s="170"/>
      <c r="AV961" s="170"/>
      <c r="AW961" s="170"/>
      <c r="AX961" s="170"/>
      <c r="AY961" s="170"/>
      <c r="AZ961" s="170"/>
      <c r="BA961" s="170"/>
      <c r="BB961" s="170"/>
      <c r="BC961" s="170"/>
      <c r="BD961" s="170"/>
      <c r="BE961" s="137" t="s">
        <v>115</v>
      </c>
      <c r="BF961" s="457" t="s">
        <v>406</v>
      </c>
      <c r="BG961" s="167" t="s">
        <v>407</v>
      </c>
      <c r="BH961" s="220"/>
      <c r="BI961" s="220"/>
      <c r="BJ961" s="220"/>
      <c r="BK961" s="46">
        <f t="shared" si="1"/>
        <v>1</v>
      </c>
      <c r="BL961" s="46"/>
      <c r="BM961" s="46"/>
      <c r="BN961" s="46"/>
    </row>
    <row r="962" spans="1:66" ht="12.75" hidden="1" customHeight="1">
      <c r="A962" s="22">
        <v>960</v>
      </c>
      <c r="B962" s="22" t="s">
        <v>2596</v>
      </c>
      <c r="C962" s="22" t="str">
        <f t="shared" si="0"/>
        <v>Specify - Reason Balanced energy and protein dietary supplementation counseling not done</v>
      </c>
      <c r="D962" s="24" t="s">
        <v>2596</v>
      </c>
      <c r="E962" s="22" t="s">
        <v>96</v>
      </c>
      <c r="F962" s="24" t="s">
        <v>1787</v>
      </c>
      <c r="G962" s="24" t="s">
        <v>2571</v>
      </c>
      <c r="H962" s="24"/>
      <c r="I962" s="24">
        <v>1</v>
      </c>
      <c r="J962" s="24" t="s">
        <v>2372</v>
      </c>
      <c r="K962" s="24"/>
      <c r="L962" s="24"/>
      <c r="M962" s="24"/>
      <c r="N962" s="24"/>
      <c r="O962" s="24"/>
      <c r="P962" s="170"/>
      <c r="Q962" s="170"/>
      <c r="R962" s="247" t="s">
        <v>409</v>
      </c>
      <c r="S962" s="196" t="s">
        <v>2597</v>
      </c>
      <c r="T962" s="196" t="s">
        <v>2410</v>
      </c>
      <c r="U962" s="196" t="s">
        <v>111</v>
      </c>
      <c r="V962" s="194"/>
      <c r="W962" s="194"/>
      <c r="X962" s="196"/>
      <c r="Y962" s="196"/>
      <c r="Z962" s="196"/>
      <c r="AA962" s="170"/>
      <c r="AB962" s="196" t="s">
        <v>208</v>
      </c>
      <c r="AC962" s="251"/>
      <c r="AD962" s="170"/>
      <c r="AE962" s="225"/>
      <c r="AF962" s="170"/>
      <c r="AG962" s="170"/>
      <c r="AH962" s="251"/>
      <c r="AI962" s="170"/>
      <c r="AJ962" s="194" t="s">
        <v>115</v>
      </c>
      <c r="AK962" s="22"/>
      <c r="AL962" s="170"/>
      <c r="AM962" s="170"/>
      <c r="AN962" s="170"/>
      <c r="AO962" s="170"/>
      <c r="AP962" s="170"/>
      <c r="AQ962" s="22"/>
      <c r="AR962" s="22"/>
      <c r="AS962" s="22"/>
      <c r="AT962" s="170"/>
      <c r="AU962" s="170"/>
      <c r="AV962" s="170"/>
      <c r="AW962" s="170"/>
      <c r="AX962" s="170"/>
      <c r="AY962" s="170"/>
      <c r="AZ962" s="170"/>
      <c r="BA962" s="170"/>
      <c r="BB962" s="170"/>
      <c r="BC962" s="170"/>
      <c r="BD962" s="170"/>
      <c r="BE962" s="143" t="s">
        <v>2592</v>
      </c>
      <c r="BF962" s="457" t="s">
        <v>2411</v>
      </c>
      <c r="BG962" s="167" t="s">
        <v>2412</v>
      </c>
      <c r="BH962" s="220"/>
      <c r="BI962" s="220"/>
      <c r="BJ962" s="220"/>
      <c r="BK962" s="46">
        <f t="shared" si="1"/>
        <v>1</v>
      </c>
      <c r="BL962" s="46"/>
      <c r="BM962" s="46"/>
      <c r="BN962" s="46"/>
    </row>
    <row r="963" spans="1:66" ht="12.75" hidden="1" customHeight="1">
      <c r="A963" s="22">
        <v>961</v>
      </c>
      <c r="B963" s="22" t="s">
        <v>2598</v>
      </c>
      <c r="C963" s="22" t="str">
        <f t="shared" si="0"/>
        <v>Hypertension counseling</v>
      </c>
      <c r="D963" s="24" t="s">
        <v>2598</v>
      </c>
      <c r="E963" s="22" t="s">
        <v>96</v>
      </c>
      <c r="F963" s="24" t="s">
        <v>1787</v>
      </c>
      <c r="G963" s="24" t="s">
        <v>2599</v>
      </c>
      <c r="H963" s="24"/>
      <c r="I963" s="24">
        <v>1</v>
      </c>
      <c r="J963" s="24" t="s">
        <v>2372</v>
      </c>
      <c r="K963" s="24"/>
      <c r="L963" s="24"/>
      <c r="M963" s="24"/>
      <c r="N963" s="24"/>
      <c r="O963" s="24"/>
      <c r="P963" s="170"/>
      <c r="Q963" s="170"/>
      <c r="R963" s="169" t="s">
        <v>2598</v>
      </c>
      <c r="S963" s="164" t="s">
        <v>2600</v>
      </c>
      <c r="T963" s="164"/>
      <c r="U963" s="194" t="s">
        <v>202</v>
      </c>
      <c r="V963" s="194"/>
      <c r="W963" s="194"/>
      <c r="X963" s="164"/>
      <c r="Y963" s="164"/>
      <c r="Z963" s="164"/>
      <c r="AA963" s="170"/>
      <c r="AB963" s="164" t="s">
        <v>208</v>
      </c>
      <c r="AC963" s="251"/>
      <c r="AD963" s="170"/>
      <c r="AE963" s="225"/>
      <c r="AF963" s="170"/>
      <c r="AG963" s="170"/>
      <c r="AH963" s="251"/>
      <c r="AI963" s="170"/>
      <c r="AJ963" s="194" t="s">
        <v>2375</v>
      </c>
      <c r="AK963" s="22"/>
      <c r="AL963" s="170"/>
      <c r="AM963" s="170"/>
      <c r="AN963" s="170"/>
      <c r="AO963" s="170"/>
      <c r="AP963" s="170"/>
      <c r="AQ963" s="22"/>
      <c r="AR963" s="22"/>
      <c r="AS963" s="22"/>
      <c r="AT963" s="170"/>
      <c r="AU963" s="170"/>
      <c r="AV963" s="170"/>
      <c r="AW963" s="170"/>
      <c r="AX963" s="170"/>
      <c r="AY963" s="170"/>
      <c r="AZ963" s="170"/>
      <c r="BA963" s="170"/>
      <c r="BB963" s="170"/>
      <c r="BC963" s="170"/>
      <c r="BD963" s="170"/>
      <c r="BE963" s="137" t="s">
        <v>2601</v>
      </c>
      <c r="BF963" s="455" t="s">
        <v>2398</v>
      </c>
      <c r="BG963" s="139" t="s">
        <v>2399</v>
      </c>
      <c r="BH963" s="220"/>
      <c r="BI963" s="220"/>
      <c r="BJ963" s="220"/>
      <c r="BK963" s="46">
        <f t="shared" si="1"/>
        <v>1</v>
      </c>
      <c r="BL963" s="46"/>
      <c r="BM963" s="46"/>
      <c r="BN963" s="46"/>
    </row>
    <row r="964" spans="1:66" ht="12.75" hidden="1" customHeight="1">
      <c r="A964" s="22">
        <v>962</v>
      </c>
      <c r="B964" s="22" t="s">
        <v>2527</v>
      </c>
      <c r="C964" s="22" t="e">
        <f t="shared" ca="1" si="0"/>
        <v>#NAME?</v>
      </c>
      <c r="D964" s="24" t="s">
        <v>1673</v>
      </c>
      <c r="E964" s="22" t="s">
        <v>180</v>
      </c>
      <c r="F964" s="24" t="s">
        <v>2598</v>
      </c>
      <c r="G964" s="24" t="s">
        <v>2599</v>
      </c>
      <c r="H964" s="24"/>
      <c r="I964" s="24">
        <v>1</v>
      </c>
      <c r="J964" s="24" t="s">
        <v>2372</v>
      </c>
      <c r="K964" s="24"/>
      <c r="L964" s="24"/>
      <c r="M964" s="24"/>
      <c r="N964" s="24"/>
      <c r="O964" s="24"/>
      <c r="P964" s="170"/>
      <c r="Q964" s="170"/>
      <c r="R964" s="169"/>
      <c r="S964" s="164"/>
      <c r="T964" s="164"/>
      <c r="U964" s="194"/>
      <c r="V964" s="194"/>
      <c r="W964" s="194" t="s">
        <v>1673</v>
      </c>
      <c r="X964" s="164"/>
      <c r="Y964" s="164"/>
      <c r="Z964" s="164"/>
      <c r="AA964" s="170"/>
      <c r="AB964" s="164"/>
      <c r="AC964" s="251"/>
      <c r="AD964" s="170"/>
      <c r="AE964" s="225"/>
      <c r="AF964" s="170"/>
      <c r="AG964" s="170"/>
      <c r="AH964" s="251"/>
      <c r="AI964" s="170"/>
      <c r="AJ964" s="194"/>
      <c r="AK964" s="22"/>
      <c r="AL964" s="170"/>
      <c r="AM964" s="170"/>
      <c r="AN964" s="170"/>
      <c r="AO964" s="170"/>
      <c r="AP964" s="170"/>
      <c r="AQ964" s="22"/>
      <c r="AR964" s="22"/>
      <c r="AS964" s="22"/>
      <c r="AT964" s="170"/>
      <c r="AU964" s="170"/>
      <c r="AV964" s="170"/>
      <c r="AW964" s="170"/>
      <c r="AX964" s="170"/>
      <c r="AY964" s="170"/>
      <c r="AZ964" s="170"/>
      <c r="BA964" s="170"/>
      <c r="BB964" s="170"/>
      <c r="BC964" s="170"/>
      <c r="BD964" s="170"/>
      <c r="BE964" s="137" t="s">
        <v>115</v>
      </c>
      <c r="BF964" s="455" t="s">
        <v>942</v>
      </c>
      <c r="BG964" s="167" t="s">
        <v>943</v>
      </c>
      <c r="BH964" s="220"/>
      <c r="BI964" s="220"/>
      <c r="BJ964" s="220"/>
      <c r="BK964" s="46">
        <f t="shared" si="1"/>
        <v>1</v>
      </c>
      <c r="BL964" s="46"/>
      <c r="BM964" s="46"/>
      <c r="BN964" s="46"/>
    </row>
    <row r="965" spans="1:66" ht="12.75" hidden="1" customHeight="1">
      <c r="A965" s="22">
        <v>963</v>
      </c>
      <c r="B965" s="22" t="s">
        <v>2118</v>
      </c>
      <c r="C965" s="22" t="e">
        <f t="shared" ca="1" si="0"/>
        <v>#NAME?</v>
      </c>
      <c r="D965" s="24" t="s">
        <v>1468</v>
      </c>
      <c r="E965" s="22" t="s">
        <v>180</v>
      </c>
      <c r="F965" s="24" t="s">
        <v>2598</v>
      </c>
      <c r="G965" s="24" t="s">
        <v>2599</v>
      </c>
      <c r="H965" s="24"/>
      <c r="I965" s="24">
        <v>1</v>
      </c>
      <c r="J965" s="24" t="s">
        <v>2372</v>
      </c>
      <c r="K965" s="24"/>
      <c r="L965" s="24"/>
      <c r="M965" s="24"/>
      <c r="N965" s="24"/>
      <c r="O965" s="24"/>
      <c r="P965" s="170"/>
      <c r="Q965" s="170"/>
      <c r="R965" s="169"/>
      <c r="S965" s="164"/>
      <c r="T965" s="164"/>
      <c r="U965" s="194"/>
      <c r="V965" s="194"/>
      <c r="W965" s="194" t="s">
        <v>1468</v>
      </c>
      <c r="X965" s="164"/>
      <c r="Y965" s="164"/>
      <c r="Z965" s="164"/>
      <c r="AA965" s="170"/>
      <c r="AB965" s="164"/>
      <c r="AC965" s="251"/>
      <c r="AD965" s="170"/>
      <c r="AE965" s="225"/>
      <c r="AF965" s="170"/>
      <c r="AG965" s="170"/>
      <c r="AH965" s="251"/>
      <c r="AI965" s="170"/>
      <c r="AJ965" s="194"/>
      <c r="AK965" s="22"/>
      <c r="AL965" s="170"/>
      <c r="AM965" s="170"/>
      <c r="AN965" s="170"/>
      <c r="AO965" s="170"/>
      <c r="AP965" s="170"/>
      <c r="AQ965" s="22"/>
      <c r="AR965" s="22"/>
      <c r="AS965" s="22"/>
      <c r="AT965" s="170"/>
      <c r="AU965" s="170"/>
      <c r="AV965" s="170"/>
      <c r="AW965" s="170"/>
      <c r="AX965" s="170"/>
      <c r="AY965" s="170"/>
      <c r="AZ965" s="170"/>
      <c r="BA965" s="170"/>
      <c r="BB965" s="170"/>
      <c r="BC965" s="170"/>
      <c r="BD965" s="170"/>
      <c r="BE965" s="137" t="s">
        <v>115</v>
      </c>
      <c r="BF965" s="455" t="s">
        <v>1469</v>
      </c>
      <c r="BG965" s="167" t="s">
        <v>1470</v>
      </c>
      <c r="BH965" s="220"/>
      <c r="BI965" s="220"/>
      <c r="BJ965" s="220"/>
      <c r="BK965" s="46">
        <f t="shared" si="1"/>
        <v>1</v>
      </c>
      <c r="BL965" s="46"/>
      <c r="BM965" s="46"/>
      <c r="BN965" s="46"/>
    </row>
    <row r="966" spans="1:66" ht="12.75" hidden="1" customHeight="1">
      <c r="A966" s="22">
        <v>964</v>
      </c>
      <c r="B966" s="22" t="s">
        <v>1942</v>
      </c>
      <c r="C966" s="22" t="str">
        <f t="shared" si="0"/>
        <v>HIV positive counseling</v>
      </c>
      <c r="D966" s="24" t="s">
        <v>1942</v>
      </c>
      <c r="E966" s="22" t="s">
        <v>96</v>
      </c>
      <c r="F966" s="24" t="s">
        <v>1787</v>
      </c>
      <c r="G966" s="24" t="s">
        <v>2602</v>
      </c>
      <c r="H966" s="24"/>
      <c r="I966" s="24">
        <v>1</v>
      </c>
      <c r="J966" s="24" t="s">
        <v>2372</v>
      </c>
      <c r="K966" s="24"/>
      <c r="L966" s="24"/>
      <c r="M966" s="24"/>
      <c r="N966" s="24"/>
      <c r="O966" s="24"/>
      <c r="P966" s="170"/>
      <c r="Q966" s="170"/>
      <c r="R966" s="169" t="s">
        <v>1942</v>
      </c>
      <c r="S966" s="164" t="s">
        <v>2603</v>
      </c>
      <c r="T966" s="164"/>
      <c r="U966" s="164" t="s">
        <v>202</v>
      </c>
      <c r="V966" s="163"/>
      <c r="W966" s="163"/>
      <c r="X966" s="164"/>
      <c r="Y966" s="164"/>
      <c r="Z966" s="164"/>
      <c r="AA966" s="170"/>
      <c r="AB966" s="164" t="s">
        <v>208</v>
      </c>
      <c r="AC966" s="251"/>
      <c r="AD966" s="170"/>
      <c r="AE966" s="225"/>
      <c r="AF966" s="170"/>
      <c r="AG966" s="170"/>
      <c r="AH966" s="251"/>
      <c r="AI966" s="170"/>
      <c r="AJ966" s="163" t="s">
        <v>2375</v>
      </c>
      <c r="AK966" s="22"/>
      <c r="AL966" s="170"/>
      <c r="AM966" s="170"/>
      <c r="AN966" s="170"/>
      <c r="AO966" s="170"/>
      <c r="AP966" s="170"/>
      <c r="AQ966" s="22"/>
      <c r="AR966" s="22"/>
      <c r="AS966" s="22"/>
      <c r="AT966" s="170"/>
      <c r="AU966" s="170"/>
      <c r="AV966" s="170"/>
      <c r="AW966" s="170"/>
      <c r="AX966" s="170"/>
      <c r="AY966" s="170"/>
      <c r="AZ966" s="170"/>
      <c r="BA966" s="170"/>
      <c r="BB966" s="170"/>
      <c r="BC966" s="170"/>
      <c r="BD966" s="170"/>
      <c r="BE966" s="137" t="s">
        <v>2604</v>
      </c>
      <c r="BF966" s="455" t="s">
        <v>2398</v>
      </c>
      <c r="BG966" s="139" t="s">
        <v>2399</v>
      </c>
      <c r="BH966" s="220"/>
      <c r="BI966" s="220"/>
      <c r="BJ966" s="220"/>
      <c r="BK966" s="46">
        <f t="shared" si="1"/>
        <v>1</v>
      </c>
      <c r="BL966" s="46"/>
      <c r="BM966" s="46"/>
      <c r="BN966" s="46"/>
    </row>
    <row r="967" spans="1:66" ht="12.75" hidden="1" customHeight="1">
      <c r="A967" s="22">
        <v>965</v>
      </c>
      <c r="B967" s="22" t="s">
        <v>2527</v>
      </c>
      <c r="C967" s="22" t="e">
        <f t="shared" ca="1" si="0"/>
        <v>#NAME?</v>
      </c>
      <c r="D967" s="24" t="s">
        <v>1673</v>
      </c>
      <c r="E967" s="22" t="s">
        <v>180</v>
      </c>
      <c r="F967" s="24" t="s">
        <v>1942</v>
      </c>
      <c r="G967" s="24" t="s">
        <v>2602</v>
      </c>
      <c r="H967" s="24"/>
      <c r="I967" s="24">
        <v>1</v>
      </c>
      <c r="J967" s="24" t="s">
        <v>2372</v>
      </c>
      <c r="K967" s="24"/>
      <c r="L967" s="24"/>
      <c r="M967" s="24"/>
      <c r="N967" s="24"/>
      <c r="O967" s="24"/>
      <c r="P967" s="170"/>
      <c r="Q967" s="170"/>
      <c r="R967" s="169"/>
      <c r="S967" s="164"/>
      <c r="T967" s="164"/>
      <c r="U967" s="164"/>
      <c r="V967" s="163"/>
      <c r="W967" s="163" t="s">
        <v>1673</v>
      </c>
      <c r="X967" s="164"/>
      <c r="Y967" s="164"/>
      <c r="Z967" s="164"/>
      <c r="AA967" s="170"/>
      <c r="AB967" s="164"/>
      <c r="AC967" s="251"/>
      <c r="AD967" s="170"/>
      <c r="AE967" s="225"/>
      <c r="AF967" s="170"/>
      <c r="AG967" s="170"/>
      <c r="AH967" s="251"/>
      <c r="AI967" s="170"/>
      <c r="AJ967" s="164"/>
      <c r="AK967" s="22"/>
      <c r="AL967" s="170"/>
      <c r="AM967" s="170"/>
      <c r="AN967" s="170"/>
      <c r="AO967" s="170"/>
      <c r="AP967" s="170"/>
      <c r="AQ967" s="22"/>
      <c r="AR967" s="22"/>
      <c r="AS967" s="22"/>
      <c r="AT967" s="170"/>
      <c r="AU967" s="170"/>
      <c r="AV967" s="170"/>
      <c r="AW967" s="170"/>
      <c r="AX967" s="170"/>
      <c r="AY967" s="170"/>
      <c r="AZ967" s="170"/>
      <c r="BA967" s="170"/>
      <c r="BB967" s="170"/>
      <c r="BC967" s="170"/>
      <c r="BD967" s="170"/>
      <c r="BE967" s="137" t="s">
        <v>115</v>
      </c>
      <c r="BF967" s="455" t="s">
        <v>942</v>
      </c>
      <c r="BG967" s="139" t="s">
        <v>943</v>
      </c>
      <c r="BH967" s="220"/>
      <c r="BI967" s="220"/>
      <c r="BJ967" s="220"/>
      <c r="BK967" s="46">
        <f t="shared" si="1"/>
        <v>1</v>
      </c>
      <c r="BL967" s="46"/>
      <c r="BM967" s="46"/>
      <c r="BN967" s="46"/>
    </row>
    <row r="968" spans="1:66" ht="12.75" hidden="1" customHeight="1">
      <c r="A968" s="22">
        <v>966</v>
      </c>
      <c r="B968" s="22" t="s">
        <v>2118</v>
      </c>
      <c r="C968" s="22" t="e">
        <f t="shared" ca="1" si="0"/>
        <v>#NAME?</v>
      </c>
      <c r="D968" s="24" t="s">
        <v>1468</v>
      </c>
      <c r="E968" s="22" t="s">
        <v>180</v>
      </c>
      <c r="F968" s="24" t="s">
        <v>1942</v>
      </c>
      <c r="G968" s="24" t="s">
        <v>2602</v>
      </c>
      <c r="H968" s="24"/>
      <c r="I968" s="24">
        <v>1</v>
      </c>
      <c r="J968" s="24" t="s">
        <v>2372</v>
      </c>
      <c r="K968" s="24"/>
      <c r="L968" s="24"/>
      <c r="M968" s="24"/>
      <c r="N968" s="24"/>
      <c r="O968" s="24"/>
      <c r="P968" s="170"/>
      <c r="Q968" s="170"/>
      <c r="R968" s="169"/>
      <c r="S968" s="164"/>
      <c r="T968" s="164"/>
      <c r="U968" s="164"/>
      <c r="V968" s="163"/>
      <c r="W968" s="163" t="s">
        <v>1468</v>
      </c>
      <c r="X968" s="164"/>
      <c r="Y968" s="164"/>
      <c r="Z968" s="164"/>
      <c r="AA968" s="170"/>
      <c r="AB968" s="164"/>
      <c r="AC968" s="251"/>
      <c r="AD968" s="170"/>
      <c r="AE968" s="225"/>
      <c r="AF968" s="170"/>
      <c r="AG968" s="170"/>
      <c r="AH968" s="251"/>
      <c r="AI968" s="170"/>
      <c r="AJ968" s="164"/>
      <c r="AK968" s="22"/>
      <c r="AL968" s="170"/>
      <c r="AM968" s="170"/>
      <c r="AN968" s="170"/>
      <c r="AO968" s="170"/>
      <c r="AP968" s="170"/>
      <c r="AQ968" s="22"/>
      <c r="AR968" s="22"/>
      <c r="AS968" s="22"/>
      <c r="AT968" s="170"/>
      <c r="AU968" s="170"/>
      <c r="AV968" s="170"/>
      <c r="AW968" s="170"/>
      <c r="AX968" s="170"/>
      <c r="AY968" s="170"/>
      <c r="AZ968" s="170"/>
      <c r="BA968" s="170"/>
      <c r="BB968" s="170"/>
      <c r="BC968" s="170"/>
      <c r="BD968" s="170"/>
      <c r="BE968" s="137" t="s">
        <v>115</v>
      </c>
      <c r="BF968" s="455" t="s">
        <v>1469</v>
      </c>
      <c r="BG968" s="139" t="s">
        <v>1470</v>
      </c>
      <c r="BH968" s="220"/>
      <c r="BI968" s="220"/>
      <c r="BJ968" s="220"/>
      <c r="BK968" s="46">
        <f t="shared" si="1"/>
        <v>1</v>
      </c>
      <c r="BL968" s="46"/>
      <c r="BM968" s="46"/>
      <c r="BN968" s="46"/>
    </row>
    <row r="969" spans="1:66" ht="12.75" hidden="1" customHeight="1">
      <c r="A969" s="22">
        <v>967</v>
      </c>
      <c r="B969" s="22" t="s">
        <v>2605</v>
      </c>
      <c r="C969" s="22" t="str">
        <f t="shared" si="0"/>
        <v>Hepatitis B positive counseling</v>
      </c>
      <c r="D969" s="24" t="s">
        <v>2605</v>
      </c>
      <c r="E969" s="22" t="s">
        <v>96</v>
      </c>
      <c r="F969" s="24" t="s">
        <v>1787</v>
      </c>
      <c r="G969" s="24" t="s">
        <v>2606</v>
      </c>
      <c r="H969" s="24"/>
      <c r="I969" s="24">
        <v>1</v>
      </c>
      <c r="J969" s="24" t="s">
        <v>2372</v>
      </c>
      <c r="K969" s="24"/>
      <c r="L969" s="24"/>
      <c r="M969" s="24"/>
      <c r="N969" s="24"/>
      <c r="O969" s="24"/>
      <c r="P969" s="170"/>
      <c r="Q969" s="170"/>
      <c r="R969" s="169" t="s">
        <v>2605</v>
      </c>
      <c r="S969" s="164" t="s">
        <v>2607</v>
      </c>
      <c r="T969" s="164"/>
      <c r="U969" s="164" t="s">
        <v>202</v>
      </c>
      <c r="V969" s="193"/>
      <c r="W969" s="194"/>
      <c r="X969" s="164"/>
      <c r="Y969" s="164"/>
      <c r="Z969" s="164"/>
      <c r="AA969" s="170"/>
      <c r="AB969" s="164" t="s">
        <v>208</v>
      </c>
      <c r="AC969" s="251"/>
      <c r="AD969" s="170"/>
      <c r="AE969" s="225"/>
      <c r="AF969" s="170"/>
      <c r="AG969" s="170"/>
      <c r="AH969" s="251"/>
      <c r="AI969" s="170"/>
      <c r="AJ969" s="194" t="s">
        <v>2375</v>
      </c>
      <c r="AK969" s="22"/>
      <c r="AL969" s="170"/>
      <c r="AM969" s="170"/>
      <c r="AN969" s="170"/>
      <c r="AO969" s="170"/>
      <c r="AP969" s="170"/>
      <c r="AQ969" s="22"/>
      <c r="AR969" s="22"/>
      <c r="AS969" s="22"/>
      <c r="AT969" s="170"/>
      <c r="AU969" s="170"/>
      <c r="AV969" s="170"/>
      <c r="AW969" s="170"/>
      <c r="AX969" s="170"/>
      <c r="AY969" s="170"/>
      <c r="AZ969" s="170"/>
      <c r="BA969" s="170"/>
      <c r="BB969" s="170"/>
      <c r="BC969" s="170"/>
      <c r="BD969" s="170"/>
      <c r="BE969" s="137" t="s">
        <v>2608</v>
      </c>
      <c r="BF969" s="455" t="s">
        <v>2398</v>
      </c>
      <c r="BG969" s="139" t="s">
        <v>2399</v>
      </c>
      <c r="BH969" s="220"/>
      <c r="BI969" s="220"/>
      <c r="BJ969" s="220"/>
      <c r="BK969" s="46">
        <f t="shared" si="1"/>
        <v>1</v>
      </c>
      <c r="BL969" s="46"/>
      <c r="BM969" s="46"/>
      <c r="BN969" s="46"/>
    </row>
    <row r="970" spans="1:66" ht="12.75" hidden="1" customHeight="1">
      <c r="A970" s="22">
        <v>968</v>
      </c>
      <c r="B970" s="22" t="s">
        <v>2527</v>
      </c>
      <c r="C970" s="22" t="e">
        <f t="shared" ca="1" si="0"/>
        <v>#NAME?</v>
      </c>
      <c r="D970" s="24" t="s">
        <v>1673</v>
      </c>
      <c r="E970" s="22" t="s">
        <v>180</v>
      </c>
      <c r="F970" s="24" t="s">
        <v>2605</v>
      </c>
      <c r="G970" s="24" t="s">
        <v>2606</v>
      </c>
      <c r="H970" s="24"/>
      <c r="I970" s="24">
        <v>1</v>
      </c>
      <c r="J970" s="24" t="s">
        <v>2372</v>
      </c>
      <c r="K970" s="24"/>
      <c r="L970" s="24"/>
      <c r="M970" s="24"/>
      <c r="N970" s="24"/>
      <c r="O970" s="24"/>
      <c r="P970" s="170"/>
      <c r="Q970" s="170"/>
      <c r="R970" s="169"/>
      <c r="S970" s="164"/>
      <c r="T970" s="164"/>
      <c r="U970" s="164"/>
      <c r="V970" s="193"/>
      <c r="W970" s="194" t="s">
        <v>1673</v>
      </c>
      <c r="X970" s="164"/>
      <c r="Y970" s="164"/>
      <c r="Z970" s="164"/>
      <c r="AA970" s="170"/>
      <c r="AB970" s="164"/>
      <c r="AC970" s="251"/>
      <c r="AD970" s="170"/>
      <c r="AE970" s="225"/>
      <c r="AF970" s="170"/>
      <c r="AG970" s="170"/>
      <c r="AH970" s="251"/>
      <c r="AI970" s="170"/>
      <c r="AJ970" s="194"/>
      <c r="AK970" s="22"/>
      <c r="AL970" s="170"/>
      <c r="AM970" s="170"/>
      <c r="AN970" s="170"/>
      <c r="AO970" s="170"/>
      <c r="AP970" s="170"/>
      <c r="AQ970" s="22"/>
      <c r="AR970" s="22"/>
      <c r="AS970" s="22"/>
      <c r="AT970" s="170"/>
      <c r="AU970" s="170"/>
      <c r="AV970" s="170"/>
      <c r="AW970" s="170"/>
      <c r="AX970" s="170"/>
      <c r="AY970" s="170"/>
      <c r="AZ970" s="170"/>
      <c r="BA970" s="170"/>
      <c r="BB970" s="170"/>
      <c r="BC970" s="170"/>
      <c r="BD970" s="170"/>
      <c r="BE970" s="137" t="s">
        <v>115</v>
      </c>
      <c r="BF970" s="455" t="s">
        <v>942</v>
      </c>
      <c r="BG970" s="167" t="s">
        <v>943</v>
      </c>
      <c r="BH970" s="220"/>
      <c r="BI970" s="220"/>
      <c r="BJ970" s="220"/>
      <c r="BK970" s="46">
        <f t="shared" si="1"/>
        <v>1</v>
      </c>
      <c r="BL970" s="46"/>
      <c r="BM970" s="46"/>
      <c r="BN970" s="46"/>
    </row>
    <row r="971" spans="1:66" ht="12.75" hidden="1" customHeight="1">
      <c r="A971" s="22">
        <v>969</v>
      </c>
      <c r="B971" s="22" t="s">
        <v>2118</v>
      </c>
      <c r="C971" s="22" t="e">
        <f t="shared" ca="1" si="0"/>
        <v>#NAME?</v>
      </c>
      <c r="D971" s="24" t="s">
        <v>1468</v>
      </c>
      <c r="E971" s="22" t="s">
        <v>180</v>
      </c>
      <c r="F971" s="24" t="s">
        <v>2605</v>
      </c>
      <c r="G971" s="24" t="s">
        <v>2606</v>
      </c>
      <c r="H971" s="24"/>
      <c r="I971" s="24">
        <v>1</v>
      </c>
      <c r="J971" s="24" t="s">
        <v>2372</v>
      </c>
      <c r="K971" s="24"/>
      <c r="L971" s="24"/>
      <c r="M971" s="24"/>
      <c r="N971" s="24"/>
      <c r="O971" s="24"/>
      <c r="P971" s="170"/>
      <c r="Q971" s="170"/>
      <c r="R971" s="169"/>
      <c r="S971" s="164"/>
      <c r="T971" s="164"/>
      <c r="U971" s="164"/>
      <c r="V971" s="193"/>
      <c r="W971" s="194" t="s">
        <v>1468</v>
      </c>
      <c r="X971" s="164"/>
      <c r="Y971" s="164"/>
      <c r="Z971" s="164"/>
      <c r="AA971" s="170"/>
      <c r="AB971" s="164"/>
      <c r="AC971" s="251"/>
      <c r="AD971" s="170"/>
      <c r="AE971" s="225"/>
      <c r="AF971" s="170"/>
      <c r="AG971" s="170"/>
      <c r="AH971" s="251"/>
      <c r="AI971" s="170"/>
      <c r="AJ971" s="194"/>
      <c r="AK971" s="22"/>
      <c r="AL971" s="170"/>
      <c r="AM971" s="170"/>
      <c r="AN971" s="170"/>
      <c r="AO971" s="170"/>
      <c r="AP971" s="170"/>
      <c r="AQ971" s="22"/>
      <c r="AR971" s="22"/>
      <c r="AS971" s="22"/>
      <c r="AT971" s="170"/>
      <c r="AU971" s="170"/>
      <c r="AV971" s="170"/>
      <c r="AW971" s="170"/>
      <c r="AX971" s="170"/>
      <c r="AY971" s="170"/>
      <c r="AZ971" s="170"/>
      <c r="BA971" s="170"/>
      <c r="BB971" s="170"/>
      <c r="BC971" s="170"/>
      <c r="BD971" s="170"/>
      <c r="BE971" s="137" t="s">
        <v>115</v>
      </c>
      <c r="BF971" s="455" t="s">
        <v>1469</v>
      </c>
      <c r="BG971" s="167" t="s">
        <v>1470</v>
      </c>
      <c r="BH971" s="220"/>
      <c r="BI971" s="220"/>
      <c r="BJ971" s="220"/>
      <c r="BK971" s="46">
        <f t="shared" si="1"/>
        <v>1</v>
      </c>
      <c r="BL971" s="46"/>
      <c r="BM971" s="46"/>
      <c r="BN971" s="46"/>
    </row>
    <row r="972" spans="1:66" ht="12.75" hidden="1" customHeight="1">
      <c r="A972" s="22">
        <v>970</v>
      </c>
      <c r="B972" s="22" t="s">
        <v>2609</v>
      </c>
      <c r="C972" s="22" t="str">
        <f t="shared" si="0"/>
        <v>Hepatitis C positive counseling</v>
      </c>
      <c r="D972" s="24" t="s">
        <v>2609</v>
      </c>
      <c r="E972" s="22" t="s">
        <v>96</v>
      </c>
      <c r="F972" s="24" t="s">
        <v>1787</v>
      </c>
      <c r="G972" s="24" t="s">
        <v>2610</v>
      </c>
      <c r="H972" s="24"/>
      <c r="I972" s="24">
        <v>1</v>
      </c>
      <c r="J972" s="24" t="s">
        <v>2372</v>
      </c>
      <c r="K972" s="24"/>
      <c r="L972" s="24"/>
      <c r="M972" s="24"/>
      <c r="N972" s="24"/>
      <c r="O972" s="24"/>
      <c r="P972" s="170"/>
      <c r="Q972" s="170"/>
      <c r="R972" s="169" t="s">
        <v>2609</v>
      </c>
      <c r="S972" s="164" t="s">
        <v>2611</v>
      </c>
      <c r="T972" s="164"/>
      <c r="U972" s="164" t="s">
        <v>202</v>
      </c>
      <c r="V972" s="193"/>
      <c r="W972" s="194"/>
      <c r="X972" s="164"/>
      <c r="Y972" s="164"/>
      <c r="Z972" s="164"/>
      <c r="AA972" s="170"/>
      <c r="AB972" s="164" t="s">
        <v>208</v>
      </c>
      <c r="AC972" s="251"/>
      <c r="AD972" s="170"/>
      <c r="AE972" s="225"/>
      <c r="AF972" s="170"/>
      <c r="AG972" s="170"/>
      <c r="AH972" s="251"/>
      <c r="AI972" s="170"/>
      <c r="AJ972" s="163" t="s">
        <v>2375</v>
      </c>
      <c r="AK972" s="22"/>
      <c r="AL972" s="170"/>
      <c r="AM972" s="170"/>
      <c r="AN972" s="170"/>
      <c r="AO972" s="170"/>
      <c r="AP972" s="170"/>
      <c r="AQ972" s="22"/>
      <c r="AR972" s="22"/>
      <c r="AS972" s="22"/>
      <c r="AT972" s="170"/>
      <c r="AU972" s="170"/>
      <c r="AV972" s="170"/>
      <c r="AW972" s="170"/>
      <c r="AX972" s="170"/>
      <c r="AY972" s="170"/>
      <c r="AZ972" s="170"/>
      <c r="BA972" s="170"/>
      <c r="BB972" s="170"/>
      <c r="BC972" s="170"/>
      <c r="BD972" s="170"/>
      <c r="BE972" s="137" t="s">
        <v>2612</v>
      </c>
      <c r="BF972" s="455" t="s">
        <v>2398</v>
      </c>
      <c r="BG972" s="139" t="s">
        <v>2399</v>
      </c>
      <c r="BH972" s="220"/>
      <c r="BI972" s="220"/>
      <c r="BJ972" s="220"/>
      <c r="BK972" s="46">
        <f t="shared" si="1"/>
        <v>1</v>
      </c>
      <c r="BL972" s="46"/>
      <c r="BM972" s="46"/>
      <c r="BN972" s="46"/>
    </row>
    <row r="973" spans="1:66" ht="12.75" hidden="1" customHeight="1">
      <c r="A973" s="22">
        <v>971</v>
      </c>
      <c r="B973" s="22" t="s">
        <v>2527</v>
      </c>
      <c r="C973" s="22" t="e">
        <f t="shared" ca="1" si="0"/>
        <v>#NAME?</v>
      </c>
      <c r="D973" s="24" t="s">
        <v>1673</v>
      </c>
      <c r="E973" s="22" t="s">
        <v>180</v>
      </c>
      <c r="F973" s="24" t="s">
        <v>2609</v>
      </c>
      <c r="G973" s="24" t="s">
        <v>2610</v>
      </c>
      <c r="H973" s="24"/>
      <c r="I973" s="24">
        <v>1</v>
      </c>
      <c r="J973" s="24" t="s">
        <v>2372</v>
      </c>
      <c r="K973" s="24"/>
      <c r="L973" s="24"/>
      <c r="M973" s="24"/>
      <c r="N973" s="24"/>
      <c r="O973" s="24"/>
      <c r="P973" s="170"/>
      <c r="Q973" s="170"/>
      <c r="R973" s="169"/>
      <c r="S973" s="164"/>
      <c r="T973" s="164"/>
      <c r="U973" s="164"/>
      <c r="V973" s="193"/>
      <c r="W973" s="194" t="s">
        <v>1673</v>
      </c>
      <c r="X973" s="164"/>
      <c r="Y973" s="164"/>
      <c r="Z973" s="164"/>
      <c r="AA973" s="170"/>
      <c r="AB973" s="164"/>
      <c r="AC973" s="251"/>
      <c r="AD973" s="170"/>
      <c r="AE973" s="225"/>
      <c r="AF973" s="170"/>
      <c r="AG973" s="170"/>
      <c r="AH973" s="251"/>
      <c r="AI973" s="170"/>
      <c r="AJ973" s="194"/>
      <c r="AK973" s="22"/>
      <c r="AL973" s="170"/>
      <c r="AM973" s="170"/>
      <c r="AN973" s="170"/>
      <c r="AO973" s="170"/>
      <c r="AP973" s="170"/>
      <c r="AQ973" s="22"/>
      <c r="AR973" s="22"/>
      <c r="AS973" s="22"/>
      <c r="AT973" s="170"/>
      <c r="AU973" s="170"/>
      <c r="AV973" s="170"/>
      <c r="AW973" s="170"/>
      <c r="AX973" s="170"/>
      <c r="AY973" s="170"/>
      <c r="AZ973" s="170"/>
      <c r="BA973" s="170"/>
      <c r="BB973" s="170"/>
      <c r="BC973" s="170"/>
      <c r="BD973" s="170"/>
      <c r="BE973" s="137" t="s">
        <v>115</v>
      </c>
      <c r="BF973" s="455" t="s">
        <v>942</v>
      </c>
      <c r="BG973" s="167" t="s">
        <v>943</v>
      </c>
      <c r="BH973" s="220"/>
      <c r="BI973" s="220"/>
      <c r="BJ973" s="220"/>
      <c r="BK973" s="46">
        <f t="shared" si="1"/>
        <v>1</v>
      </c>
      <c r="BL973" s="46"/>
      <c r="BM973" s="46"/>
      <c r="BN973" s="46"/>
    </row>
    <row r="974" spans="1:66" ht="12.75" hidden="1" customHeight="1">
      <c r="A974" s="22">
        <v>972</v>
      </c>
      <c r="B974" s="22" t="s">
        <v>2118</v>
      </c>
      <c r="C974" s="22" t="e">
        <f t="shared" ca="1" si="0"/>
        <v>#NAME?</v>
      </c>
      <c r="D974" s="24" t="s">
        <v>1468</v>
      </c>
      <c r="E974" s="22" t="s">
        <v>180</v>
      </c>
      <c r="F974" s="24" t="s">
        <v>2609</v>
      </c>
      <c r="G974" s="24" t="s">
        <v>2610</v>
      </c>
      <c r="H974" s="24"/>
      <c r="I974" s="24">
        <v>1</v>
      </c>
      <c r="J974" s="24" t="s">
        <v>2372</v>
      </c>
      <c r="K974" s="24"/>
      <c r="L974" s="24"/>
      <c r="M974" s="24"/>
      <c r="N974" s="24"/>
      <c r="O974" s="24"/>
      <c r="P974" s="170"/>
      <c r="Q974" s="170"/>
      <c r="R974" s="169"/>
      <c r="S974" s="164"/>
      <c r="T974" s="164"/>
      <c r="U974" s="164"/>
      <c r="V974" s="193"/>
      <c r="W974" s="194" t="s">
        <v>1468</v>
      </c>
      <c r="X974" s="164"/>
      <c r="Y974" s="164"/>
      <c r="Z974" s="164"/>
      <c r="AA974" s="170"/>
      <c r="AB974" s="164"/>
      <c r="AC974" s="251"/>
      <c r="AD974" s="170"/>
      <c r="AE974" s="225"/>
      <c r="AF974" s="170"/>
      <c r="AG974" s="170"/>
      <c r="AH974" s="251"/>
      <c r="AI974" s="170"/>
      <c r="AJ974" s="194"/>
      <c r="AK974" s="22"/>
      <c r="AL974" s="170"/>
      <c r="AM974" s="170"/>
      <c r="AN974" s="170"/>
      <c r="AO974" s="170"/>
      <c r="AP974" s="170"/>
      <c r="AQ974" s="22"/>
      <c r="AR974" s="22"/>
      <c r="AS974" s="22"/>
      <c r="AT974" s="170"/>
      <c r="AU974" s="170"/>
      <c r="AV974" s="170"/>
      <c r="AW974" s="170"/>
      <c r="AX974" s="170"/>
      <c r="AY974" s="170"/>
      <c r="AZ974" s="170"/>
      <c r="BA974" s="170"/>
      <c r="BB974" s="170"/>
      <c r="BC974" s="170"/>
      <c r="BD974" s="170"/>
      <c r="BE974" s="137" t="s">
        <v>115</v>
      </c>
      <c r="BF974" s="455" t="s">
        <v>1469</v>
      </c>
      <c r="BG974" s="167" t="s">
        <v>1470</v>
      </c>
      <c r="BH974" s="220"/>
      <c r="BI974" s="220"/>
      <c r="BJ974" s="220"/>
      <c r="BK974" s="46">
        <f t="shared" si="1"/>
        <v>1</v>
      </c>
      <c r="BL974" s="46"/>
      <c r="BM974" s="46"/>
      <c r="BN974" s="46"/>
    </row>
    <row r="975" spans="1:66" ht="12.75" hidden="1" customHeight="1">
      <c r="A975" s="22">
        <v>973</v>
      </c>
      <c r="B975" s="22" t="s">
        <v>2613</v>
      </c>
      <c r="C975" s="22" t="str">
        <f t="shared" si="0"/>
        <v>Syphilis counselling and treatment</v>
      </c>
      <c r="D975" s="24" t="s">
        <v>2613</v>
      </c>
      <c r="E975" s="22" t="s">
        <v>96</v>
      </c>
      <c r="F975" s="24" t="s">
        <v>1787</v>
      </c>
      <c r="G975" s="24" t="s">
        <v>2614</v>
      </c>
      <c r="H975" s="24"/>
      <c r="I975" s="24">
        <v>1</v>
      </c>
      <c r="J975" s="24" t="s">
        <v>2372</v>
      </c>
      <c r="K975" s="24"/>
      <c r="L975" s="24"/>
      <c r="M975" s="24"/>
      <c r="N975" s="24"/>
      <c r="O975" s="24"/>
      <c r="P975" s="170"/>
      <c r="Q975" s="170"/>
      <c r="R975" s="162" t="s">
        <v>2613</v>
      </c>
      <c r="S975" s="164" t="s">
        <v>2615</v>
      </c>
      <c r="T975" s="164"/>
      <c r="U975" s="164" t="s">
        <v>202</v>
      </c>
      <c r="V975" s="193"/>
      <c r="W975" s="194"/>
      <c r="X975" s="164"/>
      <c r="Y975" s="164"/>
      <c r="Z975" s="164"/>
      <c r="AA975" s="170"/>
      <c r="AB975" s="164" t="s">
        <v>208</v>
      </c>
      <c r="AC975" s="251"/>
      <c r="AD975" s="170"/>
      <c r="AE975" s="225"/>
      <c r="AF975" s="170"/>
      <c r="AG975" s="170"/>
      <c r="AH975" s="251"/>
      <c r="AI975" s="170"/>
      <c r="AJ975" s="194" t="s">
        <v>2375</v>
      </c>
      <c r="AK975" s="22"/>
      <c r="AL975" s="170"/>
      <c r="AM975" s="170"/>
      <c r="AN975" s="170"/>
      <c r="AO975" s="170"/>
      <c r="AP975" s="170"/>
      <c r="AQ975" s="22"/>
      <c r="AR975" s="22"/>
      <c r="AS975" s="22"/>
      <c r="AT975" s="170"/>
      <c r="AU975" s="170"/>
      <c r="AV975" s="170"/>
      <c r="AW975" s="170"/>
      <c r="AX975" s="170"/>
      <c r="AY975" s="170"/>
      <c r="AZ975" s="170"/>
      <c r="BA975" s="170"/>
      <c r="BB975" s="170"/>
      <c r="BC975" s="170"/>
      <c r="BD975" s="170"/>
      <c r="BE975" s="137" t="s">
        <v>2617</v>
      </c>
      <c r="BF975" s="455" t="s">
        <v>2398</v>
      </c>
      <c r="BG975" s="139" t="s">
        <v>2399</v>
      </c>
      <c r="BH975" s="220"/>
      <c r="BI975" s="220"/>
      <c r="BJ975" s="220"/>
      <c r="BK975" s="46">
        <f t="shared" si="1"/>
        <v>1</v>
      </c>
      <c r="BL975" s="46"/>
      <c r="BM975" s="46"/>
      <c r="BN975" s="46"/>
    </row>
    <row r="976" spans="1:66" ht="12.75" hidden="1" customHeight="1">
      <c r="A976" s="22">
        <v>974</v>
      </c>
      <c r="B976" s="22" t="s">
        <v>2527</v>
      </c>
      <c r="C976" s="22" t="e">
        <f t="shared" ca="1" si="0"/>
        <v>#NAME?</v>
      </c>
      <c r="D976" s="24" t="s">
        <v>1673</v>
      </c>
      <c r="E976" s="22" t="s">
        <v>180</v>
      </c>
      <c r="F976" s="24" t="s">
        <v>2613</v>
      </c>
      <c r="G976" s="24" t="s">
        <v>2614</v>
      </c>
      <c r="H976" s="24"/>
      <c r="I976" s="24">
        <v>1</v>
      </c>
      <c r="J976" s="24" t="s">
        <v>2372</v>
      </c>
      <c r="K976" s="24"/>
      <c r="L976" s="24"/>
      <c r="M976" s="24"/>
      <c r="N976" s="24"/>
      <c r="O976" s="24"/>
      <c r="P976" s="170"/>
      <c r="Q976" s="170"/>
      <c r="R976" s="162"/>
      <c r="S976" s="164"/>
      <c r="T976" s="164"/>
      <c r="U976" s="164"/>
      <c r="V976" s="193"/>
      <c r="W976" s="194" t="s">
        <v>1673</v>
      </c>
      <c r="X976" s="164"/>
      <c r="Y976" s="164"/>
      <c r="Z976" s="164"/>
      <c r="AA976" s="170"/>
      <c r="AB976" s="164"/>
      <c r="AC976" s="251"/>
      <c r="AD976" s="170"/>
      <c r="AE976" s="225"/>
      <c r="AF976" s="170"/>
      <c r="AG976" s="170"/>
      <c r="AH976" s="251"/>
      <c r="AI976" s="170"/>
      <c r="AJ976" s="194"/>
      <c r="AK976" s="22"/>
      <c r="AL976" s="170"/>
      <c r="AM976" s="170"/>
      <c r="AN976" s="170"/>
      <c r="AO976" s="170"/>
      <c r="AP976" s="170"/>
      <c r="AQ976" s="22"/>
      <c r="AR976" s="22"/>
      <c r="AS976" s="22"/>
      <c r="AT976" s="170"/>
      <c r="AU976" s="170"/>
      <c r="AV976" s="170"/>
      <c r="AW976" s="170"/>
      <c r="AX976" s="170"/>
      <c r="AY976" s="170"/>
      <c r="AZ976" s="170"/>
      <c r="BA976" s="170"/>
      <c r="BB976" s="170"/>
      <c r="BC976" s="170"/>
      <c r="BD976" s="170"/>
      <c r="BE976" s="137" t="s">
        <v>115</v>
      </c>
      <c r="BF976" s="455" t="s">
        <v>942</v>
      </c>
      <c r="BG976" s="167" t="s">
        <v>943</v>
      </c>
      <c r="BH976" s="220"/>
      <c r="BI976" s="220"/>
      <c r="BJ976" s="220"/>
      <c r="BK976" s="46">
        <f t="shared" si="1"/>
        <v>1</v>
      </c>
      <c r="BL976" s="46"/>
      <c r="BM976" s="46"/>
      <c r="BN976" s="46"/>
    </row>
    <row r="977" spans="1:66" ht="12.75" hidden="1" customHeight="1">
      <c r="A977" s="22">
        <v>975</v>
      </c>
      <c r="B977" s="22" t="s">
        <v>2118</v>
      </c>
      <c r="C977" s="22" t="e">
        <f t="shared" ca="1" si="0"/>
        <v>#NAME?</v>
      </c>
      <c r="D977" s="24" t="s">
        <v>1468</v>
      </c>
      <c r="E977" s="22" t="s">
        <v>180</v>
      </c>
      <c r="F977" s="24" t="s">
        <v>2613</v>
      </c>
      <c r="G977" s="24" t="s">
        <v>2614</v>
      </c>
      <c r="H977" s="24"/>
      <c r="I977" s="24">
        <v>1</v>
      </c>
      <c r="J977" s="24" t="s">
        <v>2372</v>
      </c>
      <c r="K977" s="24"/>
      <c r="L977" s="24"/>
      <c r="M977" s="24"/>
      <c r="N977" s="24"/>
      <c r="O977" s="24"/>
      <c r="P977" s="170"/>
      <c r="Q977" s="170"/>
      <c r="R977" s="162"/>
      <c r="S977" s="164"/>
      <c r="T977" s="164"/>
      <c r="U977" s="164"/>
      <c r="V977" s="193"/>
      <c r="W977" s="194" t="s">
        <v>1468</v>
      </c>
      <c r="X977" s="164"/>
      <c r="Y977" s="164"/>
      <c r="Z977" s="164"/>
      <c r="AA977" s="170"/>
      <c r="AB977" s="164"/>
      <c r="AC977" s="251"/>
      <c r="AD977" s="170"/>
      <c r="AE977" s="225"/>
      <c r="AF977" s="170"/>
      <c r="AG977" s="170"/>
      <c r="AH977" s="251"/>
      <c r="AI977" s="170"/>
      <c r="AJ977" s="194"/>
      <c r="AK977" s="22"/>
      <c r="AL977" s="170"/>
      <c r="AM977" s="170"/>
      <c r="AN977" s="170"/>
      <c r="AO977" s="170"/>
      <c r="AP977" s="170"/>
      <c r="AQ977" s="22"/>
      <c r="AR977" s="22"/>
      <c r="AS977" s="22"/>
      <c r="AT977" s="170"/>
      <c r="AU977" s="170"/>
      <c r="AV977" s="170"/>
      <c r="AW977" s="170"/>
      <c r="AX977" s="170"/>
      <c r="AY977" s="170"/>
      <c r="AZ977" s="170"/>
      <c r="BA977" s="170"/>
      <c r="BB977" s="170"/>
      <c r="BC977" s="170"/>
      <c r="BD977" s="170"/>
      <c r="BE977" s="137" t="s">
        <v>115</v>
      </c>
      <c r="BF977" s="455" t="s">
        <v>1469</v>
      </c>
      <c r="BG977" s="167" t="s">
        <v>1470</v>
      </c>
      <c r="BH977" s="220"/>
      <c r="BI977" s="220"/>
      <c r="BJ977" s="220"/>
      <c r="BK977" s="46">
        <f t="shared" si="1"/>
        <v>1</v>
      </c>
      <c r="BL977" s="46"/>
      <c r="BM977" s="46"/>
      <c r="BN977" s="46"/>
    </row>
    <row r="978" spans="1:66" ht="12.75" hidden="1" customHeight="1">
      <c r="A978" s="22">
        <v>976</v>
      </c>
      <c r="B978" s="22" t="s">
        <v>2618</v>
      </c>
      <c r="C978" s="22" t="str">
        <f t="shared" si="0"/>
        <v>Syphilis counselling and further testing</v>
      </c>
      <c r="D978" s="24" t="s">
        <v>2618</v>
      </c>
      <c r="E978" s="22" t="s">
        <v>96</v>
      </c>
      <c r="F978" s="24" t="s">
        <v>1787</v>
      </c>
      <c r="G978" s="24" t="s">
        <v>2614</v>
      </c>
      <c r="H978" s="24"/>
      <c r="I978" s="24">
        <v>1</v>
      </c>
      <c r="J978" s="24" t="s">
        <v>2372</v>
      </c>
      <c r="K978" s="24"/>
      <c r="L978" s="24"/>
      <c r="M978" s="24"/>
      <c r="N978" s="24"/>
      <c r="O978" s="24"/>
      <c r="P978" s="170"/>
      <c r="Q978" s="170"/>
      <c r="R978" s="162" t="s">
        <v>2618</v>
      </c>
      <c r="S978" s="164" t="s">
        <v>2620</v>
      </c>
      <c r="T978" s="164"/>
      <c r="U978" s="164" t="s">
        <v>202</v>
      </c>
      <c r="V978" s="193"/>
      <c r="W978" s="194"/>
      <c r="X978" s="164"/>
      <c r="Y978" s="164"/>
      <c r="Z978" s="164"/>
      <c r="AA978" s="170"/>
      <c r="AB978" s="164" t="s">
        <v>208</v>
      </c>
      <c r="AC978" s="251"/>
      <c r="AD978" s="170"/>
      <c r="AE978" s="225"/>
      <c r="AF978" s="170"/>
      <c r="AG978" s="170"/>
      <c r="AH978" s="251"/>
      <c r="AI978" s="170"/>
      <c r="AJ978" s="194" t="s">
        <v>2375</v>
      </c>
      <c r="AK978" s="22"/>
      <c r="AL978" s="170"/>
      <c r="AM978" s="170"/>
      <c r="AN978" s="170"/>
      <c r="AO978" s="170"/>
      <c r="AP978" s="170"/>
      <c r="AQ978" s="22"/>
      <c r="AR978" s="22"/>
      <c r="AS978" s="22"/>
      <c r="AT978" s="170"/>
      <c r="AU978" s="170"/>
      <c r="AV978" s="170"/>
      <c r="AW978" s="170"/>
      <c r="AX978" s="170"/>
      <c r="AY978" s="170"/>
      <c r="AZ978" s="170"/>
      <c r="BA978" s="170"/>
      <c r="BB978" s="170"/>
      <c r="BC978" s="170"/>
      <c r="BD978" s="170"/>
      <c r="BE978" s="137" t="s">
        <v>2621</v>
      </c>
      <c r="BF978" s="455" t="s">
        <v>2398</v>
      </c>
      <c r="BG978" s="139" t="s">
        <v>2399</v>
      </c>
      <c r="BH978" s="220"/>
      <c r="BI978" s="220"/>
      <c r="BJ978" s="220"/>
      <c r="BK978" s="46">
        <f t="shared" si="1"/>
        <v>1</v>
      </c>
      <c r="BL978" s="46"/>
      <c r="BM978" s="46"/>
      <c r="BN978" s="46"/>
    </row>
    <row r="979" spans="1:66" ht="12.75" hidden="1" customHeight="1">
      <c r="A979" s="22">
        <v>977</v>
      </c>
      <c r="B979" s="22" t="s">
        <v>2527</v>
      </c>
      <c r="C979" s="22" t="e">
        <f t="shared" ca="1" si="0"/>
        <v>#NAME?</v>
      </c>
      <c r="D979" s="24" t="s">
        <v>1673</v>
      </c>
      <c r="E979" s="22" t="s">
        <v>180</v>
      </c>
      <c r="F979" s="24" t="s">
        <v>2618</v>
      </c>
      <c r="G979" s="24" t="s">
        <v>2614</v>
      </c>
      <c r="H979" s="24"/>
      <c r="I979" s="24">
        <v>1</v>
      </c>
      <c r="J979" s="24" t="s">
        <v>2372</v>
      </c>
      <c r="K979" s="24"/>
      <c r="L979" s="24"/>
      <c r="M979" s="24"/>
      <c r="N979" s="24"/>
      <c r="O979" s="24"/>
      <c r="P979" s="170"/>
      <c r="Q979" s="170"/>
      <c r="R979" s="162"/>
      <c r="S979" s="164"/>
      <c r="T979" s="164"/>
      <c r="U979" s="164"/>
      <c r="V979" s="193"/>
      <c r="W979" s="194" t="s">
        <v>1673</v>
      </c>
      <c r="X979" s="164"/>
      <c r="Y979" s="164"/>
      <c r="Z979" s="164"/>
      <c r="AA979" s="170"/>
      <c r="AB979" s="164"/>
      <c r="AC979" s="251"/>
      <c r="AD979" s="170"/>
      <c r="AE979" s="225"/>
      <c r="AF979" s="170"/>
      <c r="AG979" s="170"/>
      <c r="AH979" s="251"/>
      <c r="AI979" s="170"/>
      <c r="AJ979" s="194"/>
      <c r="AK979" s="22"/>
      <c r="AL979" s="170"/>
      <c r="AM979" s="170"/>
      <c r="AN979" s="170"/>
      <c r="AO979" s="170"/>
      <c r="AP979" s="170"/>
      <c r="AQ979" s="22"/>
      <c r="AR979" s="22"/>
      <c r="AS979" s="22"/>
      <c r="AT979" s="170"/>
      <c r="AU979" s="170"/>
      <c r="AV979" s="170"/>
      <c r="AW979" s="170"/>
      <c r="AX979" s="170"/>
      <c r="AY979" s="170"/>
      <c r="AZ979" s="170"/>
      <c r="BA979" s="170"/>
      <c r="BB979" s="170"/>
      <c r="BC979" s="170"/>
      <c r="BD979" s="170"/>
      <c r="BE979" s="137" t="s">
        <v>115</v>
      </c>
      <c r="BF979" s="455" t="s">
        <v>942</v>
      </c>
      <c r="BG979" s="167" t="s">
        <v>943</v>
      </c>
      <c r="BH979" s="220"/>
      <c r="BI979" s="220"/>
      <c r="BJ979" s="220"/>
      <c r="BK979" s="46">
        <f t="shared" si="1"/>
        <v>1</v>
      </c>
      <c r="BL979" s="46"/>
      <c r="BM979" s="46"/>
      <c r="BN979" s="46"/>
    </row>
    <row r="980" spans="1:66" ht="12.75" hidden="1" customHeight="1">
      <c r="A980" s="22">
        <v>978</v>
      </c>
      <c r="B980" s="22" t="s">
        <v>2118</v>
      </c>
      <c r="C980" s="22" t="e">
        <f t="shared" ca="1" si="0"/>
        <v>#NAME?</v>
      </c>
      <c r="D980" s="24" t="s">
        <v>1468</v>
      </c>
      <c r="E980" s="22" t="s">
        <v>180</v>
      </c>
      <c r="F980" s="24" t="s">
        <v>2618</v>
      </c>
      <c r="G980" s="24" t="s">
        <v>2614</v>
      </c>
      <c r="H980" s="24"/>
      <c r="I980" s="24">
        <v>1</v>
      </c>
      <c r="J980" s="24" t="s">
        <v>2372</v>
      </c>
      <c r="K980" s="24"/>
      <c r="L980" s="24"/>
      <c r="M980" s="24"/>
      <c r="N980" s="24"/>
      <c r="O980" s="24"/>
      <c r="P980" s="170"/>
      <c r="Q980" s="170"/>
      <c r="R980" s="162"/>
      <c r="S980" s="164"/>
      <c r="T980" s="164"/>
      <c r="U980" s="164"/>
      <c r="V980" s="193"/>
      <c r="W980" s="194" t="s">
        <v>1468</v>
      </c>
      <c r="X980" s="164"/>
      <c r="Y980" s="164"/>
      <c r="Z980" s="164"/>
      <c r="AA980" s="170"/>
      <c r="AB980" s="164"/>
      <c r="AC980" s="251"/>
      <c r="AD980" s="170"/>
      <c r="AE980" s="225"/>
      <c r="AF980" s="170"/>
      <c r="AG980" s="170"/>
      <c r="AH980" s="251"/>
      <c r="AI980" s="170"/>
      <c r="AJ980" s="194"/>
      <c r="AK980" s="22"/>
      <c r="AL980" s="170"/>
      <c r="AM980" s="170"/>
      <c r="AN980" s="170"/>
      <c r="AO980" s="170"/>
      <c r="AP980" s="170"/>
      <c r="AQ980" s="22"/>
      <c r="AR980" s="22"/>
      <c r="AS980" s="22"/>
      <c r="AT980" s="170"/>
      <c r="AU980" s="170"/>
      <c r="AV980" s="170"/>
      <c r="AW980" s="170"/>
      <c r="AX980" s="170"/>
      <c r="AY980" s="170"/>
      <c r="AZ980" s="170"/>
      <c r="BA980" s="170"/>
      <c r="BB980" s="170"/>
      <c r="BC980" s="170"/>
      <c r="BD980" s="170"/>
      <c r="BE980" s="137" t="s">
        <v>115</v>
      </c>
      <c r="BF980" s="455" t="s">
        <v>1469</v>
      </c>
      <c r="BG980" s="167" t="s">
        <v>1470</v>
      </c>
      <c r="BH980" s="220"/>
      <c r="BI980" s="220"/>
      <c r="BJ980" s="220"/>
      <c r="BK980" s="46">
        <f t="shared" si="1"/>
        <v>1</v>
      </c>
      <c r="BL980" s="46"/>
      <c r="BM980" s="46"/>
      <c r="BN980" s="46"/>
    </row>
    <row r="981" spans="1:66" ht="12.75" hidden="1" customHeight="1">
      <c r="A981" s="22">
        <v>979</v>
      </c>
      <c r="B981" s="22" t="s">
        <v>2622</v>
      </c>
      <c r="C981" s="22" t="str">
        <f t="shared" si="0"/>
        <v>penicillin</v>
      </c>
      <c r="D981" s="24" t="s">
        <v>2622</v>
      </c>
      <c r="E981" s="22" t="s">
        <v>65</v>
      </c>
      <c r="F981" s="24" t="s">
        <v>1787</v>
      </c>
      <c r="G981" s="24" t="s">
        <v>2614</v>
      </c>
      <c r="H981" s="24"/>
      <c r="I981" s="24">
        <v>1</v>
      </c>
      <c r="J981" s="24" t="s">
        <v>2372</v>
      </c>
      <c r="K981" s="24"/>
      <c r="L981" s="24"/>
      <c r="M981" s="24"/>
      <c r="N981" s="24"/>
      <c r="O981" s="24"/>
      <c r="P981" s="170"/>
      <c r="Q981" s="170"/>
      <c r="R981" s="222" t="s">
        <v>115</v>
      </c>
      <c r="S981" s="221" t="s">
        <v>2622</v>
      </c>
      <c r="T981" s="221" t="s">
        <v>2623</v>
      </c>
      <c r="U981" s="221" t="s">
        <v>65</v>
      </c>
      <c r="V981" s="163"/>
      <c r="W981" s="163"/>
      <c r="X981" s="221" t="s">
        <v>2624</v>
      </c>
      <c r="Y981" s="221"/>
      <c r="Z981" s="164"/>
      <c r="AA981" s="170"/>
      <c r="AB981" s="221" t="s">
        <v>115</v>
      </c>
      <c r="AC981" s="251"/>
      <c r="AD981" s="170"/>
      <c r="AE981" s="225"/>
      <c r="AF981" s="170"/>
      <c r="AG981" s="170"/>
      <c r="AH981" s="251"/>
      <c r="AI981" s="170"/>
      <c r="AJ981" s="221" t="s">
        <v>115</v>
      </c>
      <c r="AK981" s="22"/>
      <c r="AL981" s="170"/>
      <c r="AM981" s="170"/>
      <c r="AN981" s="170"/>
      <c r="AO981" s="170"/>
      <c r="AP981" s="170"/>
      <c r="AQ981" s="22"/>
      <c r="AR981" s="22"/>
      <c r="AS981" s="22"/>
      <c r="AT981" s="170"/>
      <c r="AU981" s="170"/>
      <c r="AV981" s="170"/>
      <c r="AW981" s="170"/>
      <c r="AX981" s="170"/>
      <c r="AY981" s="170"/>
      <c r="AZ981" s="170"/>
      <c r="BA981" s="170"/>
      <c r="BB981" s="170"/>
      <c r="BC981" s="170"/>
      <c r="BD981" s="170"/>
      <c r="BE981" s="137" t="s">
        <v>115</v>
      </c>
      <c r="BF981" s="137" t="s">
        <v>115</v>
      </c>
      <c r="BG981" s="139" t="s">
        <v>115</v>
      </c>
      <c r="BH981" s="220"/>
      <c r="BI981" s="220"/>
      <c r="BJ981" s="220"/>
      <c r="BK981" s="46">
        <f t="shared" si="1"/>
        <v>1</v>
      </c>
      <c r="BL981" s="46"/>
      <c r="BM981" s="46"/>
      <c r="BN981" s="46"/>
    </row>
    <row r="982" spans="1:66" ht="12.75" hidden="1" customHeight="1">
      <c r="A982" s="22">
        <v>980</v>
      </c>
      <c r="B982" s="22" t="s">
        <v>2626</v>
      </c>
      <c r="C982" s="22" t="str">
        <f t="shared" si="0"/>
        <v>Seven-day antibiotic regimen for asymptomatic bacteriuria (ASB)</v>
      </c>
      <c r="D982" s="24" t="s">
        <v>2626</v>
      </c>
      <c r="E982" s="22" t="s">
        <v>96</v>
      </c>
      <c r="F982" s="24" t="s">
        <v>1787</v>
      </c>
      <c r="G982" s="24" t="s">
        <v>2627</v>
      </c>
      <c r="H982" s="24"/>
      <c r="I982" s="24">
        <v>1</v>
      </c>
      <c r="J982" s="24" t="s">
        <v>2372</v>
      </c>
      <c r="K982" s="24"/>
      <c r="L982" s="24"/>
      <c r="M982" s="24"/>
      <c r="N982" s="24"/>
      <c r="O982" s="24"/>
      <c r="P982" s="170"/>
      <c r="Q982" s="170"/>
      <c r="R982" s="290" t="s">
        <v>2626</v>
      </c>
      <c r="S982" s="164" t="s">
        <v>2628</v>
      </c>
      <c r="T982" s="164"/>
      <c r="U982" s="164" t="s">
        <v>202</v>
      </c>
      <c r="V982" s="193"/>
      <c r="W982" s="194"/>
      <c r="X982" s="164"/>
      <c r="Y982" s="164"/>
      <c r="Z982" s="164"/>
      <c r="AA982" s="170"/>
      <c r="AB982" s="164" t="s">
        <v>113</v>
      </c>
      <c r="AC982" s="251"/>
      <c r="AD982" s="170"/>
      <c r="AE982" s="225"/>
      <c r="AF982" s="170"/>
      <c r="AG982" s="170"/>
      <c r="AH982" s="251"/>
      <c r="AI982" s="170"/>
      <c r="AJ982" s="194" t="s">
        <v>2375</v>
      </c>
      <c r="AK982" s="22"/>
      <c r="AL982" s="170"/>
      <c r="AM982" s="170"/>
      <c r="AN982" s="170"/>
      <c r="AO982" s="170"/>
      <c r="AP982" s="170"/>
      <c r="AQ982" s="22"/>
      <c r="AR982" s="22"/>
      <c r="AS982" s="22"/>
      <c r="AT982" s="170"/>
      <c r="AU982" s="170"/>
      <c r="AV982" s="170"/>
      <c r="AW982" s="170"/>
      <c r="AX982" s="170"/>
      <c r="AY982" s="170"/>
      <c r="AZ982" s="170"/>
      <c r="BA982" s="170"/>
      <c r="BB982" s="170"/>
      <c r="BC982" s="170"/>
      <c r="BD982" s="170"/>
      <c r="BE982" s="137" t="s">
        <v>2629</v>
      </c>
      <c r="BF982" s="455" t="s">
        <v>2630</v>
      </c>
      <c r="BG982" s="139" t="s">
        <v>2631</v>
      </c>
      <c r="BH982" s="220"/>
      <c r="BI982" s="220"/>
      <c r="BJ982" s="220"/>
      <c r="BK982" s="46">
        <f t="shared" si="1"/>
        <v>1</v>
      </c>
      <c r="BL982" s="46"/>
      <c r="BM982" s="46"/>
      <c r="BN982" s="46"/>
    </row>
    <row r="983" spans="1:66" ht="12.75" hidden="1" customHeight="1">
      <c r="A983" s="22">
        <v>981</v>
      </c>
      <c r="B983" s="22" t="s">
        <v>2527</v>
      </c>
      <c r="C983" s="22" t="e">
        <f t="shared" ca="1" si="0"/>
        <v>#NAME?</v>
      </c>
      <c r="D983" s="24" t="s">
        <v>1673</v>
      </c>
      <c r="E983" s="22" t="s">
        <v>180</v>
      </c>
      <c r="F983" s="24" t="s">
        <v>2626</v>
      </c>
      <c r="G983" s="24" t="s">
        <v>2627</v>
      </c>
      <c r="H983" s="24"/>
      <c r="I983" s="24">
        <v>1</v>
      </c>
      <c r="J983" s="24" t="s">
        <v>2372</v>
      </c>
      <c r="K983" s="24"/>
      <c r="L983" s="24"/>
      <c r="M983" s="24"/>
      <c r="N983" s="24"/>
      <c r="O983" s="24"/>
      <c r="P983" s="170"/>
      <c r="Q983" s="170"/>
      <c r="R983" s="169"/>
      <c r="S983" s="164"/>
      <c r="T983" s="164"/>
      <c r="U983" s="164"/>
      <c r="V983" s="193"/>
      <c r="W983" s="194" t="s">
        <v>1673</v>
      </c>
      <c r="X983" s="164"/>
      <c r="Y983" s="164"/>
      <c r="Z983" s="164"/>
      <c r="AA983" s="170"/>
      <c r="AB983" s="164"/>
      <c r="AC983" s="251"/>
      <c r="AD983" s="170"/>
      <c r="AE983" s="225"/>
      <c r="AF983" s="170"/>
      <c r="AG983" s="170"/>
      <c r="AH983" s="251"/>
      <c r="AI983" s="170"/>
      <c r="AJ983" s="164"/>
      <c r="AK983" s="22"/>
      <c r="AL983" s="170"/>
      <c r="AM983" s="170"/>
      <c r="AN983" s="170"/>
      <c r="AO983" s="170"/>
      <c r="AP983" s="170"/>
      <c r="AQ983" s="22"/>
      <c r="AR983" s="22"/>
      <c r="AS983" s="22"/>
      <c r="AT983" s="170"/>
      <c r="AU983" s="170"/>
      <c r="AV983" s="170"/>
      <c r="AW983" s="170"/>
      <c r="AX983" s="170"/>
      <c r="AY983" s="170"/>
      <c r="AZ983" s="170"/>
      <c r="BA983" s="170"/>
      <c r="BB983" s="170"/>
      <c r="BC983" s="170"/>
      <c r="BD983" s="170"/>
      <c r="BE983" s="137" t="s">
        <v>115</v>
      </c>
      <c r="BF983" s="455" t="s">
        <v>942</v>
      </c>
      <c r="BG983" s="167" t="s">
        <v>943</v>
      </c>
      <c r="BH983" s="220"/>
      <c r="BI983" s="220"/>
      <c r="BJ983" s="220"/>
      <c r="BK983" s="46">
        <f t="shared" si="1"/>
        <v>1</v>
      </c>
      <c r="BL983" s="46"/>
      <c r="BM983" s="46"/>
      <c r="BN983" s="46"/>
    </row>
    <row r="984" spans="1:66" ht="12.75" hidden="1" customHeight="1">
      <c r="A984" s="22">
        <v>982</v>
      </c>
      <c r="B984" s="22" t="s">
        <v>2118</v>
      </c>
      <c r="C984" s="22" t="e">
        <f t="shared" ca="1" si="0"/>
        <v>#NAME?</v>
      </c>
      <c r="D984" s="24" t="s">
        <v>1468</v>
      </c>
      <c r="E984" s="22" t="s">
        <v>180</v>
      </c>
      <c r="F984" s="24" t="s">
        <v>2626</v>
      </c>
      <c r="G984" s="24" t="s">
        <v>2627</v>
      </c>
      <c r="H984" s="24"/>
      <c r="I984" s="24">
        <v>1</v>
      </c>
      <c r="J984" s="24" t="s">
        <v>2372</v>
      </c>
      <c r="K984" s="24"/>
      <c r="L984" s="24"/>
      <c r="M984" s="24"/>
      <c r="N984" s="24"/>
      <c r="O984" s="24"/>
      <c r="P984" s="170"/>
      <c r="Q984" s="170"/>
      <c r="R984" s="169"/>
      <c r="S984" s="164"/>
      <c r="T984" s="164"/>
      <c r="U984" s="164"/>
      <c r="V984" s="193"/>
      <c r="W984" s="194" t="s">
        <v>1468</v>
      </c>
      <c r="X984" s="164"/>
      <c r="Y984" s="164"/>
      <c r="Z984" s="164"/>
      <c r="AA984" s="170"/>
      <c r="AB984" s="164"/>
      <c r="AC984" s="251"/>
      <c r="AD984" s="170"/>
      <c r="AE984" s="225"/>
      <c r="AF984" s="170"/>
      <c r="AG984" s="170"/>
      <c r="AH984" s="251"/>
      <c r="AI984" s="170"/>
      <c r="AJ984" s="164"/>
      <c r="AK984" s="22"/>
      <c r="AL984" s="170"/>
      <c r="AM984" s="170"/>
      <c r="AN984" s="170"/>
      <c r="AO984" s="170"/>
      <c r="AP984" s="170"/>
      <c r="AQ984" s="22"/>
      <c r="AR984" s="22"/>
      <c r="AS984" s="22"/>
      <c r="AT984" s="170"/>
      <c r="AU984" s="170"/>
      <c r="AV984" s="170"/>
      <c r="AW984" s="170"/>
      <c r="AX984" s="170"/>
      <c r="AY984" s="170"/>
      <c r="AZ984" s="170"/>
      <c r="BA984" s="170"/>
      <c r="BB984" s="170"/>
      <c r="BC984" s="170"/>
      <c r="BD984" s="170"/>
      <c r="BE984" s="137" t="s">
        <v>115</v>
      </c>
      <c r="BF984" s="455" t="s">
        <v>1469</v>
      </c>
      <c r="BG984" s="167" t="s">
        <v>1470</v>
      </c>
      <c r="BH984" s="220"/>
      <c r="BI984" s="220"/>
      <c r="BJ984" s="220"/>
      <c r="BK984" s="46">
        <f t="shared" si="1"/>
        <v>1</v>
      </c>
      <c r="BL984" s="46"/>
      <c r="BM984" s="46"/>
      <c r="BN984" s="46"/>
    </row>
    <row r="985" spans="1:66" ht="12.75" hidden="1" customHeight="1">
      <c r="A985" s="22">
        <v>983</v>
      </c>
      <c r="B985" s="22" t="s">
        <v>2632</v>
      </c>
      <c r="C985" s="22" t="str">
        <f t="shared" si="0"/>
        <v>Reason Seven-day antibiotic regimen for asymptomatic bacteriuria (ASB) not done</v>
      </c>
      <c r="D985" s="24" t="s">
        <v>2632</v>
      </c>
      <c r="E985" s="22" t="s">
        <v>96</v>
      </c>
      <c r="F985" s="24" t="s">
        <v>1787</v>
      </c>
      <c r="G985" s="24" t="s">
        <v>2627</v>
      </c>
      <c r="H985" s="24"/>
      <c r="I985" s="24">
        <v>1</v>
      </c>
      <c r="J985" s="24" t="s">
        <v>2372</v>
      </c>
      <c r="K985" s="24"/>
      <c r="L985" s="24"/>
      <c r="M985" s="24"/>
      <c r="N985" s="24"/>
      <c r="O985" s="24"/>
      <c r="P985" s="170"/>
      <c r="Q985" s="170"/>
      <c r="R985" s="169" t="s">
        <v>1376</v>
      </c>
      <c r="S985" s="164" t="s">
        <v>2633</v>
      </c>
      <c r="T985" s="164" t="s">
        <v>2634</v>
      </c>
      <c r="U985" s="164" t="s">
        <v>202</v>
      </c>
      <c r="V985" s="163"/>
      <c r="W985" s="163"/>
      <c r="X985" s="164"/>
      <c r="Y985" s="164"/>
      <c r="Z985" s="164"/>
      <c r="AA985" s="170"/>
      <c r="AB985" s="164" t="s">
        <v>113</v>
      </c>
      <c r="AC985" s="251"/>
      <c r="AD985" s="170"/>
      <c r="AE985" s="225"/>
      <c r="AF985" s="170"/>
      <c r="AG985" s="170"/>
      <c r="AH985" s="251"/>
      <c r="AI985" s="170"/>
      <c r="AJ985" s="164" t="s">
        <v>115</v>
      </c>
      <c r="AK985" s="22"/>
      <c r="AL985" s="170"/>
      <c r="AM985" s="170"/>
      <c r="AN985" s="170"/>
      <c r="AO985" s="170"/>
      <c r="AP985" s="170"/>
      <c r="AQ985" s="22"/>
      <c r="AR985" s="22"/>
      <c r="AS985" s="22"/>
      <c r="AT985" s="170"/>
      <c r="AU985" s="170"/>
      <c r="AV985" s="170"/>
      <c r="AW985" s="170"/>
      <c r="AX985" s="170"/>
      <c r="AY985" s="170"/>
      <c r="AZ985" s="170"/>
      <c r="BA985" s="170"/>
      <c r="BB985" s="170"/>
      <c r="BC985" s="170"/>
      <c r="BD985" s="170"/>
      <c r="BE985" s="137" t="s">
        <v>2629</v>
      </c>
      <c r="BF985" s="455" t="s">
        <v>2635</v>
      </c>
      <c r="BG985" s="139" t="s">
        <v>2636</v>
      </c>
      <c r="BH985" s="220"/>
      <c r="BI985" s="220"/>
      <c r="BJ985" s="220"/>
      <c r="BK985" s="46">
        <f t="shared" si="1"/>
        <v>1</v>
      </c>
      <c r="BL985" s="46"/>
      <c r="BM985" s="46"/>
      <c r="BN985" s="46"/>
    </row>
    <row r="986" spans="1:66" ht="12.75" hidden="1" customHeight="1">
      <c r="A986" s="22">
        <v>984</v>
      </c>
      <c r="B986" s="22" t="s">
        <v>2870</v>
      </c>
      <c r="C986" s="22" t="e">
        <f t="shared" ca="1" si="0"/>
        <v>#NAME?</v>
      </c>
      <c r="D986" s="24" t="s">
        <v>1909</v>
      </c>
      <c r="E986" s="22" t="s">
        <v>180</v>
      </c>
      <c r="F986" s="24" t="s">
        <v>2632</v>
      </c>
      <c r="G986" s="24" t="s">
        <v>2627</v>
      </c>
      <c r="H986" s="24"/>
      <c r="I986" s="24">
        <v>1</v>
      </c>
      <c r="J986" s="24" t="s">
        <v>2372</v>
      </c>
      <c r="K986" s="24"/>
      <c r="L986" s="24"/>
      <c r="M986" s="24"/>
      <c r="N986" s="24"/>
      <c r="O986" s="24"/>
      <c r="P986" s="170"/>
      <c r="Q986" s="170"/>
      <c r="R986" s="247"/>
      <c r="S986" s="164"/>
      <c r="T986" s="196"/>
      <c r="U986" s="196"/>
      <c r="V986" s="163"/>
      <c r="W986" s="163" t="s">
        <v>1909</v>
      </c>
      <c r="X986" s="196"/>
      <c r="Y986" s="196"/>
      <c r="Z986" s="196"/>
      <c r="AA986" s="170"/>
      <c r="AB986" s="196"/>
      <c r="AC986" s="251"/>
      <c r="AD986" s="170"/>
      <c r="AE986" s="225"/>
      <c r="AF986" s="170"/>
      <c r="AG986" s="170"/>
      <c r="AH986" s="251"/>
      <c r="AI986" s="170"/>
      <c r="AJ986" s="196"/>
      <c r="AK986" s="22"/>
      <c r="AL986" s="170"/>
      <c r="AM986" s="170"/>
      <c r="AN986" s="170"/>
      <c r="AO986" s="170"/>
      <c r="AP986" s="170"/>
      <c r="AQ986" s="22"/>
      <c r="AR986" s="22"/>
      <c r="AS986" s="22"/>
      <c r="AT986" s="170"/>
      <c r="AU986" s="170"/>
      <c r="AV986" s="170"/>
      <c r="AW986" s="170"/>
      <c r="AX986" s="170"/>
      <c r="AY986" s="170"/>
      <c r="AZ986" s="170"/>
      <c r="BA986" s="170"/>
      <c r="BB986" s="170"/>
      <c r="BC986" s="170"/>
      <c r="BD986" s="170"/>
      <c r="BE986" s="137" t="s">
        <v>115</v>
      </c>
      <c r="BF986" s="457" t="s">
        <v>2637</v>
      </c>
      <c r="BG986" s="167" t="s">
        <v>2638</v>
      </c>
      <c r="BH986" s="220"/>
      <c r="BI986" s="220"/>
      <c r="BJ986" s="220"/>
      <c r="BK986" s="46">
        <f t="shared" si="1"/>
        <v>1</v>
      </c>
      <c r="BL986" s="46"/>
      <c r="BM986" s="46"/>
      <c r="BN986" s="46"/>
    </row>
    <row r="987" spans="1:66" ht="12.75" hidden="1" customHeight="1">
      <c r="A987" s="22">
        <v>985</v>
      </c>
      <c r="B987" s="22" t="s">
        <v>535</v>
      </c>
      <c r="C987" s="22" t="e">
        <f t="shared" ca="1" si="0"/>
        <v>#NAME?</v>
      </c>
      <c r="D987" s="24" t="s">
        <v>405</v>
      </c>
      <c r="E987" s="22" t="s">
        <v>180</v>
      </c>
      <c r="F987" s="24" t="s">
        <v>2632</v>
      </c>
      <c r="G987" s="24" t="s">
        <v>2627</v>
      </c>
      <c r="H987" s="24"/>
      <c r="I987" s="24">
        <v>1</v>
      </c>
      <c r="J987" s="24" t="s">
        <v>2372</v>
      </c>
      <c r="K987" s="24"/>
      <c r="L987" s="24"/>
      <c r="M987" s="24"/>
      <c r="N987" s="24"/>
      <c r="O987" s="24"/>
      <c r="P987" s="170"/>
      <c r="Q987" s="170"/>
      <c r="R987" s="247"/>
      <c r="S987" s="164"/>
      <c r="T987" s="196"/>
      <c r="U987" s="196"/>
      <c r="V987" s="194"/>
      <c r="W987" s="194" t="s">
        <v>405</v>
      </c>
      <c r="X987" s="196"/>
      <c r="Y987" s="196"/>
      <c r="Z987" s="196"/>
      <c r="AA987" s="170"/>
      <c r="AB987" s="196"/>
      <c r="AC987" s="251"/>
      <c r="AD987" s="170"/>
      <c r="AE987" s="225"/>
      <c r="AF987" s="170"/>
      <c r="AG987" s="170"/>
      <c r="AH987" s="251"/>
      <c r="AI987" s="170"/>
      <c r="AJ987" s="196"/>
      <c r="AK987" s="22"/>
      <c r="AL987" s="170"/>
      <c r="AM987" s="170"/>
      <c r="AN987" s="170"/>
      <c r="AO987" s="170"/>
      <c r="AP987" s="170"/>
      <c r="AQ987" s="22"/>
      <c r="AR987" s="22"/>
      <c r="AS987" s="22"/>
      <c r="AT987" s="170"/>
      <c r="AU987" s="170"/>
      <c r="AV987" s="170"/>
      <c r="AW987" s="170"/>
      <c r="AX987" s="170"/>
      <c r="AY987" s="170"/>
      <c r="AZ987" s="170"/>
      <c r="BA987" s="170"/>
      <c r="BB987" s="170"/>
      <c r="BC987" s="170"/>
      <c r="BD987" s="170"/>
      <c r="BE987" s="137" t="s">
        <v>115</v>
      </c>
      <c r="BF987" s="457" t="s">
        <v>406</v>
      </c>
      <c r="BG987" s="167" t="s">
        <v>407</v>
      </c>
      <c r="BH987" s="220"/>
      <c r="BI987" s="220"/>
      <c r="BJ987" s="220"/>
      <c r="BK987" s="46">
        <f t="shared" si="1"/>
        <v>1</v>
      </c>
      <c r="BL987" s="46"/>
      <c r="BM987" s="46"/>
      <c r="BN987" s="46"/>
    </row>
    <row r="988" spans="1:66" ht="12.75" hidden="1" customHeight="1">
      <c r="A988" s="22">
        <v>986</v>
      </c>
      <c r="B988" s="22" t="s">
        <v>2639</v>
      </c>
      <c r="C988" s="22" t="str">
        <f t="shared" si="0"/>
        <v>Specify - Reason Seven-day antibiotic regimen for asymptomatic bacteriuria (ASB) not done</v>
      </c>
      <c r="D988" s="24" t="s">
        <v>2639</v>
      </c>
      <c r="E988" s="22" t="s">
        <v>96</v>
      </c>
      <c r="F988" s="24" t="s">
        <v>1787</v>
      </c>
      <c r="G988" s="24" t="s">
        <v>2627</v>
      </c>
      <c r="H988" s="24"/>
      <c r="I988" s="24">
        <v>1</v>
      </c>
      <c r="J988" s="24" t="s">
        <v>2372</v>
      </c>
      <c r="K988" s="24"/>
      <c r="L988" s="24"/>
      <c r="M988" s="24"/>
      <c r="N988" s="24"/>
      <c r="O988" s="24"/>
      <c r="P988" s="170"/>
      <c r="Q988" s="170"/>
      <c r="R988" s="247" t="s">
        <v>409</v>
      </c>
      <c r="S988" s="164" t="s">
        <v>2640</v>
      </c>
      <c r="T988" s="196" t="s">
        <v>2641</v>
      </c>
      <c r="U988" s="196" t="s">
        <v>111</v>
      </c>
      <c r="V988" s="194"/>
      <c r="W988" s="194"/>
      <c r="X988" s="196"/>
      <c r="Y988" s="196"/>
      <c r="Z988" s="196"/>
      <c r="AA988" s="170"/>
      <c r="AB988" s="196" t="s">
        <v>208</v>
      </c>
      <c r="AC988" s="251"/>
      <c r="AD988" s="170"/>
      <c r="AE988" s="225"/>
      <c r="AF988" s="170"/>
      <c r="AG988" s="170"/>
      <c r="AH988" s="251"/>
      <c r="AI988" s="170"/>
      <c r="AJ988" s="196" t="s">
        <v>115</v>
      </c>
      <c r="AK988" s="22"/>
      <c r="AL988" s="170"/>
      <c r="AM988" s="170"/>
      <c r="AN988" s="170"/>
      <c r="AO988" s="170"/>
      <c r="AP988" s="170"/>
      <c r="AQ988" s="22"/>
      <c r="AR988" s="22"/>
      <c r="AS988" s="22"/>
      <c r="AT988" s="170"/>
      <c r="AU988" s="170"/>
      <c r="AV988" s="170"/>
      <c r="AW988" s="170"/>
      <c r="AX988" s="170"/>
      <c r="AY988" s="170"/>
      <c r="AZ988" s="170"/>
      <c r="BA988" s="170"/>
      <c r="BB988" s="170"/>
      <c r="BC988" s="170"/>
      <c r="BD988" s="170"/>
      <c r="BE988" s="137" t="s">
        <v>2629</v>
      </c>
      <c r="BF988" s="455" t="s">
        <v>2642</v>
      </c>
      <c r="BG988" s="139" t="s">
        <v>2643</v>
      </c>
      <c r="BH988" s="220"/>
      <c r="BI988" s="220"/>
      <c r="BJ988" s="220"/>
      <c r="BK988" s="46">
        <f t="shared" si="1"/>
        <v>1</v>
      </c>
      <c r="BL988" s="46"/>
      <c r="BM988" s="46"/>
      <c r="BN988" s="46"/>
    </row>
    <row r="989" spans="1:66" ht="12.75" hidden="1" customHeight="1">
      <c r="A989" s="22">
        <v>987</v>
      </c>
      <c r="B989" s="22" t="s">
        <v>2644</v>
      </c>
      <c r="C989" s="22" t="str">
        <f t="shared" si="0"/>
        <v>antibiotic</v>
      </c>
      <c r="D989" s="24" t="s">
        <v>2644</v>
      </c>
      <c r="E989" s="22" t="s">
        <v>65</v>
      </c>
      <c r="F989" s="24" t="s">
        <v>1787</v>
      </c>
      <c r="G989" s="24" t="s">
        <v>2627</v>
      </c>
      <c r="H989" s="24"/>
      <c r="I989" s="24">
        <v>1</v>
      </c>
      <c r="J989" s="24" t="s">
        <v>2372</v>
      </c>
      <c r="K989" s="24"/>
      <c r="L989" s="24"/>
      <c r="M989" s="24"/>
      <c r="N989" s="24"/>
      <c r="O989" s="24"/>
      <c r="P989" s="170"/>
      <c r="Q989" s="170"/>
      <c r="R989" s="462" t="s">
        <v>115</v>
      </c>
      <c r="S989" s="280" t="s">
        <v>2644</v>
      </c>
      <c r="T989" s="280" t="s">
        <v>2645</v>
      </c>
      <c r="U989" s="280" t="s">
        <v>65</v>
      </c>
      <c r="V989" s="194"/>
      <c r="W989" s="194"/>
      <c r="X989" s="280" t="s">
        <v>2646</v>
      </c>
      <c r="Y989" s="280"/>
      <c r="Z989" s="196"/>
      <c r="AA989" s="170"/>
      <c r="AB989" s="280" t="s">
        <v>115</v>
      </c>
      <c r="AC989" s="251"/>
      <c r="AD989" s="170"/>
      <c r="AE989" s="225"/>
      <c r="AF989" s="170"/>
      <c r="AG989" s="170"/>
      <c r="AH989" s="251"/>
      <c r="AI989" s="170"/>
      <c r="AJ989" s="280" t="s">
        <v>115</v>
      </c>
      <c r="AK989" s="22"/>
      <c r="AL989" s="170"/>
      <c r="AM989" s="170"/>
      <c r="AN989" s="170"/>
      <c r="AO989" s="170"/>
      <c r="AP989" s="170"/>
      <c r="AQ989" s="22"/>
      <c r="AR989" s="22"/>
      <c r="AS989" s="22"/>
      <c r="AT989" s="170"/>
      <c r="AU989" s="170"/>
      <c r="AV989" s="170"/>
      <c r="AW989" s="170"/>
      <c r="AX989" s="170"/>
      <c r="AY989" s="170"/>
      <c r="AZ989" s="170"/>
      <c r="BA989" s="170"/>
      <c r="BB989" s="170"/>
      <c r="BC989" s="170"/>
      <c r="BD989" s="170"/>
      <c r="BE989" s="137" t="s">
        <v>115</v>
      </c>
      <c r="BF989" s="137" t="s">
        <v>115</v>
      </c>
      <c r="BG989" s="139" t="s">
        <v>115</v>
      </c>
      <c r="BH989" s="220"/>
      <c r="BI989" s="220"/>
      <c r="BJ989" s="220"/>
      <c r="BK989" s="46">
        <f t="shared" si="1"/>
        <v>1</v>
      </c>
      <c r="BL989" s="46"/>
      <c r="BM989" s="46"/>
      <c r="BN989" s="46"/>
    </row>
    <row r="990" spans="1:66" ht="12.75" hidden="1" customHeight="1">
      <c r="A990" s="22">
        <v>988</v>
      </c>
      <c r="B990" s="22" t="s">
        <v>2647</v>
      </c>
      <c r="C990" s="22" t="str">
        <f t="shared" si="0"/>
        <v>Diabetes counseling</v>
      </c>
      <c r="D990" s="24" t="s">
        <v>2647</v>
      </c>
      <c r="E990" s="22" t="s">
        <v>96</v>
      </c>
      <c r="F990" s="24" t="s">
        <v>1787</v>
      </c>
      <c r="G990" s="24" t="s">
        <v>2648</v>
      </c>
      <c r="H990" s="24"/>
      <c r="I990" s="24">
        <v>1</v>
      </c>
      <c r="J990" s="24" t="s">
        <v>2372</v>
      </c>
      <c r="K990" s="24"/>
      <c r="L990" s="24"/>
      <c r="M990" s="24"/>
      <c r="N990" s="24"/>
      <c r="O990" s="24"/>
      <c r="P990" s="170"/>
      <c r="Q990" s="170"/>
      <c r="R990" s="162" t="s">
        <v>2647</v>
      </c>
      <c r="S990" s="164" t="s">
        <v>2649</v>
      </c>
      <c r="T990" s="164"/>
      <c r="U990" s="164" t="s">
        <v>202</v>
      </c>
      <c r="V990" s="193"/>
      <c r="W990" s="194"/>
      <c r="X990" s="164"/>
      <c r="Y990" s="164"/>
      <c r="Z990" s="164"/>
      <c r="AA990" s="170"/>
      <c r="AB990" s="164" t="s">
        <v>208</v>
      </c>
      <c r="AC990" s="251"/>
      <c r="AD990" s="170"/>
      <c r="AE990" s="225"/>
      <c r="AF990" s="170"/>
      <c r="AG990" s="170"/>
      <c r="AH990" s="251"/>
      <c r="AI990" s="170"/>
      <c r="AJ990" s="194" t="s">
        <v>2375</v>
      </c>
      <c r="AK990" s="22"/>
      <c r="AL990" s="170"/>
      <c r="AM990" s="170"/>
      <c r="AN990" s="170"/>
      <c r="AO990" s="170"/>
      <c r="AP990" s="170"/>
      <c r="AQ990" s="22"/>
      <c r="AR990" s="22"/>
      <c r="AS990" s="22"/>
      <c r="AT990" s="170"/>
      <c r="AU990" s="170"/>
      <c r="AV990" s="170"/>
      <c r="AW990" s="170"/>
      <c r="AX990" s="170"/>
      <c r="AY990" s="170"/>
      <c r="AZ990" s="170"/>
      <c r="BA990" s="170"/>
      <c r="BB990" s="170"/>
      <c r="BC990" s="170"/>
      <c r="BD990" s="170"/>
      <c r="BE990" s="137" t="s">
        <v>2650</v>
      </c>
      <c r="BF990" s="455" t="s">
        <v>2398</v>
      </c>
      <c r="BG990" s="139" t="s">
        <v>2399</v>
      </c>
      <c r="BH990" s="220"/>
      <c r="BI990" s="220"/>
      <c r="BJ990" s="220"/>
      <c r="BK990" s="46">
        <f t="shared" si="1"/>
        <v>1</v>
      </c>
      <c r="BL990" s="46"/>
      <c r="BM990" s="46"/>
      <c r="BN990" s="46"/>
    </row>
    <row r="991" spans="1:66" ht="12.75" hidden="1" customHeight="1">
      <c r="A991" s="22">
        <v>989</v>
      </c>
      <c r="B991" s="22" t="s">
        <v>2527</v>
      </c>
      <c r="C991" s="22" t="e">
        <f t="shared" ca="1" si="0"/>
        <v>#NAME?</v>
      </c>
      <c r="D991" s="24" t="s">
        <v>1673</v>
      </c>
      <c r="E991" s="22" t="s">
        <v>180</v>
      </c>
      <c r="F991" s="24" t="s">
        <v>2647</v>
      </c>
      <c r="G991" s="24" t="s">
        <v>2648</v>
      </c>
      <c r="H991" s="24"/>
      <c r="I991" s="24">
        <v>1</v>
      </c>
      <c r="J991" s="24" t="s">
        <v>2372</v>
      </c>
      <c r="K991" s="24"/>
      <c r="L991" s="24"/>
      <c r="M991" s="24"/>
      <c r="N991" s="24"/>
      <c r="O991" s="24"/>
      <c r="P991" s="170"/>
      <c r="Q991" s="170"/>
      <c r="R991" s="162"/>
      <c r="S991" s="164"/>
      <c r="T991" s="164"/>
      <c r="U991" s="164"/>
      <c r="V991" s="193"/>
      <c r="W991" s="194" t="s">
        <v>1673</v>
      </c>
      <c r="X991" s="164"/>
      <c r="Y991" s="164"/>
      <c r="Z991" s="164"/>
      <c r="AA991" s="170"/>
      <c r="AB991" s="164"/>
      <c r="AC991" s="251"/>
      <c r="AD991" s="170"/>
      <c r="AE991" s="225"/>
      <c r="AF991" s="170"/>
      <c r="AG991" s="170"/>
      <c r="AH991" s="251"/>
      <c r="AI991" s="170"/>
      <c r="AJ991" s="194"/>
      <c r="AK991" s="22"/>
      <c r="AL991" s="170"/>
      <c r="AM991" s="170"/>
      <c r="AN991" s="170"/>
      <c r="AO991" s="170"/>
      <c r="AP991" s="170"/>
      <c r="AQ991" s="22"/>
      <c r="AR991" s="22"/>
      <c r="AS991" s="22"/>
      <c r="AT991" s="170"/>
      <c r="AU991" s="170"/>
      <c r="AV991" s="170"/>
      <c r="AW991" s="170"/>
      <c r="AX991" s="170"/>
      <c r="AY991" s="170"/>
      <c r="AZ991" s="170"/>
      <c r="BA991" s="170"/>
      <c r="BB991" s="170"/>
      <c r="BC991" s="170"/>
      <c r="BD991" s="170"/>
      <c r="BE991" s="137" t="s">
        <v>115</v>
      </c>
      <c r="BF991" s="455" t="s">
        <v>942</v>
      </c>
      <c r="BG991" s="167" t="s">
        <v>943</v>
      </c>
      <c r="BH991" s="220"/>
      <c r="BI991" s="220"/>
      <c r="BJ991" s="220"/>
      <c r="BK991" s="46">
        <f t="shared" si="1"/>
        <v>1</v>
      </c>
      <c r="BL991" s="46"/>
      <c r="BM991" s="46"/>
      <c r="BN991" s="46"/>
    </row>
    <row r="992" spans="1:66" ht="12.75" hidden="1" customHeight="1">
      <c r="A992" s="22">
        <v>990</v>
      </c>
      <c r="B992" s="22" t="s">
        <v>2118</v>
      </c>
      <c r="C992" s="22" t="e">
        <f t="shared" ca="1" si="0"/>
        <v>#NAME?</v>
      </c>
      <c r="D992" s="24" t="s">
        <v>1468</v>
      </c>
      <c r="E992" s="22" t="s">
        <v>180</v>
      </c>
      <c r="F992" s="24" t="s">
        <v>2647</v>
      </c>
      <c r="G992" s="24" t="s">
        <v>2648</v>
      </c>
      <c r="H992" s="24"/>
      <c r="I992" s="24">
        <v>1</v>
      </c>
      <c r="J992" s="24" t="s">
        <v>2372</v>
      </c>
      <c r="K992" s="24"/>
      <c r="L992" s="24"/>
      <c r="M992" s="24"/>
      <c r="N992" s="24"/>
      <c r="O992" s="24"/>
      <c r="P992" s="170"/>
      <c r="Q992" s="170"/>
      <c r="R992" s="162"/>
      <c r="S992" s="164"/>
      <c r="T992" s="164"/>
      <c r="U992" s="164"/>
      <c r="V992" s="193"/>
      <c r="W992" s="194" t="s">
        <v>1468</v>
      </c>
      <c r="X992" s="164"/>
      <c r="Y992" s="164"/>
      <c r="Z992" s="164"/>
      <c r="AA992" s="170"/>
      <c r="AB992" s="164"/>
      <c r="AC992" s="251"/>
      <c r="AD992" s="170"/>
      <c r="AE992" s="225"/>
      <c r="AF992" s="170"/>
      <c r="AG992" s="170"/>
      <c r="AH992" s="251"/>
      <c r="AI992" s="170"/>
      <c r="AJ992" s="194"/>
      <c r="AK992" s="22"/>
      <c r="AL992" s="170"/>
      <c r="AM992" s="170"/>
      <c r="AN992" s="170"/>
      <c r="AO992" s="170"/>
      <c r="AP992" s="170"/>
      <c r="AQ992" s="22"/>
      <c r="AR992" s="22"/>
      <c r="AS992" s="22"/>
      <c r="AT992" s="170"/>
      <c r="AU992" s="170"/>
      <c r="AV992" s="170"/>
      <c r="AW992" s="170"/>
      <c r="AX992" s="170"/>
      <c r="AY992" s="170"/>
      <c r="AZ992" s="170"/>
      <c r="BA992" s="170"/>
      <c r="BB992" s="170"/>
      <c r="BC992" s="170"/>
      <c r="BD992" s="170"/>
      <c r="BE992" s="137" t="s">
        <v>115</v>
      </c>
      <c r="BF992" s="455" t="s">
        <v>1469</v>
      </c>
      <c r="BG992" s="167" t="s">
        <v>1470</v>
      </c>
      <c r="BH992" s="220"/>
      <c r="BI992" s="220"/>
      <c r="BJ992" s="220"/>
      <c r="BK992" s="46">
        <f t="shared" si="1"/>
        <v>1</v>
      </c>
      <c r="BL992" s="46"/>
      <c r="BM992" s="46"/>
      <c r="BN992" s="46"/>
    </row>
    <row r="993" spans="1:66" ht="12.75" hidden="1" customHeight="1">
      <c r="A993" s="22">
        <v>991</v>
      </c>
      <c r="B993" s="22" t="s">
        <v>2652</v>
      </c>
      <c r="C993" s="22" t="str">
        <f t="shared" si="0"/>
        <v>Prescribe daily dose of 120 mg iron and 2.8 mg folic acid</v>
      </c>
      <c r="D993" s="24" t="s">
        <v>2652</v>
      </c>
      <c r="E993" s="22" t="s">
        <v>96</v>
      </c>
      <c r="F993" s="24" t="s">
        <v>1787</v>
      </c>
      <c r="G993" s="24" t="s">
        <v>2653</v>
      </c>
      <c r="H993" s="24"/>
      <c r="I993" s="24">
        <v>1</v>
      </c>
      <c r="J993" s="24" t="s">
        <v>2372</v>
      </c>
      <c r="K993" s="24"/>
      <c r="L993" s="24"/>
      <c r="M993" s="24"/>
      <c r="N993" s="24"/>
      <c r="O993" s="24"/>
      <c r="P993" s="170"/>
      <c r="Q993" s="170"/>
      <c r="R993" s="162" t="s">
        <v>2652</v>
      </c>
      <c r="S993" s="164" t="s">
        <v>2654</v>
      </c>
      <c r="T993" s="164"/>
      <c r="U993" s="164" t="s">
        <v>202</v>
      </c>
      <c r="V993" s="193"/>
      <c r="W993" s="194"/>
      <c r="X993" s="164"/>
      <c r="Y993" s="164"/>
      <c r="Z993" s="164"/>
      <c r="AA993" s="170"/>
      <c r="AB993" s="164" t="s">
        <v>113</v>
      </c>
      <c r="AC993" s="251"/>
      <c r="AD993" s="170"/>
      <c r="AE993" s="225"/>
      <c r="AF993" s="170"/>
      <c r="AG993" s="170"/>
      <c r="AH993" s="251"/>
      <c r="AI993" s="170"/>
      <c r="AJ993" s="164" t="s">
        <v>2656</v>
      </c>
      <c r="AK993" s="22"/>
      <c r="AL993" s="170"/>
      <c r="AM993" s="170"/>
      <c r="AN993" s="170"/>
      <c r="AO993" s="170"/>
      <c r="AP993" s="170"/>
      <c r="AQ993" s="22"/>
      <c r="AR993" s="22"/>
      <c r="AS993" s="22"/>
      <c r="AT993" s="170"/>
      <c r="AU993" s="170"/>
      <c r="AV993" s="170"/>
      <c r="AW993" s="170"/>
      <c r="AX993" s="170"/>
      <c r="AY993" s="170"/>
      <c r="AZ993" s="170"/>
      <c r="BA993" s="170"/>
      <c r="BB993" s="170"/>
      <c r="BC993" s="170"/>
      <c r="BD993" s="170"/>
      <c r="BE993" s="137" t="s">
        <v>2657</v>
      </c>
      <c r="BF993" s="455" t="s">
        <v>2630</v>
      </c>
      <c r="BG993" s="139" t="s">
        <v>2631</v>
      </c>
      <c r="BH993" s="220"/>
      <c r="BI993" s="220"/>
      <c r="BJ993" s="220"/>
      <c r="BK993" s="46">
        <f t="shared" si="1"/>
        <v>1</v>
      </c>
      <c r="BL993" s="46"/>
      <c r="BM993" s="46"/>
      <c r="BN993" s="46"/>
    </row>
    <row r="994" spans="1:66" ht="12.75" hidden="1" customHeight="1">
      <c r="A994" s="22">
        <v>992</v>
      </c>
      <c r="B994" s="22" t="s">
        <v>2527</v>
      </c>
      <c r="C994" s="22" t="e">
        <f t="shared" ca="1" si="0"/>
        <v>#NAME?</v>
      </c>
      <c r="D994" s="24" t="s">
        <v>1673</v>
      </c>
      <c r="E994" s="22" t="s">
        <v>180</v>
      </c>
      <c r="F994" s="24" t="s">
        <v>2652</v>
      </c>
      <c r="G994" s="24" t="s">
        <v>2653</v>
      </c>
      <c r="H994" s="24"/>
      <c r="I994" s="24">
        <v>1</v>
      </c>
      <c r="J994" s="24" t="s">
        <v>2372</v>
      </c>
      <c r="K994" s="24"/>
      <c r="L994" s="24"/>
      <c r="M994" s="24"/>
      <c r="N994" s="24"/>
      <c r="O994" s="24"/>
      <c r="P994" s="170"/>
      <c r="Q994" s="170"/>
      <c r="R994" s="169"/>
      <c r="S994" s="164"/>
      <c r="T994" s="164"/>
      <c r="U994" s="164"/>
      <c r="V994" s="193"/>
      <c r="W994" s="194" t="s">
        <v>1673</v>
      </c>
      <c r="X994" s="164"/>
      <c r="Y994" s="164"/>
      <c r="Z994" s="164"/>
      <c r="AA994" s="170"/>
      <c r="AB994" s="164"/>
      <c r="AC994" s="251"/>
      <c r="AD994" s="170"/>
      <c r="AE994" s="225"/>
      <c r="AF994" s="170"/>
      <c r="AG994" s="170"/>
      <c r="AH994" s="251"/>
      <c r="AI994" s="170"/>
      <c r="AJ994" s="164"/>
      <c r="AK994" s="22"/>
      <c r="AL994" s="170"/>
      <c r="AM994" s="170"/>
      <c r="AN994" s="170"/>
      <c r="AO994" s="170"/>
      <c r="AP994" s="170"/>
      <c r="AQ994" s="22"/>
      <c r="AR994" s="22"/>
      <c r="AS994" s="22"/>
      <c r="AT994" s="170"/>
      <c r="AU994" s="170"/>
      <c r="AV994" s="170"/>
      <c r="AW994" s="170"/>
      <c r="AX994" s="170"/>
      <c r="AY994" s="170"/>
      <c r="AZ994" s="170"/>
      <c r="BA994" s="170"/>
      <c r="BB994" s="170"/>
      <c r="BC994" s="170"/>
      <c r="BD994" s="170"/>
      <c r="BE994" s="137" t="s">
        <v>115</v>
      </c>
      <c r="BF994" s="455" t="s">
        <v>942</v>
      </c>
      <c r="BG994" s="167" t="s">
        <v>943</v>
      </c>
      <c r="BH994" s="220"/>
      <c r="BI994" s="220"/>
      <c r="BJ994" s="220"/>
      <c r="BK994" s="46">
        <f t="shared" si="1"/>
        <v>1</v>
      </c>
      <c r="BL994" s="46"/>
      <c r="BM994" s="46"/>
      <c r="BN994" s="46"/>
    </row>
    <row r="995" spans="1:66" ht="12.75" hidden="1" customHeight="1">
      <c r="A995" s="22">
        <v>993</v>
      </c>
      <c r="B995" s="22" t="s">
        <v>2118</v>
      </c>
      <c r="C995" s="22" t="e">
        <f t="shared" ca="1" si="0"/>
        <v>#NAME?</v>
      </c>
      <c r="D995" s="24" t="s">
        <v>1468</v>
      </c>
      <c r="E995" s="22" t="s">
        <v>180</v>
      </c>
      <c r="F995" s="24" t="s">
        <v>2652</v>
      </c>
      <c r="G995" s="24" t="s">
        <v>2653</v>
      </c>
      <c r="H995" s="24"/>
      <c r="I995" s="24">
        <v>1</v>
      </c>
      <c r="J995" s="24" t="s">
        <v>2372</v>
      </c>
      <c r="K995" s="24"/>
      <c r="L995" s="24"/>
      <c r="M995" s="24"/>
      <c r="N995" s="24"/>
      <c r="O995" s="24"/>
      <c r="P995" s="170"/>
      <c r="Q995" s="170"/>
      <c r="R995" s="169"/>
      <c r="S995" s="164"/>
      <c r="T995" s="164"/>
      <c r="U995" s="164"/>
      <c r="V995" s="193"/>
      <c r="W995" s="194" t="s">
        <v>1468</v>
      </c>
      <c r="X995" s="164"/>
      <c r="Y995" s="164"/>
      <c r="Z995" s="164"/>
      <c r="AA995" s="170"/>
      <c r="AB995" s="164"/>
      <c r="AC995" s="251"/>
      <c r="AD995" s="170"/>
      <c r="AE995" s="225"/>
      <c r="AF995" s="170"/>
      <c r="AG995" s="170"/>
      <c r="AH995" s="251"/>
      <c r="AI995" s="170"/>
      <c r="AJ995" s="164"/>
      <c r="AK995" s="22"/>
      <c r="AL995" s="170"/>
      <c r="AM995" s="170"/>
      <c r="AN995" s="170"/>
      <c r="AO995" s="170"/>
      <c r="AP995" s="170"/>
      <c r="AQ995" s="22"/>
      <c r="AR995" s="22"/>
      <c r="AS995" s="22"/>
      <c r="AT995" s="170"/>
      <c r="AU995" s="170"/>
      <c r="AV995" s="170"/>
      <c r="AW995" s="170"/>
      <c r="AX995" s="170"/>
      <c r="AY995" s="170"/>
      <c r="AZ995" s="170"/>
      <c r="BA995" s="170"/>
      <c r="BB995" s="170"/>
      <c r="BC995" s="170"/>
      <c r="BD995" s="170"/>
      <c r="BE995" s="137" t="s">
        <v>115</v>
      </c>
      <c r="BF995" s="455" t="s">
        <v>1469</v>
      </c>
      <c r="BG995" s="167" t="s">
        <v>1470</v>
      </c>
      <c r="BH995" s="220"/>
      <c r="BI995" s="220"/>
      <c r="BJ995" s="220"/>
      <c r="BK995" s="46">
        <f t="shared" si="1"/>
        <v>1</v>
      </c>
      <c r="BL995" s="46"/>
      <c r="BM995" s="46"/>
      <c r="BN995" s="46"/>
    </row>
    <row r="996" spans="1:66" ht="12.75" hidden="1" customHeight="1">
      <c r="A996" s="22">
        <v>994</v>
      </c>
      <c r="B996" s="22" t="s">
        <v>2658</v>
      </c>
      <c r="C996" s="22" t="str">
        <f t="shared" si="0"/>
        <v>Reason Prescribe daily dose of 120 mg iron and 2.8 mg folic acid not done</v>
      </c>
      <c r="D996" s="24" t="s">
        <v>2658</v>
      </c>
      <c r="E996" s="22" t="s">
        <v>96</v>
      </c>
      <c r="F996" s="24" t="s">
        <v>1787</v>
      </c>
      <c r="G996" s="24" t="s">
        <v>2653</v>
      </c>
      <c r="H996" s="24"/>
      <c r="I996" s="24">
        <v>1</v>
      </c>
      <c r="J996" s="24" t="s">
        <v>2372</v>
      </c>
      <c r="K996" s="24"/>
      <c r="L996" s="24"/>
      <c r="M996" s="24"/>
      <c r="N996" s="24"/>
      <c r="O996" s="24"/>
      <c r="P996" s="170"/>
      <c r="Q996" s="170"/>
      <c r="R996" s="169" t="s">
        <v>1376</v>
      </c>
      <c r="S996" s="164" t="s">
        <v>2659</v>
      </c>
      <c r="T996" s="164" t="s">
        <v>2660</v>
      </c>
      <c r="U996" s="164" t="s">
        <v>238</v>
      </c>
      <c r="V996" s="163"/>
      <c r="W996" s="163"/>
      <c r="X996" s="164"/>
      <c r="Y996" s="164"/>
      <c r="Z996" s="164"/>
      <c r="AA996" s="170"/>
      <c r="AB996" s="164" t="s">
        <v>113</v>
      </c>
      <c r="AC996" s="251"/>
      <c r="AD996" s="170"/>
      <c r="AE996" s="225"/>
      <c r="AF996" s="170"/>
      <c r="AG996" s="170"/>
      <c r="AH996" s="251"/>
      <c r="AI996" s="170"/>
      <c r="AJ996" s="164" t="s">
        <v>115</v>
      </c>
      <c r="AK996" s="22"/>
      <c r="AL996" s="170"/>
      <c r="AM996" s="170"/>
      <c r="AN996" s="170"/>
      <c r="AO996" s="170"/>
      <c r="AP996" s="170"/>
      <c r="AQ996" s="22"/>
      <c r="AR996" s="22"/>
      <c r="AS996" s="22"/>
      <c r="AT996" s="170"/>
      <c r="AU996" s="170"/>
      <c r="AV996" s="170"/>
      <c r="AW996" s="170"/>
      <c r="AX996" s="170"/>
      <c r="AY996" s="170"/>
      <c r="AZ996" s="170"/>
      <c r="BA996" s="170"/>
      <c r="BB996" s="170"/>
      <c r="BC996" s="170"/>
      <c r="BD996" s="170"/>
      <c r="BE996" s="137" t="s">
        <v>2657</v>
      </c>
      <c r="BF996" s="455" t="s">
        <v>2635</v>
      </c>
      <c r="BG996" s="139" t="s">
        <v>2636</v>
      </c>
      <c r="BH996" s="220"/>
      <c r="BI996" s="220"/>
      <c r="BJ996" s="220"/>
      <c r="BK996" s="46">
        <f t="shared" si="1"/>
        <v>1</v>
      </c>
      <c r="BL996" s="46"/>
      <c r="BM996" s="46"/>
      <c r="BN996" s="46"/>
    </row>
    <row r="997" spans="1:66" ht="12.75" hidden="1" customHeight="1">
      <c r="A997" s="22">
        <v>995</v>
      </c>
      <c r="B997" s="22" t="s">
        <v>3616</v>
      </c>
      <c r="C997" s="22" t="e">
        <f t="shared" ca="1" si="0"/>
        <v>#NAME?</v>
      </c>
      <c r="D997" s="24" t="s">
        <v>2405</v>
      </c>
      <c r="E997" s="22" t="s">
        <v>180</v>
      </c>
      <c r="F997" s="24" t="s">
        <v>2658</v>
      </c>
      <c r="G997" s="24" t="s">
        <v>2653</v>
      </c>
      <c r="H997" s="24"/>
      <c r="I997" s="24">
        <v>1</v>
      </c>
      <c r="J997" s="24" t="s">
        <v>2372</v>
      </c>
      <c r="K997" s="24"/>
      <c r="L997" s="24"/>
      <c r="M997" s="24"/>
      <c r="N997" s="24"/>
      <c r="O997" s="24"/>
      <c r="P997" s="170"/>
      <c r="Q997" s="170"/>
      <c r="R997" s="247"/>
      <c r="S997" s="164"/>
      <c r="T997" s="196"/>
      <c r="U997" s="196"/>
      <c r="V997" s="163"/>
      <c r="W997" s="163" t="s">
        <v>2405</v>
      </c>
      <c r="X997" s="196"/>
      <c r="Y997" s="196"/>
      <c r="Z997" s="196"/>
      <c r="AA997" s="170"/>
      <c r="AB997" s="196"/>
      <c r="AC997" s="251"/>
      <c r="AD997" s="170"/>
      <c r="AE997" s="225"/>
      <c r="AF997" s="170"/>
      <c r="AG997" s="170"/>
      <c r="AH997" s="251"/>
      <c r="AI997" s="170"/>
      <c r="AJ997" s="196"/>
      <c r="AK997" s="22"/>
      <c r="AL997" s="170"/>
      <c r="AM997" s="170"/>
      <c r="AN997" s="170"/>
      <c r="AO997" s="170"/>
      <c r="AP997" s="170"/>
      <c r="AQ997" s="22"/>
      <c r="AR997" s="22"/>
      <c r="AS997" s="22"/>
      <c r="AT997" s="170"/>
      <c r="AU997" s="170"/>
      <c r="AV997" s="170"/>
      <c r="AW997" s="170"/>
      <c r="AX997" s="170"/>
      <c r="AY997" s="170"/>
      <c r="AZ997" s="170"/>
      <c r="BA997" s="170"/>
      <c r="BB997" s="170"/>
      <c r="BC997" s="170"/>
      <c r="BD997" s="170"/>
      <c r="BE997" s="137" t="s">
        <v>115</v>
      </c>
      <c r="BF997" s="457" t="s">
        <v>2406</v>
      </c>
      <c r="BG997" s="167" t="s">
        <v>2407</v>
      </c>
      <c r="BH997" s="220"/>
      <c r="BI997" s="220"/>
      <c r="BJ997" s="220"/>
      <c r="BK997" s="46">
        <f t="shared" si="1"/>
        <v>1</v>
      </c>
      <c r="BL997" s="46"/>
      <c r="BM997" s="46"/>
      <c r="BN997" s="46"/>
    </row>
    <row r="998" spans="1:66" ht="12.75" hidden="1" customHeight="1">
      <c r="A998" s="22">
        <v>996</v>
      </c>
      <c r="B998" s="22" t="s">
        <v>4048</v>
      </c>
      <c r="C998" s="22" t="e">
        <f t="shared" ca="1" si="0"/>
        <v>#NAME?</v>
      </c>
      <c r="D998" s="24" t="s">
        <v>2662</v>
      </c>
      <c r="E998" s="22" t="s">
        <v>180</v>
      </c>
      <c r="F998" s="24" t="s">
        <v>2658</v>
      </c>
      <c r="G998" s="24" t="s">
        <v>2653</v>
      </c>
      <c r="H998" s="24"/>
      <c r="I998" s="24">
        <v>1</v>
      </c>
      <c r="J998" s="24" t="s">
        <v>2372</v>
      </c>
      <c r="K998" s="24"/>
      <c r="L998" s="24"/>
      <c r="M998" s="24"/>
      <c r="N998" s="24"/>
      <c r="O998" s="24"/>
      <c r="P998" s="170"/>
      <c r="Q998" s="170"/>
      <c r="R998" s="247"/>
      <c r="S998" s="164"/>
      <c r="T998" s="196"/>
      <c r="U998" s="196"/>
      <c r="V998" s="194"/>
      <c r="W998" s="194" t="s">
        <v>2662</v>
      </c>
      <c r="X998" s="196"/>
      <c r="Y998" s="196"/>
      <c r="Z998" s="196"/>
      <c r="AA998" s="170"/>
      <c r="AB998" s="196"/>
      <c r="AC998" s="251"/>
      <c r="AD998" s="170"/>
      <c r="AE998" s="225"/>
      <c r="AF998" s="170"/>
      <c r="AG998" s="170"/>
      <c r="AH998" s="251"/>
      <c r="AI998" s="170"/>
      <c r="AJ998" s="196"/>
      <c r="AK998" s="22"/>
      <c r="AL998" s="170"/>
      <c r="AM998" s="170"/>
      <c r="AN998" s="170"/>
      <c r="AO998" s="170"/>
      <c r="AP998" s="170"/>
      <c r="AQ998" s="22"/>
      <c r="AR998" s="22"/>
      <c r="AS998" s="22"/>
      <c r="AT998" s="170"/>
      <c r="AU998" s="170"/>
      <c r="AV998" s="170"/>
      <c r="AW998" s="170"/>
      <c r="AX998" s="170"/>
      <c r="AY998" s="170"/>
      <c r="AZ998" s="170"/>
      <c r="BA998" s="170"/>
      <c r="BB998" s="170"/>
      <c r="BC998" s="170"/>
      <c r="BD998" s="170"/>
      <c r="BE998" s="137" t="s">
        <v>115</v>
      </c>
      <c r="BF998" s="457" t="s">
        <v>1166</v>
      </c>
      <c r="BG998" s="167" t="s">
        <v>1167</v>
      </c>
      <c r="BH998" s="220"/>
      <c r="BI998" s="220"/>
      <c r="BJ998" s="220"/>
      <c r="BK998" s="46">
        <f t="shared" si="1"/>
        <v>1</v>
      </c>
      <c r="BL998" s="46"/>
      <c r="BM998" s="46"/>
      <c r="BN998" s="46"/>
    </row>
    <row r="999" spans="1:66" ht="12.75" hidden="1" customHeight="1">
      <c r="A999" s="22">
        <v>997</v>
      </c>
      <c r="B999" s="22" t="s">
        <v>535</v>
      </c>
      <c r="C999" s="22" t="e">
        <f t="shared" ca="1" si="0"/>
        <v>#NAME?</v>
      </c>
      <c r="D999" s="24" t="s">
        <v>405</v>
      </c>
      <c r="E999" s="22" t="s">
        <v>180</v>
      </c>
      <c r="F999" s="24" t="s">
        <v>2658</v>
      </c>
      <c r="G999" s="24" t="s">
        <v>2653</v>
      </c>
      <c r="H999" s="24"/>
      <c r="I999" s="24">
        <v>1</v>
      </c>
      <c r="J999" s="24" t="s">
        <v>2372</v>
      </c>
      <c r="K999" s="24"/>
      <c r="L999" s="24"/>
      <c r="M999" s="24"/>
      <c r="N999" s="24"/>
      <c r="O999" s="24"/>
      <c r="P999" s="170"/>
      <c r="Q999" s="170"/>
      <c r="R999" s="247"/>
      <c r="S999" s="164"/>
      <c r="T999" s="196"/>
      <c r="U999" s="196"/>
      <c r="V999" s="194"/>
      <c r="W999" s="194" t="s">
        <v>405</v>
      </c>
      <c r="X999" s="196"/>
      <c r="Y999" s="196"/>
      <c r="Z999" s="196"/>
      <c r="AA999" s="170"/>
      <c r="AB999" s="196"/>
      <c r="AC999" s="251"/>
      <c r="AD999" s="170"/>
      <c r="AE999" s="225"/>
      <c r="AF999" s="170"/>
      <c r="AG999" s="170"/>
      <c r="AH999" s="251"/>
      <c r="AI999" s="170"/>
      <c r="AJ999" s="196"/>
      <c r="AK999" s="22"/>
      <c r="AL999" s="170"/>
      <c r="AM999" s="170"/>
      <c r="AN999" s="170"/>
      <c r="AO999" s="170"/>
      <c r="AP999" s="170"/>
      <c r="AQ999" s="22"/>
      <c r="AR999" s="22"/>
      <c r="AS999" s="22"/>
      <c r="AT999" s="170"/>
      <c r="AU999" s="170"/>
      <c r="AV999" s="170"/>
      <c r="AW999" s="170"/>
      <c r="AX999" s="170"/>
      <c r="AY999" s="170"/>
      <c r="AZ999" s="170"/>
      <c r="BA999" s="170"/>
      <c r="BB999" s="170"/>
      <c r="BC999" s="170"/>
      <c r="BD999" s="170"/>
      <c r="BE999" s="137" t="s">
        <v>115</v>
      </c>
      <c r="BF999" s="457" t="s">
        <v>406</v>
      </c>
      <c r="BG999" s="167" t="s">
        <v>407</v>
      </c>
      <c r="BH999" s="220"/>
      <c r="BI999" s="220"/>
      <c r="BJ999" s="220"/>
      <c r="BK999" s="46">
        <f t="shared" si="1"/>
        <v>1</v>
      </c>
      <c r="BL999" s="46"/>
      <c r="BM999" s="46"/>
      <c r="BN999" s="46"/>
    </row>
    <row r="1000" spans="1:66" ht="12.75" hidden="1" customHeight="1">
      <c r="A1000" s="22">
        <v>998</v>
      </c>
      <c r="B1000" s="22" t="s">
        <v>2663</v>
      </c>
      <c r="C1000" s="22" t="str">
        <f t="shared" si="0"/>
        <v>Specify - Side effects prevent woman from taking it</v>
      </c>
      <c r="D1000" s="24" t="s">
        <v>2663</v>
      </c>
      <c r="E1000" s="22" t="s">
        <v>96</v>
      </c>
      <c r="F1000" s="24" t="s">
        <v>1787</v>
      </c>
      <c r="G1000" s="24" t="s">
        <v>2653</v>
      </c>
      <c r="H1000" s="24"/>
      <c r="I1000" s="24">
        <v>1</v>
      </c>
      <c r="J1000" s="24" t="s">
        <v>2372</v>
      </c>
      <c r="K1000" s="24"/>
      <c r="L1000" s="24"/>
      <c r="M1000" s="24"/>
      <c r="N1000" s="24"/>
      <c r="O1000" s="24"/>
      <c r="P1000" s="170"/>
      <c r="Q1000" s="170"/>
      <c r="R1000" s="247" t="s">
        <v>409</v>
      </c>
      <c r="S1000" s="164" t="s">
        <v>2664</v>
      </c>
      <c r="T1000" s="196" t="s">
        <v>2641</v>
      </c>
      <c r="U1000" s="196" t="s">
        <v>111</v>
      </c>
      <c r="V1000" s="194"/>
      <c r="W1000" s="194"/>
      <c r="X1000" s="196"/>
      <c r="Y1000" s="196"/>
      <c r="Z1000" s="196"/>
      <c r="AA1000" s="170"/>
      <c r="AB1000" s="196" t="s">
        <v>208</v>
      </c>
      <c r="AC1000" s="251"/>
      <c r="AD1000" s="170"/>
      <c r="AE1000" s="225"/>
      <c r="AF1000" s="170"/>
      <c r="AG1000" s="170"/>
      <c r="AH1000" s="251"/>
      <c r="AI1000" s="170"/>
      <c r="AJ1000" s="196" t="s">
        <v>115</v>
      </c>
      <c r="AK1000" s="22"/>
      <c r="AL1000" s="170"/>
      <c r="AM1000" s="170"/>
      <c r="AN1000" s="170"/>
      <c r="AO1000" s="170"/>
      <c r="AP1000" s="170"/>
      <c r="AQ1000" s="22"/>
      <c r="AR1000" s="22"/>
      <c r="AS1000" s="22"/>
      <c r="AT1000" s="170"/>
      <c r="AU1000" s="170"/>
      <c r="AV1000" s="170"/>
      <c r="AW1000" s="170"/>
      <c r="AX1000" s="170"/>
      <c r="AY1000" s="170"/>
      <c r="AZ1000" s="170"/>
      <c r="BA1000" s="170"/>
      <c r="BB1000" s="170"/>
      <c r="BC1000" s="170"/>
      <c r="BD1000" s="170"/>
      <c r="BE1000" s="137" t="s">
        <v>2657</v>
      </c>
      <c r="BF1000" s="455" t="s">
        <v>2642</v>
      </c>
      <c r="BG1000" s="139" t="s">
        <v>2643</v>
      </c>
      <c r="BH1000" s="220"/>
      <c r="BI1000" s="220"/>
      <c r="BJ1000" s="220"/>
      <c r="BK1000" s="46">
        <f t="shared" si="1"/>
        <v>1</v>
      </c>
      <c r="BL1000" s="46"/>
      <c r="BM1000" s="46"/>
      <c r="BN1000" s="46"/>
    </row>
    <row r="1001" spans="1:66" ht="12.75" hidden="1" customHeight="1">
      <c r="A1001" s="22">
        <v>999</v>
      </c>
      <c r="B1001" s="22" t="s">
        <v>2665</v>
      </c>
      <c r="C1001" s="22" t="str">
        <f t="shared" si="0"/>
        <v>ifa_medication</v>
      </c>
      <c r="D1001" s="24" t="s">
        <v>2665</v>
      </c>
      <c r="E1001" s="22" t="s">
        <v>65</v>
      </c>
      <c r="F1001" s="24" t="s">
        <v>1787</v>
      </c>
      <c r="G1001" s="24" t="s">
        <v>2653</v>
      </c>
      <c r="H1001" s="24"/>
      <c r="I1001" s="24">
        <v>1</v>
      </c>
      <c r="J1001" s="24" t="s">
        <v>2372</v>
      </c>
      <c r="K1001" s="24"/>
      <c r="L1001" s="24"/>
      <c r="M1001" s="24"/>
      <c r="N1001" s="24"/>
      <c r="O1001" s="24"/>
      <c r="P1001" s="170"/>
      <c r="Q1001" s="170"/>
      <c r="R1001" s="222" t="s">
        <v>115</v>
      </c>
      <c r="S1001" s="221" t="s">
        <v>2665</v>
      </c>
      <c r="T1001" s="221" t="s">
        <v>2666</v>
      </c>
      <c r="U1001" s="221" t="s">
        <v>65</v>
      </c>
      <c r="V1001" s="163"/>
      <c r="W1001" s="163"/>
      <c r="X1001" s="221" t="s">
        <v>2667</v>
      </c>
      <c r="Y1001" s="221"/>
      <c r="Z1001" s="164"/>
      <c r="AA1001" s="170"/>
      <c r="AB1001" s="221" t="s">
        <v>115</v>
      </c>
      <c r="AC1001" s="251"/>
      <c r="AD1001" s="170"/>
      <c r="AE1001" s="225"/>
      <c r="AF1001" s="170"/>
      <c r="AG1001" s="170"/>
      <c r="AH1001" s="251"/>
      <c r="AI1001" s="170"/>
      <c r="AJ1001" s="221" t="s">
        <v>115</v>
      </c>
      <c r="AK1001" s="22"/>
      <c r="AL1001" s="170"/>
      <c r="AM1001" s="170"/>
      <c r="AN1001" s="170"/>
      <c r="AO1001" s="170"/>
      <c r="AP1001" s="170"/>
      <c r="AQ1001" s="22"/>
      <c r="AR1001" s="22"/>
      <c r="AS1001" s="22"/>
      <c r="AT1001" s="170"/>
      <c r="AU1001" s="170"/>
      <c r="AV1001" s="170"/>
      <c r="AW1001" s="170"/>
      <c r="AX1001" s="170"/>
      <c r="AY1001" s="170"/>
      <c r="AZ1001" s="170"/>
      <c r="BA1001" s="170"/>
      <c r="BB1001" s="170"/>
      <c r="BC1001" s="170"/>
      <c r="BD1001" s="170"/>
      <c r="BE1001" s="137" t="s">
        <v>115</v>
      </c>
      <c r="BF1001" s="137" t="s">
        <v>115</v>
      </c>
      <c r="BG1001" s="139" t="s">
        <v>115</v>
      </c>
      <c r="BH1001" s="220"/>
      <c r="BI1001" s="220"/>
      <c r="BJ1001" s="220"/>
      <c r="BK1001" s="46">
        <f t="shared" si="1"/>
        <v>1</v>
      </c>
      <c r="BL1001" s="46"/>
      <c r="BM1001" s="46"/>
      <c r="BN1001" s="46"/>
    </row>
    <row r="1002" spans="1:66" ht="12.75" hidden="1" customHeight="1">
      <c r="A1002" s="22">
        <v>1000</v>
      </c>
      <c r="B1002" s="22" t="s">
        <v>2668</v>
      </c>
      <c r="C1002" s="22" t="str">
        <f t="shared" si="0"/>
        <v>TB screening positive counseling</v>
      </c>
      <c r="D1002" s="24" t="s">
        <v>2668</v>
      </c>
      <c r="E1002" s="22" t="s">
        <v>96</v>
      </c>
      <c r="F1002" s="24" t="s">
        <v>1787</v>
      </c>
      <c r="G1002" s="24" t="s">
        <v>2669</v>
      </c>
      <c r="H1002" s="24"/>
      <c r="I1002" s="24">
        <v>1</v>
      </c>
      <c r="J1002" s="24" t="s">
        <v>2372</v>
      </c>
      <c r="K1002" s="24"/>
      <c r="L1002" s="24"/>
      <c r="M1002" s="24"/>
      <c r="N1002" s="24"/>
      <c r="O1002" s="24"/>
      <c r="P1002" s="170"/>
      <c r="Q1002" s="170"/>
      <c r="R1002" s="178" t="s">
        <v>2668</v>
      </c>
      <c r="S1002" s="170" t="s">
        <v>2670</v>
      </c>
      <c r="T1002" s="170"/>
      <c r="U1002" s="170" t="s">
        <v>202</v>
      </c>
      <c r="V1002" s="163"/>
      <c r="W1002" s="163"/>
      <c r="X1002" s="164"/>
      <c r="Y1002" s="164"/>
      <c r="Z1002" s="164"/>
      <c r="AA1002" s="170"/>
      <c r="AB1002" s="170" t="s">
        <v>208</v>
      </c>
      <c r="AC1002" s="251"/>
      <c r="AD1002" s="170"/>
      <c r="AE1002" s="225"/>
      <c r="AF1002" s="170"/>
      <c r="AG1002" s="170"/>
      <c r="AH1002" s="251"/>
      <c r="AI1002" s="170"/>
      <c r="AJ1002" s="194" t="s">
        <v>2375</v>
      </c>
      <c r="AK1002" s="22"/>
      <c r="AL1002" s="170"/>
      <c r="AM1002" s="170"/>
      <c r="AN1002" s="170"/>
      <c r="AO1002" s="170"/>
      <c r="AP1002" s="170"/>
      <c r="AQ1002" s="22"/>
      <c r="AR1002" s="22"/>
      <c r="AS1002" s="22"/>
      <c r="AT1002" s="170"/>
      <c r="AU1002" s="170"/>
      <c r="AV1002" s="170"/>
      <c r="AW1002" s="170"/>
      <c r="AX1002" s="170"/>
      <c r="AY1002" s="170"/>
      <c r="AZ1002" s="170"/>
      <c r="BA1002" s="170"/>
      <c r="BB1002" s="170"/>
      <c r="BC1002" s="170"/>
      <c r="BD1002" s="170"/>
      <c r="BE1002" s="137" t="s">
        <v>2671</v>
      </c>
      <c r="BF1002" s="455" t="s">
        <v>2398</v>
      </c>
      <c r="BG1002" s="139" t="s">
        <v>2399</v>
      </c>
      <c r="BH1002" s="220"/>
      <c r="BI1002" s="220"/>
      <c r="BJ1002" s="220"/>
      <c r="BK1002" s="46">
        <f t="shared" si="1"/>
        <v>1</v>
      </c>
      <c r="BL1002" s="46"/>
      <c r="BM1002" s="46"/>
      <c r="BN1002" s="46"/>
    </row>
    <row r="1003" spans="1:66" ht="12.75" hidden="1" customHeight="1">
      <c r="A1003" s="22">
        <v>1001</v>
      </c>
      <c r="B1003" s="22" t="s">
        <v>2527</v>
      </c>
      <c r="C1003" s="22" t="e">
        <f t="shared" ca="1" si="0"/>
        <v>#NAME?</v>
      </c>
      <c r="D1003" s="24" t="s">
        <v>1673</v>
      </c>
      <c r="E1003" s="22" t="s">
        <v>180</v>
      </c>
      <c r="F1003" s="24" t="s">
        <v>2668</v>
      </c>
      <c r="G1003" s="24" t="s">
        <v>2669</v>
      </c>
      <c r="H1003" s="24"/>
      <c r="I1003" s="24">
        <v>1</v>
      </c>
      <c r="J1003" s="24" t="s">
        <v>2372</v>
      </c>
      <c r="K1003" s="24"/>
      <c r="L1003" s="24"/>
      <c r="M1003" s="24"/>
      <c r="N1003" s="24"/>
      <c r="O1003" s="24"/>
      <c r="P1003" s="170"/>
      <c r="Q1003" s="170"/>
      <c r="R1003" s="178"/>
      <c r="S1003" s="170"/>
      <c r="T1003" s="170"/>
      <c r="U1003" s="170"/>
      <c r="V1003" s="163"/>
      <c r="W1003" s="163" t="s">
        <v>1673</v>
      </c>
      <c r="X1003" s="164"/>
      <c r="Y1003" s="164"/>
      <c r="Z1003" s="164"/>
      <c r="AA1003" s="170"/>
      <c r="AB1003" s="170"/>
      <c r="AC1003" s="251"/>
      <c r="AD1003" s="170"/>
      <c r="AE1003" s="225"/>
      <c r="AF1003" s="170"/>
      <c r="AG1003" s="170"/>
      <c r="AH1003" s="251"/>
      <c r="AI1003" s="170"/>
      <c r="AJ1003" s="194"/>
      <c r="AK1003" s="22"/>
      <c r="AL1003" s="170"/>
      <c r="AM1003" s="170"/>
      <c r="AN1003" s="170"/>
      <c r="AO1003" s="170"/>
      <c r="AP1003" s="170"/>
      <c r="AQ1003" s="22"/>
      <c r="AR1003" s="22"/>
      <c r="AS1003" s="22"/>
      <c r="AT1003" s="170"/>
      <c r="AU1003" s="170"/>
      <c r="AV1003" s="170"/>
      <c r="AW1003" s="170"/>
      <c r="AX1003" s="170"/>
      <c r="AY1003" s="170"/>
      <c r="AZ1003" s="170"/>
      <c r="BA1003" s="170"/>
      <c r="BB1003" s="170"/>
      <c r="BC1003" s="170"/>
      <c r="BD1003" s="170"/>
      <c r="BE1003" s="137" t="s">
        <v>115</v>
      </c>
      <c r="BF1003" s="455" t="s">
        <v>942</v>
      </c>
      <c r="BG1003" s="167" t="s">
        <v>943</v>
      </c>
      <c r="BH1003" s="220"/>
      <c r="BI1003" s="220"/>
      <c r="BJ1003" s="220"/>
      <c r="BK1003" s="46">
        <f t="shared" si="1"/>
        <v>1</v>
      </c>
      <c r="BL1003" s="46"/>
      <c r="BM1003" s="46"/>
      <c r="BN1003" s="46"/>
    </row>
    <row r="1004" spans="1:66" ht="12.75" hidden="1" customHeight="1">
      <c r="A1004" s="22">
        <v>1002</v>
      </c>
      <c r="B1004" s="22" t="s">
        <v>2118</v>
      </c>
      <c r="C1004" s="22" t="e">
        <f t="shared" ca="1" si="0"/>
        <v>#NAME?</v>
      </c>
      <c r="D1004" s="24" t="s">
        <v>1468</v>
      </c>
      <c r="E1004" s="22" t="s">
        <v>180</v>
      </c>
      <c r="F1004" s="24" t="s">
        <v>2668</v>
      </c>
      <c r="G1004" s="24" t="s">
        <v>2669</v>
      </c>
      <c r="H1004" s="24"/>
      <c r="I1004" s="24">
        <v>1</v>
      </c>
      <c r="J1004" s="24" t="s">
        <v>2372</v>
      </c>
      <c r="K1004" s="24"/>
      <c r="L1004" s="24"/>
      <c r="M1004" s="24"/>
      <c r="N1004" s="24"/>
      <c r="O1004" s="24"/>
      <c r="P1004" s="170"/>
      <c r="Q1004" s="170"/>
      <c r="R1004" s="178"/>
      <c r="S1004" s="170"/>
      <c r="T1004" s="170"/>
      <c r="U1004" s="170"/>
      <c r="V1004" s="163"/>
      <c r="W1004" s="163" t="s">
        <v>1468</v>
      </c>
      <c r="X1004" s="164"/>
      <c r="Y1004" s="164"/>
      <c r="Z1004" s="164"/>
      <c r="AA1004" s="170"/>
      <c r="AB1004" s="170"/>
      <c r="AC1004" s="251"/>
      <c r="AD1004" s="170"/>
      <c r="AE1004" s="225"/>
      <c r="AF1004" s="170"/>
      <c r="AG1004" s="170"/>
      <c r="AH1004" s="251"/>
      <c r="AI1004" s="170"/>
      <c r="AJ1004" s="194"/>
      <c r="AK1004" s="22"/>
      <c r="AL1004" s="170"/>
      <c r="AM1004" s="170"/>
      <c r="AN1004" s="170"/>
      <c r="AO1004" s="170"/>
      <c r="AP1004" s="170"/>
      <c r="AQ1004" s="22"/>
      <c r="AR1004" s="22"/>
      <c r="AS1004" s="22"/>
      <c r="AT1004" s="170"/>
      <c r="AU1004" s="170"/>
      <c r="AV1004" s="170"/>
      <c r="AW1004" s="170"/>
      <c r="AX1004" s="170"/>
      <c r="AY1004" s="170"/>
      <c r="AZ1004" s="170"/>
      <c r="BA1004" s="170"/>
      <c r="BB1004" s="170"/>
      <c r="BC1004" s="170"/>
      <c r="BD1004" s="170"/>
      <c r="BE1004" s="137" t="s">
        <v>115</v>
      </c>
      <c r="BF1004" s="455" t="s">
        <v>1469</v>
      </c>
      <c r="BG1004" s="167" t="s">
        <v>1470</v>
      </c>
      <c r="BH1004" s="220"/>
      <c r="BI1004" s="220"/>
      <c r="BJ1004" s="220"/>
      <c r="BK1004" s="46">
        <f t="shared" si="1"/>
        <v>1</v>
      </c>
      <c r="BL1004" s="46"/>
      <c r="BM1004" s="46"/>
      <c r="BN1004" s="46"/>
    </row>
    <row r="1005" spans="1:66" ht="12.75" hidden="1" customHeight="1">
      <c r="A1005" s="22">
        <v>1003</v>
      </c>
      <c r="B1005" s="22" t="s">
        <v>2672</v>
      </c>
      <c r="C1005" s="22" t="str">
        <f t="shared" si="0"/>
        <v>Prescribe aspirin 75 mg daily until delivery (starting at 12 weeks gestation)</v>
      </c>
      <c r="D1005" s="24" t="s">
        <v>2672</v>
      </c>
      <c r="E1005" s="22" t="s">
        <v>96</v>
      </c>
      <c r="F1005" s="24" t="s">
        <v>1787</v>
      </c>
      <c r="G1005" s="24" t="s">
        <v>2673</v>
      </c>
      <c r="H1005" s="24"/>
      <c r="I1005" s="24">
        <v>1</v>
      </c>
      <c r="J1005" s="24" t="s">
        <v>2372</v>
      </c>
      <c r="K1005" s="24"/>
      <c r="L1005" s="24"/>
      <c r="M1005" s="24"/>
      <c r="N1005" s="24"/>
      <c r="O1005" s="24"/>
      <c r="P1005" s="170"/>
      <c r="Q1005" s="170"/>
      <c r="R1005" s="162" t="s">
        <v>2672</v>
      </c>
      <c r="S1005" s="164" t="s">
        <v>2674</v>
      </c>
      <c r="T1005" s="164"/>
      <c r="U1005" s="164" t="s">
        <v>202</v>
      </c>
      <c r="V1005" s="163"/>
      <c r="W1005" s="163"/>
      <c r="X1005" s="164"/>
      <c r="Y1005" s="164"/>
      <c r="Z1005" s="164"/>
      <c r="AA1005" s="170"/>
      <c r="AB1005" s="164" t="s">
        <v>113</v>
      </c>
      <c r="AC1005" s="251"/>
      <c r="AD1005" s="170"/>
      <c r="AE1005" s="225"/>
      <c r="AF1005" s="170"/>
      <c r="AG1005" s="170"/>
      <c r="AH1005" s="251"/>
      <c r="AI1005" s="170"/>
      <c r="AJ1005" s="164" t="s">
        <v>2675</v>
      </c>
      <c r="AK1005" s="22"/>
      <c r="AL1005" s="170"/>
      <c r="AM1005" s="170"/>
      <c r="AN1005" s="170"/>
      <c r="AO1005" s="170"/>
      <c r="AP1005" s="170"/>
      <c r="AQ1005" s="22"/>
      <c r="AR1005" s="22"/>
      <c r="AS1005" s="22"/>
      <c r="AT1005" s="170"/>
      <c r="AU1005" s="170"/>
      <c r="AV1005" s="170"/>
      <c r="AW1005" s="170"/>
      <c r="AX1005" s="170"/>
      <c r="AY1005" s="170"/>
      <c r="AZ1005" s="170"/>
      <c r="BA1005" s="170"/>
      <c r="BB1005" s="170"/>
      <c r="BC1005" s="170"/>
      <c r="BD1005" s="170"/>
      <c r="BE1005" s="137" t="s">
        <v>2676</v>
      </c>
      <c r="BF1005" s="137" t="s">
        <v>2630</v>
      </c>
      <c r="BG1005" s="139" t="s">
        <v>2631</v>
      </c>
      <c r="BH1005" s="220"/>
      <c r="BI1005" s="220"/>
      <c r="BJ1005" s="220"/>
      <c r="BK1005" s="46">
        <f t="shared" si="1"/>
        <v>1</v>
      </c>
      <c r="BL1005" s="46"/>
      <c r="BM1005" s="46"/>
      <c r="BN1005" s="46"/>
    </row>
    <row r="1006" spans="1:66" ht="12.75" hidden="1" customHeight="1">
      <c r="A1006" s="22">
        <v>1004</v>
      </c>
      <c r="B1006" s="22" t="s">
        <v>2527</v>
      </c>
      <c r="C1006" s="22" t="e">
        <f t="shared" ca="1" si="0"/>
        <v>#NAME?</v>
      </c>
      <c r="D1006" s="24" t="s">
        <v>1673</v>
      </c>
      <c r="E1006" s="22" t="s">
        <v>180</v>
      </c>
      <c r="F1006" s="24" t="s">
        <v>2672</v>
      </c>
      <c r="G1006" s="24" t="s">
        <v>2673</v>
      </c>
      <c r="H1006" s="24"/>
      <c r="I1006" s="24">
        <v>1</v>
      </c>
      <c r="J1006" s="24" t="s">
        <v>2372</v>
      </c>
      <c r="K1006" s="24"/>
      <c r="L1006" s="24"/>
      <c r="M1006" s="24"/>
      <c r="N1006" s="24"/>
      <c r="O1006" s="24"/>
      <c r="P1006" s="170"/>
      <c r="Q1006" s="170"/>
      <c r="R1006" s="169"/>
      <c r="S1006" s="164"/>
      <c r="T1006" s="164"/>
      <c r="U1006" s="164"/>
      <c r="V1006" s="163"/>
      <c r="W1006" s="163" t="s">
        <v>1673</v>
      </c>
      <c r="X1006" s="164"/>
      <c r="Y1006" s="164"/>
      <c r="Z1006" s="164"/>
      <c r="AA1006" s="170"/>
      <c r="AB1006" s="164"/>
      <c r="AC1006" s="251"/>
      <c r="AD1006" s="170"/>
      <c r="AE1006" s="225"/>
      <c r="AF1006" s="170"/>
      <c r="AG1006" s="170"/>
      <c r="AH1006" s="251"/>
      <c r="AI1006" s="170"/>
      <c r="AJ1006" s="164"/>
      <c r="AK1006" s="22"/>
      <c r="AL1006" s="170"/>
      <c r="AM1006" s="170"/>
      <c r="AN1006" s="170"/>
      <c r="AO1006" s="170"/>
      <c r="AP1006" s="170"/>
      <c r="AQ1006" s="22"/>
      <c r="AR1006" s="22"/>
      <c r="AS1006" s="22"/>
      <c r="AT1006" s="170"/>
      <c r="AU1006" s="170"/>
      <c r="AV1006" s="170"/>
      <c r="AW1006" s="170"/>
      <c r="AX1006" s="170"/>
      <c r="AY1006" s="170"/>
      <c r="AZ1006" s="170"/>
      <c r="BA1006" s="170"/>
      <c r="BB1006" s="170"/>
      <c r="BC1006" s="170"/>
      <c r="BD1006" s="170"/>
      <c r="BE1006" s="137" t="s">
        <v>115</v>
      </c>
      <c r="BF1006" s="137" t="s">
        <v>942</v>
      </c>
      <c r="BG1006" s="167" t="s">
        <v>943</v>
      </c>
      <c r="BH1006" s="220"/>
      <c r="BI1006" s="220"/>
      <c r="BJ1006" s="220"/>
      <c r="BK1006" s="46">
        <f t="shared" si="1"/>
        <v>1</v>
      </c>
      <c r="BL1006" s="46"/>
      <c r="BM1006" s="46"/>
      <c r="BN1006" s="46"/>
    </row>
    <row r="1007" spans="1:66" ht="12.75" hidden="1" customHeight="1">
      <c r="A1007" s="22">
        <v>1005</v>
      </c>
      <c r="B1007" s="22" t="s">
        <v>2118</v>
      </c>
      <c r="C1007" s="22" t="e">
        <f t="shared" ca="1" si="0"/>
        <v>#NAME?</v>
      </c>
      <c r="D1007" s="24" t="s">
        <v>1468</v>
      </c>
      <c r="E1007" s="22" t="s">
        <v>180</v>
      </c>
      <c r="F1007" s="24" t="s">
        <v>2672</v>
      </c>
      <c r="G1007" s="24" t="s">
        <v>2673</v>
      </c>
      <c r="H1007" s="24"/>
      <c r="I1007" s="24">
        <v>1</v>
      </c>
      <c r="J1007" s="24" t="s">
        <v>2372</v>
      </c>
      <c r="K1007" s="24"/>
      <c r="L1007" s="24"/>
      <c r="M1007" s="24"/>
      <c r="N1007" s="24"/>
      <c r="O1007" s="24"/>
      <c r="P1007" s="170"/>
      <c r="Q1007" s="170"/>
      <c r="R1007" s="169"/>
      <c r="S1007" s="164"/>
      <c r="T1007" s="164"/>
      <c r="U1007" s="164"/>
      <c r="V1007" s="163"/>
      <c r="W1007" s="163" t="s">
        <v>1468</v>
      </c>
      <c r="X1007" s="164"/>
      <c r="Y1007" s="164"/>
      <c r="Z1007" s="164"/>
      <c r="AA1007" s="170"/>
      <c r="AB1007" s="164"/>
      <c r="AC1007" s="251"/>
      <c r="AD1007" s="170"/>
      <c r="AE1007" s="225"/>
      <c r="AF1007" s="170"/>
      <c r="AG1007" s="170"/>
      <c r="AH1007" s="251"/>
      <c r="AI1007" s="170"/>
      <c r="AJ1007" s="164"/>
      <c r="AK1007" s="22"/>
      <c r="AL1007" s="170"/>
      <c r="AM1007" s="170"/>
      <c r="AN1007" s="170"/>
      <c r="AO1007" s="170"/>
      <c r="AP1007" s="170"/>
      <c r="AQ1007" s="22"/>
      <c r="AR1007" s="22"/>
      <c r="AS1007" s="22"/>
      <c r="AT1007" s="170"/>
      <c r="AU1007" s="170"/>
      <c r="AV1007" s="170"/>
      <c r="AW1007" s="170"/>
      <c r="AX1007" s="170"/>
      <c r="AY1007" s="170"/>
      <c r="AZ1007" s="170"/>
      <c r="BA1007" s="170"/>
      <c r="BB1007" s="170"/>
      <c r="BC1007" s="170"/>
      <c r="BD1007" s="170"/>
      <c r="BE1007" s="137" t="s">
        <v>115</v>
      </c>
      <c r="BF1007" s="137" t="s">
        <v>1469</v>
      </c>
      <c r="BG1007" s="167" t="s">
        <v>1470</v>
      </c>
      <c r="BH1007" s="220"/>
      <c r="BI1007" s="220"/>
      <c r="BJ1007" s="220"/>
      <c r="BK1007" s="46">
        <f t="shared" si="1"/>
        <v>1</v>
      </c>
      <c r="BL1007" s="46"/>
      <c r="BM1007" s="46"/>
      <c r="BN1007" s="46"/>
    </row>
    <row r="1008" spans="1:66" ht="12.75" hidden="1" customHeight="1">
      <c r="A1008" s="22">
        <v>1006</v>
      </c>
      <c r="B1008" s="22" t="s">
        <v>2678</v>
      </c>
      <c r="C1008" s="22" t="str">
        <f t="shared" si="0"/>
        <v>Reason Prescribe aspirin 75 mg daily until delivery (starting at 12 weeks gestation) not done</v>
      </c>
      <c r="D1008" s="24" t="s">
        <v>2678</v>
      </c>
      <c r="E1008" s="22" t="s">
        <v>96</v>
      </c>
      <c r="F1008" s="24" t="s">
        <v>1787</v>
      </c>
      <c r="G1008" s="24" t="s">
        <v>2673</v>
      </c>
      <c r="H1008" s="24"/>
      <c r="I1008" s="24">
        <v>1</v>
      </c>
      <c r="J1008" s="24" t="s">
        <v>2372</v>
      </c>
      <c r="K1008" s="24"/>
      <c r="L1008" s="24"/>
      <c r="M1008" s="24"/>
      <c r="N1008" s="24"/>
      <c r="O1008" s="24"/>
      <c r="P1008" s="170"/>
      <c r="Q1008" s="170"/>
      <c r="R1008" s="169" t="s">
        <v>1376</v>
      </c>
      <c r="S1008" s="164" t="s">
        <v>2679</v>
      </c>
      <c r="T1008" s="164" t="s">
        <v>2680</v>
      </c>
      <c r="U1008" s="164" t="s">
        <v>202</v>
      </c>
      <c r="V1008" s="163"/>
      <c r="W1008" s="163"/>
      <c r="X1008" s="164"/>
      <c r="Y1008" s="164"/>
      <c r="Z1008" s="164"/>
      <c r="AA1008" s="170"/>
      <c r="AB1008" s="164" t="s">
        <v>113</v>
      </c>
      <c r="AC1008" s="251"/>
      <c r="AD1008" s="170"/>
      <c r="AE1008" s="225"/>
      <c r="AF1008" s="170"/>
      <c r="AG1008" s="170"/>
      <c r="AH1008" s="251"/>
      <c r="AI1008" s="170"/>
      <c r="AJ1008" s="164" t="s">
        <v>115</v>
      </c>
      <c r="AK1008" s="22"/>
      <c r="AL1008" s="170"/>
      <c r="AM1008" s="170"/>
      <c r="AN1008" s="170"/>
      <c r="AO1008" s="170"/>
      <c r="AP1008" s="170"/>
      <c r="AQ1008" s="22"/>
      <c r="AR1008" s="22"/>
      <c r="AS1008" s="22"/>
      <c r="AT1008" s="170"/>
      <c r="AU1008" s="170"/>
      <c r="AV1008" s="170"/>
      <c r="AW1008" s="170"/>
      <c r="AX1008" s="170"/>
      <c r="AY1008" s="170"/>
      <c r="AZ1008" s="170"/>
      <c r="BA1008" s="170"/>
      <c r="BB1008" s="170"/>
      <c r="BC1008" s="170"/>
      <c r="BD1008" s="170"/>
      <c r="BE1008" s="137" t="s">
        <v>2676</v>
      </c>
      <c r="BF1008" s="137" t="s">
        <v>2635</v>
      </c>
      <c r="BG1008" s="139" t="s">
        <v>2636</v>
      </c>
      <c r="BH1008" s="220"/>
      <c r="BI1008" s="220"/>
      <c r="BJ1008" s="220"/>
      <c r="BK1008" s="46">
        <f t="shared" si="1"/>
        <v>1</v>
      </c>
      <c r="BL1008" s="46"/>
      <c r="BM1008" s="46"/>
      <c r="BN1008" s="46"/>
    </row>
    <row r="1009" spans="1:66" ht="12.75" hidden="1" customHeight="1">
      <c r="A1009" s="22">
        <v>1007</v>
      </c>
      <c r="B1009" s="22" t="s">
        <v>4085</v>
      </c>
      <c r="C1009" s="22" t="e">
        <f t="shared" ca="1" si="0"/>
        <v>#NAME?</v>
      </c>
      <c r="D1009" s="24" t="s">
        <v>2681</v>
      </c>
      <c r="E1009" s="22" t="s">
        <v>180</v>
      </c>
      <c r="F1009" s="24" t="s">
        <v>2678</v>
      </c>
      <c r="G1009" s="24" t="s">
        <v>2673</v>
      </c>
      <c r="H1009" s="24"/>
      <c r="I1009" s="24">
        <v>1</v>
      </c>
      <c r="J1009" s="24" t="s">
        <v>2372</v>
      </c>
      <c r="K1009" s="24"/>
      <c r="L1009" s="24"/>
      <c r="M1009" s="24"/>
      <c r="N1009" s="24"/>
      <c r="O1009" s="24"/>
      <c r="P1009" s="170"/>
      <c r="Q1009" s="170"/>
      <c r="R1009" s="247"/>
      <c r="S1009" s="164"/>
      <c r="T1009" s="196"/>
      <c r="U1009" s="196"/>
      <c r="V1009" s="163"/>
      <c r="W1009" s="163" t="s">
        <v>2681</v>
      </c>
      <c r="X1009" s="196"/>
      <c r="Y1009" s="196"/>
      <c r="Z1009" s="196"/>
      <c r="AA1009" s="170"/>
      <c r="AB1009" s="196"/>
      <c r="AC1009" s="251"/>
      <c r="AD1009" s="170"/>
      <c r="AE1009" s="225"/>
      <c r="AF1009" s="170"/>
      <c r="AG1009" s="170"/>
      <c r="AH1009" s="251"/>
      <c r="AI1009" s="170"/>
      <c r="AJ1009" s="196"/>
      <c r="AK1009" s="22"/>
      <c r="AL1009" s="170"/>
      <c r="AM1009" s="170"/>
      <c r="AN1009" s="170"/>
      <c r="AO1009" s="170"/>
      <c r="AP1009" s="170"/>
      <c r="AQ1009" s="22"/>
      <c r="AR1009" s="22"/>
      <c r="AS1009" s="22"/>
      <c r="AT1009" s="170"/>
      <c r="AU1009" s="170"/>
      <c r="AV1009" s="170"/>
      <c r="AW1009" s="170"/>
      <c r="AX1009" s="170"/>
      <c r="AY1009" s="170"/>
      <c r="AZ1009" s="170"/>
      <c r="BA1009" s="170"/>
      <c r="BB1009" s="170"/>
      <c r="BC1009" s="170"/>
      <c r="BD1009" s="170"/>
      <c r="BE1009" s="137" t="s">
        <v>115</v>
      </c>
      <c r="BF1009" s="143" t="s">
        <v>2637</v>
      </c>
      <c r="BG1009" s="167" t="s">
        <v>2638</v>
      </c>
      <c r="BH1009" s="220"/>
      <c r="BI1009" s="220"/>
      <c r="BJ1009" s="220"/>
      <c r="BK1009" s="46">
        <f t="shared" si="1"/>
        <v>1</v>
      </c>
      <c r="BL1009" s="46"/>
      <c r="BM1009" s="46"/>
      <c r="BN1009" s="46"/>
    </row>
    <row r="1010" spans="1:66" ht="12.75" hidden="1" customHeight="1">
      <c r="A1010" s="22">
        <v>1008</v>
      </c>
      <c r="B1010" s="22" t="s">
        <v>4092</v>
      </c>
      <c r="C1010" s="22" t="e">
        <f t="shared" ca="1" si="0"/>
        <v>#NAME?</v>
      </c>
      <c r="D1010" s="24" t="s">
        <v>2682</v>
      </c>
      <c r="E1010" s="22" t="s">
        <v>180</v>
      </c>
      <c r="F1010" s="24" t="s">
        <v>2678</v>
      </c>
      <c r="G1010" s="24" t="s">
        <v>2673</v>
      </c>
      <c r="H1010" s="24"/>
      <c r="I1010" s="24">
        <v>1</v>
      </c>
      <c r="J1010" s="24" t="s">
        <v>2372</v>
      </c>
      <c r="K1010" s="24"/>
      <c r="L1010" s="24"/>
      <c r="M1010" s="24"/>
      <c r="N1010" s="24"/>
      <c r="O1010" s="24"/>
      <c r="P1010" s="170"/>
      <c r="Q1010" s="170"/>
      <c r="R1010" s="247"/>
      <c r="S1010" s="164"/>
      <c r="T1010" s="196"/>
      <c r="U1010" s="196"/>
      <c r="V1010" s="194"/>
      <c r="W1010" s="194" t="s">
        <v>2682</v>
      </c>
      <c r="X1010" s="196"/>
      <c r="Y1010" s="196"/>
      <c r="Z1010" s="196"/>
      <c r="AA1010" s="170"/>
      <c r="AB1010" s="196"/>
      <c r="AC1010" s="251"/>
      <c r="AD1010" s="170"/>
      <c r="AE1010" s="225"/>
      <c r="AF1010" s="170"/>
      <c r="AG1010" s="170"/>
      <c r="AH1010" s="251"/>
      <c r="AI1010" s="170"/>
      <c r="AJ1010" s="196"/>
      <c r="AK1010" s="22"/>
      <c r="AL1010" s="170"/>
      <c r="AM1010" s="170"/>
      <c r="AN1010" s="170"/>
      <c r="AO1010" s="170"/>
      <c r="AP1010" s="170"/>
      <c r="AQ1010" s="22"/>
      <c r="AR1010" s="22"/>
      <c r="AS1010" s="22"/>
      <c r="AT1010" s="170"/>
      <c r="AU1010" s="170"/>
      <c r="AV1010" s="170"/>
      <c r="AW1010" s="170"/>
      <c r="AX1010" s="170"/>
      <c r="AY1010" s="170"/>
      <c r="AZ1010" s="170"/>
      <c r="BA1010" s="170"/>
      <c r="BB1010" s="170"/>
      <c r="BC1010" s="170"/>
      <c r="BD1010" s="170"/>
      <c r="BE1010" s="137" t="s">
        <v>115</v>
      </c>
      <c r="BF1010" s="143" t="s">
        <v>1166</v>
      </c>
      <c r="BG1010" s="167" t="s">
        <v>1167</v>
      </c>
      <c r="BH1010" s="220"/>
      <c r="BI1010" s="220"/>
      <c r="BJ1010" s="220"/>
      <c r="BK1010" s="46">
        <f t="shared" si="1"/>
        <v>1</v>
      </c>
      <c r="BL1010" s="46"/>
      <c r="BM1010" s="46"/>
      <c r="BN1010" s="46"/>
    </row>
    <row r="1011" spans="1:66" ht="12.75" hidden="1" customHeight="1">
      <c r="A1011" s="22">
        <v>1009</v>
      </c>
      <c r="B1011" s="22" t="s">
        <v>4099</v>
      </c>
      <c r="C1011" s="22" t="e">
        <f t="shared" ca="1" si="0"/>
        <v>#NAME?</v>
      </c>
      <c r="D1011" s="24" t="s">
        <v>2684</v>
      </c>
      <c r="E1011" s="22" t="s">
        <v>180</v>
      </c>
      <c r="F1011" s="24" t="s">
        <v>2678</v>
      </c>
      <c r="G1011" s="24" t="s">
        <v>2673</v>
      </c>
      <c r="H1011" s="24"/>
      <c r="I1011" s="24">
        <v>1</v>
      </c>
      <c r="J1011" s="24" t="s">
        <v>2372</v>
      </c>
      <c r="K1011" s="24"/>
      <c r="L1011" s="24"/>
      <c r="M1011" s="24"/>
      <c r="N1011" s="24"/>
      <c r="O1011" s="24"/>
      <c r="P1011" s="170"/>
      <c r="Q1011" s="170"/>
      <c r="R1011" s="247"/>
      <c r="S1011" s="164"/>
      <c r="T1011" s="196"/>
      <c r="U1011" s="196"/>
      <c r="V1011" s="194"/>
      <c r="W1011" s="194" t="s">
        <v>2684</v>
      </c>
      <c r="X1011" s="196"/>
      <c r="Y1011" s="196"/>
      <c r="Z1011" s="196"/>
      <c r="AA1011" s="170"/>
      <c r="AB1011" s="196"/>
      <c r="AC1011" s="251"/>
      <c r="AD1011" s="170"/>
      <c r="AE1011" s="225"/>
      <c r="AF1011" s="170"/>
      <c r="AG1011" s="170"/>
      <c r="AH1011" s="251"/>
      <c r="AI1011" s="170"/>
      <c r="AJ1011" s="196"/>
      <c r="AK1011" s="22"/>
      <c r="AL1011" s="170"/>
      <c r="AM1011" s="170"/>
      <c r="AN1011" s="170"/>
      <c r="AO1011" s="170"/>
      <c r="AP1011" s="170"/>
      <c r="AQ1011" s="22"/>
      <c r="AR1011" s="22"/>
      <c r="AS1011" s="22"/>
      <c r="AT1011" s="170"/>
      <c r="AU1011" s="170"/>
      <c r="AV1011" s="170"/>
      <c r="AW1011" s="170"/>
      <c r="AX1011" s="170"/>
      <c r="AY1011" s="170"/>
      <c r="AZ1011" s="170"/>
      <c r="BA1011" s="170"/>
      <c r="BB1011" s="170"/>
      <c r="BC1011" s="170"/>
      <c r="BD1011" s="170"/>
      <c r="BE1011" s="137" t="s">
        <v>115</v>
      </c>
      <c r="BF1011" s="143" t="s">
        <v>2685</v>
      </c>
      <c r="BG1011" s="167" t="s">
        <v>2686</v>
      </c>
      <c r="BH1011" s="220"/>
      <c r="BI1011" s="220"/>
      <c r="BJ1011" s="220"/>
      <c r="BK1011" s="46">
        <f t="shared" si="1"/>
        <v>1</v>
      </c>
      <c r="BL1011" s="46"/>
      <c r="BM1011" s="46"/>
      <c r="BN1011" s="46"/>
    </row>
    <row r="1012" spans="1:66" ht="12.75" hidden="1" customHeight="1">
      <c r="A1012" s="22">
        <v>1010</v>
      </c>
      <c r="B1012" s="22" t="s">
        <v>535</v>
      </c>
      <c r="C1012" s="22" t="e">
        <f t="shared" ca="1" si="0"/>
        <v>#NAME?</v>
      </c>
      <c r="D1012" s="24" t="s">
        <v>405</v>
      </c>
      <c r="E1012" s="22" t="s">
        <v>180</v>
      </c>
      <c r="F1012" s="24" t="s">
        <v>2678</v>
      </c>
      <c r="G1012" s="24" t="s">
        <v>2673</v>
      </c>
      <c r="H1012" s="24"/>
      <c r="I1012" s="24">
        <v>1</v>
      </c>
      <c r="J1012" s="24" t="s">
        <v>2372</v>
      </c>
      <c r="K1012" s="24"/>
      <c r="L1012" s="24"/>
      <c r="M1012" s="24"/>
      <c r="N1012" s="24"/>
      <c r="O1012" s="24"/>
      <c r="P1012" s="170"/>
      <c r="Q1012" s="170"/>
      <c r="R1012" s="247"/>
      <c r="S1012" s="164"/>
      <c r="T1012" s="196"/>
      <c r="U1012" s="196"/>
      <c r="V1012" s="194"/>
      <c r="W1012" s="194" t="s">
        <v>405</v>
      </c>
      <c r="X1012" s="196"/>
      <c r="Y1012" s="196"/>
      <c r="Z1012" s="196"/>
      <c r="AA1012" s="170"/>
      <c r="AB1012" s="196"/>
      <c r="AC1012" s="251"/>
      <c r="AD1012" s="170"/>
      <c r="AE1012" s="225"/>
      <c r="AF1012" s="170"/>
      <c r="AG1012" s="170"/>
      <c r="AH1012" s="251"/>
      <c r="AI1012" s="170"/>
      <c r="AJ1012" s="196"/>
      <c r="AK1012" s="22"/>
      <c r="AL1012" s="170"/>
      <c r="AM1012" s="170"/>
      <c r="AN1012" s="170"/>
      <c r="AO1012" s="170"/>
      <c r="AP1012" s="170"/>
      <c r="AQ1012" s="22"/>
      <c r="AR1012" s="22"/>
      <c r="AS1012" s="22"/>
      <c r="AT1012" s="170"/>
      <c r="AU1012" s="170"/>
      <c r="AV1012" s="170"/>
      <c r="AW1012" s="170"/>
      <c r="AX1012" s="170"/>
      <c r="AY1012" s="170"/>
      <c r="AZ1012" s="170"/>
      <c r="BA1012" s="170"/>
      <c r="BB1012" s="170"/>
      <c r="BC1012" s="170"/>
      <c r="BD1012" s="170"/>
      <c r="BE1012" s="137" t="s">
        <v>115</v>
      </c>
      <c r="BF1012" s="143" t="s">
        <v>406</v>
      </c>
      <c r="BG1012" s="167" t="s">
        <v>407</v>
      </c>
      <c r="BH1012" s="220"/>
      <c r="BI1012" s="220"/>
      <c r="BJ1012" s="220"/>
      <c r="BK1012" s="46">
        <f t="shared" si="1"/>
        <v>1</v>
      </c>
      <c r="BL1012" s="46"/>
      <c r="BM1012" s="46"/>
      <c r="BN1012" s="46"/>
    </row>
    <row r="1013" spans="1:66" ht="12.75" hidden="1" customHeight="1">
      <c r="A1013" s="22">
        <v>1011</v>
      </c>
      <c r="B1013" s="22" t="s">
        <v>2687</v>
      </c>
      <c r="C1013" s="22" t="str">
        <f t="shared" si="0"/>
        <v>Specify - Reason Prescribe aspirin 75 mg daily until delivery (starting at 12 weeks gestation) not done</v>
      </c>
      <c r="D1013" s="24" t="s">
        <v>2687</v>
      </c>
      <c r="E1013" s="22" t="s">
        <v>96</v>
      </c>
      <c r="F1013" s="24" t="s">
        <v>1787</v>
      </c>
      <c r="G1013" s="24" t="s">
        <v>2673</v>
      </c>
      <c r="H1013" s="24"/>
      <c r="I1013" s="24">
        <v>1</v>
      </c>
      <c r="J1013" s="24" t="s">
        <v>2372</v>
      </c>
      <c r="K1013" s="24"/>
      <c r="L1013" s="24"/>
      <c r="M1013" s="24"/>
      <c r="N1013" s="24"/>
      <c r="O1013" s="24"/>
      <c r="P1013" s="170"/>
      <c r="Q1013" s="170"/>
      <c r="R1013" s="247" t="s">
        <v>409</v>
      </c>
      <c r="S1013" s="164" t="s">
        <v>2688</v>
      </c>
      <c r="T1013" s="196" t="s">
        <v>2689</v>
      </c>
      <c r="U1013" s="196" t="s">
        <v>111</v>
      </c>
      <c r="V1013" s="194"/>
      <c r="W1013" s="194"/>
      <c r="X1013" s="196"/>
      <c r="Y1013" s="196"/>
      <c r="Z1013" s="196"/>
      <c r="AA1013" s="170"/>
      <c r="AB1013" s="196" t="s">
        <v>208</v>
      </c>
      <c r="AC1013" s="251"/>
      <c r="AD1013" s="170"/>
      <c r="AE1013" s="225"/>
      <c r="AF1013" s="170"/>
      <c r="AG1013" s="170"/>
      <c r="AH1013" s="251"/>
      <c r="AI1013" s="170"/>
      <c r="AJ1013" s="196" t="s">
        <v>115</v>
      </c>
      <c r="AK1013" s="22"/>
      <c r="AL1013" s="170"/>
      <c r="AM1013" s="170"/>
      <c r="AN1013" s="170"/>
      <c r="AO1013" s="170"/>
      <c r="AP1013" s="170"/>
      <c r="AQ1013" s="22"/>
      <c r="AR1013" s="22"/>
      <c r="AS1013" s="22"/>
      <c r="AT1013" s="170"/>
      <c r="AU1013" s="170"/>
      <c r="AV1013" s="170"/>
      <c r="AW1013" s="170"/>
      <c r="AX1013" s="170"/>
      <c r="AY1013" s="170"/>
      <c r="AZ1013" s="170"/>
      <c r="BA1013" s="170"/>
      <c r="BB1013" s="170"/>
      <c r="BC1013" s="170"/>
      <c r="BD1013" s="170"/>
      <c r="BE1013" s="137" t="s">
        <v>2676</v>
      </c>
      <c r="BF1013" s="137" t="s">
        <v>2642</v>
      </c>
      <c r="BG1013" s="139" t="s">
        <v>2643</v>
      </c>
      <c r="BH1013" s="220"/>
      <c r="BI1013" s="220"/>
      <c r="BJ1013" s="220"/>
      <c r="BK1013" s="46">
        <f t="shared" si="1"/>
        <v>1</v>
      </c>
      <c r="BL1013" s="46"/>
      <c r="BM1013" s="46"/>
      <c r="BN1013" s="46"/>
    </row>
    <row r="1014" spans="1:66" ht="12.75" hidden="1" customHeight="1">
      <c r="A1014" s="22">
        <v>1012</v>
      </c>
      <c r="B1014" s="22" t="s">
        <v>2690</v>
      </c>
      <c r="C1014" s="22" t="str">
        <f t="shared" si="0"/>
        <v xml:space="preserve">Prescribe aspirin 75 mg daily until delivery (starting at 12 weeks gestation) and ensure that she continues to take her daily calcium supplement of 1.5 to 2 g until delivery </v>
      </c>
      <c r="D1014" s="24" t="s">
        <v>2690</v>
      </c>
      <c r="E1014" s="22" t="s">
        <v>96</v>
      </c>
      <c r="F1014" s="24" t="s">
        <v>1787</v>
      </c>
      <c r="G1014" s="24" t="s">
        <v>2673</v>
      </c>
      <c r="H1014" s="24"/>
      <c r="I1014" s="24">
        <v>1</v>
      </c>
      <c r="J1014" s="24" t="s">
        <v>2372</v>
      </c>
      <c r="K1014" s="24"/>
      <c r="L1014" s="24"/>
      <c r="M1014" s="24"/>
      <c r="N1014" s="24"/>
      <c r="O1014" s="24"/>
      <c r="P1014" s="170"/>
      <c r="Q1014" s="170"/>
      <c r="R1014" s="195" t="s">
        <v>2690</v>
      </c>
      <c r="S1014" s="164" t="s">
        <v>2691</v>
      </c>
      <c r="T1014" s="164"/>
      <c r="U1014" s="164" t="s">
        <v>202</v>
      </c>
      <c r="V1014" s="163"/>
      <c r="W1014" s="163"/>
      <c r="X1014" s="164"/>
      <c r="Y1014" s="164"/>
      <c r="Z1014" s="164"/>
      <c r="AA1014" s="170"/>
      <c r="AB1014" s="164" t="s">
        <v>113</v>
      </c>
      <c r="AC1014" s="251"/>
      <c r="AD1014" s="170"/>
      <c r="AE1014" s="225"/>
      <c r="AF1014" s="170"/>
      <c r="AG1014" s="170"/>
      <c r="AH1014" s="251"/>
      <c r="AI1014" s="170"/>
      <c r="AJ1014" s="242" t="s">
        <v>2675</v>
      </c>
      <c r="AK1014" s="22"/>
      <c r="AL1014" s="170"/>
      <c r="AM1014" s="170"/>
      <c r="AN1014" s="170"/>
      <c r="AO1014" s="170"/>
      <c r="AP1014" s="170"/>
      <c r="AQ1014" s="22"/>
      <c r="AR1014" s="22"/>
      <c r="AS1014" s="22"/>
      <c r="AT1014" s="170"/>
      <c r="AU1014" s="170"/>
      <c r="AV1014" s="170"/>
      <c r="AW1014" s="170"/>
      <c r="AX1014" s="170"/>
      <c r="AY1014" s="170"/>
      <c r="AZ1014" s="170"/>
      <c r="BA1014" s="170"/>
      <c r="BB1014" s="170"/>
      <c r="BC1014" s="170"/>
      <c r="BD1014" s="170"/>
      <c r="BE1014" s="137" t="s">
        <v>2676</v>
      </c>
      <c r="BF1014" s="137" t="s">
        <v>2630</v>
      </c>
      <c r="BG1014" s="139" t="s">
        <v>2631</v>
      </c>
      <c r="BH1014" s="220"/>
      <c r="BI1014" s="220"/>
      <c r="BJ1014" s="220"/>
      <c r="BK1014" s="46">
        <f t="shared" si="1"/>
        <v>1</v>
      </c>
      <c r="BL1014" s="46"/>
      <c r="BM1014" s="46"/>
      <c r="BN1014" s="46"/>
    </row>
    <row r="1015" spans="1:66" ht="12.75" hidden="1" customHeight="1">
      <c r="A1015" s="22">
        <v>1013</v>
      </c>
      <c r="B1015" s="22" t="s">
        <v>2527</v>
      </c>
      <c r="C1015" s="22" t="e">
        <f t="shared" ca="1" si="0"/>
        <v>#NAME?</v>
      </c>
      <c r="D1015" s="24" t="s">
        <v>1673</v>
      </c>
      <c r="E1015" s="22" t="s">
        <v>180</v>
      </c>
      <c r="F1015" s="24" t="s">
        <v>2690</v>
      </c>
      <c r="G1015" s="24" t="s">
        <v>2673</v>
      </c>
      <c r="H1015" s="24"/>
      <c r="I1015" s="24">
        <v>1</v>
      </c>
      <c r="J1015" s="24" t="s">
        <v>2372</v>
      </c>
      <c r="K1015" s="24"/>
      <c r="L1015" s="24"/>
      <c r="M1015" s="24"/>
      <c r="N1015" s="24"/>
      <c r="O1015" s="24"/>
      <c r="P1015" s="170"/>
      <c r="Q1015" s="170"/>
      <c r="R1015" s="169"/>
      <c r="S1015" s="164"/>
      <c r="T1015" s="164"/>
      <c r="U1015" s="164"/>
      <c r="V1015" s="163"/>
      <c r="W1015" s="163" t="s">
        <v>1673</v>
      </c>
      <c r="X1015" s="164"/>
      <c r="Y1015" s="164"/>
      <c r="Z1015" s="164"/>
      <c r="AA1015" s="170"/>
      <c r="AB1015" s="164"/>
      <c r="AC1015" s="251"/>
      <c r="AD1015" s="170"/>
      <c r="AE1015" s="225"/>
      <c r="AF1015" s="170"/>
      <c r="AG1015" s="170"/>
      <c r="AH1015" s="251"/>
      <c r="AI1015" s="170"/>
      <c r="AJ1015" s="196"/>
      <c r="AK1015" s="22"/>
      <c r="AL1015" s="170"/>
      <c r="AM1015" s="170"/>
      <c r="AN1015" s="170"/>
      <c r="AO1015" s="170"/>
      <c r="AP1015" s="170"/>
      <c r="AQ1015" s="22"/>
      <c r="AR1015" s="22"/>
      <c r="AS1015" s="22"/>
      <c r="AT1015" s="170"/>
      <c r="AU1015" s="170"/>
      <c r="AV1015" s="170"/>
      <c r="AW1015" s="170"/>
      <c r="AX1015" s="170"/>
      <c r="AY1015" s="170"/>
      <c r="AZ1015" s="170"/>
      <c r="BA1015" s="170"/>
      <c r="BB1015" s="170"/>
      <c r="BC1015" s="170"/>
      <c r="BD1015" s="170"/>
      <c r="BE1015" s="137" t="s">
        <v>115</v>
      </c>
      <c r="BF1015" s="137" t="s">
        <v>942</v>
      </c>
      <c r="BG1015" s="167" t="s">
        <v>943</v>
      </c>
      <c r="BH1015" s="220"/>
      <c r="BI1015" s="220"/>
      <c r="BJ1015" s="220"/>
      <c r="BK1015" s="46">
        <f t="shared" si="1"/>
        <v>1</v>
      </c>
      <c r="BL1015" s="46"/>
      <c r="BM1015" s="46"/>
      <c r="BN1015" s="46"/>
    </row>
    <row r="1016" spans="1:66" ht="12.75" hidden="1" customHeight="1">
      <c r="A1016" s="22">
        <v>1014</v>
      </c>
      <c r="B1016" s="22" t="s">
        <v>2118</v>
      </c>
      <c r="C1016" s="22" t="e">
        <f t="shared" ca="1" si="0"/>
        <v>#NAME?</v>
      </c>
      <c r="D1016" s="24" t="s">
        <v>1468</v>
      </c>
      <c r="E1016" s="22" t="s">
        <v>180</v>
      </c>
      <c r="F1016" s="24" t="s">
        <v>2690</v>
      </c>
      <c r="G1016" s="24" t="s">
        <v>2673</v>
      </c>
      <c r="H1016" s="24"/>
      <c r="I1016" s="24">
        <v>1</v>
      </c>
      <c r="J1016" s="24" t="s">
        <v>2372</v>
      </c>
      <c r="K1016" s="24"/>
      <c r="L1016" s="24"/>
      <c r="M1016" s="24"/>
      <c r="N1016" s="24"/>
      <c r="O1016" s="24"/>
      <c r="P1016" s="170"/>
      <c r="Q1016" s="170"/>
      <c r="R1016" s="169"/>
      <c r="S1016" s="164"/>
      <c r="T1016" s="164"/>
      <c r="U1016" s="164"/>
      <c r="V1016" s="163"/>
      <c r="W1016" s="163" t="s">
        <v>1468</v>
      </c>
      <c r="X1016" s="164"/>
      <c r="Y1016" s="164"/>
      <c r="Z1016" s="164"/>
      <c r="AA1016" s="170"/>
      <c r="AB1016" s="164"/>
      <c r="AC1016" s="251"/>
      <c r="AD1016" s="170"/>
      <c r="AE1016" s="225"/>
      <c r="AF1016" s="170"/>
      <c r="AG1016" s="170"/>
      <c r="AH1016" s="251"/>
      <c r="AI1016" s="170"/>
      <c r="AJ1016" s="196"/>
      <c r="AK1016" s="22"/>
      <c r="AL1016" s="170"/>
      <c r="AM1016" s="170"/>
      <c r="AN1016" s="170"/>
      <c r="AO1016" s="170"/>
      <c r="AP1016" s="170"/>
      <c r="AQ1016" s="22"/>
      <c r="AR1016" s="22"/>
      <c r="AS1016" s="22"/>
      <c r="AT1016" s="170"/>
      <c r="AU1016" s="170"/>
      <c r="AV1016" s="170"/>
      <c r="AW1016" s="170"/>
      <c r="AX1016" s="170"/>
      <c r="AY1016" s="170"/>
      <c r="AZ1016" s="170"/>
      <c r="BA1016" s="170"/>
      <c r="BB1016" s="170"/>
      <c r="BC1016" s="170"/>
      <c r="BD1016" s="170"/>
      <c r="BE1016" s="137" t="s">
        <v>115</v>
      </c>
      <c r="BF1016" s="137" t="s">
        <v>1469</v>
      </c>
      <c r="BG1016" s="167" t="s">
        <v>1470</v>
      </c>
      <c r="BH1016" s="220"/>
      <c r="BI1016" s="220"/>
      <c r="BJ1016" s="220"/>
      <c r="BK1016" s="46">
        <f t="shared" si="1"/>
        <v>1</v>
      </c>
      <c r="BL1016" s="46"/>
      <c r="BM1016" s="46"/>
      <c r="BN1016" s="46"/>
    </row>
    <row r="1017" spans="1:66" ht="12.75" hidden="1" customHeight="1">
      <c r="A1017" s="22">
        <v>1015</v>
      </c>
      <c r="B1017" s="22" t="s">
        <v>2692</v>
      </c>
      <c r="C1017" s="22" t="str">
        <f t="shared" si="0"/>
        <v>Reason Prescribe aspirin 75 mg daily until delivery (starting at 12 weeks gestation) and ensure that she continues to take her daily calcium supplement of 1.5 to 2 g until delivery not done</v>
      </c>
      <c r="D1017" s="24" t="s">
        <v>2692</v>
      </c>
      <c r="E1017" s="22" t="s">
        <v>96</v>
      </c>
      <c r="F1017" s="24" t="s">
        <v>1787</v>
      </c>
      <c r="G1017" s="24" t="s">
        <v>2673</v>
      </c>
      <c r="H1017" s="24"/>
      <c r="I1017" s="24">
        <v>1</v>
      </c>
      <c r="J1017" s="24" t="s">
        <v>2372</v>
      </c>
      <c r="K1017" s="24"/>
      <c r="L1017" s="24"/>
      <c r="M1017" s="24"/>
      <c r="N1017" s="24"/>
      <c r="O1017" s="24"/>
      <c r="P1017" s="170"/>
      <c r="Q1017" s="170"/>
      <c r="R1017" s="169" t="s">
        <v>1376</v>
      </c>
      <c r="S1017" s="164" t="s">
        <v>2693</v>
      </c>
      <c r="T1017" s="164" t="s">
        <v>2694</v>
      </c>
      <c r="U1017" s="164" t="s">
        <v>202</v>
      </c>
      <c r="V1017" s="163"/>
      <c r="W1017" s="163"/>
      <c r="X1017" s="164"/>
      <c r="Y1017" s="164"/>
      <c r="Z1017" s="164"/>
      <c r="AA1017" s="170"/>
      <c r="AB1017" s="164" t="s">
        <v>113</v>
      </c>
      <c r="AC1017" s="251"/>
      <c r="AD1017" s="170"/>
      <c r="AE1017" s="225"/>
      <c r="AF1017" s="170"/>
      <c r="AG1017" s="170"/>
      <c r="AH1017" s="251"/>
      <c r="AI1017" s="170"/>
      <c r="AJ1017" s="196" t="s">
        <v>115</v>
      </c>
      <c r="AK1017" s="22"/>
      <c r="AL1017" s="170"/>
      <c r="AM1017" s="170"/>
      <c r="AN1017" s="170"/>
      <c r="AO1017" s="170"/>
      <c r="AP1017" s="170"/>
      <c r="AQ1017" s="22"/>
      <c r="AR1017" s="22"/>
      <c r="AS1017" s="22"/>
      <c r="AT1017" s="170"/>
      <c r="AU1017" s="170"/>
      <c r="AV1017" s="170"/>
      <c r="AW1017" s="170"/>
      <c r="AX1017" s="170"/>
      <c r="AY1017" s="170"/>
      <c r="AZ1017" s="170"/>
      <c r="BA1017" s="170"/>
      <c r="BB1017" s="170"/>
      <c r="BC1017" s="170"/>
      <c r="BD1017" s="170"/>
      <c r="BE1017" s="137" t="s">
        <v>2676</v>
      </c>
      <c r="BF1017" s="137" t="s">
        <v>2635</v>
      </c>
      <c r="BG1017" s="139" t="s">
        <v>2636</v>
      </c>
      <c r="BH1017" s="220"/>
      <c r="BI1017" s="220"/>
      <c r="BJ1017" s="220"/>
      <c r="BK1017" s="46">
        <f t="shared" si="1"/>
        <v>1</v>
      </c>
      <c r="BL1017" s="46"/>
      <c r="BM1017" s="46"/>
      <c r="BN1017" s="46"/>
    </row>
    <row r="1018" spans="1:66" ht="12.75" hidden="1" customHeight="1">
      <c r="A1018" s="22">
        <v>1016</v>
      </c>
      <c r="B1018" s="22" t="s">
        <v>4085</v>
      </c>
      <c r="C1018" s="22" t="e">
        <f t="shared" ca="1" si="0"/>
        <v>#NAME?</v>
      </c>
      <c r="D1018" s="24" t="s">
        <v>2681</v>
      </c>
      <c r="E1018" s="22" t="s">
        <v>180</v>
      </c>
      <c r="F1018" s="24" t="s">
        <v>2692</v>
      </c>
      <c r="G1018" s="24" t="s">
        <v>2673</v>
      </c>
      <c r="H1018" s="24"/>
      <c r="I1018" s="24">
        <v>1</v>
      </c>
      <c r="J1018" s="24" t="s">
        <v>2372</v>
      </c>
      <c r="K1018" s="24"/>
      <c r="L1018" s="24"/>
      <c r="M1018" s="24"/>
      <c r="N1018" s="24"/>
      <c r="O1018" s="24"/>
      <c r="P1018" s="170"/>
      <c r="Q1018" s="170"/>
      <c r="R1018" s="247"/>
      <c r="S1018" s="164"/>
      <c r="T1018" s="196"/>
      <c r="U1018" s="196"/>
      <c r="V1018" s="163"/>
      <c r="W1018" s="163" t="s">
        <v>2681</v>
      </c>
      <c r="X1018" s="196"/>
      <c r="Y1018" s="196"/>
      <c r="Z1018" s="196"/>
      <c r="AA1018" s="170"/>
      <c r="AB1018" s="196"/>
      <c r="AC1018" s="251"/>
      <c r="AD1018" s="170"/>
      <c r="AE1018" s="225"/>
      <c r="AF1018" s="170"/>
      <c r="AG1018" s="170"/>
      <c r="AH1018" s="251"/>
      <c r="AI1018" s="170"/>
      <c r="AJ1018" s="196"/>
      <c r="AK1018" s="22"/>
      <c r="AL1018" s="170"/>
      <c r="AM1018" s="170"/>
      <c r="AN1018" s="170"/>
      <c r="AO1018" s="170"/>
      <c r="AP1018" s="170"/>
      <c r="AQ1018" s="22"/>
      <c r="AR1018" s="22"/>
      <c r="AS1018" s="22"/>
      <c r="AT1018" s="170"/>
      <c r="AU1018" s="170"/>
      <c r="AV1018" s="170"/>
      <c r="AW1018" s="170"/>
      <c r="AX1018" s="170"/>
      <c r="AY1018" s="170"/>
      <c r="AZ1018" s="170"/>
      <c r="BA1018" s="170"/>
      <c r="BB1018" s="170"/>
      <c r="BC1018" s="170"/>
      <c r="BD1018" s="170"/>
      <c r="BE1018" s="137" t="s">
        <v>115</v>
      </c>
      <c r="BF1018" s="143" t="s">
        <v>2637</v>
      </c>
      <c r="BG1018" s="167" t="s">
        <v>2638</v>
      </c>
      <c r="BH1018" s="220"/>
      <c r="BI1018" s="220"/>
      <c r="BJ1018" s="220"/>
      <c r="BK1018" s="46">
        <f t="shared" si="1"/>
        <v>1</v>
      </c>
      <c r="BL1018" s="46"/>
      <c r="BM1018" s="46"/>
      <c r="BN1018" s="46"/>
    </row>
    <row r="1019" spans="1:66" ht="12.75" hidden="1" customHeight="1">
      <c r="A1019" s="22">
        <v>1017</v>
      </c>
      <c r="B1019" s="22" t="s">
        <v>4092</v>
      </c>
      <c r="C1019" s="22" t="e">
        <f t="shared" ca="1" si="0"/>
        <v>#NAME?</v>
      </c>
      <c r="D1019" s="24" t="s">
        <v>2682</v>
      </c>
      <c r="E1019" s="22" t="s">
        <v>180</v>
      </c>
      <c r="F1019" s="24" t="s">
        <v>2692</v>
      </c>
      <c r="G1019" s="24" t="s">
        <v>2673</v>
      </c>
      <c r="H1019" s="24"/>
      <c r="I1019" s="24">
        <v>1</v>
      </c>
      <c r="J1019" s="24" t="s">
        <v>2372</v>
      </c>
      <c r="K1019" s="24"/>
      <c r="L1019" s="24"/>
      <c r="M1019" s="24"/>
      <c r="N1019" s="24"/>
      <c r="O1019" s="24"/>
      <c r="P1019" s="170"/>
      <c r="Q1019" s="170"/>
      <c r="R1019" s="247"/>
      <c r="S1019" s="164"/>
      <c r="T1019" s="196"/>
      <c r="U1019" s="196"/>
      <c r="V1019" s="194"/>
      <c r="W1019" s="194" t="s">
        <v>2682</v>
      </c>
      <c r="X1019" s="196"/>
      <c r="Y1019" s="196"/>
      <c r="Z1019" s="196"/>
      <c r="AA1019" s="170"/>
      <c r="AB1019" s="196"/>
      <c r="AC1019" s="251"/>
      <c r="AD1019" s="170"/>
      <c r="AE1019" s="225"/>
      <c r="AF1019" s="170"/>
      <c r="AG1019" s="170"/>
      <c r="AH1019" s="251"/>
      <c r="AI1019" s="170"/>
      <c r="AJ1019" s="196"/>
      <c r="AK1019" s="22"/>
      <c r="AL1019" s="170"/>
      <c r="AM1019" s="170"/>
      <c r="AN1019" s="170"/>
      <c r="AO1019" s="170"/>
      <c r="AP1019" s="170"/>
      <c r="AQ1019" s="22"/>
      <c r="AR1019" s="22"/>
      <c r="AS1019" s="22"/>
      <c r="AT1019" s="170"/>
      <c r="AU1019" s="170"/>
      <c r="AV1019" s="170"/>
      <c r="AW1019" s="170"/>
      <c r="AX1019" s="170"/>
      <c r="AY1019" s="170"/>
      <c r="AZ1019" s="170"/>
      <c r="BA1019" s="170"/>
      <c r="BB1019" s="170"/>
      <c r="BC1019" s="170"/>
      <c r="BD1019" s="170"/>
      <c r="BE1019" s="137" t="s">
        <v>115</v>
      </c>
      <c r="BF1019" s="143" t="s">
        <v>1166</v>
      </c>
      <c r="BG1019" s="167" t="s">
        <v>1167</v>
      </c>
      <c r="BH1019" s="220"/>
      <c r="BI1019" s="220"/>
      <c r="BJ1019" s="220"/>
      <c r="BK1019" s="46">
        <f t="shared" si="1"/>
        <v>1</v>
      </c>
      <c r="BL1019" s="46"/>
      <c r="BM1019" s="46"/>
      <c r="BN1019" s="46"/>
    </row>
    <row r="1020" spans="1:66" ht="12.75" hidden="1" customHeight="1">
      <c r="A1020" s="22">
        <v>1018</v>
      </c>
      <c r="B1020" s="22" t="s">
        <v>4099</v>
      </c>
      <c r="C1020" s="22" t="e">
        <f t="shared" ca="1" si="0"/>
        <v>#NAME?</v>
      </c>
      <c r="D1020" s="24" t="s">
        <v>2684</v>
      </c>
      <c r="E1020" s="22" t="s">
        <v>180</v>
      </c>
      <c r="F1020" s="24" t="s">
        <v>2692</v>
      </c>
      <c r="G1020" s="24" t="s">
        <v>2673</v>
      </c>
      <c r="H1020" s="24"/>
      <c r="I1020" s="24">
        <v>1</v>
      </c>
      <c r="J1020" s="24" t="s">
        <v>2372</v>
      </c>
      <c r="K1020" s="24"/>
      <c r="L1020" s="24"/>
      <c r="M1020" s="24"/>
      <c r="N1020" s="24"/>
      <c r="O1020" s="24"/>
      <c r="P1020" s="170"/>
      <c r="Q1020" s="170"/>
      <c r="R1020" s="247"/>
      <c r="S1020" s="164"/>
      <c r="T1020" s="196"/>
      <c r="U1020" s="196"/>
      <c r="V1020" s="194"/>
      <c r="W1020" s="194" t="s">
        <v>2684</v>
      </c>
      <c r="X1020" s="196"/>
      <c r="Y1020" s="196"/>
      <c r="Z1020" s="196"/>
      <c r="AA1020" s="170"/>
      <c r="AB1020" s="196"/>
      <c r="AC1020" s="251"/>
      <c r="AD1020" s="170"/>
      <c r="AE1020" s="225"/>
      <c r="AF1020" s="170"/>
      <c r="AG1020" s="170"/>
      <c r="AH1020" s="251"/>
      <c r="AI1020" s="170"/>
      <c r="AJ1020" s="196"/>
      <c r="AK1020" s="22"/>
      <c r="AL1020" s="170"/>
      <c r="AM1020" s="170"/>
      <c r="AN1020" s="170"/>
      <c r="AO1020" s="170"/>
      <c r="AP1020" s="170"/>
      <c r="AQ1020" s="22"/>
      <c r="AR1020" s="22"/>
      <c r="AS1020" s="22"/>
      <c r="AT1020" s="170"/>
      <c r="AU1020" s="170"/>
      <c r="AV1020" s="170"/>
      <c r="AW1020" s="170"/>
      <c r="AX1020" s="170"/>
      <c r="AY1020" s="170"/>
      <c r="AZ1020" s="170"/>
      <c r="BA1020" s="170"/>
      <c r="BB1020" s="170"/>
      <c r="BC1020" s="170"/>
      <c r="BD1020" s="170"/>
      <c r="BE1020" s="137" t="s">
        <v>115</v>
      </c>
      <c r="BF1020" s="143" t="s">
        <v>2685</v>
      </c>
      <c r="BG1020" s="167" t="s">
        <v>2686</v>
      </c>
      <c r="BH1020" s="220"/>
      <c r="BI1020" s="220"/>
      <c r="BJ1020" s="220"/>
      <c r="BK1020" s="46">
        <f t="shared" si="1"/>
        <v>1</v>
      </c>
      <c r="BL1020" s="46"/>
      <c r="BM1020" s="46"/>
      <c r="BN1020" s="46"/>
    </row>
    <row r="1021" spans="1:66" ht="12.75" hidden="1" customHeight="1">
      <c r="A1021" s="22">
        <v>1019</v>
      </c>
      <c r="B1021" s="22" t="s">
        <v>535</v>
      </c>
      <c r="C1021" s="22" t="e">
        <f t="shared" ca="1" si="0"/>
        <v>#NAME?</v>
      </c>
      <c r="D1021" s="24" t="s">
        <v>405</v>
      </c>
      <c r="E1021" s="22" t="s">
        <v>180</v>
      </c>
      <c r="F1021" s="24" t="s">
        <v>2692</v>
      </c>
      <c r="G1021" s="24" t="s">
        <v>2673</v>
      </c>
      <c r="H1021" s="24"/>
      <c r="I1021" s="24">
        <v>1</v>
      </c>
      <c r="J1021" s="24" t="s">
        <v>2372</v>
      </c>
      <c r="K1021" s="24"/>
      <c r="L1021" s="24"/>
      <c r="M1021" s="24"/>
      <c r="N1021" s="24"/>
      <c r="O1021" s="24"/>
      <c r="P1021" s="170"/>
      <c r="Q1021" s="170"/>
      <c r="R1021" s="247"/>
      <c r="S1021" s="164"/>
      <c r="T1021" s="196"/>
      <c r="U1021" s="196"/>
      <c r="V1021" s="194"/>
      <c r="W1021" s="194" t="s">
        <v>405</v>
      </c>
      <c r="X1021" s="196"/>
      <c r="Y1021" s="196"/>
      <c r="Z1021" s="196"/>
      <c r="AA1021" s="170"/>
      <c r="AB1021" s="196"/>
      <c r="AC1021" s="251"/>
      <c r="AD1021" s="170"/>
      <c r="AE1021" s="225"/>
      <c r="AF1021" s="170"/>
      <c r="AG1021" s="170"/>
      <c r="AH1021" s="251"/>
      <c r="AI1021" s="170"/>
      <c r="AJ1021" s="196"/>
      <c r="AK1021" s="22"/>
      <c r="AL1021" s="170"/>
      <c r="AM1021" s="170"/>
      <c r="AN1021" s="170"/>
      <c r="AO1021" s="170"/>
      <c r="AP1021" s="170"/>
      <c r="AQ1021" s="22"/>
      <c r="AR1021" s="22"/>
      <c r="AS1021" s="22"/>
      <c r="AT1021" s="170"/>
      <c r="AU1021" s="170"/>
      <c r="AV1021" s="170"/>
      <c r="AW1021" s="170"/>
      <c r="AX1021" s="170"/>
      <c r="AY1021" s="170"/>
      <c r="AZ1021" s="170"/>
      <c r="BA1021" s="170"/>
      <c r="BB1021" s="170"/>
      <c r="BC1021" s="170"/>
      <c r="BD1021" s="170"/>
      <c r="BE1021" s="137" t="s">
        <v>115</v>
      </c>
      <c r="BF1021" s="143" t="s">
        <v>406</v>
      </c>
      <c r="BG1021" s="167" t="s">
        <v>407</v>
      </c>
      <c r="BH1021" s="220"/>
      <c r="BI1021" s="220"/>
      <c r="BJ1021" s="220"/>
      <c r="BK1021" s="46">
        <f t="shared" si="1"/>
        <v>1</v>
      </c>
      <c r="BL1021" s="46"/>
      <c r="BM1021" s="46"/>
      <c r="BN1021" s="46"/>
    </row>
    <row r="1022" spans="1:66" ht="12.75" hidden="1" customHeight="1">
      <c r="A1022" s="22">
        <v>1020</v>
      </c>
      <c r="B1022" s="22" t="s">
        <v>2695</v>
      </c>
      <c r="C1022" s="22" t="str">
        <f t="shared" si="0"/>
        <v>Specify - Reason Prescribe aspirin 75 mg daily until delivery (starting at 12 weeks gestation) and ensure that she continues to take her daily calcium supplement of 1.5 to 2 g until delivery not done</v>
      </c>
      <c r="D1022" s="24" t="s">
        <v>2695</v>
      </c>
      <c r="E1022" s="22" t="s">
        <v>96</v>
      </c>
      <c r="F1022" s="24" t="s">
        <v>1787</v>
      </c>
      <c r="G1022" s="24" t="s">
        <v>2673</v>
      </c>
      <c r="H1022" s="24"/>
      <c r="I1022" s="24">
        <v>1</v>
      </c>
      <c r="J1022" s="24" t="s">
        <v>2372</v>
      </c>
      <c r="K1022" s="24"/>
      <c r="L1022" s="24"/>
      <c r="M1022" s="24"/>
      <c r="N1022" s="24"/>
      <c r="O1022" s="24"/>
      <c r="P1022" s="170"/>
      <c r="Q1022" s="170"/>
      <c r="R1022" s="247" t="s">
        <v>409</v>
      </c>
      <c r="S1022" s="164" t="s">
        <v>2696</v>
      </c>
      <c r="T1022" s="196" t="s">
        <v>2697</v>
      </c>
      <c r="U1022" s="196" t="s">
        <v>111</v>
      </c>
      <c r="V1022" s="194"/>
      <c r="W1022" s="194"/>
      <c r="X1022" s="196"/>
      <c r="Y1022" s="196"/>
      <c r="Z1022" s="196"/>
      <c r="AA1022" s="170"/>
      <c r="AB1022" s="196" t="s">
        <v>208</v>
      </c>
      <c r="AC1022" s="251"/>
      <c r="AD1022" s="170"/>
      <c r="AE1022" s="225"/>
      <c r="AF1022" s="170"/>
      <c r="AG1022" s="170"/>
      <c r="AH1022" s="251"/>
      <c r="AI1022" s="170"/>
      <c r="AJ1022" s="196" t="s">
        <v>115</v>
      </c>
      <c r="AK1022" s="22"/>
      <c r="AL1022" s="170"/>
      <c r="AM1022" s="170"/>
      <c r="AN1022" s="170"/>
      <c r="AO1022" s="170"/>
      <c r="AP1022" s="170"/>
      <c r="AQ1022" s="22"/>
      <c r="AR1022" s="22"/>
      <c r="AS1022" s="22"/>
      <c r="AT1022" s="170"/>
      <c r="AU1022" s="170"/>
      <c r="AV1022" s="170"/>
      <c r="AW1022" s="170"/>
      <c r="AX1022" s="170"/>
      <c r="AY1022" s="170"/>
      <c r="AZ1022" s="170"/>
      <c r="BA1022" s="170"/>
      <c r="BB1022" s="170"/>
      <c r="BC1022" s="170"/>
      <c r="BD1022" s="170"/>
      <c r="BE1022" s="137" t="s">
        <v>2676</v>
      </c>
      <c r="BF1022" s="137" t="s">
        <v>2642</v>
      </c>
      <c r="BG1022" s="139" t="s">
        <v>2643</v>
      </c>
      <c r="BH1022" s="220"/>
      <c r="BI1022" s="220"/>
      <c r="BJ1022" s="220"/>
      <c r="BK1022" s="46">
        <f t="shared" si="1"/>
        <v>1</v>
      </c>
      <c r="BL1022" s="46"/>
      <c r="BM1022" s="46"/>
      <c r="BN1022" s="46"/>
    </row>
    <row r="1023" spans="1:66" ht="12.75" hidden="1" customHeight="1">
      <c r="A1023" s="22">
        <v>1021</v>
      </c>
      <c r="B1023" s="22" t="s">
        <v>2698</v>
      </c>
      <c r="C1023" s="22" t="str">
        <f t="shared" si="0"/>
        <v>aspirin</v>
      </c>
      <c r="D1023" s="24" t="s">
        <v>2698</v>
      </c>
      <c r="E1023" s="22" t="s">
        <v>65</v>
      </c>
      <c r="F1023" s="24" t="s">
        <v>1787</v>
      </c>
      <c r="G1023" s="24" t="s">
        <v>2673</v>
      </c>
      <c r="H1023" s="24"/>
      <c r="I1023" s="24">
        <v>1</v>
      </c>
      <c r="J1023" s="24" t="s">
        <v>2372</v>
      </c>
      <c r="K1023" s="24"/>
      <c r="L1023" s="24"/>
      <c r="M1023" s="24"/>
      <c r="N1023" s="24"/>
      <c r="O1023" s="24"/>
      <c r="P1023" s="170"/>
      <c r="Q1023" s="170"/>
      <c r="R1023" s="222" t="s">
        <v>115</v>
      </c>
      <c r="S1023" s="221" t="s">
        <v>2698</v>
      </c>
      <c r="T1023" s="221" t="s">
        <v>2699</v>
      </c>
      <c r="U1023" s="221" t="s">
        <v>65</v>
      </c>
      <c r="V1023" s="163"/>
      <c r="W1023" s="163"/>
      <c r="X1023" s="221" t="s">
        <v>2700</v>
      </c>
      <c r="Y1023" s="221"/>
      <c r="Z1023" s="164"/>
      <c r="AA1023" s="170"/>
      <c r="AB1023" s="221" t="s">
        <v>115</v>
      </c>
      <c r="AC1023" s="251"/>
      <c r="AD1023" s="170"/>
      <c r="AE1023" s="225"/>
      <c r="AF1023" s="170"/>
      <c r="AG1023" s="170"/>
      <c r="AH1023" s="251"/>
      <c r="AI1023" s="170"/>
      <c r="AJ1023" s="221" t="s">
        <v>115</v>
      </c>
      <c r="AK1023" s="22"/>
      <c r="AL1023" s="170"/>
      <c r="AM1023" s="170"/>
      <c r="AN1023" s="170"/>
      <c r="AO1023" s="170"/>
      <c r="AP1023" s="170"/>
      <c r="AQ1023" s="22"/>
      <c r="AR1023" s="22"/>
      <c r="AS1023" s="22"/>
      <c r="AT1023" s="170"/>
      <c r="AU1023" s="170"/>
      <c r="AV1023" s="170"/>
      <c r="AW1023" s="170"/>
      <c r="AX1023" s="170"/>
      <c r="AY1023" s="170"/>
      <c r="AZ1023" s="170"/>
      <c r="BA1023" s="170"/>
      <c r="BB1023" s="170"/>
      <c r="BC1023" s="170"/>
      <c r="BD1023" s="170"/>
      <c r="BE1023" s="137" t="s">
        <v>115</v>
      </c>
      <c r="BF1023" s="137" t="s">
        <v>115</v>
      </c>
      <c r="BG1023" s="139" t="s">
        <v>115</v>
      </c>
      <c r="BH1023" s="220"/>
      <c r="BI1023" s="220"/>
      <c r="BJ1023" s="220"/>
      <c r="BK1023" s="46">
        <f t="shared" si="1"/>
        <v>1</v>
      </c>
      <c r="BL1023" s="46"/>
      <c r="BM1023" s="46"/>
      <c r="BN1023" s="46"/>
    </row>
    <row r="1024" spans="1:66" ht="12.75" hidden="1" customHeight="1">
      <c r="A1024" s="22">
        <v>1022</v>
      </c>
      <c r="B1024" s="22" t="s">
        <v>2702</v>
      </c>
      <c r="C1024" s="22" t="str">
        <f t="shared" si="0"/>
        <v>HIV risk counseling</v>
      </c>
      <c r="D1024" s="24" t="s">
        <v>2702</v>
      </c>
      <c r="E1024" s="22" t="s">
        <v>96</v>
      </c>
      <c r="F1024" s="24" t="s">
        <v>1787</v>
      </c>
      <c r="G1024" s="24" t="s">
        <v>2703</v>
      </c>
      <c r="H1024" s="24"/>
      <c r="I1024" s="24">
        <v>1</v>
      </c>
      <c r="J1024" s="24" t="s">
        <v>2372</v>
      </c>
      <c r="K1024" s="24"/>
      <c r="L1024" s="24"/>
      <c r="M1024" s="24"/>
      <c r="N1024" s="24"/>
      <c r="O1024" s="24"/>
      <c r="P1024" s="170"/>
      <c r="Q1024" s="170"/>
      <c r="R1024" s="169" t="s">
        <v>2702</v>
      </c>
      <c r="S1024" s="164" t="s">
        <v>2704</v>
      </c>
      <c r="T1024" s="164"/>
      <c r="U1024" s="164" t="s">
        <v>202</v>
      </c>
      <c r="V1024" s="163"/>
      <c r="W1024" s="163"/>
      <c r="X1024" s="164"/>
      <c r="Y1024" s="164"/>
      <c r="Z1024" s="164"/>
      <c r="AA1024" s="170"/>
      <c r="AB1024" s="164" t="s">
        <v>208</v>
      </c>
      <c r="AC1024" s="251"/>
      <c r="AD1024" s="170"/>
      <c r="AE1024" s="225"/>
      <c r="AF1024" s="170"/>
      <c r="AG1024" s="170"/>
      <c r="AH1024" s="251"/>
      <c r="AI1024" s="170"/>
      <c r="AJ1024" s="194" t="s">
        <v>2375</v>
      </c>
      <c r="AK1024" s="22"/>
      <c r="AL1024" s="170"/>
      <c r="AM1024" s="170"/>
      <c r="AN1024" s="170"/>
      <c r="AO1024" s="170"/>
      <c r="AP1024" s="170"/>
      <c r="AQ1024" s="22"/>
      <c r="AR1024" s="22"/>
      <c r="AS1024" s="22"/>
      <c r="AT1024" s="170"/>
      <c r="AU1024" s="170"/>
      <c r="AV1024" s="170"/>
      <c r="AW1024" s="170"/>
      <c r="AX1024" s="170"/>
      <c r="AY1024" s="170"/>
      <c r="AZ1024" s="170"/>
      <c r="BA1024" s="170"/>
      <c r="BB1024" s="170"/>
      <c r="BC1024" s="170"/>
      <c r="BD1024" s="170"/>
      <c r="BE1024" s="137" t="s">
        <v>2705</v>
      </c>
      <c r="BF1024" s="455" t="s">
        <v>2398</v>
      </c>
      <c r="BG1024" s="139" t="s">
        <v>2399</v>
      </c>
      <c r="BH1024" s="220"/>
      <c r="BI1024" s="220"/>
      <c r="BJ1024" s="220"/>
      <c r="BK1024" s="46">
        <f t="shared" si="1"/>
        <v>1</v>
      </c>
      <c r="BL1024" s="46"/>
      <c r="BM1024" s="46"/>
      <c r="BN1024" s="46"/>
    </row>
    <row r="1025" spans="1:66" ht="12.75" hidden="1" customHeight="1">
      <c r="A1025" s="22">
        <v>1023</v>
      </c>
      <c r="B1025" s="22" t="s">
        <v>2527</v>
      </c>
      <c r="C1025" s="22" t="e">
        <f t="shared" ca="1" si="0"/>
        <v>#NAME?</v>
      </c>
      <c r="D1025" s="24" t="s">
        <v>1673</v>
      </c>
      <c r="E1025" s="22" t="s">
        <v>180</v>
      </c>
      <c r="F1025" s="24" t="s">
        <v>2702</v>
      </c>
      <c r="G1025" s="24" t="s">
        <v>2703</v>
      </c>
      <c r="H1025" s="24"/>
      <c r="I1025" s="24">
        <v>1</v>
      </c>
      <c r="J1025" s="24" t="s">
        <v>2372</v>
      </c>
      <c r="K1025" s="24"/>
      <c r="L1025" s="24"/>
      <c r="M1025" s="24"/>
      <c r="N1025" s="24"/>
      <c r="O1025" s="24"/>
      <c r="P1025" s="170"/>
      <c r="Q1025" s="170"/>
      <c r="R1025" s="169"/>
      <c r="S1025" s="164"/>
      <c r="T1025" s="164"/>
      <c r="U1025" s="164"/>
      <c r="V1025" s="163"/>
      <c r="W1025" s="163" t="s">
        <v>1673</v>
      </c>
      <c r="X1025" s="164"/>
      <c r="Y1025" s="164"/>
      <c r="Z1025" s="164"/>
      <c r="AA1025" s="170"/>
      <c r="AB1025" s="164"/>
      <c r="AC1025" s="251"/>
      <c r="AD1025" s="170"/>
      <c r="AE1025" s="225"/>
      <c r="AF1025" s="170"/>
      <c r="AG1025" s="170"/>
      <c r="AH1025" s="251"/>
      <c r="AI1025" s="170"/>
      <c r="AJ1025" s="194"/>
      <c r="AK1025" s="22"/>
      <c r="AL1025" s="170"/>
      <c r="AM1025" s="170"/>
      <c r="AN1025" s="170"/>
      <c r="AO1025" s="170"/>
      <c r="AP1025" s="170"/>
      <c r="AQ1025" s="22"/>
      <c r="AR1025" s="22"/>
      <c r="AS1025" s="22"/>
      <c r="AT1025" s="170"/>
      <c r="AU1025" s="170"/>
      <c r="AV1025" s="170"/>
      <c r="AW1025" s="170"/>
      <c r="AX1025" s="170"/>
      <c r="AY1025" s="170"/>
      <c r="AZ1025" s="170"/>
      <c r="BA1025" s="170"/>
      <c r="BB1025" s="170"/>
      <c r="BC1025" s="170"/>
      <c r="BD1025" s="170"/>
      <c r="BE1025" s="137" t="s">
        <v>115</v>
      </c>
      <c r="BF1025" s="455" t="s">
        <v>942</v>
      </c>
      <c r="BG1025" s="167" t="s">
        <v>943</v>
      </c>
      <c r="BH1025" s="220"/>
      <c r="BI1025" s="220"/>
      <c r="BJ1025" s="220"/>
      <c r="BK1025" s="46">
        <f t="shared" si="1"/>
        <v>1</v>
      </c>
      <c r="BL1025" s="46"/>
      <c r="BM1025" s="46"/>
      <c r="BN1025" s="46"/>
    </row>
    <row r="1026" spans="1:66" ht="12.75" hidden="1" customHeight="1">
      <c r="A1026" s="22">
        <v>1024</v>
      </c>
      <c r="B1026" s="22" t="s">
        <v>2118</v>
      </c>
      <c r="C1026" s="22" t="e">
        <f t="shared" ca="1" si="0"/>
        <v>#NAME?</v>
      </c>
      <c r="D1026" s="24" t="s">
        <v>1468</v>
      </c>
      <c r="E1026" s="22" t="s">
        <v>180</v>
      </c>
      <c r="F1026" s="24" t="s">
        <v>2702</v>
      </c>
      <c r="G1026" s="24" t="s">
        <v>2703</v>
      </c>
      <c r="H1026" s="24"/>
      <c r="I1026" s="24">
        <v>1</v>
      </c>
      <c r="J1026" s="24" t="s">
        <v>2372</v>
      </c>
      <c r="K1026" s="24"/>
      <c r="L1026" s="24"/>
      <c r="M1026" s="24"/>
      <c r="N1026" s="24"/>
      <c r="O1026" s="24"/>
      <c r="P1026" s="170"/>
      <c r="Q1026" s="170"/>
      <c r="R1026" s="169"/>
      <c r="S1026" s="164"/>
      <c r="T1026" s="164"/>
      <c r="U1026" s="164"/>
      <c r="V1026" s="163"/>
      <c r="W1026" s="163" t="s">
        <v>1468</v>
      </c>
      <c r="X1026" s="164"/>
      <c r="Y1026" s="164"/>
      <c r="Z1026" s="164"/>
      <c r="AA1026" s="170"/>
      <c r="AB1026" s="164"/>
      <c r="AC1026" s="251"/>
      <c r="AD1026" s="170"/>
      <c r="AE1026" s="225"/>
      <c r="AF1026" s="170"/>
      <c r="AG1026" s="170"/>
      <c r="AH1026" s="251"/>
      <c r="AI1026" s="170"/>
      <c r="AJ1026" s="194"/>
      <c r="AK1026" s="22"/>
      <c r="AL1026" s="170"/>
      <c r="AM1026" s="170"/>
      <c r="AN1026" s="170"/>
      <c r="AO1026" s="170"/>
      <c r="AP1026" s="170"/>
      <c r="AQ1026" s="22"/>
      <c r="AR1026" s="22"/>
      <c r="AS1026" s="22"/>
      <c r="AT1026" s="170"/>
      <c r="AU1026" s="170"/>
      <c r="AV1026" s="170"/>
      <c r="AW1026" s="170"/>
      <c r="AX1026" s="170"/>
      <c r="AY1026" s="170"/>
      <c r="AZ1026" s="170"/>
      <c r="BA1026" s="170"/>
      <c r="BB1026" s="170"/>
      <c r="BC1026" s="170"/>
      <c r="BD1026" s="170"/>
      <c r="BE1026" s="137" t="s">
        <v>115</v>
      </c>
      <c r="BF1026" s="457" t="s">
        <v>1469</v>
      </c>
      <c r="BG1026" s="167" t="s">
        <v>1470</v>
      </c>
      <c r="BH1026" s="220"/>
      <c r="BI1026" s="220"/>
      <c r="BJ1026" s="220"/>
      <c r="BK1026" s="46">
        <f t="shared" si="1"/>
        <v>1</v>
      </c>
      <c r="BL1026" s="46"/>
      <c r="BM1026" s="46"/>
      <c r="BN1026" s="46"/>
    </row>
    <row r="1027" spans="1:66" ht="12.75" hidden="1" customHeight="1">
      <c r="A1027" s="22">
        <v>1025</v>
      </c>
      <c r="B1027" s="22" t="s">
        <v>2706</v>
      </c>
      <c r="C1027" s="22" t="str">
        <f t="shared" si="0"/>
        <v>PrEP for HIV prevention counseling</v>
      </c>
      <c r="D1027" s="24" t="s">
        <v>2706</v>
      </c>
      <c r="E1027" s="22" t="s">
        <v>96</v>
      </c>
      <c r="F1027" s="24" t="s">
        <v>1787</v>
      </c>
      <c r="G1027" s="24" t="s">
        <v>2707</v>
      </c>
      <c r="H1027" s="24"/>
      <c r="I1027" s="24">
        <v>1</v>
      </c>
      <c r="J1027" s="24" t="s">
        <v>2372</v>
      </c>
      <c r="K1027" s="24"/>
      <c r="L1027" s="24"/>
      <c r="M1027" s="24"/>
      <c r="N1027" s="24"/>
      <c r="O1027" s="24"/>
      <c r="P1027" s="170"/>
      <c r="Q1027" s="170"/>
      <c r="R1027" s="169" t="s">
        <v>2706</v>
      </c>
      <c r="S1027" s="164" t="s">
        <v>2708</v>
      </c>
      <c r="T1027" s="164"/>
      <c r="U1027" s="164" t="s">
        <v>202</v>
      </c>
      <c r="V1027" s="163"/>
      <c r="W1027" s="163"/>
      <c r="X1027" s="164"/>
      <c r="Y1027" s="164"/>
      <c r="Z1027" s="164"/>
      <c r="AA1027" s="170"/>
      <c r="AB1027" s="164" t="s">
        <v>113</v>
      </c>
      <c r="AC1027" s="251"/>
      <c r="AD1027" s="170"/>
      <c r="AE1027" s="225"/>
      <c r="AF1027" s="170"/>
      <c r="AG1027" s="170"/>
      <c r="AH1027" s="251"/>
      <c r="AI1027" s="170"/>
      <c r="AJ1027" s="194" t="s">
        <v>2375</v>
      </c>
      <c r="AK1027" s="22"/>
      <c r="AL1027" s="170"/>
      <c r="AM1027" s="170"/>
      <c r="AN1027" s="170"/>
      <c r="AO1027" s="170"/>
      <c r="AP1027" s="170"/>
      <c r="AQ1027" s="22"/>
      <c r="AR1027" s="22"/>
      <c r="AS1027" s="22"/>
      <c r="AT1027" s="170"/>
      <c r="AU1027" s="170"/>
      <c r="AV1027" s="170"/>
      <c r="AW1027" s="170"/>
      <c r="AX1027" s="170"/>
      <c r="AY1027" s="170"/>
      <c r="AZ1027" s="170"/>
      <c r="BA1027" s="170"/>
      <c r="BB1027" s="170"/>
      <c r="BC1027" s="170"/>
      <c r="BD1027" s="170"/>
      <c r="BE1027" s="137" t="s">
        <v>2709</v>
      </c>
      <c r="BF1027" s="457" t="s">
        <v>2398</v>
      </c>
      <c r="BG1027" s="167" t="s">
        <v>2399</v>
      </c>
      <c r="BH1027" s="220"/>
      <c r="BI1027" s="220"/>
      <c r="BJ1027" s="220"/>
      <c r="BK1027" s="46">
        <f t="shared" si="1"/>
        <v>1</v>
      </c>
      <c r="BL1027" s="46"/>
      <c r="BM1027" s="46"/>
      <c r="BN1027" s="46"/>
    </row>
    <row r="1028" spans="1:66" ht="12.75" hidden="1" customHeight="1">
      <c r="A1028" s="22">
        <v>1026</v>
      </c>
      <c r="B1028" s="22" t="s">
        <v>2527</v>
      </c>
      <c r="C1028" s="22" t="e">
        <f t="shared" ca="1" si="0"/>
        <v>#NAME?</v>
      </c>
      <c r="D1028" s="24" t="s">
        <v>1673</v>
      </c>
      <c r="E1028" s="22" t="s">
        <v>180</v>
      </c>
      <c r="F1028" s="24" t="s">
        <v>2706</v>
      </c>
      <c r="G1028" s="24" t="s">
        <v>2707</v>
      </c>
      <c r="H1028" s="24"/>
      <c r="I1028" s="24">
        <v>1</v>
      </c>
      <c r="J1028" s="24" t="s">
        <v>2372</v>
      </c>
      <c r="K1028" s="24"/>
      <c r="L1028" s="24"/>
      <c r="M1028" s="24"/>
      <c r="N1028" s="24"/>
      <c r="O1028" s="24"/>
      <c r="P1028" s="170"/>
      <c r="Q1028" s="170"/>
      <c r="R1028" s="169"/>
      <c r="S1028" s="164"/>
      <c r="T1028" s="164"/>
      <c r="U1028" s="164"/>
      <c r="V1028" s="163"/>
      <c r="W1028" s="163" t="s">
        <v>1673</v>
      </c>
      <c r="X1028" s="164"/>
      <c r="Y1028" s="164"/>
      <c r="Z1028" s="164"/>
      <c r="AA1028" s="170"/>
      <c r="AB1028" s="164"/>
      <c r="AC1028" s="251"/>
      <c r="AD1028" s="170"/>
      <c r="AE1028" s="225"/>
      <c r="AF1028" s="170"/>
      <c r="AG1028" s="170"/>
      <c r="AH1028" s="251"/>
      <c r="AI1028" s="170"/>
      <c r="AJ1028" s="164"/>
      <c r="AK1028" s="22"/>
      <c r="AL1028" s="170"/>
      <c r="AM1028" s="170"/>
      <c r="AN1028" s="170"/>
      <c r="AO1028" s="170"/>
      <c r="AP1028" s="170"/>
      <c r="AQ1028" s="22"/>
      <c r="AR1028" s="22"/>
      <c r="AS1028" s="22"/>
      <c r="AT1028" s="170"/>
      <c r="AU1028" s="170"/>
      <c r="AV1028" s="170"/>
      <c r="AW1028" s="170"/>
      <c r="AX1028" s="170"/>
      <c r="AY1028" s="170"/>
      <c r="AZ1028" s="170"/>
      <c r="BA1028" s="170"/>
      <c r="BB1028" s="170"/>
      <c r="BC1028" s="170"/>
      <c r="BD1028" s="170"/>
      <c r="BE1028" s="137" t="s">
        <v>115</v>
      </c>
      <c r="BF1028" s="457" t="s">
        <v>942</v>
      </c>
      <c r="BG1028" s="167" t="s">
        <v>943</v>
      </c>
      <c r="BH1028" s="220"/>
      <c r="BI1028" s="220"/>
      <c r="BJ1028" s="220"/>
      <c r="BK1028" s="46">
        <f t="shared" si="1"/>
        <v>1</v>
      </c>
      <c r="BL1028" s="46"/>
      <c r="BM1028" s="46"/>
      <c r="BN1028" s="46"/>
    </row>
    <row r="1029" spans="1:66" ht="12.75" hidden="1" customHeight="1">
      <c r="A1029" s="22">
        <v>1027</v>
      </c>
      <c r="B1029" s="22" t="s">
        <v>2118</v>
      </c>
      <c r="C1029" s="22" t="e">
        <f t="shared" ca="1" si="0"/>
        <v>#NAME?</v>
      </c>
      <c r="D1029" s="24" t="s">
        <v>1468</v>
      </c>
      <c r="E1029" s="22" t="s">
        <v>180</v>
      </c>
      <c r="F1029" s="24" t="s">
        <v>2706</v>
      </c>
      <c r="G1029" s="24" t="s">
        <v>2707</v>
      </c>
      <c r="H1029" s="24"/>
      <c r="I1029" s="24">
        <v>1</v>
      </c>
      <c r="J1029" s="24" t="s">
        <v>2372</v>
      </c>
      <c r="K1029" s="24"/>
      <c r="L1029" s="24"/>
      <c r="M1029" s="24"/>
      <c r="N1029" s="24"/>
      <c r="O1029" s="24"/>
      <c r="P1029" s="170"/>
      <c r="Q1029" s="170"/>
      <c r="R1029" s="169"/>
      <c r="S1029" s="164"/>
      <c r="T1029" s="164"/>
      <c r="U1029" s="164"/>
      <c r="V1029" s="163"/>
      <c r="W1029" s="163" t="s">
        <v>1468</v>
      </c>
      <c r="X1029" s="164"/>
      <c r="Y1029" s="164"/>
      <c r="Z1029" s="164"/>
      <c r="AA1029" s="170"/>
      <c r="AB1029" s="164"/>
      <c r="AC1029" s="251"/>
      <c r="AD1029" s="170"/>
      <c r="AE1029" s="225"/>
      <c r="AF1029" s="170"/>
      <c r="AG1029" s="170"/>
      <c r="AH1029" s="251"/>
      <c r="AI1029" s="170"/>
      <c r="AJ1029" s="164"/>
      <c r="AK1029" s="22"/>
      <c r="AL1029" s="170"/>
      <c r="AM1029" s="170"/>
      <c r="AN1029" s="170"/>
      <c r="AO1029" s="170"/>
      <c r="AP1029" s="170"/>
      <c r="AQ1029" s="22"/>
      <c r="AR1029" s="22"/>
      <c r="AS1029" s="22"/>
      <c r="AT1029" s="170"/>
      <c r="AU1029" s="170"/>
      <c r="AV1029" s="170"/>
      <c r="AW1029" s="170"/>
      <c r="AX1029" s="170"/>
      <c r="AY1029" s="170"/>
      <c r="AZ1029" s="170"/>
      <c r="BA1029" s="170"/>
      <c r="BB1029" s="170"/>
      <c r="BC1029" s="170"/>
      <c r="BD1029" s="170"/>
      <c r="BE1029" s="137" t="s">
        <v>115</v>
      </c>
      <c r="BF1029" s="457" t="s">
        <v>1469</v>
      </c>
      <c r="BG1029" s="167" t="s">
        <v>1470</v>
      </c>
      <c r="BH1029" s="220"/>
      <c r="BI1029" s="220"/>
      <c r="BJ1029" s="220"/>
      <c r="BK1029" s="46">
        <f t="shared" si="1"/>
        <v>1</v>
      </c>
      <c r="BL1029" s="46"/>
      <c r="BM1029" s="46"/>
      <c r="BN1029" s="46"/>
    </row>
    <row r="1030" spans="1:66" ht="12.75" hidden="1" customHeight="1">
      <c r="A1030" s="22">
        <v>1028</v>
      </c>
      <c r="B1030" s="22" t="s">
        <v>2710</v>
      </c>
      <c r="C1030" s="22" t="str">
        <f t="shared" si="0"/>
        <v>Reason PrEP for HIV prevention counseling not done</v>
      </c>
      <c r="D1030" s="24" t="s">
        <v>2710</v>
      </c>
      <c r="E1030" s="22" t="s">
        <v>96</v>
      </c>
      <c r="F1030" s="24" t="s">
        <v>1787</v>
      </c>
      <c r="G1030" s="24" t="s">
        <v>2707</v>
      </c>
      <c r="H1030" s="24"/>
      <c r="I1030" s="24">
        <v>1</v>
      </c>
      <c r="J1030" s="24" t="s">
        <v>2372</v>
      </c>
      <c r="K1030" s="24"/>
      <c r="L1030" s="24"/>
      <c r="M1030" s="24"/>
      <c r="N1030" s="24"/>
      <c r="O1030" s="24"/>
      <c r="P1030" s="170"/>
      <c r="Q1030" s="170"/>
      <c r="R1030" s="169" t="s">
        <v>1376</v>
      </c>
      <c r="S1030" s="164" t="s">
        <v>2711</v>
      </c>
      <c r="T1030" s="164" t="s">
        <v>2634</v>
      </c>
      <c r="U1030" s="164" t="s">
        <v>238</v>
      </c>
      <c r="V1030" s="163"/>
      <c r="W1030" s="163"/>
      <c r="X1030" s="164"/>
      <c r="Y1030" s="164"/>
      <c r="Z1030" s="164"/>
      <c r="AA1030" s="170"/>
      <c r="AB1030" s="164" t="s">
        <v>113</v>
      </c>
      <c r="AC1030" s="251"/>
      <c r="AD1030" s="170"/>
      <c r="AE1030" s="225"/>
      <c r="AF1030" s="170"/>
      <c r="AG1030" s="170"/>
      <c r="AH1030" s="251"/>
      <c r="AI1030" s="170"/>
      <c r="AJ1030" s="164" t="s">
        <v>115</v>
      </c>
      <c r="AK1030" s="22"/>
      <c r="AL1030" s="170"/>
      <c r="AM1030" s="170"/>
      <c r="AN1030" s="170"/>
      <c r="AO1030" s="170"/>
      <c r="AP1030" s="170"/>
      <c r="AQ1030" s="22"/>
      <c r="AR1030" s="22"/>
      <c r="AS1030" s="22"/>
      <c r="AT1030" s="170"/>
      <c r="AU1030" s="170"/>
      <c r="AV1030" s="170"/>
      <c r="AW1030" s="170"/>
      <c r="AX1030" s="170"/>
      <c r="AY1030" s="170"/>
      <c r="AZ1030" s="170"/>
      <c r="BA1030" s="170"/>
      <c r="BB1030" s="170"/>
      <c r="BC1030" s="170"/>
      <c r="BD1030" s="170"/>
      <c r="BE1030" s="137" t="s">
        <v>115</v>
      </c>
      <c r="BF1030" s="457" t="s">
        <v>2712</v>
      </c>
      <c r="BG1030" s="167" t="s">
        <v>2713</v>
      </c>
      <c r="BH1030" s="220"/>
      <c r="BI1030" s="220"/>
      <c r="BJ1030" s="220"/>
      <c r="BK1030" s="46">
        <f t="shared" si="1"/>
        <v>1</v>
      </c>
      <c r="BL1030" s="46"/>
      <c r="BM1030" s="46"/>
      <c r="BN1030" s="46"/>
    </row>
    <row r="1031" spans="1:66" ht="12.75" hidden="1" customHeight="1">
      <c r="A1031" s="22">
        <v>1029</v>
      </c>
      <c r="B1031" s="22" t="s">
        <v>3616</v>
      </c>
      <c r="C1031" s="22" t="e">
        <f t="shared" ca="1" si="0"/>
        <v>#NAME?</v>
      </c>
      <c r="D1031" s="24" t="s">
        <v>2405</v>
      </c>
      <c r="E1031" s="22" t="s">
        <v>180</v>
      </c>
      <c r="F1031" s="24" t="s">
        <v>2710</v>
      </c>
      <c r="G1031" s="24" t="s">
        <v>2707</v>
      </c>
      <c r="H1031" s="24"/>
      <c r="I1031" s="24">
        <v>1</v>
      </c>
      <c r="J1031" s="24" t="s">
        <v>2372</v>
      </c>
      <c r="K1031" s="24"/>
      <c r="L1031" s="24"/>
      <c r="M1031" s="24"/>
      <c r="N1031" s="24"/>
      <c r="O1031" s="24"/>
      <c r="P1031" s="170"/>
      <c r="Q1031" s="170"/>
      <c r="R1031" s="247"/>
      <c r="S1031" s="164"/>
      <c r="T1031" s="196"/>
      <c r="U1031" s="196"/>
      <c r="V1031" s="163"/>
      <c r="W1031" s="163" t="s">
        <v>2405</v>
      </c>
      <c r="X1031" s="196"/>
      <c r="Y1031" s="196"/>
      <c r="Z1031" s="196"/>
      <c r="AA1031" s="170"/>
      <c r="AB1031" s="196"/>
      <c r="AC1031" s="251"/>
      <c r="AD1031" s="170"/>
      <c r="AE1031" s="225"/>
      <c r="AF1031" s="170"/>
      <c r="AG1031" s="170"/>
      <c r="AH1031" s="251"/>
      <c r="AI1031" s="170"/>
      <c r="AJ1031" s="196"/>
      <c r="AK1031" s="22"/>
      <c r="AL1031" s="170"/>
      <c r="AM1031" s="170"/>
      <c r="AN1031" s="170"/>
      <c r="AO1031" s="170"/>
      <c r="AP1031" s="170"/>
      <c r="AQ1031" s="22"/>
      <c r="AR1031" s="22"/>
      <c r="AS1031" s="22"/>
      <c r="AT1031" s="170"/>
      <c r="AU1031" s="170"/>
      <c r="AV1031" s="170"/>
      <c r="AW1031" s="170"/>
      <c r="AX1031" s="170"/>
      <c r="AY1031" s="170"/>
      <c r="AZ1031" s="170"/>
      <c r="BA1031" s="170"/>
      <c r="BB1031" s="170"/>
      <c r="BC1031" s="170"/>
      <c r="BD1031" s="170"/>
      <c r="BE1031" s="137" t="s">
        <v>115</v>
      </c>
      <c r="BF1031" s="457" t="s">
        <v>2406</v>
      </c>
      <c r="BG1031" s="167" t="s">
        <v>2407</v>
      </c>
      <c r="BH1031" s="220"/>
      <c r="BI1031" s="220"/>
      <c r="BJ1031" s="220"/>
      <c r="BK1031" s="46">
        <f t="shared" si="1"/>
        <v>1</v>
      </c>
      <c r="BL1031" s="46"/>
      <c r="BM1031" s="46"/>
      <c r="BN1031" s="46"/>
    </row>
    <row r="1032" spans="1:66" ht="12.75" hidden="1" customHeight="1">
      <c r="A1032" s="22">
        <v>1030</v>
      </c>
      <c r="B1032" s="22" t="s">
        <v>4167</v>
      </c>
      <c r="C1032" s="22" t="e">
        <f t="shared" ca="1" si="0"/>
        <v>#NAME?</v>
      </c>
      <c r="D1032" s="24" t="s">
        <v>2714</v>
      </c>
      <c r="E1032" s="22" t="s">
        <v>180</v>
      </c>
      <c r="F1032" s="24" t="s">
        <v>2710</v>
      </c>
      <c r="G1032" s="24" t="s">
        <v>2707</v>
      </c>
      <c r="H1032" s="24"/>
      <c r="I1032" s="24">
        <v>1</v>
      </c>
      <c r="J1032" s="24" t="s">
        <v>2372</v>
      </c>
      <c r="K1032" s="24"/>
      <c r="L1032" s="24"/>
      <c r="M1032" s="24"/>
      <c r="N1032" s="24"/>
      <c r="O1032" s="24"/>
      <c r="P1032" s="170"/>
      <c r="Q1032" s="170"/>
      <c r="R1032" s="247"/>
      <c r="S1032" s="164"/>
      <c r="T1032" s="196"/>
      <c r="U1032" s="196"/>
      <c r="V1032" s="194"/>
      <c r="W1032" s="194" t="s">
        <v>2714</v>
      </c>
      <c r="X1032" s="196"/>
      <c r="Y1032" s="196"/>
      <c r="Z1032" s="196"/>
      <c r="AA1032" s="170"/>
      <c r="AB1032" s="196"/>
      <c r="AC1032" s="251"/>
      <c r="AD1032" s="170"/>
      <c r="AE1032" s="225"/>
      <c r="AF1032" s="170"/>
      <c r="AG1032" s="170"/>
      <c r="AH1032" s="251"/>
      <c r="AI1032" s="170"/>
      <c r="AJ1032" s="196"/>
      <c r="AK1032" s="22"/>
      <c r="AL1032" s="170"/>
      <c r="AM1032" s="170"/>
      <c r="AN1032" s="170"/>
      <c r="AO1032" s="170"/>
      <c r="AP1032" s="170"/>
      <c r="AQ1032" s="22"/>
      <c r="AR1032" s="22"/>
      <c r="AS1032" s="22"/>
      <c r="AT1032" s="170"/>
      <c r="AU1032" s="170"/>
      <c r="AV1032" s="170"/>
      <c r="AW1032" s="170"/>
      <c r="AX1032" s="170"/>
      <c r="AY1032" s="170"/>
      <c r="AZ1032" s="170"/>
      <c r="BA1032" s="170"/>
      <c r="BB1032" s="170"/>
      <c r="BC1032" s="170"/>
      <c r="BD1032" s="170"/>
      <c r="BE1032" s="137" t="s">
        <v>115</v>
      </c>
      <c r="BF1032" s="457" t="s">
        <v>2637</v>
      </c>
      <c r="BG1032" s="167" t="s">
        <v>2638</v>
      </c>
      <c r="BH1032" s="220"/>
      <c r="BI1032" s="220"/>
      <c r="BJ1032" s="220"/>
      <c r="BK1032" s="46">
        <f t="shared" si="1"/>
        <v>1</v>
      </c>
      <c r="BL1032" s="46"/>
      <c r="BM1032" s="46"/>
      <c r="BN1032" s="46"/>
    </row>
    <row r="1033" spans="1:66" ht="12.75" hidden="1" customHeight="1">
      <c r="A1033" s="22">
        <v>1031</v>
      </c>
      <c r="B1033" s="22" t="s">
        <v>4170</v>
      </c>
      <c r="C1033" s="22" t="e">
        <f t="shared" ca="1" si="0"/>
        <v>#NAME?</v>
      </c>
      <c r="D1033" s="24" t="s">
        <v>2715</v>
      </c>
      <c r="E1033" s="22" t="s">
        <v>180</v>
      </c>
      <c r="F1033" s="24" t="s">
        <v>2710</v>
      </c>
      <c r="G1033" s="24" t="s">
        <v>2707</v>
      </c>
      <c r="H1033" s="24"/>
      <c r="I1033" s="24">
        <v>1</v>
      </c>
      <c r="J1033" s="24" t="s">
        <v>2372</v>
      </c>
      <c r="K1033" s="24"/>
      <c r="L1033" s="24"/>
      <c r="M1033" s="24"/>
      <c r="N1033" s="24"/>
      <c r="O1033" s="24"/>
      <c r="P1033" s="170"/>
      <c r="Q1033" s="170"/>
      <c r="R1033" s="247"/>
      <c r="S1033" s="164"/>
      <c r="T1033" s="196"/>
      <c r="U1033" s="196"/>
      <c r="V1033" s="194"/>
      <c r="W1033" s="194" t="s">
        <v>2715</v>
      </c>
      <c r="X1033" s="196"/>
      <c r="Y1033" s="196"/>
      <c r="Z1033" s="196"/>
      <c r="AA1033" s="170"/>
      <c r="AB1033" s="196"/>
      <c r="AC1033" s="251"/>
      <c r="AD1033" s="170"/>
      <c r="AE1033" s="225"/>
      <c r="AF1033" s="170"/>
      <c r="AG1033" s="170"/>
      <c r="AH1033" s="251"/>
      <c r="AI1033" s="170"/>
      <c r="AJ1033" s="196"/>
      <c r="AK1033" s="22"/>
      <c r="AL1033" s="170"/>
      <c r="AM1033" s="170"/>
      <c r="AN1033" s="170"/>
      <c r="AO1033" s="170"/>
      <c r="AP1033" s="170"/>
      <c r="AQ1033" s="22"/>
      <c r="AR1033" s="22"/>
      <c r="AS1033" s="22"/>
      <c r="AT1033" s="170"/>
      <c r="AU1033" s="170"/>
      <c r="AV1033" s="170"/>
      <c r="AW1033" s="170"/>
      <c r="AX1033" s="170"/>
      <c r="AY1033" s="170"/>
      <c r="AZ1033" s="170"/>
      <c r="BA1033" s="170"/>
      <c r="BB1033" s="170"/>
      <c r="BC1033" s="170"/>
      <c r="BD1033" s="170"/>
      <c r="BE1033" s="137" t="s">
        <v>115</v>
      </c>
      <c r="BF1033" s="457" t="s">
        <v>2716</v>
      </c>
      <c r="BG1033" s="167" t="s">
        <v>2717</v>
      </c>
      <c r="BH1033" s="220"/>
      <c r="BI1033" s="220"/>
      <c r="BJ1033" s="220"/>
      <c r="BK1033" s="46">
        <f t="shared" si="1"/>
        <v>1</v>
      </c>
      <c r="BL1033" s="46"/>
      <c r="BM1033" s="46"/>
      <c r="BN1033" s="46"/>
    </row>
    <row r="1034" spans="1:66" ht="12.75" hidden="1" customHeight="1">
      <c r="A1034" s="22">
        <v>1032</v>
      </c>
      <c r="B1034" s="22" t="s">
        <v>535</v>
      </c>
      <c r="C1034" s="22" t="e">
        <f t="shared" ca="1" si="0"/>
        <v>#NAME?</v>
      </c>
      <c r="D1034" s="24" t="s">
        <v>405</v>
      </c>
      <c r="E1034" s="22" t="s">
        <v>180</v>
      </c>
      <c r="F1034" s="24" t="s">
        <v>2710</v>
      </c>
      <c r="G1034" s="24" t="s">
        <v>2707</v>
      </c>
      <c r="H1034" s="24"/>
      <c r="I1034" s="24">
        <v>1</v>
      </c>
      <c r="J1034" s="24" t="s">
        <v>2372</v>
      </c>
      <c r="K1034" s="24"/>
      <c r="L1034" s="24"/>
      <c r="M1034" s="24"/>
      <c r="N1034" s="24"/>
      <c r="O1034" s="24"/>
      <c r="P1034" s="170"/>
      <c r="Q1034" s="170"/>
      <c r="R1034" s="247"/>
      <c r="S1034" s="164"/>
      <c r="T1034" s="196"/>
      <c r="U1034" s="196"/>
      <c r="V1034" s="194"/>
      <c r="W1034" s="194" t="s">
        <v>405</v>
      </c>
      <c r="X1034" s="196"/>
      <c r="Y1034" s="196"/>
      <c r="Z1034" s="196"/>
      <c r="AA1034" s="170"/>
      <c r="AB1034" s="196"/>
      <c r="AC1034" s="251"/>
      <c r="AD1034" s="170"/>
      <c r="AE1034" s="225"/>
      <c r="AF1034" s="170"/>
      <c r="AG1034" s="170"/>
      <c r="AH1034" s="251"/>
      <c r="AI1034" s="170"/>
      <c r="AJ1034" s="196"/>
      <c r="AK1034" s="22"/>
      <c r="AL1034" s="170"/>
      <c r="AM1034" s="170"/>
      <c r="AN1034" s="170"/>
      <c r="AO1034" s="170"/>
      <c r="AP1034" s="170"/>
      <c r="AQ1034" s="22"/>
      <c r="AR1034" s="22"/>
      <c r="AS1034" s="22"/>
      <c r="AT1034" s="170"/>
      <c r="AU1034" s="170"/>
      <c r="AV1034" s="170"/>
      <c r="AW1034" s="170"/>
      <c r="AX1034" s="170"/>
      <c r="AY1034" s="170"/>
      <c r="AZ1034" s="170"/>
      <c r="BA1034" s="170"/>
      <c r="BB1034" s="170"/>
      <c r="BC1034" s="170"/>
      <c r="BD1034" s="170"/>
      <c r="BE1034" s="137" t="s">
        <v>115</v>
      </c>
      <c r="BF1034" s="457" t="s">
        <v>406</v>
      </c>
      <c r="BG1034" s="167" t="s">
        <v>407</v>
      </c>
      <c r="BH1034" s="220"/>
      <c r="BI1034" s="220"/>
      <c r="BJ1034" s="220"/>
      <c r="BK1034" s="46">
        <f t="shared" si="1"/>
        <v>1</v>
      </c>
      <c r="BL1034" s="46"/>
      <c r="BM1034" s="46"/>
      <c r="BN1034" s="46"/>
    </row>
    <row r="1035" spans="1:66" ht="12.75" hidden="1" customHeight="1">
      <c r="A1035" s="22">
        <v>1033</v>
      </c>
      <c r="B1035" s="22" t="s">
        <v>2718</v>
      </c>
      <c r="C1035" s="22" t="str">
        <f t="shared" si="0"/>
        <v>Specify - Reason PrEP for HIV prevention counseling not done</v>
      </c>
      <c r="D1035" s="24" t="s">
        <v>2718</v>
      </c>
      <c r="E1035" s="22" t="s">
        <v>96</v>
      </c>
      <c r="F1035" s="24" t="s">
        <v>1787</v>
      </c>
      <c r="G1035" s="24" t="s">
        <v>2707</v>
      </c>
      <c r="H1035" s="24"/>
      <c r="I1035" s="24">
        <v>1</v>
      </c>
      <c r="J1035" s="24" t="s">
        <v>2372</v>
      </c>
      <c r="K1035" s="24"/>
      <c r="L1035" s="24"/>
      <c r="M1035" s="24"/>
      <c r="N1035" s="24"/>
      <c r="O1035" s="24"/>
      <c r="P1035" s="170"/>
      <c r="Q1035" s="170"/>
      <c r="R1035" s="247" t="s">
        <v>409</v>
      </c>
      <c r="S1035" s="164" t="s">
        <v>2719</v>
      </c>
      <c r="T1035" s="196" t="s">
        <v>2720</v>
      </c>
      <c r="U1035" s="196" t="s">
        <v>111</v>
      </c>
      <c r="V1035" s="194"/>
      <c r="W1035" s="194"/>
      <c r="X1035" s="196"/>
      <c r="Y1035" s="196"/>
      <c r="Z1035" s="196"/>
      <c r="AA1035" s="170"/>
      <c r="AB1035" s="196" t="s">
        <v>208</v>
      </c>
      <c r="AC1035" s="251"/>
      <c r="AD1035" s="170"/>
      <c r="AE1035" s="225"/>
      <c r="AF1035" s="170"/>
      <c r="AG1035" s="170"/>
      <c r="AH1035" s="251"/>
      <c r="AI1035" s="170"/>
      <c r="AJ1035" s="196" t="s">
        <v>115</v>
      </c>
      <c r="AK1035" s="22"/>
      <c r="AL1035" s="170"/>
      <c r="AM1035" s="170"/>
      <c r="AN1035" s="170"/>
      <c r="AO1035" s="170"/>
      <c r="AP1035" s="170"/>
      <c r="AQ1035" s="22"/>
      <c r="AR1035" s="22"/>
      <c r="AS1035" s="22"/>
      <c r="AT1035" s="170"/>
      <c r="AU1035" s="170"/>
      <c r="AV1035" s="170"/>
      <c r="AW1035" s="170"/>
      <c r="AX1035" s="170"/>
      <c r="AY1035" s="170"/>
      <c r="AZ1035" s="170"/>
      <c r="BA1035" s="170"/>
      <c r="BB1035" s="170"/>
      <c r="BC1035" s="170"/>
      <c r="BD1035" s="170"/>
      <c r="BE1035" s="143" t="s">
        <v>2721</v>
      </c>
      <c r="BF1035" s="457" t="s">
        <v>415</v>
      </c>
      <c r="BG1035" s="167" t="s">
        <v>416</v>
      </c>
      <c r="BH1035" s="220"/>
      <c r="BI1035" s="220"/>
      <c r="BJ1035" s="220"/>
      <c r="BK1035" s="46">
        <f t="shared" si="1"/>
        <v>1</v>
      </c>
      <c r="BL1035" s="46"/>
      <c r="BM1035" s="46"/>
      <c r="BN1035" s="46"/>
    </row>
    <row r="1036" spans="1:66" ht="12.75" hidden="1" customHeight="1">
      <c r="A1036" s="22">
        <v>1034</v>
      </c>
      <c r="B1036" s="22" t="s">
        <v>2722</v>
      </c>
      <c r="C1036" s="22" t="str">
        <f t="shared" si="0"/>
        <v>prep</v>
      </c>
      <c r="D1036" s="24" t="s">
        <v>2722</v>
      </c>
      <c r="E1036" s="22" t="s">
        <v>65</v>
      </c>
      <c r="F1036" s="24" t="s">
        <v>1787</v>
      </c>
      <c r="G1036" s="24" t="s">
        <v>2707</v>
      </c>
      <c r="H1036" s="24"/>
      <c r="I1036" s="24">
        <v>1</v>
      </c>
      <c r="J1036" s="24" t="s">
        <v>2372</v>
      </c>
      <c r="K1036" s="24"/>
      <c r="L1036" s="24"/>
      <c r="M1036" s="24"/>
      <c r="N1036" s="24"/>
      <c r="O1036" s="24"/>
      <c r="P1036" s="170"/>
      <c r="Q1036" s="170"/>
      <c r="R1036" s="222" t="s">
        <v>115</v>
      </c>
      <c r="S1036" s="221" t="s">
        <v>2722</v>
      </c>
      <c r="T1036" s="221" t="s">
        <v>2723</v>
      </c>
      <c r="U1036" s="221" t="s">
        <v>65</v>
      </c>
      <c r="V1036" s="163"/>
      <c r="W1036" s="163"/>
      <c r="X1036" s="221" t="s">
        <v>2724</v>
      </c>
      <c r="Y1036" s="221"/>
      <c r="Z1036" s="164"/>
      <c r="AA1036" s="170"/>
      <c r="AB1036" s="221" t="s">
        <v>115</v>
      </c>
      <c r="AC1036" s="251"/>
      <c r="AD1036" s="170"/>
      <c r="AE1036" s="225"/>
      <c r="AF1036" s="170"/>
      <c r="AG1036" s="170"/>
      <c r="AH1036" s="251"/>
      <c r="AI1036" s="170"/>
      <c r="AJ1036" s="221" t="s">
        <v>115</v>
      </c>
      <c r="AK1036" s="22"/>
      <c r="AL1036" s="170"/>
      <c r="AM1036" s="170"/>
      <c r="AN1036" s="170"/>
      <c r="AO1036" s="170"/>
      <c r="AP1036" s="170"/>
      <c r="AQ1036" s="22"/>
      <c r="AR1036" s="22"/>
      <c r="AS1036" s="22"/>
      <c r="AT1036" s="170"/>
      <c r="AU1036" s="170"/>
      <c r="AV1036" s="170"/>
      <c r="AW1036" s="170"/>
      <c r="AX1036" s="170"/>
      <c r="AY1036" s="170"/>
      <c r="AZ1036" s="170"/>
      <c r="BA1036" s="170"/>
      <c r="BB1036" s="170"/>
      <c r="BC1036" s="170"/>
      <c r="BD1036" s="170"/>
      <c r="BE1036" s="137" t="s">
        <v>115</v>
      </c>
      <c r="BF1036" s="137" t="s">
        <v>115</v>
      </c>
      <c r="BG1036" s="139" t="s">
        <v>115</v>
      </c>
      <c r="BH1036" s="220"/>
      <c r="BI1036" s="220"/>
      <c r="BJ1036" s="220"/>
      <c r="BK1036" s="46">
        <f t="shared" si="1"/>
        <v>1</v>
      </c>
      <c r="BL1036" s="46"/>
      <c r="BM1036" s="46"/>
      <c r="BN1036" s="46"/>
    </row>
    <row r="1037" spans="1:66" ht="12.75" hidden="1" customHeight="1">
      <c r="A1037" s="22">
        <v>1035</v>
      </c>
      <c r="B1037" s="22" t="s">
        <v>2725</v>
      </c>
      <c r="C1037" s="22" t="str">
        <f t="shared" si="0"/>
        <v>GDM Risk Counseling</v>
      </c>
      <c r="D1037" s="24" t="s">
        <v>2725</v>
      </c>
      <c r="E1037" s="22" t="s">
        <v>96</v>
      </c>
      <c r="F1037" s="24" t="s">
        <v>1787</v>
      </c>
      <c r="G1037" s="24" t="s">
        <v>2726</v>
      </c>
      <c r="H1037" s="24"/>
      <c r="I1037" s="24">
        <v>1</v>
      </c>
      <c r="J1037" s="24" t="s">
        <v>2372</v>
      </c>
      <c r="K1037" s="24"/>
      <c r="L1037" s="24"/>
      <c r="M1037" s="24"/>
      <c r="N1037" s="24"/>
      <c r="O1037" s="24"/>
      <c r="P1037" s="170"/>
      <c r="Q1037" s="170"/>
      <c r="R1037" s="169">
        <v>0</v>
      </c>
      <c r="S1037" s="164" t="s">
        <v>2727</v>
      </c>
      <c r="T1037" s="164"/>
      <c r="U1037" s="196" t="s">
        <v>202</v>
      </c>
      <c r="V1037" s="163"/>
      <c r="W1037" s="163"/>
      <c r="X1037" s="164"/>
      <c r="Y1037" s="164"/>
      <c r="Z1037" s="164"/>
      <c r="AA1037" s="170"/>
      <c r="AB1037" s="164" t="s">
        <v>208</v>
      </c>
      <c r="AC1037" s="251"/>
      <c r="AD1037" s="170"/>
      <c r="AE1037" s="225"/>
      <c r="AF1037" s="170"/>
      <c r="AG1037" s="170"/>
      <c r="AH1037" s="251"/>
      <c r="AI1037" s="170"/>
      <c r="AJ1037" s="194" t="s">
        <v>2375</v>
      </c>
      <c r="AK1037" s="22"/>
      <c r="AL1037" s="170"/>
      <c r="AM1037" s="170"/>
      <c r="AN1037" s="170"/>
      <c r="AO1037" s="170"/>
      <c r="AP1037" s="170"/>
      <c r="AQ1037" s="22"/>
      <c r="AR1037" s="22"/>
      <c r="AS1037" s="22"/>
      <c r="AT1037" s="170"/>
      <c r="AU1037" s="170"/>
      <c r="AV1037" s="170"/>
      <c r="AW1037" s="170"/>
      <c r="AX1037" s="170"/>
      <c r="AY1037" s="170"/>
      <c r="AZ1037" s="170"/>
      <c r="BA1037" s="170"/>
      <c r="BB1037" s="170"/>
      <c r="BC1037" s="170"/>
      <c r="BD1037" s="170"/>
      <c r="BE1037" s="137" t="s">
        <v>2728</v>
      </c>
      <c r="BF1037" s="455" t="s">
        <v>2398</v>
      </c>
      <c r="BG1037" s="139" t="s">
        <v>2399</v>
      </c>
      <c r="BH1037" s="220"/>
      <c r="BI1037" s="220"/>
      <c r="BJ1037" s="220"/>
      <c r="BK1037" s="46">
        <f t="shared" si="1"/>
        <v>1</v>
      </c>
      <c r="BL1037" s="46"/>
      <c r="BM1037" s="46"/>
      <c r="BN1037" s="46"/>
    </row>
    <row r="1038" spans="1:66" ht="12.75" hidden="1" customHeight="1">
      <c r="A1038" s="22">
        <v>1036</v>
      </c>
      <c r="B1038" s="22" t="s">
        <v>2527</v>
      </c>
      <c r="C1038" s="22" t="e">
        <f t="shared" ca="1" si="0"/>
        <v>#NAME?</v>
      </c>
      <c r="D1038" s="24" t="s">
        <v>1673</v>
      </c>
      <c r="E1038" s="22" t="s">
        <v>180</v>
      </c>
      <c r="F1038" s="24" t="s">
        <v>2725</v>
      </c>
      <c r="G1038" s="24" t="s">
        <v>2726</v>
      </c>
      <c r="H1038" s="24"/>
      <c r="I1038" s="24">
        <v>1</v>
      </c>
      <c r="J1038" s="24" t="s">
        <v>2372</v>
      </c>
      <c r="K1038" s="24"/>
      <c r="L1038" s="24"/>
      <c r="M1038" s="24"/>
      <c r="N1038" s="24"/>
      <c r="O1038" s="24"/>
      <c r="P1038" s="170"/>
      <c r="Q1038" s="170"/>
      <c r="R1038" s="169"/>
      <c r="S1038" s="164"/>
      <c r="T1038" s="164"/>
      <c r="U1038" s="196"/>
      <c r="V1038" s="163"/>
      <c r="W1038" s="163" t="s">
        <v>1673</v>
      </c>
      <c r="X1038" s="164"/>
      <c r="Y1038" s="164"/>
      <c r="Z1038" s="164"/>
      <c r="AA1038" s="170"/>
      <c r="AB1038" s="164"/>
      <c r="AC1038" s="251"/>
      <c r="AD1038" s="170"/>
      <c r="AE1038" s="225"/>
      <c r="AF1038" s="170"/>
      <c r="AG1038" s="170"/>
      <c r="AH1038" s="251"/>
      <c r="AI1038" s="170"/>
      <c r="AJ1038" s="194"/>
      <c r="AK1038" s="22"/>
      <c r="AL1038" s="170"/>
      <c r="AM1038" s="170"/>
      <c r="AN1038" s="170"/>
      <c r="AO1038" s="170"/>
      <c r="AP1038" s="170"/>
      <c r="AQ1038" s="22"/>
      <c r="AR1038" s="22"/>
      <c r="AS1038" s="22"/>
      <c r="AT1038" s="170"/>
      <c r="AU1038" s="170"/>
      <c r="AV1038" s="170"/>
      <c r="AW1038" s="170"/>
      <c r="AX1038" s="170"/>
      <c r="AY1038" s="170"/>
      <c r="AZ1038" s="170"/>
      <c r="BA1038" s="170"/>
      <c r="BB1038" s="170"/>
      <c r="BC1038" s="170"/>
      <c r="BD1038" s="170"/>
      <c r="BE1038" s="137" t="s">
        <v>115</v>
      </c>
      <c r="BF1038" s="455" t="s">
        <v>942</v>
      </c>
      <c r="BG1038" s="167" t="s">
        <v>943</v>
      </c>
      <c r="BH1038" s="220"/>
      <c r="BI1038" s="220"/>
      <c r="BJ1038" s="220"/>
      <c r="BK1038" s="46">
        <f t="shared" si="1"/>
        <v>1</v>
      </c>
      <c r="BL1038" s="46"/>
      <c r="BM1038" s="46"/>
      <c r="BN1038" s="46"/>
    </row>
    <row r="1039" spans="1:66" ht="12.75" hidden="1" customHeight="1">
      <c r="A1039" s="22">
        <v>1037</v>
      </c>
      <c r="B1039" s="22" t="s">
        <v>2118</v>
      </c>
      <c r="C1039" s="22" t="e">
        <f t="shared" ca="1" si="0"/>
        <v>#NAME?</v>
      </c>
      <c r="D1039" s="24" t="s">
        <v>1468</v>
      </c>
      <c r="E1039" s="22" t="s">
        <v>180</v>
      </c>
      <c r="F1039" s="24" t="s">
        <v>2725</v>
      </c>
      <c r="G1039" s="24" t="s">
        <v>2726</v>
      </c>
      <c r="H1039" s="24"/>
      <c r="I1039" s="24">
        <v>1</v>
      </c>
      <c r="J1039" s="24" t="s">
        <v>2372</v>
      </c>
      <c r="K1039" s="24"/>
      <c r="L1039" s="24"/>
      <c r="M1039" s="24"/>
      <c r="N1039" s="24"/>
      <c r="O1039" s="24"/>
      <c r="P1039" s="170"/>
      <c r="Q1039" s="170"/>
      <c r="R1039" s="169"/>
      <c r="S1039" s="164"/>
      <c r="T1039" s="164"/>
      <c r="U1039" s="196"/>
      <c r="V1039" s="163"/>
      <c r="W1039" s="163" t="s">
        <v>1468</v>
      </c>
      <c r="X1039" s="164"/>
      <c r="Y1039" s="164"/>
      <c r="Z1039" s="164"/>
      <c r="AA1039" s="170"/>
      <c r="AB1039" s="164"/>
      <c r="AC1039" s="251"/>
      <c r="AD1039" s="170"/>
      <c r="AE1039" s="225"/>
      <c r="AF1039" s="170"/>
      <c r="AG1039" s="170"/>
      <c r="AH1039" s="251"/>
      <c r="AI1039" s="170"/>
      <c r="AJ1039" s="194"/>
      <c r="AK1039" s="22"/>
      <c r="AL1039" s="170"/>
      <c r="AM1039" s="170"/>
      <c r="AN1039" s="170"/>
      <c r="AO1039" s="170"/>
      <c r="AP1039" s="170"/>
      <c r="AQ1039" s="22"/>
      <c r="AR1039" s="22"/>
      <c r="AS1039" s="22"/>
      <c r="AT1039" s="170"/>
      <c r="AU1039" s="170"/>
      <c r="AV1039" s="170"/>
      <c r="AW1039" s="170"/>
      <c r="AX1039" s="170"/>
      <c r="AY1039" s="170"/>
      <c r="AZ1039" s="170"/>
      <c r="BA1039" s="170"/>
      <c r="BB1039" s="170"/>
      <c r="BC1039" s="170"/>
      <c r="BD1039" s="170"/>
      <c r="BE1039" s="137" t="s">
        <v>115</v>
      </c>
      <c r="BF1039" s="455" t="s">
        <v>1469</v>
      </c>
      <c r="BG1039" s="167" t="s">
        <v>1470</v>
      </c>
      <c r="BH1039" s="220"/>
      <c r="BI1039" s="220"/>
      <c r="BJ1039" s="220"/>
      <c r="BK1039" s="46">
        <f t="shared" si="1"/>
        <v>1</v>
      </c>
      <c r="BL1039" s="46"/>
      <c r="BM1039" s="46"/>
      <c r="BN1039" s="46"/>
    </row>
    <row r="1040" spans="1:66" ht="12.75" hidden="1" customHeight="1">
      <c r="A1040" s="22">
        <v>1038</v>
      </c>
      <c r="B1040" s="22" t="s">
        <v>2729</v>
      </c>
      <c r="C1040" s="22" t="str">
        <f t="shared" si="0"/>
        <v>Seeking care for danger signs counseling</v>
      </c>
      <c r="D1040" s="24" t="s">
        <v>2729</v>
      </c>
      <c r="E1040" s="22" t="s">
        <v>96</v>
      </c>
      <c r="F1040" s="24" t="s">
        <v>1787</v>
      </c>
      <c r="G1040" s="24" t="s">
        <v>2730</v>
      </c>
      <c r="H1040" s="24"/>
      <c r="I1040" s="24">
        <v>1</v>
      </c>
      <c r="J1040" s="24" t="s">
        <v>2372</v>
      </c>
      <c r="K1040" s="24"/>
      <c r="L1040" s="24"/>
      <c r="M1040" s="24"/>
      <c r="N1040" s="24"/>
      <c r="O1040" s="24"/>
      <c r="P1040" s="170"/>
      <c r="Q1040" s="170"/>
      <c r="R1040" s="195" t="s">
        <v>2729</v>
      </c>
      <c r="S1040" s="196" t="s">
        <v>2731</v>
      </c>
      <c r="T1040" s="196"/>
      <c r="U1040" s="196" t="s">
        <v>202</v>
      </c>
      <c r="V1040" s="163"/>
      <c r="W1040" s="163"/>
      <c r="X1040" s="196"/>
      <c r="Y1040" s="196"/>
      <c r="Z1040" s="196"/>
      <c r="AA1040" s="170"/>
      <c r="AB1040" s="196" t="s">
        <v>208</v>
      </c>
      <c r="AC1040" s="251"/>
      <c r="AD1040" s="170"/>
      <c r="AE1040" s="225"/>
      <c r="AF1040" s="170"/>
      <c r="AG1040" s="170"/>
      <c r="AH1040" s="251"/>
      <c r="AI1040" s="170"/>
      <c r="AJ1040" s="164" t="s">
        <v>1277</v>
      </c>
      <c r="AK1040" s="22"/>
      <c r="AL1040" s="170"/>
      <c r="AM1040" s="170"/>
      <c r="AN1040" s="170"/>
      <c r="AO1040" s="170"/>
      <c r="AP1040" s="170"/>
      <c r="AQ1040" s="22"/>
      <c r="AR1040" s="22"/>
      <c r="AS1040" s="22"/>
      <c r="AT1040" s="170"/>
      <c r="AU1040" s="170"/>
      <c r="AV1040" s="170"/>
      <c r="AW1040" s="170"/>
      <c r="AX1040" s="170"/>
      <c r="AY1040" s="170"/>
      <c r="AZ1040" s="170"/>
      <c r="BA1040" s="170"/>
      <c r="BB1040" s="170"/>
      <c r="BC1040" s="170"/>
      <c r="BD1040" s="170"/>
      <c r="BE1040" s="137" t="s">
        <v>2732</v>
      </c>
      <c r="BF1040" s="455" t="s">
        <v>2398</v>
      </c>
      <c r="BG1040" s="139" t="s">
        <v>2399</v>
      </c>
      <c r="BH1040" s="220"/>
      <c r="BI1040" s="220"/>
      <c r="BJ1040" s="220"/>
      <c r="BK1040" s="46">
        <f t="shared" si="1"/>
        <v>1</v>
      </c>
      <c r="BL1040" s="46"/>
      <c r="BM1040" s="46"/>
      <c r="BN1040" s="46"/>
    </row>
    <row r="1041" spans="1:66" ht="12.75" hidden="1" customHeight="1">
      <c r="A1041" s="22">
        <v>1039</v>
      </c>
      <c r="B1041" s="22" t="s">
        <v>2527</v>
      </c>
      <c r="C1041" s="22" t="e">
        <f t="shared" ca="1" si="0"/>
        <v>#NAME?</v>
      </c>
      <c r="D1041" s="24" t="s">
        <v>1673</v>
      </c>
      <c r="E1041" s="22" t="s">
        <v>180</v>
      </c>
      <c r="F1041" s="24" t="s">
        <v>2729</v>
      </c>
      <c r="G1041" s="24" t="s">
        <v>2730</v>
      </c>
      <c r="H1041" s="24"/>
      <c r="I1041" s="24">
        <v>1</v>
      </c>
      <c r="J1041" s="24" t="s">
        <v>2372</v>
      </c>
      <c r="K1041" s="24"/>
      <c r="L1041" s="24"/>
      <c r="M1041" s="24"/>
      <c r="N1041" s="24"/>
      <c r="O1041" s="24"/>
      <c r="P1041" s="170"/>
      <c r="Q1041" s="170"/>
      <c r="R1041" s="195"/>
      <c r="S1041" s="164"/>
      <c r="T1041" s="164"/>
      <c r="U1041" s="164"/>
      <c r="V1041" s="163"/>
      <c r="W1041" s="163" t="s">
        <v>1673</v>
      </c>
      <c r="X1041" s="164"/>
      <c r="Y1041" s="164"/>
      <c r="Z1041" s="164"/>
      <c r="AA1041" s="170"/>
      <c r="AB1041" s="164"/>
      <c r="AC1041" s="251"/>
      <c r="AD1041" s="170"/>
      <c r="AE1041" s="225"/>
      <c r="AF1041" s="170"/>
      <c r="AG1041" s="170"/>
      <c r="AH1041" s="251"/>
      <c r="AI1041" s="170"/>
      <c r="AJ1041" s="164"/>
      <c r="AK1041" s="22"/>
      <c r="AL1041" s="170"/>
      <c r="AM1041" s="170"/>
      <c r="AN1041" s="170"/>
      <c r="AO1041" s="170"/>
      <c r="AP1041" s="170"/>
      <c r="AQ1041" s="22"/>
      <c r="AR1041" s="22"/>
      <c r="AS1041" s="22"/>
      <c r="AT1041" s="170"/>
      <c r="AU1041" s="170"/>
      <c r="AV1041" s="170"/>
      <c r="AW1041" s="170"/>
      <c r="AX1041" s="170"/>
      <c r="AY1041" s="170"/>
      <c r="AZ1041" s="170"/>
      <c r="BA1041" s="170"/>
      <c r="BB1041" s="170"/>
      <c r="BC1041" s="170"/>
      <c r="BD1041" s="170"/>
      <c r="BE1041" s="137" t="s">
        <v>115</v>
      </c>
      <c r="BF1041" s="455" t="s">
        <v>942</v>
      </c>
      <c r="BG1041" s="167" t="s">
        <v>943</v>
      </c>
      <c r="BH1041" s="220"/>
      <c r="BI1041" s="220"/>
      <c r="BJ1041" s="220"/>
      <c r="BK1041" s="46">
        <f t="shared" si="1"/>
        <v>1</v>
      </c>
      <c r="BL1041" s="46"/>
      <c r="BM1041" s="46"/>
      <c r="BN1041" s="46"/>
    </row>
    <row r="1042" spans="1:66" ht="12.75" hidden="1" customHeight="1">
      <c r="A1042" s="22">
        <v>1040</v>
      </c>
      <c r="B1042" s="22" t="s">
        <v>2118</v>
      </c>
      <c r="C1042" s="22" t="e">
        <f t="shared" ca="1" si="0"/>
        <v>#NAME?</v>
      </c>
      <c r="D1042" s="24" t="s">
        <v>1468</v>
      </c>
      <c r="E1042" s="22" t="s">
        <v>180</v>
      </c>
      <c r="F1042" s="24" t="s">
        <v>2729</v>
      </c>
      <c r="G1042" s="24" t="s">
        <v>2730</v>
      </c>
      <c r="H1042" s="24"/>
      <c r="I1042" s="24">
        <v>1</v>
      </c>
      <c r="J1042" s="24" t="s">
        <v>2372</v>
      </c>
      <c r="K1042" s="24"/>
      <c r="L1042" s="24"/>
      <c r="M1042" s="24"/>
      <c r="N1042" s="24"/>
      <c r="O1042" s="24"/>
      <c r="P1042" s="170"/>
      <c r="Q1042" s="170"/>
      <c r="R1042" s="195"/>
      <c r="S1042" s="164"/>
      <c r="T1042" s="164"/>
      <c r="U1042" s="164"/>
      <c r="V1042" s="163"/>
      <c r="W1042" s="163" t="s">
        <v>1468</v>
      </c>
      <c r="X1042" s="164"/>
      <c r="Y1042" s="164"/>
      <c r="Z1042" s="164"/>
      <c r="AA1042" s="170"/>
      <c r="AB1042" s="164"/>
      <c r="AC1042" s="251"/>
      <c r="AD1042" s="170"/>
      <c r="AE1042" s="225"/>
      <c r="AF1042" s="170"/>
      <c r="AG1042" s="170"/>
      <c r="AH1042" s="251"/>
      <c r="AI1042" s="170"/>
      <c r="AJ1042" s="164"/>
      <c r="AK1042" s="22"/>
      <c r="AL1042" s="170"/>
      <c r="AM1042" s="170"/>
      <c r="AN1042" s="170"/>
      <c r="AO1042" s="170"/>
      <c r="AP1042" s="170"/>
      <c r="AQ1042" s="22"/>
      <c r="AR1042" s="22"/>
      <c r="AS1042" s="22"/>
      <c r="AT1042" s="170"/>
      <c r="AU1042" s="170"/>
      <c r="AV1042" s="170"/>
      <c r="AW1042" s="170"/>
      <c r="AX1042" s="170"/>
      <c r="AY1042" s="170"/>
      <c r="AZ1042" s="170"/>
      <c r="BA1042" s="170"/>
      <c r="BB1042" s="170"/>
      <c r="BC1042" s="170"/>
      <c r="BD1042" s="170"/>
      <c r="BE1042" s="137" t="s">
        <v>115</v>
      </c>
      <c r="BF1042" s="455" t="s">
        <v>1469</v>
      </c>
      <c r="BG1042" s="167" t="s">
        <v>1470</v>
      </c>
      <c r="BH1042" s="220"/>
      <c r="BI1042" s="220"/>
      <c r="BJ1042" s="220"/>
      <c r="BK1042" s="46">
        <f t="shared" si="1"/>
        <v>1</v>
      </c>
      <c r="BL1042" s="46"/>
      <c r="BM1042" s="46"/>
      <c r="BN1042" s="46"/>
    </row>
    <row r="1043" spans="1:66" ht="12.75" hidden="1" customHeight="1">
      <c r="A1043" s="22">
        <v>1041</v>
      </c>
      <c r="B1043" s="22" t="s">
        <v>2733</v>
      </c>
      <c r="C1043" s="22" t="str">
        <f t="shared" si="0"/>
        <v xml:space="preserve">Counseling on going immediately to the hospital if severe danger signs </v>
      </c>
      <c r="D1043" s="24" t="s">
        <v>2733</v>
      </c>
      <c r="E1043" s="22" t="s">
        <v>96</v>
      </c>
      <c r="F1043" s="24" t="s">
        <v>1787</v>
      </c>
      <c r="G1043" s="24" t="s">
        <v>2730</v>
      </c>
      <c r="H1043" s="24"/>
      <c r="I1043" s="24">
        <v>1</v>
      </c>
      <c r="J1043" s="24" t="s">
        <v>2372</v>
      </c>
      <c r="K1043" s="24"/>
      <c r="L1043" s="24"/>
      <c r="M1043" s="24"/>
      <c r="N1043" s="24"/>
      <c r="O1043" s="24"/>
      <c r="P1043" s="170"/>
      <c r="Q1043" s="170"/>
      <c r="R1043" s="195" t="s">
        <v>2733</v>
      </c>
      <c r="S1043" s="164" t="s">
        <v>2734</v>
      </c>
      <c r="T1043" s="164"/>
      <c r="U1043" s="164" t="s">
        <v>202</v>
      </c>
      <c r="V1043" s="163"/>
      <c r="W1043" s="163"/>
      <c r="X1043" s="164"/>
      <c r="Y1043" s="164"/>
      <c r="Z1043" s="164"/>
      <c r="AA1043" s="170"/>
      <c r="AB1043" s="164" t="s">
        <v>208</v>
      </c>
      <c r="AC1043" s="251"/>
      <c r="AD1043" s="170"/>
      <c r="AE1043" s="225"/>
      <c r="AF1043" s="170"/>
      <c r="AG1043" s="170"/>
      <c r="AH1043" s="251"/>
      <c r="AI1043" s="170"/>
      <c r="AJ1043" s="164" t="s">
        <v>1277</v>
      </c>
      <c r="AK1043" s="22"/>
      <c r="AL1043" s="170"/>
      <c r="AM1043" s="170"/>
      <c r="AN1043" s="170"/>
      <c r="AO1043" s="170"/>
      <c r="AP1043" s="170"/>
      <c r="AQ1043" s="22"/>
      <c r="AR1043" s="22"/>
      <c r="AS1043" s="22"/>
      <c r="AT1043" s="170"/>
      <c r="AU1043" s="170"/>
      <c r="AV1043" s="170"/>
      <c r="AW1043" s="170"/>
      <c r="AX1043" s="170"/>
      <c r="AY1043" s="170"/>
      <c r="AZ1043" s="170"/>
      <c r="BA1043" s="170"/>
      <c r="BB1043" s="170"/>
      <c r="BC1043" s="170"/>
      <c r="BD1043" s="170"/>
      <c r="BE1043" s="137" t="s">
        <v>115</v>
      </c>
      <c r="BF1043" s="137" t="s">
        <v>115</v>
      </c>
      <c r="BG1043" s="139" t="s">
        <v>115</v>
      </c>
      <c r="BH1043" s="220"/>
      <c r="BI1043" s="220"/>
      <c r="BJ1043" s="220"/>
      <c r="BK1043" s="46">
        <f t="shared" si="1"/>
        <v>1</v>
      </c>
      <c r="BL1043" s="46"/>
      <c r="BM1043" s="46"/>
      <c r="BN1043" s="46"/>
    </row>
    <row r="1044" spans="1:66" ht="12.75" hidden="1" customHeight="1">
      <c r="A1044" s="22">
        <v>1042</v>
      </c>
      <c r="B1044" s="22" t="s">
        <v>2527</v>
      </c>
      <c r="C1044" s="22" t="e">
        <f t="shared" ca="1" si="0"/>
        <v>#NAME?</v>
      </c>
      <c r="D1044" s="24" t="s">
        <v>1673</v>
      </c>
      <c r="E1044" s="22" t="s">
        <v>180</v>
      </c>
      <c r="F1044" s="24" t="s">
        <v>2733</v>
      </c>
      <c r="G1044" s="24" t="s">
        <v>2730</v>
      </c>
      <c r="H1044" s="24"/>
      <c r="I1044" s="24">
        <v>1</v>
      </c>
      <c r="J1044" s="24" t="s">
        <v>2372</v>
      </c>
      <c r="K1044" s="24"/>
      <c r="L1044" s="24"/>
      <c r="M1044" s="24"/>
      <c r="N1044" s="24"/>
      <c r="O1044" s="24"/>
      <c r="P1044" s="170"/>
      <c r="Q1044" s="170"/>
      <c r="R1044" s="195"/>
      <c r="S1044" s="164"/>
      <c r="T1044" s="164"/>
      <c r="U1044" s="164"/>
      <c r="V1044" s="163"/>
      <c r="W1044" s="163" t="s">
        <v>1673</v>
      </c>
      <c r="X1044" s="164"/>
      <c r="Y1044" s="164"/>
      <c r="Z1044" s="164"/>
      <c r="AA1044" s="170"/>
      <c r="AB1044" s="164"/>
      <c r="AC1044" s="251"/>
      <c r="AD1044" s="170"/>
      <c r="AE1044" s="225"/>
      <c r="AF1044" s="170"/>
      <c r="AG1044" s="170"/>
      <c r="AH1044" s="251"/>
      <c r="AI1044" s="170"/>
      <c r="AJ1044" s="164"/>
      <c r="AK1044" s="22"/>
      <c r="AL1044" s="170"/>
      <c r="AM1044" s="170"/>
      <c r="AN1044" s="170"/>
      <c r="AO1044" s="170"/>
      <c r="AP1044" s="170"/>
      <c r="AQ1044" s="22"/>
      <c r="AR1044" s="22"/>
      <c r="AS1044" s="22"/>
      <c r="AT1044" s="170"/>
      <c r="AU1044" s="170"/>
      <c r="AV1044" s="170"/>
      <c r="AW1044" s="170"/>
      <c r="AX1044" s="170"/>
      <c r="AY1044" s="170"/>
      <c r="AZ1044" s="170"/>
      <c r="BA1044" s="170"/>
      <c r="BB1044" s="170"/>
      <c r="BC1044" s="170"/>
      <c r="BD1044" s="170"/>
      <c r="BE1044" s="137" t="s">
        <v>115</v>
      </c>
      <c r="BF1044" s="137" t="s">
        <v>115</v>
      </c>
      <c r="BG1044" s="139" t="s">
        <v>115</v>
      </c>
      <c r="BH1044" s="220"/>
      <c r="BI1044" s="220"/>
      <c r="BJ1044" s="220"/>
      <c r="BK1044" s="46">
        <f t="shared" si="1"/>
        <v>1</v>
      </c>
      <c r="BL1044" s="46"/>
      <c r="BM1044" s="46"/>
      <c r="BN1044" s="46"/>
    </row>
    <row r="1045" spans="1:66" ht="12.75" hidden="1" customHeight="1">
      <c r="A1045" s="22">
        <v>1043</v>
      </c>
      <c r="B1045" s="22" t="s">
        <v>2118</v>
      </c>
      <c r="C1045" s="22" t="e">
        <f t="shared" ca="1" si="0"/>
        <v>#NAME?</v>
      </c>
      <c r="D1045" s="24" t="s">
        <v>1468</v>
      </c>
      <c r="E1045" s="22" t="s">
        <v>180</v>
      </c>
      <c r="F1045" s="24" t="s">
        <v>2733</v>
      </c>
      <c r="G1045" s="24" t="s">
        <v>2730</v>
      </c>
      <c r="H1045" s="24"/>
      <c r="I1045" s="24">
        <v>1</v>
      </c>
      <c r="J1045" s="24" t="s">
        <v>2372</v>
      </c>
      <c r="K1045" s="24"/>
      <c r="L1045" s="24"/>
      <c r="M1045" s="24"/>
      <c r="N1045" s="24"/>
      <c r="O1045" s="24"/>
      <c r="P1045" s="170"/>
      <c r="Q1045" s="170"/>
      <c r="R1045" s="195"/>
      <c r="S1045" s="164"/>
      <c r="T1045" s="164"/>
      <c r="U1045" s="164"/>
      <c r="V1045" s="163"/>
      <c r="W1045" s="163" t="s">
        <v>1468</v>
      </c>
      <c r="X1045" s="164"/>
      <c r="Y1045" s="164"/>
      <c r="Z1045" s="164"/>
      <c r="AA1045" s="170"/>
      <c r="AB1045" s="164"/>
      <c r="AC1045" s="251"/>
      <c r="AD1045" s="170"/>
      <c r="AE1045" s="225"/>
      <c r="AF1045" s="170"/>
      <c r="AG1045" s="170"/>
      <c r="AH1045" s="251"/>
      <c r="AI1045" s="170"/>
      <c r="AJ1045" s="164"/>
      <c r="AK1045" s="22"/>
      <c r="AL1045" s="170"/>
      <c r="AM1045" s="170"/>
      <c r="AN1045" s="170"/>
      <c r="AO1045" s="170"/>
      <c r="AP1045" s="170"/>
      <c r="AQ1045" s="22"/>
      <c r="AR1045" s="22"/>
      <c r="AS1045" s="22"/>
      <c r="AT1045" s="170"/>
      <c r="AU1045" s="170"/>
      <c r="AV1045" s="170"/>
      <c r="AW1045" s="170"/>
      <c r="AX1045" s="170"/>
      <c r="AY1045" s="170"/>
      <c r="AZ1045" s="170"/>
      <c r="BA1045" s="170"/>
      <c r="BB1045" s="170"/>
      <c r="BC1045" s="170"/>
      <c r="BD1045" s="170"/>
      <c r="BE1045" s="137" t="s">
        <v>115</v>
      </c>
      <c r="BF1045" s="137" t="s">
        <v>115</v>
      </c>
      <c r="BG1045" s="139" t="s">
        <v>115</v>
      </c>
      <c r="BH1045" s="220"/>
      <c r="BI1045" s="220"/>
      <c r="BJ1045" s="220"/>
      <c r="BK1045" s="46">
        <f t="shared" si="1"/>
        <v>1</v>
      </c>
      <c r="BL1045" s="46"/>
      <c r="BM1045" s="46"/>
      <c r="BN1045" s="46"/>
    </row>
    <row r="1046" spans="1:66" ht="12.75" hidden="1" customHeight="1">
      <c r="A1046" s="22">
        <v>1044</v>
      </c>
      <c r="B1046" s="22" t="s">
        <v>2735</v>
      </c>
      <c r="C1046" s="22" t="str">
        <f t="shared" si="0"/>
        <v>ANC contact schedule counseling</v>
      </c>
      <c r="D1046" s="24" t="s">
        <v>2735</v>
      </c>
      <c r="E1046" s="22" t="s">
        <v>96</v>
      </c>
      <c r="F1046" s="24" t="s">
        <v>1787</v>
      </c>
      <c r="G1046" s="24" t="s">
        <v>2736</v>
      </c>
      <c r="H1046" s="24"/>
      <c r="I1046" s="24">
        <v>1</v>
      </c>
      <c r="J1046" s="24" t="s">
        <v>2372</v>
      </c>
      <c r="K1046" s="24"/>
      <c r="L1046" s="24"/>
      <c r="M1046" s="24"/>
      <c r="N1046" s="24"/>
      <c r="O1046" s="24"/>
      <c r="P1046" s="170"/>
      <c r="Q1046" s="170"/>
      <c r="R1046" s="162" t="s">
        <v>2735</v>
      </c>
      <c r="S1046" s="164" t="s">
        <v>2737</v>
      </c>
      <c r="T1046" s="164"/>
      <c r="U1046" s="194" t="s">
        <v>202</v>
      </c>
      <c r="V1046" s="163"/>
      <c r="W1046" s="163"/>
      <c r="X1046" s="164"/>
      <c r="Y1046" s="164"/>
      <c r="Z1046" s="164"/>
      <c r="AA1046" s="170"/>
      <c r="AB1046" s="164" t="s">
        <v>208</v>
      </c>
      <c r="AC1046" s="251"/>
      <c r="AD1046" s="170"/>
      <c r="AE1046" s="225"/>
      <c r="AF1046" s="170"/>
      <c r="AG1046" s="170"/>
      <c r="AH1046" s="251"/>
      <c r="AI1046" s="170"/>
      <c r="AJ1046" s="164" t="s">
        <v>1277</v>
      </c>
      <c r="AK1046" s="22"/>
      <c r="AL1046" s="170"/>
      <c r="AM1046" s="170"/>
      <c r="AN1046" s="170"/>
      <c r="AO1046" s="170"/>
      <c r="AP1046" s="170"/>
      <c r="AQ1046" s="22"/>
      <c r="AR1046" s="22"/>
      <c r="AS1046" s="22"/>
      <c r="AT1046" s="170"/>
      <c r="AU1046" s="170"/>
      <c r="AV1046" s="170"/>
      <c r="AW1046" s="170"/>
      <c r="AX1046" s="170"/>
      <c r="AY1046" s="170"/>
      <c r="AZ1046" s="170"/>
      <c r="BA1046" s="170"/>
      <c r="BB1046" s="170"/>
      <c r="BC1046" s="170"/>
      <c r="BD1046" s="170"/>
      <c r="BE1046" s="137" t="s">
        <v>2738</v>
      </c>
      <c r="BF1046" s="455" t="s">
        <v>2398</v>
      </c>
      <c r="BG1046" s="139" t="s">
        <v>2399</v>
      </c>
      <c r="BH1046" s="220"/>
      <c r="BI1046" s="220"/>
      <c r="BJ1046" s="220"/>
      <c r="BK1046" s="46">
        <f t="shared" si="1"/>
        <v>1</v>
      </c>
      <c r="BL1046" s="46"/>
      <c r="BM1046" s="46"/>
      <c r="BN1046" s="46"/>
    </row>
    <row r="1047" spans="1:66" ht="12.75" hidden="1" customHeight="1">
      <c r="A1047" s="22">
        <v>1045</v>
      </c>
      <c r="B1047" s="22" t="s">
        <v>2527</v>
      </c>
      <c r="C1047" s="22" t="e">
        <f t="shared" ca="1" si="0"/>
        <v>#NAME?</v>
      </c>
      <c r="D1047" s="24" t="s">
        <v>1673</v>
      </c>
      <c r="E1047" s="22" t="s">
        <v>180</v>
      </c>
      <c r="F1047" s="24" t="s">
        <v>2735</v>
      </c>
      <c r="G1047" s="24" t="s">
        <v>2736</v>
      </c>
      <c r="H1047" s="24"/>
      <c r="I1047" s="24">
        <v>1</v>
      </c>
      <c r="J1047" s="24" t="s">
        <v>2372</v>
      </c>
      <c r="K1047" s="24"/>
      <c r="L1047" s="24"/>
      <c r="M1047" s="24"/>
      <c r="N1047" s="24"/>
      <c r="O1047" s="24"/>
      <c r="P1047" s="170"/>
      <c r="Q1047" s="170"/>
      <c r="R1047" s="162"/>
      <c r="S1047" s="164"/>
      <c r="T1047" s="164"/>
      <c r="U1047" s="194"/>
      <c r="V1047" s="163"/>
      <c r="W1047" s="163" t="s">
        <v>1673</v>
      </c>
      <c r="X1047" s="164"/>
      <c r="Y1047" s="164"/>
      <c r="Z1047" s="164"/>
      <c r="AA1047" s="170"/>
      <c r="AB1047" s="164"/>
      <c r="AC1047" s="251"/>
      <c r="AD1047" s="170"/>
      <c r="AE1047" s="225"/>
      <c r="AF1047" s="170"/>
      <c r="AG1047" s="170"/>
      <c r="AH1047" s="251"/>
      <c r="AI1047" s="170"/>
      <c r="AJ1047" s="164"/>
      <c r="AK1047" s="22"/>
      <c r="AL1047" s="170"/>
      <c r="AM1047" s="170"/>
      <c r="AN1047" s="170"/>
      <c r="AO1047" s="170"/>
      <c r="AP1047" s="170"/>
      <c r="AQ1047" s="22"/>
      <c r="AR1047" s="22"/>
      <c r="AS1047" s="22"/>
      <c r="AT1047" s="170"/>
      <c r="AU1047" s="170"/>
      <c r="AV1047" s="170"/>
      <c r="AW1047" s="170"/>
      <c r="AX1047" s="170"/>
      <c r="AY1047" s="170"/>
      <c r="AZ1047" s="170"/>
      <c r="BA1047" s="170"/>
      <c r="BB1047" s="170"/>
      <c r="BC1047" s="170"/>
      <c r="BD1047" s="170"/>
      <c r="BE1047" s="137" t="s">
        <v>115</v>
      </c>
      <c r="BF1047" s="455" t="s">
        <v>942</v>
      </c>
      <c r="BG1047" s="167" t="s">
        <v>943</v>
      </c>
      <c r="BH1047" s="220"/>
      <c r="BI1047" s="220"/>
      <c r="BJ1047" s="220"/>
      <c r="BK1047" s="46">
        <f t="shared" si="1"/>
        <v>1</v>
      </c>
      <c r="BL1047" s="46"/>
      <c r="BM1047" s="46"/>
      <c r="BN1047" s="46"/>
    </row>
    <row r="1048" spans="1:66" ht="12.75" hidden="1" customHeight="1">
      <c r="A1048" s="22">
        <v>1046</v>
      </c>
      <c r="B1048" s="22" t="s">
        <v>2118</v>
      </c>
      <c r="C1048" s="22" t="e">
        <f t="shared" ca="1" si="0"/>
        <v>#NAME?</v>
      </c>
      <c r="D1048" s="24" t="s">
        <v>1468</v>
      </c>
      <c r="E1048" s="22" t="s">
        <v>180</v>
      </c>
      <c r="F1048" s="24" t="s">
        <v>2735</v>
      </c>
      <c r="G1048" s="24" t="s">
        <v>2736</v>
      </c>
      <c r="H1048" s="24"/>
      <c r="I1048" s="24">
        <v>1</v>
      </c>
      <c r="J1048" s="24" t="s">
        <v>2372</v>
      </c>
      <c r="K1048" s="24"/>
      <c r="L1048" s="24"/>
      <c r="M1048" s="24"/>
      <c r="N1048" s="24"/>
      <c r="O1048" s="24"/>
      <c r="P1048" s="170"/>
      <c r="Q1048" s="170"/>
      <c r="R1048" s="162"/>
      <c r="S1048" s="164"/>
      <c r="T1048" s="164"/>
      <c r="U1048" s="194"/>
      <c r="V1048" s="163"/>
      <c r="W1048" s="163" t="s">
        <v>1468</v>
      </c>
      <c r="X1048" s="164"/>
      <c r="Y1048" s="164"/>
      <c r="Z1048" s="164"/>
      <c r="AA1048" s="170"/>
      <c r="AB1048" s="164"/>
      <c r="AC1048" s="251"/>
      <c r="AD1048" s="170"/>
      <c r="AE1048" s="225"/>
      <c r="AF1048" s="170"/>
      <c r="AG1048" s="170"/>
      <c r="AH1048" s="251"/>
      <c r="AI1048" s="170"/>
      <c r="AJ1048" s="164"/>
      <c r="AK1048" s="22"/>
      <c r="AL1048" s="170"/>
      <c r="AM1048" s="170"/>
      <c r="AN1048" s="170"/>
      <c r="AO1048" s="170"/>
      <c r="AP1048" s="170"/>
      <c r="AQ1048" s="22"/>
      <c r="AR1048" s="22"/>
      <c r="AS1048" s="22"/>
      <c r="AT1048" s="170"/>
      <c r="AU1048" s="170"/>
      <c r="AV1048" s="170"/>
      <c r="AW1048" s="170"/>
      <c r="AX1048" s="170"/>
      <c r="AY1048" s="170"/>
      <c r="AZ1048" s="170"/>
      <c r="BA1048" s="170"/>
      <c r="BB1048" s="170"/>
      <c r="BC1048" s="170"/>
      <c r="BD1048" s="170"/>
      <c r="BE1048" s="137" t="s">
        <v>115</v>
      </c>
      <c r="BF1048" s="455" t="s">
        <v>1469</v>
      </c>
      <c r="BG1048" s="167" t="s">
        <v>1470</v>
      </c>
      <c r="BH1048" s="220"/>
      <c r="BI1048" s="220"/>
      <c r="BJ1048" s="220"/>
      <c r="BK1048" s="46">
        <f t="shared" si="1"/>
        <v>1</v>
      </c>
      <c r="BL1048" s="46"/>
      <c r="BM1048" s="46"/>
      <c r="BN1048" s="46"/>
    </row>
    <row r="1049" spans="1:66" ht="12.75" hidden="1" customHeight="1">
      <c r="A1049" s="22">
        <v>1047</v>
      </c>
      <c r="B1049" s="22" t="s">
        <v>2739</v>
      </c>
      <c r="C1049" s="22" t="str">
        <f t="shared" si="0"/>
        <v>Planned birth place</v>
      </c>
      <c r="D1049" s="24" t="s">
        <v>2739</v>
      </c>
      <c r="E1049" s="22" t="s">
        <v>96</v>
      </c>
      <c r="F1049" s="24" t="s">
        <v>1787</v>
      </c>
      <c r="G1049" s="24" t="s">
        <v>2740</v>
      </c>
      <c r="H1049" s="24"/>
      <c r="I1049" s="24">
        <v>1</v>
      </c>
      <c r="J1049" s="24" t="s">
        <v>2372</v>
      </c>
      <c r="K1049" s="24"/>
      <c r="L1049" s="24"/>
      <c r="M1049" s="24"/>
      <c r="N1049" s="24"/>
      <c r="O1049" s="24"/>
      <c r="P1049" s="170"/>
      <c r="Q1049" s="170"/>
      <c r="R1049" s="195" t="s">
        <v>2739</v>
      </c>
      <c r="S1049" s="194" t="s">
        <v>2741</v>
      </c>
      <c r="T1049" s="164"/>
      <c r="U1049" s="164" t="s">
        <v>202</v>
      </c>
      <c r="V1049" s="163"/>
      <c r="W1049" s="163"/>
      <c r="X1049" s="164"/>
      <c r="Y1049" s="164"/>
      <c r="Z1049" s="164"/>
      <c r="AA1049" s="170"/>
      <c r="AB1049" s="164" t="s">
        <v>208</v>
      </c>
      <c r="AC1049" s="251"/>
      <c r="AD1049" s="170"/>
      <c r="AE1049" s="225"/>
      <c r="AF1049" s="170"/>
      <c r="AG1049" s="170"/>
      <c r="AH1049" s="251"/>
      <c r="AI1049" s="170"/>
      <c r="AJ1049" s="194" t="s">
        <v>2742</v>
      </c>
      <c r="AK1049" s="22"/>
      <c r="AL1049" s="170"/>
      <c r="AM1049" s="170"/>
      <c r="AN1049" s="170"/>
      <c r="AO1049" s="170"/>
      <c r="AP1049" s="170"/>
      <c r="AQ1049" s="22"/>
      <c r="AR1049" s="22"/>
      <c r="AS1049" s="22"/>
      <c r="AT1049" s="170"/>
      <c r="AU1049" s="170"/>
      <c r="AV1049" s="170"/>
      <c r="AW1049" s="170"/>
      <c r="AX1049" s="170"/>
      <c r="AY1049" s="170"/>
      <c r="AZ1049" s="170"/>
      <c r="BA1049" s="170"/>
      <c r="BB1049" s="170"/>
      <c r="BC1049" s="170"/>
      <c r="BD1049" s="170"/>
      <c r="BE1049" s="137" t="s">
        <v>115</v>
      </c>
      <c r="BF1049" s="137" t="s">
        <v>2743</v>
      </c>
      <c r="BG1049" s="139" t="s">
        <v>2744</v>
      </c>
      <c r="BH1049" s="220"/>
      <c r="BI1049" s="220"/>
      <c r="BJ1049" s="220"/>
      <c r="BK1049" s="46">
        <f t="shared" si="1"/>
        <v>1</v>
      </c>
      <c r="BL1049" s="46"/>
      <c r="BM1049" s="46"/>
      <c r="BN1049" s="46"/>
    </row>
    <row r="1050" spans="1:66" ht="12.75" hidden="1" customHeight="1">
      <c r="A1050" s="22">
        <v>1048</v>
      </c>
      <c r="B1050" s="22" t="s">
        <v>3191</v>
      </c>
      <c r="C1050" s="22" t="e">
        <f t="shared" ca="1" si="0"/>
        <v>#NAME?</v>
      </c>
      <c r="D1050" s="24" t="s">
        <v>2745</v>
      </c>
      <c r="E1050" s="22" t="s">
        <v>180</v>
      </c>
      <c r="F1050" s="24" t="s">
        <v>2739</v>
      </c>
      <c r="G1050" s="24" t="s">
        <v>2740</v>
      </c>
      <c r="H1050" s="24"/>
      <c r="I1050" s="24">
        <v>1</v>
      </c>
      <c r="J1050" s="24" t="s">
        <v>2372</v>
      </c>
      <c r="K1050" s="24"/>
      <c r="L1050" s="24"/>
      <c r="M1050" s="24"/>
      <c r="N1050" s="24"/>
      <c r="O1050" s="24"/>
      <c r="P1050" s="170"/>
      <c r="Q1050" s="170"/>
      <c r="R1050" s="178"/>
      <c r="S1050" s="170"/>
      <c r="T1050" s="170"/>
      <c r="U1050" s="170"/>
      <c r="V1050" s="163"/>
      <c r="W1050" s="163" t="s">
        <v>2745</v>
      </c>
      <c r="X1050" s="164"/>
      <c r="Y1050" s="164"/>
      <c r="Z1050" s="164"/>
      <c r="AA1050" s="170"/>
      <c r="AB1050" s="170"/>
      <c r="AC1050" s="251"/>
      <c r="AD1050" s="170"/>
      <c r="AE1050" s="225"/>
      <c r="AF1050" s="170"/>
      <c r="AG1050" s="170"/>
      <c r="AH1050" s="251"/>
      <c r="AI1050" s="170"/>
      <c r="AJ1050" s="164"/>
      <c r="AK1050" s="22"/>
      <c r="AL1050" s="170"/>
      <c r="AM1050" s="170"/>
      <c r="AN1050" s="170"/>
      <c r="AO1050" s="170"/>
      <c r="AP1050" s="170"/>
      <c r="AQ1050" s="22"/>
      <c r="AR1050" s="22"/>
      <c r="AS1050" s="22"/>
      <c r="AT1050" s="170"/>
      <c r="AU1050" s="170"/>
      <c r="AV1050" s="170"/>
      <c r="AW1050" s="170"/>
      <c r="AX1050" s="170"/>
      <c r="AY1050" s="170"/>
      <c r="AZ1050" s="170"/>
      <c r="BA1050" s="170"/>
      <c r="BB1050" s="170"/>
      <c r="BC1050" s="170"/>
      <c r="BD1050" s="170"/>
      <c r="BE1050" s="137" t="s">
        <v>115</v>
      </c>
      <c r="BF1050" s="143" t="s">
        <v>2746</v>
      </c>
      <c r="BG1050" s="139" t="s">
        <v>2747</v>
      </c>
      <c r="BH1050" s="220"/>
      <c r="BI1050" s="220"/>
      <c r="BJ1050" s="220"/>
      <c r="BK1050" s="46">
        <f t="shared" si="1"/>
        <v>1</v>
      </c>
      <c r="BL1050" s="46"/>
      <c r="BM1050" s="46"/>
      <c r="BN1050" s="46"/>
    </row>
    <row r="1051" spans="1:66" ht="12.75" hidden="1" customHeight="1">
      <c r="A1051" s="22">
        <v>1049</v>
      </c>
      <c r="B1051" s="22" t="s">
        <v>4223</v>
      </c>
      <c r="C1051" s="22" t="e">
        <f t="shared" ca="1" si="0"/>
        <v>#NAME?</v>
      </c>
      <c r="D1051" s="24" t="s">
        <v>2748</v>
      </c>
      <c r="E1051" s="22" t="s">
        <v>180</v>
      </c>
      <c r="F1051" s="24" t="s">
        <v>2739</v>
      </c>
      <c r="G1051" s="24" t="s">
        <v>2740</v>
      </c>
      <c r="H1051" s="24"/>
      <c r="I1051" s="24">
        <v>1</v>
      </c>
      <c r="J1051" s="24" t="s">
        <v>2372</v>
      </c>
      <c r="K1051" s="24"/>
      <c r="L1051" s="24"/>
      <c r="M1051" s="24"/>
      <c r="N1051" s="24"/>
      <c r="O1051" s="24"/>
      <c r="P1051" s="170"/>
      <c r="Q1051" s="170"/>
      <c r="R1051" s="178"/>
      <c r="S1051" s="170"/>
      <c r="T1051" s="170"/>
      <c r="U1051" s="170"/>
      <c r="V1051" s="163"/>
      <c r="W1051" s="163" t="s">
        <v>2748</v>
      </c>
      <c r="X1051" s="164"/>
      <c r="Y1051" s="164"/>
      <c r="Z1051" s="164"/>
      <c r="AA1051" s="170"/>
      <c r="AB1051" s="170"/>
      <c r="AC1051" s="251"/>
      <c r="AD1051" s="170"/>
      <c r="AE1051" s="225"/>
      <c r="AF1051" s="170"/>
      <c r="AG1051" s="170"/>
      <c r="AH1051" s="251"/>
      <c r="AI1051" s="170"/>
      <c r="AJ1051" s="164"/>
      <c r="AK1051" s="22"/>
      <c r="AL1051" s="170"/>
      <c r="AM1051" s="170"/>
      <c r="AN1051" s="170"/>
      <c r="AO1051" s="170"/>
      <c r="AP1051" s="170"/>
      <c r="AQ1051" s="22"/>
      <c r="AR1051" s="22"/>
      <c r="AS1051" s="22"/>
      <c r="AT1051" s="170"/>
      <c r="AU1051" s="170"/>
      <c r="AV1051" s="170"/>
      <c r="AW1051" s="170"/>
      <c r="AX1051" s="170"/>
      <c r="AY1051" s="170"/>
      <c r="AZ1051" s="170"/>
      <c r="BA1051" s="170"/>
      <c r="BB1051" s="170"/>
      <c r="BC1051" s="170"/>
      <c r="BD1051" s="170"/>
      <c r="BE1051" s="137" t="s">
        <v>115</v>
      </c>
      <c r="BF1051" s="143" t="s">
        <v>2749</v>
      </c>
      <c r="BG1051" s="139" t="s">
        <v>2750</v>
      </c>
      <c r="BH1051" s="220"/>
      <c r="BI1051" s="220"/>
      <c r="BJ1051" s="220"/>
      <c r="BK1051" s="46">
        <f t="shared" si="1"/>
        <v>1</v>
      </c>
      <c r="BL1051" s="46"/>
      <c r="BM1051" s="46"/>
      <c r="BN1051" s="46"/>
    </row>
    <row r="1052" spans="1:66" ht="12.75" hidden="1" customHeight="1">
      <c r="A1052" s="22">
        <v>1050</v>
      </c>
      <c r="B1052" s="22" t="s">
        <v>4226</v>
      </c>
      <c r="C1052" s="22" t="e">
        <f t="shared" ca="1" si="0"/>
        <v>#NAME?</v>
      </c>
      <c r="D1052" s="24" t="s">
        <v>2751</v>
      </c>
      <c r="E1052" s="22" t="s">
        <v>180</v>
      </c>
      <c r="F1052" s="24" t="s">
        <v>2739</v>
      </c>
      <c r="G1052" s="24" t="s">
        <v>2740</v>
      </c>
      <c r="H1052" s="24"/>
      <c r="I1052" s="24">
        <v>1</v>
      </c>
      <c r="J1052" s="24" t="s">
        <v>2372</v>
      </c>
      <c r="K1052" s="24"/>
      <c r="L1052" s="24"/>
      <c r="M1052" s="24"/>
      <c r="N1052" s="24"/>
      <c r="O1052" s="24"/>
      <c r="P1052" s="170"/>
      <c r="Q1052" s="170"/>
      <c r="R1052" s="178"/>
      <c r="S1052" s="170"/>
      <c r="T1052" s="170"/>
      <c r="U1052" s="170"/>
      <c r="V1052" s="163"/>
      <c r="W1052" s="163" t="s">
        <v>2751</v>
      </c>
      <c r="X1052" s="164"/>
      <c r="Y1052" s="164"/>
      <c r="Z1052" s="164"/>
      <c r="AA1052" s="170"/>
      <c r="AB1052" s="170"/>
      <c r="AC1052" s="251"/>
      <c r="AD1052" s="170"/>
      <c r="AE1052" s="225"/>
      <c r="AF1052" s="170"/>
      <c r="AG1052" s="170"/>
      <c r="AH1052" s="251"/>
      <c r="AI1052" s="170"/>
      <c r="AJ1052" s="164"/>
      <c r="AK1052" s="22"/>
      <c r="AL1052" s="170"/>
      <c r="AM1052" s="170"/>
      <c r="AN1052" s="170"/>
      <c r="AO1052" s="170"/>
      <c r="AP1052" s="170"/>
      <c r="AQ1052" s="22"/>
      <c r="AR1052" s="22"/>
      <c r="AS1052" s="22"/>
      <c r="AT1052" s="170"/>
      <c r="AU1052" s="170"/>
      <c r="AV1052" s="170"/>
      <c r="AW1052" s="170"/>
      <c r="AX1052" s="170"/>
      <c r="AY1052" s="170"/>
      <c r="AZ1052" s="170"/>
      <c r="BA1052" s="170"/>
      <c r="BB1052" s="170"/>
      <c r="BC1052" s="170"/>
      <c r="BD1052" s="170"/>
      <c r="BE1052" s="137" t="s">
        <v>115</v>
      </c>
      <c r="BF1052" s="143" t="s">
        <v>2752</v>
      </c>
      <c r="BG1052" s="139" t="s">
        <v>2753</v>
      </c>
      <c r="BH1052" s="220"/>
      <c r="BI1052" s="220"/>
      <c r="BJ1052" s="220"/>
      <c r="BK1052" s="46">
        <f t="shared" si="1"/>
        <v>1</v>
      </c>
      <c r="BL1052" s="46"/>
      <c r="BM1052" s="46"/>
      <c r="BN1052" s="46"/>
    </row>
    <row r="1053" spans="1:66" ht="12.75" hidden="1" customHeight="1">
      <c r="A1053" s="22">
        <v>1051</v>
      </c>
      <c r="B1053" s="22" t="s">
        <v>2005</v>
      </c>
      <c r="C1053" s="22" t="e">
        <f t="shared" ca="1" si="0"/>
        <v>#NAME?</v>
      </c>
      <c r="D1053" s="24" t="s">
        <v>1387</v>
      </c>
      <c r="E1053" s="22" t="s">
        <v>180</v>
      </c>
      <c r="F1053" s="24" t="s">
        <v>2739</v>
      </c>
      <c r="G1053" s="24" t="s">
        <v>2740</v>
      </c>
      <c r="H1053" s="24"/>
      <c r="I1053" s="24">
        <v>1</v>
      </c>
      <c r="J1053" s="24" t="s">
        <v>2372</v>
      </c>
      <c r="K1053" s="24"/>
      <c r="L1053" s="24"/>
      <c r="M1053" s="24"/>
      <c r="N1053" s="24"/>
      <c r="O1053" s="24"/>
      <c r="P1053" s="170"/>
      <c r="Q1053" s="170"/>
      <c r="R1053" s="178"/>
      <c r="S1053" s="170"/>
      <c r="T1053" s="170"/>
      <c r="U1053" s="170"/>
      <c r="V1053" s="163"/>
      <c r="W1053" s="163" t="s">
        <v>1387</v>
      </c>
      <c r="X1053" s="164"/>
      <c r="Y1053" s="164"/>
      <c r="Z1053" s="164"/>
      <c r="AA1053" s="170"/>
      <c r="AB1053" s="170"/>
      <c r="AC1053" s="251"/>
      <c r="AD1053" s="170"/>
      <c r="AE1053" s="225"/>
      <c r="AF1053" s="170"/>
      <c r="AG1053" s="170"/>
      <c r="AH1053" s="251"/>
      <c r="AI1053" s="170"/>
      <c r="AJ1053" s="164"/>
      <c r="AK1053" s="22"/>
      <c r="AL1053" s="170"/>
      <c r="AM1053" s="170"/>
      <c r="AN1053" s="170"/>
      <c r="AO1053" s="170"/>
      <c r="AP1053" s="170"/>
      <c r="AQ1053" s="22"/>
      <c r="AR1053" s="22"/>
      <c r="AS1053" s="22"/>
      <c r="AT1053" s="170"/>
      <c r="AU1053" s="170"/>
      <c r="AV1053" s="170"/>
      <c r="AW1053" s="170"/>
      <c r="AX1053" s="170"/>
      <c r="AY1053" s="170"/>
      <c r="AZ1053" s="170"/>
      <c r="BA1053" s="170"/>
      <c r="BB1053" s="170"/>
      <c r="BC1053" s="170"/>
      <c r="BD1053" s="170"/>
      <c r="BE1053" s="137" t="s">
        <v>115</v>
      </c>
      <c r="BF1053" s="143" t="s">
        <v>406</v>
      </c>
      <c r="BG1053" s="167" t="s">
        <v>407</v>
      </c>
      <c r="BH1053" s="220"/>
      <c r="BI1053" s="220"/>
      <c r="BJ1053" s="220"/>
      <c r="BK1053" s="46">
        <f t="shared" si="1"/>
        <v>1</v>
      </c>
      <c r="BL1053" s="46"/>
      <c r="BM1053" s="46"/>
      <c r="BN1053" s="46"/>
    </row>
    <row r="1054" spans="1:66" ht="12.75" hidden="1" customHeight="1">
      <c r="A1054" s="22">
        <v>1052</v>
      </c>
      <c r="B1054" s="22" t="s">
        <v>2754</v>
      </c>
      <c r="C1054" s="22" t="str">
        <f t="shared" si="0"/>
        <v>Birth preparedness and complications readiness counseling</v>
      </c>
      <c r="D1054" s="24" t="s">
        <v>2754</v>
      </c>
      <c r="E1054" s="22" t="s">
        <v>96</v>
      </c>
      <c r="F1054" s="24" t="s">
        <v>1787</v>
      </c>
      <c r="G1054" s="24" t="s">
        <v>2740</v>
      </c>
      <c r="H1054" s="24"/>
      <c r="I1054" s="24">
        <v>1</v>
      </c>
      <c r="J1054" s="24" t="s">
        <v>2372</v>
      </c>
      <c r="K1054" s="24"/>
      <c r="L1054" s="24"/>
      <c r="M1054" s="24"/>
      <c r="N1054" s="24"/>
      <c r="O1054" s="24"/>
      <c r="P1054" s="170"/>
      <c r="Q1054" s="170"/>
      <c r="R1054" s="169" t="s">
        <v>2754</v>
      </c>
      <c r="S1054" s="164" t="s">
        <v>2755</v>
      </c>
      <c r="T1054" s="164"/>
      <c r="U1054" s="194" t="s">
        <v>202</v>
      </c>
      <c r="V1054" s="163"/>
      <c r="W1054" s="163"/>
      <c r="X1054" s="164"/>
      <c r="Y1054" s="164"/>
      <c r="Z1054" s="164"/>
      <c r="AA1054" s="170"/>
      <c r="AB1054" s="164" t="s">
        <v>208</v>
      </c>
      <c r="AC1054" s="251"/>
      <c r="AD1054" s="170"/>
      <c r="AE1054" s="225"/>
      <c r="AF1054" s="170"/>
      <c r="AG1054" s="170"/>
      <c r="AH1054" s="251"/>
      <c r="AI1054" s="170"/>
      <c r="AJ1054" s="164" t="s">
        <v>1277</v>
      </c>
      <c r="AK1054" s="22"/>
      <c r="AL1054" s="170"/>
      <c r="AM1054" s="170"/>
      <c r="AN1054" s="170"/>
      <c r="AO1054" s="170"/>
      <c r="AP1054" s="170"/>
      <c r="AQ1054" s="22"/>
      <c r="AR1054" s="22"/>
      <c r="AS1054" s="22"/>
      <c r="AT1054" s="170"/>
      <c r="AU1054" s="170"/>
      <c r="AV1054" s="170"/>
      <c r="AW1054" s="170"/>
      <c r="AX1054" s="170"/>
      <c r="AY1054" s="170"/>
      <c r="AZ1054" s="170"/>
      <c r="BA1054" s="170"/>
      <c r="BB1054" s="170"/>
      <c r="BC1054" s="170"/>
      <c r="BD1054" s="170"/>
      <c r="BE1054" s="137" t="s">
        <v>2757</v>
      </c>
      <c r="BF1054" s="137" t="s">
        <v>2398</v>
      </c>
      <c r="BG1054" s="139" t="s">
        <v>2399</v>
      </c>
      <c r="BH1054" s="220"/>
      <c r="BI1054" s="220"/>
      <c r="BJ1054" s="220"/>
      <c r="BK1054" s="46">
        <f t="shared" si="1"/>
        <v>1</v>
      </c>
      <c r="BL1054" s="46"/>
      <c r="BM1054" s="46"/>
      <c r="BN1054" s="46"/>
    </row>
    <row r="1055" spans="1:66" ht="12.75" hidden="1" customHeight="1">
      <c r="A1055" s="22">
        <v>1053</v>
      </c>
      <c r="B1055" s="22" t="s">
        <v>2527</v>
      </c>
      <c r="C1055" s="22" t="e">
        <f t="shared" ca="1" si="0"/>
        <v>#NAME?</v>
      </c>
      <c r="D1055" s="24" t="s">
        <v>1673</v>
      </c>
      <c r="E1055" s="22" t="s">
        <v>180</v>
      </c>
      <c r="F1055" s="24" t="s">
        <v>2754</v>
      </c>
      <c r="G1055" s="24" t="s">
        <v>2740</v>
      </c>
      <c r="H1055" s="24"/>
      <c r="I1055" s="24">
        <v>1</v>
      </c>
      <c r="J1055" s="24" t="s">
        <v>2372</v>
      </c>
      <c r="K1055" s="24"/>
      <c r="L1055" s="24"/>
      <c r="M1055" s="24"/>
      <c r="N1055" s="24"/>
      <c r="O1055" s="24"/>
      <c r="P1055" s="170"/>
      <c r="Q1055" s="170"/>
      <c r="R1055" s="178"/>
      <c r="S1055" s="170"/>
      <c r="T1055" s="170"/>
      <c r="U1055" s="242"/>
      <c r="V1055" s="163"/>
      <c r="W1055" s="163" t="s">
        <v>1673</v>
      </c>
      <c r="X1055" s="164"/>
      <c r="Y1055" s="164"/>
      <c r="Z1055" s="164"/>
      <c r="AA1055" s="170"/>
      <c r="AB1055" s="164"/>
      <c r="AC1055" s="251"/>
      <c r="AD1055" s="170"/>
      <c r="AE1055" s="225"/>
      <c r="AF1055" s="170"/>
      <c r="AG1055" s="170"/>
      <c r="AH1055" s="251"/>
      <c r="AI1055" s="170"/>
      <c r="AJ1055" s="164"/>
      <c r="AK1055" s="22"/>
      <c r="AL1055" s="170"/>
      <c r="AM1055" s="170"/>
      <c r="AN1055" s="170"/>
      <c r="AO1055" s="170"/>
      <c r="AP1055" s="170"/>
      <c r="AQ1055" s="22"/>
      <c r="AR1055" s="22"/>
      <c r="AS1055" s="22"/>
      <c r="AT1055" s="170"/>
      <c r="AU1055" s="170"/>
      <c r="AV1055" s="170"/>
      <c r="AW1055" s="170"/>
      <c r="AX1055" s="170"/>
      <c r="AY1055" s="170"/>
      <c r="AZ1055" s="170"/>
      <c r="BA1055" s="170"/>
      <c r="BB1055" s="170"/>
      <c r="BC1055" s="170"/>
      <c r="BD1055" s="170"/>
      <c r="BE1055" s="137" t="s">
        <v>115</v>
      </c>
      <c r="BF1055" s="137" t="s">
        <v>942</v>
      </c>
      <c r="BG1055" s="167" t="s">
        <v>943</v>
      </c>
      <c r="BH1055" s="220"/>
      <c r="BI1055" s="220"/>
      <c r="BJ1055" s="220"/>
      <c r="BK1055" s="46">
        <f t="shared" si="1"/>
        <v>1</v>
      </c>
      <c r="BL1055" s="46"/>
      <c r="BM1055" s="46"/>
      <c r="BN1055" s="46"/>
    </row>
    <row r="1056" spans="1:66" ht="12.75" hidden="1" customHeight="1">
      <c r="A1056" s="22">
        <v>1054</v>
      </c>
      <c r="B1056" s="22" t="s">
        <v>2118</v>
      </c>
      <c r="C1056" s="22" t="e">
        <f t="shared" ca="1" si="0"/>
        <v>#NAME?</v>
      </c>
      <c r="D1056" s="24" t="s">
        <v>1468</v>
      </c>
      <c r="E1056" s="22" t="s">
        <v>180</v>
      </c>
      <c r="F1056" s="24" t="s">
        <v>2754</v>
      </c>
      <c r="G1056" s="24" t="s">
        <v>2740</v>
      </c>
      <c r="H1056" s="24"/>
      <c r="I1056" s="24">
        <v>1</v>
      </c>
      <c r="J1056" s="24" t="s">
        <v>2372</v>
      </c>
      <c r="K1056" s="24"/>
      <c r="L1056" s="24"/>
      <c r="M1056" s="24"/>
      <c r="N1056" s="24"/>
      <c r="O1056" s="24"/>
      <c r="P1056" s="170"/>
      <c r="Q1056" s="170"/>
      <c r="R1056" s="178"/>
      <c r="S1056" s="170"/>
      <c r="T1056" s="170"/>
      <c r="U1056" s="242"/>
      <c r="V1056" s="163"/>
      <c r="W1056" s="163" t="s">
        <v>1468</v>
      </c>
      <c r="X1056" s="164"/>
      <c r="Y1056" s="164"/>
      <c r="Z1056" s="164"/>
      <c r="AA1056" s="170"/>
      <c r="AB1056" s="164"/>
      <c r="AC1056" s="251"/>
      <c r="AD1056" s="170"/>
      <c r="AE1056" s="225"/>
      <c r="AF1056" s="170"/>
      <c r="AG1056" s="170"/>
      <c r="AH1056" s="251"/>
      <c r="AI1056" s="170"/>
      <c r="AJ1056" s="164"/>
      <c r="AK1056" s="22"/>
      <c r="AL1056" s="170"/>
      <c r="AM1056" s="170"/>
      <c r="AN1056" s="170"/>
      <c r="AO1056" s="170"/>
      <c r="AP1056" s="170"/>
      <c r="AQ1056" s="22"/>
      <c r="AR1056" s="22"/>
      <c r="AS1056" s="22"/>
      <c r="AT1056" s="170"/>
      <c r="AU1056" s="170"/>
      <c r="AV1056" s="170"/>
      <c r="AW1056" s="170"/>
      <c r="AX1056" s="170"/>
      <c r="AY1056" s="170"/>
      <c r="AZ1056" s="170"/>
      <c r="BA1056" s="170"/>
      <c r="BB1056" s="170"/>
      <c r="BC1056" s="170"/>
      <c r="BD1056" s="170"/>
      <c r="BE1056" s="137" t="s">
        <v>115</v>
      </c>
      <c r="BF1056" s="137" t="s">
        <v>1469</v>
      </c>
      <c r="BG1056" s="167" t="s">
        <v>1470</v>
      </c>
      <c r="BH1056" s="220"/>
      <c r="BI1056" s="220"/>
      <c r="BJ1056" s="220"/>
      <c r="BK1056" s="46">
        <f t="shared" si="1"/>
        <v>1</v>
      </c>
      <c r="BL1056" s="46"/>
      <c r="BM1056" s="46"/>
      <c r="BN1056" s="46"/>
    </row>
    <row r="1057" spans="1:66" ht="12.75" hidden="1" customHeight="1">
      <c r="A1057" s="22">
        <v>1055</v>
      </c>
      <c r="B1057" s="22" t="s">
        <v>2759</v>
      </c>
      <c r="C1057" s="22" t="str">
        <f t="shared" si="0"/>
        <v>Rh factor negative counseling</v>
      </c>
      <c r="D1057" s="24" t="s">
        <v>2759</v>
      </c>
      <c r="E1057" s="22" t="s">
        <v>96</v>
      </c>
      <c r="F1057" s="24" t="s">
        <v>1787</v>
      </c>
      <c r="G1057" s="24" t="s">
        <v>2740</v>
      </c>
      <c r="H1057" s="24"/>
      <c r="I1057" s="24">
        <v>1</v>
      </c>
      <c r="J1057" s="24" t="s">
        <v>2372</v>
      </c>
      <c r="K1057" s="24"/>
      <c r="L1057" s="24"/>
      <c r="M1057" s="24"/>
      <c r="N1057" s="24"/>
      <c r="O1057" s="24"/>
      <c r="P1057" s="170"/>
      <c r="Q1057" s="170"/>
      <c r="R1057" s="178" t="s">
        <v>2759</v>
      </c>
      <c r="S1057" s="170" t="s">
        <v>2760</v>
      </c>
      <c r="T1057" s="170"/>
      <c r="U1057" s="242" t="s">
        <v>202</v>
      </c>
      <c r="V1057" s="163"/>
      <c r="W1057" s="163"/>
      <c r="X1057" s="164"/>
      <c r="Y1057" s="164"/>
      <c r="Z1057" s="164"/>
      <c r="AA1057" s="170"/>
      <c r="AB1057" s="164" t="s">
        <v>208</v>
      </c>
      <c r="AC1057" s="251"/>
      <c r="AD1057" s="170"/>
      <c r="AE1057" s="225"/>
      <c r="AF1057" s="170"/>
      <c r="AG1057" s="170"/>
      <c r="AH1057" s="251"/>
      <c r="AI1057" s="170"/>
      <c r="AJ1057" s="164" t="s">
        <v>1277</v>
      </c>
      <c r="AK1057" s="22"/>
      <c r="AL1057" s="170"/>
      <c r="AM1057" s="170"/>
      <c r="AN1057" s="170"/>
      <c r="AO1057" s="170"/>
      <c r="AP1057" s="170"/>
      <c r="AQ1057" s="22"/>
      <c r="AR1057" s="22"/>
      <c r="AS1057" s="22"/>
      <c r="AT1057" s="170"/>
      <c r="AU1057" s="170"/>
      <c r="AV1057" s="170"/>
      <c r="AW1057" s="170"/>
      <c r="AX1057" s="170"/>
      <c r="AY1057" s="170"/>
      <c r="AZ1057" s="170"/>
      <c r="BA1057" s="170"/>
      <c r="BB1057" s="170"/>
      <c r="BC1057" s="170"/>
      <c r="BD1057" s="170"/>
      <c r="BE1057" s="137" t="s">
        <v>2761</v>
      </c>
      <c r="BF1057" s="137" t="s">
        <v>2398</v>
      </c>
      <c r="BG1057" s="139" t="s">
        <v>2399</v>
      </c>
      <c r="BH1057" s="220"/>
      <c r="BI1057" s="220"/>
      <c r="BJ1057" s="220"/>
      <c r="BK1057" s="46">
        <f t="shared" si="1"/>
        <v>1</v>
      </c>
      <c r="BL1057" s="46"/>
      <c r="BM1057" s="46"/>
      <c r="BN1057" s="46"/>
    </row>
    <row r="1058" spans="1:66" ht="12.75" hidden="1" customHeight="1">
      <c r="A1058" s="22">
        <v>1056</v>
      </c>
      <c r="B1058" s="22" t="s">
        <v>2527</v>
      </c>
      <c r="C1058" s="22" t="e">
        <f t="shared" ca="1" si="0"/>
        <v>#NAME?</v>
      </c>
      <c r="D1058" s="24" t="s">
        <v>1673</v>
      </c>
      <c r="E1058" s="22" t="s">
        <v>180</v>
      </c>
      <c r="F1058" s="24" t="s">
        <v>2759</v>
      </c>
      <c r="G1058" s="24" t="s">
        <v>2740</v>
      </c>
      <c r="H1058" s="24"/>
      <c r="I1058" s="24">
        <v>1</v>
      </c>
      <c r="J1058" s="24" t="s">
        <v>2372</v>
      </c>
      <c r="K1058" s="24"/>
      <c r="L1058" s="24"/>
      <c r="M1058" s="24"/>
      <c r="N1058" s="24"/>
      <c r="O1058" s="24"/>
      <c r="P1058" s="170"/>
      <c r="Q1058" s="170"/>
      <c r="R1058" s="178"/>
      <c r="S1058" s="170"/>
      <c r="T1058" s="170"/>
      <c r="U1058" s="242"/>
      <c r="V1058" s="163"/>
      <c r="W1058" s="163" t="s">
        <v>1673</v>
      </c>
      <c r="X1058" s="164"/>
      <c r="Y1058" s="164"/>
      <c r="Z1058" s="164"/>
      <c r="AA1058" s="170"/>
      <c r="AB1058" s="164"/>
      <c r="AC1058" s="251"/>
      <c r="AD1058" s="170"/>
      <c r="AE1058" s="225"/>
      <c r="AF1058" s="170"/>
      <c r="AG1058" s="170"/>
      <c r="AH1058" s="251"/>
      <c r="AI1058" s="170"/>
      <c r="AJ1058" s="164"/>
      <c r="AK1058" s="22"/>
      <c r="AL1058" s="170"/>
      <c r="AM1058" s="170"/>
      <c r="AN1058" s="170"/>
      <c r="AO1058" s="170"/>
      <c r="AP1058" s="170"/>
      <c r="AQ1058" s="22"/>
      <c r="AR1058" s="22"/>
      <c r="AS1058" s="22"/>
      <c r="AT1058" s="170"/>
      <c r="AU1058" s="170"/>
      <c r="AV1058" s="170"/>
      <c r="AW1058" s="170"/>
      <c r="AX1058" s="170"/>
      <c r="AY1058" s="170"/>
      <c r="AZ1058" s="170"/>
      <c r="BA1058" s="170"/>
      <c r="BB1058" s="170"/>
      <c r="BC1058" s="170"/>
      <c r="BD1058" s="170"/>
      <c r="BE1058" s="137" t="s">
        <v>115</v>
      </c>
      <c r="BF1058" s="137" t="s">
        <v>942</v>
      </c>
      <c r="BG1058" s="167" t="s">
        <v>943</v>
      </c>
      <c r="BH1058" s="220"/>
      <c r="BI1058" s="220"/>
      <c r="BJ1058" s="220"/>
      <c r="BK1058" s="46">
        <f t="shared" si="1"/>
        <v>1</v>
      </c>
      <c r="BL1058" s="46"/>
      <c r="BM1058" s="46"/>
      <c r="BN1058" s="46"/>
    </row>
    <row r="1059" spans="1:66" ht="12.75" hidden="1" customHeight="1">
      <c r="A1059" s="22">
        <v>1057</v>
      </c>
      <c r="B1059" s="22" t="s">
        <v>2118</v>
      </c>
      <c r="C1059" s="22" t="e">
        <f t="shared" ca="1" si="0"/>
        <v>#NAME?</v>
      </c>
      <c r="D1059" s="24" t="s">
        <v>1468</v>
      </c>
      <c r="E1059" s="22" t="s">
        <v>180</v>
      </c>
      <c r="F1059" s="24" t="s">
        <v>2759</v>
      </c>
      <c r="G1059" s="24" t="s">
        <v>2740</v>
      </c>
      <c r="H1059" s="24"/>
      <c r="I1059" s="24">
        <v>1</v>
      </c>
      <c r="J1059" s="24" t="s">
        <v>2372</v>
      </c>
      <c r="K1059" s="24"/>
      <c r="L1059" s="24"/>
      <c r="M1059" s="24"/>
      <c r="N1059" s="24"/>
      <c r="O1059" s="24"/>
      <c r="P1059" s="170"/>
      <c r="Q1059" s="170"/>
      <c r="R1059" s="178"/>
      <c r="S1059" s="170"/>
      <c r="T1059" s="170"/>
      <c r="U1059" s="242"/>
      <c r="V1059" s="163"/>
      <c r="W1059" s="163" t="s">
        <v>1468</v>
      </c>
      <c r="X1059" s="164"/>
      <c r="Y1059" s="164"/>
      <c r="Z1059" s="164"/>
      <c r="AA1059" s="170"/>
      <c r="AB1059" s="164"/>
      <c r="AC1059" s="251"/>
      <c r="AD1059" s="170"/>
      <c r="AE1059" s="225"/>
      <c r="AF1059" s="170"/>
      <c r="AG1059" s="170"/>
      <c r="AH1059" s="251"/>
      <c r="AI1059" s="170"/>
      <c r="AJ1059" s="164"/>
      <c r="AK1059" s="22"/>
      <c r="AL1059" s="170"/>
      <c r="AM1059" s="170"/>
      <c r="AN1059" s="170"/>
      <c r="AO1059" s="170"/>
      <c r="AP1059" s="170"/>
      <c r="AQ1059" s="22"/>
      <c r="AR1059" s="22"/>
      <c r="AS1059" s="22"/>
      <c r="AT1059" s="170"/>
      <c r="AU1059" s="170"/>
      <c r="AV1059" s="170"/>
      <c r="AW1059" s="170"/>
      <c r="AX1059" s="170"/>
      <c r="AY1059" s="170"/>
      <c r="AZ1059" s="170"/>
      <c r="BA1059" s="170"/>
      <c r="BB1059" s="170"/>
      <c r="BC1059" s="170"/>
      <c r="BD1059" s="170"/>
      <c r="BE1059" s="137" t="s">
        <v>115</v>
      </c>
      <c r="BF1059" s="137" t="s">
        <v>1469</v>
      </c>
      <c r="BG1059" s="167" t="s">
        <v>1470</v>
      </c>
      <c r="BH1059" s="220"/>
      <c r="BI1059" s="220"/>
      <c r="BJ1059" s="220"/>
      <c r="BK1059" s="46">
        <f t="shared" si="1"/>
        <v>1</v>
      </c>
      <c r="BL1059" s="46"/>
      <c r="BM1059" s="46"/>
      <c r="BN1059" s="46"/>
    </row>
    <row r="1060" spans="1:66" ht="12.75" hidden="1" customHeight="1">
      <c r="A1060" s="22">
        <v>1058</v>
      </c>
      <c r="B1060" s="22" t="s">
        <v>2762</v>
      </c>
      <c r="C1060" s="22" t="str">
        <f t="shared" si="0"/>
        <v>Intrapartum antibiotic to prevent early neonatal Group B Streptococcus (GBS) infection counseling</v>
      </c>
      <c r="D1060" s="24" t="s">
        <v>2762</v>
      </c>
      <c r="E1060" s="22" t="s">
        <v>96</v>
      </c>
      <c r="F1060" s="24" t="s">
        <v>1787</v>
      </c>
      <c r="G1060" s="24" t="s">
        <v>2740</v>
      </c>
      <c r="H1060" s="24"/>
      <c r="I1060" s="24">
        <v>1</v>
      </c>
      <c r="J1060" s="24" t="s">
        <v>2372</v>
      </c>
      <c r="K1060" s="24"/>
      <c r="L1060" s="24"/>
      <c r="M1060" s="24"/>
      <c r="N1060" s="24"/>
      <c r="O1060" s="24"/>
      <c r="P1060" s="170"/>
      <c r="Q1060" s="170"/>
      <c r="R1060" s="169" t="s">
        <v>2762</v>
      </c>
      <c r="S1060" s="164" t="s">
        <v>2763</v>
      </c>
      <c r="T1060" s="164"/>
      <c r="U1060" s="164" t="s">
        <v>202</v>
      </c>
      <c r="V1060" s="163"/>
      <c r="W1060" s="163"/>
      <c r="X1060" s="164"/>
      <c r="Y1060" s="164"/>
      <c r="Z1060" s="164"/>
      <c r="AA1060" s="170"/>
      <c r="AB1060" s="164" t="s">
        <v>208</v>
      </c>
      <c r="AC1060" s="251"/>
      <c r="AD1060" s="170"/>
      <c r="AE1060" s="225"/>
      <c r="AF1060" s="170"/>
      <c r="AG1060" s="170"/>
      <c r="AH1060" s="251"/>
      <c r="AI1060" s="170"/>
      <c r="AJ1060" s="164" t="s">
        <v>1277</v>
      </c>
      <c r="AK1060" s="22"/>
      <c r="AL1060" s="170"/>
      <c r="AM1060" s="170"/>
      <c r="AN1060" s="170"/>
      <c r="AO1060" s="170"/>
      <c r="AP1060" s="170"/>
      <c r="AQ1060" s="22"/>
      <c r="AR1060" s="22"/>
      <c r="AS1060" s="22"/>
      <c r="AT1060" s="170"/>
      <c r="AU1060" s="170"/>
      <c r="AV1060" s="170"/>
      <c r="AW1060" s="170"/>
      <c r="AX1060" s="170"/>
      <c r="AY1060" s="170"/>
      <c r="AZ1060" s="170"/>
      <c r="BA1060" s="170"/>
      <c r="BB1060" s="170"/>
      <c r="BC1060" s="170"/>
      <c r="BD1060" s="170"/>
      <c r="BE1060" s="137" t="s">
        <v>2765</v>
      </c>
      <c r="BF1060" s="137" t="s">
        <v>2398</v>
      </c>
      <c r="BG1060" s="139" t="s">
        <v>2399</v>
      </c>
      <c r="BH1060" s="220"/>
      <c r="BI1060" s="220"/>
      <c r="BJ1060" s="220"/>
      <c r="BK1060" s="46">
        <f t="shared" si="1"/>
        <v>1</v>
      </c>
      <c r="BL1060" s="46"/>
      <c r="BM1060" s="46"/>
      <c r="BN1060" s="46"/>
    </row>
    <row r="1061" spans="1:66" ht="12.75" hidden="1" customHeight="1">
      <c r="A1061" s="22">
        <v>1059</v>
      </c>
      <c r="B1061" s="22" t="s">
        <v>2527</v>
      </c>
      <c r="C1061" s="22" t="e">
        <f t="shared" ca="1" si="0"/>
        <v>#NAME?</v>
      </c>
      <c r="D1061" s="24" t="s">
        <v>1673</v>
      </c>
      <c r="E1061" s="22" t="s">
        <v>180</v>
      </c>
      <c r="F1061" s="24" t="s">
        <v>2762</v>
      </c>
      <c r="G1061" s="24" t="s">
        <v>2740</v>
      </c>
      <c r="H1061" s="24"/>
      <c r="I1061" s="24">
        <v>1</v>
      </c>
      <c r="J1061" s="24" t="s">
        <v>2372</v>
      </c>
      <c r="K1061" s="24"/>
      <c r="L1061" s="24"/>
      <c r="M1061" s="24"/>
      <c r="N1061" s="24"/>
      <c r="O1061" s="24"/>
      <c r="P1061" s="170"/>
      <c r="Q1061" s="170"/>
      <c r="R1061" s="169"/>
      <c r="S1061" s="164"/>
      <c r="T1061" s="164"/>
      <c r="U1061" s="164"/>
      <c r="V1061" s="163"/>
      <c r="W1061" s="163" t="s">
        <v>1673</v>
      </c>
      <c r="X1061" s="164"/>
      <c r="Y1061" s="164"/>
      <c r="Z1061" s="164"/>
      <c r="AA1061" s="170"/>
      <c r="AB1061" s="164"/>
      <c r="AC1061" s="251"/>
      <c r="AD1061" s="170"/>
      <c r="AE1061" s="225"/>
      <c r="AF1061" s="170"/>
      <c r="AG1061" s="170"/>
      <c r="AH1061" s="251"/>
      <c r="AI1061" s="170"/>
      <c r="AJ1061" s="164"/>
      <c r="AK1061" s="22"/>
      <c r="AL1061" s="170"/>
      <c r="AM1061" s="170"/>
      <c r="AN1061" s="170"/>
      <c r="AO1061" s="170"/>
      <c r="AP1061" s="170"/>
      <c r="AQ1061" s="22"/>
      <c r="AR1061" s="22"/>
      <c r="AS1061" s="22"/>
      <c r="AT1061" s="170"/>
      <c r="AU1061" s="170"/>
      <c r="AV1061" s="170"/>
      <c r="AW1061" s="170"/>
      <c r="AX1061" s="170"/>
      <c r="AY1061" s="170"/>
      <c r="AZ1061" s="170"/>
      <c r="BA1061" s="170"/>
      <c r="BB1061" s="170"/>
      <c r="BC1061" s="170"/>
      <c r="BD1061" s="170"/>
      <c r="BE1061" s="137" t="s">
        <v>115</v>
      </c>
      <c r="BF1061" s="137" t="s">
        <v>942</v>
      </c>
      <c r="BG1061" s="167" t="s">
        <v>943</v>
      </c>
      <c r="BH1061" s="220"/>
      <c r="BI1061" s="220"/>
      <c r="BJ1061" s="220"/>
      <c r="BK1061" s="46">
        <f t="shared" si="1"/>
        <v>1</v>
      </c>
      <c r="BL1061" s="46"/>
      <c r="BM1061" s="46"/>
      <c r="BN1061" s="46"/>
    </row>
    <row r="1062" spans="1:66" ht="12.75" hidden="1" customHeight="1">
      <c r="A1062" s="22">
        <v>1060</v>
      </c>
      <c r="B1062" s="22" t="s">
        <v>2118</v>
      </c>
      <c r="C1062" s="22" t="e">
        <f t="shared" ca="1" si="0"/>
        <v>#NAME?</v>
      </c>
      <c r="D1062" s="24" t="s">
        <v>1468</v>
      </c>
      <c r="E1062" s="22" t="s">
        <v>180</v>
      </c>
      <c r="F1062" s="24" t="s">
        <v>2762</v>
      </c>
      <c r="G1062" s="24" t="s">
        <v>2740</v>
      </c>
      <c r="H1062" s="24"/>
      <c r="I1062" s="24">
        <v>1</v>
      </c>
      <c r="J1062" s="24" t="s">
        <v>2372</v>
      </c>
      <c r="K1062" s="24"/>
      <c r="L1062" s="24"/>
      <c r="M1062" s="24"/>
      <c r="N1062" s="24"/>
      <c r="O1062" s="24"/>
      <c r="P1062" s="170"/>
      <c r="Q1062" s="170"/>
      <c r="R1062" s="169"/>
      <c r="S1062" s="164"/>
      <c r="T1062" s="164"/>
      <c r="U1062" s="164"/>
      <c r="V1062" s="163"/>
      <c r="W1062" s="163" t="s">
        <v>1468</v>
      </c>
      <c r="X1062" s="164"/>
      <c r="Y1062" s="164"/>
      <c r="Z1062" s="164"/>
      <c r="AA1062" s="170"/>
      <c r="AB1062" s="164"/>
      <c r="AC1062" s="251"/>
      <c r="AD1062" s="170"/>
      <c r="AE1062" s="225"/>
      <c r="AF1062" s="170"/>
      <c r="AG1062" s="170"/>
      <c r="AH1062" s="251"/>
      <c r="AI1062" s="170"/>
      <c r="AJ1062" s="164"/>
      <c r="AK1062" s="22"/>
      <c r="AL1062" s="170"/>
      <c r="AM1062" s="170"/>
      <c r="AN1062" s="170"/>
      <c r="AO1062" s="170"/>
      <c r="AP1062" s="170"/>
      <c r="AQ1062" s="22"/>
      <c r="AR1062" s="22"/>
      <c r="AS1062" s="22"/>
      <c r="AT1062" s="170"/>
      <c r="AU1062" s="170"/>
      <c r="AV1062" s="170"/>
      <c r="AW1062" s="170"/>
      <c r="AX1062" s="170"/>
      <c r="AY1062" s="170"/>
      <c r="AZ1062" s="170"/>
      <c r="BA1062" s="170"/>
      <c r="BB1062" s="170"/>
      <c r="BC1062" s="170"/>
      <c r="BD1062" s="170"/>
      <c r="BE1062" s="137" t="s">
        <v>115</v>
      </c>
      <c r="BF1062" s="137" t="s">
        <v>1469</v>
      </c>
      <c r="BG1062" s="167" t="s">
        <v>1470</v>
      </c>
      <c r="BH1062" s="220"/>
      <c r="BI1062" s="220"/>
      <c r="BJ1062" s="220"/>
      <c r="BK1062" s="46">
        <f t="shared" si="1"/>
        <v>1</v>
      </c>
      <c r="BL1062" s="46"/>
      <c r="BM1062" s="46"/>
      <c r="BN1062" s="46"/>
    </row>
    <row r="1063" spans="1:66" ht="12.75" hidden="1" customHeight="1">
      <c r="A1063" s="22">
        <v>1061</v>
      </c>
      <c r="B1063" s="22" t="s">
        <v>2767</v>
      </c>
      <c r="C1063" s="22" t="str">
        <f t="shared" si="0"/>
        <v xml:space="preserve">Postpartum family planning counseling </v>
      </c>
      <c r="D1063" s="24" t="s">
        <v>2767</v>
      </c>
      <c r="E1063" s="22" t="s">
        <v>96</v>
      </c>
      <c r="F1063" s="24" t="s">
        <v>1787</v>
      </c>
      <c r="G1063" s="24" t="s">
        <v>2768</v>
      </c>
      <c r="H1063" s="24"/>
      <c r="I1063" s="24">
        <v>1</v>
      </c>
      <c r="J1063" s="24" t="s">
        <v>2372</v>
      </c>
      <c r="K1063" s="24"/>
      <c r="L1063" s="24"/>
      <c r="M1063" s="24"/>
      <c r="N1063" s="24"/>
      <c r="O1063" s="24"/>
      <c r="P1063" s="170"/>
      <c r="Q1063" s="170"/>
      <c r="R1063" s="169" t="s">
        <v>2767</v>
      </c>
      <c r="S1063" s="170" t="s">
        <v>2769</v>
      </c>
      <c r="T1063" s="164"/>
      <c r="U1063" s="164" t="s">
        <v>202</v>
      </c>
      <c r="V1063" s="163"/>
      <c r="W1063" s="163"/>
      <c r="X1063" s="164"/>
      <c r="Y1063" s="164"/>
      <c r="Z1063" s="164"/>
      <c r="AA1063" s="170"/>
      <c r="AB1063" s="164" t="s">
        <v>113</v>
      </c>
      <c r="AC1063" s="251"/>
      <c r="AD1063" s="170"/>
      <c r="AE1063" s="225"/>
      <c r="AF1063" s="170"/>
      <c r="AG1063" s="170"/>
      <c r="AH1063" s="251"/>
      <c r="AI1063" s="170"/>
      <c r="AJ1063" s="164" t="s">
        <v>2770</v>
      </c>
      <c r="AK1063" s="22"/>
      <c r="AL1063" s="170"/>
      <c r="AM1063" s="170"/>
      <c r="AN1063" s="170"/>
      <c r="AO1063" s="170"/>
      <c r="AP1063" s="170"/>
      <c r="AQ1063" s="22"/>
      <c r="AR1063" s="22"/>
      <c r="AS1063" s="22"/>
      <c r="AT1063" s="170"/>
      <c r="AU1063" s="170"/>
      <c r="AV1063" s="170"/>
      <c r="AW1063" s="170"/>
      <c r="AX1063" s="170"/>
      <c r="AY1063" s="170"/>
      <c r="AZ1063" s="170"/>
      <c r="BA1063" s="170"/>
      <c r="BB1063" s="170"/>
      <c r="BC1063" s="170"/>
      <c r="BD1063" s="170"/>
      <c r="BE1063" s="137" t="s">
        <v>2771</v>
      </c>
      <c r="BF1063" s="137" t="s">
        <v>2398</v>
      </c>
      <c r="BG1063" s="139" t="s">
        <v>2399</v>
      </c>
      <c r="BH1063" s="220"/>
      <c r="BI1063" s="220"/>
      <c r="BJ1063" s="220"/>
      <c r="BK1063" s="46">
        <f t="shared" si="1"/>
        <v>1</v>
      </c>
      <c r="BL1063" s="46"/>
      <c r="BM1063" s="46"/>
      <c r="BN1063" s="46"/>
    </row>
    <row r="1064" spans="1:66" ht="12.75" hidden="1" customHeight="1">
      <c r="A1064" s="22">
        <v>1062</v>
      </c>
      <c r="B1064" s="22" t="s">
        <v>2527</v>
      </c>
      <c r="C1064" s="22" t="e">
        <f t="shared" ca="1" si="0"/>
        <v>#NAME?</v>
      </c>
      <c r="D1064" s="24" t="s">
        <v>1673</v>
      </c>
      <c r="E1064" s="22" t="s">
        <v>180</v>
      </c>
      <c r="F1064" s="24" t="s">
        <v>2767</v>
      </c>
      <c r="G1064" s="24" t="s">
        <v>2768</v>
      </c>
      <c r="H1064" s="24"/>
      <c r="I1064" s="24">
        <v>1</v>
      </c>
      <c r="J1064" s="24" t="s">
        <v>2372</v>
      </c>
      <c r="K1064" s="24"/>
      <c r="L1064" s="24"/>
      <c r="M1064" s="24"/>
      <c r="N1064" s="24"/>
      <c r="O1064" s="24"/>
      <c r="P1064" s="170"/>
      <c r="Q1064" s="170"/>
      <c r="R1064" s="195"/>
      <c r="S1064" s="194"/>
      <c r="T1064" s="196"/>
      <c r="U1064" s="194"/>
      <c r="V1064" s="163"/>
      <c r="W1064" s="163" t="s">
        <v>1673</v>
      </c>
      <c r="X1064" s="196"/>
      <c r="Y1064" s="196"/>
      <c r="Z1064" s="196"/>
      <c r="AA1064" s="170"/>
      <c r="AB1064" s="194"/>
      <c r="AC1064" s="251"/>
      <c r="AD1064" s="170"/>
      <c r="AE1064" s="225"/>
      <c r="AF1064" s="170"/>
      <c r="AG1064" s="170"/>
      <c r="AH1064" s="251"/>
      <c r="AI1064" s="170"/>
      <c r="AJ1064" s="164"/>
      <c r="AK1064" s="22"/>
      <c r="AL1064" s="170"/>
      <c r="AM1064" s="170"/>
      <c r="AN1064" s="170"/>
      <c r="AO1064" s="170"/>
      <c r="AP1064" s="170"/>
      <c r="AQ1064" s="22"/>
      <c r="AR1064" s="22"/>
      <c r="AS1064" s="22"/>
      <c r="AT1064" s="170"/>
      <c r="AU1064" s="170"/>
      <c r="AV1064" s="170"/>
      <c r="AW1064" s="170"/>
      <c r="AX1064" s="170"/>
      <c r="AY1064" s="170"/>
      <c r="AZ1064" s="170"/>
      <c r="BA1064" s="170"/>
      <c r="BB1064" s="170"/>
      <c r="BC1064" s="170"/>
      <c r="BD1064" s="170"/>
      <c r="BE1064" s="137" t="s">
        <v>115</v>
      </c>
      <c r="BF1064" s="137" t="s">
        <v>942</v>
      </c>
      <c r="BG1064" s="167" t="s">
        <v>943</v>
      </c>
      <c r="BH1064" s="220"/>
      <c r="BI1064" s="220"/>
      <c r="BJ1064" s="220"/>
      <c r="BK1064" s="46">
        <f t="shared" si="1"/>
        <v>1</v>
      </c>
      <c r="BL1064" s="46"/>
      <c r="BM1064" s="46"/>
      <c r="BN1064" s="46"/>
    </row>
    <row r="1065" spans="1:66" ht="12.75" hidden="1" customHeight="1">
      <c r="A1065" s="22">
        <v>1063</v>
      </c>
      <c r="B1065" s="22" t="s">
        <v>2118</v>
      </c>
      <c r="C1065" s="22" t="e">
        <f t="shared" ca="1" si="0"/>
        <v>#NAME?</v>
      </c>
      <c r="D1065" s="24" t="s">
        <v>1468</v>
      </c>
      <c r="E1065" s="22" t="s">
        <v>180</v>
      </c>
      <c r="F1065" s="24" t="s">
        <v>2767</v>
      </c>
      <c r="G1065" s="24" t="s">
        <v>2768</v>
      </c>
      <c r="H1065" s="24"/>
      <c r="I1065" s="24">
        <v>1</v>
      </c>
      <c r="J1065" s="24" t="s">
        <v>2372</v>
      </c>
      <c r="K1065" s="24"/>
      <c r="L1065" s="24"/>
      <c r="M1065" s="24"/>
      <c r="N1065" s="24"/>
      <c r="O1065" s="24"/>
      <c r="P1065" s="170"/>
      <c r="Q1065" s="170"/>
      <c r="R1065" s="195"/>
      <c r="S1065" s="194"/>
      <c r="T1065" s="196"/>
      <c r="U1065" s="194"/>
      <c r="V1065" s="163"/>
      <c r="W1065" s="163" t="s">
        <v>1468</v>
      </c>
      <c r="X1065" s="196"/>
      <c r="Y1065" s="196"/>
      <c r="Z1065" s="196"/>
      <c r="AA1065" s="170"/>
      <c r="AB1065" s="194"/>
      <c r="AC1065" s="251"/>
      <c r="AD1065" s="170"/>
      <c r="AE1065" s="225"/>
      <c r="AF1065" s="170"/>
      <c r="AG1065" s="170"/>
      <c r="AH1065" s="251"/>
      <c r="AI1065" s="170"/>
      <c r="AJ1065" s="164"/>
      <c r="AK1065" s="22"/>
      <c r="AL1065" s="170"/>
      <c r="AM1065" s="170"/>
      <c r="AN1065" s="170"/>
      <c r="AO1065" s="170"/>
      <c r="AP1065" s="170"/>
      <c r="AQ1065" s="22"/>
      <c r="AR1065" s="22"/>
      <c r="AS1065" s="22"/>
      <c r="AT1065" s="170"/>
      <c r="AU1065" s="170"/>
      <c r="AV1065" s="170"/>
      <c r="AW1065" s="170"/>
      <c r="AX1065" s="170"/>
      <c r="AY1065" s="170"/>
      <c r="AZ1065" s="170"/>
      <c r="BA1065" s="170"/>
      <c r="BB1065" s="170"/>
      <c r="BC1065" s="170"/>
      <c r="BD1065" s="170"/>
      <c r="BE1065" s="137" t="s">
        <v>115</v>
      </c>
      <c r="BF1065" s="137" t="s">
        <v>1469</v>
      </c>
      <c r="BG1065" s="167" t="s">
        <v>1470</v>
      </c>
      <c r="BH1065" s="220"/>
      <c r="BI1065" s="220"/>
      <c r="BJ1065" s="220"/>
      <c r="BK1065" s="46">
        <f t="shared" si="1"/>
        <v>1</v>
      </c>
      <c r="BL1065" s="46"/>
      <c r="BM1065" s="46"/>
      <c r="BN1065" s="46"/>
    </row>
    <row r="1066" spans="1:66" ht="12.75" hidden="1" customHeight="1">
      <c r="A1066" s="22">
        <v>1064</v>
      </c>
      <c r="B1066" s="22" t="s">
        <v>2773</v>
      </c>
      <c r="C1066" s="22" t="str">
        <f t="shared" si="0"/>
        <v>FP method accepted</v>
      </c>
      <c r="D1066" s="24" t="s">
        <v>2773</v>
      </c>
      <c r="E1066" s="22" t="s">
        <v>96</v>
      </c>
      <c r="F1066" s="24" t="s">
        <v>1787</v>
      </c>
      <c r="G1066" s="24" t="s">
        <v>2768</v>
      </c>
      <c r="H1066" s="24"/>
      <c r="I1066" s="24">
        <v>1</v>
      </c>
      <c r="J1066" s="24" t="s">
        <v>2372</v>
      </c>
      <c r="K1066" s="24"/>
      <c r="L1066" s="24"/>
      <c r="M1066" s="24"/>
      <c r="N1066" s="24"/>
      <c r="O1066" s="24"/>
      <c r="P1066" s="170"/>
      <c r="Q1066" s="170"/>
      <c r="R1066" s="195" t="s">
        <v>2773</v>
      </c>
      <c r="S1066" s="194" t="s">
        <v>2774</v>
      </c>
      <c r="T1066" s="196"/>
      <c r="U1066" s="194" t="s">
        <v>202</v>
      </c>
      <c r="V1066" s="194"/>
      <c r="W1066" s="194"/>
      <c r="X1066" s="196"/>
      <c r="Y1066" s="196"/>
      <c r="Z1066" s="196"/>
      <c r="AA1066" s="170"/>
      <c r="AB1066" s="194" t="s">
        <v>208</v>
      </c>
      <c r="AC1066" s="251"/>
      <c r="AD1066" s="170"/>
      <c r="AE1066" s="225"/>
      <c r="AF1066" s="170"/>
      <c r="AG1066" s="170"/>
      <c r="AH1066" s="251"/>
      <c r="AI1066" s="170"/>
      <c r="AJ1066" s="164" t="s">
        <v>2770</v>
      </c>
      <c r="AK1066" s="22"/>
      <c r="AL1066" s="170"/>
      <c r="AM1066" s="170"/>
      <c r="AN1066" s="170"/>
      <c r="AO1066" s="170"/>
      <c r="AP1066" s="170"/>
      <c r="AQ1066" s="22"/>
      <c r="AR1066" s="22"/>
      <c r="AS1066" s="22"/>
      <c r="AT1066" s="170"/>
      <c r="AU1066" s="170"/>
      <c r="AV1066" s="170"/>
      <c r="AW1066" s="170"/>
      <c r="AX1066" s="170"/>
      <c r="AY1066" s="170"/>
      <c r="AZ1066" s="170"/>
      <c r="BA1066" s="170"/>
      <c r="BB1066" s="170"/>
      <c r="BC1066" s="170"/>
      <c r="BD1066" s="170"/>
      <c r="BE1066" s="143" t="s">
        <v>115</v>
      </c>
      <c r="BF1066" s="143" t="s">
        <v>2776</v>
      </c>
      <c r="BG1066" s="167" t="s">
        <v>2777</v>
      </c>
      <c r="BH1066" s="220"/>
      <c r="BI1066" s="220"/>
      <c r="BJ1066" s="220"/>
      <c r="BK1066" s="46">
        <f t="shared" si="1"/>
        <v>1</v>
      </c>
      <c r="BL1066" s="46"/>
      <c r="BM1066" s="46"/>
      <c r="BN1066" s="46"/>
    </row>
    <row r="1067" spans="1:66" ht="12.75" hidden="1" customHeight="1">
      <c r="A1067" s="22">
        <v>1065</v>
      </c>
      <c r="B1067" s="22" t="s">
        <v>4273</v>
      </c>
      <c r="C1067" s="22" t="e">
        <f t="shared" ca="1" si="0"/>
        <v>#NAME?</v>
      </c>
      <c r="D1067" s="24" t="s">
        <v>2778</v>
      </c>
      <c r="E1067" s="22" t="s">
        <v>180</v>
      </c>
      <c r="F1067" s="24" t="s">
        <v>2773</v>
      </c>
      <c r="G1067" s="24" t="s">
        <v>2768</v>
      </c>
      <c r="H1067" s="24"/>
      <c r="I1067" s="24">
        <v>1</v>
      </c>
      <c r="J1067" s="24" t="s">
        <v>2372</v>
      </c>
      <c r="K1067" s="24"/>
      <c r="L1067" s="24"/>
      <c r="M1067" s="24"/>
      <c r="N1067" s="24"/>
      <c r="O1067" s="24"/>
      <c r="P1067" s="170"/>
      <c r="Q1067" s="170"/>
      <c r="R1067" s="169"/>
      <c r="S1067" s="164"/>
      <c r="T1067" s="164"/>
      <c r="U1067" s="164"/>
      <c r="V1067" s="193"/>
      <c r="W1067" s="194" t="s">
        <v>2778</v>
      </c>
      <c r="X1067" s="164"/>
      <c r="Y1067" s="164"/>
      <c r="Z1067" s="164"/>
      <c r="AA1067" s="170"/>
      <c r="AB1067" s="164"/>
      <c r="AC1067" s="251"/>
      <c r="AD1067" s="170"/>
      <c r="AE1067" s="225"/>
      <c r="AF1067" s="170"/>
      <c r="AG1067" s="170"/>
      <c r="AH1067" s="251"/>
      <c r="AI1067" s="170"/>
      <c r="AJ1067" s="164"/>
      <c r="AK1067" s="22"/>
      <c r="AL1067" s="170"/>
      <c r="AM1067" s="170"/>
      <c r="AN1067" s="170"/>
      <c r="AO1067" s="170"/>
      <c r="AP1067" s="170"/>
      <c r="AQ1067" s="22"/>
      <c r="AR1067" s="22"/>
      <c r="AS1067" s="22"/>
      <c r="AT1067" s="170"/>
      <c r="AU1067" s="170"/>
      <c r="AV1067" s="170"/>
      <c r="AW1067" s="170"/>
      <c r="AX1067" s="170"/>
      <c r="AY1067" s="170"/>
      <c r="AZ1067" s="170"/>
      <c r="BA1067" s="170"/>
      <c r="BB1067" s="170"/>
      <c r="BC1067" s="170"/>
      <c r="BD1067" s="170"/>
      <c r="BE1067" s="143" t="s">
        <v>115</v>
      </c>
      <c r="BF1067" s="143" t="s">
        <v>2779</v>
      </c>
      <c r="BG1067" s="139" t="s">
        <v>2780</v>
      </c>
      <c r="BH1067" s="220"/>
      <c r="BI1067" s="220"/>
      <c r="BJ1067" s="220"/>
      <c r="BK1067" s="46">
        <f t="shared" si="1"/>
        <v>1</v>
      </c>
      <c r="BL1067" s="46"/>
      <c r="BM1067" s="46"/>
      <c r="BN1067" s="46"/>
    </row>
    <row r="1068" spans="1:66" ht="12.75" hidden="1" customHeight="1">
      <c r="A1068" s="22">
        <v>1066</v>
      </c>
      <c r="B1068" s="22" t="s">
        <v>4276</v>
      </c>
      <c r="C1068" s="22" t="e">
        <f t="shared" ca="1" si="0"/>
        <v>#NAME?</v>
      </c>
      <c r="D1068" s="24" t="s">
        <v>2781</v>
      </c>
      <c r="E1068" s="22" t="s">
        <v>180</v>
      </c>
      <c r="F1068" s="24" t="s">
        <v>2773</v>
      </c>
      <c r="G1068" s="24" t="s">
        <v>2768</v>
      </c>
      <c r="H1068" s="24"/>
      <c r="I1068" s="24">
        <v>1</v>
      </c>
      <c r="J1068" s="24" t="s">
        <v>2372</v>
      </c>
      <c r="K1068" s="24"/>
      <c r="L1068" s="24"/>
      <c r="M1068" s="24"/>
      <c r="N1068" s="24"/>
      <c r="O1068" s="24"/>
      <c r="P1068" s="170"/>
      <c r="Q1068" s="170"/>
      <c r="R1068" s="169"/>
      <c r="S1068" s="164"/>
      <c r="T1068" s="164"/>
      <c r="U1068" s="164"/>
      <c r="V1068" s="163"/>
      <c r="W1068" s="163" t="s">
        <v>2781</v>
      </c>
      <c r="X1068" s="164"/>
      <c r="Y1068" s="164"/>
      <c r="Z1068" s="164"/>
      <c r="AA1068" s="170"/>
      <c r="AB1068" s="164"/>
      <c r="AC1068" s="251"/>
      <c r="AD1068" s="170"/>
      <c r="AE1068" s="225"/>
      <c r="AF1068" s="170"/>
      <c r="AG1068" s="170"/>
      <c r="AH1068" s="251"/>
      <c r="AI1068" s="170"/>
      <c r="AJ1068" s="164"/>
      <c r="AK1068" s="22"/>
      <c r="AL1068" s="170"/>
      <c r="AM1068" s="170"/>
      <c r="AN1068" s="170"/>
      <c r="AO1068" s="170"/>
      <c r="AP1068" s="170"/>
      <c r="AQ1068" s="22"/>
      <c r="AR1068" s="22"/>
      <c r="AS1068" s="22"/>
      <c r="AT1068" s="170"/>
      <c r="AU1068" s="170"/>
      <c r="AV1068" s="170"/>
      <c r="AW1068" s="170"/>
      <c r="AX1068" s="170"/>
      <c r="AY1068" s="170"/>
      <c r="AZ1068" s="170"/>
      <c r="BA1068" s="170"/>
      <c r="BB1068" s="170"/>
      <c r="BC1068" s="170"/>
      <c r="BD1068" s="170"/>
      <c r="BE1068" s="143" t="s">
        <v>115</v>
      </c>
      <c r="BF1068" s="143" t="s">
        <v>2783</v>
      </c>
      <c r="BG1068" s="139" t="s">
        <v>2784</v>
      </c>
      <c r="BH1068" s="220"/>
      <c r="BI1068" s="220"/>
      <c r="BJ1068" s="220"/>
      <c r="BK1068" s="46">
        <f t="shared" si="1"/>
        <v>1</v>
      </c>
      <c r="BL1068" s="46"/>
      <c r="BM1068" s="46"/>
      <c r="BN1068" s="46"/>
    </row>
    <row r="1069" spans="1:66" ht="12.75" hidden="1" customHeight="1">
      <c r="A1069" s="22">
        <v>1067</v>
      </c>
      <c r="B1069" s="22" t="s">
        <v>3570</v>
      </c>
      <c r="C1069" s="22" t="e">
        <f t="shared" ca="1" si="0"/>
        <v>#NAME?</v>
      </c>
      <c r="D1069" s="24" t="s">
        <v>2785</v>
      </c>
      <c r="E1069" s="22" t="s">
        <v>180</v>
      </c>
      <c r="F1069" s="24" t="s">
        <v>2773</v>
      </c>
      <c r="G1069" s="24" t="s">
        <v>2768</v>
      </c>
      <c r="H1069" s="24"/>
      <c r="I1069" s="24">
        <v>1</v>
      </c>
      <c r="J1069" s="24" t="s">
        <v>2372</v>
      </c>
      <c r="K1069" s="24"/>
      <c r="L1069" s="24"/>
      <c r="M1069" s="24"/>
      <c r="N1069" s="24"/>
      <c r="O1069" s="24"/>
      <c r="P1069" s="170"/>
      <c r="Q1069" s="170"/>
      <c r="R1069" s="169"/>
      <c r="S1069" s="164"/>
      <c r="T1069" s="164"/>
      <c r="U1069" s="164"/>
      <c r="V1069" s="163"/>
      <c r="W1069" s="163" t="s">
        <v>2785</v>
      </c>
      <c r="X1069" s="164"/>
      <c r="Y1069" s="164"/>
      <c r="Z1069" s="164"/>
      <c r="AA1069" s="170"/>
      <c r="AB1069" s="164"/>
      <c r="AC1069" s="251"/>
      <c r="AD1069" s="170"/>
      <c r="AE1069" s="225"/>
      <c r="AF1069" s="170"/>
      <c r="AG1069" s="170"/>
      <c r="AH1069" s="251"/>
      <c r="AI1069" s="170"/>
      <c r="AJ1069" s="164"/>
      <c r="AK1069" s="22"/>
      <c r="AL1069" s="170"/>
      <c r="AM1069" s="170"/>
      <c r="AN1069" s="170"/>
      <c r="AO1069" s="170"/>
      <c r="AP1069" s="170"/>
      <c r="AQ1069" s="22"/>
      <c r="AR1069" s="22"/>
      <c r="AS1069" s="22"/>
      <c r="AT1069" s="170"/>
      <c r="AU1069" s="170"/>
      <c r="AV1069" s="170"/>
      <c r="AW1069" s="170"/>
      <c r="AX1069" s="170"/>
      <c r="AY1069" s="170"/>
      <c r="AZ1069" s="170"/>
      <c r="BA1069" s="170"/>
      <c r="BB1069" s="170"/>
      <c r="BC1069" s="170"/>
      <c r="BD1069" s="170"/>
      <c r="BE1069" s="143" t="s">
        <v>115</v>
      </c>
      <c r="BF1069" s="143" t="s">
        <v>2786</v>
      </c>
      <c r="BG1069" s="139" t="s">
        <v>2787</v>
      </c>
      <c r="BH1069" s="220"/>
      <c r="BI1069" s="220"/>
      <c r="BJ1069" s="220"/>
      <c r="BK1069" s="46">
        <f t="shared" si="1"/>
        <v>1</v>
      </c>
      <c r="BL1069" s="46"/>
      <c r="BM1069" s="46"/>
      <c r="BN1069" s="46"/>
    </row>
    <row r="1070" spans="1:66" ht="12.75" hidden="1" customHeight="1">
      <c r="A1070" s="22">
        <v>1068</v>
      </c>
      <c r="B1070" s="22" t="s">
        <v>4281</v>
      </c>
      <c r="C1070" s="22" t="e">
        <f t="shared" ca="1" si="0"/>
        <v>#NAME?</v>
      </c>
      <c r="D1070" s="24" t="s">
        <v>2788</v>
      </c>
      <c r="E1070" s="22" t="s">
        <v>180</v>
      </c>
      <c r="F1070" s="24" t="s">
        <v>2773</v>
      </c>
      <c r="G1070" s="24" t="s">
        <v>2768</v>
      </c>
      <c r="H1070" s="24"/>
      <c r="I1070" s="24">
        <v>1</v>
      </c>
      <c r="J1070" s="24" t="s">
        <v>2372</v>
      </c>
      <c r="K1070" s="24"/>
      <c r="L1070" s="24"/>
      <c r="M1070" s="24"/>
      <c r="N1070" s="24"/>
      <c r="O1070" s="24"/>
      <c r="P1070" s="170"/>
      <c r="Q1070" s="170"/>
      <c r="R1070" s="169"/>
      <c r="S1070" s="164"/>
      <c r="T1070" s="164"/>
      <c r="U1070" s="164"/>
      <c r="V1070" s="163"/>
      <c r="W1070" s="163" t="s">
        <v>2788</v>
      </c>
      <c r="X1070" s="164"/>
      <c r="Y1070" s="164"/>
      <c r="Z1070" s="164"/>
      <c r="AA1070" s="170"/>
      <c r="AB1070" s="164"/>
      <c r="AC1070" s="251"/>
      <c r="AD1070" s="170"/>
      <c r="AE1070" s="225"/>
      <c r="AF1070" s="170"/>
      <c r="AG1070" s="170"/>
      <c r="AH1070" s="251"/>
      <c r="AI1070" s="170"/>
      <c r="AJ1070" s="164"/>
      <c r="AK1070" s="22"/>
      <c r="AL1070" s="170"/>
      <c r="AM1070" s="170"/>
      <c r="AN1070" s="170"/>
      <c r="AO1070" s="170"/>
      <c r="AP1070" s="170"/>
      <c r="AQ1070" s="22"/>
      <c r="AR1070" s="22"/>
      <c r="AS1070" s="22"/>
      <c r="AT1070" s="170"/>
      <c r="AU1070" s="170"/>
      <c r="AV1070" s="170"/>
      <c r="AW1070" s="170"/>
      <c r="AX1070" s="170"/>
      <c r="AY1070" s="170"/>
      <c r="AZ1070" s="170"/>
      <c r="BA1070" s="170"/>
      <c r="BB1070" s="170"/>
      <c r="BC1070" s="170"/>
      <c r="BD1070" s="170"/>
      <c r="BE1070" s="143" t="s">
        <v>115</v>
      </c>
      <c r="BF1070" s="143" t="s">
        <v>2790</v>
      </c>
      <c r="BG1070" s="139" t="s">
        <v>2791</v>
      </c>
      <c r="BH1070" s="220"/>
      <c r="BI1070" s="220"/>
      <c r="BJ1070" s="220"/>
      <c r="BK1070" s="46">
        <f t="shared" si="1"/>
        <v>1</v>
      </c>
      <c r="BL1070" s="46"/>
      <c r="BM1070" s="46"/>
      <c r="BN1070" s="46"/>
    </row>
    <row r="1071" spans="1:66" ht="12.75" hidden="1" customHeight="1">
      <c r="A1071" s="22">
        <v>1069</v>
      </c>
      <c r="B1071" s="22" t="s">
        <v>4283</v>
      </c>
      <c r="C1071" s="22" t="e">
        <f t="shared" ca="1" si="0"/>
        <v>#NAME?</v>
      </c>
      <c r="D1071" s="24" t="s">
        <v>2792</v>
      </c>
      <c r="E1071" s="22" t="s">
        <v>180</v>
      </c>
      <c r="F1071" s="24" t="s">
        <v>2773</v>
      </c>
      <c r="G1071" s="24" t="s">
        <v>2768</v>
      </c>
      <c r="H1071" s="24"/>
      <c r="I1071" s="24">
        <v>1</v>
      </c>
      <c r="J1071" s="24" t="s">
        <v>2372</v>
      </c>
      <c r="K1071" s="24"/>
      <c r="L1071" s="24"/>
      <c r="M1071" s="24"/>
      <c r="N1071" s="24"/>
      <c r="O1071" s="24"/>
      <c r="P1071" s="170"/>
      <c r="Q1071" s="170"/>
      <c r="R1071" s="169"/>
      <c r="S1071" s="164"/>
      <c r="T1071" s="164"/>
      <c r="U1071" s="164"/>
      <c r="V1071" s="163"/>
      <c r="W1071" s="163" t="s">
        <v>2792</v>
      </c>
      <c r="X1071" s="164"/>
      <c r="Y1071" s="164"/>
      <c r="Z1071" s="164"/>
      <c r="AA1071" s="170"/>
      <c r="AB1071" s="164"/>
      <c r="AC1071" s="251"/>
      <c r="AD1071" s="170"/>
      <c r="AE1071" s="225"/>
      <c r="AF1071" s="170"/>
      <c r="AG1071" s="170"/>
      <c r="AH1071" s="251"/>
      <c r="AI1071" s="170"/>
      <c r="AJ1071" s="164"/>
      <c r="AK1071" s="22"/>
      <c r="AL1071" s="170"/>
      <c r="AM1071" s="170"/>
      <c r="AN1071" s="170"/>
      <c r="AO1071" s="170"/>
      <c r="AP1071" s="170"/>
      <c r="AQ1071" s="22"/>
      <c r="AR1071" s="22"/>
      <c r="AS1071" s="22"/>
      <c r="AT1071" s="170"/>
      <c r="AU1071" s="170"/>
      <c r="AV1071" s="170"/>
      <c r="AW1071" s="170"/>
      <c r="AX1071" s="170"/>
      <c r="AY1071" s="170"/>
      <c r="AZ1071" s="170"/>
      <c r="BA1071" s="170"/>
      <c r="BB1071" s="170"/>
      <c r="BC1071" s="170"/>
      <c r="BD1071" s="170"/>
      <c r="BE1071" s="143" t="s">
        <v>115</v>
      </c>
      <c r="BF1071" s="137" t="s">
        <v>2793</v>
      </c>
      <c r="BG1071" s="139" t="s">
        <v>2794</v>
      </c>
      <c r="BH1071" s="220"/>
      <c r="BI1071" s="220"/>
      <c r="BJ1071" s="220"/>
      <c r="BK1071" s="46">
        <f t="shared" si="1"/>
        <v>1</v>
      </c>
      <c r="BL1071" s="46"/>
      <c r="BM1071" s="46"/>
      <c r="BN1071" s="46"/>
    </row>
    <row r="1072" spans="1:66" ht="12.75" hidden="1" customHeight="1">
      <c r="A1072" s="22">
        <v>1070</v>
      </c>
      <c r="B1072" s="22" t="s">
        <v>4285</v>
      </c>
      <c r="C1072" s="22" t="e">
        <f t="shared" ca="1" si="0"/>
        <v>#NAME?</v>
      </c>
      <c r="D1072" s="24" t="s">
        <v>2796</v>
      </c>
      <c r="E1072" s="22" t="s">
        <v>180</v>
      </c>
      <c r="F1072" s="24" t="s">
        <v>2773</v>
      </c>
      <c r="G1072" s="24" t="s">
        <v>2768</v>
      </c>
      <c r="H1072" s="24"/>
      <c r="I1072" s="24">
        <v>1</v>
      </c>
      <c r="J1072" s="24" t="s">
        <v>2372</v>
      </c>
      <c r="K1072" s="24"/>
      <c r="L1072" s="24"/>
      <c r="M1072" s="24"/>
      <c r="N1072" s="24"/>
      <c r="O1072" s="24"/>
      <c r="P1072" s="170"/>
      <c r="Q1072" s="170"/>
      <c r="R1072" s="169"/>
      <c r="S1072" s="164"/>
      <c r="T1072" s="164"/>
      <c r="U1072" s="164"/>
      <c r="V1072" s="163"/>
      <c r="W1072" s="163" t="s">
        <v>2796</v>
      </c>
      <c r="X1072" s="164"/>
      <c r="Y1072" s="164"/>
      <c r="Z1072" s="164"/>
      <c r="AA1072" s="170"/>
      <c r="AB1072" s="164"/>
      <c r="AC1072" s="251"/>
      <c r="AD1072" s="170"/>
      <c r="AE1072" s="225"/>
      <c r="AF1072" s="170"/>
      <c r="AG1072" s="170"/>
      <c r="AH1072" s="251"/>
      <c r="AI1072" s="170"/>
      <c r="AJ1072" s="164"/>
      <c r="AK1072" s="22"/>
      <c r="AL1072" s="170"/>
      <c r="AM1072" s="170"/>
      <c r="AN1072" s="170"/>
      <c r="AO1072" s="170"/>
      <c r="AP1072" s="170"/>
      <c r="AQ1072" s="22"/>
      <c r="AR1072" s="22"/>
      <c r="AS1072" s="22"/>
      <c r="AT1072" s="170"/>
      <c r="AU1072" s="170"/>
      <c r="AV1072" s="170"/>
      <c r="AW1072" s="170"/>
      <c r="AX1072" s="170"/>
      <c r="AY1072" s="170"/>
      <c r="AZ1072" s="170"/>
      <c r="BA1072" s="170"/>
      <c r="BB1072" s="170"/>
      <c r="BC1072" s="170"/>
      <c r="BD1072" s="170"/>
      <c r="BE1072" s="143" t="s">
        <v>115</v>
      </c>
      <c r="BF1072" s="143" t="s">
        <v>2797</v>
      </c>
      <c r="BG1072" s="139" t="s">
        <v>2798</v>
      </c>
      <c r="BH1072" s="220"/>
      <c r="BI1072" s="220"/>
      <c r="BJ1072" s="220"/>
      <c r="BK1072" s="46">
        <f t="shared" si="1"/>
        <v>1</v>
      </c>
      <c r="BL1072" s="46"/>
      <c r="BM1072" s="46"/>
      <c r="BN1072" s="46"/>
    </row>
    <row r="1073" spans="1:66" ht="12.75" hidden="1" customHeight="1">
      <c r="A1073" s="22">
        <v>1071</v>
      </c>
      <c r="B1073" s="22" t="s">
        <v>4287</v>
      </c>
      <c r="C1073" s="22" t="e">
        <f t="shared" ca="1" si="0"/>
        <v>#NAME?</v>
      </c>
      <c r="D1073" s="24" t="s">
        <v>2799</v>
      </c>
      <c r="E1073" s="22" t="s">
        <v>180</v>
      </c>
      <c r="F1073" s="24" t="s">
        <v>2773</v>
      </c>
      <c r="G1073" s="24" t="s">
        <v>2768</v>
      </c>
      <c r="H1073" s="24"/>
      <c r="I1073" s="24">
        <v>1</v>
      </c>
      <c r="J1073" s="24" t="s">
        <v>2372</v>
      </c>
      <c r="K1073" s="24"/>
      <c r="L1073" s="24"/>
      <c r="M1073" s="24"/>
      <c r="N1073" s="24"/>
      <c r="O1073" s="24"/>
      <c r="P1073" s="170"/>
      <c r="Q1073" s="170"/>
      <c r="R1073" s="169"/>
      <c r="S1073" s="164"/>
      <c r="T1073" s="164"/>
      <c r="U1073" s="164"/>
      <c r="V1073" s="163"/>
      <c r="W1073" s="163" t="s">
        <v>2799</v>
      </c>
      <c r="X1073" s="164"/>
      <c r="Y1073" s="164"/>
      <c r="Z1073" s="164"/>
      <c r="AA1073" s="170"/>
      <c r="AB1073" s="164"/>
      <c r="AC1073" s="251"/>
      <c r="AD1073" s="170"/>
      <c r="AE1073" s="225"/>
      <c r="AF1073" s="170"/>
      <c r="AG1073" s="170"/>
      <c r="AH1073" s="251"/>
      <c r="AI1073" s="170"/>
      <c r="AJ1073" s="164"/>
      <c r="AK1073" s="22"/>
      <c r="AL1073" s="170"/>
      <c r="AM1073" s="170"/>
      <c r="AN1073" s="170"/>
      <c r="AO1073" s="170"/>
      <c r="AP1073" s="170"/>
      <c r="AQ1073" s="22"/>
      <c r="AR1073" s="22"/>
      <c r="AS1073" s="22"/>
      <c r="AT1073" s="170"/>
      <c r="AU1073" s="170"/>
      <c r="AV1073" s="170"/>
      <c r="AW1073" s="170"/>
      <c r="AX1073" s="170"/>
      <c r="AY1073" s="170"/>
      <c r="AZ1073" s="170"/>
      <c r="BA1073" s="170"/>
      <c r="BB1073" s="170"/>
      <c r="BC1073" s="170"/>
      <c r="BD1073" s="170"/>
      <c r="BE1073" s="143" t="s">
        <v>115</v>
      </c>
      <c r="BF1073" s="137" t="s">
        <v>2800</v>
      </c>
      <c r="BG1073" s="139" t="s">
        <v>2801</v>
      </c>
      <c r="BH1073" s="220"/>
      <c r="BI1073" s="220"/>
      <c r="BJ1073" s="220"/>
      <c r="BK1073" s="46">
        <f t="shared" si="1"/>
        <v>1</v>
      </c>
      <c r="BL1073" s="46"/>
      <c r="BM1073" s="46"/>
      <c r="BN1073" s="46"/>
    </row>
    <row r="1074" spans="1:66" ht="12.75" hidden="1" customHeight="1">
      <c r="A1074" s="22">
        <v>1072</v>
      </c>
      <c r="B1074" s="22" t="s">
        <v>553</v>
      </c>
      <c r="C1074" s="22" t="e">
        <f t="shared" ca="1" si="0"/>
        <v>#NAME?</v>
      </c>
      <c r="D1074" s="24" t="s">
        <v>423</v>
      </c>
      <c r="E1074" s="22" t="s">
        <v>180</v>
      </c>
      <c r="F1074" s="24" t="s">
        <v>2773</v>
      </c>
      <c r="G1074" s="24" t="s">
        <v>2768</v>
      </c>
      <c r="H1074" s="24"/>
      <c r="I1074" s="24">
        <v>1</v>
      </c>
      <c r="J1074" s="24" t="s">
        <v>2372</v>
      </c>
      <c r="K1074" s="24"/>
      <c r="L1074" s="24"/>
      <c r="M1074" s="24"/>
      <c r="N1074" s="24"/>
      <c r="O1074" s="24"/>
      <c r="P1074" s="170"/>
      <c r="Q1074" s="170"/>
      <c r="R1074" s="169"/>
      <c r="S1074" s="164"/>
      <c r="T1074" s="164"/>
      <c r="U1074" s="164"/>
      <c r="V1074" s="163"/>
      <c r="W1074" s="163" t="s">
        <v>423</v>
      </c>
      <c r="X1074" s="164"/>
      <c r="Y1074" s="164"/>
      <c r="Z1074" s="164"/>
      <c r="AA1074" s="170"/>
      <c r="AB1074" s="164"/>
      <c r="AC1074" s="251"/>
      <c r="AD1074" s="170"/>
      <c r="AE1074" s="225"/>
      <c r="AF1074" s="170"/>
      <c r="AG1074" s="170"/>
      <c r="AH1074" s="251"/>
      <c r="AI1074" s="170"/>
      <c r="AJ1074" s="164"/>
      <c r="AK1074" s="22"/>
      <c r="AL1074" s="170"/>
      <c r="AM1074" s="170"/>
      <c r="AN1074" s="170"/>
      <c r="AO1074" s="170"/>
      <c r="AP1074" s="170"/>
      <c r="AQ1074" s="22"/>
      <c r="AR1074" s="22"/>
      <c r="AS1074" s="22"/>
      <c r="AT1074" s="170"/>
      <c r="AU1074" s="170"/>
      <c r="AV1074" s="170"/>
      <c r="AW1074" s="170"/>
      <c r="AX1074" s="170"/>
      <c r="AY1074" s="170"/>
      <c r="AZ1074" s="170"/>
      <c r="BA1074" s="170"/>
      <c r="BB1074" s="170"/>
      <c r="BC1074" s="170"/>
      <c r="BD1074" s="170"/>
      <c r="BE1074" s="143" t="s">
        <v>115</v>
      </c>
      <c r="BF1074" s="137" t="s">
        <v>424</v>
      </c>
      <c r="BG1074" s="139" t="s">
        <v>425</v>
      </c>
      <c r="BH1074" s="220"/>
      <c r="BI1074" s="220"/>
      <c r="BJ1074" s="220"/>
      <c r="BK1074" s="46">
        <f t="shared" si="1"/>
        <v>1</v>
      </c>
      <c r="BL1074" s="46"/>
      <c r="BM1074" s="46"/>
      <c r="BN1074" s="46"/>
    </row>
    <row r="1075" spans="1:66" ht="12.75" hidden="1" customHeight="1">
      <c r="A1075" s="22">
        <v>1073</v>
      </c>
      <c r="B1075" s="22" t="s">
        <v>2803</v>
      </c>
      <c r="C1075" s="22" t="str">
        <f t="shared" si="0"/>
        <v>Breastfeeding counseling</v>
      </c>
      <c r="D1075" s="24" t="s">
        <v>2803</v>
      </c>
      <c r="E1075" s="22" t="s">
        <v>96</v>
      </c>
      <c r="F1075" s="24" t="s">
        <v>1787</v>
      </c>
      <c r="G1075" s="24" t="s">
        <v>2804</v>
      </c>
      <c r="H1075" s="24"/>
      <c r="I1075" s="24">
        <v>1</v>
      </c>
      <c r="J1075" s="24" t="s">
        <v>2372</v>
      </c>
      <c r="K1075" s="24"/>
      <c r="L1075" s="24"/>
      <c r="M1075" s="24"/>
      <c r="N1075" s="24"/>
      <c r="O1075" s="24"/>
      <c r="P1075" s="170"/>
      <c r="Q1075" s="170"/>
      <c r="R1075" s="195" t="s">
        <v>2803</v>
      </c>
      <c r="S1075" s="194" t="s">
        <v>2805</v>
      </c>
      <c r="T1075" s="196"/>
      <c r="U1075" s="194" t="s">
        <v>202</v>
      </c>
      <c r="V1075" s="163"/>
      <c r="W1075" s="163"/>
      <c r="X1075" s="196"/>
      <c r="Y1075" s="196"/>
      <c r="Z1075" s="196"/>
      <c r="AA1075" s="170"/>
      <c r="AB1075" s="194" t="s">
        <v>208</v>
      </c>
      <c r="AC1075" s="251"/>
      <c r="AD1075" s="170"/>
      <c r="AE1075" s="225"/>
      <c r="AF1075" s="170"/>
      <c r="AG1075" s="170"/>
      <c r="AH1075" s="251"/>
      <c r="AI1075" s="170"/>
      <c r="AJ1075" s="164" t="s">
        <v>2806</v>
      </c>
      <c r="AK1075" s="22"/>
      <c r="AL1075" s="170"/>
      <c r="AM1075" s="170"/>
      <c r="AN1075" s="170"/>
      <c r="AO1075" s="170"/>
      <c r="AP1075" s="170"/>
      <c r="AQ1075" s="22"/>
      <c r="AR1075" s="22"/>
      <c r="AS1075" s="22"/>
      <c r="AT1075" s="170"/>
      <c r="AU1075" s="170"/>
      <c r="AV1075" s="170"/>
      <c r="AW1075" s="170"/>
      <c r="AX1075" s="170"/>
      <c r="AY1075" s="170"/>
      <c r="AZ1075" s="170"/>
      <c r="BA1075" s="170"/>
      <c r="BB1075" s="170"/>
      <c r="BC1075" s="170"/>
      <c r="BD1075" s="170"/>
      <c r="BE1075" s="137" t="s">
        <v>2807</v>
      </c>
      <c r="BF1075" s="137" t="s">
        <v>2398</v>
      </c>
      <c r="BG1075" s="139" t="s">
        <v>2399</v>
      </c>
      <c r="BH1075" s="220"/>
      <c r="BI1075" s="220"/>
      <c r="BJ1075" s="220"/>
      <c r="BK1075" s="46">
        <f t="shared" si="1"/>
        <v>1</v>
      </c>
      <c r="BL1075" s="46"/>
      <c r="BM1075" s="46"/>
      <c r="BN1075" s="46"/>
    </row>
    <row r="1076" spans="1:66" ht="12.75" hidden="1" customHeight="1">
      <c r="A1076" s="22">
        <v>1074</v>
      </c>
      <c r="B1076" s="22" t="s">
        <v>2527</v>
      </c>
      <c r="C1076" s="22" t="e">
        <f t="shared" ca="1" si="0"/>
        <v>#NAME?</v>
      </c>
      <c r="D1076" s="24" t="s">
        <v>1673</v>
      </c>
      <c r="E1076" s="22" t="s">
        <v>180</v>
      </c>
      <c r="F1076" s="24" t="s">
        <v>2803</v>
      </c>
      <c r="G1076" s="24" t="s">
        <v>2804</v>
      </c>
      <c r="H1076" s="24"/>
      <c r="I1076" s="24">
        <v>1</v>
      </c>
      <c r="J1076" s="24" t="s">
        <v>2372</v>
      </c>
      <c r="K1076" s="24"/>
      <c r="L1076" s="24"/>
      <c r="M1076" s="24"/>
      <c r="N1076" s="24"/>
      <c r="O1076" s="24"/>
      <c r="P1076" s="170"/>
      <c r="Q1076" s="170"/>
      <c r="R1076" s="195"/>
      <c r="S1076" s="194"/>
      <c r="T1076" s="196"/>
      <c r="U1076" s="194"/>
      <c r="V1076" s="163"/>
      <c r="W1076" s="163" t="s">
        <v>1673</v>
      </c>
      <c r="X1076" s="196"/>
      <c r="Y1076" s="196"/>
      <c r="Z1076" s="196"/>
      <c r="AA1076" s="170"/>
      <c r="AB1076" s="194"/>
      <c r="AC1076" s="251"/>
      <c r="AD1076" s="170"/>
      <c r="AE1076" s="225"/>
      <c r="AF1076" s="170"/>
      <c r="AG1076" s="170"/>
      <c r="AH1076" s="251"/>
      <c r="AI1076" s="170"/>
      <c r="AJ1076" s="164"/>
      <c r="AK1076" s="22"/>
      <c r="AL1076" s="170"/>
      <c r="AM1076" s="170"/>
      <c r="AN1076" s="170"/>
      <c r="AO1076" s="170"/>
      <c r="AP1076" s="170"/>
      <c r="AQ1076" s="22"/>
      <c r="AR1076" s="22"/>
      <c r="AS1076" s="22"/>
      <c r="AT1076" s="170"/>
      <c r="AU1076" s="170"/>
      <c r="AV1076" s="170"/>
      <c r="AW1076" s="170"/>
      <c r="AX1076" s="170"/>
      <c r="AY1076" s="170"/>
      <c r="AZ1076" s="170"/>
      <c r="BA1076" s="170"/>
      <c r="BB1076" s="170"/>
      <c r="BC1076" s="170"/>
      <c r="BD1076" s="170"/>
      <c r="BE1076" s="137" t="s">
        <v>115</v>
      </c>
      <c r="BF1076" s="137" t="s">
        <v>942</v>
      </c>
      <c r="BG1076" s="167" t="s">
        <v>943</v>
      </c>
      <c r="BH1076" s="220"/>
      <c r="BI1076" s="220"/>
      <c r="BJ1076" s="220"/>
      <c r="BK1076" s="46">
        <f t="shared" si="1"/>
        <v>1</v>
      </c>
      <c r="BL1076" s="46"/>
      <c r="BM1076" s="46"/>
      <c r="BN1076" s="46"/>
    </row>
    <row r="1077" spans="1:66" ht="12.75" hidden="1" customHeight="1">
      <c r="A1077" s="22">
        <v>1075</v>
      </c>
      <c r="B1077" s="22" t="s">
        <v>2118</v>
      </c>
      <c r="C1077" s="22" t="e">
        <f t="shared" ca="1" si="0"/>
        <v>#NAME?</v>
      </c>
      <c r="D1077" s="24" t="s">
        <v>1468</v>
      </c>
      <c r="E1077" s="22" t="s">
        <v>180</v>
      </c>
      <c r="F1077" s="24" t="s">
        <v>2803</v>
      </c>
      <c r="G1077" s="24" t="s">
        <v>2804</v>
      </c>
      <c r="H1077" s="24"/>
      <c r="I1077" s="24">
        <v>1</v>
      </c>
      <c r="J1077" s="24" t="s">
        <v>2372</v>
      </c>
      <c r="K1077" s="24"/>
      <c r="L1077" s="24"/>
      <c r="M1077" s="24"/>
      <c r="N1077" s="24"/>
      <c r="O1077" s="24"/>
      <c r="P1077" s="170"/>
      <c r="Q1077" s="170"/>
      <c r="R1077" s="195"/>
      <c r="S1077" s="194"/>
      <c r="T1077" s="196"/>
      <c r="U1077" s="194"/>
      <c r="V1077" s="163"/>
      <c r="W1077" s="163" t="s">
        <v>1468</v>
      </c>
      <c r="X1077" s="196"/>
      <c r="Y1077" s="196"/>
      <c r="Z1077" s="196"/>
      <c r="AA1077" s="170"/>
      <c r="AB1077" s="194"/>
      <c r="AC1077" s="251"/>
      <c r="AD1077" s="170"/>
      <c r="AE1077" s="225"/>
      <c r="AF1077" s="170"/>
      <c r="AG1077" s="170"/>
      <c r="AH1077" s="251"/>
      <c r="AI1077" s="170"/>
      <c r="AJ1077" s="164"/>
      <c r="AK1077" s="22"/>
      <c r="AL1077" s="170"/>
      <c r="AM1077" s="170"/>
      <c r="AN1077" s="170"/>
      <c r="AO1077" s="170"/>
      <c r="AP1077" s="170"/>
      <c r="AQ1077" s="22"/>
      <c r="AR1077" s="22"/>
      <c r="AS1077" s="22"/>
      <c r="AT1077" s="170"/>
      <c r="AU1077" s="170"/>
      <c r="AV1077" s="170"/>
      <c r="AW1077" s="170"/>
      <c r="AX1077" s="170"/>
      <c r="AY1077" s="170"/>
      <c r="AZ1077" s="170"/>
      <c r="BA1077" s="170"/>
      <c r="BB1077" s="170"/>
      <c r="BC1077" s="170"/>
      <c r="BD1077" s="170"/>
      <c r="BE1077" s="137" t="s">
        <v>115</v>
      </c>
      <c r="BF1077" s="137" t="s">
        <v>1469</v>
      </c>
      <c r="BG1077" s="167" t="s">
        <v>1470</v>
      </c>
      <c r="BH1077" s="220"/>
      <c r="BI1077" s="220"/>
      <c r="BJ1077" s="220"/>
      <c r="BK1077" s="46">
        <f t="shared" si="1"/>
        <v>1</v>
      </c>
      <c r="BL1077" s="46"/>
      <c r="BM1077" s="46"/>
      <c r="BN1077" s="46"/>
    </row>
    <row r="1078" spans="1:66" ht="12.75" hidden="1" customHeight="1">
      <c r="A1078" s="22">
        <v>1076</v>
      </c>
      <c r="B1078" s="22" t="s">
        <v>2809</v>
      </c>
      <c r="C1078" s="22" t="str">
        <f t="shared" si="0"/>
        <v>Clinical enquiry for intimate partner violence (IPV) done?</v>
      </c>
      <c r="D1078" s="24" t="s">
        <v>2809</v>
      </c>
      <c r="E1078" s="22" t="s">
        <v>96</v>
      </c>
      <c r="F1078" s="24" t="s">
        <v>1787</v>
      </c>
      <c r="G1078" s="24" t="s">
        <v>2810</v>
      </c>
      <c r="H1078" s="24"/>
      <c r="I1078" s="24">
        <v>1</v>
      </c>
      <c r="J1078" s="24" t="s">
        <v>2372</v>
      </c>
      <c r="K1078" s="24"/>
      <c r="L1078" s="24"/>
      <c r="M1078" s="24"/>
      <c r="N1078" s="24"/>
      <c r="O1078" s="24"/>
      <c r="P1078" s="170"/>
      <c r="Q1078" s="170"/>
      <c r="R1078" s="195" t="s">
        <v>2809</v>
      </c>
      <c r="S1078" s="194" t="s">
        <v>2811</v>
      </c>
      <c r="T1078" s="194"/>
      <c r="U1078" s="194" t="s">
        <v>202</v>
      </c>
      <c r="V1078" s="163"/>
      <c r="W1078" s="163"/>
      <c r="X1078" s="196"/>
      <c r="Y1078" s="196"/>
      <c r="Z1078" s="196"/>
      <c r="AA1078" s="170"/>
      <c r="AB1078" s="194" t="s">
        <v>113</v>
      </c>
      <c r="AC1078" s="251"/>
      <c r="AD1078" s="170"/>
      <c r="AE1078" s="225"/>
      <c r="AF1078" s="170"/>
      <c r="AG1078" s="170"/>
      <c r="AH1078" s="251"/>
      <c r="AI1078" s="170"/>
      <c r="AJ1078" s="194" t="s">
        <v>2812</v>
      </c>
      <c r="AK1078" s="22"/>
      <c r="AL1078" s="170"/>
      <c r="AM1078" s="170"/>
      <c r="AN1078" s="170"/>
      <c r="AO1078" s="170"/>
      <c r="AP1078" s="170"/>
      <c r="AQ1078" s="22"/>
      <c r="AR1078" s="22"/>
      <c r="AS1078" s="22"/>
      <c r="AT1078" s="170"/>
      <c r="AU1078" s="170"/>
      <c r="AV1078" s="170"/>
      <c r="AW1078" s="170"/>
      <c r="AX1078" s="170"/>
      <c r="AY1078" s="170"/>
      <c r="AZ1078" s="170"/>
      <c r="BA1078" s="170"/>
      <c r="BB1078" s="170"/>
      <c r="BC1078" s="170"/>
      <c r="BD1078" s="170"/>
      <c r="BE1078" s="143" t="s">
        <v>115</v>
      </c>
      <c r="BF1078" s="143" t="s">
        <v>2813</v>
      </c>
      <c r="BG1078" s="167" t="s">
        <v>2814</v>
      </c>
      <c r="BH1078" s="220"/>
      <c r="BI1078" s="220"/>
      <c r="BJ1078" s="220"/>
      <c r="BK1078" s="46">
        <f t="shared" si="1"/>
        <v>1</v>
      </c>
      <c r="BL1078" s="46"/>
      <c r="BM1078" s="46"/>
      <c r="BN1078" s="46"/>
    </row>
    <row r="1079" spans="1:66" ht="12.75" hidden="1" customHeight="1">
      <c r="A1079" s="22">
        <v>1077</v>
      </c>
      <c r="B1079" s="22" t="s">
        <v>2527</v>
      </c>
      <c r="C1079" s="22" t="e">
        <f t="shared" ca="1" si="0"/>
        <v>#NAME?</v>
      </c>
      <c r="D1079" s="24" t="s">
        <v>1673</v>
      </c>
      <c r="E1079" s="22" t="s">
        <v>180</v>
      </c>
      <c r="F1079" s="24" t="s">
        <v>2809</v>
      </c>
      <c r="G1079" s="24" t="s">
        <v>2810</v>
      </c>
      <c r="H1079" s="24"/>
      <c r="I1079" s="24">
        <v>1</v>
      </c>
      <c r="J1079" s="24" t="s">
        <v>2372</v>
      </c>
      <c r="K1079" s="24"/>
      <c r="L1079" s="24"/>
      <c r="M1079" s="24"/>
      <c r="N1079" s="24"/>
      <c r="O1079" s="24"/>
      <c r="P1079" s="170"/>
      <c r="Q1079" s="170"/>
      <c r="R1079" s="195"/>
      <c r="S1079" s="194"/>
      <c r="T1079" s="194"/>
      <c r="U1079" s="194"/>
      <c r="V1079" s="163"/>
      <c r="W1079" s="163" t="s">
        <v>1673</v>
      </c>
      <c r="X1079" s="196"/>
      <c r="Y1079" s="196"/>
      <c r="Z1079" s="196"/>
      <c r="AA1079" s="170"/>
      <c r="AB1079" s="194"/>
      <c r="AC1079" s="251"/>
      <c r="AD1079" s="170"/>
      <c r="AE1079" s="225"/>
      <c r="AF1079" s="170"/>
      <c r="AG1079" s="170"/>
      <c r="AH1079" s="251"/>
      <c r="AI1079" s="170"/>
      <c r="AJ1079" s="194"/>
      <c r="AK1079" s="22"/>
      <c r="AL1079" s="170"/>
      <c r="AM1079" s="170"/>
      <c r="AN1079" s="170"/>
      <c r="AO1079" s="170"/>
      <c r="AP1079" s="170"/>
      <c r="AQ1079" s="22"/>
      <c r="AR1079" s="22"/>
      <c r="AS1079" s="22"/>
      <c r="AT1079" s="170"/>
      <c r="AU1079" s="170"/>
      <c r="AV1079" s="170"/>
      <c r="AW1079" s="170"/>
      <c r="AX1079" s="170"/>
      <c r="AY1079" s="170"/>
      <c r="AZ1079" s="170"/>
      <c r="BA1079" s="170"/>
      <c r="BB1079" s="170"/>
      <c r="BC1079" s="170"/>
      <c r="BD1079" s="170"/>
      <c r="BE1079" s="137" t="s">
        <v>115</v>
      </c>
      <c r="BF1079" s="137" t="s">
        <v>942</v>
      </c>
      <c r="BG1079" s="167" t="s">
        <v>943</v>
      </c>
      <c r="BH1079" s="220"/>
      <c r="BI1079" s="220"/>
      <c r="BJ1079" s="220"/>
      <c r="BK1079" s="46">
        <f t="shared" si="1"/>
        <v>1</v>
      </c>
      <c r="BL1079" s="46"/>
      <c r="BM1079" s="46"/>
      <c r="BN1079" s="46"/>
    </row>
    <row r="1080" spans="1:66" ht="12.75" hidden="1" customHeight="1">
      <c r="A1080" s="22">
        <v>1078</v>
      </c>
      <c r="B1080" s="22" t="s">
        <v>2118</v>
      </c>
      <c r="C1080" s="22" t="e">
        <f t="shared" ca="1" si="0"/>
        <v>#NAME?</v>
      </c>
      <c r="D1080" s="24" t="s">
        <v>1468</v>
      </c>
      <c r="E1080" s="22" t="s">
        <v>180</v>
      </c>
      <c r="F1080" s="24" t="s">
        <v>2809</v>
      </c>
      <c r="G1080" s="24" t="s">
        <v>2810</v>
      </c>
      <c r="H1080" s="24"/>
      <c r="I1080" s="24">
        <v>1</v>
      </c>
      <c r="J1080" s="24" t="s">
        <v>2372</v>
      </c>
      <c r="K1080" s="24"/>
      <c r="L1080" s="24"/>
      <c r="M1080" s="24"/>
      <c r="N1080" s="24"/>
      <c r="O1080" s="24"/>
      <c r="P1080" s="170"/>
      <c r="Q1080" s="170"/>
      <c r="R1080" s="195"/>
      <c r="S1080" s="194"/>
      <c r="T1080" s="194"/>
      <c r="U1080" s="194"/>
      <c r="V1080" s="163"/>
      <c r="W1080" s="163" t="s">
        <v>1468</v>
      </c>
      <c r="X1080" s="196"/>
      <c r="Y1080" s="196"/>
      <c r="Z1080" s="196"/>
      <c r="AA1080" s="170"/>
      <c r="AB1080" s="194"/>
      <c r="AC1080" s="251"/>
      <c r="AD1080" s="170"/>
      <c r="AE1080" s="225"/>
      <c r="AF1080" s="170"/>
      <c r="AG1080" s="170"/>
      <c r="AH1080" s="251"/>
      <c r="AI1080" s="170"/>
      <c r="AJ1080" s="194"/>
      <c r="AK1080" s="22"/>
      <c r="AL1080" s="170"/>
      <c r="AM1080" s="170"/>
      <c r="AN1080" s="170"/>
      <c r="AO1080" s="170"/>
      <c r="AP1080" s="170"/>
      <c r="AQ1080" s="22"/>
      <c r="AR1080" s="22"/>
      <c r="AS1080" s="22"/>
      <c r="AT1080" s="170"/>
      <c r="AU1080" s="170"/>
      <c r="AV1080" s="170"/>
      <c r="AW1080" s="170"/>
      <c r="AX1080" s="170"/>
      <c r="AY1080" s="170"/>
      <c r="AZ1080" s="170"/>
      <c r="BA1080" s="170"/>
      <c r="BB1080" s="170"/>
      <c r="BC1080" s="170"/>
      <c r="BD1080" s="170"/>
      <c r="BE1080" s="137" t="s">
        <v>115</v>
      </c>
      <c r="BF1080" s="137" t="s">
        <v>1469</v>
      </c>
      <c r="BG1080" s="167" t="s">
        <v>1470</v>
      </c>
      <c r="BH1080" s="220"/>
      <c r="BI1080" s="220"/>
      <c r="BJ1080" s="220"/>
      <c r="BK1080" s="46">
        <f t="shared" si="1"/>
        <v>1</v>
      </c>
      <c r="BL1080" s="46"/>
      <c r="BM1080" s="46"/>
      <c r="BN1080" s="46"/>
    </row>
    <row r="1081" spans="1:66" ht="12.75" hidden="1" customHeight="1">
      <c r="A1081" s="22">
        <v>1079</v>
      </c>
      <c r="B1081" s="22" t="s">
        <v>2816</v>
      </c>
      <c r="C1081" s="22" t="str">
        <f t="shared" si="0"/>
        <v>Reason Clinical enquiry for intimate partner violence (IPV) done? not done</v>
      </c>
      <c r="D1081" s="24" t="s">
        <v>2816</v>
      </c>
      <c r="E1081" s="22" t="s">
        <v>96</v>
      </c>
      <c r="F1081" s="24" t="s">
        <v>1787</v>
      </c>
      <c r="G1081" s="24" t="s">
        <v>2810</v>
      </c>
      <c r="H1081" s="24"/>
      <c r="I1081" s="24">
        <v>1</v>
      </c>
      <c r="J1081" s="24" t="s">
        <v>2372</v>
      </c>
      <c r="K1081" s="24"/>
      <c r="L1081" s="24"/>
      <c r="M1081" s="24"/>
      <c r="N1081" s="24"/>
      <c r="O1081" s="24"/>
      <c r="P1081" s="170"/>
      <c r="Q1081" s="170"/>
      <c r="R1081" s="195" t="s">
        <v>1376</v>
      </c>
      <c r="S1081" s="194" t="s">
        <v>2817</v>
      </c>
      <c r="T1081" s="194"/>
      <c r="U1081" s="194" t="s">
        <v>202</v>
      </c>
      <c r="V1081" s="194"/>
      <c r="W1081" s="194"/>
      <c r="X1081" s="196"/>
      <c r="Y1081" s="196"/>
      <c r="Z1081" s="196"/>
      <c r="AA1081" s="170"/>
      <c r="AB1081" s="194" t="s">
        <v>113</v>
      </c>
      <c r="AC1081" s="251"/>
      <c r="AD1081" s="170"/>
      <c r="AE1081" s="225"/>
      <c r="AF1081" s="170"/>
      <c r="AG1081" s="170"/>
      <c r="AH1081" s="251"/>
      <c r="AI1081" s="170"/>
      <c r="AJ1081" s="194" t="s">
        <v>115</v>
      </c>
      <c r="AK1081" s="22"/>
      <c r="AL1081" s="170"/>
      <c r="AM1081" s="170"/>
      <c r="AN1081" s="170"/>
      <c r="AO1081" s="170"/>
      <c r="AP1081" s="170"/>
      <c r="AQ1081" s="22"/>
      <c r="AR1081" s="22"/>
      <c r="AS1081" s="22"/>
      <c r="AT1081" s="170"/>
      <c r="AU1081" s="170"/>
      <c r="AV1081" s="170"/>
      <c r="AW1081" s="170"/>
      <c r="AX1081" s="170"/>
      <c r="AY1081" s="170"/>
      <c r="AZ1081" s="170"/>
      <c r="BA1081" s="170"/>
      <c r="BB1081" s="170"/>
      <c r="BC1081" s="170"/>
      <c r="BD1081" s="170"/>
      <c r="BE1081" s="143" t="s">
        <v>115</v>
      </c>
      <c r="BF1081" s="143" t="s">
        <v>2818</v>
      </c>
      <c r="BG1081" s="139" t="s">
        <v>2819</v>
      </c>
      <c r="BH1081" s="220"/>
      <c r="BI1081" s="220"/>
      <c r="BJ1081" s="220"/>
      <c r="BK1081" s="46">
        <f t="shared" si="1"/>
        <v>1</v>
      </c>
      <c r="BL1081" s="46"/>
      <c r="BM1081" s="46"/>
      <c r="BN1081" s="46"/>
    </row>
    <row r="1082" spans="1:66" ht="12.75" hidden="1" customHeight="1">
      <c r="A1082" s="22">
        <v>1080</v>
      </c>
      <c r="B1082" s="22" t="s">
        <v>3616</v>
      </c>
      <c r="C1082" s="22" t="e">
        <f t="shared" ca="1" si="0"/>
        <v>#NAME?</v>
      </c>
      <c r="D1082" s="24" t="s">
        <v>2405</v>
      </c>
      <c r="E1082" s="22" t="s">
        <v>180</v>
      </c>
      <c r="F1082" s="24" t="s">
        <v>2816</v>
      </c>
      <c r="G1082" s="24" t="s">
        <v>2810</v>
      </c>
      <c r="H1082" s="24"/>
      <c r="I1082" s="24">
        <v>1</v>
      </c>
      <c r="J1082" s="24" t="s">
        <v>2372</v>
      </c>
      <c r="K1082" s="24"/>
      <c r="L1082" s="24"/>
      <c r="M1082" s="24"/>
      <c r="N1082" s="24"/>
      <c r="O1082" s="24"/>
      <c r="P1082" s="170"/>
      <c r="Q1082" s="170"/>
      <c r="R1082" s="195"/>
      <c r="S1082" s="194"/>
      <c r="T1082" s="194"/>
      <c r="U1082" s="194"/>
      <c r="V1082" s="194"/>
      <c r="W1082" s="194" t="s">
        <v>2405</v>
      </c>
      <c r="X1082" s="196"/>
      <c r="Y1082" s="196"/>
      <c r="Z1082" s="196"/>
      <c r="AA1082" s="170"/>
      <c r="AB1082" s="194"/>
      <c r="AC1082" s="251"/>
      <c r="AD1082" s="170"/>
      <c r="AE1082" s="225"/>
      <c r="AF1082" s="170"/>
      <c r="AG1082" s="170"/>
      <c r="AH1082" s="251"/>
      <c r="AI1082" s="170"/>
      <c r="AJ1082" s="194"/>
      <c r="AK1082" s="22"/>
      <c r="AL1082" s="170"/>
      <c r="AM1082" s="170"/>
      <c r="AN1082" s="170"/>
      <c r="AO1082" s="170"/>
      <c r="AP1082" s="170"/>
      <c r="AQ1082" s="22"/>
      <c r="AR1082" s="22"/>
      <c r="AS1082" s="22"/>
      <c r="AT1082" s="170"/>
      <c r="AU1082" s="170"/>
      <c r="AV1082" s="170"/>
      <c r="AW1082" s="170"/>
      <c r="AX1082" s="170"/>
      <c r="AY1082" s="170"/>
      <c r="AZ1082" s="170"/>
      <c r="BA1082" s="170"/>
      <c r="BB1082" s="170"/>
      <c r="BC1082" s="170"/>
      <c r="BD1082" s="170"/>
      <c r="BE1082" s="137" t="s">
        <v>115</v>
      </c>
      <c r="BF1082" s="143" t="s">
        <v>2406</v>
      </c>
      <c r="BG1082" s="167" t="s">
        <v>2407</v>
      </c>
      <c r="BH1082" s="220"/>
      <c r="BI1082" s="220"/>
      <c r="BJ1082" s="220"/>
      <c r="BK1082" s="46">
        <f t="shared" si="1"/>
        <v>1</v>
      </c>
      <c r="BL1082" s="46"/>
      <c r="BM1082" s="46"/>
      <c r="BN1082" s="46"/>
    </row>
    <row r="1083" spans="1:66" ht="12.75" hidden="1" customHeight="1">
      <c r="A1083" s="22">
        <v>1081</v>
      </c>
      <c r="B1083" s="22" t="s">
        <v>535</v>
      </c>
      <c r="C1083" s="22" t="e">
        <f t="shared" ca="1" si="0"/>
        <v>#NAME?</v>
      </c>
      <c r="D1083" s="24" t="s">
        <v>405</v>
      </c>
      <c r="E1083" s="22" t="s">
        <v>180</v>
      </c>
      <c r="F1083" s="24" t="s">
        <v>2816</v>
      </c>
      <c r="G1083" s="24" t="s">
        <v>2810</v>
      </c>
      <c r="H1083" s="24"/>
      <c r="I1083" s="24">
        <v>1</v>
      </c>
      <c r="J1083" s="24" t="s">
        <v>2372</v>
      </c>
      <c r="K1083" s="24"/>
      <c r="L1083" s="24"/>
      <c r="M1083" s="24"/>
      <c r="N1083" s="24"/>
      <c r="O1083" s="24"/>
      <c r="P1083" s="170"/>
      <c r="Q1083" s="170"/>
      <c r="R1083" s="195"/>
      <c r="S1083" s="194"/>
      <c r="T1083" s="194"/>
      <c r="U1083" s="194"/>
      <c r="V1083" s="194"/>
      <c r="W1083" s="194" t="s">
        <v>405</v>
      </c>
      <c r="X1083" s="196"/>
      <c r="Y1083" s="196"/>
      <c r="Z1083" s="196"/>
      <c r="AA1083" s="170"/>
      <c r="AB1083" s="194"/>
      <c r="AC1083" s="251"/>
      <c r="AD1083" s="170"/>
      <c r="AE1083" s="225"/>
      <c r="AF1083" s="170"/>
      <c r="AG1083" s="170"/>
      <c r="AH1083" s="251"/>
      <c r="AI1083" s="170"/>
      <c r="AJ1083" s="194"/>
      <c r="AK1083" s="22"/>
      <c r="AL1083" s="170"/>
      <c r="AM1083" s="170"/>
      <c r="AN1083" s="170"/>
      <c r="AO1083" s="170"/>
      <c r="AP1083" s="170"/>
      <c r="AQ1083" s="22"/>
      <c r="AR1083" s="22"/>
      <c r="AS1083" s="22"/>
      <c r="AT1083" s="170"/>
      <c r="AU1083" s="170"/>
      <c r="AV1083" s="170"/>
      <c r="AW1083" s="170"/>
      <c r="AX1083" s="170"/>
      <c r="AY1083" s="170"/>
      <c r="AZ1083" s="170"/>
      <c r="BA1083" s="170"/>
      <c r="BB1083" s="170"/>
      <c r="BC1083" s="170"/>
      <c r="BD1083" s="170"/>
      <c r="BE1083" s="137" t="s">
        <v>115</v>
      </c>
      <c r="BF1083" s="143" t="s">
        <v>406</v>
      </c>
      <c r="BG1083" s="167" t="s">
        <v>407</v>
      </c>
      <c r="BH1083" s="220"/>
      <c r="BI1083" s="220"/>
      <c r="BJ1083" s="220"/>
      <c r="BK1083" s="46">
        <f t="shared" si="1"/>
        <v>1</v>
      </c>
      <c r="BL1083" s="46"/>
      <c r="BM1083" s="46"/>
      <c r="BN1083" s="46"/>
    </row>
    <row r="1084" spans="1:66" ht="12.75" hidden="1" customHeight="1">
      <c r="A1084" s="22">
        <v>1082</v>
      </c>
      <c r="B1084" s="22" t="s">
        <v>2820</v>
      </c>
      <c r="C1084" s="22" t="str">
        <f t="shared" si="0"/>
        <v>Specify - Reason Clinical enquiry for intimate partner violence (IPV) done? not done</v>
      </c>
      <c r="D1084" s="24" t="s">
        <v>2820</v>
      </c>
      <c r="E1084" s="22" t="s">
        <v>96</v>
      </c>
      <c r="F1084" s="24" t="s">
        <v>1787</v>
      </c>
      <c r="G1084" s="24" t="s">
        <v>2810</v>
      </c>
      <c r="H1084" s="24"/>
      <c r="I1084" s="24">
        <v>1</v>
      </c>
      <c r="J1084" s="24" t="s">
        <v>2372</v>
      </c>
      <c r="K1084" s="24"/>
      <c r="L1084" s="24"/>
      <c r="M1084" s="24"/>
      <c r="N1084" s="24"/>
      <c r="O1084" s="24"/>
      <c r="P1084" s="170"/>
      <c r="Q1084" s="170"/>
      <c r="R1084" s="195" t="s">
        <v>409</v>
      </c>
      <c r="S1084" s="194" t="s">
        <v>2821</v>
      </c>
      <c r="T1084" s="194"/>
      <c r="U1084" s="194" t="s">
        <v>111</v>
      </c>
      <c r="V1084" s="194"/>
      <c r="W1084" s="194"/>
      <c r="X1084" s="196"/>
      <c r="Y1084" s="196"/>
      <c r="Z1084" s="196"/>
      <c r="AA1084" s="170"/>
      <c r="AB1084" s="194" t="s">
        <v>208</v>
      </c>
      <c r="AC1084" s="251"/>
      <c r="AD1084" s="170"/>
      <c r="AE1084" s="225"/>
      <c r="AF1084" s="170"/>
      <c r="AG1084" s="170"/>
      <c r="AH1084" s="251"/>
      <c r="AI1084" s="170"/>
      <c r="AJ1084" s="194" t="s">
        <v>115</v>
      </c>
      <c r="AK1084" s="22"/>
      <c r="AL1084" s="170"/>
      <c r="AM1084" s="170"/>
      <c r="AN1084" s="170"/>
      <c r="AO1084" s="170"/>
      <c r="AP1084" s="170"/>
      <c r="AQ1084" s="22"/>
      <c r="AR1084" s="22"/>
      <c r="AS1084" s="22"/>
      <c r="AT1084" s="170"/>
      <c r="AU1084" s="170"/>
      <c r="AV1084" s="170"/>
      <c r="AW1084" s="170"/>
      <c r="AX1084" s="170"/>
      <c r="AY1084" s="170"/>
      <c r="AZ1084" s="170"/>
      <c r="BA1084" s="170"/>
      <c r="BB1084" s="170"/>
      <c r="BC1084" s="170"/>
      <c r="BD1084" s="170"/>
      <c r="BE1084" s="143" t="s">
        <v>2822</v>
      </c>
      <c r="BF1084" s="143" t="s">
        <v>415</v>
      </c>
      <c r="BG1084" s="167" t="s">
        <v>416</v>
      </c>
      <c r="BH1084" s="220"/>
      <c r="BI1084" s="220"/>
      <c r="BJ1084" s="220"/>
      <c r="BK1084" s="46">
        <f t="shared" si="1"/>
        <v>1</v>
      </c>
      <c r="BL1084" s="46"/>
      <c r="BM1084" s="46"/>
      <c r="BN1084" s="46"/>
    </row>
    <row r="1085" spans="1:66" ht="12.75" hidden="1" customHeight="1">
      <c r="A1085" s="22">
        <v>1083</v>
      </c>
      <c r="B1085" s="22" t="s">
        <v>2823</v>
      </c>
      <c r="C1085" s="22" t="str">
        <f t="shared" si="0"/>
        <v>IPV enquiry results</v>
      </c>
      <c r="D1085" s="24" t="s">
        <v>2823</v>
      </c>
      <c r="E1085" s="22" t="s">
        <v>96</v>
      </c>
      <c r="F1085" s="24" t="s">
        <v>1787</v>
      </c>
      <c r="G1085" s="24" t="s">
        <v>2810</v>
      </c>
      <c r="H1085" s="24"/>
      <c r="I1085" s="24">
        <v>1</v>
      </c>
      <c r="J1085" s="24" t="s">
        <v>2372</v>
      </c>
      <c r="K1085" s="24"/>
      <c r="L1085" s="24"/>
      <c r="M1085" s="24"/>
      <c r="N1085" s="24"/>
      <c r="O1085" s="24"/>
      <c r="P1085" s="170"/>
      <c r="Q1085" s="170"/>
      <c r="R1085" s="195" t="s">
        <v>2823</v>
      </c>
      <c r="S1085" s="194" t="s">
        <v>2824</v>
      </c>
      <c r="T1085" s="194"/>
      <c r="U1085" s="194" t="s">
        <v>202</v>
      </c>
      <c r="V1085" s="194"/>
      <c r="W1085" s="194"/>
      <c r="X1085" s="196"/>
      <c r="Y1085" s="196"/>
      <c r="Z1085" s="196"/>
      <c r="AA1085" s="170"/>
      <c r="AB1085" s="194" t="s">
        <v>113</v>
      </c>
      <c r="AC1085" s="251"/>
      <c r="AD1085" s="170"/>
      <c r="AE1085" s="225"/>
      <c r="AF1085" s="170"/>
      <c r="AG1085" s="170"/>
      <c r="AH1085" s="251"/>
      <c r="AI1085" s="170"/>
      <c r="AJ1085" s="194" t="s">
        <v>115</v>
      </c>
      <c r="AK1085" s="22"/>
      <c r="AL1085" s="170"/>
      <c r="AM1085" s="170"/>
      <c r="AN1085" s="170"/>
      <c r="AO1085" s="170"/>
      <c r="AP1085" s="170"/>
      <c r="AQ1085" s="22"/>
      <c r="AR1085" s="22"/>
      <c r="AS1085" s="22"/>
      <c r="AT1085" s="170"/>
      <c r="AU1085" s="170"/>
      <c r="AV1085" s="170"/>
      <c r="AW1085" s="170"/>
      <c r="AX1085" s="170"/>
      <c r="AY1085" s="170"/>
      <c r="AZ1085" s="170"/>
      <c r="BA1085" s="170"/>
      <c r="BB1085" s="170"/>
      <c r="BC1085" s="170"/>
      <c r="BD1085" s="170"/>
      <c r="BE1085" s="143" t="s">
        <v>115</v>
      </c>
      <c r="BF1085" s="143" t="s">
        <v>2825</v>
      </c>
      <c r="BG1085" s="167" t="s">
        <v>2826</v>
      </c>
      <c r="BH1085" s="220"/>
      <c r="BI1085" s="220"/>
      <c r="BJ1085" s="220"/>
      <c r="BK1085" s="46">
        <f t="shared" si="1"/>
        <v>1</v>
      </c>
      <c r="BL1085" s="46"/>
      <c r="BM1085" s="46"/>
      <c r="BN1085" s="46"/>
    </row>
    <row r="1086" spans="1:66" ht="12.75" hidden="1" customHeight="1">
      <c r="A1086" s="22">
        <v>1084</v>
      </c>
      <c r="B1086" s="22" t="s">
        <v>4316</v>
      </c>
      <c r="C1086" s="22" t="e">
        <f t="shared" ca="1" si="0"/>
        <v>#NAME?</v>
      </c>
      <c r="D1086" s="24" t="s">
        <v>2827</v>
      </c>
      <c r="E1086" s="22" t="s">
        <v>180</v>
      </c>
      <c r="F1086" s="24" t="s">
        <v>2823</v>
      </c>
      <c r="G1086" s="24" t="s">
        <v>2810</v>
      </c>
      <c r="H1086" s="24"/>
      <c r="I1086" s="24">
        <v>1</v>
      </c>
      <c r="J1086" s="24" t="s">
        <v>2372</v>
      </c>
      <c r="K1086" s="24"/>
      <c r="L1086" s="24"/>
      <c r="M1086" s="24"/>
      <c r="N1086" s="24"/>
      <c r="O1086" s="24"/>
      <c r="P1086" s="170"/>
      <c r="Q1086" s="170"/>
      <c r="R1086" s="178"/>
      <c r="S1086" s="170"/>
      <c r="T1086" s="170"/>
      <c r="U1086" s="170"/>
      <c r="V1086" s="193"/>
      <c r="W1086" s="194" t="s">
        <v>2827</v>
      </c>
      <c r="X1086" s="164"/>
      <c r="Y1086" s="164"/>
      <c r="Z1086" s="164"/>
      <c r="AA1086" s="170"/>
      <c r="AB1086" s="170"/>
      <c r="AC1086" s="251"/>
      <c r="AD1086" s="170"/>
      <c r="AE1086" s="225"/>
      <c r="AF1086" s="170"/>
      <c r="AG1086" s="170"/>
      <c r="AH1086" s="251"/>
      <c r="AI1086" s="170"/>
      <c r="AJ1086" s="164"/>
      <c r="AK1086" s="22"/>
      <c r="AL1086" s="170"/>
      <c r="AM1086" s="170"/>
      <c r="AN1086" s="170"/>
      <c r="AO1086" s="170"/>
      <c r="AP1086" s="170"/>
      <c r="AQ1086" s="22"/>
      <c r="AR1086" s="22"/>
      <c r="AS1086" s="22"/>
      <c r="AT1086" s="170"/>
      <c r="AU1086" s="170"/>
      <c r="AV1086" s="170"/>
      <c r="AW1086" s="170"/>
      <c r="AX1086" s="170"/>
      <c r="AY1086" s="170"/>
      <c r="AZ1086" s="170"/>
      <c r="BA1086" s="170"/>
      <c r="BB1086" s="170"/>
      <c r="BC1086" s="170"/>
      <c r="BD1086" s="170"/>
      <c r="BE1086" s="137" t="s">
        <v>115</v>
      </c>
      <c r="BF1086" s="143" t="s">
        <v>2828</v>
      </c>
      <c r="BG1086" s="139" t="s">
        <v>2829</v>
      </c>
      <c r="BH1086" s="220"/>
      <c r="BI1086" s="220"/>
      <c r="BJ1086" s="220"/>
      <c r="BK1086" s="46">
        <f t="shared" si="1"/>
        <v>1</v>
      </c>
      <c r="BL1086" s="46"/>
      <c r="BM1086" s="46"/>
      <c r="BN1086" s="46"/>
    </row>
    <row r="1087" spans="1:66" ht="12.75" hidden="1" customHeight="1">
      <c r="A1087" s="22">
        <v>1085</v>
      </c>
      <c r="B1087" s="22" t="s">
        <v>4320</v>
      </c>
      <c r="C1087" s="22" t="e">
        <f t="shared" ca="1" si="0"/>
        <v>#NAME?</v>
      </c>
      <c r="D1087" s="24" t="s">
        <v>2830</v>
      </c>
      <c r="E1087" s="22" t="s">
        <v>180</v>
      </c>
      <c r="F1087" s="24" t="s">
        <v>2823</v>
      </c>
      <c r="G1087" s="24" t="s">
        <v>2810</v>
      </c>
      <c r="H1087" s="24"/>
      <c r="I1087" s="24">
        <v>1</v>
      </c>
      <c r="J1087" s="24" t="s">
        <v>2372</v>
      </c>
      <c r="K1087" s="24"/>
      <c r="L1087" s="24"/>
      <c r="M1087" s="24"/>
      <c r="N1087" s="24"/>
      <c r="O1087" s="24"/>
      <c r="P1087" s="170"/>
      <c r="Q1087" s="170"/>
      <c r="R1087" s="178"/>
      <c r="S1087" s="170"/>
      <c r="T1087" s="170"/>
      <c r="U1087" s="170"/>
      <c r="V1087" s="163"/>
      <c r="W1087" s="163" t="s">
        <v>2830</v>
      </c>
      <c r="X1087" s="164"/>
      <c r="Y1087" s="164"/>
      <c r="Z1087" s="164"/>
      <c r="AA1087" s="170"/>
      <c r="AB1087" s="170"/>
      <c r="AC1087" s="251"/>
      <c r="AD1087" s="170"/>
      <c r="AE1087" s="225"/>
      <c r="AF1087" s="170"/>
      <c r="AG1087" s="170"/>
      <c r="AH1087" s="251"/>
      <c r="AI1087" s="170"/>
      <c r="AJ1087" s="164"/>
      <c r="AK1087" s="22"/>
      <c r="AL1087" s="170"/>
      <c r="AM1087" s="170"/>
      <c r="AN1087" s="170"/>
      <c r="AO1087" s="170"/>
      <c r="AP1087" s="170"/>
      <c r="AQ1087" s="22"/>
      <c r="AR1087" s="22"/>
      <c r="AS1087" s="22"/>
      <c r="AT1087" s="170"/>
      <c r="AU1087" s="170"/>
      <c r="AV1087" s="170"/>
      <c r="AW1087" s="170"/>
      <c r="AX1087" s="170"/>
      <c r="AY1087" s="170"/>
      <c r="AZ1087" s="170"/>
      <c r="BA1087" s="170"/>
      <c r="BB1087" s="170"/>
      <c r="BC1087" s="170"/>
      <c r="BD1087" s="170"/>
      <c r="BE1087" s="137" t="s">
        <v>115</v>
      </c>
      <c r="BF1087" s="143" t="s">
        <v>2406</v>
      </c>
      <c r="BG1087" s="139" t="s">
        <v>2407</v>
      </c>
      <c r="BH1087" s="220"/>
      <c r="BI1087" s="220"/>
      <c r="BJ1087" s="220"/>
      <c r="BK1087" s="46">
        <f t="shared" si="1"/>
        <v>1</v>
      </c>
      <c r="BL1087" s="46"/>
      <c r="BM1087" s="46"/>
      <c r="BN1087" s="46"/>
    </row>
    <row r="1088" spans="1:66" ht="12.75" hidden="1" customHeight="1">
      <c r="A1088" s="22">
        <v>1086</v>
      </c>
      <c r="B1088" s="22" t="s">
        <v>4324</v>
      </c>
      <c r="C1088" s="22" t="e">
        <f t="shared" ca="1" si="0"/>
        <v>#NAME?</v>
      </c>
      <c r="D1088" s="24" t="s">
        <v>2831</v>
      </c>
      <c r="E1088" s="22" t="s">
        <v>180</v>
      </c>
      <c r="F1088" s="24" t="s">
        <v>2823</v>
      </c>
      <c r="G1088" s="24" t="s">
        <v>2810</v>
      </c>
      <c r="H1088" s="24"/>
      <c r="I1088" s="24">
        <v>1</v>
      </c>
      <c r="J1088" s="24" t="s">
        <v>2372</v>
      </c>
      <c r="K1088" s="24"/>
      <c r="L1088" s="24"/>
      <c r="M1088" s="24"/>
      <c r="N1088" s="24"/>
      <c r="O1088" s="24"/>
      <c r="P1088" s="170"/>
      <c r="Q1088" s="170"/>
      <c r="R1088" s="178"/>
      <c r="S1088" s="170"/>
      <c r="T1088" s="170"/>
      <c r="U1088" s="170"/>
      <c r="V1088" s="163"/>
      <c r="W1088" s="163" t="s">
        <v>2831</v>
      </c>
      <c r="X1088" s="164"/>
      <c r="Y1088" s="164"/>
      <c r="Z1088" s="164"/>
      <c r="AA1088" s="170"/>
      <c r="AB1088" s="170"/>
      <c r="AC1088" s="251"/>
      <c r="AD1088" s="170"/>
      <c r="AE1088" s="225"/>
      <c r="AF1088" s="170"/>
      <c r="AG1088" s="170"/>
      <c r="AH1088" s="251"/>
      <c r="AI1088" s="170"/>
      <c r="AJ1088" s="164"/>
      <c r="AK1088" s="22"/>
      <c r="AL1088" s="170"/>
      <c r="AM1088" s="170"/>
      <c r="AN1088" s="170"/>
      <c r="AO1088" s="170"/>
      <c r="AP1088" s="170"/>
      <c r="AQ1088" s="22"/>
      <c r="AR1088" s="22"/>
      <c r="AS1088" s="22"/>
      <c r="AT1088" s="170"/>
      <c r="AU1088" s="170"/>
      <c r="AV1088" s="170"/>
      <c r="AW1088" s="170"/>
      <c r="AX1088" s="170"/>
      <c r="AY1088" s="170"/>
      <c r="AZ1088" s="170"/>
      <c r="BA1088" s="170"/>
      <c r="BB1088" s="170"/>
      <c r="BC1088" s="170"/>
      <c r="BD1088" s="170"/>
      <c r="BE1088" s="137" t="s">
        <v>115</v>
      </c>
      <c r="BF1088" s="143" t="s">
        <v>424</v>
      </c>
      <c r="BG1088" s="139" t="s">
        <v>425</v>
      </c>
      <c r="BH1088" s="220"/>
      <c r="BI1088" s="220"/>
      <c r="BJ1088" s="220"/>
      <c r="BK1088" s="46">
        <f t="shared" si="1"/>
        <v>1</v>
      </c>
      <c r="BL1088" s="46"/>
      <c r="BM1088" s="46"/>
      <c r="BN1088" s="46"/>
    </row>
    <row r="1089" spans="1:66" ht="12.75" hidden="1" customHeight="1">
      <c r="A1089" s="22">
        <v>1087</v>
      </c>
      <c r="B1089" s="22" t="s">
        <v>2005</v>
      </c>
      <c r="C1089" s="22" t="e">
        <f t="shared" ca="1" si="0"/>
        <v>#NAME?</v>
      </c>
      <c r="D1089" s="24" t="s">
        <v>1387</v>
      </c>
      <c r="E1089" s="22" t="s">
        <v>180</v>
      </c>
      <c r="F1089" s="24" t="s">
        <v>2823</v>
      </c>
      <c r="G1089" s="24" t="s">
        <v>2810</v>
      </c>
      <c r="H1089" s="24"/>
      <c r="I1089" s="24">
        <v>1</v>
      </c>
      <c r="J1089" s="24" t="s">
        <v>2372</v>
      </c>
      <c r="K1089" s="24"/>
      <c r="L1089" s="24"/>
      <c r="M1089" s="24"/>
      <c r="N1089" s="24"/>
      <c r="O1089" s="24"/>
      <c r="P1089" s="170"/>
      <c r="Q1089" s="170"/>
      <c r="R1089" s="178"/>
      <c r="S1089" s="170"/>
      <c r="T1089" s="170"/>
      <c r="U1089" s="170"/>
      <c r="V1089" s="163"/>
      <c r="W1089" s="163" t="s">
        <v>1387</v>
      </c>
      <c r="X1089" s="164"/>
      <c r="Y1089" s="164"/>
      <c r="Z1089" s="164"/>
      <c r="AA1089" s="170"/>
      <c r="AB1089" s="170"/>
      <c r="AC1089" s="251"/>
      <c r="AD1089" s="170"/>
      <c r="AE1089" s="225"/>
      <c r="AF1089" s="170"/>
      <c r="AG1089" s="170"/>
      <c r="AH1089" s="251"/>
      <c r="AI1089" s="170"/>
      <c r="AJ1089" s="164"/>
      <c r="AK1089" s="22"/>
      <c r="AL1089" s="170"/>
      <c r="AM1089" s="170"/>
      <c r="AN1089" s="170"/>
      <c r="AO1089" s="170"/>
      <c r="AP1089" s="170"/>
      <c r="AQ1089" s="22"/>
      <c r="AR1089" s="22"/>
      <c r="AS1089" s="22"/>
      <c r="AT1089" s="170"/>
      <c r="AU1089" s="170"/>
      <c r="AV1089" s="170"/>
      <c r="AW1089" s="170"/>
      <c r="AX1089" s="170"/>
      <c r="AY1089" s="170"/>
      <c r="AZ1089" s="170"/>
      <c r="BA1089" s="170"/>
      <c r="BB1089" s="170"/>
      <c r="BC1089" s="170"/>
      <c r="BD1089" s="170"/>
      <c r="BE1089" s="137" t="s">
        <v>115</v>
      </c>
      <c r="BF1089" s="143" t="s">
        <v>406</v>
      </c>
      <c r="BG1089" s="139" t="s">
        <v>407</v>
      </c>
      <c r="BH1089" s="220"/>
      <c r="BI1089" s="220"/>
      <c r="BJ1089" s="220"/>
      <c r="BK1089" s="46">
        <f t="shared" si="1"/>
        <v>1</v>
      </c>
      <c r="BL1089" s="46"/>
      <c r="BM1089" s="46"/>
      <c r="BN1089" s="46"/>
    </row>
    <row r="1090" spans="1:66" ht="12.75" hidden="1" customHeight="1">
      <c r="A1090" s="22">
        <v>1088</v>
      </c>
      <c r="B1090" s="22" t="s">
        <v>2832</v>
      </c>
      <c r="C1090" s="22" t="str">
        <f t="shared" si="0"/>
        <v>Prescribe daily dose of 60 mg iron and 0.4 mg folic acid</v>
      </c>
      <c r="D1090" s="24" t="s">
        <v>2832</v>
      </c>
      <c r="E1090" s="22" t="s">
        <v>96</v>
      </c>
      <c r="F1090" s="24" t="s">
        <v>1787</v>
      </c>
      <c r="G1090" s="24" t="s">
        <v>2833</v>
      </c>
      <c r="H1090" s="24"/>
      <c r="I1090" s="24">
        <v>1</v>
      </c>
      <c r="J1090" s="24" t="s">
        <v>2372</v>
      </c>
      <c r="K1090" s="24"/>
      <c r="L1090" s="24"/>
      <c r="M1090" s="24"/>
      <c r="N1090" s="24"/>
      <c r="O1090" s="24"/>
      <c r="P1090" s="170"/>
      <c r="Q1090" s="170"/>
      <c r="R1090" s="195" t="s">
        <v>2832</v>
      </c>
      <c r="S1090" s="164" t="s">
        <v>2834</v>
      </c>
      <c r="T1090" s="164"/>
      <c r="U1090" s="164" t="s">
        <v>202</v>
      </c>
      <c r="V1090" s="163"/>
      <c r="W1090" s="163"/>
      <c r="X1090" s="164"/>
      <c r="Y1090" s="164"/>
      <c r="Z1090" s="164"/>
      <c r="AA1090" s="170"/>
      <c r="AB1090" s="164" t="s">
        <v>113</v>
      </c>
      <c r="AC1090" s="251"/>
      <c r="AD1090" s="170"/>
      <c r="AE1090" s="225"/>
      <c r="AF1090" s="170"/>
      <c r="AG1090" s="170"/>
      <c r="AH1090" s="251"/>
      <c r="AI1090" s="170"/>
      <c r="AJ1090" s="164" t="s">
        <v>2656</v>
      </c>
      <c r="AK1090" s="22"/>
      <c r="AL1090" s="170"/>
      <c r="AM1090" s="170"/>
      <c r="AN1090" s="170"/>
      <c r="AO1090" s="170"/>
      <c r="AP1090" s="170"/>
      <c r="AQ1090" s="22"/>
      <c r="AR1090" s="22"/>
      <c r="AS1090" s="22"/>
      <c r="AT1090" s="170"/>
      <c r="AU1090" s="170"/>
      <c r="AV1090" s="170"/>
      <c r="AW1090" s="170"/>
      <c r="AX1090" s="170"/>
      <c r="AY1090" s="170"/>
      <c r="AZ1090" s="170"/>
      <c r="BA1090" s="170"/>
      <c r="BB1090" s="170"/>
      <c r="BC1090" s="170"/>
      <c r="BD1090" s="170"/>
      <c r="BE1090" s="137" t="s">
        <v>2835</v>
      </c>
      <c r="BF1090" s="137" t="s">
        <v>2630</v>
      </c>
      <c r="BG1090" s="139" t="s">
        <v>2631</v>
      </c>
      <c r="BH1090" s="220"/>
      <c r="BI1090" s="220"/>
      <c r="BJ1090" s="220"/>
      <c r="BK1090" s="46">
        <f t="shared" si="1"/>
        <v>1</v>
      </c>
      <c r="BL1090" s="46"/>
      <c r="BM1090" s="46"/>
      <c r="BN1090" s="46"/>
    </row>
    <row r="1091" spans="1:66" ht="12.75" hidden="1" customHeight="1">
      <c r="A1091" s="22">
        <v>1089</v>
      </c>
      <c r="B1091" s="22" t="s">
        <v>2527</v>
      </c>
      <c r="C1091" s="22" t="e">
        <f t="shared" ca="1" si="0"/>
        <v>#NAME?</v>
      </c>
      <c r="D1091" s="24" t="s">
        <v>1673</v>
      </c>
      <c r="E1091" s="22" t="s">
        <v>180</v>
      </c>
      <c r="F1091" s="24" t="s">
        <v>2832</v>
      </c>
      <c r="G1091" s="24" t="s">
        <v>2833</v>
      </c>
      <c r="H1091" s="24"/>
      <c r="I1091" s="24">
        <v>1</v>
      </c>
      <c r="J1091" s="24" t="s">
        <v>2372</v>
      </c>
      <c r="K1091" s="24"/>
      <c r="L1091" s="24"/>
      <c r="M1091" s="24"/>
      <c r="N1091" s="24"/>
      <c r="O1091" s="24"/>
      <c r="P1091" s="170"/>
      <c r="Q1091" s="170"/>
      <c r="R1091" s="195"/>
      <c r="S1091" s="164"/>
      <c r="T1091" s="164"/>
      <c r="U1091" s="164"/>
      <c r="V1091" s="163"/>
      <c r="W1091" s="163" t="s">
        <v>1673</v>
      </c>
      <c r="X1091" s="164"/>
      <c r="Y1091" s="164"/>
      <c r="Z1091" s="164"/>
      <c r="AA1091" s="170"/>
      <c r="AB1091" s="164"/>
      <c r="AC1091" s="251"/>
      <c r="AD1091" s="170"/>
      <c r="AE1091" s="225"/>
      <c r="AF1091" s="170"/>
      <c r="AG1091" s="170"/>
      <c r="AH1091" s="251"/>
      <c r="AI1091" s="170"/>
      <c r="AJ1091" s="194"/>
      <c r="AK1091" s="22"/>
      <c r="AL1091" s="170"/>
      <c r="AM1091" s="170"/>
      <c r="AN1091" s="170"/>
      <c r="AO1091" s="170"/>
      <c r="AP1091" s="170"/>
      <c r="AQ1091" s="22"/>
      <c r="AR1091" s="22"/>
      <c r="AS1091" s="22"/>
      <c r="AT1091" s="170"/>
      <c r="AU1091" s="170"/>
      <c r="AV1091" s="170"/>
      <c r="AW1091" s="170"/>
      <c r="AX1091" s="170"/>
      <c r="AY1091" s="170"/>
      <c r="AZ1091" s="170"/>
      <c r="BA1091" s="170"/>
      <c r="BB1091" s="170"/>
      <c r="BC1091" s="170"/>
      <c r="BD1091" s="170"/>
      <c r="BE1091" s="137" t="s">
        <v>115</v>
      </c>
      <c r="BF1091" s="137" t="s">
        <v>942</v>
      </c>
      <c r="BG1091" s="167" t="s">
        <v>943</v>
      </c>
      <c r="BH1091" s="220"/>
      <c r="BI1091" s="220"/>
      <c r="BJ1091" s="220"/>
      <c r="BK1091" s="46">
        <f t="shared" si="1"/>
        <v>1</v>
      </c>
      <c r="BL1091" s="46"/>
      <c r="BM1091" s="46"/>
      <c r="BN1091" s="46"/>
    </row>
    <row r="1092" spans="1:66" ht="12.75" hidden="1" customHeight="1">
      <c r="A1092" s="22">
        <v>1090</v>
      </c>
      <c r="B1092" s="22" t="s">
        <v>2118</v>
      </c>
      <c r="C1092" s="22" t="e">
        <f t="shared" ca="1" si="0"/>
        <v>#NAME?</v>
      </c>
      <c r="D1092" s="24" t="s">
        <v>1468</v>
      </c>
      <c r="E1092" s="22" t="s">
        <v>180</v>
      </c>
      <c r="F1092" s="24" t="s">
        <v>2832</v>
      </c>
      <c r="G1092" s="24" t="s">
        <v>2833</v>
      </c>
      <c r="H1092" s="24"/>
      <c r="I1092" s="24">
        <v>1</v>
      </c>
      <c r="J1092" s="24" t="s">
        <v>2372</v>
      </c>
      <c r="K1092" s="24"/>
      <c r="L1092" s="24"/>
      <c r="M1092" s="24"/>
      <c r="N1092" s="24"/>
      <c r="O1092" s="24"/>
      <c r="P1092" s="170"/>
      <c r="Q1092" s="170"/>
      <c r="R1092" s="195"/>
      <c r="S1092" s="164"/>
      <c r="T1092" s="164"/>
      <c r="U1092" s="164"/>
      <c r="V1092" s="163"/>
      <c r="W1092" s="163" t="s">
        <v>1468</v>
      </c>
      <c r="X1092" s="164"/>
      <c r="Y1092" s="164"/>
      <c r="Z1092" s="164"/>
      <c r="AA1092" s="170"/>
      <c r="AB1092" s="164"/>
      <c r="AC1092" s="251"/>
      <c r="AD1092" s="170"/>
      <c r="AE1092" s="225"/>
      <c r="AF1092" s="170"/>
      <c r="AG1092" s="170"/>
      <c r="AH1092" s="251"/>
      <c r="AI1092" s="170"/>
      <c r="AJ1092" s="194"/>
      <c r="AK1092" s="22"/>
      <c r="AL1092" s="170"/>
      <c r="AM1092" s="170"/>
      <c r="AN1092" s="170"/>
      <c r="AO1092" s="170"/>
      <c r="AP1092" s="170"/>
      <c r="AQ1092" s="22"/>
      <c r="AR1092" s="22"/>
      <c r="AS1092" s="22"/>
      <c r="AT1092" s="170"/>
      <c r="AU1092" s="170"/>
      <c r="AV1092" s="170"/>
      <c r="AW1092" s="170"/>
      <c r="AX1092" s="170"/>
      <c r="AY1092" s="170"/>
      <c r="AZ1092" s="170"/>
      <c r="BA1092" s="170"/>
      <c r="BB1092" s="170"/>
      <c r="BC1092" s="170"/>
      <c r="BD1092" s="170"/>
      <c r="BE1092" s="137" t="s">
        <v>115</v>
      </c>
      <c r="BF1092" s="137" t="s">
        <v>1469</v>
      </c>
      <c r="BG1092" s="167" t="s">
        <v>1470</v>
      </c>
      <c r="BH1092" s="220"/>
      <c r="BI1092" s="220"/>
      <c r="BJ1092" s="220"/>
      <c r="BK1092" s="46">
        <f t="shared" si="1"/>
        <v>1</v>
      </c>
      <c r="BL1092" s="46"/>
      <c r="BM1092" s="46"/>
      <c r="BN1092" s="46"/>
    </row>
    <row r="1093" spans="1:66" ht="12.75" hidden="1" customHeight="1">
      <c r="A1093" s="22">
        <v>1091</v>
      </c>
      <c r="B1093" s="22" t="s">
        <v>2836</v>
      </c>
      <c r="C1093" s="22" t="str">
        <f t="shared" si="0"/>
        <v>Reason Prescribe daily dose of 60 mg iron and 0.4 mg folic acid not done</v>
      </c>
      <c r="D1093" s="24" t="s">
        <v>2836</v>
      </c>
      <c r="E1093" s="22" t="s">
        <v>96</v>
      </c>
      <c r="F1093" s="24" t="s">
        <v>1787</v>
      </c>
      <c r="G1093" s="24" t="s">
        <v>2833</v>
      </c>
      <c r="H1093" s="24"/>
      <c r="I1093" s="24">
        <v>1</v>
      </c>
      <c r="J1093" s="24" t="s">
        <v>2372</v>
      </c>
      <c r="K1093" s="24"/>
      <c r="L1093" s="24"/>
      <c r="M1093" s="24"/>
      <c r="N1093" s="24"/>
      <c r="O1093" s="24"/>
      <c r="P1093" s="170"/>
      <c r="Q1093" s="170"/>
      <c r="R1093" s="169" t="s">
        <v>1376</v>
      </c>
      <c r="S1093" s="164" t="s">
        <v>2837</v>
      </c>
      <c r="T1093" s="164" t="s">
        <v>2660</v>
      </c>
      <c r="U1093" s="164" t="s">
        <v>238</v>
      </c>
      <c r="V1093" s="193"/>
      <c r="W1093" s="194"/>
      <c r="X1093" s="164"/>
      <c r="Y1093" s="164"/>
      <c r="Z1093" s="164"/>
      <c r="AA1093" s="170"/>
      <c r="AB1093" s="164" t="s">
        <v>113</v>
      </c>
      <c r="AC1093" s="251"/>
      <c r="AD1093" s="170"/>
      <c r="AE1093" s="225"/>
      <c r="AF1093" s="170"/>
      <c r="AG1093" s="170"/>
      <c r="AH1093" s="251"/>
      <c r="AI1093" s="170"/>
      <c r="AJ1093" s="194" t="s">
        <v>115</v>
      </c>
      <c r="AK1093" s="22"/>
      <c r="AL1093" s="170"/>
      <c r="AM1093" s="170"/>
      <c r="AN1093" s="170"/>
      <c r="AO1093" s="170"/>
      <c r="AP1093" s="170"/>
      <c r="AQ1093" s="22"/>
      <c r="AR1093" s="22"/>
      <c r="AS1093" s="22"/>
      <c r="AT1093" s="170"/>
      <c r="AU1093" s="170"/>
      <c r="AV1093" s="170"/>
      <c r="AW1093" s="170"/>
      <c r="AX1093" s="170"/>
      <c r="AY1093" s="170"/>
      <c r="AZ1093" s="170"/>
      <c r="BA1093" s="170"/>
      <c r="BB1093" s="170"/>
      <c r="BC1093" s="170"/>
      <c r="BD1093" s="170"/>
      <c r="BE1093" s="137" t="s">
        <v>2835</v>
      </c>
      <c r="BF1093" s="137" t="s">
        <v>2635</v>
      </c>
      <c r="BG1093" s="139" t="s">
        <v>2636</v>
      </c>
      <c r="BH1093" s="220"/>
      <c r="BI1093" s="220"/>
      <c r="BJ1093" s="220"/>
      <c r="BK1093" s="46">
        <f t="shared" si="1"/>
        <v>1</v>
      </c>
      <c r="BL1093" s="46"/>
      <c r="BM1093" s="46"/>
      <c r="BN1093" s="46"/>
    </row>
    <row r="1094" spans="1:66" ht="12.75" hidden="1" customHeight="1">
      <c r="A1094" s="22">
        <v>1092</v>
      </c>
      <c r="B1094" s="22" t="s">
        <v>3616</v>
      </c>
      <c r="C1094" s="22" t="e">
        <f t="shared" ca="1" si="0"/>
        <v>#NAME?</v>
      </c>
      <c r="D1094" s="24" t="s">
        <v>2405</v>
      </c>
      <c r="E1094" s="22" t="s">
        <v>180</v>
      </c>
      <c r="F1094" s="24" t="s">
        <v>2836</v>
      </c>
      <c r="G1094" s="24" t="s">
        <v>2833</v>
      </c>
      <c r="H1094" s="24"/>
      <c r="I1094" s="24">
        <v>1</v>
      </c>
      <c r="J1094" s="24" t="s">
        <v>2372</v>
      </c>
      <c r="K1094" s="24"/>
      <c r="L1094" s="24"/>
      <c r="M1094" s="24"/>
      <c r="N1094" s="24"/>
      <c r="O1094" s="24"/>
      <c r="P1094" s="170"/>
      <c r="Q1094" s="170"/>
      <c r="R1094" s="247"/>
      <c r="S1094" s="164"/>
      <c r="T1094" s="196"/>
      <c r="U1094" s="196"/>
      <c r="V1094" s="194"/>
      <c r="W1094" s="194" t="s">
        <v>2405</v>
      </c>
      <c r="X1094" s="196"/>
      <c r="Y1094" s="196"/>
      <c r="Z1094" s="196"/>
      <c r="AA1094" s="170"/>
      <c r="AB1094" s="196"/>
      <c r="AC1094" s="251"/>
      <c r="AD1094" s="170"/>
      <c r="AE1094" s="225"/>
      <c r="AF1094" s="170"/>
      <c r="AG1094" s="170"/>
      <c r="AH1094" s="251"/>
      <c r="AI1094" s="170"/>
      <c r="AJ1094" s="194"/>
      <c r="AK1094" s="22"/>
      <c r="AL1094" s="170"/>
      <c r="AM1094" s="170"/>
      <c r="AN1094" s="170"/>
      <c r="AO1094" s="170"/>
      <c r="AP1094" s="170"/>
      <c r="AQ1094" s="22"/>
      <c r="AR1094" s="22"/>
      <c r="AS1094" s="22"/>
      <c r="AT1094" s="170"/>
      <c r="AU1094" s="170"/>
      <c r="AV1094" s="170"/>
      <c r="AW1094" s="170"/>
      <c r="AX1094" s="170"/>
      <c r="AY1094" s="170"/>
      <c r="AZ1094" s="170"/>
      <c r="BA1094" s="170"/>
      <c r="BB1094" s="170"/>
      <c r="BC1094" s="170"/>
      <c r="BD1094" s="170"/>
      <c r="BE1094" s="137" t="s">
        <v>115</v>
      </c>
      <c r="BF1094" s="143" t="s">
        <v>2406</v>
      </c>
      <c r="BG1094" s="139" t="s">
        <v>2407</v>
      </c>
      <c r="BH1094" s="220"/>
      <c r="BI1094" s="220"/>
      <c r="BJ1094" s="220"/>
      <c r="BK1094" s="46">
        <f t="shared" si="1"/>
        <v>1</v>
      </c>
      <c r="BL1094" s="46"/>
      <c r="BM1094" s="46"/>
      <c r="BN1094" s="46"/>
    </row>
    <row r="1095" spans="1:66" ht="12.75" hidden="1" customHeight="1">
      <c r="A1095" s="22">
        <v>1093</v>
      </c>
      <c r="B1095" s="22" t="s">
        <v>535</v>
      </c>
      <c r="C1095" s="22" t="e">
        <f t="shared" ca="1" si="0"/>
        <v>#NAME?</v>
      </c>
      <c r="D1095" s="24" t="s">
        <v>405</v>
      </c>
      <c r="E1095" s="22" t="s">
        <v>180</v>
      </c>
      <c r="F1095" s="24" t="s">
        <v>2836</v>
      </c>
      <c r="G1095" s="24" t="s">
        <v>2833</v>
      </c>
      <c r="H1095" s="24"/>
      <c r="I1095" s="24">
        <v>1</v>
      </c>
      <c r="J1095" s="24" t="s">
        <v>2372</v>
      </c>
      <c r="K1095" s="24"/>
      <c r="L1095" s="24"/>
      <c r="M1095" s="24"/>
      <c r="N1095" s="24"/>
      <c r="O1095" s="24"/>
      <c r="P1095" s="170"/>
      <c r="Q1095" s="170"/>
      <c r="R1095" s="247"/>
      <c r="S1095" s="164"/>
      <c r="T1095" s="196"/>
      <c r="U1095" s="196"/>
      <c r="V1095" s="194"/>
      <c r="W1095" s="194" t="s">
        <v>405</v>
      </c>
      <c r="X1095" s="196"/>
      <c r="Y1095" s="196"/>
      <c r="Z1095" s="196"/>
      <c r="AA1095" s="170"/>
      <c r="AB1095" s="196"/>
      <c r="AC1095" s="251"/>
      <c r="AD1095" s="170"/>
      <c r="AE1095" s="225"/>
      <c r="AF1095" s="170"/>
      <c r="AG1095" s="170"/>
      <c r="AH1095" s="251"/>
      <c r="AI1095" s="170"/>
      <c r="AJ1095" s="194"/>
      <c r="AK1095" s="22"/>
      <c r="AL1095" s="170"/>
      <c r="AM1095" s="170"/>
      <c r="AN1095" s="170"/>
      <c r="AO1095" s="170"/>
      <c r="AP1095" s="170"/>
      <c r="AQ1095" s="22"/>
      <c r="AR1095" s="22"/>
      <c r="AS1095" s="22"/>
      <c r="AT1095" s="170"/>
      <c r="AU1095" s="170"/>
      <c r="AV1095" s="170"/>
      <c r="AW1095" s="170"/>
      <c r="AX1095" s="170"/>
      <c r="AY1095" s="170"/>
      <c r="AZ1095" s="170"/>
      <c r="BA1095" s="170"/>
      <c r="BB1095" s="170"/>
      <c r="BC1095" s="170"/>
      <c r="BD1095" s="170"/>
      <c r="BE1095" s="137" t="s">
        <v>115</v>
      </c>
      <c r="BF1095" s="143" t="s">
        <v>406</v>
      </c>
      <c r="BG1095" s="139" t="s">
        <v>407</v>
      </c>
      <c r="BH1095" s="220"/>
      <c r="BI1095" s="220"/>
      <c r="BJ1095" s="220"/>
      <c r="BK1095" s="46">
        <f t="shared" si="1"/>
        <v>1</v>
      </c>
      <c r="BL1095" s="46"/>
      <c r="BM1095" s="46"/>
      <c r="BN1095" s="46"/>
    </row>
    <row r="1096" spans="1:66" ht="12.75" hidden="1" customHeight="1">
      <c r="A1096" s="22">
        <v>1094</v>
      </c>
      <c r="B1096" s="22" t="s">
        <v>2838</v>
      </c>
      <c r="C1096" s="22" t="str">
        <f t="shared" si="0"/>
        <v>Specify - Reason Prescribe daily dose of 60 mg iron and 0.4 mg folic acid not done</v>
      </c>
      <c r="D1096" s="24" t="s">
        <v>2838</v>
      </c>
      <c r="E1096" s="22" t="s">
        <v>96</v>
      </c>
      <c r="F1096" s="24" t="s">
        <v>1787</v>
      </c>
      <c r="G1096" s="24" t="s">
        <v>2833</v>
      </c>
      <c r="H1096" s="24"/>
      <c r="I1096" s="24">
        <v>1</v>
      </c>
      <c r="J1096" s="24" t="s">
        <v>2372</v>
      </c>
      <c r="K1096" s="24"/>
      <c r="L1096" s="24"/>
      <c r="M1096" s="24"/>
      <c r="N1096" s="24"/>
      <c r="O1096" s="24"/>
      <c r="P1096" s="170"/>
      <c r="Q1096" s="170"/>
      <c r="R1096" s="247" t="s">
        <v>409</v>
      </c>
      <c r="S1096" s="164" t="s">
        <v>2839</v>
      </c>
      <c r="T1096" s="196" t="s">
        <v>2641</v>
      </c>
      <c r="U1096" s="196" t="s">
        <v>111</v>
      </c>
      <c r="V1096" s="194"/>
      <c r="W1096" s="194"/>
      <c r="X1096" s="196"/>
      <c r="Y1096" s="196"/>
      <c r="Z1096" s="196"/>
      <c r="AA1096" s="170"/>
      <c r="AB1096" s="196" t="s">
        <v>208</v>
      </c>
      <c r="AC1096" s="251"/>
      <c r="AD1096" s="170"/>
      <c r="AE1096" s="225"/>
      <c r="AF1096" s="170"/>
      <c r="AG1096" s="170"/>
      <c r="AH1096" s="251"/>
      <c r="AI1096" s="170"/>
      <c r="AJ1096" s="194" t="s">
        <v>115</v>
      </c>
      <c r="AK1096" s="22"/>
      <c r="AL1096" s="170"/>
      <c r="AM1096" s="170"/>
      <c r="AN1096" s="170"/>
      <c r="AO1096" s="170"/>
      <c r="AP1096" s="170"/>
      <c r="AQ1096" s="22"/>
      <c r="AR1096" s="22"/>
      <c r="AS1096" s="22"/>
      <c r="AT1096" s="170"/>
      <c r="AU1096" s="170"/>
      <c r="AV1096" s="170"/>
      <c r="AW1096" s="170"/>
      <c r="AX1096" s="170"/>
      <c r="AY1096" s="170"/>
      <c r="AZ1096" s="170"/>
      <c r="BA1096" s="170"/>
      <c r="BB1096" s="170"/>
      <c r="BC1096" s="170"/>
      <c r="BD1096" s="170"/>
      <c r="BE1096" s="137" t="s">
        <v>2835</v>
      </c>
      <c r="BF1096" s="137" t="s">
        <v>2642</v>
      </c>
      <c r="BG1096" s="139" t="s">
        <v>2643</v>
      </c>
      <c r="BH1096" s="220"/>
      <c r="BI1096" s="220"/>
      <c r="BJ1096" s="220"/>
      <c r="BK1096" s="46">
        <f t="shared" si="1"/>
        <v>1</v>
      </c>
      <c r="BL1096" s="46"/>
      <c r="BM1096" s="46"/>
      <c r="BN1096" s="46"/>
    </row>
    <row r="1097" spans="1:66" ht="12.75" hidden="1" customHeight="1">
      <c r="A1097" s="22">
        <v>1095</v>
      </c>
      <c r="B1097" s="22" t="s">
        <v>2840</v>
      </c>
      <c r="C1097" s="22" t="str">
        <f t="shared" si="0"/>
        <v>Prescribe daily dose of 30 to 60 mg iron and 0.4 mg folic acid</v>
      </c>
      <c r="D1097" s="24" t="s">
        <v>2840</v>
      </c>
      <c r="E1097" s="22" t="s">
        <v>96</v>
      </c>
      <c r="F1097" s="24" t="s">
        <v>1787</v>
      </c>
      <c r="G1097" s="24" t="s">
        <v>2833</v>
      </c>
      <c r="H1097" s="24"/>
      <c r="I1097" s="24">
        <v>1</v>
      </c>
      <c r="J1097" s="24" t="s">
        <v>2372</v>
      </c>
      <c r="K1097" s="24"/>
      <c r="L1097" s="24"/>
      <c r="M1097" s="24"/>
      <c r="N1097" s="24"/>
      <c r="O1097" s="24"/>
      <c r="P1097" s="170"/>
      <c r="Q1097" s="170"/>
      <c r="R1097" s="195" t="s">
        <v>2840</v>
      </c>
      <c r="S1097" s="164" t="s">
        <v>2841</v>
      </c>
      <c r="T1097" s="164"/>
      <c r="U1097" s="164" t="s">
        <v>202</v>
      </c>
      <c r="V1097" s="163"/>
      <c r="W1097" s="163"/>
      <c r="X1097" s="164"/>
      <c r="Y1097" s="164"/>
      <c r="Z1097" s="164"/>
      <c r="AA1097" s="170"/>
      <c r="AB1097" s="164" t="s">
        <v>113</v>
      </c>
      <c r="AC1097" s="251"/>
      <c r="AD1097" s="170"/>
      <c r="AE1097" s="225"/>
      <c r="AF1097" s="170"/>
      <c r="AG1097" s="170"/>
      <c r="AH1097" s="251"/>
      <c r="AI1097" s="170"/>
      <c r="AJ1097" s="164" t="s">
        <v>2656</v>
      </c>
      <c r="AK1097" s="22"/>
      <c r="AL1097" s="170"/>
      <c r="AM1097" s="170"/>
      <c r="AN1097" s="170"/>
      <c r="AO1097" s="170"/>
      <c r="AP1097" s="170"/>
      <c r="AQ1097" s="22"/>
      <c r="AR1097" s="22"/>
      <c r="AS1097" s="22"/>
      <c r="AT1097" s="170"/>
      <c r="AU1097" s="170"/>
      <c r="AV1097" s="170"/>
      <c r="AW1097" s="170"/>
      <c r="AX1097" s="170"/>
      <c r="AY1097" s="170"/>
      <c r="AZ1097" s="170"/>
      <c r="BA1097" s="170"/>
      <c r="BB1097" s="170"/>
      <c r="BC1097" s="170"/>
      <c r="BD1097" s="170"/>
      <c r="BE1097" s="137" t="s">
        <v>2842</v>
      </c>
      <c r="BF1097" s="137" t="s">
        <v>2630</v>
      </c>
      <c r="BG1097" s="139" t="s">
        <v>2631</v>
      </c>
      <c r="BH1097" s="220"/>
      <c r="BI1097" s="220"/>
      <c r="BJ1097" s="220"/>
      <c r="BK1097" s="46">
        <f t="shared" si="1"/>
        <v>1</v>
      </c>
      <c r="BL1097" s="46"/>
      <c r="BM1097" s="46"/>
      <c r="BN1097" s="46"/>
    </row>
    <row r="1098" spans="1:66" ht="12.75" hidden="1" customHeight="1">
      <c r="A1098" s="22">
        <v>1096</v>
      </c>
      <c r="B1098" s="22" t="s">
        <v>2527</v>
      </c>
      <c r="C1098" s="22" t="e">
        <f t="shared" ca="1" si="0"/>
        <v>#NAME?</v>
      </c>
      <c r="D1098" s="24" t="s">
        <v>1673</v>
      </c>
      <c r="E1098" s="22" t="s">
        <v>180</v>
      </c>
      <c r="F1098" s="24" t="s">
        <v>2840</v>
      </c>
      <c r="G1098" s="24" t="s">
        <v>2833</v>
      </c>
      <c r="H1098" s="24"/>
      <c r="I1098" s="24">
        <v>1</v>
      </c>
      <c r="J1098" s="24" t="s">
        <v>2372</v>
      </c>
      <c r="K1098" s="24"/>
      <c r="L1098" s="24"/>
      <c r="M1098" s="24"/>
      <c r="N1098" s="24"/>
      <c r="O1098" s="24"/>
      <c r="P1098" s="170"/>
      <c r="Q1098" s="170"/>
      <c r="R1098" s="169"/>
      <c r="S1098" s="164"/>
      <c r="T1098" s="164"/>
      <c r="U1098" s="164"/>
      <c r="V1098" s="163"/>
      <c r="W1098" s="163" t="s">
        <v>1673</v>
      </c>
      <c r="X1098" s="164"/>
      <c r="Y1098" s="164"/>
      <c r="Z1098" s="164"/>
      <c r="AA1098" s="170"/>
      <c r="AB1098" s="164"/>
      <c r="AC1098" s="251"/>
      <c r="AD1098" s="170"/>
      <c r="AE1098" s="225"/>
      <c r="AF1098" s="170"/>
      <c r="AG1098" s="170"/>
      <c r="AH1098" s="251"/>
      <c r="AI1098" s="170"/>
      <c r="AJ1098" s="194"/>
      <c r="AK1098" s="22"/>
      <c r="AL1098" s="170"/>
      <c r="AM1098" s="170"/>
      <c r="AN1098" s="170"/>
      <c r="AO1098" s="170"/>
      <c r="AP1098" s="170"/>
      <c r="AQ1098" s="22"/>
      <c r="AR1098" s="22"/>
      <c r="AS1098" s="22"/>
      <c r="AT1098" s="170"/>
      <c r="AU1098" s="170"/>
      <c r="AV1098" s="170"/>
      <c r="AW1098" s="170"/>
      <c r="AX1098" s="170"/>
      <c r="AY1098" s="170"/>
      <c r="AZ1098" s="170"/>
      <c r="BA1098" s="170"/>
      <c r="BB1098" s="170"/>
      <c r="BC1098" s="170"/>
      <c r="BD1098" s="170"/>
      <c r="BE1098" s="137" t="s">
        <v>115</v>
      </c>
      <c r="BF1098" s="137" t="s">
        <v>942</v>
      </c>
      <c r="BG1098" s="167" t="s">
        <v>943</v>
      </c>
      <c r="BH1098" s="220"/>
      <c r="BI1098" s="220"/>
      <c r="BJ1098" s="220"/>
      <c r="BK1098" s="46">
        <f t="shared" si="1"/>
        <v>1</v>
      </c>
      <c r="BL1098" s="46"/>
      <c r="BM1098" s="46"/>
      <c r="BN1098" s="46"/>
    </row>
    <row r="1099" spans="1:66" ht="12.75" hidden="1" customHeight="1">
      <c r="A1099" s="22">
        <v>1097</v>
      </c>
      <c r="B1099" s="22" t="s">
        <v>2118</v>
      </c>
      <c r="C1099" s="22" t="e">
        <f t="shared" ca="1" si="0"/>
        <v>#NAME?</v>
      </c>
      <c r="D1099" s="24" t="s">
        <v>1468</v>
      </c>
      <c r="E1099" s="22" t="s">
        <v>180</v>
      </c>
      <c r="F1099" s="24" t="s">
        <v>2840</v>
      </c>
      <c r="G1099" s="24" t="s">
        <v>2833</v>
      </c>
      <c r="H1099" s="24"/>
      <c r="I1099" s="24">
        <v>1</v>
      </c>
      <c r="J1099" s="24" t="s">
        <v>2372</v>
      </c>
      <c r="K1099" s="24"/>
      <c r="L1099" s="24"/>
      <c r="M1099" s="24"/>
      <c r="N1099" s="24"/>
      <c r="O1099" s="24"/>
      <c r="P1099" s="170"/>
      <c r="Q1099" s="170"/>
      <c r="R1099" s="169"/>
      <c r="S1099" s="164"/>
      <c r="T1099" s="164"/>
      <c r="U1099" s="164"/>
      <c r="V1099" s="163"/>
      <c r="W1099" s="163" t="s">
        <v>1468</v>
      </c>
      <c r="X1099" s="164"/>
      <c r="Y1099" s="164"/>
      <c r="Z1099" s="164"/>
      <c r="AA1099" s="170"/>
      <c r="AB1099" s="164"/>
      <c r="AC1099" s="251"/>
      <c r="AD1099" s="170"/>
      <c r="AE1099" s="225"/>
      <c r="AF1099" s="170"/>
      <c r="AG1099" s="170"/>
      <c r="AH1099" s="251"/>
      <c r="AI1099" s="170"/>
      <c r="AJ1099" s="194"/>
      <c r="AK1099" s="22"/>
      <c r="AL1099" s="170"/>
      <c r="AM1099" s="170"/>
      <c r="AN1099" s="170"/>
      <c r="AO1099" s="170"/>
      <c r="AP1099" s="170"/>
      <c r="AQ1099" s="22"/>
      <c r="AR1099" s="22"/>
      <c r="AS1099" s="22"/>
      <c r="AT1099" s="170"/>
      <c r="AU1099" s="170"/>
      <c r="AV1099" s="170"/>
      <c r="AW1099" s="170"/>
      <c r="AX1099" s="170"/>
      <c r="AY1099" s="170"/>
      <c r="AZ1099" s="170"/>
      <c r="BA1099" s="170"/>
      <c r="BB1099" s="170"/>
      <c r="BC1099" s="170"/>
      <c r="BD1099" s="170"/>
      <c r="BE1099" s="137" t="s">
        <v>115</v>
      </c>
      <c r="BF1099" s="137" t="s">
        <v>1469</v>
      </c>
      <c r="BG1099" s="167" t="s">
        <v>1470</v>
      </c>
      <c r="BH1099" s="220"/>
      <c r="BI1099" s="220"/>
      <c r="BJ1099" s="220"/>
      <c r="BK1099" s="46">
        <f t="shared" si="1"/>
        <v>1</v>
      </c>
      <c r="BL1099" s="46"/>
      <c r="BM1099" s="46"/>
      <c r="BN1099" s="46"/>
    </row>
    <row r="1100" spans="1:66" ht="12.75" hidden="1" customHeight="1">
      <c r="A1100" s="22">
        <v>1098</v>
      </c>
      <c r="B1100" s="22" t="s">
        <v>2844</v>
      </c>
      <c r="C1100" s="22" t="str">
        <f t="shared" si="0"/>
        <v>Reason Prescribe daily dose of 30 to 60 mg iron and 0.4 mg folic acid not done</v>
      </c>
      <c r="D1100" s="24" t="s">
        <v>2844</v>
      </c>
      <c r="E1100" s="22" t="s">
        <v>96</v>
      </c>
      <c r="F1100" s="24" t="s">
        <v>1787</v>
      </c>
      <c r="G1100" s="24" t="s">
        <v>2833</v>
      </c>
      <c r="H1100" s="24"/>
      <c r="I1100" s="24">
        <v>1</v>
      </c>
      <c r="J1100" s="24" t="s">
        <v>2372</v>
      </c>
      <c r="K1100" s="24"/>
      <c r="L1100" s="24"/>
      <c r="M1100" s="24"/>
      <c r="N1100" s="24"/>
      <c r="O1100" s="24"/>
      <c r="P1100" s="170"/>
      <c r="Q1100" s="170"/>
      <c r="R1100" s="169" t="s">
        <v>1376</v>
      </c>
      <c r="S1100" s="164" t="s">
        <v>2845</v>
      </c>
      <c r="T1100" s="164" t="s">
        <v>2660</v>
      </c>
      <c r="U1100" s="164" t="s">
        <v>238</v>
      </c>
      <c r="V1100" s="193"/>
      <c r="W1100" s="194"/>
      <c r="X1100" s="164"/>
      <c r="Y1100" s="164"/>
      <c r="Z1100" s="164"/>
      <c r="AA1100" s="170"/>
      <c r="AB1100" s="164" t="s">
        <v>113</v>
      </c>
      <c r="AC1100" s="251"/>
      <c r="AD1100" s="170"/>
      <c r="AE1100" s="225"/>
      <c r="AF1100" s="170"/>
      <c r="AG1100" s="170"/>
      <c r="AH1100" s="251"/>
      <c r="AI1100" s="170"/>
      <c r="AJ1100" s="194" t="s">
        <v>115</v>
      </c>
      <c r="AK1100" s="22"/>
      <c r="AL1100" s="170"/>
      <c r="AM1100" s="170"/>
      <c r="AN1100" s="170"/>
      <c r="AO1100" s="170"/>
      <c r="AP1100" s="170"/>
      <c r="AQ1100" s="22"/>
      <c r="AR1100" s="22"/>
      <c r="AS1100" s="22"/>
      <c r="AT1100" s="170"/>
      <c r="AU1100" s="170"/>
      <c r="AV1100" s="170"/>
      <c r="AW1100" s="170"/>
      <c r="AX1100" s="170"/>
      <c r="AY1100" s="170"/>
      <c r="AZ1100" s="170"/>
      <c r="BA1100" s="170"/>
      <c r="BB1100" s="170"/>
      <c r="BC1100" s="170"/>
      <c r="BD1100" s="170"/>
      <c r="BE1100" s="137" t="s">
        <v>2842</v>
      </c>
      <c r="BF1100" s="137" t="s">
        <v>2635</v>
      </c>
      <c r="BG1100" s="139" t="s">
        <v>2636</v>
      </c>
      <c r="BH1100" s="220"/>
      <c r="BI1100" s="220"/>
      <c r="BJ1100" s="220"/>
      <c r="BK1100" s="46">
        <f t="shared" si="1"/>
        <v>1</v>
      </c>
      <c r="BL1100" s="46"/>
      <c r="BM1100" s="46"/>
      <c r="BN1100" s="46"/>
    </row>
    <row r="1101" spans="1:66" ht="12.75" hidden="1" customHeight="1">
      <c r="A1101" s="22">
        <v>1099</v>
      </c>
      <c r="B1101" s="22" t="s">
        <v>3616</v>
      </c>
      <c r="C1101" s="22" t="e">
        <f t="shared" ca="1" si="0"/>
        <v>#NAME?</v>
      </c>
      <c r="D1101" s="24" t="s">
        <v>2405</v>
      </c>
      <c r="E1101" s="22" t="s">
        <v>180</v>
      </c>
      <c r="F1101" s="24" t="s">
        <v>2844</v>
      </c>
      <c r="G1101" s="24" t="s">
        <v>2833</v>
      </c>
      <c r="H1101" s="24"/>
      <c r="I1101" s="24">
        <v>1</v>
      </c>
      <c r="J1101" s="24" t="s">
        <v>2372</v>
      </c>
      <c r="K1101" s="24"/>
      <c r="L1101" s="24"/>
      <c r="M1101" s="24"/>
      <c r="N1101" s="24"/>
      <c r="O1101" s="24"/>
      <c r="P1101" s="170"/>
      <c r="Q1101" s="170"/>
      <c r="R1101" s="169"/>
      <c r="S1101" s="164"/>
      <c r="T1101" s="164"/>
      <c r="U1101" s="164"/>
      <c r="V1101" s="193"/>
      <c r="W1101" s="194" t="s">
        <v>2405</v>
      </c>
      <c r="X1101" s="164"/>
      <c r="Y1101" s="164"/>
      <c r="Z1101" s="164"/>
      <c r="AA1101" s="170"/>
      <c r="AB1101" s="164"/>
      <c r="AC1101" s="251"/>
      <c r="AD1101" s="170"/>
      <c r="AE1101" s="225"/>
      <c r="AF1101" s="170"/>
      <c r="AG1101" s="170"/>
      <c r="AH1101" s="251"/>
      <c r="AI1101" s="170"/>
      <c r="AJ1101" s="194"/>
      <c r="AK1101" s="22"/>
      <c r="AL1101" s="170"/>
      <c r="AM1101" s="170"/>
      <c r="AN1101" s="170"/>
      <c r="AO1101" s="170"/>
      <c r="AP1101" s="170"/>
      <c r="AQ1101" s="22"/>
      <c r="AR1101" s="22"/>
      <c r="AS1101" s="22"/>
      <c r="AT1101" s="170"/>
      <c r="AU1101" s="170"/>
      <c r="AV1101" s="170"/>
      <c r="AW1101" s="170"/>
      <c r="AX1101" s="170"/>
      <c r="AY1101" s="170"/>
      <c r="AZ1101" s="170"/>
      <c r="BA1101" s="170"/>
      <c r="BB1101" s="170"/>
      <c r="BC1101" s="170"/>
      <c r="BD1101" s="170"/>
      <c r="BE1101" s="137" t="s">
        <v>115</v>
      </c>
      <c r="BF1101" s="143" t="s">
        <v>2406</v>
      </c>
      <c r="BG1101" s="139" t="s">
        <v>2407</v>
      </c>
      <c r="BH1101" s="220"/>
      <c r="BI1101" s="220"/>
      <c r="BJ1101" s="220"/>
      <c r="BK1101" s="46">
        <f t="shared" si="1"/>
        <v>1</v>
      </c>
      <c r="BL1101" s="46"/>
      <c r="BM1101" s="46"/>
      <c r="BN1101" s="46"/>
    </row>
    <row r="1102" spans="1:66" ht="12.75" hidden="1" customHeight="1">
      <c r="A1102" s="22">
        <v>1100</v>
      </c>
      <c r="B1102" s="22" t="s">
        <v>535</v>
      </c>
      <c r="C1102" s="22" t="e">
        <f t="shared" ca="1" si="0"/>
        <v>#NAME?</v>
      </c>
      <c r="D1102" s="24" t="s">
        <v>405</v>
      </c>
      <c r="E1102" s="22" t="s">
        <v>180</v>
      </c>
      <c r="F1102" s="24" t="s">
        <v>2844</v>
      </c>
      <c r="G1102" s="24" t="s">
        <v>2833</v>
      </c>
      <c r="H1102" s="24"/>
      <c r="I1102" s="24">
        <v>1</v>
      </c>
      <c r="J1102" s="24" t="s">
        <v>2372</v>
      </c>
      <c r="K1102" s="24"/>
      <c r="L1102" s="24"/>
      <c r="M1102" s="24"/>
      <c r="N1102" s="24"/>
      <c r="O1102" s="24"/>
      <c r="P1102" s="170"/>
      <c r="Q1102" s="170"/>
      <c r="R1102" s="169"/>
      <c r="S1102" s="164"/>
      <c r="T1102" s="164"/>
      <c r="U1102" s="164"/>
      <c r="V1102" s="193"/>
      <c r="W1102" s="194" t="s">
        <v>405</v>
      </c>
      <c r="X1102" s="164"/>
      <c r="Y1102" s="164"/>
      <c r="Z1102" s="164"/>
      <c r="AA1102" s="170"/>
      <c r="AB1102" s="164"/>
      <c r="AC1102" s="251"/>
      <c r="AD1102" s="170"/>
      <c r="AE1102" s="225"/>
      <c r="AF1102" s="170"/>
      <c r="AG1102" s="170"/>
      <c r="AH1102" s="251"/>
      <c r="AI1102" s="170"/>
      <c r="AJ1102" s="194"/>
      <c r="AK1102" s="22"/>
      <c r="AL1102" s="170"/>
      <c r="AM1102" s="170"/>
      <c r="AN1102" s="170"/>
      <c r="AO1102" s="170"/>
      <c r="AP1102" s="170"/>
      <c r="AQ1102" s="22"/>
      <c r="AR1102" s="22"/>
      <c r="AS1102" s="22"/>
      <c r="AT1102" s="170"/>
      <c r="AU1102" s="170"/>
      <c r="AV1102" s="170"/>
      <c r="AW1102" s="170"/>
      <c r="AX1102" s="170"/>
      <c r="AY1102" s="170"/>
      <c r="AZ1102" s="170"/>
      <c r="BA1102" s="170"/>
      <c r="BB1102" s="170"/>
      <c r="BC1102" s="170"/>
      <c r="BD1102" s="170"/>
      <c r="BE1102" s="137" t="s">
        <v>115</v>
      </c>
      <c r="BF1102" s="143" t="s">
        <v>406</v>
      </c>
      <c r="BG1102" s="139" t="s">
        <v>407</v>
      </c>
      <c r="BH1102" s="220"/>
      <c r="BI1102" s="220"/>
      <c r="BJ1102" s="220"/>
      <c r="BK1102" s="46">
        <f t="shared" si="1"/>
        <v>1</v>
      </c>
      <c r="BL1102" s="46"/>
      <c r="BM1102" s="46"/>
      <c r="BN1102" s="46"/>
    </row>
    <row r="1103" spans="1:66" ht="12.75" hidden="1" customHeight="1">
      <c r="A1103" s="22">
        <v>1101</v>
      </c>
      <c r="B1103" s="22" t="s">
        <v>2848</v>
      </c>
      <c r="C1103" s="22" t="str">
        <f t="shared" si="0"/>
        <v>Specify - Reason Prescribe daily dose of 30 to 60 mg iron and 0.4 mg folic acid not done</v>
      </c>
      <c r="D1103" s="24" t="s">
        <v>2848</v>
      </c>
      <c r="E1103" s="22" t="s">
        <v>96</v>
      </c>
      <c r="F1103" s="24" t="s">
        <v>1787</v>
      </c>
      <c r="G1103" s="24" t="s">
        <v>2833</v>
      </c>
      <c r="H1103" s="24"/>
      <c r="I1103" s="24">
        <v>1</v>
      </c>
      <c r="J1103" s="24" t="s">
        <v>2372</v>
      </c>
      <c r="K1103" s="24"/>
      <c r="L1103" s="24"/>
      <c r="M1103" s="24"/>
      <c r="N1103" s="24"/>
      <c r="O1103" s="24"/>
      <c r="P1103" s="170"/>
      <c r="Q1103" s="170"/>
      <c r="R1103" s="247" t="s">
        <v>409</v>
      </c>
      <c r="S1103" s="164" t="s">
        <v>2850</v>
      </c>
      <c r="T1103" s="196" t="s">
        <v>2641</v>
      </c>
      <c r="U1103" s="196" t="s">
        <v>111</v>
      </c>
      <c r="V1103" s="194"/>
      <c r="W1103" s="194"/>
      <c r="X1103" s="196"/>
      <c r="Y1103" s="196"/>
      <c r="Z1103" s="196"/>
      <c r="AA1103" s="170"/>
      <c r="AB1103" s="196" t="s">
        <v>208</v>
      </c>
      <c r="AC1103" s="251"/>
      <c r="AD1103" s="170"/>
      <c r="AE1103" s="225"/>
      <c r="AF1103" s="170"/>
      <c r="AG1103" s="170"/>
      <c r="AH1103" s="251"/>
      <c r="AI1103" s="170"/>
      <c r="AJ1103" s="194" t="s">
        <v>115</v>
      </c>
      <c r="AK1103" s="22"/>
      <c r="AL1103" s="170"/>
      <c r="AM1103" s="170"/>
      <c r="AN1103" s="170"/>
      <c r="AO1103" s="170"/>
      <c r="AP1103" s="170"/>
      <c r="AQ1103" s="22"/>
      <c r="AR1103" s="22"/>
      <c r="AS1103" s="22"/>
      <c r="AT1103" s="170"/>
      <c r="AU1103" s="170"/>
      <c r="AV1103" s="170"/>
      <c r="AW1103" s="170"/>
      <c r="AX1103" s="170"/>
      <c r="AY1103" s="170"/>
      <c r="AZ1103" s="170"/>
      <c r="BA1103" s="170"/>
      <c r="BB1103" s="170"/>
      <c r="BC1103" s="170"/>
      <c r="BD1103" s="170"/>
      <c r="BE1103" s="137" t="s">
        <v>2842</v>
      </c>
      <c r="BF1103" s="137" t="s">
        <v>2642</v>
      </c>
      <c r="BG1103" s="139" t="s">
        <v>2643</v>
      </c>
      <c r="BH1103" s="220"/>
      <c r="BI1103" s="220"/>
      <c r="BJ1103" s="220"/>
      <c r="BK1103" s="46">
        <f t="shared" si="1"/>
        <v>1</v>
      </c>
      <c r="BL1103" s="46"/>
      <c r="BM1103" s="46"/>
      <c r="BN1103" s="46"/>
    </row>
    <row r="1104" spans="1:66" ht="12.75" hidden="1" customHeight="1">
      <c r="A1104" s="22">
        <v>1102</v>
      </c>
      <c r="B1104" s="22" t="s">
        <v>2851</v>
      </c>
      <c r="C1104" s="22" t="str">
        <f t="shared" si="0"/>
        <v xml:space="preserve">Change prescription to weekly dose of 120 mg iron and 2.8 mg folic acid </v>
      </c>
      <c r="D1104" s="24" t="s">
        <v>2851</v>
      </c>
      <c r="E1104" s="22" t="s">
        <v>96</v>
      </c>
      <c r="F1104" s="24" t="s">
        <v>1787</v>
      </c>
      <c r="G1104" s="24" t="s">
        <v>2833</v>
      </c>
      <c r="H1104" s="24"/>
      <c r="I1104" s="24">
        <v>1</v>
      </c>
      <c r="J1104" s="24" t="s">
        <v>2372</v>
      </c>
      <c r="K1104" s="24"/>
      <c r="L1104" s="24"/>
      <c r="M1104" s="24"/>
      <c r="N1104" s="24"/>
      <c r="O1104" s="24"/>
      <c r="P1104" s="170"/>
      <c r="Q1104" s="170"/>
      <c r="R1104" s="162" t="s">
        <v>2851</v>
      </c>
      <c r="S1104" s="164" t="s">
        <v>2852</v>
      </c>
      <c r="T1104" s="164"/>
      <c r="U1104" s="164" t="s">
        <v>202</v>
      </c>
      <c r="V1104" s="163"/>
      <c r="W1104" s="163"/>
      <c r="X1104" s="164"/>
      <c r="Y1104" s="164"/>
      <c r="Z1104" s="164"/>
      <c r="AA1104" s="170"/>
      <c r="AB1104" s="164" t="s">
        <v>113</v>
      </c>
      <c r="AC1104" s="251"/>
      <c r="AD1104" s="170"/>
      <c r="AE1104" s="225"/>
      <c r="AF1104" s="170"/>
      <c r="AG1104" s="170"/>
      <c r="AH1104" s="251"/>
      <c r="AI1104" s="170"/>
      <c r="AJ1104" s="164" t="s">
        <v>2656</v>
      </c>
      <c r="AK1104" s="22"/>
      <c r="AL1104" s="170"/>
      <c r="AM1104" s="170"/>
      <c r="AN1104" s="170"/>
      <c r="AO1104" s="170"/>
      <c r="AP1104" s="170"/>
      <c r="AQ1104" s="22"/>
      <c r="AR1104" s="22"/>
      <c r="AS1104" s="22"/>
      <c r="AT1104" s="170"/>
      <c r="AU1104" s="170"/>
      <c r="AV1104" s="170"/>
      <c r="AW1104" s="170"/>
      <c r="AX1104" s="170"/>
      <c r="AY1104" s="170"/>
      <c r="AZ1104" s="170"/>
      <c r="BA1104" s="170"/>
      <c r="BB1104" s="170"/>
      <c r="BC1104" s="170"/>
      <c r="BD1104" s="170"/>
      <c r="BE1104" s="137" t="s">
        <v>2853</v>
      </c>
      <c r="BF1104" s="137" t="s">
        <v>2630</v>
      </c>
      <c r="BG1104" s="139" t="s">
        <v>2631</v>
      </c>
      <c r="BH1104" s="220"/>
      <c r="BI1104" s="220"/>
      <c r="BJ1104" s="220"/>
      <c r="BK1104" s="46">
        <f t="shared" si="1"/>
        <v>1</v>
      </c>
      <c r="BL1104" s="46"/>
      <c r="BM1104" s="46"/>
      <c r="BN1104" s="46"/>
    </row>
    <row r="1105" spans="1:66" ht="12.75" hidden="1" customHeight="1">
      <c r="A1105" s="22">
        <v>1103</v>
      </c>
      <c r="B1105" s="22" t="s">
        <v>2527</v>
      </c>
      <c r="C1105" s="22" t="e">
        <f t="shared" ca="1" si="0"/>
        <v>#NAME?</v>
      </c>
      <c r="D1105" s="24" t="s">
        <v>1673</v>
      </c>
      <c r="E1105" s="22" t="s">
        <v>180</v>
      </c>
      <c r="F1105" s="24" t="s">
        <v>2851</v>
      </c>
      <c r="G1105" s="24" t="s">
        <v>2833</v>
      </c>
      <c r="H1105" s="24"/>
      <c r="I1105" s="24">
        <v>1</v>
      </c>
      <c r="J1105" s="24" t="s">
        <v>2372</v>
      </c>
      <c r="K1105" s="24"/>
      <c r="L1105" s="24"/>
      <c r="M1105" s="24"/>
      <c r="N1105" s="24"/>
      <c r="O1105" s="24"/>
      <c r="P1105" s="170"/>
      <c r="Q1105" s="170"/>
      <c r="R1105" s="169"/>
      <c r="S1105" s="164"/>
      <c r="T1105" s="164"/>
      <c r="U1105" s="164"/>
      <c r="V1105" s="163"/>
      <c r="W1105" s="163" t="s">
        <v>1673</v>
      </c>
      <c r="X1105" s="164"/>
      <c r="Y1105" s="164"/>
      <c r="Z1105" s="164"/>
      <c r="AA1105" s="170"/>
      <c r="AB1105" s="164"/>
      <c r="AC1105" s="251"/>
      <c r="AD1105" s="170"/>
      <c r="AE1105" s="225"/>
      <c r="AF1105" s="170"/>
      <c r="AG1105" s="170"/>
      <c r="AH1105" s="251"/>
      <c r="AI1105" s="170"/>
      <c r="AJ1105" s="194"/>
      <c r="AK1105" s="22"/>
      <c r="AL1105" s="170"/>
      <c r="AM1105" s="170"/>
      <c r="AN1105" s="170"/>
      <c r="AO1105" s="170"/>
      <c r="AP1105" s="170"/>
      <c r="AQ1105" s="22"/>
      <c r="AR1105" s="22"/>
      <c r="AS1105" s="22"/>
      <c r="AT1105" s="170"/>
      <c r="AU1105" s="170"/>
      <c r="AV1105" s="170"/>
      <c r="AW1105" s="170"/>
      <c r="AX1105" s="170"/>
      <c r="AY1105" s="170"/>
      <c r="AZ1105" s="170"/>
      <c r="BA1105" s="170"/>
      <c r="BB1105" s="170"/>
      <c r="BC1105" s="170"/>
      <c r="BD1105" s="170"/>
      <c r="BE1105" s="137" t="s">
        <v>115</v>
      </c>
      <c r="BF1105" s="137" t="s">
        <v>942</v>
      </c>
      <c r="BG1105" s="167" t="s">
        <v>943</v>
      </c>
      <c r="BH1105" s="220"/>
      <c r="BI1105" s="220"/>
      <c r="BJ1105" s="220"/>
      <c r="BK1105" s="46">
        <f t="shared" si="1"/>
        <v>1</v>
      </c>
      <c r="BL1105" s="46"/>
      <c r="BM1105" s="46"/>
      <c r="BN1105" s="46"/>
    </row>
    <row r="1106" spans="1:66" ht="12.75" hidden="1" customHeight="1">
      <c r="A1106" s="22">
        <v>1104</v>
      </c>
      <c r="B1106" s="22" t="s">
        <v>2118</v>
      </c>
      <c r="C1106" s="22" t="e">
        <f t="shared" ca="1" si="0"/>
        <v>#NAME?</v>
      </c>
      <c r="D1106" s="24" t="s">
        <v>1468</v>
      </c>
      <c r="E1106" s="22" t="s">
        <v>180</v>
      </c>
      <c r="F1106" s="24" t="s">
        <v>2851</v>
      </c>
      <c r="G1106" s="24" t="s">
        <v>2833</v>
      </c>
      <c r="H1106" s="24"/>
      <c r="I1106" s="24">
        <v>1</v>
      </c>
      <c r="J1106" s="24" t="s">
        <v>2372</v>
      </c>
      <c r="K1106" s="24"/>
      <c r="L1106" s="24"/>
      <c r="M1106" s="24"/>
      <c r="N1106" s="24"/>
      <c r="O1106" s="24"/>
      <c r="P1106" s="170"/>
      <c r="Q1106" s="170"/>
      <c r="R1106" s="169"/>
      <c r="S1106" s="164"/>
      <c r="T1106" s="164"/>
      <c r="U1106" s="164"/>
      <c r="V1106" s="163"/>
      <c r="W1106" s="163" t="s">
        <v>1468</v>
      </c>
      <c r="X1106" s="164"/>
      <c r="Y1106" s="164"/>
      <c r="Z1106" s="164"/>
      <c r="AA1106" s="170"/>
      <c r="AB1106" s="164"/>
      <c r="AC1106" s="251"/>
      <c r="AD1106" s="170"/>
      <c r="AE1106" s="225"/>
      <c r="AF1106" s="170"/>
      <c r="AG1106" s="170"/>
      <c r="AH1106" s="251"/>
      <c r="AI1106" s="170"/>
      <c r="AJ1106" s="194"/>
      <c r="AK1106" s="22"/>
      <c r="AL1106" s="170"/>
      <c r="AM1106" s="170"/>
      <c r="AN1106" s="170"/>
      <c r="AO1106" s="170"/>
      <c r="AP1106" s="170"/>
      <c r="AQ1106" s="22"/>
      <c r="AR1106" s="22"/>
      <c r="AS1106" s="22"/>
      <c r="AT1106" s="170"/>
      <c r="AU1106" s="170"/>
      <c r="AV1106" s="170"/>
      <c r="AW1106" s="170"/>
      <c r="AX1106" s="170"/>
      <c r="AY1106" s="170"/>
      <c r="AZ1106" s="170"/>
      <c r="BA1106" s="170"/>
      <c r="BB1106" s="170"/>
      <c r="BC1106" s="170"/>
      <c r="BD1106" s="170"/>
      <c r="BE1106" s="137" t="s">
        <v>115</v>
      </c>
      <c r="BF1106" s="137" t="s">
        <v>1469</v>
      </c>
      <c r="BG1106" s="167" t="s">
        <v>1470</v>
      </c>
      <c r="BH1106" s="220"/>
      <c r="BI1106" s="220"/>
      <c r="BJ1106" s="220"/>
      <c r="BK1106" s="46">
        <f t="shared" si="1"/>
        <v>1</v>
      </c>
      <c r="BL1106" s="46"/>
      <c r="BM1106" s="46"/>
      <c r="BN1106" s="46"/>
    </row>
    <row r="1107" spans="1:66" ht="12.75" hidden="1" customHeight="1">
      <c r="A1107" s="22">
        <v>1105</v>
      </c>
      <c r="B1107" s="22" t="s">
        <v>2854</v>
      </c>
      <c r="C1107" s="22" t="str">
        <f t="shared" si="0"/>
        <v>Reason Change prescription to weekly dose of 120 mg iron and 2.8 mg folic acid  not done</v>
      </c>
      <c r="D1107" s="24" t="s">
        <v>2854</v>
      </c>
      <c r="E1107" s="22" t="s">
        <v>96</v>
      </c>
      <c r="F1107" s="24" t="s">
        <v>1787</v>
      </c>
      <c r="G1107" s="24" t="s">
        <v>2833</v>
      </c>
      <c r="H1107" s="24"/>
      <c r="I1107" s="24">
        <v>1</v>
      </c>
      <c r="J1107" s="24" t="s">
        <v>2372</v>
      </c>
      <c r="K1107" s="24"/>
      <c r="L1107" s="24"/>
      <c r="M1107" s="24"/>
      <c r="N1107" s="24"/>
      <c r="O1107" s="24"/>
      <c r="P1107" s="170"/>
      <c r="Q1107" s="170"/>
      <c r="R1107" s="169" t="s">
        <v>1376</v>
      </c>
      <c r="S1107" s="164" t="s">
        <v>2855</v>
      </c>
      <c r="T1107" s="164" t="s">
        <v>2660</v>
      </c>
      <c r="U1107" s="164" t="s">
        <v>238</v>
      </c>
      <c r="V1107" s="193"/>
      <c r="W1107" s="194"/>
      <c r="X1107" s="164"/>
      <c r="Y1107" s="164"/>
      <c r="Z1107" s="164"/>
      <c r="AA1107" s="170"/>
      <c r="AB1107" s="164" t="s">
        <v>113</v>
      </c>
      <c r="AC1107" s="251"/>
      <c r="AD1107" s="170"/>
      <c r="AE1107" s="225"/>
      <c r="AF1107" s="170"/>
      <c r="AG1107" s="170"/>
      <c r="AH1107" s="251"/>
      <c r="AI1107" s="170"/>
      <c r="AJ1107" s="194" t="s">
        <v>115</v>
      </c>
      <c r="AK1107" s="22"/>
      <c r="AL1107" s="170"/>
      <c r="AM1107" s="170"/>
      <c r="AN1107" s="170"/>
      <c r="AO1107" s="170"/>
      <c r="AP1107" s="170"/>
      <c r="AQ1107" s="22"/>
      <c r="AR1107" s="22"/>
      <c r="AS1107" s="22"/>
      <c r="AT1107" s="170"/>
      <c r="AU1107" s="170"/>
      <c r="AV1107" s="170"/>
      <c r="AW1107" s="170"/>
      <c r="AX1107" s="170"/>
      <c r="AY1107" s="170"/>
      <c r="AZ1107" s="170"/>
      <c r="BA1107" s="170"/>
      <c r="BB1107" s="170"/>
      <c r="BC1107" s="170"/>
      <c r="BD1107" s="170"/>
      <c r="BE1107" s="137" t="s">
        <v>2853</v>
      </c>
      <c r="BF1107" s="137" t="s">
        <v>2635</v>
      </c>
      <c r="BG1107" s="139" t="s">
        <v>2636</v>
      </c>
      <c r="BH1107" s="220"/>
      <c r="BI1107" s="220"/>
      <c r="BJ1107" s="220"/>
      <c r="BK1107" s="46">
        <f t="shared" si="1"/>
        <v>1</v>
      </c>
      <c r="BL1107" s="46"/>
      <c r="BM1107" s="46"/>
      <c r="BN1107" s="46"/>
    </row>
    <row r="1108" spans="1:66" ht="12.75" hidden="1" customHeight="1">
      <c r="A1108" s="22">
        <v>1106</v>
      </c>
      <c r="B1108" s="22" t="s">
        <v>3616</v>
      </c>
      <c r="C1108" s="22" t="e">
        <f t="shared" ca="1" si="0"/>
        <v>#NAME?</v>
      </c>
      <c r="D1108" s="24" t="s">
        <v>2405</v>
      </c>
      <c r="E1108" s="22" t="s">
        <v>180</v>
      </c>
      <c r="F1108" s="24" t="s">
        <v>2854</v>
      </c>
      <c r="G1108" s="24" t="s">
        <v>2833</v>
      </c>
      <c r="H1108" s="24"/>
      <c r="I1108" s="24">
        <v>1</v>
      </c>
      <c r="J1108" s="24" t="s">
        <v>2372</v>
      </c>
      <c r="K1108" s="24"/>
      <c r="L1108" s="24"/>
      <c r="M1108" s="24"/>
      <c r="N1108" s="24"/>
      <c r="O1108" s="24"/>
      <c r="P1108" s="170"/>
      <c r="Q1108" s="170"/>
      <c r="R1108" s="169"/>
      <c r="S1108" s="164"/>
      <c r="T1108" s="164"/>
      <c r="U1108" s="164"/>
      <c r="V1108" s="193"/>
      <c r="W1108" s="194" t="s">
        <v>2405</v>
      </c>
      <c r="X1108" s="164"/>
      <c r="Y1108" s="164"/>
      <c r="Z1108" s="164"/>
      <c r="AA1108" s="170"/>
      <c r="AB1108" s="164"/>
      <c r="AC1108" s="251"/>
      <c r="AD1108" s="170"/>
      <c r="AE1108" s="225"/>
      <c r="AF1108" s="170"/>
      <c r="AG1108" s="170"/>
      <c r="AH1108" s="251"/>
      <c r="AI1108" s="170"/>
      <c r="AJ1108" s="194"/>
      <c r="AK1108" s="22"/>
      <c r="AL1108" s="170"/>
      <c r="AM1108" s="170"/>
      <c r="AN1108" s="170"/>
      <c r="AO1108" s="170"/>
      <c r="AP1108" s="170"/>
      <c r="AQ1108" s="22"/>
      <c r="AR1108" s="22"/>
      <c r="AS1108" s="22"/>
      <c r="AT1108" s="170"/>
      <c r="AU1108" s="170"/>
      <c r="AV1108" s="170"/>
      <c r="AW1108" s="170"/>
      <c r="AX1108" s="170"/>
      <c r="AY1108" s="170"/>
      <c r="AZ1108" s="170"/>
      <c r="BA1108" s="170"/>
      <c r="BB1108" s="170"/>
      <c r="BC1108" s="170"/>
      <c r="BD1108" s="170"/>
      <c r="BE1108" s="137" t="s">
        <v>115</v>
      </c>
      <c r="BF1108" s="143" t="s">
        <v>2406</v>
      </c>
      <c r="BG1108" s="139" t="s">
        <v>2407</v>
      </c>
      <c r="BH1108" s="220"/>
      <c r="BI1108" s="220"/>
      <c r="BJ1108" s="220"/>
      <c r="BK1108" s="46">
        <f t="shared" si="1"/>
        <v>1</v>
      </c>
      <c r="BL1108" s="46"/>
      <c r="BM1108" s="46"/>
      <c r="BN1108" s="46"/>
    </row>
    <row r="1109" spans="1:66" ht="12.75" hidden="1" customHeight="1">
      <c r="A1109" s="22">
        <v>1107</v>
      </c>
      <c r="B1109" s="22" t="s">
        <v>535</v>
      </c>
      <c r="C1109" s="22" t="e">
        <f t="shared" ca="1" si="0"/>
        <v>#NAME?</v>
      </c>
      <c r="D1109" s="24" t="s">
        <v>405</v>
      </c>
      <c r="E1109" s="22" t="s">
        <v>180</v>
      </c>
      <c r="F1109" s="24" t="s">
        <v>2854</v>
      </c>
      <c r="G1109" s="24" t="s">
        <v>2833</v>
      </c>
      <c r="H1109" s="24"/>
      <c r="I1109" s="24">
        <v>1</v>
      </c>
      <c r="J1109" s="24" t="s">
        <v>2372</v>
      </c>
      <c r="K1109" s="24"/>
      <c r="L1109" s="24"/>
      <c r="M1109" s="24"/>
      <c r="N1109" s="24"/>
      <c r="O1109" s="24"/>
      <c r="P1109" s="170"/>
      <c r="Q1109" s="170"/>
      <c r="R1109" s="169"/>
      <c r="S1109" s="164"/>
      <c r="T1109" s="164"/>
      <c r="U1109" s="164"/>
      <c r="V1109" s="193"/>
      <c r="W1109" s="194" t="s">
        <v>405</v>
      </c>
      <c r="X1109" s="164"/>
      <c r="Y1109" s="164"/>
      <c r="Z1109" s="164"/>
      <c r="AA1109" s="170"/>
      <c r="AB1109" s="164"/>
      <c r="AC1109" s="251"/>
      <c r="AD1109" s="170"/>
      <c r="AE1109" s="225"/>
      <c r="AF1109" s="170"/>
      <c r="AG1109" s="170"/>
      <c r="AH1109" s="251"/>
      <c r="AI1109" s="170"/>
      <c r="AJ1109" s="194"/>
      <c r="AK1109" s="22"/>
      <c r="AL1109" s="170"/>
      <c r="AM1109" s="170"/>
      <c r="AN1109" s="170"/>
      <c r="AO1109" s="170"/>
      <c r="AP1109" s="170"/>
      <c r="AQ1109" s="22"/>
      <c r="AR1109" s="22"/>
      <c r="AS1109" s="22"/>
      <c r="AT1109" s="170"/>
      <c r="AU1109" s="170"/>
      <c r="AV1109" s="170"/>
      <c r="AW1109" s="170"/>
      <c r="AX1109" s="170"/>
      <c r="AY1109" s="170"/>
      <c r="AZ1109" s="170"/>
      <c r="BA1109" s="170"/>
      <c r="BB1109" s="170"/>
      <c r="BC1109" s="170"/>
      <c r="BD1109" s="170"/>
      <c r="BE1109" s="137" t="s">
        <v>115</v>
      </c>
      <c r="BF1109" s="143" t="s">
        <v>406</v>
      </c>
      <c r="BG1109" s="139" t="s">
        <v>407</v>
      </c>
      <c r="BH1109" s="220"/>
      <c r="BI1109" s="220"/>
      <c r="BJ1109" s="220"/>
      <c r="BK1109" s="46">
        <f t="shared" si="1"/>
        <v>1</v>
      </c>
      <c r="BL1109" s="46"/>
      <c r="BM1109" s="46"/>
      <c r="BN1109" s="46"/>
    </row>
    <row r="1110" spans="1:66" ht="12.75" hidden="1" customHeight="1">
      <c r="A1110" s="22">
        <v>1108</v>
      </c>
      <c r="B1110" s="22" t="s">
        <v>2856</v>
      </c>
      <c r="C1110" s="22" t="str">
        <f t="shared" si="0"/>
        <v>Specify - Reason Change prescription to weekly dose of 120 mg iron and 2.8 mg folic acid  not done</v>
      </c>
      <c r="D1110" s="24" t="s">
        <v>2856</v>
      </c>
      <c r="E1110" s="22" t="s">
        <v>96</v>
      </c>
      <c r="F1110" s="24" t="s">
        <v>1787</v>
      </c>
      <c r="G1110" s="24" t="s">
        <v>2833</v>
      </c>
      <c r="H1110" s="24"/>
      <c r="I1110" s="24">
        <v>1</v>
      </c>
      <c r="J1110" s="24" t="s">
        <v>2372</v>
      </c>
      <c r="K1110" s="24"/>
      <c r="L1110" s="24"/>
      <c r="M1110" s="24"/>
      <c r="N1110" s="24"/>
      <c r="O1110" s="24"/>
      <c r="P1110" s="170"/>
      <c r="Q1110" s="170"/>
      <c r="R1110" s="247" t="s">
        <v>409</v>
      </c>
      <c r="S1110" s="164" t="s">
        <v>2857</v>
      </c>
      <c r="T1110" s="196" t="s">
        <v>2641</v>
      </c>
      <c r="U1110" s="196" t="s">
        <v>111</v>
      </c>
      <c r="V1110" s="194"/>
      <c r="W1110" s="194"/>
      <c r="X1110" s="196"/>
      <c r="Y1110" s="196"/>
      <c r="Z1110" s="196"/>
      <c r="AA1110" s="170"/>
      <c r="AB1110" s="196" t="s">
        <v>208</v>
      </c>
      <c r="AC1110" s="251"/>
      <c r="AD1110" s="170"/>
      <c r="AE1110" s="225"/>
      <c r="AF1110" s="170"/>
      <c r="AG1110" s="170"/>
      <c r="AH1110" s="251"/>
      <c r="AI1110" s="170"/>
      <c r="AJ1110" s="194" t="s">
        <v>115</v>
      </c>
      <c r="AK1110" s="22"/>
      <c r="AL1110" s="170"/>
      <c r="AM1110" s="170"/>
      <c r="AN1110" s="170"/>
      <c r="AO1110" s="170"/>
      <c r="AP1110" s="170"/>
      <c r="AQ1110" s="22"/>
      <c r="AR1110" s="22"/>
      <c r="AS1110" s="22"/>
      <c r="AT1110" s="170"/>
      <c r="AU1110" s="170"/>
      <c r="AV1110" s="170"/>
      <c r="AW1110" s="170"/>
      <c r="AX1110" s="170"/>
      <c r="AY1110" s="170"/>
      <c r="AZ1110" s="170"/>
      <c r="BA1110" s="170"/>
      <c r="BB1110" s="170"/>
      <c r="BC1110" s="170"/>
      <c r="BD1110" s="170"/>
      <c r="BE1110" s="137" t="s">
        <v>2853</v>
      </c>
      <c r="BF1110" s="137" t="s">
        <v>2642</v>
      </c>
      <c r="BG1110" s="139" t="s">
        <v>2643</v>
      </c>
      <c r="BH1110" s="220"/>
      <c r="BI1110" s="220"/>
      <c r="BJ1110" s="220"/>
      <c r="BK1110" s="46">
        <f t="shared" si="1"/>
        <v>1</v>
      </c>
      <c r="BL1110" s="46"/>
      <c r="BM1110" s="46"/>
      <c r="BN1110" s="46"/>
    </row>
    <row r="1111" spans="1:66" ht="12.75" hidden="1" customHeight="1">
      <c r="A1111" s="22">
        <v>1109</v>
      </c>
      <c r="B1111" s="22" t="s">
        <v>2858</v>
      </c>
      <c r="C1111" s="22" t="str">
        <f t="shared" si="0"/>
        <v>ifa</v>
      </c>
      <c r="D1111" s="24" t="s">
        <v>2858</v>
      </c>
      <c r="E1111" s="22" t="s">
        <v>65</v>
      </c>
      <c r="F1111" s="24" t="s">
        <v>1787</v>
      </c>
      <c r="G1111" s="24" t="s">
        <v>2833</v>
      </c>
      <c r="H1111" s="24"/>
      <c r="I1111" s="24">
        <v>1</v>
      </c>
      <c r="J1111" s="24" t="s">
        <v>2372</v>
      </c>
      <c r="K1111" s="24"/>
      <c r="L1111" s="24"/>
      <c r="M1111" s="24"/>
      <c r="N1111" s="24"/>
      <c r="O1111" s="24"/>
      <c r="P1111" s="170"/>
      <c r="Q1111" s="170"/>
      <c r="R1111" s="222" t="s">
        <v>115</v>
      </c>
      <c r="S1111" s="221" t="s">
        <v>2858</v>
      </c>
      <c r="T1111" s="221" t="s">
        <v>2666</v>
      </c>
      <c r="U1111" s="221" t="s">
        <v>65</v>
      </c>
      <c r="V1111" s="163"/>
      <c r="W1111" s="163"/>
      <c r="X1111" s="221" t="s">
        <v>2859</v>
      </c>
      <c r="Y1111" s="221"/>
      <c r="Z1111" s="164"/>
      <c r="AA1111" s="170"/>
      <c r="AB1111" s="221" t="s">
        <v>115</v>
      </c>
      <c r="AC1111" s="251"/>
      <c r="AD1111" s="170"/>
      <c r="AE1111" s="225"/>
      <c r="AF1111" s="170"/>
      <c r="AG1111" s="170"/>
      <c r="AH1111" s="251"/>
      <c r="AI1111" s="170"/>
      <c r="AJ1111" s="221" t="s">
        <v>115</v>
      </c>
      <c r="AK1111" s="22"/>
      <c r="AL1111" s="170"/>
      <c r="AM1111" s="170"/>
      <c r="AN1111" s="170"/>
      <c r="AO1111" s="170"/>
      <c r="AP1111" s="170"/>
      <c r="AQ1111" s="22"/>
      <c r="AR1111" s="22"/>
      <c r="AS1111" s="22"/>
      <c r="AT1111" s="170"/>
      <c r="AU1111" s="170"/>
      <c r="AV1111" s="170"/>
      <c r="AW1111" s="170"/>
      <c r="AX1111" s="170"/>
      <c r="AY1111" s="170"/>
      <c r="AZ1111" s="170"/>
      <c r="BA1111" s="170"/>
      <c r="BB1111" s="170"/>
      <c r="BC1111" s="170"/>
      <c r="BD1111" s="170"/>
      <c r="BE1111" s="137" t="s">
        <v>115</v>
      </c>
      <c r="BF1111" s="137" t="s">
        <v>115</v>
      </c>
      <c r="BG1111" s="139" t="s">
        <v>115</v>
      </c>
      <c r="BH1111" s="220"/>
      <c r="BI1111" s="220"/>
      <c r="BJ1111" s="220"/>
      <c r="BK1111" s="46">
        <f t="shared" si="1"/>
        <v>1</v>
      </c>
      <c r="BL1111" s="46"/>
      <c r="BM1111" s="46"/>
      <c r="BN1111" s="46"/>
    </row>
    <row r="1112" spans="1:66" ht="12.75" hidden="1" customHeight="1">
      <c r="A1112" s="22">
        <v>1110</v>
      </c>
      <c r="B1112" s="22" t="s">
        <v>2860</v>
      </c>
      <c r="C1112" s="22" t="str">
        <f t="shared" si="0"/>
        <v>Prescribe single dose albendazole 400 mg or mebendazole 500 mg</v>
      </c>
      <c r="D1112" s="24" t="s">
        <v>2860</v>
      </c>
      <c r="E1112" s="22" t="s">
        <v>96</v>
      </c>
      <c r="F1112" s="24" t="s">
        <v>1787</v>
      </c>
      <c r="G1112" s="24" t="s">
        <v>2861</v>
      </c>
      <c r="H1112" s="24"/>
      <c r="I1112" s="24">
        <v>1</v>
      </c>
      <c r="J1112" s="24" t="s">
        <v>2372</v>
      </c>
      <c r="K1112" s="24"/>
      <c r="L1112" s="24"/>
      <c r="M1112" s="24"/>
      <c r="N1112" s="24"/>
      <c r="O1112" s="24"/>
      <c r="P1112" s="170"/>
      <c r="Q1112" s="170"/>
      <c r="R1112" s="169" t="s">
        <v>2860</v>
      </c>
      <c r="S1112" s="164" t="s">
        <v>2862</v>
      </c>
      <c r="T1112" s="164"/>
      <c r="U1112" s="164" t="s">
        <v>202</v>
      </c>
      <c r="V1112" s="163"/>
      <c r="W1112" s="163"/>
      <c r="X1112" s="164"/>
      <c r="Y1112" s="164"/>
      <c r="Z1112" s="164"/>
      <c r="AA1112" s="170"/>
      <c r="AB1112" s="164" t="s">
        <v>113</v>
      </c>
      <c r="AC1112" s="251"/>
      <c r="AD1112" s="170"/>
      <c r="AE1112" s="225"/>
      <c r="AF1112" s="170"/>
      <c r="AG1112" s="170"/>
      <c r="AH1112" s="251"/>
      <c r="AI1112" s="170"/>
      <c r="AJ1112" s="164" t="s">
        <v>2863</v>
      </c>
      <c r="AK1112" s="22"/>
      <c r="AL1112" s="170"/>
      <c r="AM1112" s="170"/>
      <c r="AN1112" s="170"/>
      <c r="AO1112" s="170"/>
      <c r="AP1112" s="170"/>
      <c r="AQ1112" s="22"/>
      <c r="AR1112" s="22"/>
      <c r="AS1112" s="22"/>
      <c r="AT1112" s="170"/>
      <c r="AU1112" s="170"/>
      <c r="AV1112" s="170"/>
      <c r="AW1112" s="170"/>
      <c r="AX1112" s="170"/>
      <c r="AY1112" s="170"/>
      <c r="AZ1112" s="170"/>
      <c r="BA1112" s="170"/>
      <c r="BB1112" s="170"/>
      <c r="BC1112" s="170"/>
      <c r="BD1112" s="170"/>
      <c r="BE1112" s="137" t="s">
        <v>2864</v>
      </c>
      <c r="BF1112" s="137" t="s">
        <v>2630</v>
      </c>
      <c r="BG1112" s="139" t="s">
        <v>2631</v>
      </c>
      <c r="BH1112" s="220"/>
      <c r="BI1112" s="220"/>
      <c r="BJ1112" s="220"/>
      <c r="BK1112" s="46">
        <f t="shared" si="1"/>
        <v>1</v>
      </c>
      <c r="BL1112" s="46"/>
      <c r="BM1112" s="46"/>
      <c r="BN1112" s="46"/>
    </row>
    <row r="1113" spans="1:66" ht="12.75" hidden="1" customHeight="1">
      <c r="A1113" s="22">
        <v>1111</v>
      </c>
      <c r="B1113" s="22" t="s">
        <v>2527</v>
      </c>
      <c r="C1113" s="22" t="e">
        <f t="shared" ca="1" si="0"/>
        <v>#NAME?</v>
      </c>
      <c r="D1113" s="24" t="s">
        <v>1673</v>
      </c>
      <c r="E1113" s="22" t="s">
        <v>180</v>
      </c>
      <c r="F1113" s="24" t="s">
        <v>2860</v>
      </c>
      <c r="G1113" s="24" t="s">
        <v>2861</v>
      </c>
      <c r="H1113" s="24"/>
      <c r="I1113" s="24">
        <v>1</v>
      </c>
      <c r="J1113" s="24" t="s">
        <v>2372</v>
      </c>
      <c r="K1113" s="24"/>
      <c r="L1113" s="24"/>
      <c r="M1113" s="24"/>
      <c r="N1113" s="24"/>
      <c r="O1113" s="24"/>
      <c r="P1113" s="170"/>
      <c r="Q1113" s="170"/>
      <c r="R1113" s="169"/>
      <c r="S1113" s="164"/>
      <c r="T1113" s="164"/>
      <c r="U1113" s="164"/>
      <c r="V1113" s="163"/>
      <c r="W1113" s="163" t="s">
        <v>1673</v>
      </c>
      <c r="X1113" s="196"/>
      <c r="Y1113" s="196"/>
      <c r="Z1113" s="196"/>
      <c r="AA1113" s="170"/>
      <c r="AB1113" s="242"/>
      <c r="AC1113" s="251"/>
      <c r="AD1113" s="170"/>
      <c r="AE1113" s="225"/>
      <c r="AF1113" s="170"/>
      <c r="AG1113" s="170"/>
      <c r="AH1113" s="251"/>
      <c r="AI1113" s="170"/>
      <c r="AJ1113" s="196"/>
      <c r="AK1113" s="22"/>
      <c r="AL1113" s="170"/>
      <c r="AM1113" s="170"/>
      <c r="AN1113" s="170"/>
      <c r="AO1113" s="170"/>
      <c r="AP1113" s="170"/>
      <c r="AQ1113" s="22"/>
      <c r="AR1113" s="22"/>
      <c r="AS1113" s="22"/>
      <c r="AT1113" s="170"/>
      <c r="AU1113" s="170"/>
      <c r="AV1113" s="170"/>
      <c r="AW1113" s="170"/>
      <c r="AX1113" s="170"/>
      <c r="AY1113" s="170"/>
      <c r="AZ1113" s="170"/>
      <c r="BA1113" s="170"/>
      <c r="BB1113" s="170"/>
      <c r="BC1113" s="170"/>
      <c r="BD1113" s="170"/>
      <c r="BE1113" s="137" t="s">
        <v>115</v>
      </c>
      <c r="BF1113" s="137" t="s">
        <v>942</v>
      </c>
      <c r="BG1113" s="167" t="s">
        <v>943</v>
      </c>
      <c r="BH1113" s="220"/>
      <c r="BI1113" s="220"/>
      <c r="BJ1113" s="220"/>
      <c r="BK1113" s="46">
        <f t="shared" si="1"/>
        <v>1</v>
      </c>
      <c r="BL1113" s="46"/>
      <c r="BM1113" s="46"/>
      <c r="BN1113" s="46"/>
    </row>
    <row r="1114" spans="1:66" ht="12.75" hidden="1" customHeight="1">
      <c r="A1114" s="22">
        <v>1112</v>
      </c>
      <c r="B1114" s="22" t="s">
        <v>2118</v>
      </c>
      <c r="C1114" s="22" t="e">
        <f t="shared" ca="1" si="0"/>
        <v>#NAME?</v>
      </c>
      <c r="D1114" s="24" t="s">
        <v>1468</v>
      </c>
      <c r="E1114" s="22" t="s">
        <v>180</v>
      </c>
      <c r="F1114" s="24" t="s">
        <v>2860</v>
      </c>
      <c r="G1114" s="24" t="s">
        <v>2861</v>
      </c>
      <c r="H1114" s="24"/>
      <c r="I1114" s="24">
        <v>1</v>
      </c>
      <c r="J1114" s="24" t="s">
        <v>2372</v>
      </c>
      <c r="K1114" s="24"/>
      <c r="L1114" s="24"/>
      <c r="M1114" s="24"/>
      <c r="N1114" s="24"/>
      <c r="O1114" s="24"/>
      <c r="P1114" s="170"/>
      <c r="Q1114" s="170"/>
      <c r="R1114" s="169"/>
      <c r="S1114" s="164"/>
      <c r="T1114" s="164"/>
      <c r="U1114" s="164"/>
      <c r="V1114" s="163"/>
      <c r="W1114" s="163" t="s">
        <v>1468</v>
      </c>
      <c r="X1114" s="196"/>
      <c r="Y1114" s="196"/>
      <c r="Z1114" s="196"/>
      <c r="AA1114" s="170"/>
      <c r="AB1114" s="242"/>
      <c r="AC1114" s="251"/>
      <c r="AD1114" s="170"/>
      <c r="AE1114" s="225"/>
      <c r="AF1114" s="170"/>
      <c r="AG1114" s="170"/>
      <c r="AH1114" s="251"/>
      <c r="AI1114" s="170"/>
      <c r="AJ1114" s="196"/>
      <c r="AK1114" s="22"/>
      <c r="AL1114" s="170"/>
      <c r="AM1114" s="170"/>
      <c r="AN1114" s="170"/>
      <c r="AO1114" s="170"/>
      <c r="AP1114" s="170"/>
      <c r="AQ1114" s="22"/>
      <c r="AR1114" s="22"/>
      <c r="AS1114" s="22"/>
      <c r="AT1114" s="170"/>
      <c r="AU1114" s="170"/>
      <c r="AV1114" s="170"/>
      <c r="AW1114" s="170"/>
      <c r="AX1114" s="170"/>
      <c r="AY1114" s="170"/>
      <c r="AZ1114" s="170"/>
      <c r="BA1114" s="170"/>
      <c r="BB1114" s="170"/>
      <c r="BC1114" s="170"/>
      <c r="BD1114" s="170"/>
      <c r="BE1114" s="137" t="s">
        <v>115</v>
      </c>
      <c r="BF1114" s="137" t="s">
        <v>1469</v>
      </c>
      <c r="BG1114" s="167" t="s">
        <v>1470</v>
      </c>
      <c r="BH1114" s="220"/>
      <c r="BI1114" s="220"/>
      <c r="BJ1114" s="220"/>
      <c r="BK1114" s="46">
        <f t="shared" si="1"/>
        <v>1</v>
      </c>
      <c r="BL1114" s="46"/>
      <c r="BM1114" s="46"/>
      <c r="BN1114" s="46"/>
    </row>
    <row r="1115" spans="1:66" ht="12.75" hidden="1" customHeight="1">
      <c r="A1115" s="22">
        <v>1113</v>
      </c>
      <c r="B1115" s="22" t="s">
        <v>2865</v>
      </c>
      <c r="C1115" s="22" t="str">
        <f t="shared" si="0"/>
        <v>Reason Prescribe single dose albendazole 400 mg or mebendazole 500 mg not done</v>
      </c>
      <c r="D1115" s="24" t="s">
        <v>2865</v>
      </c>
      <c r="E1115" s="22" t="s">
        <v>96</v>
      </c>
      <c r="F1115" s="24" t="s">
        <v>1787</v>
      </c>
      <c r="G1115" s="24" t="s">
        <v>2861</v>
      </c>
      <c r="H1115" s="24"/>
      <c r="I1115" s="24">
        <v>1</v>
      </c>
      <c r="J1115" s="24" t="s">
        <v>2372</v>
      </c>
      <c r="K1115" s="24"/>
      <c r="L1115" s="24"/>
      <c r="M1115" s="24"/>
      <c r="N1115" s="24"/>
      <c r="O1115" s="24"/>
      <c r="P1115" s="170"/>
      <c r="Q1115" s="170"/>
      <c r="R1115" s="169" t="s">
        <v>1376</v>
      </c>
      <c r="S1115" s="164" t="s">
        <v>2866</v>
      </c>
      <c r="T1115" s="164" t="s">
        <v>2867</v>
      </c>
      <c r="U1115" s="164" t="s">
        <v>202</v>
      </c>
      <c r="V1115" s="193"/>
      <c r="W1115" s="194"/>
      <c r="X1115" s="196"/>
      <c r="Y1115" s="196"/>
      <c r="Z1115" s="196"/>
      <c r="AA1115" s="170"/>
      <c r="AB1115" s="242" t="s">
        <v>113</v>
      </c>
      <c r="AC1115" s="251"/>
      <c r="AD1115" s="170"/>
      <c r="AE1115" s="225"/>
      <c r="AF1115" s="170"/>
      <c r="AG1115" s="170"/>
      <c r="AH1115" s="251"/>
      <c r="AI1115" s="170"/>
      <c r="AJ1115" s="196" t="s">
        <v>115</v>
      </c>
      <c r="AK1115" s="22"/>
      <c r="AL1115" s="170"/>
      <c r="AM1115" s="170"/>
      <c r="AN1115" s="170"/>
      <c r="AO1115" s="170"/>
      <c r="AP1115" s="170"/>
      <c r="AQ1115" s="22"/>
      <c r="AR1115" s="22"/>
      <c r="AS1115" s="22"/>
      <c r="AT1115" s="170"/>
      <c r="AU1115" s="170"/>
      <c r="AV1115" s="170"/>
      <c r="AW1115" s="170"/>
      <c r="AX1115" s="170"/>
      <c r="AY1115" s="170"/>
      <c r="AZ1115" s="170"/>
      <c r="BA1115" s="170"/>
      <c r="BB1115" s="170"/>
      <c r="BC1115" s="170"/>
      <c r="BD1115" s="170"/>
      <c r="BE1115" s="137" t="s">
        <v>2864</v>
      </c>
      <c r="BF1115" s="137" t="s">
        <v>2635</v>
      </c>
      <c r="BG1115" s="139" t="s">
        <v>2636</v>
      </c>
      <c r="BH1115" s="220"/>
      <c r="BI1115" s="220"/>
      <c r="BJ1115" s="220"/>
      <c r="BK1115" s="46">
        <f t="shared" si="1"/>
        <v>1</v>
      </c>
      <c r="BL1115" s="46"/>
      <c r="BM1115" s="46"/>
      <c r="BN1115" s="46"/>
    </row>
    <row r="1116" spans="1:66" ht="12.75" hidden="1" customHeight="1">
      <c r="A1116" s="22">
        <v>1114</v>
      </c>
      <c r="B1116" s="22" t="s">
        <v>3616</v>
      </c>
      <c r="C1116" s="22" t="e">
        <f t="shared" ca="1" si="0"/>
        <v>#NAME?</v>
      </c>
      <c r="D1116" s="24" t="s">
        <v>2405</v>
      </c>
      <c r="E1116" s="22" t="s">
        <v>180</v>
      </c>
      <c r="F1116" s="24" t="s">
        <v>2865</v>
      </c>
      <c r="G1116" s="24" t="s">
        <v>2861</v>
      </c>
      <c r="H1116" s="24"/>
      <c r="I1116" s="24">
        <v>1</v>
      </c>
      <c r="J1116" s="24" t="s">
        <v>2372</v>
      </c>
      <c r="K1116" s="24"/>
      <c r="L1116" s="24"/>
      <c r="M1116" s="24"/>
      <c r="N1116" s="24"/>
      <c r="O1116" s="24"/>
      <c r="P1116" s="170"/>
      <c r="Q1116" s="170"/>
      <c r="R1116" s="169"/>
      <c r="S1116" s="164"/>
      <c r="T1116" s="164"/>
      <c r="U1116" s="164"/>
      <c r="V1116" s="193"/>
      <c r="W1116" s="194" t="s">
        <v>2405</v>
      </c>
      <c r="X1116" s="196"/>
      <c r="Y1116" s="196"/>
      <c r="Z1116" s="196"/>
      <c r="AA1116" s="170"/>
      <c r="AB1116" s="242"/>
      <c r="AC1116" s="251"/>
      <c r="AD1116" s="170"/>
      <c r="AE1116" s="225"/>
      <c r="AF1116" s="170"/>
      <c r="AG1116" s="170"/>
      <c r="AH1116" s="251"/>
      <c r="AI1116" s="170"/>
      <c r="AJ1116" s="196"/>
      <c r="AK1116" s="22"/>
      <c r="AL1116" s="170"/>
      <c r="AM1116" s="170"/>
      <c r="AN1116" s="170"/>
      <c r="AO1116" s="170"/>
      <c r="AP1116" s="170"/>
      <c r="AQ1116" s="22"/>
      <c r="AR1116" s="22"/>
      <c r="AS1116" s="22"/>
      <c r="AT1116" s="170"/>
      <c r="AU1116" s="170"/>
      <c r="AV1116" s="170"/>
      <c r="AW1116" s="170"/>
      <c r="AX1116" s="170"/>
      <c r="AY1116" s="170"/>
      <c r="AZ1116" s="170"/>
      <c r="BA1116" s="170"/>
      <c r="BB1116" s="170"/>
      <c r="BC1116" s="170"/>
      <c r="BD1116" s="170"/>
      <c r="BE1116" s="137" t="s">
        <v>115</v>
      </c>
      <c r="BF1116" s="143" t="s">
        <v>2406</v>
      </c>
      <c r="BG1116" s="139" t="s">
        <v>2407</v>
      </c>
      <c r="BH1116" s="220"/>
      <c r="BI1116" s="220"/>
      <c r="BJ1116" s="220"/>
      <c r="BK1116" s="46">
        <f t="shared" si="1"/>
        <v>1</v>
      </c>
      <c r="BL1116" s="46"/>
      <c r="BM1116" s="46"/>
      <c r="BN1116" s="46"/>
    </row>
    <row r="1117" spans="1:66" ht="12.75" hidden="1" customHeight="1">
      <c r="A1117" s="22">
        <v>1115</v>
      </c>
      <c r="B1117" s="22" t="s">
        <v>535</v>
      </c>
      <c r="C1117" s="22" t="e">
        <f t="shared" ca="1" si="0"/>
        <v>#NAME?</v>
      </c>
      <c r="D1117" s="24" t="s">
        <v>405</v>
      </c>
      <c r="E1117" s="22" t="s">
        <v>180</v>
      </c>
      <c r="F1117" s="24" t="s">
        <v>2865</v>
      </c>
      <c r="G1117" s="24" t="s">
        <v>2861</v>
      </c>
      <c r="H1117" s="24"/>
      <c r="I1117" s="24">
        <v>1</v>
      </c>
      <c r="J1117" s="24" t="s">
        <v>2372</v>
      </c>
      <c r="K1117" s="24"/>
      <c r="L1117" s="24"/>
      <c r="M1117" s="24"/>
      <c r="N1117" s="24"/>
      <c r="O1117" s="24"/>
      <c r="P1117" s="170"/>
      <c r="Q1117" s="170"/>
      <c r="R1117" s="169"/>
      <c r="S1117" s="164"/>
      <c r="T1117" s="164"/>
      <c r="U1117" s="164"/>
      <c r="V1117" s="193"/>
      <c r="W1117" s="194" t="s">
        <v>405</v>
      </c>
      <c r="X1117" s="196"/>
      <c r="Y1117" s="196"/>
      <c r="Z1117" s="196"/>
      <c r="AA1117" s="170"/>
      <c r="AB1117" s="242"/>
      <c r="AC1117" s="251"/>
      <c r="AD1117" s="170"/>
      <c r="AE1117" s="225"/>
      <c r="AF1117" s="170"/>
      <c r="AG1117" s="170"/>
      <c r="AH1117" s="251"/>
      <c r="AI1117" s="170"/>
      <c r="AJ1117" s="196"/>
      <c r="AK1117" s="22"/>
      <c r="AL1117" s="170"/>
      <c r="AM1117" s="170"/>
      <c r="AN1117" s="170"/>
      <c r="AO1117" s="170"/>
      <c r="AP1117" s="170"/>
      <c r="AQ1117" s="22"/>
      <c r="AR1117" s="22"/>
      <c r="AS1117" s="22"/>
      <c r="AT1117" s="170"/>
      <c r="AU1117" s="170"/>
      <c r="AV1117" s="170"/>
      <c r="AW1117" s="170"/>
      <c r="AX1117" s="170"/>
      <c r="AY1117" s="170"/>
      <c r="AZ1117" s="170"/>
      <c r="BA1117" s="170"/>
      <c r="BB1117" s="170"/>
      <c r="BC1117" s="170"/>
      <c r="BD1117" s="170"/>
      <c r="BE1117" s="137" t="s">
        <v>115</v>
      </c>
      <c r="BF1117" s="143" t="s">
        <v>406</v>
      </c>
      <c r="BG1117" s="139" t="s">
        <v>407</v>
      </c>
      <c r="BH1117" s="220"/>
      <c r="BI1117" s="220"/>
      <c r="BJ1117" s="220"/>
      <c r="BK1117" s="46">
        <f t="shared" si="1"/>
        <v>1</v>
      </c>
      <c r="BL1117" s="46"/>
      <c r="BM1117" s="46"/>
      <c r="BN1117" s="46"/>
    </row>
    <row r="1118" spans="1:66" ht="12.75" hidden="1" customHeight="1">
      <c r="A1118" s="22">
        <v>1116</v>
      </c>
      <c r="B1118" s="22" t="s">
        <v>2868</v>
      </c>
      <c r="C1118" s="22" t="str">
        <f t="shared" si="0"/>
        <v>Specify - Reason Prescribe single dose albendazole 400 mg or mebendazole 500 mg not done</v>
      </c>
      <c r="D1118" s="24" t="s">
        <v>2868</v>
      </c>
      <c r="E1118" s="22" t="s">
        <v>96</v>
      </c>
      <c r="F1118" s="24" t="s">
        <v>1787</v>
      </c>
      <c r="G1118" s="24" t="s">
        <v>2861</v>
      </c>
      <c r="H1118" s="24"/>
      <c r="I1118" s="24">
        <v>1</v>
      </c>
      <c r="J1118" s="24" t="s">
        <v>2372</v>
      </c>
      <c r="K1118" s="24"/>
      <c r="L1118" s="24"/>
      <c r="M1118" s="24"/>
      <c r="N1118" s="24"/>
      <c r="O1118" s="24"/>
      <c r="P1118" s="170"/>
      <c r="Q1118" s="170"/>
      <c r="R1118" s="247" t="s">
        <v>409</v>
      </c>
      <c r="S1118" s="196" t="s">
        <v>2869</v>
      </c>
      <c r="T1118" s="196" t="s">
        <v>2720</v>
      </c>
      <c r="U1118" s="196" t="s">
        <v>111</v>
      </c>
      <c r="V1118" s="194"/>
      <c r="W1118" s="194"/>
      <c r="X1118" s="196"/>
      <c r="Y1118" s="196"/>
      <c r="Z1118" s="196"/>
      <c r="AA1118" s="170"/>
      <c r="AB1118" s="196" t="s">
        <v>208</v>
      </c>
      <c r="AC1118" s="251"/>
      <c r="AD1118" s="170"/>
      <c r="AE1118" s="225"/>
      <c r="AF1118" s="170"/>
      <c r="AG1118" s="170"/>
      <c r="AH1118" s="251"/>
      <c r="AI1118" s="170"/>
      <c r="AJ1118" s="196" t="s">
        <v>115</v>
      </c>
      <c r="AK1118" s="22"/>
      <c r="AL1118" s="170"/>
      <c r="AM1118" s="170"/>
      <c r="AN1118" s="170"/>
      <c r="AO1118" s="170"/>
      <c r="AP1118" s="170"/>
      <c r="AQ1118" s="22"/>
      <c r="AR1118" s="22"/>
      <c r="AS1118" s="22"/>
      <c r="AT1118" s="170"/>
      <c r="AU1118" s="170"/>
      <c r="AV1118" s="170"/>
      <c r="AW1118" s="170"/>
      <c r="AX1118" s="170"/>
      <c r="AY1118" s="170"/>
      <c r="AZ1118" s="170"/>
      <c r="BA1118" s="170"/>
      <c r="BB1118" s="170"/>
      <c r="BC1118" s="170"/>
      <c r="BD1118" s="170"/>
      <c r="BE1118" s="137" t="s">
        <v>2864</v>
      </c>
      <c r="BF1118" s="137" t="s">
        <v>2642</v>
      </c>
      <c r="BG1118" s="139" t="s">
        <v>2643</v>
      </c>
      <c r="BH1118" s="220"/>
      <c r="BI1118" s="220"/>
      <c r="BJ1118" s="220"/>
      <c r="BK1118" s="46">
        <f t="shared" si="1"/>
        <v>1</v>
      </c>
      <c r="BL1118" s="46"/>
      <c r="BM1118" s="46"/>
      <c r="BN1118" s="46"/>
    </row>
    <row r="1119" spans="1:66" ht="12.75" hidden="1" customHeight="1">
      <c r="A1119" s="22">
        <v>1117</v>
      </c>
      <c r="B1119" s="22" t="s">
        <v>2871</v>
      </c>
      <c r="C1119" s="22" t="str">
        <f t="shared" si="0"/>
        <v>alben_meben</v>
      </c>
      <c r="D1119" s="24" t="s">
        <v>2871</v>
      </c>
      <c r="E1119" s="22" t="s">
        <v>65</v>
      </c>
      <c r="F1119" s="24" t="s">
        <v>1787</v>
      </c>
      <c r="G1119" s="24" t="s">
        <v>2861</v>
      </c>
      <c r="H1119" s="24"/>
      <c r="I1119" s="24">
        <v>1</v>
      </c>
      <c r="J1119" s="24" t="s">
        <v>2372</v>
      </c>
      <c r="K1119" s="24"/>
      <c r="L1119" s="24"/>
      <c r="M1119" s="24"/>
      <c r="N1119" s="24"/>
      <c r="O1119" s="24"/>
      <c r="P1119" s="170"/>
      <c r="Q1119" s="170"/>
      <c r="R1119" s="222" t="s">
        <v>115</v>
      </c>
      <c r="S1119" s="221" t="s">
        <v>2871</v>
      </c>
      <c r="T1119" s="221" t="s">
        <v>2872</v>
      </c>
      <c r="U1119" s="221" t="s">
        <v>65</v>
      </c>
      <c r="V1119" s="163"/>
      <c r="W1119" s="163"/>
      <c r="X1119" s="221" t="s">
        <v>2873</v>
      </c>
      <c r="Y1119" s="221"/>
      <c r="Z1119" s="164"/>
      <c r="AA1119" s="170"/>
      <c r="AB1119" s="221" t="s">
        <v>115</v>
      </c>
      <c r="AC1119" s="251"/>
      <c r="AD1119" s="170"/>
      <c r="AE1119" s="225"/>
      <c r="AF1119" s="170"/>
      <c r="AG1119" s="170"/>
      <c r="AH1119" s="251"/>
      <c r="AI1119" s="170"/>
      <c r="AJ1119" s="221" t="s">
        <v>115</v>
      </c>
      <c r="AK1119" s="22"/>
      <c r="AL1119" s="170"/>
      <c r="AM1119" s="170"/>
      <c r="AN1119" s="170"/>
      <c r="AO1119" s="170"/>
      <c r="AP1119" s="170"/>
      <c r="AQ1119" s="22"/>
      <c r="AR1119" s="22"/>
      <c r="AS1119" s="22"/>
      <c r="AT1119" s="170"/>
      <c r="AU1119" s="170"/>
      <c r="AV1119" s="170"/>
      <c r="AW1119" s="170"/>
      <c r="AX1119" s="170"/>
      <c r="AY1119" s="170"/>
      <c r="AZ1119" s="170"/>
      <c r="BA1119" s="170"/>
      <c r="BB1119" s="170"/>
      <c r="BC1119" s="170"/>
      <c r="BD1119" s="170"/>
      <c r="BE1119" s="137" t="s">
        <v>115</v>
      </c>
      <c r="BF1119" s="137" t="s">
        <v>115</v>
      </c>
      <c r="BG1119" s="139" t="s">
        <v>115</v>
      </c>
      <c r="BH1119" s="220"/>
      <c r="BI1119" s="220"/>
      <c r="BJ1119" s="220"/>
      <c r="BK1119" s="46">
        <f t="shared" si="1"/>
        <v>1</v>
      </c>
      <c r="BL1119" s="46"/>
      <c r="BM1119" s="46"/>
      <c r="BN1119" s="46"/>
    </row>
    <row r="1120" spans="1:66" ht="12.75" hidden="1" customHeight="1">
      <c r="A1120" s="22">
        <v>1118</v>
      </c>
      <c r="B1120" s="22" t="s">
        <v>2874</v>
      </c>
      <c r="C1120" s="22" t="str">
        <f t="shared" si="0"/>
        <v>IPTp-SP dose 1</v>
      </c>
      <c r="D1120" s="24" t="s">
        <v>2874</v>
      </c>
      <c r="E1120" s="22" t="s">
        <v>96</v>
      </c>
      <c r="F1120" s="24" t="s">
        <v>1787</v>
      </c>
      <c r="G1120" s="24" t="s">
        <v>2875</v>
      </c>
      <c r="H1120" s="24"/>
      <c r="I1120" s="24">
        <v>1</v>
      </c>
      <c r="J1120" s="24" t="s">
        <v>2372</v>
      </c>
      <c r="K1120" s="24"/>
      <c r="L1120" s="24"/>
      <c r="M1120" s="24"/>
      <c r="N1120" s="24"/>
      <c r="O1120" s="24"/>
      <c r="P1120" s="170"/>
      <c r="Q1120" s="170"/>
      <c r="R1120" s="290" t="s">
        <v>2874</v>
      </c>
      <c r="S1120" s="242" t="s">
        <v>2876</v>
      </c>
      <c r="T1120" s="164"/>
      <c r="U1120" s="164" t="s">
        <v>202</v>
      </c>
      <c r="V1120" s="163"/>
      <c r="W1120" s="163"/>
      <c r="X1120" s="196"/>
      <c r="Y1120" s="196"/>
      <c r="Z1120" s="242" t="s">
        <v>2878</v>
      </c>
      <c r="AA1120" s="170"/>
      <c r="AB1120" s="242" t="s">
        <v>113</v>
      </c>
      <c r="AC1120" s="251"/>
      <c r="AD1120" s="170"/>
      <c r="AE1120" s="225"/>
      <c r="AF1120" s="170"/>
      <c r="AG1120" s="170"/>
      <c r="AH1120" s="251"/>
      <c r="AI1120" s="170"/>
      <c r="AJ1120" s="164" t="s">
        <v>2879</v>
      </c>
      <c r="AK1120" s="22"/>
      <c r="AL1120" s="170"/>
      <c r="AM1120" s="170"/>
      <c r="AN1120" s="170"/>
      <c r="AO1120" s="170"/>
      <c r="AP1120" s="170"/>
      <c r="AQ1120" s="22"/>
      <c r="AR1120" s="22"/>
      <c r="AS1120" s="22"/>
      <c r="AT1120" s="170"/>
      <c r="AU1120" s="170"/>
      <c r="AV1120" s="170"/>
      <c r="AW1120" s="170"/>
      <c r="AX1120" s="170"/>
      <c r="AY1120" s="170"/>
      <c r="AZ1120" s="170"/>
      <c r="BA1120" s="170"/>
      <c r="BB1120" s="170"/>
      <c r="BC1120" s="170"/>
      <c r="BD1120" s="170"/>
      <c r="BE1120" s="143" t="s">
        <v>2880</v>
      </c>
      <c r="BF1120" s="137" t="s">
        <v>2630</v>
      </c>
      <c r="BG1120" s="139" t="s">
        <v>2631</v>
      </c>
      <c r="BH1120" s="220"/>
      <c r="BI1120" s="220"/>
      <c r="BJ1120" s="220"/>
      <c r="BK1120" s="46">
        <f t="shared" si="1"/>
        <v>1</v>
      </c>
      <c r="BL1120" s="46"/>
      <c r="BM1120" s="46"/>
      <c r="BN1120" s="46"/>
    </row>
    <row r="1121" spans="1:66" ht="12.75" hidden="1" customHeight="1">
      <c r="A1121" s="22">
        <v>1119</v>
      </c>
      <c r="B1121" s="22" t="s">
        <v>2527</v>
      </c>
      <c r="C1121" s="22" t="e">
        <f t="shared" ca="1" si="0"/>
        <v>#NAME?</v>
      </c>
      <c r="D1121" s="24" t="s">
        <v>1673</v>
      </c>
      <c r="E1121" s="22" t="s">
        <v>180</v>
      </c>
      <c r="F1121" s="24" t="s">
        <v>2874</v>
      </c>
      <c r="G1121" s="24" t="s">
        <v>2875</v>
      </c>
      <c r="H1121" s="24"/>
      <c r="I1121" s="24">
        <v>1</v>
      </c>
      <c r="J1121" s="24" t="s">
        <v>2372</v>
      </c>
      <c r="K1121" s="24"/>
      <c r="L1121" s="24"/>
      <c r="M1121" s="24"/>
      <c r="N1121" s="24"/>
      <c r="O1121" s="24"/>
      <c r="P1121" s="170"/>
      <c r="Q1121" s="170"/>
      <c r="R1121" s="290"/>
      <c r="S1121" s="242"/>
      <c r="T1121" s="196"/>
      <c r="U1121" s="164"/>
      <c r="V1121" s="163"/>
      <c r="W1121" s="163" t="s">
        <v>1673</v>
      </c>
      <c r="X1121" s="196"/>
      <c r="Y1121" s="196"/>
      <c r="Z1121" s="242"/>
      <c r="AA1121" s="170"/>
      <c r="AB1121" s="164"/>
      <c r="AC1121" s="251"/>
      <c r="AD1121" s="170"/>
      <c r="AE1121" s="225"/>
      <c r="AF1121" s="170"/>
      <c r="AG1121" s="170"/>
      <c r="AH1121" s="251"/>
      <c r="AI1121" s="170"/>
      <c r="AJ1121" s="196"/>
      <c r="AK1121" s="22"/>
      <c r="AL1121" s="170"/>
      <c r="AM1121" s="170"/>
      <c r="AN1121" s="170"/>
      <c r="AO1121" s="170"/>
      <c r="AP1121" s="170"/>
      <c r="AQ1121" s="22"/>
      <c r="AR1121" s="22"/>
      <c r="AS1121" s="22"/>
      <c r="AT1121" s="170"/>
      <c r="AU1121" s="170"/>
      <c r="AV1121" s="170"/>
      <c r="AW1121" s="170"/>
      <c r="AX1121" s="170"/>
      <c r="AY1121" s="170"/>
      <c r="AZ1121" s="170"/>
      <c r="BA1121" s="170"/>
      <c r="BB1121" s="170"/>
      <c r="BC1121" s="170"/>
      <c r="BD1121" s="170"/>
      <c r="BE1121" s="143" t="s">
        <v>115</v>
      </c>
      <c r="BF1121" s="137" t="s">
        <v>942</v>
      </c>
      <c r="BG1121" s="167" t="s">
        <v>943</v>
      </c>
      <c r="BH1121" s="220"/>
      <c r="BI1121" s="220"/>
      <c r="BJ1121" s="220"/>
      <c r="BK1121" s="46">
        <f t="shared" si="1"/>
        <v>1</v>
      </c>
      <c r="BL1121" s="46"/>
      <c r="BM1121" s="46"/>
      <c r="BN1121" s="46"/>
    </row>
    <row r="1122" spans="1:66" ht="12.75" hidden="1" customHeight="1">
      <c r="A1122" s="22">
        <v>1120</v>
      </c>
      <c r="B1122" s="22" t="s">
        <v>2118</v>
      </c>
      <c r="C1122" s="22" t="e">
        <f t="shared" ca="1" si="0"/>
        <v>#NAME?</v>
      </c>
      <c r="D1122" s="24" t="s">
        <v>1468</v>
      </c>
      <c r="E1122" s="22" t="s">
        <v>180</v>
      </c>
      <c r="F1122" s="24" t="s">
        <v>2874</v>
      </c>
      <c r="G1122" s="24" t="s">
        <v>2875</v>
      </c>
      <c r="H1122" s="24"/>
      <c r="I1122" s="24">
        <v>1</v>
      </c>
      <c r="J1122" s="24" t="s">
        <v>2372</v>
      </c>
      <c r="K1122" s="24"/>
      <c r="L1122" s="24"/>
      <c r="M1122" s="24"/>
      <c r="N1122" s="24"/>
      <c r="O1122" s="24"/>
      <c r="P1122" s="170"/>
      <c r="Q1122" s="170"/>
      <c r="R1122" s="290"/>
      <c r="S1122" s="242"/>
      <c r="T1122" s="196"/>
      <c r="U1122" s="164"/>
      <c r="V1122" s="163"/>
      <c r="W1122" s="163" t="s">
        <v>1468</v>
      </c>
      <c r="X1122" s="196"/>
      <c r="Y1122" s="196"/>
      <c r="Z1122" s="242"/>
      <c r="AA1122" s="170"/>
      <c r="AB1122" s="164"/>
      <c r="AC1122" s="251"/>
      <c r="AD1122" s="170"/>
      <c r="AE1122" s="225"/>
      <c r="AF1122" s="170"/>
      <c r="AG1122" s="170"/>
      <c r="AH1122" s="251"/>
      <c r="AI1122" s="170"/>
      <c r="AJ1122" s="196"/>
      <c r="AK1122" s="22"/>
      <c r="AL1122" s="170"/>
      <c r="AM1122" s="170"/>
      <c r="AN1122" s="170"/>
      <c r="AO1122" s="170"/>
      <c r="AP1122" s="170"/>
      <c r="AQ1122" s="22"/>
      <c r="AR1122" s="22"/>
      <c r="AS1122" s="22"/>
      <c r="AT1122" s="170"/>
      <c r="AU1122" s="170"/>
      <c r="AV1122" s="170"/>
      <c r="AW1122" s="170"/>
      <c r="AX1122" s="170"/>
      <c r="AY1122" s="170"/>
      <c r="AZ1122" s="170"/>
      <c r="BA1122" s="170"/>
      <c r="BB1122" s="170"/>
      <c r="BC1122" s="170"/>
      <c r="BD1122" s="170"/>
      <c r="BE1122" s="143" t="s">
        <v>115</v>
      </c>
      <c r="BF1122" s="137" t="s">
        <v>1469</v>
      </c>
      <c r="BG1122" s="167" t="s">
        <v>1470</v>
      </c>
      <c r="BH1122" s="220"/>
      <c r="BI1122" s="220"/>
      <c r="BJ1122" s="220"/>
      <c r="BK1122" s="46">
        <f t="shared" si="1"/>
        <v>1</v>
      </c>
      <c r="BL1122" s="46"/>
      <c r="BM1122" s="46"/>
      <c r="BN1122" s="46"/>
    </row>
    <row r="1123" spans="1:66" ht="12.75" hidden="1" customHeight="1">
      <c r="A1123" s="22">
        <v>1121</v>
      </c>
      <c r="B1123" s="22" t="s">
        <v>2881</v>
      </c>
      <c r="C1123" s="22" t="str">
        <f t="shared" si="0"/>
        <v>iptp_sp1_dose_number</v>
      </c>
      <c r="D1123" s="24" t="s">
        <v>2881</v>
      </c>
      <c r="E1123" s="22" t="s">
        <v>65</v>
      </c>
      <c r="F1123" s="24" t="s">
        <v>1787</v>
      </c>
      <c r="G1123" s="24" t="s">
        <v>2875</v>
      </c>
      <c r="H1123" s="24"/>
      <c r="I1123" s="24">
        <v>1</v>
      </c>
      <c r="J1123" s="24" t="s">
        <v>2372</v>
      </c>
      <c r="K1123" s="24"/>
      <c r="L1123" s="24"/>
      <c r="M1123" s="24"/>
      <c r="N1123" s="24"/>
      <c r="O1123" s="24"/>
      <c r="P1123" s="170"/>
      <c r="Q1123" s="170"/>
      <c r="R1123" s="178"/>
      <c r="S1123" s="170" t="s">
        <v>2881</v>
      </c>
      <c r="T1123" s="164" t="s">
        <v>2882</v>
      </c>
      <c r="U1123" s="164" t="s">
        <v>65</v>
      </c>
      <c r="V1123" s="163"/>
      <c r="W1123" s="163"/>
      <c r="X1123" s="469">
        <v>1</v>
      </c>
      <c r="Y1123" s="469"/>
      <c r="Z1123" s="164"/>
      <c r="AA1123" s="170"/>
      <c r="AB1123" s="164"/>
      <c r="AC1123" s="251"/>
      <c r="AD1123" s="170"/>
      <c r="AE1123" s="225"/>
      <c r="AF1123" s="170"/>
      <c r="AG1123" s="170"/>
      <c r="AH1123" s="251"/>
      <c r="AI1123" s="170"/>
      <c r="AJ1123" s="164"/>
      <c r="AK1123" s="22"/>
      <c r="AL1123" s="170"/>
      <c r="AM1123" s="170"/>
      <c r="AN1123" s="170"/>
      <c r="AO1123" s="170"/>
      <c r="AP1123" s="170"/>
      <c r="AQ1123" s="22"/>
      <c r="AR1123" s="22"/>
      <c r="AS1123" s="22"/>
      <c r="AT1123" s="170"/>
      <c r="AU1123" s="170"/>
      <c r="AV1123" s="170"/>
      <c r="AW1123" s="170"/>
      <c r="AX1123" s="170"/>
      <c r="AY1123" s="170"/>
      <c r="AZ1123" s="170"/>
      <c r="BA1123" s="170"/>
      <c r="BB1123" s="170"/>
      <c r="BC1123" s="170"/>
      <c r="BD1123" s="170"/>
      <c r="BE1123" s="143" t="s">
        <v>2880</v>
      </c>
      <c r="BF1123" s="143" t="s">
        <v>2883</v>
      </c>
      <c r="BG1123" s="167" t="s">
        <v>2884</v>
      </c>
      <c r="BH1123" s="220"/>
      <c r="BI1123" s="220"/>
      <c r="BJ1123" s="220"/>
      <c r="BK1123" s="46">
        <f t="shared" si="1"/>
        <v>1</v>
      </c>
      <c r="BL1123" s="46"/>
      <c r="BM1123" s="46"/>
      <c r="BN1123" s="46"/>
    </row>
    <row r="1124" spans="1:66" ht="12.75" hidden="1" customHeight="1">
      <c r="A1124" s="22">
        <v>1122</v>
      </c>
      <c r="B1124" s="22" t="s">
        <v>2885</v>
      </c>
      <c r="C1124" s="22" t="str">
        <f t="shared" si="0"/>
        <v>iptp_sp1_date</v>
      </c>
      <c r="D1124" s="24" t="s">
        <v>2885</v>
      </c>
      <c r="E1124" s="22" t="s">
        <v>65</v>
      </c>
      <c r="F1124" s="24" t="s">
        <v>1787</v>
      </c>
      <c r="G1124" s="24" t="s">
        <v>2875</v>
      </c>
      <c r="H1124" s="24"/>
      <c r="I1124" s="24">
        <v>1</v>
      </c>
      <c r="J1124" s="24" t="s">
        <v>2372</v>
      </c>
      <c r="K1124" s="24"/>
      <c r="L1124" s="24"/>
      <c r="M1124" s="24"/>
      <c r="N1124" s="24"/>
      <c r="O1124" s="24"/>
      <c r="P1124" s="170"/>
      <c r="Q1124" s="170"/>
      <c r="R1124" s="178"/>
      <c r="S1124" s="170" t="s">
        <v>2885</v>
      </c>
      <c r="T1124" s="164" t="s">
        <v>2886</v>
      </c>
      <c r="U1124" s="164" t="s">
        <v>65</v>
      </c>
      <c r="V1124" s="163"/>
      <c r="W1124" s="163"/>
      <c r="X1124" s="164" t="s">
        <v>2887</v>
      </c>
      <c r="Y1124" s="164"/>
      <c r="Z1124" s="164"/>
      <c r="AA1124" s="170"/>
      <c r="AB1124" s="164"/>
      <c r="AC1124" s="251"/>
      <c r="AD1124" s="170"/>
      <c r="AE1124" s="225"/>
      <c r="AF1124" s="170"/>
      <c r="AG1124" s="170"/>
      <c r="AH1124" s="251"/>
      <c r="AI1124" s="170"/>
      <c r="AJ1124" s="164"/>
      <c r="AK1124" s="22"/>
      <c r="AL1124" s="170"/>
      <c r="AM1124" s="170"/>
      <c r="AN1124" s="170"/>
      <c r="AO1124" s="170"/>
      <c r="AP1124" s="170"/>
      <c r="AQ1124" s="22"/>
      <c r="AR1124" s="22"/>
      <c r="AS1124" s="22"/>
      <c r="AT1124" s="170"/>
      <c r="AU1124" s="170"/>
      <c r="AV1124" s="170"/>
      <c r="AW1124" s="170"/>
      <c r="AX1124" s="170"/>
      <c r="AY1124" s="170"/>
      <c r="AZ1124" s="170"/>
      <c r="BA1124" s="170"/>
      <c r="BB1124" s="170"/>
      <c r="BC1124" s="170"/>
      <c r="BD1124" s="170"/>
      <c r="BE1124" s="143" t="s">
        <v>115</v>
      </c>
      <c r="BF1124" s="143" t="s">
        <v>115</v>
      </c>
      <c r="BG1124" s="167" t="s">
        <v>115</v>
      </c>
      <c r="BH1124" s="220"/>
      <c r="BI1124" s="220"/>
      <c r="BJ1124" s="220"/>
      <c r="BK1124" s="46">
        <f t="shared" si="1"/>
        <v>1</v>
      </c>
      <c r="BL1124" s="46"/>
      <c r="BM1124" s="46"/>
      <c r="BN1124" s="46"/>
    </row>
    <row r="1125" spans="1:66" ht="12.75" hidden="1" customHeight="1">
      <c r="A1125" s="22">
        <v>1123</v>
      </c>
      <c r="B1125" s="22" t="s">
        <v>2888</v>
      </c>
      <c r="C1125" s="22" t="str">
        <f t="shared" si="0"/>
        <v>IPTp-SP dose 2</v>
      </c>
      <c r="D1125" s="24" t="s">
        <v>2888</v>
      </c>
      <c r="E1125" s="22" t="s">
        <v>96</v>
      </c>
      <c r="F1125" s="24" t="s">
        <v>1787</v>
      </c>
      <c r="G1125" s="24" t="s">
        <v>2875</v>
      </c>
      <c r="H1125" s="24"/>
      <c r="I1125" s="24">
        <v>1</v>
      </c>
      <c r="J1125" s="24" t="s">
        <v>2372</v>
      </c>
      <c r="K1125" s="24"/>
      <c r="L1125" s="24"/>
      <c r="M1125" s="24"/>
      <c r="N1125" s="24"/>
      <c r="O1125" s="24"/>
      <c r="P1125" s="170"/>
      <c r="Q1125" s="170"/>
      <c r="R1125" s="178" t="s">
        <v>2888</v>
      </c>
      <c r="S1125" s="170" t="s">
        <v>2889</v>
      </c>
      <c r="T1125" s="164"/>
      <c r="U1125" s="164" t="s">
        <v>202</v>
      </c>
      <c r="V1125" s="163"/>
      <c r="W1125" s="163"/>
      <c r="X1125" s="164"/>
      <c r="Y1125" s="164"/>
      <c r="Z1125" s="164" t="s">
        <v>2878</v>
      </c>
      <c r="AA1125" s="170"/>
      <c r="AB1125" s="164" t="s">
        <v>113</v>
      </c>
      <c r="AC1125" s="251"/>
      <c r="AD1125" s="170"/>
      <c r="AE1125" s="225"/>
      <c r="AF1125" s="170"/>
      <c r="AG1125" s="170"/>
      <c r="AH1125" s="251"/>
      <c r="AI1125" s="170"/>
      <c r="AJ1125" s="164" t="s">
        <v>2890</v>
      </c>
      <c r="AK1125" s="22"/>
      <c r="AL1125" s="170"/>
      <c r="AM1125" s="170"/>
      <c r="AN1125" s="170"/>
      <c r="AO1125" s="170"/>
      <c r="AP1125" s="170"/>
      <c r="AQ1125" s="22"/>
      <c r="AR1125" s="22"/>
      <c r="AS1125" s="22"/>
      <c r="AT1125" s="170"/>
      <c r="AU1125" s="170"/>
      <c r="AV1125" s="170"/>
      <c r="AW1125" s="170"/>
      <c r="AX1125" s="170"/>
      <c r="AY1125" s="170"/>
      <c r="AZ1125" s="170"/>
      <c r="BA1125" s="170"/>
      <c r="BB1125" s="170"/>
      <c r="BC1125" s="170"/>
      <c r="BD1125" s="170"/>
      <c r="BE1125" s="143" t="s">
        <v>2880</v>
      </c>
      <c r="BF1125" s="137" t="s">
        <v>2630</v>
      </c>
      <c r="BG1125" s="139" t="s">
        <v>2631</v>
      </c>
      <c r="BH1125" s="220"/>
      <c r="BI1125" s="220"/>
      <c r="BJ1125" s="220"/>
      <c r="BK1125" s="46">
        <f t="shared" si="1"/>
        <v>1</v>
      </c>
      <c r="BL1125" s="46"/>
      <c r="BM1125" s="46"/>
      <c r="BN1125" s="46"/>
    </row>
    <row r="1126" spans="1:66" ht="12.75" hidden="1" customHeight="1">
      <c r="A1126" s="22">
        <v>1124</v>
      </c>
      <c r="B1126" s="22" t="s">
        <v>2527</v>
      </c>
      <c r="C1126" s="22" t="e">
        <f t="shared" ca="1" si="0"/>
        <v>#NAME?</v>
      </c>
      <c r="D1126" s="24" t="s">
        <v>1673</v>
      </c>
      <c r="E1126" s="22" t="s">
        <v>180</v>
      </c>
      <c r="F1126" s="24" t="s">
        <v>2888</v>
      </c>
      <c r="G1126" s="24" t="s">
        <v>2875</v>
      </c>
      <c r="H1126" s="24"/>
      <c r="I1126" s="24">
        <v>1</v>
      </c>
      <c r="J1126" s="24" t="s">
        <v>2372</v>
      </c>
      <c r="K1126" s="24"/>
      <c r="L1126" s="24"/>
      <c r="M1126" s="24"/>
      <c r="N1126" s="24"/>
      <c r="O1126" s="24"/>
      <c r="P1126" s="170"/>
      <c r="Q1126" s="170"/>
      <c r="R1126" s="290"/>
      <c r="S1126" s="242"/>
      <c r="T1126" s="196"/>
      <c r="U1126" s="164"/>
      <c r="V1126" s="163"/>
      <c r="W1126" s="163" t="s">
        <v>1673</v>
      </c>
      <c r="X1126" s="196"/>
      <c r="Y1126" s="196"/>
      <c r="Z1126" s="242"/>
      <c r="AA1126" s="170"/>
      <c r="AB1126" s="164"/>
      <c r="AC1126" s="251"/>
      <c r="AD1126" s="170"/>
      <c r="AE1126" s="225"/>
      <c r="AF1126" s="170"/>
      <c r="AG1126" s="170"/>
      <c r="AH1126" s="251"/>
      <c r="AI1126" s="170"/>
      <c r="AJ1126" s="196"/>
      <c r="AK1126" s="22"/>
      <c r="AL1126" s="170"/>
      <c r="AM1126" s="170"/>
      <c r="AN1126" s="170"/>
      <c r="AO1126" s="170"/>
      <c r="AP1126" s="170"/>
      <c r="AQ1126" s="22"/>
      <c r="AR1126" s="22"/>
      <c r="AS1126" s="22"/>
      <c r="AT1126" s="170"/>
      <c r="AU1126" s="170"/>
      <c r="AV1126" s="170"/>
      <c r="AW1126" s="170"/>
      <c r="AX1126" s="170"/>
      <c r="AY1126" s="170"/>
      <c r="AZ1126" s="170"/>
      <c r="BA1126" s="170"/>
      <c r="BB1126" s="170"/>
      <c r="BC1126" s="170"/>
      <c r="BD1126" s="170"/>
      <c r="BE1126" s="143" t="s">
        <v>115</v>
      </c>
      <c r="BF1126" s="137" t="s">
        <v>942</v>
      </c>
      <c r="BG1126" s="167" t="s">
        <v>943</v>
      </c>
      <c r="BH1126" s="220"/>
      <c r="BI1126" s="220"/>
      <c r="BJ1126" s="220"/>
      <c r="BK1126" s="46">
        <f t="shared" si="1"/>
        <v>1</v>
      </c>
      <c r="BL1126" s="46"/>
      <c r="BM1126" s="46"/>
      <c r="BN1126" s="46"/>
    </row>
    <row r="1127" spans="1:66" ht="12.75" hidden="1" customHeight="1">
      <c r="A1127" s="22">
        <v>1125</v>
      </c>
      <c r="B1127" s="22" t="s">
        <v>2118</v>
      </c>
      <c r="C1127" s="22" t="e">
        <f t="shared" ca="1" si="0"/>
        <v>#NAME?</v>
      </c>
      <c r="D1127" s="24" t="s">
        <v>1468</v>
      </c>
      <c r="E1127" s="22" t="s">
        <v>180</v>
      </c>
      <c r="F1127" s="24" t="s">
        <v>2888</v>
      </c>
      <c r="G1127" s="24" t="s">
        <v>2875</v>
      </c>
      <c r="H1127" s="24"/>
      <c r="I1127" s="24">
        <v>1</v>
      </c>
      <c r="J1127" s="24" t="s">
        <v>2372</v>
      </c>
      <c r="K1127" s="24"/>
      <c r="L1127" s="24"/>
      <c r="M1127" s="24"/>
      <c r="N1127" s="24"/>
      <c r="O1127" s="24"/>
      <c r="P1127" s="170"/>
      <c r="Q1127" s="170"/>
      <c r="R1127" s="290"/>
      <c r="S1127" s="242"/>
      <c r="T1127" s="196"/>
      <c r="U1127" s="164"/>
      <c r="V1127" s="163"/>
      <c r="W1127" s="163" t="s">
        <v>1468</v>
      </c>
      <c r="X1127" s="196"/>
      <c r="Y1127" s="196"/>
      <c r="Z1127" s="242"/>
      <c r="AA1127" s="170"/>
      <c r="AB1127" s="164"/>
      <c r="AC1127" s="251"/>
      <c r="AD1127" s="170"/>
      <c r="AE1127" s="225"/>
      <c r="AF1127" s="170"/>
      <c r="AG1127" s="170"/>
      <c r="AH1127" s="251"/>
      <c r="AI1127" s="170"/>
      <c r="AJ1127" s="196"/>
      <c r="AK1127" s="22"/>
      <c r="AL1127" s="170"/>
      <c r="AM1127" s="170"/>
      <c r="AN1127" s="170"/>
      <c r="AO1127" s="170"/>
      <c r="AP1127" s="170"/>
      <c r="AQ1127" s="22"/>
      <c r="AR1127" s="22"/>
      <c r="AS1127" s="22"/>
      <c r="AT1127" s="170"/>
      <c r="AU1127" s="170"/>
      <c r="AV1127" s="170"/>
      <c r="AW1127" s="170"/>
      <c r="AX1127" s="170"/>
      <c r="AY1127" s="170"/>
      <c r="AZ1127" s="170"/>
      <c r="BA1127" s="170"/>
      <c r="BB1127" s="170"/>
      <c r="BC1127" s="170"/>
      <c r="BD1127" s="170"/>
      <c r="BE1127" s="143" t="s">
        <v>115</v>
      </c>
      <c r="BF1127" s="137" t="s">
        <v>1469</v>
      </c>
      <c r="BG1127" s="167" t="s">
        <v>1470</v>
      </c>
      <c r="BH1127" s="220"/>
      <c r="BI1127" s="220"/>
      <c r="BJ1127" s="220"/>
      <c r="BK1127" s="46">
        <f t="shared" si="1"/>
        <v>1</v>
      </c>
      <c r="BL1127" s="46"/>
      <c r="BM1127" s="46"/>
      <c r="BN1127" s="46"/>
    </row>
    <row r="1128" spans="1:66" ht="12.75" hidden="1" customHeight="1">
      <c r="A1128" s="22">
        <v>1126</v>
      </c>
      <c r="B1128" s="22" t="s">
        <v>2891</v>
      </c>
      <c r="C1128" s="22" t="str">
        <f t="shared" si="0"/>
        <v>iptp_sp2_dose_number</v>
      </c>
      <c r="D1128" s="24" t="s">
        <v>2891</v>
      </c>
      <c r="E1128" s="22" t="s">
        <v>65</v>
      </c>
      <c r="F1128" s="24" t="s">
        <v>1787</v>
      </c>
      <c r="G1128" s="24" t="s">
        <v>2875</v>
      </c>
      <c r="H1128" s="24"/>
      <c r="I1128" s="24">
        <v>1</v>
      </c>
      <c r="J1128" s="24" t="s">
        <v>2372</v>
      </c>
      <c r="K1128" s="24"/>
      <c r="L1128" s="24"/>
      <c r="M1128" s="24"/>
      <c r="N1128" s="24"/>
      <c r="O1128" s="24"/>
      <c r="P1128" s="170"/>
      <c r="Q1128" s="170"/>
      <c r="R1128" s="178"/>
      <c r="S1128" s="170" t="s">
        <v>2891</v>
      </c>
      <c r="T1128" s="164" t="s">
        <v>2892</v>
      </c>
      <c r="U1128" s="164" t="s">
        <v>65</v>
      </c>
      <c r="V1128" s="163"/>
      <c r="W1128" s="163"/>
      <c r="X1128" s="469">
        <v>2</v>
      </c>
      <c r="Y1128" s="469"/>
      <c r="Z1128" s="164"/>
      <c r="AA1128" s="170"/>
      <c r="AB1128" s="164"/>
      <c r="AC1128" s="251"/>
      <c r="AD1128" s="170"/>
      <c r="AE1128" s="225"/>
      <c r="AF1128" s="170"/>
      <c r="AG1128" s="170"/>
      <c r="AH1128" s="251"/>
      <c r="AI1128" s="170"/>
      <c r="AJ1128" s="164"/>
      <c r="AK1128" s="22"/>
      <c r="AL1128" s="170"/>
      <c r="AM1128" s="170"/>
      <c r="AN1128" s="170"/>
      <c r="AO1128" s="170"/>
      <c r="AP1128" s="170"/>
      <c r="AQ1128" s="22"/>
      <c r="AR1128" s="22"/>
      <c r="AS1128" s="22"/>
      <c r="AT1128" s="170"/>
      <c r="AU1128" s="170"/>
      <c r="AV1128" s="170"/>
      <c r="AW1128" s="170"/>
      <c r="AX1128" s="170"/>
      <c r="AY1128" s="170"/>
      <c r="AZ1128" s="170"/>
      <c r="BA1128" s="170"/>
      <c r="BB1128" s="170"/>
      <c r="BC1128" s="170"/>
      <c r="BD1128" s="170"/>
      <c r="BE1128" s="143" t="s">
        <v>2880</v>
      </c>
      <c r="BF1128" s="143" t="s">
        <v>2883</v>
      </c>
      <c r="BG1128" s="167" t="s">
        <v>2884</v>
      </c>
      <c r="BH1128" s="220"/>
      <c r="BI1128" s="220"/>
      <c r="BJ1128" s="220"/>
      <c r="BK1128" s="46">
        <f t="shared" si="1"/>
        <v>1</v>
      </c>
      <c r="BL1128" s="46"/>
      <c r="BM1128" s="46"/>
      <c r="BN1128" s="46"/>
    </row>
    <row r="1129" spans="1:66" ht="12.75" hidden="1" customHeight="1">
      <c r="A1129" s="22">
        <v>1127</v>
      </c>
      <c r="B1129" s="22" t="s">
        <v>2893</v>
      </c>
      <c r="C1129" s="22" t="str">
        <f t="shared" si="0"/>
        <v>iptp_sp2_date</v>
      </c>
      <c r="D1129" s="24" t="s">
        <v>2893</v>
      </c>
      <c r="E1129" s="22" t="s">
        <v>65</v>
      </c>
      <c r="F1129" s="24" t="s">
        <v>1787</v>
      </c>
      <c r="G1129" s="24" t="s">
        <v>2875</v>
      </c>
      <c r="H1129" s="24"/>
      <c r="I1129" s="24">
        <v>1</v>
      </c>
      <c r="J1129" s="24" t="s">
        <v>2372</v>
      </c>
      <c r="K1129" s="24"/>
      <c r="L1129" s="24"/>
      <c r="M1129" s="24"/>
      <c r="N1129" s="24"/>
      <c r="O1129" s="24"/>
      <c r="P1129" s="170"/>
      <c r="Q1129" s="170"/>
      <c r="R1129" s="178"/>
      <c r="S1129" s="170" t="s">
        <v>2893</v>
      </c>
      <c r="T1129" s="164" t="s">
        <v>2894</v>
      </c>
      <c r="U1129" s="164" t="s">
        <v>65</v>
      </c>
      <c r="V1129" s="163"/>
      <c r="W1129" s="163"/>
      <c r="X1129" s="164" t="s">
        <v>2887</v>
      </c>
      <c r="Y1129" s="164"/>
      <c r="Z1129" s="164"/>
      <c r="AA1129" s="170"/>
      <c r="AB1129" s="164"/>
      <c r="AC1129" s="251"/>
      <c r="AD1129" s="170"/>
      <c r="AE1129" s="225"/>
      <c r="AF1129" s="170"/>
      <c r="AG1129" s="170"/>
      <c r="AH1129" s="251"/>
      <c r="AI1129" s="170"/>
      <c r="AJ1129" s="164"/>
      <c r="AK1129" s="22"/>
      <c r="AL1129" s="170"/>
      <c r="AM1129" s="170"/>
      <c r="AN1129" s="170"/>
      <c r="AO1129" s="170"/>
      <c r="AP1129" s="170"/>
      <c r="AQ1129" s="22"/>
      <c r="AR1129" s="22"/>
      <c r="AS1129" s="22"/>
      <c r="AT1129" s="170"/>
      <c r="AU1129" s="170"/>
      <c r="AV1129" s="170"/>
      <c r="AW1129" s="170"/>
      <c r="AX1129" s="170"/>
      <c r="AY1129" s="170"/>
      <c r="AZ1129" s="170"/>
      <c r="BA1129" s="170"/>
      <c r="BB1129" s="170"/>
      <c r="BC1129" s="170"/>
      <c r="BD1129" s="170"/>
      <c r="BE1129" s="143" t="s">
        <v>115</v>
      </c>
      <c r="BF1129" s="143" t="s">
        <v>115</v>
      </c>
      <c r="BG1129" s="167" t="s">
        <v>115</v>
      </c>
      <c r="BH1129" s="220"/>
      <c r="BI1129" s="220"/>
      <c r="BJ1129" s="220"/>
      <c r="BK1129" s="46">
        <f t="shared" si="1"/>
        <v>1</v>
      </c>
      <c r="BL1129" s="46"/>
      <c r="BM1129" s="46"/>
      <c r="BN1129" s="46"/>
    </row>
    <row r="1130" spans="1:66" ht="12.75" hidden="1" customHeight="1">
      <c r="A1130" s="22">
        <v>1128</v>
      </c>
      <c r="B1130" s="22" t="s">
        <v>2895</v>
      </c>
      <c r="C1130" s="22" t="str">
        <f t="shared" si="0"/>
        <v>IPTp-SP dose 3</v>
      </c>
      <c r="D1130" s="24" t="s">
        <v>2895</v>
      </c>
      <c r="E1130" s="22" t="s">
        <v>96</v>
      </c>
      <c r="F1130" s="24" t="s">
        <v>1787</v>
      </c>
      <c r="G1130" s="24" t="s">
        <v>2875</v>
      </c>
      <c r="H1130" s="24"/>
      <c r="I1130" s="24">
        <v>1</v>
      </c>
      <c r="J1130" s="24" t="s">
        <v>2372</v>
      </c>
      <c r="K1130" s="24"/>
      <c r="L1130" s="24"/>
      <c r="M1130" s="24"/>
      <c r="N1130" s="24"/>
      <c r="O1130" s="24"/>
      <c r="P1130" s="170"/>
      <c r="Q1130" s="170"/>
      <c r="R1130" s="178" t="s">
        <v>2895</v>
      </c>
      <c r="S1130" s="170" t="s">
        <v>2896</v>
      </c>
      <c r="T1130" s="164"/>
      <c r="U1130" s="164" t="s">
        <v>202</v>
      </c>
      <c r="V1130" s="163"/>
      <c r="W1130" s="163"/>
      <c r="X1130" s="164"/>
      <c r="Y1130" s="164"/>
      <c r="Z1130" s="164" t="s">
        <v>2878</v>
      </c>
      <c r="AA1130" s="170"/>
      <c r="AB1130" s="170" t="s">
        <v>113</v>
      </c>
      <c r="AC1130" s="251"/>
      <c r="AD1130" s="170"/>
      <c r="AE1130" s="225"/>
      <c r="AF1130" s="170"/>
      <c r="AG1130" s="170"/>
      <c r="AH1130" s="251"/>
      <c r="AI1130" s="170"/>
      <c r="AJ1130" s="164" t="s">
        <v>2897</v>
      </c>
      <c r="AK1130" s="22"/>
      <c r="AL1130" s="170"/>
      <c r="AM1130" s="170"/>
      <c r="AN1130" s="170"/>
      <c r="AO1130" s="170"/>
      <c r="AP1130" s="170"/>
      <c r="AQ1130" s="22"/>
      <c r="AR1130" s="22"/>
      <c r="AS1130" s="22"/>
      <c r="AT1130" s="170"/>
      <c r="AU1130" s="170"/>
      <c r="AV1130" s="170"/>
      <c r="AW1130" s="170"/>
      <c r="AX1130" s="170"/>
      <c r="AY1130" s="170"/>
      <c r="AZ1130" s="170"/>
      <c r="BA1130" s="170"/>
      <c r="BB1130" s="170"/>
      <c r="BC1130" s="170"/>
      <c r="BD1130" s="170"/>
      <c r="BE1130" s="143" t="s">
        <v>2880</v>
      </c>
      <c r="BF1130" s="137" t="s">
        <v>2630</v>
      </c>
      <c r="BG1130" s="139" t="s">
        <v>2631</v>
      </c>
      <c r="BH1130" s="220"/>
      <c r="BI1130" s="220"/>
      <c r="BJ1130" s="220"/>
      <c r="BK1130" s="46">
        <f t="shared" si="1"/>
        <v>1</v>
      </c>
      <c r="BL1130" s="46"/>
      <c r="BM1130" s="46"/>
      <c r="BN1130" s="46"/>
    </row>
    <row r="1131" spans="1:66" ht="12.75" hidden="1" customHeight="1">
      <c r="A1131" s="22">
        <v>1129</v>
      </c>
      <c r="B1131" s="22" t="s">
        <v>2527</v>
      </c>
      <c r="C1131" s="22" t="e">
        <f t="shared" ca="1" si="0"/>
        <v>#NAME?</v>
      </c>
      <c r="D1131" s="24" t="s">
        <v>1673</v>
      </c>
      <c r="E1131" s="22" t="s">
        <v>180</v>
      </c>
      <c r="F1131" s="24" t="s">
        <v>2895</v>
      </c>
      <c r="G1131" s="24" t="s">
        <v>2875</v>
      </c>
      <c r="H1131" s="24"/>
      <c r="I1131" s="24">
        <v>1</v>
      </c>
      <c r="J1131" s="24" t="s">
        <v>2372</v>
      </c>
      <c r="K1131" s="24"/>
      <c r="L1131" s="24"/>
      <c r="M1131" s="24"/>
      <c r="N1131" s="24"/>
      <c r="O1131" s="24"/>
      <c r="P1131" s="170"/>
      <c r="Q1131" s="170"/>
      <c r="R1131" s="290"/>
      <c r="S1131" s="242"/>
      <c r="T1131" s="196"/>
      <c r="U1131" s="164"/>
      <c r="V1131" s="163"/>
      <c r="W1131" s="163" t="s">
        <v>1673</v>
      </c>
      <c r="X1131" s="196"/>
      <c r="Y1131" s="196"/>
      <c r="Z1131" s="242"/>
      <c r="AA1131" s="170"/>
      <c r="AB1131" s="242"/>
      <c r="AC1131" s="251"/>
      <c r="AD1131" s="170"/>
      <c r="AE1131" s="225"/>
      <c r="AF1131" s="170"/>
      <c r="AG1131" s="170"/>
      <c r="AH1131" s="251"/>
      <c r="AI1131" s="170"/>
      <c r="AJ1131" s="196"/>
      <c r="AK1131" s="22"/>
      <c r="AL1131" s="170"/>
      <c r="AM1131" s="170"/>
      <c r="AN1131" s="170"/>
      <c r="AO1131" s="170"/>
      <c r="AP1131" s="170"/>
      <c r="AQ1131" s="22"/>
      <c r="AR1131" s="22"/>
      <c r="AS1131" s="22"/>
      <c r="AT1131" s="170"/>
      <c r="AU1131" s="170"/>
      <c r="AV1131" s="170"/>
      <c r="AW1131" s="170"/>
      <c r="AX1131" s="170"/>
      <c r="AY1131" s="170"/>
      <c r="AZ1131" s="170"/>
      <c r="BA1131" s="170"/>
      <c r="BB1131" s="170"/>
      <c r="BC1131" s="170"/>
      <c r="BD1131" s="170"/>
      <c r="BE1131" s="143" t="s">
        <v>115</v>
      </c>
      <c r="BF1131" s="137" t="s">
        <v>942</v>
      </c>
      <c r="BG1131" s="167" t="s">
        <v>943</v>
      </c>
      <c r="BH1131" s="220"/>
      <c r="BI1131" s="220"/>
      <c r="BJ1131" s="220"/>
      <c r="BK1131" s="46">
        <f t="shared" si="1"/>
        <v>1</v>
      </c>
      <c r="BL1131" s="46"/>
      <c r="BM1131" s="46"/>
      <c r="BN1131" s="46"/>
    </row>
    <row r="1132" spans="1:66" ht="12.75" hidden="1" customHeight="1">
      <c r="A1132" s="22">
        <v>1130</v>
      </c>
      <c r="B1132" s="22" t="s">
        <v>2118</v>
      </c>
      <c r="C1132" s="22" t="e">
        <f t="shared" ca="1" si="0"/>
        <v>#NAME?</v>
      </c>
      <c r="D1132" s="24" t="s">
        <v>1468</v>
      </c>
      <c r="E1132" s="22" t="s">
        <v>180</v>
      </c>
      <c r="F1132" s="24" t="s">
        <v>2895</v>
      </c>
      <c r="G1132" s="24" t="s">
        <v>2875</v>
      </c>
      <c r="H1132" s="24"/>
      <c r="I1132" s="24">
        <v>1</v>
      </c>
      <c r="J1132" s="24" t="s">
        <v>2372</v>
      </c>
      <c r="K1132" s="24"/>
      <c r="L1132" s="24"/>
      <c r="M1132" s="24"/>
      <c r="N1132" s="24"/>
      <c r="O1132" s="24"/>
      <c r="P1132" s="170"/>
      <c r="Q1132" s="170"/>
      <c r="R1132" s="290"/>
      <c r="S1132" s="242"/>
      <c r="T1132" s="196"/>
      <c r="U1132" s="164"/>
      <c r="V1132" s="163"/>
      <c r="W1132" s="163" t="s">
        <v>1468</v>
      </c>
      <c r="X1132" s="196"/>
      <c r="Y1132" s="196"/>
      <c r="Z1132" s="242"/>
      <c r="AA1132" s="170"/>
      <c r="AB1132" s="242"/>
      <c r="AC1132" s="251"/>
      <c r="AD1132" s="170"/>
      <c r="AE1132" s="225"/>
      <c r="AF1132" s="170"/>
      <c r="AG1132" s="170"/>
      <c r="AH1132" s="251"/>
      <c r="AI1132" s="170"/>
      <c r="AJ1132" s="196"/>
      <c r="AK1132" s="22"/>
      <c r="AL1132" s="170"/>
      <c r="AM1132" s="170"/>
      <c r="AN1132" s="170"/>
      <c r="AO1132" s="170"/>
      <c r="AP1132" s="170"/>
      <c r="AQ1132" s="22"/>
      <c r="AR1132" s="22"/>
      <c r="AS1132" s="22"/>
      <c r="AT1132" s="170"/>
      <c r="AU1132" s="170"/>
      <c r="AV1132" s="170"/>
      <c r="AW1132" s="170"/>
      <c r="AX1132" s="170"/>
      <c r="AY1132" s="170"/>
      <c r="AZ1132" s="170"/>
      <c r="BA1132" s="170"/>
      <c r="BB1132" s="170"/>
      <c r="BC1132" s="170"/>
      <c r="BD1132" s="170"/>
      <c r="BE1132" s="143" t="s">
        <v>115</v>
      </c>
      <c r="BF1132" s="137" t="s">
        <v>1469</v>
      </c>
      <c r="BG1132" s="167" t="s">
        <v>1470</v>
      </c>
      <c r="BH1132" s="220"/>
      <c r="BI1132" s="220"/>
      <c r="BJ1132" s="220"/>
      <c r="BK1132" s="46">
        <f t="shared" si="1"/>
        <v>1</v>
      </c>
      <c r="BL1132" s="46"/>
      <c r="BM1132" s="46"/>
      <c r="BN1132" s="46"/>
    </row>
    <row r="1133" spans="1:66" ht="12.75" hidden="1" customHeight="1">
      <c r="A1133" s="22">
        <v>1131</v>
      </c>
      <c r="B1133" s="22" t="s">
        <v>2899</v>
      </c>
      <c r="C1133" s="22" t="str">
        <f t="shared" si="0"/>
        <v>iptp_sp3_dose_number</v>
      </c>
      <c r="D1133" s="24" t="s">
        <v>2899</v>
      </c>
      <c r="E1133" s="22" t="s">
        <v>65</v>
      </c>
      <c r="F1133" s="24" t="s">
        <v>1787</v>
      </c>
      <c r="G1133" s="24" t="s">
        <v>2875</v>
      </c>
      <c r="H1133" s="24"/>
      <c r="I1133" s="24">
        <v>1</v>
      </c>
      <c r="J1133" s="24" t="s">
        <v>2372</v>
      </c>
      <c r="K1133" s="24"/>
      <c r="L1133" s="24"/>
      <c r="M1133" s="24"/>
      <c r="N1133" s="24"/>
      <c r="O1133" s="24"/>
      <c r="P1133" s="170"/>
      <c r="Q1133" s="170"/>
      <c r="R1133" s="178"/>
      <c r="S1133" s="170" t="s">
        <v>2899</v>
      </c>
      <c r="T1133" s="164" t="s">
        <v>2900</v>
      </c>
      <c r="U1133" s="164" t="s">
        <v>65</v>
      </c>
      <c r="V1133" s="163"/>
      <c r="W1133" s="163"/>
      <c r="X1133" s="469">
        <v>3</v>
      </c>
      <c r="Y1133" s="469"/>
      <c r="Z1133" s="164"/>
      <c r="AA1133" s="170"/>
      <c r="AB1133" s="170"/>
      <c r="AC1133" s="251"/>
      <c r="AD1133" s="170"/>
      <c r="AE1133" s="225"/>
      <c r="AF1133" s="170"/>
      <c r="AG1133" s="170"/>
      <c r="AH1133" s="251"/>
      <c r="AI1133" s="170"/>
      <c r="AJ1133" s="164"/>
      <c r="AK1133" s="22"/>
      <c r="AL1133" s="170"/>
      <c r="AM1133" s="170"/>
      <c r="AN1133" s="170"/>
      <c r="AO1133" s="170"/>
      <c r="AP1133" s="170"/>
      <c r="AQ1133" s="22"/>
      <c r="AR1133" s="22"/>
      <c r="AS1133" s="22"/>
      <c r="AT1133" s="170"/>
      <c r="AU1133" s="170"/>
      <c r="AV1133" s="170"/>
      <c r="AW1133" s="170"/>
      <c r="AX1133" s="170"/>
      <c r="AY1133" s="170"/>
      <c r="AZ1133" s="170"/>
      <c r="BA1133" s="170"/>
      <c r="BB1133" s="170"/>
      <c r="BC1133" s="170"/>
      <c r="BD1133" s="170"/>
      <c r="BE1133" s="143" t="s">
        <v>2880</v>
      </c>
      <c r="BF1133" s="143" t="s">
        <v>2883</v>
      </c>
      <c r="BG1133" s="167" t="s">
        <v>2884</v>
      </c>
      <c r="BH1133" s="220"/>
      <c r="BI1133" s="220"/>
      <c r="BJ1133" s="220"/>
      <c r="BK1133" s="46">
        <f t="shared" si="1"/>
        <v>1</v>
      </c>
      <c r="BL1133" s="46"/>
      <c r="BM1133" s="46"/>
      <c r="BN1133" s="46"/>
    </row>
    <row r="1134" spans="1:66" ht="12.75" hidden="1" customHeight="1">
      <c r="A1134" s="22">
        <v>1132</v>
      </c>
      <c r="B1134" s="22" t="s">
        <v>2901</v>
      </c>
      <c r="C1134" s="22" t="str">
        <f t="shared" si="0"/>
        <v>iptp_sp3_date</v>
      </c>
      <c r="D1134" s="24" t="s">
        <v>2901</v>
      </c>
      <c r="E1134" s="22" t="s">
        <v>65</v>
      </c>
      <c r="F1134" s="24" t="s">
        <v>1787</v>
      </c>
      <c r="G1134" s="24" t="s">
        <v>2875</v>
      </c>
      <c r="H1134" s="24"/>
      <c r="I1134" s="24">
        <v>1</v>
      </c>
      <c r="J1134" s="24" t="s">
        <v>2372</v>
      </c>
      <c r="K1134" s="24"/>
      <c r="L1134" s="24"/>
      <c r="M1134" s="24"/>
      <c r="N1134" s="24"/>
      <c r="O1134" s="24"/>
      <c r="P1134" s="170"/>
      <c r="Q1134" s="170"/>
      <c r="R1134" s="178"/>
      <c r="S1134" s="170" t="s">
        <v>2901</v>
      </c>
      <c r="T1134" s="164" t="s">
        <v>2902</v>
      </c>
      <c r="U1134" s="164" t="s">
        <v>65</v>
      </c>
      <c r="V1134" s="163"/>
      <c r="W1134" s="163"/>
      <c r="X1134" s="164" t="s">
        <v>2887</v>
      </c>
      <c r="Y1134" s="164"/>
      <c r="Z1134" s="164"/>
      <c r="AA1134" s="170"/>
      <c r="AB1134" s="170"/>
      <c r="AC1134" s="251"/>
      <c r="AD1134" s="170"/>
      <c r="AE1134" s="225"/>
      <c r="AF1134" s="170"/>
      <c r="AG1134" s="170"/>
      <c r="AH1134" s="251"/>
      <c r="AI1134" s="170"/>
      <c r="AJ1134" s="164"/>
      <c r="AK1134" s="22"/>
      <c r="AL1134" s="170"/>
      <c r="AM1134" s="170"/>
      <c r="AN1134" s="170"/>
      <c r="AO1134" s="170"/>
      <c r="AP1134" s="170"/>
      <c r="AQ1134" s="22"/>
      <c r="AR1134" s="22"/>
      <c r="AS1134" s="22"/>
      <c r="AT1134" s="170"/>
      <c r="AU1134" s="170"/>
      <c r="AV1134" s="170"/>
      <c r="AW1134" s="170"/>
      <c r="AX1134" s="170"/>
      <c r="AY1134" s="170"/>
      <c r="AZ1134" s="170"/>
      <c r="BA1134" s="170"/>
      <c r="BB1134" s="170"/>
      <c r="BC1134" s="170"/>
      <c r="BD1134" s="170"/>
      <c r="BE1134" s="143" t="s">
        <v>115</v>
      </c>
      <c r="BF1134" s="143" t="s">
        <v>115</v>
      </c>
      <c r="BG1134" s="167" t="s">
        <v>115</v>
      </c>
      <c r="BH1134" s="220"/>
      <c r="BI1134" s="220"/>
      <c r="BJ1134" s="220"/>
      <c r="BK1134" s="46">
        <f t="shared" si="1"/>
        <v>1</v>
      </c>
      <c r="BL1134" s="46"/>
      <c r="BM1134" s="46"/>
      <c r="BN1134" s="46"/>
    </row>
    <row r="1135" spans="1:66" ht="12.75" hidden="1" customHeight="1">
      <c r="A1135" s="22">
        <v>1133</v>
      </c>
      <c r="B1135" s="22" t="s">
        <v>2903</v>
      </c>
      <c r="C1135" s="22" t="str">
        <f t="shared" si="0"/>
        <v>Reason Treatment not given</v>
      </c>
      <c r="D1135" s="24" t="s">
        <v>2903</v>
      </c>
      <c r="E1135" s="22" t="s">
        <v>96</v>
      </c>
      <c r="F1135" s="24" t="s">
        <v>1787</v>
      </c>
      <c r="G1135" s="24" t="s">
        <v>2875</v>
      </c>
      <c r="H1135" s="24"/>
      <c r="I1135" s="24">
        <v>1</v>
      </c>
      <c r="J1135" s="24" t="s">
        <v>2372</v>
      </c>
      <c r="K1135" s="24"/>
      <c r="L1135" s="24"/>
      <c r="M1135" s="24"/>
      <c r="N1135" s="24"/>
      <c r="O1135" s="24"/>
      <c r="P1135" s="170"/>
      <c r="Q1135" s="170"/>
      <c r="R1135" s="169" t="s">
        <v>1376</v>
      </c>
      <c r="S1135" s="194" t="s">
        <v>2904</v>
      </c>
      <c r="T1135" s="164" t="s">
        <v>2867</v>
      </c>
      <c r="U1135" s="194" t="s">
        <v>238</v>
      </c>
      <c r="V1135" s="194"/>
      <c r="W1135" s="194"/>
      <c r="X1135" s="196"/>
      <c r="Y1135" s="196"/>
      <c r="Z1135" s="196"/>
      <c r="AA1135" s="170"/>
      <c r="AB1135" s="164" t="s">
        <v>113</v>
      </c>
      <c r="AC1135" s="251"/>
      <c r="AD1135" s="170"/>
      <c r="AE1135" s="225"/>
      <c r="AF1135" s="170"/>
      <c r="AG1135" s="170"/>
      <c r="AH1135" s="251"/>
      <c r="AI1135" s="170"/>
      <c r="AJ1135" s="164" t="s">
        <v>115</v>
      </c>
      <c r="AK1135" s="22"/>
      <c r="AL1135" s="170"/>
      <c r="AM1135" s="170"/>
      <c r="AN1135" s="170"/>
      <c r="AO1135" s="170"/>
      <c r="AP1135" s="170"/>
      <c r="AQ1135" s="22"/>
      <c r="AR1135" s="22"/>
      <c r="AS1135" s="22"/>
      <c r="AT1135" s="170"/>
      <c r="AU1135" s="170"/>
      <c r="AV1135" s="170"/>
      <c r="AW1135" s="170"/>
      <c r="AX1135" s="170"/>
      <c r="AY1135" s="170"/>
      <c r="AZ1135" s="170"/>
      <c r="BA1135" s="170"/>
      <c r="BB1135" s="170"/>
      <c r="BC1135" s="170"/>
      <c r="BD1135" s="170"/>
      <c r="BE1135" s="143" t="s">
        <v>115</v>
      </c>
      <c r="BF1135" s="137" t="s">
        <v>2905</v>
      </c>
      <c r="BG1135" s="139" t="s">
        <v>2906</v>
      </c>
      <c r="BH1135" s="220"/>
      <c r="BI1135" s="220"/>
      <c r="BJ1135" s="220"/>
      <c r="BK1135" s="46">
        <f t="shared" si="1"/>
        <v>1</v>
      </c>
      <c r="BL1135" s="46"/>
      <c r="BM1135" s="46"/>
      <c r="BN1135" s="46"/>
    </row>
    <row r="1136" spans="1:66" ht="12.75" hidden="1" customHeight="1">
      <c r="A1136" s="22">
        <v>1134</v>
      </c>
      <c r="B1136" s="22" t="s">
        <v>3616</v>
      </c>
      <c r="C1136" s="22" t="e">
        <f t="shared" ca="1" si="0"/>
        <v>#NAME?</v>
      </c>
      <c r="D1136" s="24" t="s">
        <v>2405</v>
      </c>
      <c r="E1136" s="22" t="s">
        <v>180</v>
      </c>
      <c r="F1136" s="24" t="s">
        <v>2903</v>
      </c>
      <c r="G1136" s="24" t="s">
        <v>2875</v>
      </c>
      <c r="H1136" s="24"/>
      <c r="I1136" s="24">
        <v>1</v>
      </c>
      <c r="J1136" s="24" t="s">
        <v>2372</v>
      </c>
      <c r="K1136" s="24"/>
      <c r="L1136" s="24"/>
      <c r="M1136" s="24"/>
      <c r="N1136" s="24"/>
      <c r="O1136" s="24"/>
      <c r="P1136" s="170"/>
      <c r="Q1136" s="170"/>
      <c r="R1136" s="247"/>
      <c r="S1136" s="196"/>
      <c r="T1136" s="196"/>
      <c r="U1136" s="196"/>
      <c r="V1136" s="194"/>
      <c r="W1136" s="194" t="s">
        <v>2405</v>
      </c>
      <c r="X1136" s="196"/>
      <c r="Y1136" s="196"/>
      <c r="Z1136" s="196"/>
      <c r="AA1136" s="170"/>
      <c r="AB1136" s="196"/>
      <c r="AC1136" s="251"/>
      <c r="AD1136" s="170"/>
      <c r="AE1136" s="225"/>
      <c r="AF1136" s="170"/>
      <c r="AG1136" s="170"/>
      <c r="AH1136" s="251"/>
      <c r="AI1136" s="170"/>
      <c r="AJ1136" s="196"/>
      <c r="AK1136" s="22"/>
      <c r="AL1136" s="170"/>
      <c r="AM1136" s="170"/>
      <c r="AN1136" s="170"/>
      <c r="AO1136" s="170"/>
      <c r="AP1136" s="170"/>
      <c r="AQ1136" s="22"/>
      <c r="AR1136" s="22"/>
      <c r="AS1136" s="22"/>
      <c r="AT1136" s="170"/>
      <c r="AU1136" s="170"/>
      <c r="AV1136" s="170"/>
      <c r="AW1136" s="170"/>
      <c r="AX1136" s="170"/>
      <c r="AY1136" s="170"/>
      <c r="AZ1136" s="170"/>
      <c r="BA1136" s="170"/>
      <c r="BB1136" s="170"/>
      <c r="BC1136" s="170"/>
      <c r="BD1136" s="170"/>
      <c r="BE1136" s="137" t="s">
        <v>115</v>
      </c>
      <c r="BF1136" s="143" t="s">
        <v>2406</v>
      </c>
      <c r="BG1136" s="139" t="s">
        <v>2407</v>
      </c>
      <c r="BH1136" s="220"/>
      <c r="BI1136" s="220"/>
      <c r="BJ1136" s="220"/>
      <c r="BK1136" s="46">
        <f t="shared" si="1"/>
        <v>1</v>
      </c>
      <c r="BL1136" s="46"/>
      <c r="BM1136" s="46"/>
      <c r="BN1136" s="46"/>
    </row>
    <row r="1137" spans="1:66" ht="12.75" hidden="1" customHeight="1">
      <c r="A1137" s="22">
        <v>1135</v>
      </c>
      <c r="B1137" s="22" t="s">
        <v>2870</v>
      </c>
      <c r="C1137" s="22" t="e">
        <f t="shared" ca="1" si="0"/>
        <v>#NAME?</v>
      </c>
      <c r="D1137" s="24" t="s">
        <v>1909</v>
      </c>
      <c r="E1137" s="22" t="s">
        <v>180</v>
      </c>
      <c r="F1137" s="24" t="s">
        <v>2903</v>
      </c>
      <c r="G1137" s="24" t="s">
        <v>2875</v>
      </c>
      <c r="H1137" s="24"/>
      <c r="I1137" s="24">
        <v>1</v>
      </c>
      <c r="J1137" s="24" t="s">
        <v>2372</v>
      </c>
      <c r="K1137" s="24"/>
      <c r="L1137" s="24"/>
      <c r="M1137" s="24"/>
      <c r="N1137" s="24"/>
      <c r="O1137" s="24"/>
      <c r="P1137" s="170"/>
      <c r="Q1137" s="170"/>
      <c r="R1137" s="247"/>
      <c r="S1137" s="196"/>
      <c r="T1137" s="196"/>
      <c r="U1137" s="196"/>
      <c r="V1137" s="194"/>
      <c r="W1137" s="194" t="s">
        <v>1909</v>
      </c>
      <c r="X1137" s="196"/>
      <c r="Y1137" s="196"/>
      <c r="Z1137" s="196"/>
      <c r="AA1137" s="170"/>
      <c r="AB1137" s="196"/>
      <c r="AC1137" s="251"/>
      <c r="AD1137" s="170"/>
      <c r="AE1137" s="225"/>
      <c r="AF1137" s="170"/>
      <c r="AG1137" s="170"/>
      <c r="AH1137" s="251"/>
      <c r="AI1137" s="170"/>
      <c r="AJ1137" s="196"/>
      <c r="AK1137" s="22"/>
      <c r="AL1137" s="170"/>
      <c r="AM1137" s="170"/>
      <c r="AN1137" s="170"/>
      <c r="AO1137" s="170"/>
      <c r="AP1137" s="170"/>
      <c r="AQ1137" s="22"/>
      <c r="AR1137" s="22"/>
      <c r="AS1137" s="22"/>
      <c r="AT1137" s="170"/>
      <c r="AU1137" s="170"/>
      <c r="AV1137" s="170"/>
      <c r="AW1137" s="170"/>
      <c r="AX1137" s="170"/>
      <c r="AY1137" s="170"/>
      <c r="AZ1137" s="170"/>
      <c r="BA1137" s="170"/>
      <c r="BB1137" s="170"/>
      <c r="BC1137" s="170"/>
      <c r="BD1137" s="170"/>
      <c r="BE1137" s="137" t="s">
        <v>115</v>
      </c>
      <c r="BF1137" s="143" t="s">
        <v>2637</v>
      </c>
      <c r="BG1137" s="167" t="s">
        <v>2638</v>
      </c>
      <c r="BH1137" s="220"/>
      <c r="BI1137" s="220"/>
      <c r="BJ1137" s="220"/>
      <c r="BK1137" s="46">
        <f t="shared" si="1"/>
        <v>1</v>
      </c>
      <c r="BL1137" s="46"/>
      <c r="BM1137" s="46"/>
      <c r="BN1137" s="46"/>
    </row>
    <row r="1138" spans="1:66" ht="12.75" hidden="1" customHeight="1">
      <c r="A1138" s="22">
        <v>1136</v>
      </c>
      <c r="B1138" s="22" t="s">
        <v>3393</v>
      </c>
      <c r="C1138" s="22" t="e">
        <f t="shared" ca="1" si="0"/>
        <v>#NAME?</v>
      </c>
      <c r="D1138" s="24" t="s">
        <v>2244</v>
      </c>
      <c r="E1138" s="22" t="s">
        <v>180</v>
      </c>
      <c r="F1138" s="24" t="s">
        <v>2903</v>
      </c>
      <c r="G1138" s="24" t="s">
        <v>2875</v>
      </c>
      <c r="H1138" s="24"/>
      <c r="I1138" s="24">
        <v>1</v>
      </c>
      <c r="J1138" s="24" t="s">
        <v>2372</v>
      </c>
      <c r="K1138" s="24"/>
      <c r="L1138" s="24"/>
      <c r="M1138" s="24"/>
      <c r="N1138" s="24"/>
      <c r="O1138" s="24"/>
      <c r="P1138" s="170"/>
      <c r="Q1138" s="170"/>
      <c r="R1138" s="247"/>
      <c r="S1138" s="196"/>
      <c r="T1138" s="196"/>
      <c r="U1138" s="196"/>
      <c r="V1138" s="194"/>
      <c r="W1138" s="194" t="s">
        <v>2244</v>
      </c>
      <c r="X1138" s="196"/>
      <c r="Y1138" s="196"/>
      <c r="Z1138" s="196"/>
      <c r="AA1138" s="170"/>
      <c r="AB1138" s="196"/>
      <c r="AC1138" s="251"/>
      <c r="AD1138" s="170"/>
      <c r="AE1138" s="225"/>
      <c r="AF1138" s="170"/>
      <c r="AG1138" s="170"/>
      <c r="AH1138" s="251"/>
      <c r="AI1138" s="170"/>
      <c r="AJ1138" s="196"/>
      <c r="AK1138" s="22"/>
      <c r="AL1138" s="170"/>
      <c r="AM1138" s="170"/>
      <c r="AN1138" s="170"/>
      <c r="AO1138" s="170"/>
      <c r="AP1138" s="170"/>
      <c r="AQ1138" s="22"/>
      <c r="AR1138" s="22"/>
      <c r="AS1138" s="22"/>
      <c r="AT1138" s="170"/>
      <c r="AU1138" s="170"/>
      <c r="AV1138" s="170"/>
      <c r="AW1138" s="170"/>
      <c r="AX1138" s="170"/>
      <c r="AY1138" s="170"/>
      <c r="AZ1138" s="170"/>
      <c r="BA1138" s="170"/>
      <c r="BB1138" s="170"/>
      <c r="BC1138" s="170"/>
      <c r="BD1138" s="170"/>
      <c r="BE1138" s="137" t="s">
        <v>115</v>
      </c>
      <c r="BF1138" s="143" t="s">
        <v>1913</v>
      </c>
      <c r="BG1138" s="167" t="s">
        <v>1914</v>
      </c>
      <c r="BH1138" s="220"/>
      <c r="BI1138" s="220"/>
      <c r="BJ1138" s="220"/>
      <c r="BK1138" s="46">
        <f t="shared" si="1"/>
        <v>1</v>
      </c>
      <c r="BL1138" s="46"/>
      <c r="BM1138" s="46"/>
      <c r="BN1138" s="46"/>
    </row>
    <row r="1139" spans="1:66" ht="12.75" hidden="1" customHeight="1">
      <c r="A1139" s="22">
        <v>1137</v>
      </c>
      <c r="B1139" s="22" t="s">
        <v>535</v>
      </c>
      <c r="C1139" s="22" t="e">
        <f t="shared" ca="1" si="0"/>
        <v>#NAME?</v>
      </c>
      <c r="D1139" s="24" t="s">
        <v>405</v>
      </c>
      <c r="E1139" s="22" t="s">
        <v>180</v>
      </c>
      <c r="F1139" s="24" t="s">
        <v>2903</v>
      </c>
      <c r="G1139" s="24" t="s">
        <v>2875</v>
      </c>
      <c r="H1139" s="24"/>
      <c r="I1139" s="24">
        <v>1</v>
      </c>
      <c r="J1139" s="24" t="s">
        <v>2372</v>
      </c>
      <c r="K1139" s="24"/>
      <c r="L1139" s="24"/>
      <c r="M1139" s="24"/>
      <c r="N1139" s="24"/>
      <c r="O1139" s="24"/>
      <c r="P1139" s="170"/>
      <c r="Q1139" s="170"/>
      <c r="R1139" s="247"/>
      <c r="S1139" s="196"/>
      <c r="T1139" s="196"/>
      <c r="U1139" s="196"/>
      <c r="V1139" s="194"/>
      <c r="W1139" s="194" t="s">
        <v>405</v>
      </c>
      <c r="X1139" s="196"/>
      <c r="Y1139" s="196"/>
      <c r="Z1139" s="196"/>
      <c r="AA1139" s="170"/>
      <c r="AB1139" s="196"/>
      <c r="AC1139" s="251"/>
      <c r="AD1139" s="170"/>
      <c r="AE1139" s="225"/>
      <c r="AF1139" s="170"/>
      <c r="AG1139" s="170"/>
      <c r="AH1139" s="251"/>
      <c r="AI1139" s="170"/>
      <c r="AJ1139" s="196"/>
      <c r="AK1139" s="22"/>
      <c r="AL1139" s="170"/>
      <c r="AM1139" s="170"/>
      <c r="AN1139" s="170"/>
      <c r="AO1139" s="170"/>
      <c r="AP1139" s="170"/>
      <c r="AQ1139" s="22"/>
      <c r="AR1139" s="22"/>
      <c r="AS1139" s="22"/>
      <c r="AT1139" s="170"/>
      <c r="AU1139" s="170"/>
      <c r="AV1139" s="170"/>
      <c r="AW1139" s="170"/>
      <c r="AX1139" s="170"/>
      <c r="AY1139" s="170"/>
      <c r="AZ1139" s="170"/>
      <c r="BA1139" s="170"/>
      <c r="BB1139" s="170"/>
      <c r="BC1139" s="170"/>
      <c r="BD1139" s="170"/>
      <c r="BE1139" s="137" t="s">
        <v>115</v>
      </c>
      <c r="BF1139" s="143" t="s">
        <v>406</v>
      </c>
      <c r="BG1139" s="139" t="s">
        <v>407</v>
      </c>
      <c r="BH1139" s="220"/>
      <c r="BI1139" s="220"/>
      <c r="BJ1139" s="220"/>
      <c r="BK1139" s="46">
        <f t="shared" si="1"/>
        <v>1</v>
      </c>
      <c r="BL1139" s="46"/>
      <c r="BM1139" s="46"/>
      <c r="BN1139" s="46"/>
    </row>
    <row r="1140" spans="1:66" ht="12.75" hidden="1" customHeight="1">
      <c r="A1140" s="22">
        <v>1138</v>
      </c>
      <c r="B1140" s="22" t="s">
        <v>2907</v>
      </c>
      <c r="C1140" s="22" t="str">
        <f t="shared" si="0"/>
        <v>Specify - Reason Treatment not given</v>
      </c>
      <c r="D1140" s="24" t="s">
        <v>2907</v>
      </c>
      <c r="E1140" s="22" t="s">
        <v>96</v>
      </c>
      <c r="F1140" s="24" t="s">
        <v>1787</v>
      </c>
      <c r="G1140" s="24" t="s">
        <v>2875</v>
      </c>
      <c r="H1140" s="24"/>
      <c r="I1140" s="24">
        <v>1</v>
      </c>
      <c r="J1140" s="24" t="s">
        <v>2372</v>
      </c>
      <c r="K1140" s="24"/>
      <c r="L1140" s="24"/>
      <c r="M1140" s="24"/>
      <c r="N1140" s="24"/>
      <c r="O1140" s="24"/>
      <c r="P1140" s="170"/>
      <c r="Q1140" s="170"/>
      <c r="R1140" s="247" t="s">
        <v>409</v>
      </c>
      <c r="S1140" s="196" t="s">
        <v>2908</v>
      </c>
      <c r="T1140" s="196" t="s">
        <v>2720</v>
      </c>
      <c r="U1140" s="196" t="s">
        <v>111</v>
      </c>
      <c r="V1140" s="194"/>
      <c r="W1140" s="194"/>
      <c r="X1140" s="196"/>
      <c r="Y1140" s="196"/>
      <c r="Z1140" s="196"/>
      <c r="AA1140" s="170"/>
      <c r="AB1140" s="196" t="s">
        <v>208</v>
      </c>
      <c r="AC1140" s="251"/>
      <c r="AD1140" s="170"/>
      <c r="AE1140" s="225"/>
      <c r="AF1140" s="170"/>
      <c r="AG1140" s="170"/>
      <c r="AH1140" s="251"/>
      <c r="AI1140" s="170"/>
      <c r="AJ1140" s="196" t="s">
        <v>115</v>
      </c>
      <c r="AK1140" s="22"/>
      <c r="AL1140" s="170"/>
      <c r="AM1140" s="170"/>
      <c r="AN1140" s="170"/>
      <c r="AO1140" s="170"/>
      <c r="AP1140" s="170"/>
      <c r="AQ1140" s="22"/>
      <c r="AR1140" s="22"/>
      <c r="AS1140" s="22"/>
      <c r="AT1140" s="170"/>
      <c r="AU1140" s="170"/>
      <c r="AV1140" s="170"/>
      <c r="AW1140" s="170"/>
      <c r="AX1140" s="170"/>
      <c r="AY1140" s="170"/>
      <c r="AZ1140" s="170"/>
      <c r="BA1140" s="170"/>
      <c r="BB1140" s="170"/>
      <c r="BC1140" s="170"/>
      <c r="BD1140" s="170"/>
      <c r="BE1140" s="137" t="s">
        <v>2909</v>
      </c>
      <c r="BF1140" s="143" t="s">
        <v>415</v>
      </c>
      <c r="BG1140" s="167" t="s">
        <v>416</v>
      </c>
      <c r="BH1140" s="220"/>
      <c r="BI1140" s="220"/>
      <c r="BJ1140" s="220"/>
      <c r="BK1140" s="46">
        <f t="shared" si="1"/>
        <v>1</v>
      </c>
      <c r="BL1140" s="46"/>
      <c r="BM1140" s="46"/>
      <c r="BN1140" s="46"/>
    </row>
    <row r="1141" spans="1:66" ht="12.75" hidden="1" customHeight="1">
      <c r="A1141" s="22">
        <v>1139</v>
      </c>
      <c r="B1141" s="22" t="s">
        <v>2910</v>
      </c>
      <c r="C1141" s="22" t="str">
        <f t="shared" si="0"/>
        <v>sp</v>
      </c>
      <c r="D1141" s="24" t="s">
        <v>2910</v>
      </c>
      <c r="E1141" s="22" t="s">
        <v>65</v>
      </c>
      <c r="F1141" s="24" t="s">
        <v>1787</v>
      </c>
      <c r="G1141" s="24" t="s">
        <v>2875</v>
      </c>
      <c r="H1141" s="24"/>
      <c r="I1141" s="24">
        <v>1</v>
      </c>
      <c r="J1141" s="24" t="s">
        <v>2372</v>
      </c>
      <c r="K1141" s="24"/>
      <c r="L1141" s="24"/>
      <c r="M1141" s="24"/>
      <c r="N1141" s="24"/>
      <c r="O1141" s="24"/>
      <c r="P1141" s="170"/>
      <c r="Q1141" s="170"/>
      <c r="R1141" s="222" t="s">
        <v>115</v>
      </c>
      <c r="S1141" s="221" t="s">
        <v>2910</v>
      </c>
      <c r="T1141" s="221" t="s">
        <v>2911</v>
      </c>
      <c r="U1141" s="221" t="s">
        <v>65</v>
      </c>
      <c r="V1141" s="163"/>
      <c r="W1141" s="163"/>
      <c r="X1141" s="221" t="s">
        <v>2912</v>
      </c>
      <c r="Y1141" s="221"/>
      <c r="Z1141" s="164"/>
      <c r="AA1141" s="170"/>
      <c r="AB1141" s="221" t="s">
        <v>115</v>
      </c>
      <c r="AC1141" s="251"/>
      <c r="AD1141" s="170"/>
      <c r="AE1141" s="225"/>
      <c r="AF1141" s="170"/>
      <c r="AG1141" s="170"/>
      <c r="AH1141" s="251"/>
      <c r="AI1141" s="170"/>
      <c r="AJ1141" s="221" t="s">
        <v>115</v>
      </c>
      <c r="AK1141" s="22"/>
      <c r="AL1141" s="170"/>
      <c r="AM1141" s="170"/>
      <c r="AN1141" s="170"/>
      <c r="AO1141" s="170"/>
      <c r="AP1141" s="170"/>
      <c r="AQ1141" s="22"/>
      <c r="AR1141" s="22"/>
      <c r="AS1141" s="22"/>
      <c r="AT1141" s="170"/>
      <c r="AU1141" s="170"/>
      <c r="AV1141" s="170"/>
      <c r="AW1141" s="170"/>
      <c r="AX1141" s="170"/>
      <c r="AY1141" s="170"/>
      <c r="AZ1141" s="170"/>
      <c r="BA1141" s="170"/>
      <c r="BB1141" s="170"/>
      <c r="BC1141" s="170"/>
      <c r="BD1141" s="170"/>
      <c r="BE1141" s="137" t="s">
        <v>115</v>
      </c>
      <c r="BF1141" s="143" t="s">
        <v>115</v>
      </c>
      <c r="BG1141" s="167" t="s">
        <v>115</v>
      </c>
      <c r="BH1141" s="220"/>
      <c r="BI1141" s="220"/>
      <c r="BJ1141" s="220"/>
      <c r="BK1141" s="46">
        <f t="shared" si="1"/>
        <v>1</v>
      </c>
      <c r="BL1141" s="46"/>
      <c r="BM1141" s="46"/>
      <c r="BN1141" s="46"/>
    </row>
    <row r="1142" spans="1:66" ht="12.75" hidden="1" customHeight="1">
      <c r="A1142" s="22">
        <v>1140</v>
      </c>
      <c r="B1142" s="22" t="s">
        <v>2913</v>
      </c>
      <c r="C1142" s="22" t="str">
        <f t="shared" si="0"/>
        <v>Malaria prevention counseling</v>
      </c>
      <c r="D1142" s="24" t="s">
        <v>2913</v>
      </c>
      <c r="E1142" s="22" t="s">
        <v>96</v>
      </c>
      <c r="F1142" s="24" t="s">
        <v>1787</v>
      </c>
      <c r="G1142" s="24" t="s">
        <v>2914</v>
      </c>
      <c r="H1142" s="24"/>
      <c r="I1142" s="24">
        <v>1</v>
      </c>
      <c r="J1142" s="24" t="s">
        <v>2372</v>
      </c>
      <c r="K1142" s="24"/>
      <c r="L1142" s="24"/>
      <c r="M1142" s="24"/>
      <c r="N1142" s="24"/>
      <c r="O1142" s="24"/>
      <c r="P1142" s="170"/>
      <c r="Q1142" s="170"/>
      <c r="R1142" s="195" t="s">
        <v>2913</v>
      </c>
      <c r="S1142" s="194" t="s">
        <v>2915</v>
      </c>
      <c r="T1142" s="196"/>
      <c r="U1142" s="194" t="s">
        <v>202</v>
      </c>
      <c r="V1142" s="163"/>
      <c r="W1142" s="163"/>
      <c r="X1142" s="196"/>
      <c r="Y1142" s="196"/>
      <c r="Z1142" s="196"/>
      <c r="AA1142" s="170"/>
      <c r="AB1142" s="194" t="s">
        <v>208</v>
      </c>
      <c r="AC1142" s="251"/>
      <c r="AD1142" s="170"/>
      <c r="AE1142" s="225"/>
      <c r="AF1142" s="170"/>
      <c r="AG1142" s="170"/>
      <c r="AH1142" s="251"/>
      <c r="AI1142" s="170"/>
      <c r="AJ1142" s="194" t="s">
        <v>1277</v>
      </c>
      <c r="AK1142" s="22"/>
      <c r="AL1142" s="170"/>
      <c r="AM1142" s="170"/>
      <c r="AN1142" s="170"/>
      <c r="AO1142" s="170"/>
      <c r="AP1142" s="170"/>
      <c r="AQ1142" s="22"/>
      <c r="AR1142" s="22"/>
      <c r="AS1142" s="22"/>
      <c r="AT1142" s="170"/>
      <c r="AU1142" s="170"/>
      <c r="AV1142" s="170"/>
      <c r="AW1142" s="170"/>
      <c r="AX1142" s="170"/>
      <c r="AY1142" s="170"/>
      <c r="AZ1142" s="170"/>
      <c r="BA1142" s="170"/>
      <c r="BB1142" s="170"/>
      <c r="BC1142" s="170"/>
      <c r="BD1142" s="170"/>
      <c r="BE1142" s="137" t="s">
        <v>2916</v>
      </c>
      <c r="BF1142" s="137" t="s">
        <v>2398</v>
      </c>
      <c r="BG1142" s="139" t="s">
        <v>2399</v>
      </c>
      <c r="BH1142" s="220"/>
      <c r="BI1142" s="220"/>
      <c r="BJ1142" s="220"/>
      <c r="BK1142" s="46">
        <f t="shared" si="1"/>
        <v>1</v>
      </c>
      <c r="BL1142" s="46"/>
      <c r="BM1142" s="46"/>
      <c r="BN1142" s="46"/>
    </row>
    <row r="1143" spans="1:66" ht="12.75" hidden="1" customHeight="1">
      <c r="A1143" s="22">
        <v>1141</v>
      </c>
      <c r="B1143" s="22" t="s">
        <v>2527</v>
      </c>
      <c r="C1143" s="22" t="e">
        <f t="shared" ca="1" si="0"/>
        <v>#NAME?</v>
      </c>
      <c r="D1143" s="24" t="s">
        <v>1673</v>
      </c>
      <c r="E1143" s="22" t="s">
        <v>180</v>
      </c>
      <c r="F1143" s="24" t="s">
        <v>2913</v>
      </c>
      <c r="G1143" s="24" t="s">
        <v>2914</v>
      </c>
      <c r="H1143" s="24"/>
      <c r="I1143" s="24">
        <v>1</v>
      </c>
      <c r="J1143" s="24" t="s">
        <v>2372</v>
      </c>
      <c r="K1143" s="24"/>
      <c r="L1143" s="24"/>
      <c r="M1143" s="24"/>
      <c r="N1143" s="24"/>
      <c r="O1143" s="24"/>
      <c r="P1143" s="170"/>
      <c r="Q1143" s="170"/>
      <c r="R1143" s="195"/>
      <c r="S1143" s="194"/>
      <c r="T1143" s="196"/>
      <c r="U1143" s="194"/>
      <c r="V1143" s="163"/>
      <c r="W1143" s="163" t="s">
        <v>1673</v>
      </c>
      <c r="X1143" s="196"/>
      <c r="Y1143" s="196"/>
      <c r="Z1143" s="196"/>
      <c r="AA1143" s="170"/>
      <c r="AB1143" s="194"/>
      <c r="AC1143" s="251"/>
      <c r="AD1143" s="170"/>
      <c r="AE1143" s="225"/>
      <c r="AF1143" s="170"/>
      <c r="AG1143" s="170"/>
      <c r="AH1143" s="251"/>
      <c r="AI1143" s="170"/>
      <c r="AJ1143" s="194"/>
      <c r="AK1143" s="22"/>
      <c r="AL1143" s="170"/>
      <c r="AM1143" s="170"/>
      <c r="AN1143" s="170"/>
      <c r="AO1143" s="170"/>
      <c r="AP1143" s="170"/>
      <c r="AQ1143" s="22"/>
      <c r="AR1143" s="22"/>
      <c r="AS1143" s="22"/>
      <c r="AT1143" s="170"/>
      <c r="AU1143" s="170"/>
      <c r="AV1143" s="170"/>
      <c r="AW1143" s="170"/>
      <c r="AX1143" s="170"/>
      <c r="AY1143" s="170"/>
      <c r="AZ1143" s="170"/>
      <c r="BA1143" s="170"/>
      <c r="BB1143" s="170"/>
      <c r="BC1143" s="170"/>
      <c r="BD1143" s="170"/>
      <c r="BE1143" s="137" t="s">
        <v>115</v>
      </c>
      <c r="BF1143" s="137" t="s">
        <v>942</v>
      </c>
      <c r="BG1143" s="167" t="s">
        <v>943</v>
      </c>
      <c r="BH1143" s="220"/>
      <c r="BI1143" s="220"/>
      <c r="BJ1143" s="220"/>
      <c r="BK1143" s="46">
        <f t="shared" si="1"/>
        <v>1</v>
      </c>
      <c r="BL1143" s="46"/>
      <c r="BM1143" s="46"/>
      <c r="BN1143" s="46"/>
    </row>
    <row r="1144" spans="1:66" ht="12.75" hidden="1" customHeight="1">
      <c r="A1144" s="22">
        <v>1142</v>
      </c>
      <c r="B1144" s="22" t="s">
        <v>2118</v>
      </c>
      <c r="C1144" s="22" t="e">
        <f t="shared" ca="1" si="0"/>
        <v>#NAME?</v>
      </c>
      <c r="D1144" s="24" t="s">
        <v>1468</v>
      </c>
      <c r="E1144" s="22" t="s">
        <v>180</v>
      </c>
      <c r="F1144" s="24" t="s">
        <v>2913</v>
      </c>
      <c r="G1144" s="24" t="s">
        <v>2914</v>
      </c>
      <c r="H1144" s="24"/>
      <c r="I1144" s="24">
        <v>1</v>
      </c>
      <c r="J1144" s="24" t="s">
        <v>2372</v>
      </c>
      <c r="K1144" s="24"/>
      <c r="L1144" s="24"/>
      <c r="M1144" s="24"/>
      <c r="N1144" s="24"/>
      <c r="O1144" s="24"/>
      <c r="P1144" s="170"/>
      <c r="Q1144" s="170"/>
      <c r="R1144" s="195"/>
      <c r="S1144" s="194"/>
      <c r="T1144" s="196"/>
      <c r="U1144" s="194"/>
      <c r="V1144" s="163"/>
      <c r="W1144" s="163" t="s">
        <v>1468</v>
      </c>
      <c r="X1144" s="196"/>
      <c r="Y1144" s="196"/>
      <c r="Z1144" s="196"/>
      <c r="AA1144" s="170"/>
      <c r="AB1144" s="194"/>
      <c r="AC1144" s="251"/>
      <c r="AD1144" s="170"/>
      <c r="AE1144" s="225"/>
      <c r="AF1144" s="170"/>
      <c r="AG1144" s="170"/>
      <c r="AH1144" s="251"/>
      <c r="AI1144" s="170"/>
      <c r="AJ1144" s="194"/>
      <c r="AK1144" s="22"/>
      <c r="AL1144" s="170"/>
      <c r="AM1144" s="170"/>
      <c r="AN1144" s="170"/>
      <c r="AO1144" s="170"/>
      <c r="AP1144" s="170"/>
      <c r="AQ1144" s="22"/>
      <c r="AR1144" s="22"/>
      <c r="AS1144" s="22"/>
      <c r="AT1144" s="170"/>
      <c r="AU1144" s="170"/>
      <c r="AV1144" s="170"/>
      <c r="AW1144" s="170"/>
      <c r="AX1144" s="170"/>
      <c r="AY1144" s="170"/>
      <c r="AZ1144" s="170"/>
      <c r="BA1144" s="170"/>
      <c r="BB1144" s="170"/>
      <c r="BC1144" s="170"/>
      <c r="BD1144" s="170"/>
      <c r="BE1144" s="137" t="s">
        <v>115</v>
      </c>
      <c r="BF1144" s="137" t="s">
        <v>1469</v>
      </c>
      <c r="BG1144" s="167" t="s">
        <v>1470</v>
      </c>
      <c r="BH1144" s="220"/>
      <c r="BI1144" s="220"/>
      <c r="BJ1144" s="220"/>
      <c r="BK1144" s="46">
        <f t="shared" si="1"/>
        <v>1</v>
      </c>
      <c r="BL1144" s="46"/>
      <c r="BM1144" s="46"/>
      <c r="BN1144" s="46"/>
    </row>
    <row r="1145" spans="1:66" ht="12.75" hidden="1" customHeight="1">
      <c r="A1145" s="22">
        <v>1143</v>
      </c>
      <c r="B1145" s="22" t="s">
        <v>2917</v>
      </c>
      <c r="C1145" s="22" t="str">
        <f t="shared" si="0"/>
        <v>Reason Malaria prevention counseling not done</v>
      </c>
      <c r="D1145" s="24" t="s">
        <v>2917</v>
      </c>
      <c r="E1145" s="22" t="s">
        <v>96</v>
      </c>
      <c r="F1145" s="24" t="s">
        <v>1787</v>
      </c>
      <c r="G1145" s="24" t="s">
        <v>2914</v>
      </c>
      <c r="H1145" s="24"/>
      <c r="I1145" s="24">
        <v>1</v>
      </c>
      <c r="J1145" s="24" t="s">
        <v>2372</v>
      </c>
      <c r="K1145" s="24"/>
      <c r="L1145" s="24"/>
      <c r="M1145" s="24"/>
      <c r="N1145" s="24"/>
      <c r="O1145" s="24"/>
      <c r="P1145" s="170"/>
      <c r="Q1145" s="170"/>
      <c r="R1145" s="169" t="s">
        <v>1376</v>
      </c>
      <c r="S1145" s="194" t="s">
        <v>2918</v>
      </c>
      <c r="T1145" s="164" t="s">
        <v>2919</v>
      </c>
      <c r="U1145" s="164" t="s">
        <v>202</v>
      </c>
      <c r="V1145" s="193"/>
      <c r="W1145" s="194"/>
      <c r="X1145" s="196"/>
      <c r="Y1145" s="196"/>
      <c r="Z1145" s="196"/>
      <c r="AA1145" s="170"/>
      <c r="AB1145" s="194" t="s">
        <v>208</v>
      </c>
      <c r="AC1145" s="251"/>
      <c r="AD1145" s="170"/>
      <c r="AE1145" s="225"/>
      <c r="AF1145" s="170"/>
      <c r="AG1145" s="170"/>
      <c r="AH1145" s="251"/>
      <c r="AI1145" s="170"/>
      <c r="AJ1145" s="196" t="s">
        <v>115</v>
      </c>
      <c r="AK1145" s="22"/>
      <c r="AL1145" s="170"/>
      <c r="AM1145" s="170"/>
      <c r="AN1145" s="170"/>
      <c r="AO1145" s="170"/>
      <c r="AP1145" s="170"/>
      <c r="AQ1145" s="22"/>
      <c r="AR1145" s="22"/>
      <c r="AS1145" s="22"/>
      <c r="AT1145" s="170"/>
      <c r="AU1145" s="170"/>
      <c r="AV1145" s="170"/>
      <c r="AW1145" s="170"/>
      <c r="AX1145" s="170"/>
      <c r="AY1145" s="170"/>
      <c r="AZ1145" s="170"/>
      <c r="BA1145" s="170"/>
      <c r="BB1145" s="170"/>
      <c r="BC1145" s="170"/>
      <c r="BD1145" s="170"/>
      <c r="BE1145" s="137" t="s">
        <v>2916</v>
      </c>
      <c r="BF1145" s="137" t="s">
        <v>2403</v>
      </c>
      <c r="BG1145" s="139" t="s">
        <v>2404</v>
      </c>
      <c r="BH1145" s="220"/>
      <c r="BI1145" s="220"/>
      <c r="BJ1145" s="220"/>
      <c r="BK1145" s="46">
        <f t="shared" si="1"/>
        <v>1</v>
      </c>
      <c r="BL1145" s="46"/>
      <c r="BM1145" s="46"/>
      <c r="BN1145" s="46"/>
    </row>
    <row r="1146" spans="1:66" ht="12.75" hidden="1" customHeight="1">
      <c r="A1146" s="22">
        <v>1144</v>
      </c>
      <c r="B1146" s="22" t="s">
        <v>3616</v>
      </c>
      <c r="C1146" s="22" t="e">
        <f t="shared" ca="1" si="0"/>
        <v>#NAME?</v>
      </c>
      <c r="D1146" s="24" t="s">
        <v>2405</v>
      </c>
      <c r="E1146" s="22" t="s">
        <v>180</v>
      </c>
      <c r="F1146" s="24" t="s">
        <v>2917</v>
      </c>
      <c r="G1146" s="24" t="s">
        <v>2914</v>
      </c>
      <c r="H1146" s="24"/>
      <c r="I1146" s="24">
        <v>1</v>
      </c>
      <c r="J1146" s="24" t="s">
        <v>2372</v>
      </c>
      <c r="K1146" s="24"/>
      <c r="L1146" s="24"/>
      <c r="M1146" s="24"/>
      <c r="N1146" s="24"/>
      <c r="O1146" s="24"/>
      <c r="P1146" s="170"/>
      <c r="Q1146" s="170"/>
      <c r="R1146" s="247"/>
      <c r="S1146" s="194"/>
      <c r="T1146" s="196"/>
      <c r="U1146" s="196"/>
      <c r="V1146" s="194"/>
      <c r="W1146" s="194" t="s">
        <v>2405</v>
      </c>
      <c r="X1146" s="196"/>
      <c r="Y1146" s="196"/>
      <c r="Z1146" s="196"/>
      <c r="AA1146" s="170"/>
      <c r="AB1146" s="196"/>
      <c r="AC1146" s="251"/>
      <c r="AD1146" s="170"/>
      <c r="AE1146" s="225"/>
      <c r="AF1146" s="170"/>
      <c r="AG1146" s="170"/>
      <c r="AH1146" s="251"/>
      <c r="AI1146" s="170"/>
      <c r="AJ1146" s="196"/>
      <c r="AK1146" s="22"/>
      <c r="AL1146" s="170"/>
      <c r="AM1146" s="170"/>
      <c r="AN1146" s="170"/>
      <c r="AO1146" s="170"/>
      <c r="AP1146" s="170"/>
      <c r="AQ1146" s="22"/>
      <c r="AR1146" s="22"/>
      <c r="AS1146" s="22"/>
      <c r="AT1146" s="170"/>
      <c r="AU1146" s="170"/>
      <c r="AV1146" s="170"/>
      <c r="AW1146" s="170"/>
      <c r="AX1146" s="170"/>
      <c r="AY1146" s="170"/>
      <c r="AZ1146" s="170"/>
      <c r="BA1146" s="170"/>
      <c r="BB1146" s="170"/>
      <c r="BC1146" s="170"/>
      <c r="BD1146" s="170"/>
      <c r="BE1146" s="137" t="s">
        <v>115</v>
      </c>
      <c r="BF1146" s="143" t="s">
        <v>2406</v>
      </c>
      <c r="BG1146" s="167" t="s">
        <v>2407</v>
      </c>
      <c r="BH1146" s="220"/>
      <c r="BI1146" s="220"/>
      <c r="BJ1146" s="220"/>
      <c r="BK1146" s="46">
        <f t="shared" si="1"/>
        <v>1</v>
      </c>
      <c r="BL1146" s="46"/>
      <c r="BM1146" s="46"/>
      <c r="BN1146" s="46"/>
    </row>
    <row r="1147" spans="1:66" ht="12.75" hidden="1" customHeight="1">
      <c r="A1147" s="22">
        <v>1145</v>
      </c>
      <c r="B1147" s="22" t="s">
        <v>535</v>
      </c>
      <c r="C1147" s="22" t="e">
        <f t="shared" ca="1" si="0"/>
        <v>#NAME?</v>
      </c>
      <c r="D1147" s="24" t="s">
        <v>405</v>
      </c>
      <c r="E1147" s="22" t="s">
        <v>180</v>
      </c>
      <c r="F1147" s="24" t="s">
        <v>2917</v>
      </c>
      <c r="G1147" s="24" t="s">
        <v>2914</v>
      </c>
      <c r="H1147" s="24"/>
      <c r="I1147" s="24">
        <v>1</v>
      </c>
      <c r="J1147" s="24" t="s">
        <v>2372</v>
      </c>
      <c r="K1147" s="24"/>
      <c r="L1147" s="24"/>
      <c r="M1147" s="24"/>
      <c r="N1147" s="24"/>
      <c r="O1147" s="24"/>
      <c r="P1147" s="170"/>
      <c r="Q1147" s="170"/>
      <c r="R1147" s="247"/>
      <c r="S1147" s="194"/>
      <c r="T1147" s="196"/>
      <c r="U1147" s="196"/>
      <c r="V1147" s="194"/>
      <c r="W1147" s="194" t="s">
        <v>405</v>
      </c>
      <c r="X1147" s="196"/>
      <c r="Y1147" s="196"/>
      <c r="Z1147" s="196"/>
      <c r="AA1147" s="170"/>
      <c r="AB1147" s="196"/>
      <c r="AC1147" s="251"/>
      <c r="AD1147" s="170"/>
      <c r="AE1147" s="225"/>
      <c r="AF1147" s="170"/>
      <c r="AG1147" s="170"/>
      <c r="AH1147" s="251"/>
      <c r="AI1147" s="170"/>
      <c r="AJ1147" s="196"/>
      <c r="AK1147" s="22"/>
      <c r="AL1147" s="170"/>
      <c r="AM1147" s="170"/>
      <c r="AN1147" s="170"/>
      <c r="AO1147" s="170"/>
      <c r="AP1147" s="170"/>
      <c r="AQ1147" s="22"/>
      <c r="AR1147" s="22"/>
      <c r="AS1147" s="22"/>
      <c r="AT1147" s="170"/>
      <c r="AU1147" s="170"/>
      <c r="AV1147" s="170"/>
      <c r="AW1147" s="170"/>
      <c r="AX1147" s="170"/>
      <c r="AY1147" s="170"/>
      <c r="AZ1147" s="170"/>
      <c r="BA1147" s="170"/>
      <c r="BB1147" s="170"/>
      <c r="BC1147" s="170"/>
      <c r="BD1147" s="170"/>
      <c r="BE1147" s="137" t="s">
        <v>115</v>
      </c>
      <c r="BF1147" s="143" t="s">
        <v>406</v>
      </c>
      <c r="BG1147" s="167" t="s">
        <v>407</v>
      </c>
      <c r="BH1147" s="220"/>
      <c r="BI1147" s="220"/>
      <c r="BJ1147" s="220"/>
      <c r="BK1147" s="46">
        <f t="shared" si="1"/>
        <v>1</v>
      </c>
      <c r="BL1147" s="46"/>
      <c r="BM1147" s="46"/>
      <c r="BN1147" s="46"/>
    </row>
    <row r="1148" spans="1:66" ht="12.75" hidden="1" customHeight="1">
      <c r="A1148" s="22">
        <v>1146</v>
      </c>
      <c r="B1148" s="22" t="s">
        <v>2920</v>
      </c>
      <c r="C1148" s="22" t="str">
        <f t="shared" si="0"/>
        <v>Specify - Reason Malaria prevention counseling not done</v>
      </c>
      <c r="D1148" s="24" t="s">
        <v>2920</v>
      </c>
      <c r="E1148" s="22" t="s">
        <v>96</v>
      </c>
      <c r="F1148" s="24" t="s">
        <v>1787</v>
      </c>
      <c r="G1148" s="24" t="s">
        <v>2914</v>
      </c>
      <c r="H1148" s="24"/>
      <c r="I1148" s="24">
        <v>1</v>
      </c>
      <c r="J1148" s="24" t="s">
        <v>2372</v>
      </c>
      <c r="K1148" s="24"/>
      <c r="L1148" s="24"/>
      <c r="M1148" s="24"/>
      <c r="N1148" s="24"/>
      <c r="O1148" s="24"/>
      <c r="P1148" s="170"/>
      <c r="Q1148" s="170"/>
      <c r="R1148" s="247" t="s">
        <v>409</v>
      </c>
      <c r="S1148" s="194" t="s">
        <v>2921</v>
      </c>
      <c r="T1148" s="196" t="s">
        <v>2720</v>
      </c>
      <c r="U1148" s="196" t="s">
        <v>111</v>
      </c>
      <c r="V1148" s="194"/>
      <c r="W1148" s="194"/>
      <c r="X1148" s="196"/>
      <c r="Y1148" s="196"/>
      <c r="Z1148" s="196"/>
      <c r="AA1148" s="170"/>
      <c r="AB1148" s="196" t="s">
        <v>208</v>
      </c>
      <c r="AC1148" s="251"/>
      <c r="AD1148" s="170"/>
      <c r="AE1148" s="225"/>
      <c r="AF1148" s="170"/>
      <c r="AG1148" s="170"/>
      <c r="AH1148" s="251"/>
      <c r="AI1148" s="170"/>
      <c r="AJ1148" s="196" t="s">
        <v>115</v>
      </c>
      <c r="AK1148" s="22"/>
      <c r="AL1148" s="170"/>
      <c r="AM1148" s="170"/>
      <c r="AN1148" s="170"/>
      <c r="AO1148" s="170"/>
      <c r="AP1148" s="170"/>
      <c r="AQ1148" s="22"/>
      <c r="AR1148" s="22"/>
      <c r="AS1148" s="22"/>
      <c r="AT1148" s="170"/>
      <c r="AU1148" s="170"/>
      <c r="AV1148" s="170"/>
      <c r="AW1148" s="170"/>
      <c r="AX1148" s="170"/>
      <c r="AY1148" s="170"/>
      <c r="AZ1148" s="170"/>
      <c r="BA1148" s="170"/>
      <c r="BB1148" s="170"/>
      <c r="BC1148" s="170"/>
      <c r="BD1148" s="170"/>
      <c r="BE1148" s="143" t="s">
        <v>2916</v>
      </c>
      <c r="BF1148" s="143" t="s">
        <v>2411</v>
      </c>
      <c r="BG1148" s="167" t="s">
        <v>2412</v>
      </c>
      <c r="BH1148" s="220"/>
      <c r="BI1148" s="220"/>
      <c r="BJ1148" s="220"/>
      <c r="BK1148" s="46">
        <f t="shared" si="1"/>
        <v>1</v>
      </c>
      <c r="BL1148" s="46"/>
      <c r="BM1148" s="46"/>
      <c r="BN1148" s="46"/>
    </row>
    <row r="1149" spans="1:66" ht="12.75" hidden="1" customHeight="1">
      <c r="A1149" s="22">
        <v>1147</v>
      </c>
      <c r="B1149" s="22" t="s">
        <v>2922</v>
      </c>
      <c r="C1149" s="22" t="str">
        <f t="shared" si="0"/>
        <v>TT dose #1</v>
      </c>
      <c r="D1149" s="24" t="s">
        <v>2922</v>
      </c>
      <c r="E1149" s="22" t="s">
        <v>96</v>
      </c>
      <c r="F1149" s="24" t="s">
        <v>1787</v>
      </c>
      <c r="G1149" s="24" t="s">
        <v>2923</v>
      </c>
      <c r="H1149" s="24"/>
      <c r="I1149" s="24">
        <v>1</v>
      </c>
      <c r="J1149" s="24" t="s">
        <v>2372</v>
      </c>
      <c r="K1149" s="24"/>
      <c r="L1149" s="24"/>
      <c r="M1149" s="24"/>
      <c r="N1149" s="24"/>
      <c r="O1149" s="24"/>
      <c r="P1149" s="170"/>
      <c r="Q1149" s="170"/>
      <c r="R1149" s="169" t="s">
        <v>2922</v>
      </c>
      <c r="S1149" s="163" t="s">
        <v>2924</v>
      </c>
      <c r="T1149" s="164" t="s">
        <v>2925</v>
      </c>
      <c r="U1149" s="164" t="s">
        <v>202</v>
      </c>
      <c r="V1149" s="163"/>
      <c r="W1149" s="163"/>
      <c r="X1149" s="164"/>
      <c r="Y1149" s="164"/>
      <c r="Z1149" s="164" t="s">
        <v>904</v>
      </c>
      <c r="AA1149" s="170"/>
      <c r="AB1149" s="164" t="s">
        <v>113</v>
      </c>
      <c r="AC1149" s="251"/>
      <c r="AD1149" s="170"/>
      <c r="AE1149" s="225"/>
      <c r="AF1149" s="170"/>
      <c r="AG1149" s="170"/>
      <c r="AH1149" s="251"/>
      <c r="AI1149" s="170"/>
      <c r="AJ1149" s="164" t="s">
        <v>2675</v>
      </c>
      <c r="AK1149" s="22"/>
      <c r="AL1149" s="170"/>
      <c r="AM1149" s="170"/>
      <c r="AN1149" s="170"/>
      <c r="AO1149" s="170"/>
      <c r="AP1149" s="170"/>
      <c r="AQ1149" s="22"/>
      <c r="AR1149" s="22"/>
      <c r="AS1149" s="22"/>
      <c r="AT1149" s="170"/>
      <c r="AU1149" s="170"/>
      <c r="AV1149" s="170"/>
      <c r="AW1149" s="170"/>
      <c r="AX1149" s="170"/>
      <c r="AY1149" s="170"/>
      <c r="AZ1149" s="170"/>
      <c r="BA1149" s="170"/>
      <c r="BB1149" s="170"/>
      <c r="BC1149" s="170"/>
      <c r="BD1149" s="170"/>
      <c r="BE1149" s="137" t="s">
        <v>2926</v>
      </c>
      <c r="BF1149" s="137" t="s">
        <v>2927</v>
      </c>
      <c r="BG1149" s="139" t="s">
        <v>2928</v>
      </c>
      <c r="BH1149" s="220"/>
      <c r="BI1149" s="220"/>
      <c r="BJ1149" s="220"/>
      <c r="BK1149" s="46">
        <f t="shared" si="1"/>
        <v>1</v>
      </c>
      <c r="BL1149" s="46"/>
      <c r="BM1149" s="46"/>
      <c r="BN1149" s="46"/>
    </row>
    <row r="1150" spans="1:66" ht="12.75" hidden="1" customHeight="1">
      <c r="A1150" s="22">
        <v>1148</v>
      </c>
      <c r="B1150" s="22" t="s">
        <v>2651</v>
      </c>
      <c r="C1150" s="22" t="e">
        <f t="shared" ca="1" si="0"/>
        <v>#NAME?</v>
      </c>
      <c r="D1150" s="24" t="s">
        <v>1775</v>
      </c>
      <c r="E1150" s="22" t="s">
        <v>180</v>
      </c>
      <c r="F1150" s="24" t="s">
        <v>2922</v>
      </c>
      <c r="G1150" s="24" t="s">
        <v>2923</v>
      </c>
      <c r="H1150" s="24"/>
      <c r="I1150" s="24">
        <v>1</v>
      </c>
      <c r="J1150" s="24" t="s">
        <v>2372</v>
      </c>
      <c r="K1150" s="24"/>
      <c r="L1150" s="24"/>
      <c r="M1150" s="24"/>
      <c r="N1150" s="24"/>
      <c r="O1150" s="24"/>
      <c r="P1150" s="170"/>
      <c r="Q1150" s="170"/>
      <c r="R1150" s="169"/>
      <c r="S1150" s="164"/>
      <c r="T1150" s="164"/>
      <c r="U1150" s="164"/>
      <c r="V1150" s="163"/>
      <c r="W1150" s="163" t="s">
        <v>1775</v>
      </c>
      <c r="X1150" s="164"/>
      <c r="Y1150" s="164"/>
      <c r="Z1150" s="164"/>
      <c r="AA1150" s="170"/>
      <c r="AB1150" s="164"/>
      <c r="AC1150" s="251"/>
      <c r="AD1150" s="170"/>
      <c r="AE1150" s="225"/>
      <c r="AF1150" s="170"/>
      <c r="AG1150" s="170"/>
      <c r="AH1150" s="251"/>
      <c r="AI1150" s="170"/>
      <c r="AJ1150" s="164"/>
      <c r="AK1150" s="22"/>
      <c r="AL1150" s="170"/>
      <c r="AM1150" s="170"/>
      <c r="AN1150" s="170"/>
      <c r="AO1150" s="170"/>
      <c r="AP1150" s="170"/>
      <c r="AQ1150" s="22"/>
      <c r="AR1150" s="22"/>
      <c r="AS1150" s="22"/>
      <c r="AT1150" s="170"/>
      <c r="AU1150" s="170"/>
      <c r="AV1150" s="170"/>
      <c r="AW1150" s="170"/>
      <c r="AX1150" s="170"/>
      <c r="AY1150" s="170"/>
      <c r="AZ1150" s="170"/>
      <c r="BA1150" s="170"/>
      <c r="BB1150" s="170"/>
      <c r="BC1150" s="170"/>
      <c r="BD1150" s="170"/>
      <c r="BE1150" s="137" t="s">
        <v>115</v>
      </c>
      <c r="BF1150" s="137" t="s">
        <v>953</v>
      </c>
      <c r="BG1150" s="139" t="s">
        <v>954</v>
      </c>
      <c r="BH1150" s="220"/>
      <c r="BI1150" s="220"/>
      <c r="BJ1150" s="220"/>
      <c r="BK1150" s="46">
        <f t="shared" si="1"/>
        <v>1</v>
      </c>
      <c r="BL1150" s="46"/>
      <c r="BM1150" s="46"/>
      <c r="BN1150" s="46"/>
    </row>
    <row r="1151" spans="1:66" ht="12.75" hidden="1" customHeight="1">
      <c r="A1151" s="22">
        <v>1149</v>
      </c>
      <c r="B1151" s="22" t="s">
        <v>2655</v>
      </c>
      <c r="C1151" s="22" t="e">
        <f t="shared" ca="1" si="0"/>
        <v>#NAME?</v>
      </c>
      <c r="D1151" s="24" t="s">
        <v>1779</v>
      </c>
      <c r="E1151" s="22" t="s">
        <v>180</v>
      </c>
      <c r="F1151" s="24" t="s">
        <v>2922</v>
      </c>
      <c r="G1151" s="24" t="s">
        <v>2923</v>
      </c>
      <c r="H1151" s="24"/>
      <c r="I1151" s="24">
        <v>1</v>
      </c>
      <c r="J1151" s="24" t="s">
        <v>2372</v>
      </c>
      <c r="K1151" s="24"/>
      <c r="L1151" s="24"/>
      <c r="M1151" s="24"/>
      <c r="N1151" s="24"/>
      <c r="O1151" s="24"/>
      <c r="P1151" s="170"/>
      <c r="Q1151" s="170"/>
      <c r="R1151" s="169"/>
      <c r="S1151" s="164"/>
      <c r="T1151" s="164"/>
      <c r="U1151" s="164"/>
      <c r="V1151" s="163"/>
      <c r="W1151" s="163" t="s">
        <v>1779</v>
      </c>
      <c r="X1151" s="164"/>
      <c r="Y1151" s="164"/>
      <c r="Z1151" s="164"/>
      <c r="AA1151" s="170"/>
      <c r="AB1151" s="164"/>
      <c r="AC1151" s="251"/>
      <c r="AD1151" s="170"/>
      <c r="AE1151" s="225"/>
      <c r="AF1151" s="170"/>
      <c r="AG1151" s="170"/>
      <c r="AH1151" s="251"/>
      <c r="AI1151" s="170"/>
      <c r="AJ1151" s="164"/>
      <c r="AK1151" s="22"/>
      <c r="AL1151" s="170"/>
      <c r="AM1151" s="170"/>
      <c r="AN1151" s="170"/>
      <c r="AO1151" s="170"/>
      <c r="AP1151" s="170"/>
      <c r="AQ1151" s="22"/>
      <c r="AR1151" s="22"/>
      <c r="AS1151" s="22"/>
      <c r="AT1151" s="170"/>
      <c r="AU1151" s="170"/>
      <c r="AV1151" s="170"/>
      <c r="AW1151" s="170"/>
      <c r="AX1151" s="170"/>
      <c r="AY1151" s="170"/>
      <c r="AZ1151" s="170"/>
      <c r="BA1151" s="170"/>
      <c r="BB1151" s="170"/>
      <c r="BC1151" s="170"/>
      <c r="BD1151" s="170"/>
      <c r="BE1151" s="137" t="s">
        <v>115</v>
      </c>
      <c r="BF1151" s="137" t="s">
        <v>2929</v>
      </c>
      <c r="BG1151" s="139" t="s">
        <v>2930</v>
      </c>
      <c r="BH1151" s="220"/>
      <c r="BI1151" s="220"/>
      <c r="BJ1151" s="220"/>
      <c r="BK1151" s="46">
        <f t="shared" si="1"/>
        <v>1</v>
      </c>
      <c r="BL1151" s="46"/>
      <c r="BM1151" s="46"/>
      <c r="BN1151" s="46"/>
    </row>
    <row r="1152" spans="1:66" ht="12.75" hidden="1" customHeight="1">
      <c r="A1152" s="22">
        <v>1150</v>
      </c>
      <c r="B1152" s="22" t="s">
        <v>2118</v>
      </c>
      <c r="C1152" s="22" t="e">
        <f t="shared" ca="1" si="0"/>
        <v>#NAME?</v>
      </c>
      <c r="D1152" s="24" t="s">
        <v>1468</v>
      </c>
      <c r="E1152" s="22" t="s">
        <v>180</v>
      </c>
      <c r="F1152" s="24" t="s">
        <v>2922</v>
      </c>
      <c r="G1152" s="24" t="s">
        <v>2923</v>
      </c>
      <c r="H1152" s="24"/>
      <c r="I1152" s="24">
        <v>1</v>
      </c>
      <c r="J1152" s="24" t="s">
        <v>2372</v>
      </c>
      <c r="K1152" s="24"/>
      <c r="L1152" s="24"/>
      <c r="M1152" s="24"/>
      <c r="N1152" s="24"/>
      <c r="O1152" s="24"/>
      <c r="P1152" s="170"/>
      <c r="Q1152" s="170"/>
      <c r="R1152" s="169"/>
      <c r="S1152" s="164"/>
      <c r="T1152" s="164"/>
      <c r="U1152" s="164"/>
      <c r="V1152" s="163"/>
      <c r="W1152" s="163" t="s">
        <v>1468</v>
      </c>
      <c r="X1152" s="164"/>
      <c r="Y1152" s="164"/>
      <c r="Z1152" s="164"/>
      <c r="AA1152" s="170"/>
      <c r="AB1152" s="164"/>
      <c r="AC1152" s="251"/>
      <c r="AD1152" s="170"/>
      <c r="AE1152" s="225"/>
      <c r="AF1152" s="170"/>
      <c r="AG1152" s="170"/>
      <c r="AH1152" s="251"/>
      <c r="AI1152" s="170"/>
      <c r="AJ1152" s="164"/>
      <c r="AK1152" s="22"/>
      <c r="AL1152" s="170"/>
      <c r="AM1152" s="170"/>
      <c r="AN1152" s="170"/>
      <c r="AO1152" s="170"/>
      <c r="AP1152" s="170"/>
      <c r="AQ1152" s="22"/>
      <c r="AR1152" s="22"/>
      <c r="AS1152" s="22"/>
      <c r="AT1152" s="170"/>
      <c r="AU1152" s="170"/>
      <c r="AV1152" s="170"/>
      <c r="AW1152" s="170"/>
      <c r="AX1152" s="170"/>
      <c r="AY1152" s="170"/>
      <c r="AZ1152" s="170"/>
      <c r="BA1152" s="170"/>
      <c r="BB1152" s="170"/>
      <c r="BC1152" s="170"/>
      <c r="BD1152" s="170"/>
      <c r="BE1152" s="137" t="s">
        <v>115</v>
      </c>
      <c r="BF1152" s="137" t="s">
        <v>957</v>
      </c>
      <c r="BG1152" s="167" t="s">
        <v>958</v>
      </c>
      <c r="BH1152" s="220"/>
      <c r="BI1152" s="220"/>
      <c r="BJ1152" s="220"/>
      <c r="BK1152" s="46">
        <f t="shared" si="1"/>
        <v>1</v>
      </c>
      <c r="BL1152" s="46"/>
      <c r="BM1152" s="46"/>
      <c r="BN1152" s="46"/>
    </row>
    <row r="1153" spans="1:66" ht="12.75" hidden="1" customHeight="1">
      <c r="A1153" s="22">
        <v>1151</v>
      </c>
      <c r="B1153" s="22" t="s">
        <v>2931</v>
      </c>
      <c r="C1153" s="22" t="str">
        <f t="shared" si="0"/>
        <v>tt1_dose_number</v>
      </c>
      <c r="D1153" s="24" t="s">
        <v>2931</v>
      </c>
      <c r="E1153" s="22" t="s">
        <v>65</v>
      </c>
      <c r="F1153" s="24" t="s">
        <v>1787</v>
      </c>
      <c r="G1153" s="24" t="s">
        <v>2923</v>
      </c>
      <c r="H1153" s="24"/>
      <c r="I1153" s="24">
        <v>1</v>
      </c>
      <c r="J1153" s="24" t="s">
        <v>2372</v>
      </c>
      <c r="K1153" s="24"/>
      <c r="L1153" s="24"/>
      <c r="M1153" s="24"/>
      <c r="N1153" s="24"/>
      <c r="O1153" s="24"/>
      <c r="P1153" s="170"/>
      <c r="Q1153" s="170"/>
      <c r="R1153" s="169"/>
      <c r="S1153" s="164" t="s">
        <v>2931</v>
      </c>
      <c r="T1153" s="164" t="s">
        <v>2932</v>
      </c>
      <c r="U1153" s="164" t="s">
        <v>65</v>
      </c>
      <c r="V1153" s="163"/>
      <c r="W1153" s="163"/>
      <c r="X1153" s="472">
        <v>1</v>
      </c>
      <c r="Y1153" s="472"/>
      <c r="Z1153" s="164"/>
      <c r="AA1153" s="170"/>
      <c r="AB1153" s="164"/>
      <c r="AC1153" s="251"/>
      <c r="AD1153" s="170"/>
      <c r="AE1153" s="225"/>
      <c r="AF1153" s="170"/>
      <c r="AG1153" s="170"/>
      <c r="AH1153" s="251"/>
      <c r="AI1153" s="170"/>
      <c r="AJ1153" s="164"/>
      <c r="AK1153" s="22"/>
      <c r="AL1153" s="170"/>
      <c r="AM1153" s="170"/>
      <c r="AN1153" s="170"/>
      <c r="AO1153" s="170"/>
      <c r="AP1153" s="170"/>
      <c r="AQ1153" s="22"/>
      <c r="AR1153" s="22"/>
      <c r="AS1153" s="22"/>
      <c r="AT1153" s="170"/>
      <c r="AU1153" s="170"/>
      <c r="AV1153" s="170"/>
      <c r="AW1153" s="170"/>
      <c r="AX1153" s="170"/>
      <c r="AY1153" s="170"/>
      <c r="AZ1153" s="170"/>
      <c r="BA1153" s="170"/>
      <c r="BB1153" s="170"/>
      <c r="BC1153" s="170"/>
      <c r="BD1153" s="170"/>
      <c r="BE1153" s="137" t="s">
        <v>2926</v>
      </c>
      <c r="BF1153" s="137" t="s">
        <v>2933</v>
      </c>
      <c r="BG1153" s="139" t="s">
        <v>2934</v>
      </c>
      <c r="BH1153" s="220"/>
      <c r="BI1153" s="220"/>
      <c r="BJ1153" s="220"/>
      <c r="BK1153" s="46">
        <f t="shared" si="1"/>
        <v>1</v>
      </c>
      <c r="BL1153" s="46"/>
      <c r="BM1153" s="46"/>
      <c r="BN1153" s="46"/>
    </row>
    <row r="1154" spans="1:66" ht="12.75" hidden="1" customHeight="1">
      <c r="A1154" s="22">
        <v>1152</v>
      </c>
      <c r="B1154" s="22" t="s">
        <v>2935</v>
      </c>
      <c r="C1154" s="22" t="str">
        <f t="shared" si="0"/>
        <v>tt1_date_done</v>
      </c>
      <c r="D1154" s="24" t="s">
        <v>2935</v>
      </c>
      <c r="E1154" s="22" t="s">
        <v>65</v>
      </c>
      <c r="F1154" s="24" t="s">
        <v>1787</v>
      </c>
      <c r="G1154" s="24" t="s">
        <v>2923</v>
      </c>
      <c r="H1154" s="24"/>
      <c r="I1154" s="24">
        <v>1</v>
      </c>
      <c r="J1154" s="24" t="s">
        <v>2372</v>
      </c>
      <c r="K1154" s="24"/>
      <c r="L1154" s="24"/>
      <c r="M1154" s="24"/>
      <c r="N1154" s="24"/>
      <c r="O1154" s="24"/>
      <c r="P1154" s="170"/>
      <c r="Q1154" s="170"/>
      <c r="R1154" s="169"/>
      <c r="S1154" s="164" t="s">
        <v>2935</v>
      </c>
      <c r="T1154" s="164" t="s">
        <v>2936</v>
      </c>
      <c r="U1154" s="164" t="s">
        <v>65</v>
      </c>
      <c r="V1154" s="163"/>
      <c r="W1154" s="163"/>
      <c r="X1154" s="164" t="s">
        <v>2937</v>
      </c>
      <c r="Y1154" s="164"/>
      <c r="Z1154" s="164"/>
      <c r="AA1154" s="170"/>
      <c r="AB1154" s="164"/>
      <c r="AC1154" s="251"/>
      <c r="AD1154" s="170"/>
      <c r="AE1154" s="225"/>
      <c r="AF1154" s="170"/>
      <c r="AG1154" s="170"/>
      <c r="AH1154" s="251"/>
      <c r="AI1154" s="170"/>
      <c r="AJ1154" s="164"/>
      <c r="AK1154" s="22"/>
      <c r="AL1154" s="170"/>
      <c r="AM1154" s="170"/>
      <c r="AN1154" s="170"/>
      <c r="AO1154" s="170"/>
      <c r="AP1154" s="170"/>
      <c r="AQ1154" s="22"/>
      <c r="AR1154" s="22"/>
      <c r="AS1154" s="22"/>
      <c r="AT1154" s="170"/>
      <c r="AU1154" s="170"/>
      <c r="AV1154" s="170"/>
      <c r="AW1154" s="170"/>
      <c r="AX1154" s="170"/>
      <c r="AY1154" s="170"/>
      <c r="AZ1154" s="170"/>
      <c r="BA1154" s="170"/>
      <c r="BB1154" s="170"/>
      <c r="BC1154" s="170"/>
      <c r="BD1154" s="170"/>
      <c r="BE1154" s="137" t="s">
        <v>2926</v>
      </c>
      <c r="BF1154" s="137" t="s">
        <v>2938</v>
      </c>
      <c r="BG1154" s="139" t="s">
        <v>2939</v>
      </c>
      <c r="BH1154" s="220"/>
      <c r="BI1154" s="220"/>
      <c r="BJ1154" s="220"/>
      <c r="BK1154" s="46">
        <f t="shared" si="1"/>
        <v>1</v>
      </c>
      <c r="BL1154" s="46"/>
      <c r="BM1154" s="46"/>
      <c r="BN1154" s="46"/>
    </row>
    <row r="1155" spans="1:66" ht="12.75" hidden="1" customHeight="1">
      <c r="A1155" s="22">
        <v>1153</v>
      </c>
      <c r="B1155" s="22" t="s">
        <v>2940</v>
      </c>
      <c r="C1155" s="22" t="str">
        <f t="shared" si="0"/>
        <v>TT dose #2</v>
      </c>
      <c r="D1155" s="24" t="s">
        <v>2940</v>
      </c>
      <c r="E1155" s="22" t="s">
        <v>96</v>
      </c>
      <c r="F1155" s="24" t="s">
        <v>1787</v>
      </c>
      <c r="G1155" s="24" t="s">
        <v>2923</v>
      </c>
      <c r="H1155" s="24"/>
      <c r="I1155" s="24">
        <v>1</v>
      </c>
      <c r="J1155" s="24" t="s">
        <v>2372</v>
      </c>
      <c r="K1155" s="24"/>
      <c r="L1155" s="24"/>
      <c r="M1155" s="24"/>
      <c r="N1155" s="24"/>
      <c r="O1155" s="24"/>
      <c r="P1155" s="170"/>
      <c r="Q1155" s="170"/>
      <c r="R1155" s="169" t="s">
        <v>2940</v>
      </c>
      <c r="S1155" s="164" t="s">
        <v>2941</v>
      </c>
      <c r="T1155" s="164" t="s">
        <v>2942</v>
      </c>
      <c r="U1155" s="164" t="s">
        <v>202</v>
      </c>
      <c r="V1155" s="163"/>
      <c r="W1155" s="163"/>
      <c r="X1155" s="164"/>
      <c r="Y1155" s="164"/>
      <c r="Z1155" s="164" t="s">
        <v>904</v>
      </c>
      <c r="AA1155" s="170"/>
      <c r="AB1155" s="164" t="s">
        <v>113</v>
      </c>
      <c r="AC1155" s="251"/>
      <c r="AD1155" s="170"/>
      <c r="AE1155" s="225"/>
      <c r="AF1155" s="170"/>
      <c r="AG1155" s="170"/>
      <c r="AH1155" s="251"/>
      <c r="AI1155" s="170"/>
      <c r="AJ1155" s="164" t="s">
        <v>2943</v>
      </c>
      <c r="AK1155" s="22"/>
      <c r="AL1155" s="170"/>
      <c r="AM1155" s="170"/>
      <c r="AN1155" s="170"/>
      <c r="AO1155" s="170"/>
      <c r="AP1155" s="170"/>
      <c r="AQ1155" s="22"/>
      <c r="AR1155" s="22"/>
      <c r="AS1155" s="22"/>
      <c r="AT1155" s="170"/>
      <c r="AU1155" s="170"/>
      <c r="AV1155" s="170"/>
      <c r="AW1155" s="170"/>
      <c r="AX1155" s="170"/>
      <c r="AY1155" s="170"/>
      <c r="AZ1155" s="170"/>
      <c r="BA1155" s="170"/>
      <c r="BB1155" s="170"/>
      <c r="BC1155" s="170"/>
      <c r="BD1155" s="170"/>
      <c r="BE1155" s="137" t="s">
        <v>2926</v>
      </c>
      <c r="BF1155" s="137" t="s">
        <v>2927</v>
      </c>
      <c r="BG1155" s="139" t="s">
        <v>2928</v>
      </c>
      <c r="BH1155" s="220"/>
      <c r="BI1155" s="220"/>
      <c r="BJ1155" s="220"/>
      <c r="BK1155" s="46">
        <f t="shared" si="1"/>
        <v>1</v>
      </c>
      <c r="BL1155" s="46"/>
      <c r="BM1155" s="46"/>
      <c r="BN1155" s="46"/>
    </row>
    <row r="1156" spans="1:66" ht="12.75" hidden="1" customHeight="1">
      <c r="A1156" s="22">
        <v>1154</v>
      </c>
      <c r="B1156" s="22" t="s">
        <v>2651</v>
      </c>
      <c r="C1156" s="22" t="e">
        <f t="shared" ca="1" si="0"/>
        <v>#NAME?</v>
      </c>
      <c r="D1156" s="24" t="s">
        <v>1775</v>
      </c>
      <c r="E1156" s="22" t="s">
        <v>180</v>
      </c>
      <c r="F1156" s="24" t="s">
        <v>2940</v>
      </c>
      <c r="G1156" s="24" t="s">
        <v>2923</v>
      </c>
      <c r="H1156" s="24"/>
      <c r="I1156" s="24">
        <v>1</v>
      </c>
      <c r="J1156" s="24" t="s">
        <v>2372</v>
      </c>
      <c r="K1156" s="24"/>
      <c r="L1156" s="24"/>
      <c r="M1156" s="24"/>
      <c r="N1156" s="24"/>
      <c r="O1156" s="24"/>
      <c r="P1156" s="170"/>
      <c r="Q1156" s="170"/>
      <c r="R1156" s="169"/>
      <c r="S1156" s="164"/>
      <c r="T1156" s="164"/>
      <c r="U1156" s="164"/>
      <c r="V1156" s="163"/>
      <c r="W1156" s="163" t="s">
        <v>1775</v>
      </c>
      <c r="X1156" s="164"/>
      <c r="Y1156" s="164"/>
      <c r="Z1156" s="164"/>
      <c r="AA1156" s="170"/>
      <c r="AB1156" s="164"/>
      <c r="AC1156" s="251"/>
      <c r="AD1156" s="170"/>
      <c r="AE1156" s="225"/>
      <c r="AF1156" s="170"/>
      <c r="AG1156" s="170"/>
      <c r="AH1156" s="251"/>
      <c r="AI1156" s="170"/>
      <c r="AJ1156" s="164"/>
      <c r="AK1156" s="22"/>
      <c r="AL1156" s="170"/>
      <c r="AM1156" s="170"/>
      <c r="AN1156" s="170"/>
      <c r="AO1156" s="170"/>
      <c r="AP1156" s="170"/>
      <c r="AQ1156" s="22"/>
      <c r="AR1156" s="22"/>
      <c r="AS1156" s="22"/>
      <c r="AT1156" s="170"/>
      <c r="AU1156" s="170"/>
      <c r="AV1156" s="170"/>
      <c r="AW1156" s="170"/>
      <c r="AX1156" s="170"/>
      <c r="AY1156" s="170"/>
      <c r="AZ1156" s="170"/>
      <c r="BA1156" s="170"/>
      <c r="BB1156" s="170"/>
      <c r="BC1156" s="170"/>
      <c r="BD1156" s="170"/>
      <c r="BE1156" s="137" t="s">
        <v>115</v>
      </c>
      <c r="BF1156" s="137" t="s">
        <v>953</v>
      </c>
      <c r="BG1156" s="139" t="s">
        <v>954</v>
      </c>
      <c r="BH1156" s="220"/>
      <c r="BI1156" s="220"/>
      <c r="BJ1156" s="220"/>
      <c r="BK1156" s="46">
        <f t="shared" si="1"/>
        <v>1</v>
      </c>
      <c r="BL1156" s="46"/>
      <c r="BM1156" s="46"/>
      <c r="BN1156" s="46"/>
    </row>
    <row r="1157" spans="1:66" ht="12.75" hidden="1" customHeight="1">
      <c r="A1157" s="22">
        <v>1155</v>
      </c>
      <c r="B1157" s="22" t="s">
        <v>2655</v>
      </c>
      <c r="C1157" s="22" t="e">
        <f t="shared" ca="1" si="0"/>
        <v>#NAME?</v>
      </c>
      <c r="D1157" s="24" t="s">
        <v>1779</v>
      </c>
      <c r="E1157" s="22" t="s">
        <v>180</v>
      </c>
      <c r="F1157" s="24" t="s">
        <v>2940</v>
      </c>
      <c r="G1157" s="24" t="s">
        <v>2923</v>
      </c>
      <c r="H1157" s="24"/>
      <c r="I1157" s="24">
        <v>1</v>
      </c>
      <c r="J1157" s="24" t="s">
        <v>2372</v>
      </c>
      <c r="K1157" s="24"/>
      <c r="L1157" s="24"/>
      <c r="M1157" s="24"/>
      <c r="N1157" s="24"/>
      <c r="O1157" s="24"/>
      <c r="P1157" s="170"/>
      <c r="Q1157" s="170"/>
      <c r="R1157" s="169"/>
      <c r="S1157" s="164"/>
      <c r="T1157" s="164"/>
      <c r="U1157" s="164"/>
      <c r="V1157" s="163"/>
      <c r="W1157" s="163" t="s">
        <v>1779</v>
      </c>
      <c r="X1157" s="164"/>
      <c r="Y1157" s="164"/>
      <c r="Z1157" s="164"/>
      <c r="AA1157" s="170"/>
      <c r="AB1157" s="164"/>
      <c r="AC1157" s="251"/>
      <c r="AD1157" s="170"/>
      <c r="AE1157" s="225"/>
      <c r="AF1157" s="170"/>
      <c r="AG1157" s="170"/>
      <c r="AH1157" s="251"/>
      <c r="AI1157" s="170"/>
      <c r="AJ1157" s="164"/>
      <c r="AK1157" s="22"/>
      <c r="AL1157" s="170"/>
      <c r="AM1157" s="170"/>
      <c r="AN1157" s="170"/>
      <c r="AO1157" s="170"/>
      <c r="AP1157" s="170"/>
      <c r="AQ1157" s="22"/>
      <c r="AR1157" s="22"/>
      <c r="AS1157" s="22"/>
      <c r="AT1157" s="170"/>
      <c r="AU1157" s="170"/>
      <c r="AV1157" s="170"/>
      <c r="AW1157" s="170"/>
      <c r="AX1157" s="170"/>
      <c r="AY1157" s="170"/>
      <c r="AZ1157" s="170"/>
      <c r="BA1157" s="170"/>
      <c r="BB1157" s="170"/>
      <c r="BC1157" s="170"/>
      <c r="BD1157" s="170"/>
      <c r="BE1157" s="137" t="s">
        <v>115</v>
      </c>
      <c r="BF1157" s="137" t="s">
        <v>2929</v>
      </c>
      <c r="BG1157" s="139" t="s">
        <v>2930</v>
      </c>
      <c r="BH1157" s="220"/>
      <c r="BI1157" s="220"/>
      <c r="BJ1157" s="220"/>
      <c r="BK1157" s="46">
        <f t="shared" si="1"/>
        <v>1</v>
      </c>
      <c r="BL1157" s="46"/>
      <c r="BM1157" s="46"/>
      <c r="BN1157" s="46"/>
    </row>
    <row r="1158" spans="1:66" ht="12.75" hidden="1" customHeight="1">
      <c r="A1158" s="22">
        <v>1156</v>
      </c>
      <c r="B1158" s="22" t="s">
        <v>2118</v>
      </c>
      <c r="C1158" s="22" t="e">
        <f t="shared" ca="1" si="0"/>
        <v>#NAME?</v>
      </c>
      <c r="D1158" s="24" t="s">
        <v>1468</v>
      </c>
      <c r="E1158" s="22" t="s">
        <v>180</v>
      </c>
      <c r="F1158" s="24" t="s">
        <v>2940</v>
      </c>
      <c r="G1158" s="24" t="s">
        <v>2923</v>
      </c>
      <c r="H1158" s="24"/>
      <c r="I1158" s="24">
        <v>1</v>
      </c>
      <c r="J1158" s="24" t="s">
        <v>2372</v>
      </c>
      <c r="K1158" s="24"/>
      <c r="L1158" s="24"/>
      <c r="M1158" s="24"/>
      <c r="N1158" s="24"/>
      <c r="O1158" s="24"/>
      <c r="P1158" s="170"/>
      <c r="Q1158" s="170"/>
      <c r="R1158" s="169"/>
      <c r="S1158" s="164"/>
      <c r="T1158" s="164"/>
      <c r="U1158" s="164"/>
      <c r="V1158" s="163"/>
      <c r="W1158" s="163" t="s">
        <v>1468</v>
      </c>
      <c r="X1158" s="164"/>
      <c r="Y1158" s="164"/>
      <c r="Z1158" s="164"/>
      <c r="AA1158" s="170"/>
      <c r="AB1158" s="164"/>
      <c r="AC1158" s="251"/>
      <c r="AD1158" s="170"/>
      <c r="AE1158" s="225"/>
      <c r="AF1158" s="170"/>
      <c r="AG1158" s="170"/>
      <c r="AH1158" s="251"/>
      <c r="AI1158" s="170"/>
      <c r="AJ1158" s="164"/>
      <c r="AK1158" s="22"/>
      <c r="AL1158" s="170"/>
      <c r="AM1158" s="170"/>
      <c r="AN1158" s="170"/>
      <c r="AO1158" s="170"/>
      <c r="AP1158" s="170"/>
      <c r="AQ1158" s="22"/>
      <c r="AR1158" s="22"/>
      <c r="AS1158" s="22"/>
      <c r="AT1158" s="170"/>
      <c r="AU1158" s="170"/>
      <c r="AV1158" s="170"/>
      <c r="AW1158" s="170"/>
      <c r="AX1158" s="170"/>
      <c r="AY1158" s="170"/>
      <c r="AZ1158" s="170"/>
      <c r="BA1158" s="170"/>
      <c r="BB1158" s="170"/>
      <c r="BC1158" s="170"/>
      <c r="BD1158" s="170"/>
      <c r="BE1158" s="137" t="s">
        <v>115</v>
      </c>
      <c r="BF1158" s="137" t="s">
        <v>957</v>
      </c>
      <c r="BG1158" s="167" t="s">
        <v>958</v>
      </c>
      <c r="BH1158" s="220"/>
      <c r="BI1158" s="220"/>
      <c r="BJ1158" s="220"/>
      <c r="BK1158" s="46">
        <f t="shared" si="1"/>
        <v>1</v>
      </c>
      <c r="BL1158" s="46"/>
      <c r="BM1158" s="46"/>
      <c r="BN1158" s="46"/>
    </row>
    <row r="1159" spans="1:66" ht="12.75" hidden="1" customHeight="1">
      <c r="A1159" s="22">
        <v>1157</v>
      </c>
      <c r="B1159" s="22" t="s">
        <v>2944</v>
      </c>
      <c r="C1159" s="22" t="str">
        <f t="shared" si="0"/>
        <v>tt2_dose_number</v>
      </c>
      <c r="D1159" s="24" t="s">
        <v>2944</v>
      </c>
      <c r="E1159" s="22" t="s">
        <v>65</v>
      </c>
      <c r="F1159" s="24" t="s">
        <v>1787</v>
      </c>
      <c r="G1159" s="24" t="s">
        <v>2923</v>
      </c>
      <c r="H1159" s="24"/>
      <c r="I1159" s="24">
        <v>1</v>
      </c>
      <c r="J1159" s="24" t="s">
        <v>2372</v>
      </c>
      <c r="K1159" s="24"/>
      <c r="L1159" s="24"/>
      <c r="M1159" s="24"/>
      <c r="N1159" s="24"/>
      <c r="O1159" s="24"/>
      <c r="P1159" s="170"/>
      <c r="Q1159" s="170"/>
      <c r="R1159" s="169"/>
      <c r="S1159" s="164" t="s">
        <v>2944</v>
      </c>
      <c r="T1159" s="164" t="s">
        <v>2945</v>
      </c>
      <c r="U1159" s="164" t="s">
        <v>65</v>
      </c>
      <c r="V1159" s="163"/>
      <c r="W1159" s="163"/>
      <c r="X1159" s="472">
        <v>2</v>
      </c>
      <c r="Y1159" s="472"/>
      <c r="Z1159" s="164"/>
      <c r="AA1159" s="170"/>
      <c r="AB1159" s="164"/>
      <c r="AC1159" s="251"/>
      <c r="AD1159" s="170"/>
      <c r="AE1159" s="225"/>
      <c r="AF1159" s="170"/>
      <c r="AG1159" s="170"/>
      <c r="AH1159" s="251"/>
      <c r="AI1159" s="170"/>
      <c r="AJ1159" s="164"/>
      <c r="AK1159" s="22"/>
      <c r="AL1159" s="170"/>
      <c r="AM1159" s="170"/>
      <c r="AN1159" s="170"/>
      <c r="AO1159" s="170"/>
      <c r="AP1159" s="170"/>
      <c r="AQ1159" s="22"/>
      <c r="AR1159" s="22"/>
      <c r="AS1159" s="22"/>
      <c r="AT1159" s="170"/>
      <c r="AU1159" s="170"/>
      <c r="AV1159" s="170"/>
      <c r="AW1159" s="170"/>
      <c r="AX1159" s="170"/>
      <c r="AY1159" s="170"/>
      <c r="AZ1159" s="170"/>
      <c r="BA1159" s="170"/>
      <c r="BB1159" s="170"/>
      <c r="BC1159" s="170"/>
      <c r="BD1159" s="170"/>
      <c r="BE1159" s="137" t="s">
        <v>2926</v>
      </c>
      <c r="BF1159" s="137" t="s">
        <v>2933</v>
      </c>
      <c r="BG1159" s="139" t="s">
        <v>2934</v>
      </c>
      <c r="BH1159" s="220"/>
      <c r="BI1159" s="220"/>
      <c r="BJ1159" s="220"/>
      <c r="BK1159" s="46">
        <f t="shared" si="1"/>
        <v>1</v>
      </c>
      <c r="BL1159" s="46"/>
      <c r="BM1159" s="46"/>
      <c r="BN1159" s="46"/>
    </row>
    <row r="1160" spans="1:66" ht="12.75" hidden="1" customHeight="1">
      <c r="A1160" s="22">
        <v>1158</v>
      </c>
      <c r="B1160" s="22" t="s">
        <v>2946</v>
      </c>
      <c r="C1160" s="22" t="str">
        <f t="shared" si="0"/>
        <v>tt2_date_done</v>
      </c>
      <c r="D1160" s="24" t="s">
        <v>2946</v>
      </c>
      <c r="E1160" s="22" t="s">
        <v>65</v>
      </c>
      <c r="F1160" s="24" t="s">
        <v>1787</v>
      </c>
      <c r="G1160" s="24" t="s">
        <v>2923</v>
      </c>
      <c r="H1160" s="24"/>
      <c r="I1160" s="24">
        <v>1</v>
      </c>
      <c r="J1160" s="24" t="s">
        <v>2372</v>
      </c>
      <c r="K1160" s="24"/>
      <c r="L1160" s="24"/>
      <c r="M1160" s="24"/>
      <c r="N1160" s="24"/>
      <c r="O1160" s="24"/>
      <c r="P1160" s="170"/>
      <c r="Q1160" s="170"/>
      <c r="R1160" s="169"/>
      <c r="S1160" s="164" t="s">
        <v>2946</v>
      </c>
      <c r="T1160" s="164" t="s">
        <v>2947</v>
      </c>
      <c r="U1160" s="164" t="s">
        <v>65</v>
      </c>
      <c r="V1160" s="163"/>
      <c r="W1160" s="163"/>
      <c r="X1160" s="164" t="s">
        <v>2937</v>
      </c>
      <c r="Y1160" s="164"/>
      <c r="Z1160" s="164"/>
      <c r="AA1160" s="170"/>
      <c r="AB1160" s="164"/>
      <c r="AC1160" s="251"/>
      <c r="AD1160" s="170"/>
      <c r="AE1160" s="225"/>
      <c r="AF1160" s="170"/>
      <c r="AG1160" s="170"/>
      <c r="AH1160" s="251"/>
      <c r="AI1160" s="170"/>
      <c r="AJ1160" s="164"/>
      <c r="AK1160" s="22"/>
      <c r="AL1160" s="170"/>
      <c r="AM1160" s="170"/>
      <c r="AN1160" s="170"/>
      <c r="AO1160" s="170"/>
      <c r="AP1160" s="170"/>
      <c r="AQ1160" s="22"/>
      <c r="AR1160" s="22"/>
      <c r="AS1160" s="22"/>
      <c r="AT1160" s="170"/>
      <c r="AU1160" s="170"/>
      <c r="AV1160" s="170"/>
      <c r="AW1160" s="170"/>
      <c r="AX1160" s="170"/>
      <c r="AY1160" s="170"/>
      <c r="AZ1160" s="170"/>
      <c r="BA1160" s="170"/>
      <c r="BB1160" s="170"/>
      <c r="BC1160" s="170"/>
      <c r="BD1160" s="170"/>
      <c r="BE1160" s="137" t="s">
        <v>2926</v>
      </c>
      <c r="BF1160" s="137" t="s">
        <v>2938</v>
      </c>
      <c r="BG1160" s="139" t="s">
        <v>2939</v>
      </c>
      <c r="BH1160" s="220"/>
      <c r="BI1160" s="220"/>
      <c r="BJ1160" s="220"/>
      <c r="BK1160" s="46">
        <f t="shared" si="1"/>
        <v>1</v>
      </c>
      <c r="BL1160" s="46"/>
      <c r="BM1160" s="46"/>
      <c r="BN1160" s="46"/>
    </row>
    <row r="1161" spans="1:66" ht="12.75" hidden="1" customHeight="1">
      <c r="A1161" s="22">
        <v>1159</v>
      </c>
      <c r="B1161" s="22" t="s">
        <v>2948</v>
      </c>
      <c r="C1161" s="22" t="str">
        <f t="shared" si="0"/>
        <v>TT dose #3</v>
      </c>
      <c r="D1161" s="24" t="s">
        <v>2948</v>
      </c>
      <c r="E1161" s="22" t="s">
        <v>96</v>
      </c>
      <c r="F1161" s="24" t="s">
        <v>1787</v>
      </c>
      <c r="G1161" s="24" t="s">
        <v>2923</v>
      </c>
      <c r="H1161" s="24"/>
      <c r="I1161" s="24">
        <v>1</v>
      </c>
      <c r="J1161" s="24" t="s">
        <v>2372</v>
      </c>
      <c r="K1161" s="24"/>
      <c r="L1161" s="24"/>
      <c r="M1161" s="24"/>
      <c r="N1161" s="24"/>
      <c r="O1161" s="24"/>
      <c r="P1161" s="170"/>
      <c r="Q1161" s="170"/>
      <c r="R1161" s="169" t="s">
        <v>2948</v>
      </c>
      <c r="S1161" s="164" t="s">
        <v>2949</v>
      </c>
      <c r="T1161" s="164" t="s">
        <v>2950</v>
      </c>
      <c r="U1161" s="164" t="s">
        <v>202</v>
      </c>
      <c r="V1161" s="163"/>
      <c r="W1161" s="163"/>
      <c r="X1161" s="164"/>
      <c r="Y1161" s="164"/>
      <c r="Z1161" s="164" t="s">
        <v>904</v>
      </c>
      <c r="AA1161" s="170"/>
      <c r="AB1161" s="164" t="s">
        <v>113</v>
      </c>
      <c r="AC1161" s="251"/>
      <c r="AD1161" s="170"/>
      <c r="AE1161" s="225"/>
      <c r="AF1161" s="170"/>
      <c r="AG1161" s="170"/>
      <c r="AH1161" s="251"/>
      <c r="AI1161" s="170"/>
      <c r="AJ1161" s="164" t="s">
        <v>2951</v>
      </c>
      <c r="AK1161" s="22"/>
      <c r="AL1161" s="170"/>
      <c r="AM1161" s="170"/>
      <c r="AN1161" s="170"/>
      <c r="AO1161" s="170"/>
      <c r="AP1161" s="170"/>
      <c r="AQ1161" s="22"/>
      <c r="AR1161" s="22"/>
      <c r="AS1161" s="22"/>
      <c r="AT1161" s="170"/>
      <c r="AU1161" s="170"/>
      <c r="AV1161" s="170"/>
      <c r="AW1161" s="170"/>
      <c r="AX1161" s="170"/>
      <c r="AY1161" s="170"/>
      <c r="AZ1161" s="170"/>
      <c r="BA1161" s="170"/>
      <c r="BB1161" s="170"/>
      <c r="BC1161" s="170"/>
      <c r="BD1161" s="170"/>
      <c r="BE1161" s="137" t="s">
        <v>2926</v>
      </c>
      <c r="BF1161" s="137" t="s">
        <v>2927</v>
      </c>
      <c r="BG1161" s="139" t="s">
        <v>2928</v>
      </c>
      <c r="BH1161" s="220"/>
      <c r="BI1161" s="220"/>
      <c r="BJ1161" s="220"/>
      <c r="BK1161" s="46">
        <f t="shared" si="1"/>
        <v>1</v>
      </c>
      <c r="BL1161" s="46"/>
      <c r="BM1161" s="46"/>
      <c r="BN1161" s="46"/>
    </row>
    <row r="1162" spans="1:66" ht="12.75" hidden="1" customHeight="1">
      <c r="A1162" s="22">
        <v>1160</v>
      </c>
      <c r="B1162" s="22" t="s">
        <v>2651</v>
      </c>
      <c r="C1162" s="22" t="e">
        <f t="shared" ca="1" si="0"/>
        <v>#NAME?</v>
      </c>
      <c r="D1162" s="24" t="s">
        <v>1775</v>
      </c>
      <c r="E1162" s="22" t="s">
        <v>180</v>
      </c>
      <c r="F1162" s="24" t="s">
        <v>2948</v>
      </c>
      <c r="G1162" s="24" t="s">
        <v>2923</v>
      </c>
      <c r="H1162" s="24"/>
      <c r="I1162" s="24">
        <v>1</v>
      </c>
      <c r="J1162" s="24" t="s">
        <v>2372</v>
      </c>
      <c r="K1162" s="24"/>
      <c r="L1162" s="24"/>
      <c r="M1162" s="24"/>
      <c r="N1162" s="24"/>
      <c r="O1162" s="24"/>
      <c r="P1162" s="170"/>
      <c r="Q1162" s="170"/>
      <c r="R1162" s="169"/>
      <c r="S1162" s="164"/>
      <c r="T1162" s="164"/>
      <c r="U1162" s="164"/>
      <c r="V1162" s="163"/>
      <c r="W1162" s="163" t="s">
        <v>1775</v>
      </c>
      <c r="X1162" s="164"/>
      <c r="Y1162" s="164"/>
      <c r="Z1162" s="164"/>
      <c r="AA1162" s="170"/>
      <c r="AB1162" s="164"/>
      <c r="AC1162" s="251"/>
      <c r="AD1162" s="170"/>
      <c r="AE1162" s="225"/>
      <c r="AF1162" s="170"/>
      <c r="AG1162" s="170"/>
      <c r="AH1162" s="251"/>
      <c r="AI1162" s="170"/>
      <c r="AJ1162" s="164"/>
      <c r="AK1162" s="22"/>
      <c r="AL1162" s="170"/>
      <c r="AM1162" s="170"/>
      <c r="AN1162" s="170"/>
      <c r="AO1162" s="170"/>
      <c r="AP1162" s="170"/>
      <c r="AQ1162" s="22"/>
      <c r="AR1162" s="22"/>
      <c r="AS1162" s="22"/>
      <c r="AT1162" s="170"/>
      <c r="AU1162" s="170"/>
      <c r="AV1162" s="170"/>
      <c r="AW1162" s="170"/>
      <c r="AX1162" s="170"/>
      <c r="AY1162" s="170"/>
      <c r="AZ1162" s="170"/>
      <c r="BA1162" s="170"/>
      <c r="BB1162" s="170"/>
      <c r="BC1162" s="170"/>
      <c r="BD1162" s="170"/>
      <c r="BE1162" s="137" t="s">
        <v>115</v>
      </c>
      <c r="BF1162" s="137" t="s">
        <v>953</v>
      </c>
      <c r="BG1162" s="139" t="s">
        <v>954</v>
      </c>
      <c r="BH1162" s="220"/>
      <c r="BI1162" s="220"/>
      <c r="BJ1162" s="220"/>
      <c r="BK1162" s="46">
        <f t="shared" si="1"/>
        <v>1</v>
      </c>
      <c r="BL1162" s="46"/>
      <c r="BM1162" s="46"/>
      <c r="BN1162" s="46"/>
    </row>
    <row r="1163" spans="1:66" ht="12.75" hidden="1" customHeight="1">
      <c r="A1163" s="22">
        <v>1161</v>
      </c>
      <c r="B1163" s="22" t="s">
        <v>2655</v>
      </c>
      <c r="C1163" s="22" t="e">
        <f t="shared" ca="1" si="0"/>
        <v>#NAME?</v>
      </c>
      <c r="D1163" s="24" t="s">
        <v>1779</v>
      </c>
      <c r="E1163" s="22" t="s">
        <v>180</v>
      </c>
      <c r="F1163" s="24" t="s">
        <v>2948</v>
      </c>
      <c r="G1163" s="24" t="s">
        <v>2923</v>
      </c>
      <c r="H1163" s="24"/>
      <c r="I1163" s="24">
        <v>1</v>
      </c>
      <c r="J1163" s="24" t="s">
        <v>2372</v>
      </c>
      <c r="K1163" s="24"/>
      <c r="L1163" s="24"/>
      <c r="M1163" s="24"/>
      <c r="N1163" s="24"/>
      <c r="O1163" s="24"/>
      <c r="P1163" s="170"/>
      <c r="Q1163" s="170"/>
      <c r="R1163" s="169"/>
      <c r="S1163" s="164"/>
      <c r="T1163" s="164"/>
      <c r="U1163" s="164"/>
      <c r="V1163" s="163"/>
      <c r="W1163" s="163" t="s">
        <v>1779</v>
      </c>
      <c r="X1163" s="164"/>
      <c r="Y1163" s="164"/>
      <c r="Z1163" s="164"/>
      <c r="AA1163" s="170"/>
      <c r="AB1163" s="164"/>
      <c r="AC1163" s="251"/>
      <c r="AD1163" s="170"/>
      <c r="AE1163" s="225"/>
      <c r="AF1163" s="170"/>
      <c r="AG1163" s="170"/>
      <c r="AH1163" s="251"/>
      <c r="AI1163" s="170"/>
      <c r="AJ1163" s="164"/>
      <c r="AK1163" s="22"/>
      <c r="AL1163" s="170"/>
      <c r="AM1163" s="170"/>
      <c r="AN1163" s="170"/>
      <c r="AO1163" s="170"/>
      <c r="AP1163" s="170"/>
      <c r="AQ1163" s="22"/>
      <c r="AR1163" s="22"/>
      <c r="AS1163" s="22"/>
      <c r="AT1163" s="170"/>
      <c r="AU1163" s="170"/>
      <c r="AV1163" s="170"/>
      <c r="AW1163" s="170"/>
      <c r="AX1163" s="170"/>
      <c r="AY1163" s="170"/>
      <c r="AZ1163" s="170"/>
      <c r="BA1163" s="170"/>
      <c r="BB1163" s="170"/>
      <c r="BC1163" s="170"/>
      <c r="BD1163" s="170"/>
      <c r="BE1163" s="137" t="s">
        <v>115</v>
      </c>
      <c r="BF1163" s="137" t="s">
        <v>2929</v>
      </c>
      <c r="BG1163" s="139" t="s">
        <v>2930</v>
      </c>
      <c r="BH1163" s="220"/>
      <c r="BI1163" s="220"/>
      <c r="BJ1163" s="220"/>
      <c r="BK1163" s="46">
        <f t="shared" si="1"/>
        <v>1</v>
      </c>
      <c r="BL1163" s="46"/>
      <c r="BM1163" s="46"/>
      <c r="BN1163" s="46"/>
    </row>
    <row r="1164" spans="1:66" ht="12.75" hidden="1" customHeight="1">
      <c r="A1164" s="22">
        <v>1162</v>
      </c>
      <c r="B1164" s="22" t="s">
        <v>2118</v>
      </c>
      <c r="C1164" s="22" t="e">
        <f t="shared" ca="1" si="0"/>
        <v>#NAME?</v>
      </c>
      <c r="D1164" s="24" t="s">
        <v>1468</v>
      </c>
      <c r="E1164" s="22" t="s">
        <v>180</v>
      </c>
      <c r="F1164" s="24" t="s">
        <v>2948</v>
      </c>
      <c r="G1164" s="24" t="s">
        <v>2923</v>
      </c>
      <c r="H1164" s="24"/>
      <c r="I1164" s="24">
        <v>1</v>
      </c>
      <c r="J1164" s="24" t="s">
        <v>2372</v>
      </c>
      <c r="K1164" s="24"/>
      <c r="L1164" s="24"/>
      <c r="M1164" s="24"/>
      <c r="N1164" s="24"/>
      <c r="O1164" s="24"/>
      <c r="P1164" s="170"/>
      <c r="Q1164" s="170"/>
      <c r="R1164" s="169"/>
      <c r="S1164" s="164"/>
      <c r="T1164" s="164"/>
      <c r="U1164" s="164"/>
      <c r="V1164" s="163"/>
      <c r="W1164" s="163" t="s">
        <v>1468</v>
      </c>
      <c r="X1164" s="164"/>
      <c r="Y1164" s="164"/>
      <c r="Z1164" s="164"/>
      <c r="AA1164" s="170"/>
      <c r="AB1164" s="164"/>
      <c r="AC1164" s="251"/>
      <c r="AD1164" s="170"/>
      <c r="AE1164" s="225"/>
      <c r="AF1164" s="170"/>
      <c r="AG1164" s="170"/>
      <c r="AH1164" s="251"/>
      <c r="AI1164" s="170"/>
      <c r="AJ1164" s="164"/>
      <c r="AK1164" s="22"/>
      <c r="AL1164" s="170"/>
      <c r="AM1164" s="170"/>
      <c r="AN1164" s="170"/>
      <c r="AO1164" s="170"/>
      <c r="AP1164" s="170"/>
      <c r="AQ1164" s="22"/>
      <c r="AR1164" s="22"/>
      <c r="AS1164" s="22"/>
      <c r="AT1164" s="170"/>
      <c r="AU1164" s="170"/>
      <c r="AV1164" s="170"/>
      <c r="AW1164" s="170"/>
      <c r="AX1164" s="170"/>
      <c r="AY1164" s="170"/>
      <c r="AZ1164" s="170"/>
      <c r="BA1164" s="170"/>
      <c r="BB1164" s="170"/>
      <c r="BC1164" s="170"/>
      <c r="BD1164" s="170"/>
      <c r="BE1164" s="137" t="s">
        <v>115</v>
      </c>
      <c r="BF1164" s="137" t="s">
        <v>957</v>
      </c>
      <c r="BG1164" s="167" t="s">
        <v>958</v>
      </c>
      <c r="BH1164" s="220"/>
      <c r="BI1164" s="220"/>
      <c r="BJ1164" s="220"/>
      <c r="BK1164" s="46">
        <f t="shared" si="1"/>
        <v>1</v>
      </c>
      <c r="BL1164" s="46"/>
      <c r="BM1164" s="46"/>
      <c r="BN1164" s="46"/>
    </row>
    <row r="1165" spans="1:66" ht="12.75" hidden="1" customHeight="1">
      <c r="A1165" s="22">
        <v>1163</v>
      </c>
      <c r="B1165" s="22" t="s">
        <v>2952</v>
      </c>
      <c r="C1165" s="22" t="str">
        <f t="shared" si="0"/>
        <v>tt3_dose_number</v>
      </c>
      <c r="D1165" s="24" t="s">
        <v>2952</v>
      </c>
      <c r="E1165" s="22" t="s">
        <v>65</v>
      </c>
      <c r="F1165" s="24" t="s">
        <v>1787</v>
      </c>
      <c r="G1165" s="24" t="s">
        <v>2923</v>
      </c>
      <c r="H1165" s="24"/>
      <c r="I1165" s="24">
        <v>1</v>
      </c>
      <c r="J1165" s="24" t="s">
        <v>2372</v>
      </c>
      <c r="K1165" s="24"/>
      <c r="L1165" s="24"/>
      <c r="M1165" s="24"/>
      <c r="N1165" s="24"/>
      <c r="O1165" s="24"/>
      <c r="P1165" s="170"/>
      <c r="Q1165" s="170"/>
      <c r="R1165" s="169"/>
      <c r="S1165" s="164" t="s">
        <v>2952</v>
      </c>
      <c r="T1165" s="164" t="s">
        <v>2953</v>
      </c>
      <c r="U1165" s="164" t="s">
        <v>65</v>
      </c>
      <c r="V1165" s="163"/>
      <c r="W1165" s="163"/>
      <c r="X1165" s="472">
        <v>3</v>
      </c>
      <c r="Y1165" s="472"/>
      <c r="Z1165" s="164"/>
      <c r="AA1165" s="170"/>
      <c r="AB1165" s="164"/>
      <c r="AC1165" s="251"/>
      <c r="AD1165" s="170"/>
      <c r="AE1165" s="225"/>
      <c r="AF1165" s="170"/>
      <c r="AG1165" s="170"/>
      <c r="AH1165" s="251"/>
      <c r="AI1165" s="170"/>
      <c r="AJ1165" s="164"/>
      <c r="AK1165" s="22"/>
      <c r="AL1165" s="170"/>
      <c r="AM1165" s="170"/>
      <c r="AN1165" s="170"/>
      <c r="AO1165" s="170"/>
      <c r="AP1165" s="170"/>
      <c r="AQ1165" s="22"/>
      <c r="AR1165" s="22"/>
      <c r="AS1165" s="22"/>
      <c r="AT1165" s="170"/>
      <c r="AU1165" s="170"/>
      <c r="AV1165" s="170"/>
      <c r="AW1165" s="170"/>
      <c r="AX1165" s="170"/>
      <c r="AY1165" s="170"/>
      <c r="AZ1165" s="170"/>
      <c r="BA1165" s="170"/>
      <c r="BB1165" s="170"/>
      <c r="BC1165" s="170"/>
      <c r="BD1165" s="170"/>
      <c r="BE1165" s="137" t="s">
        <v>2926</v>
      </c>
      <c r="BF1165" s="137" t="s">
        <v>2933</v>
      </c>
      <c r="BG1165" s="139" t="s">
        <v>2934</v>
      </c>
      <c r="BH1165" s="220"/>
      <c r="BI1165" s="220"/>
      <c r="BJ1165" s="220"/>
      <c r="BK1165" s="46">
        <f t="shared" si="1"/>
        <v>1</v>
      </c>
      <c r="BL1165" s="46"/>
      <c r="BM1165" s="46"/>
      <c r="BN1165" s="46"/>
    </row>
    <row r="1166" spans="1:66" ht="12.75" hidden="1" customHeight="1">
      <c r="A1166" s="22">
        <v>1164</v>
      </c>
      <c r="B1166" s="22" t="s">
        <v>2954</v>
      </c>
      <c r="C1166" s="22" t="str">
        <f t="shared" si="0"/>
        <v>tt3_date_done</v>
      </c>
      <c r="D1166" s="24" t="s">
        <v>2954</v>
      </c>
      <c r="E1166" s="22" t="s">
        <v>65</v>
      </c>
      <c r="F1166" s="24" t="s">
        <v>1787</v>
      </c>
      <c r="G1166" s="24" t="s">
        <v>2923</v>
      </c>
      <c r="H1166" s="24"/>
      <c r="I1166" s="24">
        <v>1</v>
      </c>
      <c r="J1166" s="24" t="s">
        <v>2372</v>
      </c>
      <c r="K1166" s="24"/>
      <c r="L1166" s="24"/>
      <c r="M1166" s="24"/>
      <c r="N1166" s="24"/>
      <c r="O1166" s="24"/>
      <c r="P1166" s="170"/>
      <c r="Q1166" s="170"/>
      <c r="R1166" s="169"/>
      <c r="S1166" s="164" t="s">
        <v>2954</v>
      </c>
      <c r="T1166" s="164" t="s">
        <v>2955</v>
      </c>
      <c r="U1166" s="164" t="s">
        <v>65</v>
      </c>
      <c r="V1166" s="163"/>
      <c r="W1166" s="163"/>
      <c r="X1166" s="164" t="s">
        <v>2937</v>
      </c>
      <c r="Y1166" s="164"/>
      <c r="Z1166" s="164"/>
      <c r="AA1166" s="170"/>
      <c r="AB1166" s="164"/>
      <c r="AC1166" s="251"/>
      <c r="AD1166" s="170"/>
      <c r="AE1166" s="225"/>
      <c r="AF1166" s="170"/>
      <c r="AG1166" s="170"/>
      <c r="AH1166" s="251"/>
      <c r="AI1166" s="170"/>
      <c r="AJ1166" s="164"/>
      <c r="AK1166" s="22"/>
      <c r="AL1166" s="170"/>
      <c r="AM1166" s="170"/>
      <c r="AN1166" s="170"/>
      <c r="AO1166" s="170"/>
      <c r="AP1166" s="170"/>
      <c r="AQ1166" s="22"/>
      <c r="AR1166" s="22"/>
      <c r="AS1166" s="22"/>
      <c r="AT1166" s="170"/>
      <c r="AU1166" s="170"/>
      <c r="AV1166" s="170"/>
      <c r="AW1166" s="170"/>
      <c r="AX1166" s="170"/>
      <c r="AY1166" s="170"/>
      <c r="AZ1166" s="170"/>
      <c r="BA1166" s="170"/>
      <c r="BB1166" s="170"/>
      <c r="BC1166" s="170"/>
      <c r="BD1166" s="170"/>
      <c r="BE1166" s="137" t="s">
        <v>2926</v>
      </c>
      <c r="BF1166" s="137" t="s">
        <v>2938</v>
      </c>
      <c r="BG1166" s="139" t="s">
        <v>2939</v>
      </c>
      <c r="BH1166" s="220"/>
      <c r="BI1166" s="220"/>
      <c r="BJ1166" s="220"/>
      <c r="BK1166" s="46">
        <f t="shared" si="1"/>
        <v>1</v>
      </c>
      <c r="BL1166" s="46"/>
      <c r="BM1166" s="46"/>
      <c r="BN1166" s="46"/>
    </row>
    <row r="1167" spans="1:66" ht="12.75" hidden="1" customHeight="1">
      <c r="A1167" s="22">
        <v>1165</v>
      </c>
      <c r="B1167" s="22" t="s">
        <v>2956</v>
      </c>
      <c r="C1167" s="22" t="str">
        <f t="shared" si="0"/>
        <v>Reason TT Done not done</v>
      </c>
      <c r="D1167" s="24" t="s">
        <v>2956</v>
      </c>
      <c r="E1167" s="22" t="s">
        <v>96</v>
      </c>
      <c r="F1167" s="24" t="s">
        <v>1787</v>
      </c>
      <c r="G1167" s="24" t="s">
        <v>2923</v>
      </c>
      <c r="H1167" s="24"/>
      <c r="I1167" s="24">
        <v>1</v>
      </c>
      <c r="J1167" s="24" t="s">
        <v>2372</v>
      </c>
      <c r="K1167" s="24"/>
      <c r="L1167" s="24"/>
      <c r="M1167" s="24"/>
      <c r="N1167" s="24"/>
      <c r="O1167" s="24"/>
      <c r="P1167" s="170"/>
      <c r="Q1167" s="170"/>
      <c r="R1167" s="169" t="s">
        <v>1376</v>
      </c>
      <c r="S1167" s="164" t="s">
        <v>2957</v>
      </c>
      <c r="T1167" s="164" t="s">
        <v>2958</v>
      </c>
      <c r="U1167" s="164" t="s">
        <v>202</v>
      </c>
      <c r="V1167" s="163"/>
      <c r="W1167" s="163"/>
      <c r="X1167" s="164"/>
      <c r="Y1167" s="164"/>
      <c r="Z1167" s="164"/>
      <c r="AA1167" s="170"/>
      <c r="AB1167" s="164" t="s">
        <v>113</v>
      </c>
      <c r="AC1167" s="251"/>
      <c r="AD1167" s="170"/>
      <c r="AE1167" s="225"/>
      <c r="AF1167" s="170"/>
      <c r="AG1167" s="170"/>
      <c r="AH1167" s="251"/>
      <c r="AI1167" s="170"/>
      <c r="AJ1167" s="164" t="s">
        <v>115</v>
      </c>
      <c r="AK1167" s="22"/>
      <c r="AL1167" s="170"/>
      <c r="AM1167" s="170"/>
      <c r="AN1167" s="170"/>
      <c r="AO1167" s="170"/>
      <c r="AP1167" s="170"/>
      <c r="AQ1167" s="22"/>
      <c r="AR1167" s="22"/>
      <c r="AS1167" s="22"/>
      <c r="AT1167" s="170"/>
      <c r="AU1167" s="170"/>
      <c r="AV1167" s="170"/>
      <c r="AW1167" s="170"/>
      <c r="AX1167" s="170"/>
      <c r="AY1167" s="170"/>
      <c r="AZ1167" s="170"/>
      <c r="BA1167" s="170"/>
      <c r="BB1167" s="170"/>
      <c r="BC1167" s="170"/>
      <c r="BD1167" s="170"/>
      <c r="BE1167" s="137" t="s">
        <v>2926</v>
      </c>
      <c r="BF1167" s="137" t="s">
        <v>2959</v>
      </c>
      <c r="BG1167" s="139" t="s">
        <v>2960</v>
      </c>
      <c r="BH1167" s="220"/>
      <c r="BI1167" s="220"/>
      <c r="BJ1167" s="220"/>
      <c r="BK1167" s="46">
        <f t="shared" si="1"/>
        <v>1</v>
      </c>
      <c r="BL1167" s="46"/>
      <c r="BM1167" s="46"/>
      <c r="BN1167" s="46"/>
    </row>
    <row r="1168" spans="1:66" ht="12.75" hidden="1" customHeight="1">
      <c r="A1168" s="22">
        <v>1166</v>
      </c>
      <c r="B1168" s="22" t="s">
        <v>4492</v>
      </c>
      <c r="C1168" s="22" t="e">
        <f t="shared" ca="1" si="0"/>
        <v>#NAME?</v>
      </c>
      <c r="D1168" s="24" t="s">
        <v>2961</v>
      </c>
      <c r="E1168" s="22" t="s">
        <v>180</v>
      </c>
      <c r="F1168" s="24" t="s">
        <v>2956</v>
      </c>
      <c r="G1168" s="24" t="s">
        <v>2923</v>
      </c>
      <c r="H1168" s="24"/>
      <c r="I1168" s="24">
        <v>1</v>
      </c>
      <c r="J1168" s="24" t="s">
        <v>2372</v>
      </c>
      <c r="K1168" s="24"/>
      <c r="L1168" s="24"/>
      <c r="M1168" s="24"/>
      <c r="N1168" s="24"/>
      <c r="O1168" s="24"/>
      <c r="P1168" s="170"/>
      <c r="Q1168" s="170"/>
      <c r="R1168" s="247"/>
      <c r="S1168" s="196"/>
      <c r="T1168" s="196"/>
      <c r="U1168" s="196"/>
      <c r="V1168" s="163"/>
      <c r="W1168" s="163" t="s">
        <v>2961</v>
      </c>
      <c r="X1168" s="196"/>
      <c r="Y1168" s="196"/>
      <c r="Z1168" s="196"/>
      <c r="AA1168" s="170"/>
      <c r="AB1168" s="196"/>
      <c r="AC1168" s="251"/>
      <c r="AD1168" s="170"/>
      <c r="AE1168" s="225"/>
      <c r="AF1168" s="170"/>
      <c r="AG1168" s="170"/>
      <c r="AH1168" s="251"/>
      <c r="AI1168" s="170"/>
      <c r="AJ1168" s="196"/>
      <c r="AK1168" s="22"/>
      <c r="AL1168" s="170"/>
      <c r="AM1168" s="170"/>
      <c r="AN1168" s="170"/>
      <c r="AO1168" s="170"/>
      <c r="AP1168" s="170"/>
      <c r="AQ1168" s="22"/>
      <c r="AR1168" s="22"/>
      <c r="AS1168" s="22"/>
      <c r="AT1168" s="170"/>
      <c r="AU1168" s="170"/>
      <c r="AV1168" s="170"/>
      <c r="AW1168" s="170"/>
      <c r="AX1168" s="170"/>
      <c r="AY1168" s="170"/>
      <c r="AZ1168" s="170"/>
      <c r="BA1168" s="170"/>
      <c r="BB1168" s="170"/>
      <c r="BC1168" s="170"/>
      <c r="BD1168" s="170"/>
      <c r="BE1168" s="143" t="s">
        <v>115</v>
      </c>
      <c r="BF1168" s="143" t="s">
        <v>2637</v>
      </c>
      <c r="BG1168" s="167" t="s">
        <v>2638</v>
      </c>
      <c r="BH1168" s="220"/>
      <c r="BI1168" s="220"/>
      <c r="BJ1168" s="220"/>
      <c r="BK1168" s="46">
        <f t="shared" si="1"/>
        <v>1</v>
      </c>
      <c r="BL1168" s="46"/>
      <c r="BM1168" s="46"/>
      <c r="BN1168" s="46"/>
    </row>
    <row r="1169" spans="1:66" ht="12.75" hidden="1" customHeight="1">
      <c r="A1169" s="22">
        <v>1167</v>
      </c>
      <c r="B1169" s="22" t="s">
        <v>4495</v>
      </c>
      <c r="C1169" s="22" t="e">
        <f t="shared" ca="1" si="0"/>
        <v>#NAME?</v>
      </c>
      <c r="D1169" s="24" t="s">
        <v>2962</v>
      </c>
      <c r="E1169" s="22" t="s">
        <v>180</v>
      </c>
      <c r="F1169" s="24" t="s">
        <v>2956</v>
      </c>
      <c r="G1169" s="24" t="s">
        <v>2923</v>
      </c>
      <c r="H1169" s="24"/>
      <c r="I1169" s="24">
        <v>1</v>
      </c>
      <c r="J1169" s="24" t="s">
        <v>2372</v>
      </c>
      <c r="K1169" s="24"/>
      <c r="L1169" s="24"/>
      <c r="M1169" s="24"/>
      <c r="N1169" s="24"/>
      <c r="O1169" s="24"/>
      <c r="P1169" s="170"/>
      <c r="Q1169" s="170"/>
      <c r="R1169" s="247"/>
      <c r="S1169" s="196"/>
      <c r="T1169" s="196"/>
      <c r="U1169" s="196"/>
      <c r="V1169" s="194"/>
      <c r="W1169" s="194" t="s">
        <v>2962</v>
      </c>
      <c r="X1169" s="196"/>
      <c r="Y1169" s="196"/>
      <c r="Z1169" s="196"/>
      <c r="AA1169" s="170"/>
      <c r="AB1169" s="196"/>
      <c r="AC1169" s="251"/>
      <c r="AD1169" s="170"/>
      <c r="AE1169" s="225"/>
      <c r="AF1169" s="170"/>
      <c r="AG1169" s="170"/>
      <c r="AH1169" s="251"/>
      <c r="AI1169" s="170"/>
      <c r="AJ1169" s="196"/>
      <c r="AK1169" s="22"/>
      <c r="AL1169" s="170"/>
      <c r="AM1169" s="170"/>
      <c r="AN1169" s="170"/>
      <c r="AO1169" s="170"/>
      <c r="AP1169" s="170"/>
      <c r="AQ1169" s="22"/>
      <c r="AR1169" s="22"/>
      <c r="AS1169" s="22"/>
      <c r="AT1169" s="170"/>
      <c r="AU1169" s="170"/>
      <c r="AV1169" s="170"/>
      <c r="AW1169" s="170"/>
      <c r="AX1169" s="170"/>
      <c r="AY1169" s="170"/>
      <c r="AZ1169" s="170"/>
      <c r="BA1169" s="170"/>
      <c r="BB1169" s="170"/>
      <c r="BC1169" s="170"/>
      <c r="BD1169" s="170"/>
      <c r="BE1169" s="143" t="s">
        <v>115</v>
      </c>
      <c r="BF1169" s="143" t="s">
        <v>2963</v>
      </c>
      <c r="BG1169" s="167" t="s">
        <v>2964</v>
      </c>
      <c r="BH1169" s="220"/>
      <c r="BI1169" s="220"/>
      <c r="BJ1169" s="220"/>
      <c r="BK1169" s="46">
        <f t="shared" si="1"/>
        <v>1</v>
      </c>
      <c r="BL1169" s="46"/>
      <c r="BM1169" s="46"/>
      <c r="BN1169" s="46"/>
    </row>
    <row r="1170" spans="1:66" ht="12.75" hidden="1" customHeight="1">
      <c r="A1170" s="22">
        <v>1168</v>
      </c>
      <c r="B1170" s="22" t="s">
        <v>3588</v>
      </c>
      <c r="C1170" s="22" t="e">
        <f t="shared" ca="1" si="0"/>
        <v>#NAME?</v>
      </c>
      <c r="D1170" s="24" t="s">
        <v>2383</v>
      </c>
      <c r="E1170" s="22" t="s">
        <v>180</v>
      </c>
      <c r="F1170" s="24" t="s">
        <v>2956</v>
      </c>
      <c r="G1170" s="24" t="s">
        <v>2923</v>
      </c>
      <c r="H1170" s="24"/>
      <c r="I1170" s="24">
        <v>1</v>
      </c>
      <c r="J1170" s="24" t="s">
        <v>2372</v>
      </c>
      <c r="K1170" s="24"/>
      <c r="L1170" s="24"/>
      <c r="M1170" s="24"/>
      <c r="N1170" s="24"/>
      <c r="O1170" s="24"/>
      <c r="P1170" s="170"/>
      <c r="Q1170" s="170"/>
      <c r="R1170" s="247"/>
      <c r="S1170" s="196"/>
      <c r="T1170" s="196"/>
      <c r="U1170" s="196"/>
      <c r="V1170" s="194"/>
      <c r="W1170" s="194" t="s">
        <v>2383</v>
      </c>
      <c r="X1170" s="196"/>
      <c r="Y1170" s="196"/>
      <c r="Z1170" s="196"/>
      <c r="AA1170" s="170"/>
      <c r="AB1170" s="196"/>
      <c r="AC1170" s="251"/>
      <c r="AD1170" s="170"/>
      <c r="AE1170" s="225"/>
      <c r="AF1170" s="170"/>
      <c r="AG1170" s="170"/>
      <c r="AH1170" s="251"/>
      <c r="AI1170" s="170"/>
      <c r="AJ1170" s="196"/>
      <c r="AK1170" s="22"/>
      <c r="AL1170" s="170"/>
      <c r="AM1170" s="170"/>
      <c r="AN1170" s="170"/>
      <c r="AO1170" s="170"/>
      <c r="AP1170" s="170"/>
      <c r="AQ1170" s="22"/>
      <c r="AR1170" s="22"/>
      <c r="AS1170" s="22"/>
      <c r="AT1170" s="170"/>
      <c r="AU1170" s="170"/>
      <c r="AV1170" s="170"/>
      <c r="AW1170" s="170"/>
      <c r="AX1170" s="170"/>
      <c r="AY1170" s="170"/>
      <c r="AZ1170" s="170"/>
      <c r="BA1170" s="170"/>
      <c r="BB1170" s="170"/>
      <c r="BC1170" s="170"/>
      <c r="BD1170" s="170"/>
      <c r="BE1170" s="143" t="s">
        <v>115</v>
      </c>
      <c r="BF1170" s="143" t="s">
        <v>2716</v>
      </c>
      <c r="BG1170" s="167" t="s">
        <v>2717</v>
      </c>
      <c r="BH1170" s="220"/>
      <c r="BI1170" s="220"/>
      <c r="BJ1170" s="220"/>
      <c r="BK1170" s="46">
        <f t="shared" si="1"/>
        <v>1</v>
      </c>
      <c r="BL1170" s="46"/>
      <c r="BM1170" s="46"/>
      <c r="BN1170" s="46"/>
    </row>
    <row r="1171" spans="1:66" ht="12.75" hidden="1" customHeight="1">
      <c r="A1171" s="22">
        <v>1169</v>
      </c>
      <c r="B1171" s="22" t="s">
        <v>4500</v>
      </c>
      <c r="C1171" s="22" t="e">
        <f t="shared" ca="1" si="0"/>
        <v>#NAME?</v>
      </c>
      <c r="D1171" s="24" t="s">
        <v>2965</v>
      </c>
      <c r="E1171" s="22" t="s">
        <v>180</v>
      </c>
      <c r="F1171" s="24" t="s">
        <v>2956</v>
      </c>
      <c r="G1171" s="24" t="s">
        <v>2923</v>
      </c>
      <c r="H1171" s="24"/>
      <c r="I1171" s="24">
        <v>1</v>
      </c>
      <c r="J1171" s="24" t="s">
        <v>2372</v>
      </c>
      <c r="K1171" s="24"/>
      <c r="L1171" s="24"/>
      <c r="M1171" s="24"/>
      <c r="N1171" s="24"/>
      <c r="O1171" s="24"/>
      <c r="P1171" s="170"/>
      <c r="Q1171" s="170"/>
      <c r="R1171" s="247"/>
      <c r="S1171" s="196"/>
      <c r="T1171" s="196"/>
      <c r="U1171" s="196"/>
      <c r="V1171" s="194"/>
      <c r="W1171" s="194" t="s">
        <v>2965</v>
      </c>
      <c r="X1171" s="196"/>
      <c r="Y1171" s="196"/>
      <c r="Z1171" s="196"/>
      <c r="AA1171" s="170"/>
      <c r="AB1171" s="196"/>
      <c r="AC1171" s="251"/>
      <c r="AD1171" s="170"/>
      <c r="AE1171" s="225"/>
      <c r="AF1171" s="170"/>
      <c r="AG1171" s="170"/>
      <c r="AH1171" s="251"/>
      <c r="AI1171" s="170"/>
      <c r="AJ1171" s="196"/>
      <c r="AK1171" s="22"/>
      <c r="AL1171" s="170"/>
      <c r="AM1171" s="170"/>
      <c r="AN1171" s="170"/>
      <c r="AO1171" s="170"/>
      <c r="AP1171" s="170"/>
      <c r="AQ1171" s="22"/>
      <c r="AR1171" s="22"/>
      <c r="AS1171" s="22"/>
      <c r="AT1171" s="170"/>
      <c r="AU1171" s="170"/>
      <c r="AV1171" s="170"/>
      <c r="AW1171" s="170"/>
      <c r="AX1171" s="170"/>
      <c r="AY1171" s="170"/>
      <c r="AZ1171" s="170"/>
      <c r="BA1171" s="170"/>
      <c r="BB1171" s="170"/>
      <c r="BC1171" s="170"/>
      <c r="BD1171" s="170"/>
      <c r="BE1171" s="143" t="s">
        <v>115</v>
      </c>
      <c r="BF1171" s="143" t="s">
        <v>2685</v>
      </c>
      <c r="BG1171" s="167" t="s">
        <v>2686</v>
      </c>
      <c r="BH1171" s="220"/>
      <c r="BI1171" s="220"/>
      <c r="BJ1171" s="220"/>
      <c r="BK1171" s="46">
        <f t="shared" si="1"/>
        <v>1</v>
      </c>
      <c r="BL1171" s="46"/>
      <c r="BM1171" s="46"/>
      <c r="BN1171" s="46"/>
    </row>
    <row r="1172" spans="1:66" ht="12.75" hidden="1" customHeight="1">
      <c r="A1172" s="22">
        <v>1170</v>
      </c>
      <c r="B1172" s="22" t="s">
        <v>535</v>
      </c>
      <c r="C1172" s="22" t="e">
        <f t="shared" ca="1" si="0"/>
        <v>#NAME?</v>
      </c>
      <c r="D1172" s="24" t="s">
        <v>405</v>
      </c>
      <c r="E1172" s="22" t="s">
        <v>180</v>
      </c>
      <c r="F1172" s="24" t="s">
        <v>2956</v>
      </c>
      <c r="G1172" s="24" t="s">
        <v>2923</v>
      </c>
      <c r="H1172" s="24"/>
      <c r="I1172" s="24">
        <v>1</v>
      </c>
      <c r="J1172" s="24" t="s">
        <v>2372</v>
      </c>
      <c r="K1172" s="24"/>
      <c r="L1172" s="24"/>
      <c r="M1172" s="24"/>
      <c r="N1172" s="24"/>
      <c r="O1172" s="24"/>
      <c r="P1172" s="170"/>
      <c r="Q1172" s="170"/>
      <c r="R1172" s="247"/>
      <c r="S1172" s="196"/>
      <c r="T1172" s="196"/>
      <c r="U1172" s="196"/>
      <c r="V1172" s="194"/>
      <c r="W1172" s="194" t="s">
        <v>405</v>
      </c>
      <c r="X1172" s="196"/>
      <c r="Y1172" s="196"/>
      <c r="Z1172" s="196"/>
      <c r="AA1172" s="170"/>
      <c r="AB1172" s="196"/>
      <c r="AC1172" s="251"/>
      <c r="AD1172" s="170"/>
      <c r="AE1172" s="225"/>
      <c r="AF1172" s="170"/>
      <c r="AG1172" s="170"/>
      <c r="AH1172" s="251"/>
      <c r="AI1172" s="170"/>
      <c r="AJ1172" s="196"/>
      <c r="AK1172" s="22"/>
      <c r="AL1172" s="170"/>
      <c r="AM1172" s="170"/>
      <c r="AN1172" s="170"/>
      <c r="AO1172" s="170"/>
      <c r="AP1172" s="170"/>
      <c r="AQ1172" s="22"/>
      <c r="AR1172" s="22"/>
      <c r="AS1172" s="22"/>
      <c r="AT1172" s="170"/>
      <c r="AU1172" s="170"/>
      <c r="AV1172" s="170"/>
      <c r="AW1172" s="170"/>
      <c r="AX1172" s="170"/>
      <c r="AY1172" s="170"/>
      <c r="AZ1172" s="170"/>
      <c r="BA1172" s="170"/>
      <c r="BB1172" s="170"/>
      <c r="BC1172" s="170"/>
      <c r="BD1172" s="170"/>
      <c r="BE1172" s="143" t="s">
        <v>115</v>
      </c>
      <c r="BF1172" s="143" t="s">
        <v>406</v>
      </c>
      <c r="BG1172" s="167" t="s">
        <v>407</v>
      </c>
      <c r="BH1172" s="220"/>
      <c r="BI1172" s="220"/>
      <c r="BJ1172" s="220"/>
      <c r="BK1172" s="46">
        <f t="shared" si="1"/>
        <v>1</v>
      </c>
      <c r="BL1172" s="46"/>
      <c r="BM1172" s="46"/>
      <c r="BN1172" s="46"/>
    </row>
    <row r="1173" spans="1:66" ht="12.75" hidden="1" customHeight="1">
      <c r="A1173" s="22">
        <v>1171</v>
      </c>
      <c r="B1173" s="22" t="s">
        <v>2966</v>
      </c>
      <c r="C1173" s="22" t="str">
        <f t="shared" si="0"/>
        <v>Specify - Reason TT Done not done</v>
      </c>
      <c r="D1173" s="24" t="s">
        <v>2966</v>
      </c>
      <c r="E1173" s="22" t="s">
        <v>96</v>
      </c>
      <c r="F1173" s="24" t="s">
        <v>1787</v>
      </c>
      <c r="G1173" s="24" t="s">
        <v>2923</v>
      </c>
      <c r="H1173" s="24"/>
      <c r="I1173" s="24">
        <v>1</v>
      </c>
      <c r="J1173" s="24" t="s">
        <v>2372</v>
      </c>
      <c r="K1173" s="24"/>
      <c r="L1173" s="24"/>
      <c r="M1173" s="24"/>
      <c r="N1173" s="24"/>
      <c r="O1173" s="24"/>
      <c r="P1173" s="170"/>
      <c r="Q1173" s="170"/>
      <c r="R1173" s="247" t="s">
        <v>409</v>
      </c>
      <c r="S1173" s="196" t="s">
        <v>2967</v>
      </c>
      <c r="T1173" s="196" t="s">
        <v>2641</v>
      </c>
      <c r="U1173" s="196" t="s">
        <v>111</v>
      </c>
      <c r="V1173" s="194"/>
      <c r="W1173" s="194"/>
      <c r="X1173" s="196"/>
      <c r="Y1173" s="196"/>
      <c r="Z1173" s="196"/>
      <c r="AA1173" s="170"/>
      <c r="AB1173" s="196" t="s">
        <v>208</v>
      </c>
      <c r="AC1173" s="251"/>
      <c r="AD1173" s="170"/>
      <c r="AE1173" s="225"/>
      <c r="AF1173" s="170"/>
      <c r="AG1173" s="170"/>
      <c r="AH1173" s="251"/>
      <c r="AI1173" s="170"/>
      <c r="AJ1173" s="196" t="s">
        <v>115</v>
      </c>
      <c r="AK1173" s="22"/>
      <c r="AL1173" s="170"/>
      <c r="AM1173" s="170"/>
      <c r="AN1173" s="170"/>
      <c r="AO1173" s="170"/>
      <c r="AP1173" s="170"/>
      <c r="AQ1173" s="22"/>
      <c r="AR1173" s="22"/>
      <c r="AS1173" s="22"/>
      <c r="AT1173" s="170"/>
      <c r="AU1173" s="170"/>
      <c r="AV1173" s="170"/>
      <c r="AW1173" s="170"/>
      <c r="AX1173" s="170"/>
      <c r="AY1173" s="170"/>
      <c r="AZ1173" s="170"/>
      <c r="BA1173" s="170"/>
      <c r="BB1173" s="170"/>
      <c r="BC1173" s="170"/>
      <c r="BD1173" s="170"/>
      <c r="BE1173" s="137" t="s">
        <v>2926</v>
      </c>
      <c r="BF1173" s="137" t="s">
        <v>2968</v>
      </c>
      <c r="BG1173" s="139" t="s">
        <v>2969</v>
      </c>
      <c r="BH1173" s="220"/>
      <c r="BI1173" s="220"/>
      <c r="BJ1173" s="220"/>
      <c r="BK1173" s="46">
        <f t="shared" si="1"/>
        <v>1</v>
      </c>
      <c r="BL1173" s="46"/>
      <c r="BM1173" s="46"/>
      <c r="BN1173" s="46"/>
    </row>
    <row r="1174" spans="1:66" ht="12.75" hidden="1" customHeight="1">
      <c r="A1174" s="22">
        <v>1172</v>
      </c>
      <c r="B1174" s="22" t="s">
        <v>2970</v>
      </c>
      <c r="C1174" s="22" t="str">
        <f t="shared" si="0"/>
        <v>Hep B negative counseling and vaccination</v>
      </c>
      <c r="D1174" s="24" t="s">
        <v>2970</v>
      </c>
      <c r="E1174" s="22" t="s">
        <v>96</v>
      </c>
      <c r="F1174" s="24" t="s">
        <v>1787</v>
      </c>
      <c r="G1174" s="24" t="s">
        <v>2971</v>
      </c>
      <c r="H1174" s="24"/>
      <c r="I1174" s="24">
        <v>1</v>
      </c>
      <c r="J1174" s="24" t="s">
        <v>2372</v>
      </c>
      <c r="K1174" s="24"/>
      <c r="L1174" s="24"/>
      <c r="M1174" s="24"/>
      <c r="N1174" s="24"/>
      <c r="O1174" s="24"/>
      <c r="P1174" s="170"/>
      <c r="Q1174" s="170"/>
      <c r="R1174" s="169" t="s">
        <v>2970</v>
      </c>
      <c r="S1174" s="164" t="s">
        <v>2972</v>
      </c>
      <c r="T1174" s="164"/>
      <c r="U1174" s="164" t="s">
        <v>202</v>
      </c>
      <c r="V1174" s="163"/>
      <c r="W1174" s="163"/>
      <c r="X1174" s="164"/>
      <c r="Y1174" s="164"/>
      <c r="Z1174" s="164"/>
      <c r="AA1174" s="170"/>
      <c r="AB1174" s="164" t="s">
        <v>208</v>
      </c>
      <c r="AC1174" s="251"/>
      <c r="AD1174" s="170"/>
      <c r="AE1174" s="225"/>
      <c r="AF1174" s="170"/>
      <c r="AG1174" s="170"/>
      <c r="AH1174" s="251"/>
      <c r="AI1174" s="170"/>
      <c r="AJ1174" s="164" t="s">
        <v>2973</v>
      </c>
      <c r="AK1174" s="22"/>
      <c r="AL1174" s="170"/>
      <c r="AM1174" s="170"/>
      <c r="AN1174" s="170"/>
      <c r="AO1174" s="170"/>
      <c r="AP1174" s="170"/>
      <c r="AQ1174" s="22"/>
      <c r="AR1174" s="22"/>
      <c r="AS1174" s="22"/>
      <c r="AT1174" s="170"/>
      <c r="AU1174" s="170"/>
      <c r="AV1174" s="170"/>
      <c r="AW1174" s="170"/>
      <c r="AX1174" s="170"/>
      <c r="AY1174" s="170"/>
      <c r="AZ1174" s="170"/>
      <c r="BA1174" s="170"/>
      <c r="BB1174" s="170"/>
      <c r="BC1174" s="170"/>
      <c r="BD1174" s="170"/>
      <c r="BE1174" s="137" t="s">
        <v>2974</v>
      </c>
      <c r="BF1174" s="137" t="s">
        <v>2398</v>
      </c>
      <c r="BG1174" s="139" t="s">
        <v>2399</v>
      </c>
      <c r="BH1174" s="220"/>
      <c r="BI1174" s="220"/>
      <c r="BJ1174" s="220"/>
      <c r="BK1174" s="46">
        <f t="shared" si="1"/>
        <v>1</v>
      </c>
      <c r="BL1174" s="46"/>
      <c r="BM1174" s="46"/>
      <c r="BN1174" s="46"/>
    </row>
    <row r="1175" spans="1:66" ht="12.75" hidden="1" customHeight="1">
      <c r="A1175" s="22">
        <v>1173</v>
      </c>
      <c r="B1175" s="22" t="s">
        <v>2527</v>
      </c>
      <c r="C1175" s="22" t="e">
        <f t="shared" ca="1" si="0"/>
        <v>#NAME?</v>
      </c>
      <c r="D1175" s="24" t="s">
        <v>1673</v>
      </c>
      <c r="E1175" s="22" t="s">
        <v>180</v>
      </c>
      <c r="F1175" s="24" t="s">
        <v>2970</v>
      </c>
      <c r="G1175" s="24" t="s">
        <v>2971</v>
      </c>
      <c r="H1175" s="24"/>
      <c r="I1175" s="24">
        <v>1</v>
      </c>
      <c r="J1175" s="24" t="s">
        <v>2372</v>
      </c>
      <c r="K1175" s="24"/>
      <c r="L1175" s="24"/>
      <c r="M1175" s="24"/>
      <c r="N1175" s="24"/>
      <c r="O1175" s="24"/>
      <c r="P1175" s="170"/>
      <c r="Q1175" s="170"/>
      <c r="R1175" s="169"/>
      <c r="S1175" s="164"/>
      <c r="T1175" s="164"/>
      <c r="U1175" s="164"/>
      <c r="V1175" s="163"/>
      <c r="W1175" s="163" t="s">
        <v>1673</v>
      </c>
      <c r="X1175" s="164"/>
      <c r="Y1175" s="164"/>
      <c r="Z1175" s="164"/>
      <c r="AA1175" s="170"/>
      <c r="AB1175" s="164"/>
      <c r="AC1175" s="251"/>
      <c r="AD1175" s="170"/>
      <c r="AE1175" s="225"/>
      <c r="AF1175" s="170"/>
      <c r="AG1175" s="170"/>
      <c r="AH1175" s="251"/>
      <c r="AI1175" s="170"/>
      <c r="AJ1175" s="164"/>
      <c r="AK1175" s="22"/>
      <c r="AL1175" s="170"/>
      <c r="AM1175" s="170"/>
      <c r="AN1175" s="170"/>
      <c r="AO1175" s="170"/>
      <c r="AP1175" s="170"/>
      <c r="AQ1175" s="22"/>
      <c r="AR1175" s="22"/>
      <c r="AS1175" s="22"/>
      <c r="AT1175" s="170"/>
      <c r="AU1175" s="170"/>
      <c r="AV1175" s="170"/>
      <c r="AW1175" s="170"/>
      <c r="AX1175" s="170"/>
      <c r="AY1175" s="170"/>
      <c r="AZ1175" s="170"/>
      <c r="BA1175" s="170"/>
      <c r="BB1175" s="170"/>
      <c r="BC1175" s="170"/>
      <c r="BD1175" s="170"/>
      <c r="BE1175" s="137" t="s">
        <v>115</v>
      </c>
      <c r="BF1175" s="137" t="s">
        <v>942</v>
      </c>
      <c r="BG1175" s="167" t="s">
        <v>943</v>
      </c>
      <c r="BH1175" s="220"/>
      <c r="BI1175" s="220"/>
      <c r="BJ1175" s="220"/>
      <c r="BK1175" s="46">
        <f t="shared" si="1"/>
        <v>1</v>
      </c>
      <c r="BL1175" s="46"/>
      <c r="BM1175" s="46"/>
      <c r="BN1175" s="46"/>
    </row>
    <row r="1176" spans="1:66" ht="12.75" hidden="1" customHeight="1">
      <c r="A1176" s="22">
        <v>1174</v>
      </c>
      <c r="B1176" s="22" t="s">
        <v>2118</v>
      </c>
      <c r="C1176" s="22" t="e">
        <f t="shared" ca="1" si="0"/>
        <v>#NAME?</v>
      </c>
      <c r="D1176" s="24" t="s">
        <v>1468</v>
      </c>
      <c r="E1176" s="22" t="s">
        <v>180</v>
      </c>
      <c r="F1176" s="24" t="s">
        <v>2970</v>
      </c>
      <c r="G1176" s="24" t="s">
        <v>2971</v>
      </c>
      <c r="H1176" s="24"/>
      <c r="I1176" s="24">
        <v>1</v>
      </c>
      <c r="J1176" s="24" t="s">
        <v>2372</v>
      </c>
      <c r="K1176" s="24"/>
      <c r="L1176" s="24"/>
      <c r="M1176" s="24"/>
      <c r="N1176" s="24"/>
      <c r="O1176" s="24"/>
      <c r="P1176" s="170"/>
      <c r="Q1176" s="170"/>
      <c r="R1176" s="169"/>
      <c r="S1176" s="164"/>
      <c r="T1176" s="164"/>
      <c r="U1176" s="164"/>
      <c r="V1176" s="163"/>
      <c r="W1176" s="163" t="s">
        <v>1468</v>
      </c>
      <c r="X1176" s="164"/>
      <c r="Y1176" s="164"/>
      <c r="Z1176" s="164"/>
      <c r="AA1176" s="170"/>
      <c r="AB1176" s="164"/>
      <c r="AC1176" s="251"/>
      <c r="AD1176" s="170"/>
      <c r="AE1176" s="225"/>
      <c r="AF1176" s="170"/>
      <c r="AG1176" s="170"/>
      <c r="AH1176" s="251"/>
      <c r="AI1176" s="170"/>
      <c r="AJ1176" s="164"/>
      <c r="AK1176" s="22"/>
      <c r="AL1176" s="170"/>
      <c r="AM1176" s="170"/>
      <c r="AN1176" s="170"/>
      <c r="AO1176" s="170"/>
      <c r="AP1176" s="170"/>
      <c r="AQ1176" s="22"/>
      <c r="AR1176" s="22"/>
      <c r="AS1176" s="22"/>
      <c r="AT1176" s="170"/>
      <c r="AU1176" s="170"/>
      <c r="AV1176" s="170"/>
      <c r="AW1176" s="170"/>
      <c r="AX1176" s="170"/>
      <c r="AY1176" s="170"/>
      <c r="AZ1176" s="170"/>
      <c r="BA1176" s="170"/>
      <c r="BB1176" s="170"/>
      <c r="BC1176" s="170"/>
      <c r="BD1176" s="170"/>
      <c r="BE1176" s="137" t="s">
        <v>115</v>
      </c>
      <c r="BF1176" s="137" t="s">
        <v>1469</v>
      </c>
      <c r="BG1176" s="167" t="s">
        <v>1470</v>
      </c>
      <c r="BH1176" s="220"/>
      <c r="BI1176" s="220"/>
      <c r="BJ1176" s="220"/>
      <c r="BK1176" s="46">
        <f t="shared" si="1"/>
        <v>1</v>
      </c>
      <c r="BL1176" s="46"/>
      <c r="BM1176" s="46"/>
      <c r="BN1176" s="46"/>
    </row>
    <row r="1177" spans="1:66" ht="12.75" hidden="1" customHeight="1">
      <c r="A1177" s="22">
        <v>1175</v>
      </c>
      <c r="B1177" s="22" t="s">
        <v>2975</v>
      </c>
      <c r="C1177" s="22" t="str">
        <f t="shared" si="0"/>
        <v>Hep B dose #1</v>
      </c>
      <c r="D1177" s="24" t="s">
        <v>2975</v>
      </c>
      <c r="E1177" s="22" t="s">
        <v>96</v>
      </c>
      <c r="F1177" s="24" t="s">
        <v>1787</v>
      </c>
      <c r="G1177" s="24" t="s">
        <v>2971</v>
      </c>
      <c r="H1177" s="24"/>
      <c r="I1177" s="24">
        <v>1</v>
      </c>
      <c r="J1177" s="24" t="s">
        <v>2372</v>
      </c>
      <c r="K1177" s="24"/>
      <c r="L1177" s="24"/>
      <c r="M1177" s="24"/>
      <c r="N1177" s="24"/>
      <c r="O1177" s="24"/>
      <c r="P1177" s="170"/>
      <c r="Q1177" s="170"/>
      <c r="R1177" s="169" t="s">
        <v>2975</v>
      </c>
      <c r="S1177" s="164" t="s">
        <v>2976</v>
      </c>
      <c r="T1177" s="164" t="s">
        <v>2977</v>
      </c>
      <c r="U1177" s="164" t="s">
        <v>202</v>
      </c>
      <c r="V1177" s="163"/>
      <c r="W1177" s="163"/>
      <c r="X1177" s="164"/>
      <c r="Y1177" s="164"/>
      <c r="Z1177" s="164" t="s">
        <v>904</v>
      </c>
      <c r="AA1177" s="170"/>
      <c r="AB1177" s="164" t="s">
        <v>113</v>
      </c>
      <c r="AC1177" s="251"/>
      <c r="AD1177" s="170"/>
      <c r="AE1177" s="225"/>
      <c r="AF1177" s="170"/>
      <c r="AG1177" s="170"/>
      <c r="AH1177" s="251"/>
      <c r="AI1177" s="170"/>
      <c r="AJ1177" s="164" t="s">
        <v>2675</v>
      </c>
      <c r="AK1177" s="22"/>
      <c r="AL1177" s="170"/>
      <c r="AM1177" s="170"/>
      <c r="AN1177" s="170"/>
      <c r="AO1177" s="170"/>
      <c r="AP1177" s="170"/>
      <c r="AQ1177" s="22"/>
      <c r="AR1177" s="22"/>
      <c r="AS1177" s="22"/>
      <c r="AT1177" s="170"/>
      <c r="AU1177" s="170"/>
      <c r="AV1177" s="170"/>
      <c r="AW1177" s="170"/>
      <c r="AX1177" s="170"/>
      <c r="AY1177" s="170"/>
      <c r="AZ1177" s="170"/>
      <c r="BA1177" s="170"/>
      <c r="BB1177" s="170"/>
      <c r="BC1177" s="170"/>
      <c r="BD1177" s="170"/>
      <c r="BE1177" s="137" t="s">
        <v>2978</v>
      </c>
      <c r="BF1177" s="137" t="s">
        <v>2927</v>
      </c>
      <c r="BG1177" s="139" t="s">
        <v>2928</v>
      </c>
      <c r="BH1177" s="220"/>
      <c r="BI1177" s="220"/>
      <c r="BJ1177" s="220"/>
      <c r="BK1177" s="46">
        <f t="shared" si="1"/>
        <v>1</v>
      </c>
      <c r="BL1177" s="46"/>
      <c r="BM1177" s="46"/>
      <c r="BN1177" s="46"/>
    </row>
    <row r="1178" spans="1:66" ht="12.75" hidden="1" customHeight="1">
      <c r="A1178" s="22">
        <v>1176</v>
      </c>
      <c r="B1178" s="22" t="s">
        <v>2651</v>
      </c>
      <c r="C1178" s="22" t="e">
        <f t="shared" ca="1" si="0"/>
        <v>#NAME?</v>
      </c>
      <c r="D1178" s="24" t="s">
        <v>1775</v>
      </c>
      <c r="E1178" s="22" t="s">
        <v>180</v>
      </c>
      <c r="F1178" s="24" t="s">
        <v>2975</v>
      </c>
      <c r="G1178" s="24" t="s">
        <v>2971</v>
      </c>
      <c r="H1178" s="24"/>
      <c r="I1178" s="24">
        <v>1</v>
      </c>
      <c r="J1178" s="24" t="s">
        <v>2372</v>
      </c>
      <c r="K1178" s="24"/>
      <c r="L1178" s="24"/>
      <c r="M1178" s="24"/>
      <c r="N1178" s="24"/>
      <c r="O1178" s="24"/>
      <c r="P1178" s="170"/>
      <c r="Q1178" s="170"/>
      <c r="R1178" s="169"/>
      <c r="S1178" s="164"/>
      <c r="T1178" s="164"/>
      <c r="U1178" s="164"/>
      <c r="V1178" s="163"/>
      <c r="W1178" s="163" t="s">
        <v>1775</v>
      </c>
      <c r="X1178" s="164"/>
      <c r="Y1178" s="164"/>
      <c r="Z1178" s="164"/>
      <c r="AA1178" s="170"/>
      <c r="AB1178" s="164"/>
      <c r="AC1178" s="251"/>
      <c r="AD1178" s="170"/>
      <c r="AE1178" s="225"/>
      <c r="AF1178" s="170"/>
      <c r="AG1178" s="170"/>
      <c r="AH1178" s="251"/>
      <c r="AI1178" s="170"/>
      <c r="AJ1178" s="164"/>
      <c r="AK1178" s="22"/>
      <c r="AL1178" s="170"/>
      <c r="AM1178" s="170"/>
      <c r="AN1178" s="170"/>
      <c r="AO1178" s="170"/>
      <c r="AP1178" s="170"/>
      <c r="AQ1178" s="22"/>
      <c r="AR1178" s="22"/>
      <c r="AS1178" s="22"/>
      <c r="AT1178" s="170"/>
      <c r="AU1178" s="170"/>
      <c r="AV1178" s="170"/>
      <c r="AW1178" s="170"/>
      <c r="AX1178" s="170"/>
      <c r="AY1178" s="170"/>
      <c r="AZ1178" s="170"/>
      <c r="BA1178" s="170"/>
      <c r="BB1178" s="170"/>
      <c r="BC1178" s="170"/>
      <c r="BD1178" s="170"/>
      <c r="BE1178" s="137" t="s">
        <v>115</v>
      </c>
      <c r="BF1178" s="137" t="s">
        <v>953</v>
      </c>
      <c r="BG1178" s="139" t="s">
        <v>954</v>
      </c>
      <c r="BH1178" s="220"/>
      <c r="BI1178" s="220"/>
      <c r="BJ1178" s="220"/>
      <c r="BK1178" s="46">
        <f t="shared" si="1"/>
        <v>1</v>
      </c>
      <c r="BL1178" s="46"/>
      <c r="BM1178" s="46"/>
      <c r="BN1178" s="46"/>
    </row>
    <row r="1179" spans="1:66" ht="12.75" hidden="1" customHeight="1">
      <c r="A1179" s="22">
        <v>1177</v>
      </c>
      <c r="B1179" s="22" t="s">
        <v>2655</v>
      </c>
      <c r="C1179" s="22" t="e">
        <f t="shared" ca="1" si="0"/>
        <v>#NAME?</v>
      </c>
      <c r="D1179" s="24" t="s">
        <v>1779</v>
      </c>
      <c r="E1179" s="22" t="s">
        <v>180</v>
      </c>
      <c r="F1179" s="24" t="s">
        <v>2975</v>
      </c>
      <c r="G1179" s="24" t="s">
        <v>2971</v>
      </c>
      <c r="H1179" s="24"/>
      <c r="I1179" s="24">
        <v>1</v>
      </c>
      <c r="J1179" s="24" t="s">
        <v>2372</v>
      </c>
      <c r="K1179" s="24"/>
      <c r="L1179" s="24"/>
      <c r="M1179" s="24"/>
      <c r="N1179" s="24"/>
      <c r="O1179" s="24"/>
      <c r="P1179" s="170"/>
      <c r="Q1179" s="170"/>
      <c r="R1179" s="169"/>
      <c r="S1179" s="164"/>
      <c r="T1179" s="164"/>
      <c r="U1179" s="164"/>
      <c r="V1179" s="163"/>
      <c r="W1179" s="163" t="s">
        <v>1779</v>
      </c>
      <c r="X1179" s="164"/>
      <c r="Y1179" s="164"/>
      <c r="Z1179" s="164"/>
      <c r="AA1179" s="170"/>
      <c r="AB1179" s="164"/>
      <c r="AC1179" s="251"/>
      <c r="AD1179" s="170"/>
      <c r="AE1179" s="225"/>
      <c r="AF1179" s="170"/>
      <c r="AG1179" s="170"/>
      <c r="AH1179" s="251"/>
      <c r="AI1179" s="170"/>
      <c r="AJ1179" s="164"/>
      <c r="AK1179" s="22"/>
      <c r="AL1179" s="170"/>
      <c r="AM1179" s="170"/>
      <c r="AN1179" s="170"/>
      <c r="AO1179" s="170"/>
      <c r="AP1179" s="170"/>
      <c r="AQ1179" s="22"/>
      <c r="AR1179" s="22"/>
      <c r="AS1179" s="22"/>
      <c r="AT1179" s="170"/>
      <c r="AU1179" s="170"/>
      <c r="AV1179" s="170"/>
      <c r="AW1179" s="170"/>
      <c r="AX1179" s="170"/>
      <c r="AY1179" s="170"/>
      <c r="AZ1179" s="170"/>
      <c r="BA1179" s="170"/>
      <c r="BB1179" s="170"/>
      <c r="BC1179" s="170"/>
      <c r="BD1179" s="170"/>
      <c r="BE1179" s="137" t="s">
        <v>115</v>
      </c>
      <c r="BF1179" s="137" t="s">
        <v>2929</v>
      </c>
      <c r="BG1179" s="139" t="s">
        <v>2930</v>
      </c>
      <c r="BH1179" s="220"/>
      <c r="BI1179" s="220"/>
      <c r="BJ1179" s="220"/>
      <c r="BK1179" s="46">
        <f t="shared" si="1"/>
        <v>1</v>
      </c>
      <c r="BL1179" s="46"/>
      <c r="BM1179" s="46"/>
      <c r="BN1179" s="46"/>
    </row>
    <row r="1180" spans="1:66" ht="12.75" hidden="1" customHeight="1">
      <c r="A1180" s="22">
        <v>1178</v>
      </c>
      <c r="B1180" s="22" t="s">
        <v>2118</v>
      </c>
      <c r="C1180" s="22" t="e">
        <f t="shared" ca="1" si="0"/>
        <v>#NAME?</v>
      </c>
      <c r="D1180" s="24" t="s">
        <v>1468</v>
      </c>
      <c r="E1180" s="22" t="s">
        <v>180</v>
      </c>
      <c r="F1180" s="24" t="s">
        <v>2975</v>
      </c>
      <c r="G1180" s="24" t="s">
        <v>2971</v>
      </c>
      <c r="H1180" s="24"/>
      <c r="I1180" s="24">
        <v>1</v>
      </c>
      <c r="J1180" s="24" t="s">
        <v>2372</v>
      </c>
      <c r="K1180" s="24"/>
      <c r="L1180" s="24"/>
      <c r="M1180" s="24"/>
      <c r="N1180" s="24"/>
      <c r="O1180" s="24"/>
      <c r="P1180" s="170"/>
      <c r="Q1180" s="170"/>
      <c r="R1180" s="169"/>
      <c r="S1180" s="164"/>
      <c r="T1180" s="164"/>
      <c r="U1180" s="164"/>
      <c r="V1180" s="163"/>
      <c r="W1180" s="163" t="s">
        <v>1468</v>
      </c>
      <c r="X1180" s="164"/>
      <c r="Y1180" s="164"/>
      <c r="Z1180" s="164"/>
      <c r="AA1180" s="170"/>
      <c r="AB1180" s="164"/>
      <c r="AC1180" s="251"/>
      <c r="AD1180" s="170"/>
      <c r="AE1180" s="225"/>
      <c r="AF1180" s="170"/>
      <c r="AG1180" s="170"/>
      <c r="AH1180" s="251"/>
      <c r="AI1180" s="170"/>
      <c r="AJ1180" s="164"/>
      <c r="AK1180" s="22"/>
      <c r="AL1180" s="170"/>
      <c r="AM1180" s="170"/>
      <c r="AN1180" s="170"/>
      <c r="AO1180" s="170"/>
      <c r="AP1180" s="170"/>
      <c r="AQ1180" s="22"/>
      <c r="AR1180" s="22"/>
      <c r="AS1180" s="22"/>
      <c r="AT1180" s="170"/>
      <c r="AU1180" s="170"/>
      <c r="AV1180" s="170"/>
      <c r="AW1180" s="170"/>
      <c r="AX1180" s="170"/>
      <c r="AY1180" s="170"/>
      <c r="AZ1180" s="170"/>
      <c r="BA1180" s="170"/>
      <c r="BB1180" s="170"/>
      <c r="BC1180" s="170"/>
      <c r="BD1180" s="170"/>
      <c r="BE1180" s="137" t="s">
        <v>115</v>
      </c>
      <c r="BF1180" s="137" t="s">
        <v>957</v>
      </c>
      <c r="BG1180" s="167" t="s">
        <v>958</v>
      </c>
      <c r="BH1180" s="220"/>
      <c r="BI1180" s="220"/>
      <c r="BJ1180" s="220"/>
      <c r="BK1180" s="46">
        <f t="shared" si="1"/>
        <v>1</v>
      </c>
      <c r="BL1180" s="46"/>
      <c r="BM1180" s="46"/>
      <c r="BN1180" s="46"/>
    </row>
    <row r="1181" spans="1:66" ht="12.75" hidden="1" customHeight="1">
      <c r="A1181" s="22">
        <v>1179</v>
      </c>
      <c r="B1181" s="22" t="s">
        <v>2980</v>
      </c>
      <c r="C1181" s="22" t="str">
        <f t="shared" si="0"/>
        <v>hepb1_dose_number</v>
      </c>
      <c r="D1181" s="24" t="s">
        <v>2980</v>
      </c>
      <c r="E1181" s="22" t="s">
        <v>65</v>
      </c>
      <c r="F1181" s="24" t="s">
        <v>1787</v>
      </c>
      <c r="G1181" s="24" t="s">
        <v>2971</v>
      </c>
      <c r="H1181" s="24"/>
      <c r="I1181" s="24">
        <v>1</v>
      </c>
      <c r="J1181" s="24" t="s">
        <v>2372</v>
      </c>
      <c r="K1181" s="24"/>
      <c r="L1181" s="24"/>
      <c r="M1181" s="24"/>
      <c r="N1181" s="24"/>
      <c r="O1181" s="24"/>
      <c r="P1181" s="170"/>
      <c r="Q1181" s="170"/>
      <c r="R1181" s="169"/>
      <c r="S1181" s="164" t="s">
        <v>2980</v>
      </c>
      <c r="T1181" s="164" t="s">
        <v>2981</v>
      </c>
      <c r="U1181" s="164" t="s">
        <v>65</v>
      </c>
      <c r="V1181" s="163"/>
      <c r="W1181" s="163"/>
      <c r="X1181" s="472">
        <v>1</v>
      </c>
      <c r="Y1181" s="472"/>
      <c r="Z1181" s="164"/>
      <c r="AA1181" s="170"/>
      <c r="AB1181" s="164"/>
      <c r="AC1181" s="251"/>
      <c r="AD1181" s="170"/>
      <c r="AE1181" s="225"/>
      <c r="AF1181" s="170"/>
      <c r="AG1181" s="170"/>
      <c r="AH1181" s="251"/>
      <c r="AI1181" s="170"/>
      <c r="AJ1181" s="164"/>
      <c r="AK1181" s="22"/>
      <c r="AL1181" s="170"/>
      <c r="AM1181" s="170"/>
      <c r="AN1181" s="170"/>
      <c r="AO1181" s="170"/>
      <c r="AP1181" s="170"/>
      <c r="AQ1181" s="22"/>
      <c r="AR1181" s="22"/>
      <c r="AS1181" s="22"/>
      <c r="AT1181" s="170"/>
      <c r="AU1181" s="170"/>
      <c r="AV1181" s="170"/>
      <c r="AW1181" s="170"/>
      <c r="AX1181" s="170"/>
      <c r="AY1181" s="170"/>
      <c r="AZ1181" s="170"/>
      <c r="BA1181" s="170"/>
      <c r="BB1181" s="170"/>
      <c r="BC1181" s="170"/>
      <c r="BD1181" s="170"/>
      <c r="BE1181" s="137" t="s">
        <v>2978</v>
      </c>
      <c r="BF1181" s="137" t="s">
        <v>2933</v>
      </c>
      <c r="BG1181" s="139" t="s">
        <v>2934</v>
      </c>
      <c r="BH1181" s="220"/>
      <c r="BI1181" s="220"/>
      <c r="BJ1181" s="220"/>
      <c r="BK1181" s="46">
        <f t="shared" si="1"/>
        <v>1</v>
      </c>
      <c r="BL1181" s="46"/>
      <c r="BM1181" s="46"/>
      <c r="BN1181" s="46"/>
    </row>
    <row r="1182" spans="1:66" ht="12.75" hidden="1" customHeight="1">
      <c r="A1182" s="22">
        <v>1180</v>
      </c>
      <c r="B1182" s="22" t="s">
        <v>2982</v>
      </c>
      <c r="C1182" s="22" t="str">
        <f t="shared" si="0"/>
        <v>hepb1_date_done</v>
      </c>
      <c r="D1182" s="24" t="s">
        <v>2982</v>
      </c>
      <c r="E1182" s="22" t="s">
        <v>65</v>
      </c>
      <c r="F1182" s="24" t="s">
        <v>1787</v>
      </c>
      <c r="G1182" s="24" t="s">
        <v>2971</v>
      </c>
      <c r="H1182" s="24"/>
      <c r="I1182" s="24">
        <v>1</v>
      </c>
      <c r="J1182" s="24" t="s">
        <v>2372</v>
      </c>
      <c r="K1182" s="24"/>
      <c r="L1182" s="24"/>
      <c r="M1182" s="24"/>
      <c r="N1182" s="24"/>
      <c r="O1182" s="24"/>
      <c r="P1182" s="170"/>
      <c r="Q1182" s="170"/>
      <c r="R1182" s="169"/>
      <c r="S1182" s="164" t="s">
        <v>2982</v>
      </c>
      <c r="T1182" s="164" t="s">
        <v>2983</v>
      </c>
      <c r="U1182" s="164" t="s">
        <v>65</v>
      </c>
      <c r="V1182" s="163"/>
      <c r="W1182" s="163"/>
      <c r="X1182" s="164" t="s">
        <v>2937</v>
      </c>
      <c r="Y1182" s="164"/>
      <c r="Z1182" s="164"/>
      <c r="AA1182" s="170"/>
      <c r="AB1182" s="164"/>
      <c r="AC1182" s="251"/>
      <c r="AD1182" s="170"/>
      <c r="AE1182" s="225"/>
      <c r="AF1182" s="170"/>
      <c r="AG1182" s="170"/>
      <c r="AH1182" s="251"/>
      <c r="AI1182" s="170"/>
      <c r="AJ1182" s="164"/>
      <c r="AK1182" s="22"/>
      <c r="AL1182" s="170"/>
      <c r="AM1182" s="170"/>
      <c r="AN1182" s="170"/>
      <c r="AO1182" s="170"/>
      <c r="AP1182" s="170"/>
      <c r="AQ1182" s="22"/>
      <c r="AR1182" s="22"/>
      <c r="AS1182" s="22"/>
      <c r="AT1182" s="170"/>
      <c r="AU1182" s="170"/>
      <c r="AV1182" s="170"/>
      <c r="AW1182" s="170"/>
      <c r="AX1182" s="170"/>
      <c r="AY1182" s="170"/>
      <c r="AZ1182" s="170"/>
      <c r="BA1182" s="170"/>
      <c r="BB1182" s="170"/>
      <c r="BC1182" s="170"/>
      <c r="BD1182" s="170"/>
      <c r="BE1182" s="137" t="s">
        <v>2978</v>
      </c>
      <c r="BF1182" s="137" t="s">
        <v>2938</v>
      </c>
      <c r="BG1182" s="139" t="s">
        <v>2939</v>
      </c>
      <c r="BH1182" s="220"/>
      <c r="BI1182" s="220"/>
      <c r="BJ1182" s="220"/>
      <c r="BK1182" s="46">
        <f t="shared" si="1"/>
        <v>1</v>
      </c>
      <c r="BL1182" s="46"/>
      <c r="BM1182" s="46"/>
      <c r="BN1182" s="46"/>
    </row>
    <row r="1183" spans="1:66" ht="12.75" hidden="1" customHeight="1">
      <c r="A1183" s="22">
        <v>1181</v>
      </c>
      <c r="B1183" s="22" t="s">
        <v>2985</v>
      </c>
      <c r="C1183" s="22" t="str">
        <f t="shared" si="0"/>
        <v xml:space="preserve">Hep B dose #2 </v>
      </c>
      <c r="D1183" s="24" t="s">
        <v>2985</v>
      </c>
      <c r="E1183" s="22" t="s">
        <v>96</v>
      </c>
      <c r="F1183" s="24" t="s">
        <v>1787</v>
      </c>
      <c r="G1183" s="24" t="s">
        <v>2971</v>
      </c>
      <c r="H1183" s="24"/>
      <c r="I1183" s="24">
        <v>1</v>
      </c>
      <c r="J1183" s="24" t="s">
        <v>2372</v>
      </c>
      <c r="K1183" s="24"/>
      <c r="L1183" s="24"/>
      <c r="M1183" s="24"/>
      <c r="N1183" s="24"/>
      <c r="O1183" s="24"/>
      <c r="P1183" s="170"/>
      <c r="Q1183" s="170"/>
      <c r="R1183" s="169" t="s">
        <v>2985</v>
      </c>
      <c r="S1183" s="164" t="s">
        <v>2986</v>
      </c>
      <c r="T1183" s="164" t="s">
        <v>2987</v>
      </c>
      <c r="U1183" s="164" t="s">
        <v>202</v>
      </c>
      <c r="V1183" s="163"/>
      <c r="W1183" s="163"/>
      <c r="X1183" s="164"/>
      <c r="Y1183" s="164"/>
      <c r="Z1183" s="164" t="s">
        <v>904</v>
      </c>
      <c r="AA1183" s="170"/>
      <c r="AB1183" s="164" t="s">
        <v>113</v>
      </c>
      <c r="AC1183" s="251"/>
      <c r="AD1183" s="170"/>
      <c r="AE1183" s="225"/>
      <c r="AF1183" s="170"/>
      <c r="AG1183" s="170"/>
      <c r="AH1183" s="251"/>
      <c r="AI1183" s="170"/>
      <c r="AJ1183" s="164" t="s">
        <v>2988</v>
      </c>
      <c r="AK1183" s="22"/>
      <c r="AL1183" s="170"/>
      <c r="AM1183" s="170"/>
      <c r="AN1183" s="170"/>
      <c r="AO1183" s="170"/>
      <c r="AP1183" s="170"/>
      <c r="AQ1183" s="22"/>
      <c r="AR1183" s="22"/>
      <c r="AS1183" s="22"/>
      <c r="AT1183" s="170"/>
      <c r="AU1183" s="170"/>
      <c r="AV1183" s="170"/>
      <c r="AW1183" s="170"/>
      <c r="AX1183" s="170"/>
      <c r="AY1183" s="170"/>
      <c r="AZ1183" s="170"/>
      <c r="BA1183" s="170"/>
      <c r="BB1183" s="170"/>
      <c r="BC1183" s="170"/>
      <c r="BD1183" s="170"/>
      <c r="BE1183" s="137" t="s">
        <v>2978</v>
      </c>
      <c r="BF1183" s="137" t="s">
        <v>2927</v>
      </c>
      <c r="BG1183" s="139" t="s">
        <v>2928</v>
      </c>
      <c r="BH1183" s="220"/>
      <c r="BI1183" s="220"/>
      <c r="BJ1183" s="220"/>
      <c r="BK1183" s="46">
        <f t="shared" si="1"/>
        <v>1</v>
      </c>
      <c r="BL1183" s="46"/>
      <c r="BM1183" s="46"/>
      <c r="BN1183" s="46"/>
    </row>
    <row r="1184" spans="1:66" ht="12.75" hidden="1" customHeight="1">
      <c r="A1184" s="22">
        <v>1182</v>
      </c>
      <c r="B1184" s="22" t="s">
        <v>2651</v>
      </c>
      <c r="C1184" s="22" t="e">
        <f t="shared" ca="1" si="0"/>
        <v>#NAME?</v>
      </c>
      <c r="D1184" s="24" t="s">
        <v>1775</v>
      </c>
      <c r="E1184" s="22" t="s">
        <v>180</v>
      </c>
      <c r="F1184" s="24" t="s">
        <v>2985</v>
      </c>
      <c r="G1184" s="24" t="s">
        <v>2971</v>
      </c>
      <c r="H1184" s="24"/>
      <c r="I1184" s="24">
        <v>1</v>
      </c>
      <c r="J1184" s="24" t="s">
        <v>2372</v>
      </c>
      <c r="K1184" s="24"/>
      <c r="L1184" s="24"/>
      <c r="M1184" s="24"/>
      <c r="N1184" s="24"/>
      <c r="O1184" s="24"/>
      <c r="P1184" s="170"/>
      <c r="Q1184" s="170"/>
      <c r="R1184" s="169"/>
      <c r="S1184" s="164"/>
      <c r="T1184" s="164"/>
      <c r="U1184" s="164"/>
      <c r="V1184" s="163"/>
      <c r="W1184" s="163" t="s">
        <v>1775</v>
      </c>
      <c r="X1184" s="164"/>
      <c r="Y1184" s="164"/>
      <c r="Z1184" s="164"/>
      <c r="AA1184" s="170"/>
      <c r="AB1184" s="164"/>
      <c r="AC1184" s="251"/>
      <c r="AD1184" s="170"/>
      <c r="AE1184" s="225"/>
      <c r="AF1184" s="170"/>
      <c r="AG1184" s="170"/>
      <c r="AH1184" s="251"/>
      <c r="AI1184" s="170"/>
      <c r="AJ1184" s="164"/>
      <c r="AK1184" s="22"/>
      <c r="AL1184" s="170"/>
      <c r="AM1184" s="170"/>
      <c r="AN1184" s="170"/>
      <c r="AO1184" s="170"/>
      <c r="AP1184" s="170"/>
      <c r="AQ1184" s="22"/>
      <c r="AR1184" s="22"/>
      <c r="AS1184" s="22"/>
      <c r="AT1184" s="170"/>
      <c r="AU1184" s="170"/>
      <c r="AV1184" s="170"/>
      <c r="AW1184" s="170"/>
      <c r="AX1184" s="170"/>
      <c r="AY1184" s="170"/>
      <c r="AZ1184" s="170"/>
      <c r="BA1184" s="170"/>
      <c r="BB1184" s="170"/>
      <c r="BC1184" s="170"/>
      <c r="BD1184" s="170"/>
      <c r="BE1184" s="137" t="s">
        <v>115</v>
      </c>
      <c r="BF1184" s="137" t="s">
        <v>953</v>
      </c>
      <c r="BG1184" s="139" t="s">
        <v>954</v>
      </c>
      <c r="BH1184" s="220"/>
      <c r="BI1184" s="220"/>
      <c r="BJ1184" s="220"/>
      <c r="BK1184" s="46">
        <f t="shared" si="1"/>
        <v>1</v>
      </c>
      <c r="BL1184" s="46"/>
      <c r="BM1184" s="46"/>
      <c r="BN1184" s="46"/>
    </row>
    <row r="1185" spans="1:66" ht="12.75" hidden="1" customHeight="1">
      <c r="A1185" s="22">
        <v>1183</v>
      </c>
      <c r="B1185" s="22" t="s">
        <v>2655</v>
      </c>
      <c r="C1185" s="22" t="e">
        <f t="shared" ca="1" si="0"/>
        <v>#NAME?</v>
      </c>
      <c r="D1185" s="24" t="s">
        <v>1779</v>
      </c>
      <c r="E1185" s="22" t="s">
        <v>180</v>
      </c>
      <c r="F1185" s="24" t="s">
        <v>2985</v>
      </c>
      <c r="G1185" s="24" t="s">
        <v>2971</v>
      </c>
      <c r="H1185" s="24"/>
      <c r="I1185" s="24">
        <v>1</v>
      </c>
      <c r="J1185" s="24" t="s">
        <v>2372</v>
      </c>
      <c r="K1185" s="24"/>
      <c r="L1185" s="24"/>
      <c r="M1185" s="24"/>
      <c r="N1185" s="24"/>
      <c r="O1185" s="24"/>
      <c r="P1185" s="170"/>
      <c r="Q1185" s="170"/>
      <c r="R1185" s="169"/>
      <c r="S1185" s="164"/>
      <c r="T1185" s="164"/>
      <c r="U1185" s="164"/>
      <c r="V1185" s="163"/>
      <c r="W1185" s="163" t="s">
        <v>1779</v>
      </c>
      <c r="X1185" s="164"/>
      <c r="Y1185" s="164"/>
      <c r="Z1185" s="164"/>
      <c r="AA1185" s="170"/>
      <c r="AB1185" s="164"/>
      <c r="AC1185" s="251"/>
      <c r="AD1185" s="170"/>
      <c r="AE1185" s="225"/>
      <c r="AF1185" s="170"/>
      <c r="AG1185" s="170"/>
      <c r="AH1185" s="251"/>
      <c r="AI1185" s="170"/>
      <c r="AJ1185" s="164"/>
      <c r="AK1185" s="22"/>
      <c r="AL1185" s="170"/>
      <c r="AM1185" s="170"/>
      <c r="AN1185" s="170"/>
      <c r="AO1185" s="170"/>
      <c r="AP1185" s="170"/>
      <c r="AQ1185" s="22"/>
      <c r="AR1185" s="22"/>
      <c r="AS1185" s="22"/>
      <c r="AT1185" s="170"/>
      <c r="AU1185" s="170"/>
      <c r="AV1185" s="170"/>
      <c r="AW1185" s="170"/>
      <c r="AX1185" s="170"/>
      <c r="AY1185" s="170"/>
      <c r="AZ1185" s="170"/>
      <c r="BA1185" s="170"/>
      <c r="BB1185" s="170"/>
      <c r="BC1185" s="170"/>
      <c r="BD1185" s="170"/>
      <c r="BE1185" s="137" t="s">
        <v>115</v>
      </c>
      <c r="BF1185" s="137" t="s">
        <v>2929</v>
      </c>
      <c r="BG1185" s="139" t="s">
        <v>2930</v>
      </c>
      <c r="BH1185" s="220"/>
      <c r="BI1185" s="220"/>
      <c r="BJ1185" s="220"/>
      <c r="BK1185" s="46">
        <f t="shared" si="1"/>
        <v>1</v>
      </c>
      <c r="BL1185" s="46"/>
      <c r="BM1185" s="46"/>
      <c r="BN1185" s="46"/>
    </row>
    <row r="1186" spans="1:66" ht="12.75" hidden="1" customHeight="1">
      <c r="A1186" s="22">
        <v>1184</v>
      </c>
      <c r="B1186" s="22" t="s">
        <v>2118</v>
      </c>
      <c r="C1186" s="22" t="e">
        <f t="shared" ca="1" si="0"/>
        <v>#NAME?</v>
      </c>
      <c r="D1186" s="24" t="s">
        <v>1468</v>
      </c>
      <c r="E1186" s="22" t="s">
        <v>180</v>
      </c>
      <c r="F1186" s="24" t="s">
        <v>2985</v>
      </c>
      <c r="G1186" s="24" t="s">
        <v>2971</v>
      </c>
      <c r="H1186" s="24"/>
      <c r="I1186" s="24">
        <v>1</v>
      </c>
      <c r="J1186" s="24" t="s">
        <v>2372</v>
      </c>
      <c r="K1186" s="24"/>
      <c r="L1186" s="24"/>
      <c r="M1186" s="24"/>
      <c r="N1186" s="24"/>
      <c r="O1186" s="24"/>
      <c r="P1186" s="170"/>
      <c r="Q1186" s="170"/>
      <c r="R1186" s="169"/>
      <c r="S1186" s="164"/>
      <c r="T1186" s="164"/>
      <c r="U1186" s="164"/>
      <c r="V1186" s="163"/>
      <c r="W1186" s="163" t="s">
        <v>1468</v>
      </c>
      <c r="X1186" s="164"/>
      <c r="Y1186" s="164"/>
      <c r="Z1186" s="164"/>
      <c r="AA1186" s="170"/>
      <c r="AB1186" s="164"/>
      <c r="AC1186" s="251"/>
      <c r="AD1186" s="170"/>
      <c r="AE1186" s="225"/>
      <c r="AF1186" s="170"/>
      <c r="AG1186" s="170"/>
      <c r="AH1186" s="251"/>
      <c r="AI1186" s="170"/>
      <c r="AJ1186" s="164"/>
      <c r="AK1186" s="22"/>
      <c r="AL1186" s="170"/>
      <c r="AM1186" s="170"/>
      <c r="AN1186" s="170"/>
      <c r="AO1186" s="170"/>
      <c r="AP1186" s="170"/>
      <c r="AQ1186" s="22"/>
      <c r="AR1186" s="22"/>
      <c r="AS1186" s="22"/>
      <c r="AT1186" s="170"/>
      <c r="AU1186" s="170"/>
      <c r="AV1186" s="170"/>
      <c r="AW1186" s="170"/>
      <c r="AX1186" s="170"/>
      <c r="AY1186" s="170"/>
      <c r="AZ1186" s="170"/>
      <c r="BA1186" s="170"/>
      <c r="BB1186" s="170"/>
      <c r="BC1186" s="170"/>
      <c r="BD1186" s="170"/>
      <c r="BE1186" s="137" t="s">
        <v>115</v>
      </c>
      <c r="BF1186" s="137" t="s">
        <v>957</v>
      </c>
      <c r="BG1186" s="167" t="s">
        <v>958</v>
      </c>
      <c r="BH1186" s="220"/>
      <c r="BI1186" s="220"/>
      <c r="BJ1186" s="220"/>
      <c r="BK1186" s="46">
        <f t="shared" si="1"/>
        <v>1</v>
      </c>
      <c r="BL1186" s="46"/>
      <c r="BM1186" s="46"/>
      <c r="BN1186" s="46"/>
    </row>
    <row r="1187" spans="1:66" ht="12.75" hidden="1" customHeight="1">
      <c r="A1187" s="22">
        <v>1185</v>
      </c>
      <c r="B1187" s="22" t="s">
        <v>2990</v>
      </c>
      <c r="C1187" s="22" t="str">
        <f t="shared" si="0"/>
        <v>hepb2_dose_number</v>
      </c>
      <c r="D1187" s="24" t="s">
        <v>2990</v>
      </c>
      <c r="E1187" s="22" t="s">
        <v>65</v>
      </c>
      <c r="F1187" s="24" t="s">
        <v>1787</v>
      </c>
      <c r="G1187" s="24" t="s">
        <v>2971</v>
      </c>
      <c r="H1187" s="24"/>
      <c r="I1187" s="24">
        <v>1</v>
      </c>
      <c r="J1187" s="24" t="s">
        <v>2372</v>
      </c>
      <c r="K1187" s="24"/>
      <c r="L1187" s="24"/>
      <c r="M1187" s="24"/>
      <c r="N1187" s="24"/>
      <c r="O1187" s="24"/>
      <c r="P1187" s="170"/>
      <c r="Q1187" s="170"/>
      <c r="R1187" s="169"/>
      <c r="S1187" s="164" t="s">
        <v>2990</v>
      </c>
      <c r="T1187" s="164" t="s">
        <v>2991</v>
      </c>
      <c r="U1187" s="164" t="s">
        <v>65</v>
      </c>
      <c r="V1187" s="163"/>
      <c r="W1187" s="163"/>
      <c r="X1187" s="472">
        <v>2</v>
      </c>
      <c r="Y1187" s="472"/>
      <c r="Z1187" s="164"/>
      <c r="AA1187" s="170"/>
      <c r="AB1187" s="164"/>
      <c r="AC1187" s="251"/>
      <c r="AD1187" s="170"/>
      <c r="AE1187" s="225"/>
      <c r="AF1187" s="170"/>
      <c r="AG1187" s="170"/>
      <c r="AH1187" s="251"/>
      <c r="AI1187" s="170"/>
      <c r="AJ1187" s="164"/>
      <c r="AK1187" s="22"/>
      <c r="AL1187" s="170"/>
      <c r="AM1187" s="170"/>
      <c r="AN1187" s="170"/>
      <c r="AO1187" s="170"/>
      <c r="AP1187" s="170"/>
      <c r="AQ1187" s="22"/>
      <c r="AR1187" s="22"/>
      <c r="AS1187" s="22"/>
      <c r="AT1187" s="170"/>
      <c r="AU1187" s="170"/>
      <c r="AV1187" s="170"/>
      <c r="AW1187" s="170"/>
      <c r="AX1187" s="170"/>
      <c r="AY1187" s="170"/>
      <c r="AZ1187" s="170"/>
      <c r="BA1187" s="170"/>
      <c r="BB1187" s="170"/>
      <c r="BC1187" s="170"/>
      <c r="BD1187" s="170"/>
      <c r="BE1187" s="137" t="s">
        <v>2978</v>
      </c>
      <c r="BF1187" s="137" t="s">
        <v>2933</v>
      </c>
      <c r="BG1187" s="139" t="s">
        <v>2934</v>
      </c>
      <c r="BH1187" s="220"/>
      <c r="BI1187" s="220"/>
      <c r="BJ1187" s="220"/>
      <c r="BK1187" s="46">
        <f t="shared" si="1"/>
        <v>1</v>
      </c>
      <c r="BL1187" s="46"/>
      <c r="BM1187" s="46"/>
      <c r="BN1187" s="46"/>
    </row>
    <row r="1188" spans="1:66" ht="12.75" hidden="1" customHeight="1">
      <c r="A1188" s="22">
        <v>1186</v>
      </c>
      <c r="B1188" s="22" t="s">
        <v>2992</v>
      </c>
      <c r="C1188" s="22" t="str">
        <f t="shared" si="0"/>
        <v>hepb2_date_done</v>
      </c>
      <c r="D1188" s="24" t="s">
        <v>2992</v>
      </c>
      <c r="E1188" s="22" t="s">
        <v>65</v>
      </c>
      <c r="F1188" s="24" t="s">
        <v>1787</v>
      </c>
      <c r="G1188" s="24" t="s">
        <v>2971</v>
      </c>
      <c r="H1188" s="24"/>
      <c r="I1188" s="24">
        <v>1</v>
      </c>
      <c r="J1188" s="24" t="s">
        <v>2372</v>
      </c>
      <c r="K1188" s="24"/>
      <c r="L1188" s="24"/>
      <c r="M1188" s="24"/>
      <c r="N1188" s="24"/>
      <c r="O1188" s="24"/>
      <c r="P1188" s="170"/>
      <c r="Q1188" s="170"/>
      <c r="R1188" s="169"/>
      <c r="S1188" s="164" t="s">
        <v>2992</v>
      </c>
      <c r="T1188" s="164" t="s">
        <v>2993</v>
      </c>
      <c r="U1188" s="164" t="s">
        <v>65</v>
      </c>
      <c r="V1188" s="163"/>
      <c r="W1188" s="163"/>
      <c r="X1188" s="164" t="s">
        <v>2937</v>
      </c>
      <c r="Y1188" s="164"/>
      <c r="Z1188" s="164"/>
      <c r="AA1188" s="170"/>
      <c r="AB1188" s="164"/>
      <c r="AC1188" s="251"/>
      <c r="AD1188" s="170"/>
      <c r="AE1188" s="225"/>
      <c r="AF1188" s="170"/>
      <c r="AG1188" s="170"/>
      <c r="AH1188" s="251"/>
      <c r="AI1188" s="170"/>
      <c r="AJ1188" s="164"/>
      <c r="AK1188" s="22"/>
      <c r="AL1188" s="170"/>
      <c r="AM1188" s="170"/>
      <c r="AN1188" s="170"/>
      <c r="AO1188" s="170"/>
      <c r="AP1188" s="170"/>
      <c r="AQ1188" s="22"/>
      <c r="AR1188" s="22"/>
      <c r="AS1188" s="22"/>
      <c r="AT1188" s="170"/>
      <c r="AU1188" s="170"/>
      <c r="AV1188" s="170"/>
      <c r="AW1188" s="170"/>
      <c r="AX1188" s="170"/>
      <c r="AY1188" s="170"/>
      <c r="AZ1188" s="170"/>
      <c r="BA1188" s="170"/>
      <c r="BB1188" s="170"/>
      <c r="BC1188" s="170"/>
      <c r="BD1188" s="170"/>
      <c r="BE1188" s="137" t="s">
        <v>2978</v>
      </c>
      <c r="BF1188" s="137" t="s">
        <v>2938</v>
      </c>
      <c r="BG1188" s="139" t="s">
        <v>2939</v>
      </c>
      <c r="BH1188" s="220"/>
      <c r="BI1188" s="220"/>
      <c r="BJ1188" s="220"/>
      <c r="BK1188" s="46">
        <f t="shared" si="1"/>
        <v>1</v>
      </c>
      <c r="BL1188" s="46"/>
      <c r="BM1188" s="46"/>
      <c r="BN1188" s="46"/>
    </row>
    <row r="1189" spans="1:66" ht="12.75" hidden="1" customHeight="1">
      <c r="A1189" s="22">
        <v>1187</v>
      </c>
      <c r="B1189" s="22" t="s">
        <v>2994</v>
      </c>
      <c r="C1189" s="22" t="str">
        <f t="shared" si="0"/>
        <v>Hep B dose #3</v>
      </c>
      <c r="D1189" s="24" t="s">
        <v>2994</v>
      </c>
      <c r="E1189" s="22" t="s">
        <v>96</v>
      </c>
      <c r="F1189" s="24" t="s">
        <v>1787</v>
      </c>
      <c r="G1189" s="24" t="s">
        <v>2971</v>
      </c>
      <c r="H1189" s="24"/>
      <c r="I1189" s="24">
        <v>1</v>
      </c>
      <c r="J1189" s="24" t="s">
        <v>2372</v>
      </c>
      <c r="K1189" s="24"/>
      <c r="L1189" s="24"/>
      <c r="M1189" s="24"/>
      <c r="N1189" s="24"/>
      <c r="O1189" s="24"/>
      <c r="P1189" s="170"/>
      <c r="Q1189" s="170"/>
      <c r="R1189" s="169" t="s">
        <v>2994</v>
      </c>
      <c r="S1189" s="164" t="s">
        <v>2995</v>
      </c>
      <c r="T1189" s="164" t="s">
        <v>2996</v>
      </c>
      <c r="U1189" s="164" t="s">
        <v>202</v>
      </c>
      <c r="V1189" s="163"/>
      <c r="W1189" s="163"/>
      <c r="X1189" s="164"/>
      <c r="Y1189" s="164"/>
      <c r="Z1189" s="164" t="s">
        <v>904</v>
      </c>
      <c r="AA1189" s="170"/>
      <c r="AB1189" s="164" t="s">
        <v>113</v>
      </c>
      <c r="AC1189" s="251"/>
      <c r="AD1189" s="170"/>
      <c r="AE1189" s="225"/>
      <c r="AF1189" s="170"/>
      <c r="AG1189" s="170"/>
      <c r="AH1189" s="251"/>
      <c r="AI1189" s="170"/>
      <c r="AJ1189" s="164" t="s">
        <v>2997</v>
      </c>
      <c r="AK1189" s="22"/>
      <c r="AL1189" s="170"/>
      <c r="AM1189" s="170"/>
      <c r="AN1189" s="170"/>
      <c r="AO1189" s="170"/>
      <c r="AP1189" s="170"/>
      <c r="AQ1189" s="22"/>
      <c r="AR1189" s="22"/>
      <c r="AS1189" s="22"/>
      <c r="AT1189" s="170"/>
      <c r="AU1189" s="170"/>
      <c r="AV1189" s="170"/>
      <c r="AW1189" s="170"/>
      <c r="AX1189" s="170"/>
      <c r="AY1189" s="170"/>
      <c r="AZ1189" s="170"/>
      <c r="BA1189" s="170"/>
      <c r="BB1189" s="170"/>
      <c r="BC1189" s="170"/>
      <c r="BD1189" s="170"/>
      <c r="BE1189" s="137" t="s">
        <v>2978</v>
      </c>
      <c r="BF1189" s="137" t="s">
        <v>2927</v>
      </c>
      <c r="BG1189" s="139" t="s">
        <v>2928</v>
      </c>
      <c r="BH1189" s="220"/>
      <c r="BI1189" s="220"/>
      <c r="BJ1189" s="220"/>
      <c r="BK1189" s="46">
        <f t="shared" si="1"/>
        <v>1</v>
      </c>
      <c r="BL1189" s="46"/>
      <c r="BM1189" s="46"/>
      <c r="BN1189" s="46"/>
    </row>
    <row r="1190" spans="1:66" ht="12.75" hidden="1" customHeight="1">
      <c r="A1190" s="22">
        <v>1188</v>
      </c>
      <c r="B1190" s="22" t="s">
        <v>2651</v>
      </c>
      <c r="C1190" s="22" t="e">
        <f t="shared" ca="1" si="0"/>
        <v>#NAME?</v>
      </c>
      <c r="D1190" s="24" t="s">
        <v>1775</v>
      </c>
      <c r="E1190" s="22" t="s">
        <v>180</v>
      </c>
      <c r="F1190" s="24" t="s">
        <v>2994</v>
      </c>
      <c r="G1190" s="24" t="s">
        <v>2971</v>
      </c>
      <c r="H1190" s="24"/>
      <c r="I1190" s="24">
        <v>1</v>
      </c>
      <c r="J1190" s="24" t="s">
        <v>2372</v>
      </c>
      <c r="K1190" s="24"/>
      <c r="L1190" s="24"/>
      <c r="M1190" s="24"/>
      <c r="N1190" s="24"/>
      <c r="O1190" s="24"/>
      <c r="P1190" s="170"/>
      <c r="Q1190" s="170"/>
      <c r="R1190" s="169"/>
      <c r="S1190" s="164"/>
      <c r="T1190" s="164"/>
      <c r="U1190" s="164"/>
      <c r="V1190" s="163"/>
      <c r="W1190" s="163" t="s">
        <v>1775</v>
      </c>
      <c r="X1190" s="164"/>
      <c r="Y1190" s="164"/>
      <c r="Z1190" s="164"/>
      <c r="AA1190" s="170"/>
      <c r="AB1190" s="164"/>
      <c r="AC1190" s="251"/>
      <c r="AD1190" s="170"/>
      <c r="AE1190" s="225"/>
      <c r="AF1190" s="170"/>
      <c r="AG1190" s="170"/>
      <c r="AH1190" s="251"/>
      <c r="AI1190" s="170"/>
      <c r="AJ1190" s="164"/>
      <c r="AK1190" s="22"/>
      <c r="AL1190" s="170"/>
      <c r="AM1190" s="170"/>
      <c r="AN1190" s="170"/>
      <c r="AO1190" s="170"/>
      <c r="AP1190" s="170"/>
      <c r="AQ1190" s="22"/>
      <c r="AR1190" s="22"/>
      <c r="AS1190" s="22"/>
      <c r="AT1190" s="170"/>
      <c r="AU1190" s="170"/>
      <c r="AV1190" s="170"/>
      <c r="AW1190" s="170"/>
      <c r="AX1190" s="170"/>
      <c r="AY1190" s="170"/>
      <c r="AZ1190" s="170"/>
      <c r="BA1190" s="170"/>
      <c r="BB1190" s="170"/>
      <c r="BC1190" s="170"/>
      <c r="BD1190" s="170"/>
      <c r="BE1190" s="137" t="s">
        <v>115</v>
      </c>
      <c r="BF1190" s="137" t="s">
        <v>953</v>
      </c>
      <c r="BG1190" s="139" t="s">
        <v>954</v>
      </c>
      <c r="BH1190" s="220"/>
      <c r="BI1190" s="220"/>
      <c r="BJ1190" s="220"/>
      <c r="BK1190" s="46">
        <f t="shared" si="1"/>
        <v>1</v>
      </c>
      <c r="BL1190" s="46"/>
      <c r="BM1190" s="46"/>
      <c r="BN1190" s="46"/>
    </row>
    <row r="1191" spans="1:66" ht="12.75" hidden="1" customHeight="1">
      <c r="A1191" s="22">
        <v>1189</v>
      </c>
      <c r="B1191" s="22" t="s">
        <v>2655</v>
      </c>
      <c r="C1191" s="22" t="e">
        <f t="shared" ca="1" si="0"/>
        <v>#NAME?</v>
      </c>
      <c r="D1191" s="24" t="s">
        <v>1779</v>
      </c>
      <c r="E1191" s="22" t="s">
        <v>180</v>
      </c>
      <c r="F1191" s="24" t="s">
        <v>2994</v>
      </c>
      <c r="G1191" s="24" t="s">
        <v>2971</v>
      </c>
      <c r="H1191" s="24"/>
      <c r="I1191" s="24">
        <v>1</v>
      </c>
      <c r="J1191" s="24" t="s">
        <v>2372</v>
      </c>
      <c r="K1191" s="24"/>
      <c r="L1191" s="24"/>
      <c r="M1191" s="24"/>
      <c r="N1191" s="24"/>
      <c r="O1191" s="24"/>
      <c r="P1191" s="170"/>
      <c r="Q1191" s="170"/>
      <c r="R1191" s="169"/>
      <c r="S1191" s="164"/>
      <c r="T1191" s="164"/>
      <c r="U1191" s="164"/>
      <c r="V1191" s="163"/>
      <c r="W1191" s="163" t="s">
        <v>1779</v>
      </c>
      <c r="X1191" s="164"/>
      <c r="Y1191" s="164"/>
      <c r="Z1191" s="164"/>
      <c r="AA1191" s="170"/>
      <c r="AB1191" s="164"/>
      <c r="AC1191" s="251"/>
      <c r="AD1191" s="170"/>
      <c r="AE1191" s="225"/>
      <c r="AF1191" s="170"/>
      <c r="AG1191" s="170"/>
      <c r="AH1191" s="251"/>
      <c r="AI1191" s="170"/>
      <c r="AJ1191" s="164"/>
      <c r="AK1191" s="22"/>
      <c r="AL1191" s="170"/>
      <c r="AM1191" s="170"/>
      <c r="AN1191" s="170"/>
      <c r="AO1191" s="170"/>
      <c r="AP1191" s="170"/>
      <c r="AQ1191" s="22"/>
      <c r="AR1191" s="22"/>
      <c r="AS1191" s="22"/>
      <c r="AT1191" s="170"/>
      <c r="AU1191" s="170"/>
      <c r="AV1191" s="170"/>
      <c r="AW1191" s="170"/>
      <c r="AX1191" s="170"/>
      <c r="AY1191" s="170"/>
      <c r="AZ1191" s="170"/>
      <c r="BA1191" s="170"/>
      <c r="BB1191" s="170"/>
      <c r="BC1191" s="170"/>
      <c r="BD1191" s="170"/>
      <c r="BE1191" s="137" t="s">
        <v>115</v>
      </c>
      <c r="BF1191" s="137" t="s">
        <v>2929</v>
      </c>
      <c r="BG1191" s="139" t="s">
        <v>2930</v>
      </c>
      <c r="BH1191" s="220"/>
      <c r="BI1191" s="220"/>
      <c r="BJ1191" s="220"/>
      <c r="BK1191" s="46">
        <f t="shared" si="1"/>
        <v>1</v>
      </c>
      <c r="BL1191" s="46"/>
      <c r="BM1191" s="46"/>
      <c r="BN1191" s="46"/>
    </row>
    <row r="1192" spans="1:66" ht="12.75" hidden="1" customHeight="1">
      <c r="A1192" s="22">
        <v>1190</v>
      </c>
      <c r="B1192" s="22" t="s">
        <v>2118</v>
      </c>
      <c r="C1192" s="22" t="e">
        <f t="shared" ca="1" si="0"/>
        <v>#NAME?</v>
      </c>
      <c r="D1192" s="24" t="s">
        <v>1468</v>
      </c>
      <c r="E1192" s="22" t="s">
        <v>180</v>
      </c>
      <c r="F1192" s="24" t="s">
        <v>2994</v>
      </c>
      <c r="G1192" s="24" t="s">
        <v>2971</v>
      </c>
      <c r="H1192" s="24"/>
      <c r="I1192" s="24">
        <v>1</v>
      </c>
      <c r="J1192" s="24" t="s">
        <v>2372</v>
      </c>
      <c r="K1192" s="24"/>
      <c r="L1192" s="24"/>
      <c r="M1192" s="24"/>
      <c r="N1192" s="24"/>
      <c r="O1192" s="24"/>
      <c r="P1192" s="170"/>
      <c r="Q1192" s="170"/>
      <c r="R1192" s="169"/>
      <c r="S1192" s="164"/>
      <c r="T1192" s="164"/>
      <c r="U1192" s="164"/>
      <c r="V1192" s="163"/>
      <c r="W1192" s="163" t="s">
        <v>1468</v>
      </c>
      <c r="X1192" s="164"/>
      <c r="Y1192" s="164"/>
      <c r="Z1192" s="164"/>
      <c r="AA1192" s="170"/>
      <c r="AB1192" s="164"/>
      <c r="AC1192" s="251"/>
      <c r="AD1192" s="170"/>
      <c r="AE1192" s="225"/>
      <c r="AF1192" s="170"/>
      <c r="AG1192" s="170"/>
      <c r="AH1192" s="251"/>
      <c r="AI1192" s="170"/>
      <c r="AJ1192" s="164"/>
      <c r="AK1192" s="22"/>
      <c r="AL1192" s="170"/>
      <c r="AM1192" s="170"/>
      <c r="AN1192" s="170"/>
      <c r="AO1192" s="170"/>
      <c r="AP1192" s="170"/>
      <c r="AQ1192" s="22"/>
      <c r="AR1192" s="22"/>
      <c r="AS1192" s="22"/>
      <c r="AT1192" s="170"/>
      <c r="AU1192" s="170"/>
      <c r="AV1192" s="170"/>
      <c r="AW1192" s="170"/>
      <c r="AX1192" s="170"/>
      <c r="AY1192" s="170"/>
      <c r="AZ1192" s="170"/>
      <c r="BA1192" s="170"/>
      <c r="BB1192" s="170"/>
      <c r="BC1192" s="170"/>
      <c r="BD1192" s="170"/>
      <c r="BE1192" s="137" t="s">
        <v>115</v>
      </c>
      <c r="BF1192" s="137" t="s">
        <v>957</v>
      </c>
      <c r="BG1192" s="167" t="s">
        <v>958</v>
      </c>
      <c r="BH1192" s="220"/>
      <c r="BI1192" s="220"/>
      <c r="BJ1192" s="220"/>
      <c r="BK1192" s="46">
        <f t="shared" si="1"/>
        <v>1</v>
      </c>
      <c r="BL1192" s="46"/>
      <c r="BM1192" s="46"/>
      <c r="BN1192" s="46"/>
    </row>
    <row r="1193" spans="1:66" ht="12.75" hidden="1" customHeight="1">
      <c r="A1193" s="22">
        <v>1191</v>
      </c>
      <c r="B1193" s="22" t="s">
        <v>2998</v>
      </c>
      <c r="C1193" s="22" t="str">
        <f t="shared" si="0"/>
        <v>hepb3_dose_number</v>
      </c>
      <c r="D1193" s="24" t="s">
        <v>2998</v>
      </c>
      <c r="E1193" s="22" t="s">
        <v>65</v>
      </c>
      <c r="F1193" s="24" t="s">
        <v>1787</v>
      </c>
      <c r="G1193" s="24" t="s">
        <v>2971</v>
      </c>
      <c r="H1193" s="24"/>
      <c r="I1193" s="24">
        <v>1</v>
      </c>
      <c r="J1193" s="24" t="s">
        <v>2372</v>
      </c>
      <c r="K1193" s="24"/>
      <c r="L1193" s="24"/>
      <c r="M1193" s="24"/>
      <c r="N1193" s="24"/>
      <c r="O1193" s="24"/>
      <c r="P1193" s="170"/>
      <c r="Q1193" s="170"/>
      <c r="R1193" s="169"/>
      <c r="S1193" s="164" t="s">
        <v>2998</v>
      </c>
      <c r="T1193" s="164" t="s">
        <v>2999</v>
      </c>
      <c r="U1193" s="164" t="s">
        <v>65</v>
      </c>
      <c r="V1193" s="163"/>
      <c r="W1193" s="163"/>
      <c r="X1193" s="472">
        <v>3</v>
      </c>
      <c r="Y1193" s="472"/>
      <c r="Z1193" s="164"/>
      <c r="AA1193" s="170"/>
      <c r="AB1193" s="164"/>
      <c r="AC1193" s="251"/>
      <c r="AD1193" s="170"/>
      <c r="AE1193" s="225"/>
      <c r="AF1193" s="170"/>
      <c r="AG1193" s="170"/>
      <c r="AH1193" s="251"/>
      <c r="AI1193" s="170"/>
      <c r="AJ1193" s="164"/>
      <c r="AK1193" s="22"/>
      <c r="AL1193" s="170"/>
      <c r="AM1193" s="170"/>
      <c r="AN1193" s="170"/>
      <c r="AO1193" s="170"/>
      <c r="AP1193" s="170"/>
      <c r="AQ1193" s="22"/>
      <c r="AR1193" s="22"/>
      <c r="AS1193" s="22"/>
      <c r="AT1193" s="170"/>
      <c r="AU1193" s="170"/>
      <c r="AV1193" s="170"/>
      <c r="AW1193" s="170"/>
      <c r="AX1193" s="170"/>
      <c r="AY1193" s="170"/>
      <c r="AZ1193" s="170"/>
      <c r="BA1193" s="170"/>
      <c r="BB1193" s="170"/>
      <c r="BC1193" s="170"/>
      <c r="BD1193" s="170"/>
      <c r="BE1193" s="137" t="s">
        <v>2978</v>
      </c>
      <c r="BF1193" s="137" t="s">
        <v>2933</v>
      </c>
      <c r="BG1193" s="139" t="s">
        <v>2934</v>
      </c>
      <c r="BH1193" s="220"/>
      <c r="BI1193" s="220"/>
      <c r="BJ1193" s="220"/>
      <c r="BK1193" s="46">
        <f t="shared" si="1"/>
        <v>1</v>
      </c>
      <c r="BL1193" s="46"/>
      <c r="BM1193" s="46"/>
      <c r="BN1193" s="46"/>
    </row>
    <row r="1194" spans="1:66" ht="12.75" hidden="1" customHeight="1">
      <c r="A1194" s="22">
        <v>1192</v>
      </c>
      <c r="B1194" s="22" t="s">
        <v>3000</v>
      </c>
      <c r="C1194" s="22" t="str">
        <f t="shared" si="0"/>
        <v>hepb3_date_done</v>
      </c>
      <c r="D1194" s="24" t="s">
        <v>3000</v>
      </c>
      <c r="E1194" s="22" t="s">
        <v>65</v>
      </c>
      <c r="F1194" s="24" t="s">
        <v>1787</v>
      </c>
      <c r="G1194" s="24" t="s">
        <v>2971</v>
      </c>
      <c r="H1194" s="24"/>
      <c r="I1194" s="24">
        <v>1</v>
      </c>
      <c r="J1194" s="24" t="s">
        <v>2372</v>
      </c>
      <c r="K1194" s="24"/>
      <c r="L1194" s="24"/>
      <c r="M1194" s="24"/>
      <c r="N1194" s="24"/>
      <c r="O1194" s="24"/>
      <c r="P1194" s="170"/>
      <c r="Q1194" s="170"/>
      <c r="R1194" s="169"/>
      <c r="S1194" s="164" t="s">
        <v>3000</v>
      </c>
      <c r="T1194" s="164" t="s">
        <v>3001</v>
      </c>
      <c r="U1194" s="164" t="s">
        <v>65</v>
      </c>
      <c r="V1194" s="163"/>
      <c r="W1194" s="163"/>
      <c r="X1194" s="164" t="s">
        <v>2937</v>
      </c>
      <c r="Y1194" s="164"/>
      <c r="Z1194" s="164"/>
      <c r="AA1194" s="170"/>
      <c r="AB1194" s="164"/>
      <c r="AC1194" s="251"/>
      <c r="AD1194" s="170"/>
      <c r="AE1194" s="225"/>
      <c r="AF1194" s="170"/>
      <c r="AG1194" s="170"/>
      <c r="AH1194" s="251"/>
      <c r="AI1194" s="170"/>
      <c r="AJ1194" s="164"/>
      <c r="AK1194" s="22"/>
      <c r="AL1194" s="170"/>
      <c r="AM1194" s="170"/>
      <c r="AN1194" s="170"/>
      <c r="AO1194" s="170"/>
      <c r="AP1194" s="170"/>
      <c r="AQ1194" s="22"/>
      <c r="AR1194" s="22"/>
      <c r="AS1194" s="22"/>
      <c r="AT1194" s="170"/>
      <c r="AU1194" s="170"/>
      <c r="AV1194" s="170"/>
      <c r="AW1194" s="170"/>
      <c r="AX1194" s="170"/>
      <c r="AY1194" s="170"/>
      <c r="AZ1194" s="170"/>
      <c r="BA1194" s="170"/>
      <c r="BB1194" s="170"/>
      <c r="BC1194" s="170"/>
      <c r="BD1194" s="170"/>
      <c r="BE1194" s="137" t="s">
        <v>2978</v>
      </c>
      <c r="BF1194" s="137" t="s">
        <v>2938</v>
      </c>
      <c r="BG1194" s="139" t="s">
        <v>2939</v>
      </c>
      <c r="BH1194" s="220"/>
      <c r="BI1194" s="220"/>
      <c r="BJ1194" s="220"/>
      <c r="BK1194" s="46">
        <f t="shared" si="1"/>
        <v>1</v>
      </c>
      <c r="BL1194" s="46"/>
      <c r="BM1194" s="46"/>
      <c r="BN1194" s="46"/>
    </row>
    <row r="1195" spans="1:66" ht="12.75" hidden="1" customHeight="1">
      <c r="A1195" s="22">
        <v>1193</v>
      </c>
      <c r="B1195" s="22" t="s">
        <v>3002</v>
      </c>
      <c r="C1195" s="22" t="str">
        <f t="shared" si="0"/>
        <v>Reason HepB3 not done</v>
      </c>
      <c r="D1195" s="24" t="s">
        <v>3002</v>
      </c>
      <c r="E1195" s="22" t="s">
        <v>96</v>
      </c>
      <c r="F1195" s="24" t="s">
        <v>1787</v>
      </c>
      <c r="G1195" s="24" t="s">
        <v>2971</v>
      </c>
      <c r="H1195" s="24"/>
      <c r="I1195" s="24">
        <v>1</v>
      </c>
      <c r="J1195" s="24" t="s">
        <v>2372</v>
      </c>
      <c r="K1195" s="24"/>
      <c r="L1195" s="24"/>
      <c r="M1195" s="24"/>
      <c r="N1195" s="24"/>
      <c r="O1195" s="24"/>
      <c r="P1195" s="170"/>
      <c r="Q1195" s="170"/>
      <c r="R1195" s="169" t="s">
        <v>1376</v>
      </c>
      <c r="S1195" s="164" t="s">
        <v>3003</v>
      </c>
      <c r="T1195" s="164" t="s">
        <v>3004</v>
      </c>
      <c r="U1195" s="164" t="s">
        <v>202</v>
      </c>
      <c r="V1195" s="163"/>
      <c r="W1195" s="163"/>
      <c r="X1195" s="164"/>
      <c r="Y1195" s="164"/>
      <c r="Z1195" s="164"/>
      <c r="AA1195" s="170"/>
      <c r="AB1195" s="164" t="s">
        <v>113</v>
      </c>
      <c r="AC1195" s="251"/>
      <c r="AD1195" s="170"/>
      <c r="AE1195" s="225"/>
      <c r="AF1195" s="170"/>
      <c r="AG1195" s="170"/>
      <c r="AH1195" s="251"/>
      <c r="AI1195" s="170"/>
      <c r="AJ1195" s="164" t="s">
        <v>115</v>
      </c>
      <c r="AK1195" s="22"/>
      <c r="AL1195" s="170"/>
      <c r="AM1195" s="170"/>
      <c r="AN1195" s="170"/>
      <c r="AO1195" s="170"/>
      <c r="AP1195" s="170"/>
      <c r="AQ1195" s="22"/>
      <c r="AR1195" s="22"/>
      <c r="AS1195" s="22"/>
      <c r="AT1195" s="170"/>
      <c r="AU1195" s="170"/>
      <c r="AV1195" s="170"/>
      <c r="AW1195" s="170"/>
      <c r="AX1195" s="170"/>
      <c r="AY1195" s="170"/>
      <c r="AZ1195" s="170"/>
      <c r="BA1195" s="170"/>
      <c r="BB1195" s="170"/>
      <c r="BC1195" s="170"/>
      <c r="BD1195" s="170"/>
      <c r="BE1195" s="137" t="s">
        <v>2978</v>
      </c>
      <c r="BF1195" s="137" t="s">
        <v>2959</v>
      </c>
      <c r="BG1195" s="139" t="s">
        <v>2960</v>
      </c>
      <c r="BH1195" s="220"/>
      <c r="BI1195" s="220"/>
      <c r="BJ1195" s="220"/>
      <c r="BK1195" s="46">
        <f t="shared" si="1"/>
        <v>1</v>
      </c>
      <c r="BL1195" s="46"/>
      <c r="BM1195" s="46"/>
      <c r="BN1195" s="46"/>
    </row>
    <row r="1196" spans="1:66" ht="12.75" hidden="1" customHeight="1">
      <c r="A1196" s="22">
        <v>1194</v>
      </c>
      <c r="B1196" s="22" t="s">
        <v>4492</v>
      </c>
      <c r="C1196" s="22" t="e">
        <f t="shared" ca="1" si="0"/>
        <v>#NAME?</v>
      </c>
      <c r="D1196" s="24" t="s">
        <v>2961</v>
      </c>
      <c r="E1196" s="22" t="s">
        <v>180</v>
      </c>
      <c r="F1196" s="24" t="s">
        <v>3002</v>
      </c>
      <c r="G1196" s="24" t="s">
        <v>2971</v>
      </c>
      <c r="H1196" s="24"/>
      <c r="I1196" s="24">
        <v>1</v>
      </c>
      <c r="J1196" s="24" t="s">
        <v>2372</v>
      </c>
      <c r="K1196" s="24"/>
      <c r="L1196" s="24"/>
      <c r="M1196" s="24"/>
      <c r="N1196" s="24"/>
      <c r="O1196" s="24"/>
      <c r="P1196" s="170"/>
      <c r="Q1196" s="170"/>
      <c r="R1196" s="247"/>
      <c r="S1196" s="196"/>
      <c r="T1196" s="196"/>
      <c r="U1196" s="196"/>
      <c r="V1196" s="163"/>
      <c r="W1196" s="163" t="s">
        <v>2961</v>
      </c>
      <c r="X1196" s="196"/>
      <c r="Y1196" s="196"/>
      <c r="Z1196" s="196"/>
      <c r="AA1196" s="170"/>
      <c r="AB1196" s="196"/>
      <c r="AC1196" s="251"/>
      <c r="AD1196" s="170"/>
      <c r="AE1196" s="225"/>
      <c r="AF1196" s="170"/>
      <c r="AG1196" s="170"/>
      <c r="AH1196" s="251"/>
      <c r="AI1196" s="170"/>
      <c r="AJ1196" s="196"/>
      <c r="AK1196" s="22"/>
      <c r="AL1196" s="170"/>
      <c r="AM1196" s="170"/>
      <c r="AN1196" s="170"/>
      <c r="AO1196" s="170"/>
      <c r="AP1196" s="170"/>
      <c r="AQ1196" s="22"/>
      <c r="AR1196" s="22"/>
      <c r="AS1196" s="22"/>
      <c r="AT1196" s="170"/>
      <c r="AU1196" s="170"/>
      <c r="AV1196" s="170"/>
      <c r="AW1196" s="170"/>
      <c r="AX1196" s="170"/>
      <c r="AY1196" s="170"/>
      <c r="AZ1196" s="170"/>
      <c r="BA1196" s="170"/>
      <c r="BB1196" s="170"/>
      <c r="BC1196" s="170"/>
      <c r="BD1196" s="170"/>
      <c r="BE1196" s="143" t="s">
        <v>115</v>
      </c>
      <c r="BF1196" s="143" t="s">
        <v>2637</v>
      </c>
      <c r="BG1196" s="167" t="s">
        <v>2638</v>
      </c>
      <c r="BH1196" s="220"/>
      <c r="BI1196" s="220"/>
      <c r="BJ1196" s="220"/>
      <c r="BK1196" s="46">
        <f t="shared" si="1"/>
        <v>1</v>
      </c>
      <c r="BL1196" s="46"/>
      <c r="BM1196" s="46"/>
      <c r="BN1196" s="46"/>
    </row>
    <row r="1197" spans="1:66" ht="12.75" hidden="1" customHeight="1">
      <c r="A1197" s="22">
        <v>1195</v>
      </c>
      <c r="B1197" s="22" t="s">
        <v>4495</v>
      </c>
      <c r="C1197" s="22" t="e">
        <f t="shared" ca="1" si="0"/>
        <v>#NAME?</v>
      </c>
      <c r="D1197" s="24" t="s">
        <v>2962</v>
      </c>
      <c r="E1197" s="22" t="s">
        <v>180</v>
      </c>
      <c r="F1197" s="24" t="s">
        <v>3002</v>
      </c>
      <c r="G1197" s="24" t="s">
        <v>2971</v>
      </c>
      <c r="H1197" s="24"/>
      <c r="I1197" s="24">
        <v>1</v>
      </c>
      <c r="J1197" s="24" t="s">
        <v>2372</v>
      </c>
      <c r="K1197" s="24"/>
      <c r="L1197" s="24"/>
      <c r="M1197" s="24"/>
      <c r="N1197" s="24"/>
      <c r="O1197" s="24"/>
      <c r="P1197" s="170"/>
      <c r="Q1197" s="170"/>
      <c r="R1197" s="247"/>
      <c r="S1197" s="196"/>
      <c r="T1197" s="196"/>
      <c r="U1197" s="196"/>
      <c r="V1197" s="194"/>
      <c r="W1197" s="194" t="s">
        <v>2962</v>
      </c>
      <c r="X1197" s="196"/>
      <c r="Y1197" s="196"/>
      <c r="Z1197" s="196"/>
      <c r="AA1197" s="170"/>
      <c r="AB1197" s="196"/>
      <c r="AC1197" s="251"/>
      <c r="AD1197" s="170"/>
      <c r="AE1197" s="225"/>
      <c r="AF1197" s="170"/>
      <c r="AG1197" s="170"/>
      <c r="AH1197" s="251"/>
      <c r="AI1197" s="170"/>
      <c r="AJ1197" s="196"/>
      <c r="AK1197" s="22"/>
      <c r="AL1197" s="170"/>
      <c r="AM1197" s="170"/>
      <c r="AN1197" s="170"/>
      <c r="AO1197" s="170"/>
      <c r="AP1197" s="170"/>
      <c r="AQ1197" s="22"/>
      <c r="AR1197" s="22"/>
      <c r="AS1197" s="22"/>
      <c r="AT1197" s="170"/>
      <c r="AU1197" s="170"/>
      <c r="AV1197" s="170"/>
      <c r="AW1197" s="170"/>
      <c r="AX1197" s="170"/>
      <c r="AY1197" s="170"/>
      <c r="AZ1197" s="170"/>
      <c r="BA1197" s="170"/>
      <c r="BB1197" s="170"/>
      <c r="BC1197" s="170"/>
      <c r="BD1197" s="170"/>
      <c r="BE1197" s="143" t="s">
        <v>115</v>
      </c>
      <c r="BF1197" s="143" t="s">
        <v>2963</v>
      </c>
      <c r="BG1197" s="167" t="s">
        <v>2964</v>
      </c>
      <c r="BH1197" s="220"/>
      <c r="BI1197" s="220"/>
      <c r="BJ1197" s="220"/>
      <c r="BK1197" s="46">
        <f t="shared" si="1"/>
        <v>1</v>
      </c>
      <c r="BL1197" s="46"/>
      <c r="BM1197" s="46"/>
      <c r="BN1197" s="46"/>
    </row>
    <row r="1198" spans="1:66" ht="12.75" hidden="1" customHeight="1">
      <c r="A1198" s="22">
        <v>1196</v>
      </c>
      <c r="B1198" s="22" t="s">
        <v>3588</v>
      </c>
      <c r="C1198" s="22" t="e">
        <f t="shared" ca="1" si="0"/>
        <v>#NAME?</v>
      </c>
      <c r="D1198" s="24" t="s">
        <v>2383</v>
      </c>
      <c r="E1198" s="22" t="s">
        <v>180</v>
      </c>
      <c r="F1198" s="24" t="s">
        <v>3002</v>
      </c>
      <c r="G1198" s="24" t="s">
        <v>2971</v>
      </c>
      <c r="H1198" s="24"/>
      <c r="I1198" s="24">
        <v>1</v>
      </c>
      <c r="J1198" s="24" t="s">
        <v>2372</v>
      </c>
      <c r="K1198" s="24"/>
      <c r="L1198" s="24"/>
      <c r="M1198" s="24"/>
      <c r="N1198" s="24"/>
      <c r="O1198" s="24"/>
      <c r="P1198" s="170"/>
      <c r="Q1198" s="170"/>
      <c r="R1198" s="247"/>
      <c r="S1198" s="196"/>
      <c r="T1198" s="196"/>
      <c r="U1198" s="196"/>
      <c r="V1198" s="194"/>
      <c r="W1198" s="194" t="s">
        <v>2383</v>
      </c>
      <c r="X1198" s="196"/>
      <c r="Y1198" s="196"/>
      <c r="Z1198" s="196"/>
      <c r="AA1198" s="170"/>
      <c r="AB1198" s="196"/>
      <c r="AC1198" s="251"/>
      <c r="AD1198" s="170"/>
      <c r="AE1198" s="225"/>
      <c r="AF1198" s="170"/>
      <c r="AG1198" s="170"/>
      <c r="AH1198" s="251"/>
      <c r="AI1198" s="170"/>
      <c r="AJ1198" s="196"/>
      <c r="AK1198" s="22"/>
      <c r="AL1198" s="170"/>
      <c r="AM1198" s="170"/>
      <c r="AN1198" s="170"/>
      <c r="AO1198" s="170"/>
      <c r="AP1198" s="170"/>
      <c r="AQ1198" s="22"/>
      <c r="AR1198" s="22"/>
      <c r="AS1198" s="22"/>
      <c r="AT1198" s="170"/>
      <c r="AU1198" s="170"/>
      <c r="AV1198" s="170"/>
      <c r="AW1198" s="170"/>
      <c r="AX1198" s="170"/>
      <c r="AY1198" s="170"/>
      <c r="AZ1198" s="170"/>
      <c r="BA1198" s="170"/>
      <c r="BB1198" s="170"/>
      <c r="BC1198" s="170"/>
      <c r="BD1198" s="170"/>
      <c r="BE1198" s="143" t="s">
        <v>115</v>
      </c>
      <c r="BF1198" s="143" t="s">
        <v>2716</v>
      </c>
      <c r="BG1198" s="167" t="s">
        <v>2717</v>
      </c>
      <c r="BH1198" s="220"/>
      <c r="BI1198" s="220"/>
      <c r="BJ1198" s="220"/>
      <c r="BK1198" s="46">
        <f t="shared" si="1"/>
        <v>1</v>
      </c>
      <c r="BL1198" s="46"/>
      <c r="BM1198" s="46"/>
      <c r="BN1198" s="46"/>
    </row>
    <row r="1199" spans="1:66" ht="12.75" hidden="1" customHeight="1">
      <c r="A1199" s="22">
        <v>1197</v>
      </c>
      <c r="B1199" s="22" t="s">
        <v>4500</v>
      </c>
      <c r="C1199" s="22" t="e">
        <f t="shared" ca="1" si="0"/>
        <v>#NAME?</v>
      </c>
      <c r="D1199" s="24" t="s">
        <v>2965</v>
      </c>
      <c r="E1199" s="22" t="s">
        <v>180</v>
      </c>
      <c r="F1199" s="24" t="s">
        <v>3002</v>
      </c>
      <c r="G1199" s="24" t="s">
        <v>2971</v>
      </c>
      <c r="H1199" s="24"/>
      <c r="I1199" s="24">
        <v>1</v>
      </c>
      <c r="J1199" s="24" t="s">
        <v>2372</v>
      </c>
      <c r="K1199" s="24"/>
      <c r="L1199" s="24"/>
      <c r="M1199" s="24"/>
      <c r="N1199" s="24"/>
      <c r="O1199" s="24"/>
      <c r="P1199" s="170"/>
      <c r="Q1199" s="170"/>
      <c r="R1199" s="247"/>
      <c r="S1199" s="196"/>
      <c r="T1199" s="196"/>
      <c r="U1199" s="196"/>
      <c r="V1199" s="194"/>
      <c r="W1199" s="194" t="s">
        <v>2965</v>
      </c>
      <c r="X1199" s="196"/>
      <c r="Y1199" s="196"/>
      <c r="Z1199" s="196"/>
      <c r="AA1199" s="170"/>
      <c r="AB1199" s="196"/>
      <c r="AC1199" s="251"/>
      <c r="AD1199" s="170"/>
      <c r="AE1199" s="225"/>
      <c r="AF1199" s="170"/>
      <c r="AG1199" s="170"/>
      <c r="AH1199" s="251"/>
      <c r="AI1199" s="170"/>
      <c r="AJ1199" s="196"/>
      <c r="AK1199" s="22"/>
      <c r="AL1199" s="170"/>
      <c r="AM1199" s="170"/>
      <c r="AN1199" s="170"/>
      <c r="AO1199" s="170"/>
      <c r="AP1199" s="170"/>
      <c r="AQ1199" s="22"/>
      <c r="AR1199" s="22"/>
      <c r="AS1199" s="22"/>
      <c r="AT1199" s="170"/>
      <c r="AU1199" s="170"/>
      <c r="AV1199" s="170"/>
      <c r="AW1199" s="170"/>
      <c r="AX1199" s="170"/>
      <c r="AY1199" s="170"/>
      <c r="AZ1199" s="170"/>
      <c r="BA1199" s="170"/>
      <c r="BB1199" s="170"/>
      <c r="BC1199" s="170"/>
      <c r="BD1199" s="170"/>
      <c r="BE1199" s="143" t="s">
        <v>115</v>
      </c>
      <c r="BF1199" s="143" t="s">
        <v>2685</v>
      </c>
      <c r="BG1199" s="167" t="s">
        <v>2686</v>
      </c>
      <c r="BH1199" s="220"/>
      <c r="BI1199" s="220"/>
      <c r="BJ1199" s="220"/>
      <c r="BK1199" s="46">
        <f t="shared" si="1"/>
        <v>1</v>
      </c>
      <c r="BL1199" s="46"/>
      <c r="BM1199" s="46"/>
      <c r="BN1199" s="46"/>
    </row>
    <row r="1200" spans="1:66" ht="12.75" hidden="1" customHeight="1">
      <c r="A1200" s="22">
        <v>1198</v>
      </c>
      <c r="B1200" s="22" t="s">
        <v>535</v>
      </c>
      <c r="C1200" s="22" t="e">
        <f t="shared" ca="1" si="0"/>
        <v>#NAME?</v>
      </c>
      <c r="D1200" s="24" t="s">
        <v>405</v>
      </c>
      <c r="E1200" s="22" t="s">
        <v>180</v>
      </c>
      <c r="F1200" s="24" t="s">
        <v>3002</v>
      </c>
      <c r="G1200" s="24" t="s">
        <v>2971</v>
      </c>
      <c r="H1200" s="24"/>
      <c r="I1200" s="24">
        <v>1</v>
      </c>
      <c r="J1200" s="24" t="s">
        <v>2372</v>
      </c>
      <c r="K1200" s="24"/>
      <c r="L1200" s="24"/>
      <c r="M1200" s="24"/>
      <c r="N1200" s="24"/>
      <c r="O1200" s="24"/>
      <c r="P1200" s="170"/>
      <c r="Q1200" s="170"/>
      <c r="R1200" s="247"/>
      <c r="S1200" s="196"/>
      <c r="T1200" s="196"/>
      <c r="U1200" s="196"/>
      <c r="V1200" s="194"/>
      <c r="W1200" s="194" t="s">
        <v>405</v>
      </c>
      <c r="X1200" s="196"/>
      <c r="Y1200" s="196"/>
      <c r="Z1200" s="196"/>
      <c r="AA1200" s="170"/>
      <c r="AB1200" s="196"/>
      <c r="AC1200" s="251"/>
      <c r="AD1200" s="170"/>
      <c r="AE1200" s="225"/>
      <c r="AF1200" s="170"/>
      <c r="AG1200" s="170"/>
      <c r="AH1200" s="251"/>
      <c r="AI1200" s="170"/>
      <c r="AJ1200" s="196"/>
      <c r="AK1200" s="22"/>
      <c r="AL1200" s="170"/>
      <c r="AM1200" s="170"/>
      <c r="AN1200" s="170"/>
      <c r="AO1200" s="170"/>
      <c r="AP1200" s="170"/>
      <c r="AQ1200" s="22"/>
      <c r="AR1200" s="22"/>
      <c r="AS1200" s="22"/>
      <c r="AT1200" s="170"/>
      <c r="AU1200" s="170"/>
      <c r="AV1200" s="170"/>
      <c r="AW1200" s="170"/>
      <c r="AX1200" s="170"/>
      <c r="AY1200" s="170"/>
      <c r="AZ1200" s="170"/>
      <c r="BA1200" s="170"/>
      <c r="BB1200" s="170"/>
      <c r="BC1200" s="170"/>
      <c r="BD1200" s="170"/>
      <c r="BE1200" s="143" t="s">
        <v>115</v>
      </c>
      <c r="BF1200" s="143" t="s">
        <v>406</v>
      </c>
      <c r="BG1200" s="167" t="s">
        <v>407</v>
      </c>
      <c r="BH1200" s="220"/>
      <c r="BI1200" s="220"/>
      <c r="BJ1200" s="220"/>
      <c r="BK1200" s="46">
        <f t="shared" si="1"/>
        <v>1</v>
      </c>
      <c r="BL1200" s="46"/>
      <c r="BM1200" s="46"/>
      <c r="BN1200" s="46"/>
    </row>
    <row r="1201" spans="1:66" ht="12.75" hidden="1" customHeight="1">
      <c r="A1201" s="22">
        <v>1199</v>
      </c>
      <c r="B1201" s="22" t="s">
        <v>3005</v>
      </c>
      <c r="C1201" s="22" t="str">
        <f t="shared" si="0"/>
        <v>Specify - Reason HepB3 not done</v>
      </c>
      <c r="D1201" s="24" t="s">
        <v>3005</v>
      </c>
      <c r="E1201" s="22" t="s">
        <v>96</v>
      </c>
      <c r="F1201" s="24" t="s">
        <v>1787</v>
      </c>
      <c r="G1201" s="24" t="s">
        <v>2971</v>
      </c>
      <c r="H1201" s="24"/>
      <c r="I1201" s="24">
        <v>1</v>
      </c>
      <c r="J1201" s="24" t="s">
        <v>2372</v>
      </c>
      <c r="K1201" s="24"/>
      <c r="L1201" s="24"/>
      <c r="M1201" s="24"/>
      <c r="N1201" s="24"/>
      <c r="O1201" s="24"/>
      <c r="P1201" s="170"/>
      <c r="Q1201" s="170"/>
      <c r="R1201" s="247" t="s">
        <v>409</v>
      </c>
      <c r="S1201" s="196" t="s">
        <v>3006</v>
      </c>
      <c r="T1201" s="196" t="s">
        <v>2641</v>
      </c>
      <c r="U1201" s="196" t="s">
        <v>111</v>
      </c>
      <c r="V1201" s="194"/>
      <c r="W1201" s="194"/>
      <c r="X1201" s="196"/>
      <c r="Y1201" s="196"/>
      <c r="Z1201" s="196"/>
      <c r="AA1201" s="170"/>
      <c r="AB1201" s="196" t="s">
        <v>208</v>
      </c>
      <c r="AC1201" s="251"/>
      <c r="AD1201" s="170"/>
      <c r="AE1201" s="225"/>
      <c r="AF1201" s="170"/>
      <c r="AG1201" s="170"/>
      <c r="AH1201" s="251"/>
      <c r="AI1201" s="170"/>
      <c r="AJ1201" s="196" t="s">
        <v>115</v>
      </c>
      <c r="AK1201" s="22"/>
      <c r="AL1201" s="170"/>
      <c r="AM1201" s="170"/>
      <c r="AN1201" s="170"/>
      <c r="AO1201" s="170"/>
      <c r="AP1201" s="170"/>
      <c r="AQ1201" s="22"/>
      <c r="AR1201" s="22"/>
      <c r="AS1201" s="22"/>
      <c r="AT1201" s="170"/>
      <c r="AU1201" s="170"/>
      <c r="AV1201" s="170"/>
      <c r="AW1201" s="170"/>
      <c r="AX1201" s="170"/>
      <c r="AY1201" s="170"/>
      <c r="AZ1201" s="170"/>
      <c r="BA1201" s="170"/>
      <c r="BB1201" s="170"/>
      <c r="BC1201" s="170"/>
      <c r="BD1201" s="170"/>
      <c r="BE1201" s="137" t="s">
        <v>2978</v>
      </c>
      <c r="BF1201" s="137" t="s">
        <v>2968</v>
      </c>
      <c r="BG1201" s="139" t="s">
        <v>2969</v>
      </c>
      <c r="BH1201" s="220"/>
      <c r="BI1201" s="220"/>
      <c r="BJ1201" s="220"/>
      <c r="BK1201" s="46">
        <f t="shared" si="1"/>
        <v>1</v>
      </c>
      <c r="BL1201" s="46"/>
      <c r="BM1201" s="46"/>
      <c r="BN1201" s="46"/>
    </row>
    <row r="1202" spans="1:66" ht="12.75" hidden="1" customHeight="1">
      <c r="A1202" s="22">
        <v>1200</v>
      </c>
      <c r="B1202" s="22" t="s">
        <v>3007</v>
      </c>
      <c r="C1202" s="22" t="str">
        <f t="shared" si="0"/>
        <v>Flu dose</v>
      </c>
      <c r="D1202" s="24" t="s">
        <v>3007</v>
      </c>
      <c r="E1202" s="22" t="s">
        <v>96</v>
      </c>
      <c r="F1202" s="24" t="s">
        <v>1787</v>
      </c>
      <c r="G1202" s="24" t="s">
        <v>3008</v>
      </c>
      <c r="H1202" s="24"/>
      <c r="I1202" s="24">
        <v>1</v>
      </c>
      <c r="J1202" s="24" t="s">
        <v>2372</v>
      </c>
      <c r="K1202" s="24"/>
      <c r="L1202" s="24"/>
      <c r="M1202" s="24"/>
      <c r="N1202" s="24"/>
      <c r="O1202" s="24"/>
      <c r="P1202" s="170"/>
      <c r="Q1202" s="170"/>
      <c r="R1202" s="169" t="s">
        <v>3007</v>
      </c>
      <c r="S1202" s="164" t="s">
        <v>3009</v>
      </c>
      <c r="T1202" s="164" t="s">
        <v>3010</v>
      </c>
      <c r="U1202" s="164" t="s">
        <v>202</v>
      </c>
      <c r="V1202" s="163"/>
      <c r="W1202" s="163"/>
      <c r="X1202" s="164"/>
      <c r="Y1202" s="164"/>
      <c r="Z1202" s="164" t="s">
        <v>904</v>
      </c>
      <c r="AA1202" s="170"/>
      <c r="AB1202" s="164" t="s">
        <v>113</v>
      </c>
      <c r="AC1202" s="251"/>
      <c r="AD1202" s="170"/>
      <c r="AE1202" s="225"/>
      <c r="AF1202" s="170"/>
      <c r="AG1202" s="170"/>
      <c r="AH1202" s="251"/>
      <c r="AI1202" s="170"/>
      <c r="AJ1202" s="164" t="s">
        <v>3011</v>
      </c>
      <c r="AK1202" s="22"/>
      <c r="AL1202" s="170"/>
      <c r="AM1202" s="170"/>
      <c r="AN1202" s="170"/>
      <c r="AO1202" s="170"/>
      <c r="AP1202" s="170"/>
      <c r="AQ1202" s="22"/>
      <c r="AR1202" s="22"/>
      <c r="AS1202" s="22"/>
      <c r="AT1202" s="170"/>
      <c r="AU1202" s="170"/>
      <c r="AV1202" s="170"/>
      <c r="AW1202" s="170"/>
      <c r="AX1202" s="170"/>
      <c r="AY1202" s="170"/>
      <c r="AZ1202" s="170"/>
      <c r="BA1202" s="170"/>
      <c r="BB1202" s="170"/>
      <c r="BC1202" s="170"/>
      <c r="BD1202" s="170"/>
      <c r="BE1202" s="137" t="s">
        <v>3012</v>
      </c>
      <c r="BF1202" s="137" t="s">
        <v>2927</v>
      </c>
      <c r="BG1202" s="139" t="s">
        <v>2928</v>
      </c>
      <c r="BH1202" s="220"/>
      <c r="BI1202" s="220"/>
      <c r="BJ1202" s="220"/>
      <c r="BK1202" s="46">
        <f t="shared" si="1"/>
        <v>1</v>
      </c>
      <c r="BL1202" s="46"/>
      <c r="BM1202" s="46"/>
      <c r="BN1202" s="46"/>
    </row>
    <row r="1203" spans="1:66" ht="12.75" hidden="1" customHeight="1">
      <c r="A1203" s="22">
        <v>1201</v>
      </c>
      <c r="B1203" s="22" t="s">
        <v>2651</v>
      </c>
      <c r="C1203" s="22" t="e">
        <f t="shared" ca="1" si="0"/>
        <v>#NAME?</v>
      </c>
      <c r="D1203" s="24" t="s">
        <v>1775</v>
      </c>
      <c r="E1203" s="22" t="s">
        <v>180</v>
      </c>
      <c r="F1203" s="24" t="s">
        <v>3007</v>
      </c>
      <c r="G1203" s="24" t="s">
        <v>3008</v>
      </c>
      <c r="H1203" s="24"/>
      <c r="I1203" s="24">
        <v>1</v>
      </c>
      <c r="J1203" s="24" t="s">
        <v>2372</v>
      </c>
      <c r="K1203" s="24"/>
      <c r="L1203" s="24"/>
      <c r="M1203" s="24"/>
      <c r="N1203" s="24"/>
      <c r="O1203" s="24"/>
      <c r="P1203" s="170"/>
      <c r="Q1203" s="170"/>
      <c r="R1203" s="169"/>
      <c r="S1203" s="164"/>
      <c r="T1203" s="164"/>
      <c r="U1203" s="164"/>
      <c r="V1203" s="163"/>
      <c r="W1203" s="163" t="s">
        <v>1775</v>
      </c>
      <c r="X1203" s="164"/>
      <c r="Y1203" s="164"/>
      <c r="Z1203" s="164"/>
      <c r="AA1203" s="170"/>
      <c r="AB1203" s="164"/>
      <c r="AC1203" s="251"/>
      <c r="AD1203" s="170"/>
      <c r="AE1203" s="225"/>
      <c r="AF1203" s="170"/>
      <c r="AG1203" s="170"/>
      <c r="AH1203" s="251"/>
      <c r="AI1203" s="170"/>
      <c r="AJ1203" s="164"/>
      <c r="AK1203" s="22"/>
      <c r="AL1203" s="170"/>
      <c r="AM1203" s="170"/>
      <c r="AN1203" s="170"/>
      <c r="AO1203" s="170"/>
      <c r="AP1203" s="170"/>
      <c r="AQ1203" s="22"/>
      <c r="AR1203" s="22"/>
      <c r="AS1203" s="22"/>
      <c r="AT1203" s="170"/>
      <c r="AU1203" s="170"/>
      <c r="AV1203" s="170"/>
      <c r="AW1203" s="170"/>
      <c r="AX1203" s="170"/>
      <c r="AY1203" s="170"/>
      <c r="AZ1203" s="170"/>
      <c r="BA1203" s="170"/>
      <c r="BB1203" s="170"/>
      <c r="BC1203" s="170"/>
      <c r="BD1203" s="170"/>
      <c r="BE1203" s="137" t="s">
        <v>115</v>
      </c>
      <c r="BF1203" s="137" t="s">
        <v>953</v>
      </c>
      <c r="BG1203" s="139" t="s">
        <v>954</v>
      </c>
      <c r="BH1203" s="220"/>
      <c r="BI1203" s="220"/>
      <c r="BJ1203" s="220"/>
      <c r="BK1203" s="46">
        <f t="shared" si="1"/>
        <v>1</v>
      </c>
      <c r="BL1203" s="46"/>
      <c r="BM1203" s="46"/>
      <c r="BN1203" s="46"/>
    </row>
    <row r="1204" spans="1:66" ht="12.75" hidden="1" customHeight="1">
      <c r="A1204" s="22">
        <v>1202</v>
      </c>
      <c r="B1204" s="22" t="s">
        <v>2655</v>
      </c>
      <c r="C1204" s="22" t="e">
        <f t="shared" ca="1" si="0"/>
        <v>#NAME?</v>
      </c>
      <c r="D1204" s="24" t="s">
        <v>1779</v>
      </c>
      <c r="E1204" s="22" t="s">
        <v>180</v>
      </c>
      <c r="F1204" s="24" t="s">
        <v>3007</v>
      </c>
      <c r="G1204" s="24" t="s">
        <v>3008</v>
      </c>
      <c r="H1204" s="24"/>
      <c r="I1204" s="24">
        <v>1</v>
      </c>
      <c r="J1204" s="24" t="s">
        <v>2372</v>
      </c>
      <c r="K1204" s="24"/>
      <c r="L1204" s="24"/>
      <c r="M1204" s="24"/>
      <c r="N1204" s="24"/>
      <c r="O1204" s="24"/>
      <c r="P1204" s="170"/>
      <c r="Q1204" s="170"/>
      <c r="R1204" s="169"/>
      <c r="S1204" s="164"/>
      <c r="T1204" s="164"/>
      <c r="U1204" s="164"/>
      <c r="V1204" s="163"/>
      <c r="W1204" s="163" t="s">
        <v>1779</v>
      </c>
      <c r="X1204" s="164"/>
      <c r="Y1204" s="164"/>
      <c r="Z1204" s="164"/>
      <c r="AA1204" s="170"/>
      <c r="AB1204" s="164"/>
      <c r="AC1204" s="251"/>
      <c r="AD1204" s="170"/>
      <c r="AE1204" s="225"/>
      <c r="AF1204" s="170"/>
      <c r="AG1204" s="170"/>
      <c r="AH1204" s="251"/>
      <c r="AI1204" s="170"/>
      <c r="AJ1204" s="164"/>
      <c r="AK1204" s="22"/>
      <c r="AL1204" s="170"/>
      <c r="AM1204" s="170"/>
      <c r="AN1204" s="170"/>
      <c r="AO1204" s="170"/>
      <c r="AP1204" s="170"/>
      <c r="AQ1204" s="22"/>
      <c r="AR1204" s="22"/>
      <c r="AS1204" s="22"/>
      <c r="AT1204" s="170"/>
      <c r="AU1204" s="170"/>
      <c r="AV1204" s="170"/>
      <c r="AW1204" s="170"/>
      <c r="AX1204" s="170"/>
      <c r="AY1204" s="170"/>
      <c r="AZ1204" s="170"/>
      <c r="BA1204" s="170"/>
      <c r="BB1204" s="170"/>
      <c r="BC1204" s="170"/>
      <c r="BD1204" s="170"/>
      <c r="BE1204" s="137" t="s">
        <v>115</v>
      </c>
      <c r="BF1204" s="137" t="s">
        <v>2929</v>
      </c>
      <c r="BG1204" s="139" t="s">
        <v>2930</v>
      </c>
      <c r="BH1204" s="220"/>
      <c r="BI1204" s="220"/>
      <c r="BJ1204" s="220"/>
      <c r="BK1204" s="46">
        <f t="shared" si="1"/>
        <v>1</v>
      </c>
      <c r="BL1204" s="46"/>
      <c r="BM1204" s="46"/>
      <c r="BN1204" s="46"/>
    </row>
    <row r="1205" spans="1:66" ht="12.75" hidden="1" customHeight="1">
      <c r="A1205" s="22">
        <v>1203</v>
      </c>
      <c r="B1205" s="22" t="s">
        <v>2118</v>
      </c>
      <c r="C1205" s="22" t="e">
        <f t="shared" ca="1" si="0"/>
        <v>#NAME?</v>
      </c>
      <c r="D1205" s="24" t="s">
        <v>1468</v>
      </c>
      <c r="E1205" s="22" t="s">
        <v>180</v>
      </c>
      <c r="F1205" s="24" t="s">
        <v>3007</v>
      </c>
      <c r="G1205" s="24" t="s">
        <v>3008</v>
      </c>
      <c r="H1205" s="24"/>
      <c r="I1205" s="24">
        <v>1</v>
      </c>
      <c r="J1205" s="24" t="s">
        <v>2372</v>
      </c>
      <c r="K1205" s="24"/>
      <c r="L1205" s="24"/>
      <c r="M1205" s="24"/>
      <c r="N1205" s="24"/>
      <c r="O1205" s="24"/>
      <c r="P1205" s="170"/>
      <c r="Q1205" s="170"/>
      <c r="R1205" s="169"/>
      <c r="S1205" s="164"/>
      <c r="T1205" s="164"/>
      <c r="U1205" s="164"/>
      <c r="V1205" s="163"/>
      <c r="W1205" s="163" t="s">
        <v>1468</v>
      </c>
      <c r="X1205" s="164"/>
      <c r="Y1205" s="164"/>
      <c r="Z1205" s="164"/>
      <c r="AA1205" s="170"/>
      <c r="AB1205" s="164"/>
      <c r="AC1205" s="251"/>
      <c r="AD1205" s="170"/>
      <c r="AE1205" s="225"/>
      <c r="AF1205" s="170"/>
      <c r="AG1205" s="170"/>
      <c r="AH1205" s="251"/>
      <c r="AI1205" s="170"/>
      <c r="AJ1205" s="164"/>
      <c r="AK1205" s="22"/>
      <c r="AL1205" s="170"/>
      <c r="AM1205" s="170"/>
      <c r="AN1205" s="170"/>
      <c r="AO1205" s="170"/>
      <c r="AP1205" s="170"/>
      <c r="AQ1205" s="22"/>
      <c r="AR1205" s="22"/>
      <c r="AS1205" s="22"/>
      <c r="AT1205" s="170"/>
      <c r="AU1205" s="170"/>
      <c r="AV1205" s="170"/>
      <c r="AW1205" s="170"/>
      <c r="AX1205" s="170"/>
      <c r="AY1205" s="170"/>
      <c r="AZ1205" s="170"/>
      <c r="BA1205" s="170"/>
      <c r="BB1205" s="170"/>
      <c r="BC1205" s="170"/>
      <c r="BD1205" s="170"/>
      <c r="BE1205" s="137" t="s">
        <v>115</v>
      </c>
      <c r="BF1205" s="137" t="s">
        <v>957</v>
      </c>
      <c r="BG1205" s="167" t="s">
        <v>958</v>
      </c>
      <c r="BH1205" s="220"/>
      <c r="BI1205" s="220"/>
      <c r="BJ1205" s="220"/>
      <c r="BK1205" s="46">
        <f t="shared" si="1"/>
        <v>1</v>
      </c>
      <c r="BL1205" s="46"/>
      <c r="BM1205" s="46"/>
      <c r="BN1205" s="46"/>
    </row>
    <row r="1206" spans="1:66" ht="12.75" hidden="1" customHeight="1">
      <c r="A1206" s="22">
        <v>1204</v>
      </c>
      <c r="B1206" s="22" t="s">
        <v>3013</v>
      </c>
      <c r="C1206" s="22" t="str">
        <f t="shared" si="0"/>
        <v>flu_date_done</v>
      </c>
      <c r="D1206" s="24" t="s">
        <v>3013</v>
      </c>
      <c r="E1206" s="22" t="s">
        <v>65</v>
      </c>
      <c r="F1206" s="24" t="s">
        <v>1787</v>
      </c>
      <c r="G1206" s="24" t="s">
        <v>3008</v>
      </c>
      <c r="H1206" s="24"/>
      <c r="I1206" s="24">
        <v>1</v>
      </c>
      <c r="J1206" s="24" t="s">
        <v>2372</v>
      </c>
      <c r="K1206" s="24"/>
      <c r="L1206" s="24"/>
      <c r="M1206" s="24"/>
      <c r="N1206" s="24"/>
      <c r="O1206" s="24"/>
      <c r="P1206" s="170"/>
      <c r="Q1206" s="170"/>
      <c r="R1206" s="169"/>
      <c r="S1206" s="164" t="s">
        <v>3013</v>
      </c>
      <c r="T1206" s="164" t="s">
        <v>3014</v>
      </c>
      <c r="U1206" s="164" t="s">
        <v>65</v>
      </c>
      <c r="V1206" s="163"/>
      <c r="W1206" s="163"/>
      <c r="X1206" s="164" t="s">
        <v>2937</v>
      </c>
      <c r="Y1206" s="164"/>
      <c r="Z1206" s="164"/>
      <c r="AA1206" s="170"/>
      <c r="AB1206" s="164"/>
      <c r="AC1206" s="251"/>
      <c r="AD1206" s="170"/>
      <c r="AE1206" s="225"/>
      <c r="AF1206" s="170"/>
      <c r="AG1206" s="170"/>
      <c r="AH1206" s="251"/>
      <c r="AI1206" s="170"/>
      <c r="AJ1206" s="164"/>
      <c r="AK1206" s="22"/>
      <c r="AL1206" s="170"/>
      <c r="AM1206" s="170"/>
      <c r="AN1206" s="170"/>
      <c r="AO1206" s="170"/>
      <c r="AP1206" s="170"/>
      <c r="AQ1206" s="22"/>
      <c r="AR1206" s="22"/>
      <c r="AS1206" s="22"/>
      <c r="AT1206" s="170"/>
      <c r="AU1206" s="170"/>
      <c r="AV1206" s="170"/>
      <c r="AW1206" s="170"/>
      <c r="AX1206" s="170"/>
      <c r="AY1206" s="170"/>
      <c r="AZ1206" s="170"/>
      <c r="BA1206" s="170"/>
      <c r="BB1206" s="170"/>
      <c r="BC1206" s="170"/>
      <c r="BD1206" s="170"/>
      <c r="BE1206" s="137" t="s">
        <v>3012</v>
      </c>
      <c r="BF1206" s="137" t="s">
        <v>2938</v>
      </c>
      <c r="BG1206" s="139" t="s">
        <v>2939</v>
      </c>
      <c r="BH1206" s="220"/>
      <c r="BI1206" s="220"/>
      <c r="BJ1206" s="220"/>
      <c r="BK1206" s="46">
        <f t="shared" si="1"/>
        <v>1</v>
      </c>
      <c r="BL1206" s="46"/>
      <c r="BM1206" s="46"/>
      <c r="BN1206" s="46"/>
    </row>
    <row r="1207" spans="1:66" ht="12.75" hidden="1" customHeight="1">
      <c r="A1207" s="22">
        <v>1205</v>
      </c>
      <c r="B1207" s="22" t="s">
        <v>3015</v>
      </c>
      <c r="C1207" s="22" t="str">
        <f t="shared" si="0"/>
        <v>Reason Flu dose not done</v>
      </c>
      <c r="D1207" s="24" t="s">
        <v>3015</v>
      </c>
      <c r="E1207" s="22" t="s">
        <v>96</v>
      </c>
      <c r="F1207" s="24" t="s">
        <v>1787</v>
      </c>
      <c r="G1207" s="24" t="s">
        <v>3008</v>
      </c>
      <c r="H1207" s="24"/>
      <c r="I1207" s="24">
        <v>1</v>
      </c>
      <c r="J1207" s="24" t="s">
        <v>2372</v>
      </c>
      <c r="K1207" s="24"/>
      <c r="L1207" s="24"/>
      <c r="M1207" s="24"/>
      <c r="N1207" s="24"/>
      <c r="O1207" s="24"/>
      <c r="P1207" s="170"/>
      <c r="Q1207" s="170"/>
      <c r="R1207" s="169" t="s">
        <v>1376</v>
      </c>
      <c r="S1207" s="164" t="s">
        <v>3016</v>
      </c>
      <c r="T1207" s="164" t="s">
        <v>3017</v>
      </c>
      <c r="U1207" s="164" t="s">
        <v>202</v>
      </c>
      <c r="V1207" s="163"/>
      <c r="W1207" s="163"/>
      <c r="X1207" s="164"/>
      <c r="Y1207" s="164"/>
      <c r="Z1207" s="164"/>
      <c r="AA1207" s="170"/>
      <c r="AB1207" s="164" t="s">
        <v>113</v>
      </c>
      <c r="AC1207" s="251"/>
      <c r="AD1207" s="170"/>
      <c r="AE1207" s="225"/>
      <c r="AF1207" s="170"/>
      <c r="AG1207" s="170"/>
      <c r="AH1207" s="251"/>
      <c r="AI1207" s="170"/>
      <c r="AJ1207" s="164" t="s">
        <v>115</v>
      </c>
      <c r="AK1207" s="22"/>
      <c r="AL1207" s="170"/>
      <c r="AM1207" s="170"/>
      <c r="AN1207" s="170"/>
      <c r="AO1207" s="170"/>
      <c r="AP1207" s="170"/>
      <c r="AQ1207" s="22"/>
      <c r="AR1207" s="22"/>
      <c r="AS1207" s="22"/>
      <c r="AT1207" s="170"/>
      <c r="AU1207" s="170"/>
      <c r="AV1207" s="170"/>
      <c r="AW1207" s="170"/>
      <c r="AX1207" s="170"/>
      <c r="AY1207" s="170"/>
      <c r="AZ1207" s="170"/>
      <c r="BA1207" s="170"/>
      <c r="BB1207" s="170"/>
      <c r="BC1207" s="170"/>
      <c r="BD1207" s="170"/>
      <c r="BE1207" s="137" t="s">
        <v>3012</v>
      </c>
      <c r="BF1207" s="137" t="s">
        <v>2959</v>
      </c>
      <c r="BG1207" s="139" t="s">
        <v>2960</v>
      </c>
      <c r="BH1207" s="220"/>
      <c r="BI1207" s="220"/>
      <c r="BJ1207" s="220"/>
      <c r="BK1207" s="46">
        <f t="shared" si="1"/>
        <v>1</v>
      </c>
      <c r="BL1207" s="46"/>
      <c r="BM1207" s="46"/>
      <c r="BN1207" s="46"/>
    </row>
    <row r="1208" spans="1:66" ht="12.75" hidden="1" customHeight="1">
      <c r="A1208" s="22">
        <v>1206</v>
      </c>
      <c r="B1208" s="22" t="s">
        <v>4492</v>
      </c>
      <c r="C1208" s="22" t="e">
        <f t="shared" ca="1" si="0"/>
        <v>#NAME?</v>
      </c>
      <c r="D1208" s="24" t="s">
        <v>2961</v>
      </c>
      <c r="E1208" s="22" t="s">
        <v>180</v>
      </c>
      <c r="F1208" s="24" t="s">
        <v>3015</v>
      </c>
      <c r="G1208" s="24" t="s">
        <v>3008</v>
      </c>
      <c r="H1208" s="24"/>
      <c r="I1208" s="24">
        <v>1</v>
      </c>
      <c r="J1208" s="24" t="s">
        <v>2372</v>
      </c>
      <c r="K1208" s="24"/>
      <c r="L1208" s="24"/>
      <c r="M1208" s="24"/>
      <c r="N1208" s="24"/>
      <c r="O1208" s="24"/>
      <c r="P1208" s="170"/>
      <c r="Q1208" s="170"/>
      <c r="R1208" s="247"/>
      <c r="S1208" s="164"/>
      <c r="T1208" s="196"/>
      <c r="U1208" s="196"/>
      <c r="V1208" s="163"/>
      <c r="W1208" s="163" t="s">
        <v>2961</v>
      </c>
      <c r="X1208" s="196"/>
      <c r="Y1208" s="196"/>
      <c r="Z1208" s="196"/>
      <c r="AA1208" s="170"/>
      <c r="AB1208" s="196"/>
      <c r="AC1208" s="251"/>
      <c r="AD1208" s="170"/>
      <c r="AE1208" s="225"/>
      <c r="AF1208" s="170"/>
      <c r="AG1208" s="170"/>
      <c r="AH1208" s="251"/>
      <c r="AI1208" s="170"/>
      <c r="AJ1208" s="196"/>
      <c r="AK1208" s="22"/>
      <c r="AL1208" s="170"/>
      <c r="AM1208" s="170"/>
      <c r="AN1208" s="170"/>
      <c r="AO1208" s="170"/>
      <c r="AP1208" s="170"/>
      <c r="AQ1208" s="22"/>
      <c r="AR1208" s="22"/>
      <c r="AS1208" s="22"/>
      <c r="AT1208" s="170"/>
      <c r="AU1208" s="170"/>
      <c r="AV1208" s="170"/>
      <c r="AW1208" s="170"/>
      <c r="AX1208" s="170"/>
      <c r="AY1208" s="170"/>
      <c r="AZ1208" s="170"/>
      <c r="BA1208" s="170"/>
      <c r="BB1208" s="170"/>
      <c r="BC1208" s="170"/>
      <c r="BD1208" s="170"/>
      <c r="BE1208" s="143" t="s">
        <v>115</v>
      </c>
      <c r="BF1208" s="143" t="s">
        <v>2637</v>
      </c>
      <c r="BG1208" s="167" t="s">
        <v>2638</v>
      </c>
      <c r="BH1208" s="220"/>
      <c r="BI1208" s="220"/>
      <c r="BJ1208" s="220"/>
      <c r="BK1208" s="46">
        <f t="shared" si="1"/>
        <v>1</v>
      </c>
      <c r="BL1208" s="46"/>
      <c r="BM1208" s="46"/>
      <c r="BN1208" s="46"/>
    </row>
    <row r="1209" spans="1:66" ht="12.75" hidden="1" customHeight="1">
      <c r="A1209" s="22">
        <v>1207</v>
      </c>
      <c r="B1209" s="22" t="s">
        <v>4495</v>
      </c>
      <c r="C1209" s="22" t="e">
        <f t="shared" ca="1" si="0"/>
        <v>#NAME?</v>
      </c>
      <c r="D1209" s="24" t="s">
        <v>2962</v>
      </c>
      <c r="E1209" s="22" t="s">
        <v>180</v>
      </c>
      <c r="F1209" s="24" t="s">
        <v>3015</v>
      </c>
      <c r="G1209" s="24" t="s">
        <v>3008</v>
      </c>
      <c r="H1209" s="24"/>
      <c r="I1209" s="24">
        <v>1</v>
      </c>
      <c r="J1209" s="24" t="s">
        <v>2372</v>
      </c>
      <c r="K1209" s="24"/>
      <c r="L1209" s="24"/>
      <c r="M1209" s="24"/>
      <c r="N1209" s="24"/>
      <c r="O1209" s="24"/>
      <c r="P1209" s="170"/>
      <c r="Q1209" s="170"/>
      <c r="R1209" s="247"/>
      <c r="S1209" s="164"/>
      <c r="T1209" s="196"/>
      <c r="U1209" s="196"/>
      <c r="V1209" s="194"/>
      <c r="W1209" s="194" t="s">
        <v>2962</v>
      </c>
      <c r="X1209" s="196"/>
      <c r="Y1209" s="196"/>
      <c r="Z1209" s="196"/>
      <c r="AA1209" s="170"/>
      <c r="AB1209" s="196"/>
      <c r="AC1209" s="251"/>
      <c r="AD1209" s="170"/>
      <c r="AE1209" s="225"/>
      <c r="AF1209" s="170"/>
      <c r="AG1209" s="170"/>
      <c r="AH1209" s="251"/>
      <c r="AI1209" s="170"/>
      <c r="AJ1209" s="196"/>
      <c r="AK1209" s="22"/>
      <c r="AL1209" s="170"/>
      <c r="AM1209" s="170"/>
      <c r="AN1209" s="170"/>
      <c r="AO1209" s="170"/>
      <c r="AP1209" s="170"/>
      <c r="AQ1209" s="22"/>
      <c r="AR1209" s="22"/>
      <c r="AS1209" s="22"/>
      <c r="AT1209" s="170"/>
      <c r="AU1209" s="170"/>
      <c r="AV1209" s="170"/>
      <c r="AW1209" s="170"/>
      <c r="AX1209" s="170"/>
      <c r="AY1209" s="170"/>
      <c r="AZ1209" s="170"/>
      <c r="BA1209" s="170"/>
      <c r="BB1209" s="170"/>
      <c r="BC1209" s="170"/>
      <c r="BD1209" s="170"/>
      <c r="BE1209" s="143" t="s">
        <v>115</v>
      </c>
      <c r="BF1209" s="143" t="s">
        <v>2963</v>
      </c>
      <c r="BG1209" s="167" t="s">
        <v>2964</v>
      </c>
      <c r="BH1209" s="220"/>
      <c r="BI1209" s="220"/>
      <c r="BJ1209" s="220"/>
      <c r="BK1209" s="46">
        <f t="shared" si="1"/>
        <v>1</v>
      </c>
      <c r="BL1209" s="46"/>
      <c r="BM1209" s="46"/>
      <c r="BN1209" s="46"/>
    </row>
    <row r="1210" spans="1:66" ht="12.75" hidden="1" customHeight="1">
      <c r="A1210" s="22">
        <v>1208</v>
      </c>
      <c r="B1210" s="22" t="s">
        <v>3588</v>
      </c>
      <c r="C1210" s="22" t="e">
        <f t="shared" ca="1" si="0"/>
        <v>#NAME?</v>
      </c>
      <c r="D1210" s="24" t="s">
        <v>2383</v>
      </c>
      <c r="E1210" s="22" t="s">
        <v>180</v>
      </c>
      <c r="F1210" s="24" t="s">
        <v>3015</v>
      </c>
      <c r="G1210" s="24" t="s">
        <v>3008</v>
      </c>
      <c r="H1210" s="24"/>
      <c r="I1210" s="24">
        <v>1</v>
      </c>
      <c r="J1210" s="24" t="s">
        <v>2372</v>
      </c>
      <c r="K1210" s="24"/>
      <c r="L1210" s="24"/>
      <c r="M1210" s="24"/>
      <c r="N1210" s="24"/>
      <c r="O1210" s="24"/>
      <c r="P1210" s="170"/>
      <c r="Q1210" s="170"/>
      <c r="R1210" s="247"/>
      <c r="S1210" s="164"/>
      <c r="T1210" s="196"/>
      <c r="U1210" s="196"/>
      <c r="V1210" s="194"/>
      <c r="W1210" s="194" t="s">
        <v>2383</v>
      </c>
      <c r="X1210" s="196"/>
      <c r="Y1210" s="196"/>
      <c r="Z1210" s="196"/>
      <c r="AA1210" s="170"/>
      <c r="AB1210" s="196"/>
      <c r="AC1210" s="251"/>
      <c r="AD1210" s="170"/>
      <c r="AE1210" s="225"/>
      <c r="AF1210" s="170"/>
      <c r="AG1210" s="170"/>
      <c r="AH1210" s="251"/>
      <c r="AI1210" s="170"/>
      <c r="AJ1210" s="196"/>
      <c r="AK1210" s="22"/>
      <c r="AL1210" s="170"/>
      <c r="AM1210" s="170"/>
      <c r="AN1210" s="170"/>
      <c r="AO1210" s="170"/>
      <c r="AP1210" s="170"/>
      <c r="AQ1210" s="22"/>
      <c r="AR1210" s="22"/>
      <c r="AS1210" s="22"/>
      <c r="AT1210" s="170"/>
      <c r="AU1210" s="170"/>
      <c r="AV1210" s="170"/>
      <c r="AW1210" s="170"/>
      <c r="AX1210" s="170"/>
      <c r="AY1210" s="170"/>
      <c r="AZ1210" s="170"/>
      <c r="BA1210" s="170"/>
      <c r="BB1210" s="170"/>
      <c r="BC1210" s="170"/>
      <c r="BD1210" s="170"/>
      <c r="BE1210" s="143" t="s">
        <v>115</v>
      </c>
      <c r="BF1210" s="143" t="s">
        <v>2716</v>
      </c>
      <c r="BG1210" s="167" t="s">
        <v>2717</v>
      </c>
      <c r="BH1210" s="220"/>
      <c r="BI1210" s="220"/>
      <c r="BJ1210" s="220"/>
      <c r="BK1210" s="46">
        <f t="shared" si="1"/>
        <v>1</v>
      </c>
      <c r="BL1210" s="46"/>
      <c r="BM1210" s="46"/>
      <c r="BN1210" s="46"/>
    </row>
    <row r="1211" spans="1:66" ht="12.75" hidden="1" customHeight="1">
      <c r="A1211" s="22">
        <v>1209</v>
      </c>
      <c r="B1211" s="22" t="s">
        <v>4500</v>
      </c>
      <c r="C1211" s="22" t="e">
        <f t="shared" ca="1" si="0"/>
        <v>#NAME?</v>
      </c>
      <c r="D1211" s="24" t="s">
        <v>2965</v>
      </c>
      <c r="E1211" s="22" t="s">
        <v>180</v>
      </c>
      <c r="F1211" s="24" t="s">
        <v>3015</v>
      </c>
      <c r="G1211" s="24" t="s">
        <v>3008</v>
      </c>
      <c r="H1211" s="24"/>
      <c r="I1211" s="24">
        <v>1</v>
      </c>
      <c r="J1211" s="24" t="s">
        <v>2372</v>
      </c>
      <c r="K1211" s="24"/>
      <c r="L1211" s="24"/>
      <c r="M1211" s="24"/>
      <c r="N1211" s="24"/>
      <c r="O1211" s="24"/>
      <c r="P1211" s="170"/>
      <c r="Q1211" s="170"/>
      <c r="R1211" s="247"/>
      <c r="S1211" s="164"/>
      <c r="T1211" s="196"/>
      <c r="U1211" s="196"/>
      <c r="V1211" s="194"/>
      <c r="W1211" s="194" t="s">
        <v>2965</v>
      </c>
      <c r="X1211" s="196"/>
      <c r="Y1211" s="196"/>
      <c r="Z1211" s="196"/>
      <c r="AA1211" s="170"/>
      <c r="AB1211" s="196"/>
      <c r="AC1211" s="251"/>
      <c r="AD1211" s="170"/>
      <c r="AE1211" s="225"/>
      <c r="AF1211" s="170"/>
      <c r="AG1211" s="170"/>
      <c r="AH1211" s="251"/>
      <c r="AI1211" s="170"/>
      <c r="AJ1211" s="196"/>
      <c r="AK1211" s="22"/>
      <c r="AL1211" s="170"/>
      <c r="AM1211" s="170"/>
      <c r="AN1211" s="170"/>
      <c r="AO1211" s="170"/>
      <c r="AP1211" s="170"/>
      <c r="AQ1211" s="22"/>
      <c r="AR1211" s="22"/>
      <c r="AS1211" s="22"/>
      <c r="AT1211" s="170"/>
      <c r="AU1211" s="170"/>
      <c r="AV1211" s="170"/>
      <c r="AW1211" s="170"/>
      <c r="AX1211" s="170"/>
      <c r="AY1211" s="170"/>
      <c r="AZ1211" s="170"/>
      <c r="BA1211" s="170"/>
      <c r="BB1211" s="170"/>
      <c r="BC1211" s="170"/>
      <c r="BD1211" s="170"/>
      <c r="BE1211" s="143" t="s">
        <v>115</v>
      </c>
      <c r="BF1211" s="143" t="s">
        <v>2685</v>
      </c>
      <c r="BG1211" s="167" t="s">
        <v>2686</v>
      </c>
      <c r="BH1211" s="220"/>
      <c r="BI1211" s="220"/>
      <c r="BJ1211" s="220"/>
      <c r="BK1211" s="46">
        <f t="shared" si="1"/>
        <v>1</v>
      </c>
      <c r="BL1211" s="46"/>
      <c r="BM1211" s="46"/>
      <c r="BN1211" s="46"/>
    </row>
    <row r="1212" spans="1:66" ht="12.75" hidden="1" customHeight="1">
      <c r="A1212" s="22">
        <v>1210</v>
      </c>
      <c r="B1212" s="22" t="s">
        <v>535</v>
      </c>
      <c r="C1212" s="22" t="e">
        <f t="shared" ca="1" si="0"/>
        <v>#NAME?</v>
      </c>
      <c r="D1212" s="24" t="s">
        <v>405</v>
      </c>
      <c r="E1212" s="22" t="s">
        <v>180</v>
      </c>
      <c r="F1212" s="24" t="s">
        <v>3015</v>
      </c>
      <c r="G1212" s="24" t="s">
        <v>3008</v>
      </c>
      <c r="H1212" s="24"/>
      <c r="I1212" s="24">
        <v>1</v>
      </c>
      <c r="J1212" s="24" t="s">
        <v>2372</v>
      </c>
      <c r="K1212" s="24"/>
      <c r="L1212" s="24"/>
      <c r="M1212" s="24"/>
      <c r="N1212" s="24"/>
      <c r="O1212" s="24"/>
      <c r="P1212" s="170"/>
      <c r="Q1212" s="170"/>
      <c r="R1212" s="247"/>
      <c r="S1212" s="164"/>
      <c r="T1212" s="196"/>
      <c r="U1212" s="196"/>
      <c r="V1212" s="194"/>
      <c r="W1212" s="194" t="s">
        <v>405</v>
      </c>
      <c r="X1212" s="196"/>
      <c r="Y1212" s="196"/>
      <c r="Z1212" s="196"/>
      <c r="AA1212" s="170"/>
      <c r="AB1212" s="196"/>
      <c r="AC1212" s="251"/>
      <c r="AD1212" s="170"/>
      <c r="AE1212" s="225"/>
      <c r="AF1212" s="170"/>
      <c r="AG1212" s="170"/>
      <c r="AH1212" s="251"/>
      <c r="AI1212" s="170"/>
      <c r="AJ1212" s="196"/>
      <c r="AK1212" s="22"/>
      <c r="AL1212" s="170"/>
      <c r="AM1212" s="170"/>
      <c r="AN1212" s="170"/>
      <c r="AO1212" s="170"/>
      <c r="AP1212" s="170"/>
      <c r="AQ1212" s="22"/>
      <c r="AR1212" s="22"/>
      <c r="AS1212" s="22"/>
      <c r="AT1212" s="170"/>
      <c r="AU1212" s="170"/>
      <c r="AV1212" s="170"/>
      <c r="AW1212" s="170"/>
      <c r="AX1212" s="170"/>
      <c r="AY1212" s="170"/>
      <c r="AZ1212" s="170"/>
      <c r="BA1212" s="170"/>
      <c r="BB1212" s="170"/>
      <c r="BC1212" s="170"/>
      <c r="BD1212" s="170"/>
      <c r="BE1212" s="143" t="s">
        <v>115</v>
      </c>
      <c r="BF1212" s="143" t="s">
        <v>406</v>
      </c>
      <c r="BG1212" s="167" t="s">
        <v>407</v>
      </c>
      <c r="BH1212" s="220"/>
      <c r="BI1212" s="220"/>
      <c r="BJ1212" s="220"/>
      <c r="BK1212" s="46">
        <f t="shared" si="1"/>
        <v>1</v>
      </c>
      <c r="BL1212" s="46"/>
      <c r="BM1212" s="46"/>
      <c r="BN1212" s="46"/>
    </row>
    <row r="1213" spans="1:66" ht="12.75" hidden="1" customHeight="1">
      <c r="A1213" s="22">
        <v>1211</v>
      </c>
      <c r="B1213" s="22" t="s">
        <v>3018</v>
      </c>
      <c r="C1213" s="22" t="str">
        <f t="shared" si="0"/>
        <v>Specify - Reason Flu dose not done</v>
      </c>
      <c r="D1213" s="24" t="s">
        <v>3018</v>
      </c>
      <c r="E1213" s="22" t="s">
        <v>96</v>
      </c>
      <c r="F1213" s="24" t="s">
        <v>1787</v>
      </c>
      <c r="G1213" s="24" t="s">
        <v>3008</v>
      </c>
      <c r="H1213" s="24"/>
      <c r="I1213" s="24">
        <v>1</v>
      </c>
      <c r="J1213" s="24" t="s">
        <v>2372</v>
      </c>
      <c r="K1213" s="24"/>
      <c r="L1213" s="24"/>
      <c r="M1213" s="24"/>
      <c r="N1213" s="24"/>
      <c r="O1213" s="24"/>
      <c r="P1213" s="170"/>
      <c r="Q1213" s="170"/>
      <c r="R1213" s="247" t="s">
        <v>409</v>
      </c>
      <c r="S1213" s="164" t="s">
        <v>3019</v>
      </c>
      <c r="T1213" s="196" t="s">
        <v>2641</v>
      </c>
      <c r="U1213" s="196" t="s">
        <v>111</v>
      </c>
      <c r="V1213" s="194"/>
      <c r="W1213" s="194"/>
      <c r="X1213" s="196"/>
      <c r="Y1213" s="196"/>
      <c r="Z1213" s="196"/>
      <c r="AA1213" s="170"/>
      <c r="AB1213" s="196" t="s">
        <v>208</v>
      </c>
      <c r="AC1213" s="251"/>
      <c r="AD1213" s="170"/>
      <c r="AE1213" s="225"/>
      <c r="AF1213" s="170"/>
      <c r="AG1213" s="170"/>
      <c r="AH1213" s="251"/>
      <c r="AI1213" s="170"/>
      <c r="AJ1213" s="196" t="s">
        <v>115</v>
      </c>
      <c r="AK1213" s="22"/>
      <c r="AL1213" s="170"/>
      <c r="AM1213" s="170"/>
      <c r="AN1213" s="170"/>
      <c r="AO1213" s="170"/>
      <c r="AP1213" s="170"/>
      <c r="AQ1213" s="22"/>
      <c r="AR1213" s="22"/>
      <c r="AS1213" s="22"/>
      <c r="AT1213" s="170"/>
      <c r="AU1213" s="170"/>
      <c r="AV1213" s="170"/>
      <c r="AW1213" s="170"/>
      <c r="AX1213" s="170"/>
      <c r="AY1213" s="170"/>
      <c r="AZ1213" s="170"/>
      <c r="BA1213" s="170"/>
      <c r="BB1213" s="170"/>
      <c r="BC1213" s="170"/>
      <c r="BD1213" s="170"/>
      <c r="BE1213" s="137" t="s">
        <v>3012</v>
      </c>
      <c r="BF1213" s="137" t="s">
        <v>2968</v>
      </c>
      <c r="BG1213" s="139" t="s">
        <v>2969</v>
      </c>
      <c r="BH1213" s="220"/>
      <c r="BI1213" s="220"/>
      <c r="BJ1213" s="220"/>
      <c r="BK1213" s="46">
        <f t="shared" si="1"/>
        <v>1</v>
      </c>
      <c r="BL1213" s="46"/>
      <c r="BM1213" s="46"/>
      <c r="BN1213" s="46"/>
    </row>
    <row r="1214" spans="1:66" ht="12.75" hidden="1" customHeight="1">
      <c r="A1214" s="22">
        <v>1212</v>
      </c>
      <c r="B1214" s="22" t="s">
        <v>3020</v>
      </c>
      <c r="C1214" s="22" t="str">
        <f t="shared" si="0"/>
        <v>Prescribe daily calcium supplementation (1.5–2.0 g oral elemental calcium)</v>
      </c>
      <c r="D1214" s="24" t="s">
        <v>3020</v>
      </c>
      <c r="E1214" s="22" t="s">
        <v>96</v>
      </c>
      <c r="F1214" s="24" t="s">
        <v>1787</v>
      </c>
      <c r="G1214" s="24" t="s">
        <v>3021</v>
      </c>
      <c r="H1214" s="24"/>
      <c r="I1214" s="24">
        <v>1</v>
      </c>
      <c r="J1214" s="24" t="s">
        <v>2372</v>
      </c>
      <c r="K1214" s="24"/>
      <c r="L1214" s="24"/>
      <c r="M1214" s="24"/>
      <c r="N1214" s="24"/>
      <c r="O1214" s="24"/>
      <c r="P1214" s="170"/>
      <c r="Q1214" s="170"/>
      <c r="R1214" s="162" t="s">
        <v>3020</v>
      </c>
      <c r="S1214" s="164" t="s">
        <v>3022</v>
      </c>
      <c r="T1214" s="164"/>
      <c r="U1214" s="164" t="s">
        <v>202</v>
      </c>
      <c r="V1214" s="193"/>
      <c r="W1214" s="194"/>
      <c r="X1214" s="164"/>
      <c r="Y1214" s="164"/>
      <c r="Z1214" s="164"/>
      <c r="AA1214" s="170"/>
      <c r="AB1214" s="164" t="s">
        <v>113</v>
      </c>
      <c r="AC1214" s="251"/>
      <c r="AD1214" s="170"/>
      <c r="AE1214" s="225"/>
      <c r="AF1214" s="170"/>
      <c r="AG1214" s="170"/>
      <c r="AH1214" s="251"/>
      <c r="AI1214" s="170"/>
      <c r="AJ1214" s="194" t="s">
        <v>3023</v>
      </c>
      <c r="AK1214" s="22"/>
      <c r="AL1214" s="170"/>
      <c r="AM1214" s="170"/>
      <c r="AN1214" s="170"/>
      <c r="AO1214" s="170"/>
      <c r="AP1214" s="170"/>
      <c r="AQ1214" s="22"/>
      <c r="AR1214" s="22"/>
      <c r="AS1214" s="22"/>
      <c r="AT1214" s="170"/>
      <c r="AU1214" s="170"/>
      <c r="AV1214" s="170"/>
      <c r="AW1214" s="170"/>
      <c r="AX1214" s="170"/>
      <c r="AY1214" s="170"/>
      <c r="AZ1214" s="170"/>
      <c r="BA1214" s="170"/>
      <c r="BB1214" s="170"/>
      <c r="BC1214" s="170"/>
      <c r="BD1214" s="170"/>
      <c r="BE1214" s="137" t="s">
        <v>3024</v>
      </c>
      <c r="BF1214" s="137" t="s">
        <v>2630</v>
      </c>
      <c r="BG1214" s="139" t="s">
        <v>2631</v>
      </c>
      <c r="BH1214" s="220"/>
      <c r="BI1214" s="220"/>
      <c r="BJ1214" s="220"/>
      <c r="BK1214" s="46">
        <f t="shared" si="1"/>
        <v>1</v>
      </c>
      <c r="BL1214" s="46"/>
      <c r="BM1214" s="46"/>
      <c r="BN1214" s="46"/>
    </row>
    <row r="1215" spans="1:66" ht="12.75" hidden="1" customHeight="1">
      <c r="A1215" s="22">
        <v>1213</v>
      </c>
      <c r="B1215" s="22" t="s">
        <v>2527</v>
      </c>
      <c r="C1215" s="22" t="e">
        <f t="shared" ca="1" si="0"/>
        <v>#NAME?</v>
      </c>
      <c r="D1215" s="24" t="s">
        <v>1673</v>
      </c>
      <c r="E1215" s="22" t="s">
        <v>180</v>
      </c>
      <c r="F1215" s="24" t="s">
        <v>3020</v>
      </c>
      <c r="G1215" s="24" t="s">
        <v>3021</v>
      </c>
      <c r="H1215" s="24"/>
      <c r="I1215" s="24">
        <v>1</v>
      </c>
      <c r="J1215" s="24" t="s">
        <v>2372</v>
      </c>
      <c r="K1215" s="24"/>
      <c r="L1215" s="24"/>
      <c r="M1215" s="24"/>
      <c r="N1215" s="24"/>
      <c r="O1215" s="24"/>
      <c r="P1215" s="170"/>
      <c r="Q1215" s="170"/>
      <c r="R1215" s="169"/>
      <c r="S1215" s="164"/>
      <c r="T1215" s="164"/>
      <c r="U1215" s="164"/>
      <c r="V1215" s="193"/>
      <c r="W1215" s="194" t="s">
        <v>1673</v>
      </c>
      <c r="X1215" s="164"/>
      <c r="Y1215" s="164"/>
      <c r="Z1215" s="164"/>
      <c r="AA1215" s="170"/>
      <c r="AB1215" s="164"/>
      <c r="AC1215" s="251"/>
      <c r="AD1215" s="170"/>
      <c r="AE1215" s="225"/>
      <c r="AF1215" s="170"/>
      <c r="AG1215" s="170"/>
      <c r="AH1215" s="251"/>
      <c r="AI1215" s="170"/>
      <c r="AJ1215" s="164"/>
      <c r="AK1215" s="22"/>
      <c r="AL1215" s="170"/>
      <c r="AM1215" s="170"/>
      <c r="AN1215" s="170"/>
      <c r="AO1215" s="170"/>
      <c r="AP1215" s="170"/>
      <c r="AQ1215" s="22"/>
      <c r="AR1215" s="22"/>
      <c r="AS1215" s="22"/>
      <c r="AT1215" s="170"/>
      <c r="AU1215" s="170"/>
      <c r="AV1215" s="170"/>
      <c r="AW1215" s="170"/>
      <c r="AX1215" s="170"/>
      <c r="AY1215" s="170"/>
      <c r="AZ1215" s="170"/>
      <c r="BA1215" s="170"/>
      <c r="BB1215" s="170"/>
      <c r="BC1215" s="170"/>
      <c r="BD1215" s="170"/>
      <c r="BE1215" s="137" t="s">
        <v>115</v>
      </c>
      <c r="BF1215" s="137" t="s">
        <v>942</v>
      </c>
      <c r="BG1215" s="167" t="s">
        <v>943</v>
      </c>
      <c r="BH1215" s="220"/>
      <c r="BI1215" s="220"/>
      <c r="BJ1215" s="220"/>
      <c r="BK1215" s="46">
        <f t="shared" si="1"/>
        <v>1</v>
      </c>
      <c r="BL1215" s="46"/>
      <c r="BM1215" s="46"/>
      <c r="BN1215" s="46"/>
    </row>
    <row r="1216" spans="1:66" ht="12.75" hidden="1" customHeight="1">
      <c r="A1216" s="22">
        <v>1214</v>
      </c>
      <c r="B1216" s="22" t="s">
        <v>2118</v>
      </c>
      <c r="C1216" s="22" t="e">
        <f t="shared" ca="1" si="0"/>
        <v>#NAME?</v>
      </c>
      <c r="D1216" s="24" t="s">
        <v>1468</v>
      </c>
      <c r="E1216" s="22" t="s">
        <v>180</v>
      </c>
      <c r="F1216" s="24" t="s">
        <v>3020</v>
      </c>
      <c r="G1216" s="24" t="s">
        <v>3021</v>
      </c>
      <c r="H1216" s="24"/>
      <c r="I1216" s="24">
        <v>1</v>
      </c>
      <c r="J1216" s="24" t="s">
        <v>2372</v>
      </c>
      <c r="K1216" s="24"/>
      <c r="L1216" s="24"/>
      <c r="M1216" s="24"/>
      <c r="N1216" s="24"/>
      <c r="O1216" s="24"/>
      <c r="P1216" s="170"/>
      <c r="Q1216" s="170"/>
      <c r="R1216" s="169"/>
      <c r="S1216" s="164"/>
      <c r="T1216" s="164"/>
      <c r="U1216" s="164"/>
      <c r="V1216" s="163"/>
      <c r="W1216" s="163" t="s">
        <v>1468</v>
      </c>
      <c r="X1216" s="164"/>
      <c r="Y1216" s="164"/>
      <c r="Z1216" s="164"/>
      <c r="AA1216" s="170"/>
      <c r="AB1216" s="164"/>
      <c r="AC1216" s="251"/>
      <c r="AD1216" s="170"/>
      <c r="AE1216" s="225"/>
      <c r="AF1216" s="170"/>
      <c r="AG1216" s="170"/>
      <c r="AH1216" s="251"/>
      <c r="AI1216" s="170"/>
      <c r="AJ1216" s="164"/>
      <c r="AK1216" s="22"/>
      <c r="AL1216" s="170"/>
      <c r="AM1216" s="170"/>
      <c r="AN1216" s="170"/>
      <c r="AO1216" s="170"/>
      <c r="AP1216" s="170"/>
      <c r="AQ1216" s="22"/>
      <c r="AR1216" s="22"/>
      <c r="AS1216" s="22"/>
      <c r="AT1216" s="170"/>
      <c r="AU1216" s="170"/>
      <c r="AV1216" s="170"/>
      <c r="AW1216" s="170"/>
      <c r="AX1216" s="170"/>
      <c r="AY1216" s="170"/>
      <c r="AZ1216" s="170"/>
      <c r="BA1216" s="170"/>
      <c r="BB1216" s="170"/>
      <c r="BC1216" s="170"/>
      <c r="BD1216" s="170"/>
      <c r="BE1216" s="137" t="s">
        <v>115</v>
      </c>
      <c r="BF1216" s="137" t="s">
        <v>1469</v>
      </c>
      <c r="BG1216" s="167" t="s">
        <v>1470</v>
      </c>
      <c r="BH1216" s="220"/>
      <c r="BI1216" s="220"/>
      <c r="BJ1216" s="220"/>
      <c r="BK1216" s="46">
        <f t="shared" si="1"/>
        <v>1</v>
      </c>
      <c r="BL1216" s="46"/>
      <c r="BM1216" s="46"/>
      <c r="BN1216" s="46"/>
    </row>
    <row r="1217" spans="1:66" ht="12.75" hidden="1" customHeight="1">
      <c r="A1217" s="22">
        <v>1215</v>
      </c>
      <c r="B1217" s="22" t="s">
        <v>3025</v>
      </c>
      <c r="C1217" s="22" t="str">
        <f t="shared" si="0"/>
        <v>Reason Prescribe daily calcium supplementation (1.5–2.0 g oral elemental calcium) not done</v>
      </c>
      <c r="D1217" s="24" t="s">
        <v>3025</v>
      </c>
      <c r="E1217" s="22" t="s">
        <v>96</v>
      </c>
      <c r="F1217" s="24" t="s">
        <v>1787</v>
      </c>
      <c r="G1217" s="24" t="s">
        <v>3021</v>
      </c>
      <c r="H1217" s="24"/>
      <c r="I1217" s="24">
        <v>1</v>
      </c>
      <c r="J1217" s="24" t="s">
        <v>2372</v>
      </c>
      <c r="K1217" s="24"/>
      <c r="L1217" s="24"/>
      <c r="M1217" s="24"/>
      <c r="N1217" s="24"/>
      <c r="O1217" s="24"/>
      <c r="P1217" s="170"/>
      <c r="Q1217" s="170"/>
      <c r="R1217" s="169" t="s">
        <v>1376</v>
      </c>
      <c r="S1217" s="164" t="s">
        <v>3026</v>
      </c>
      <c r="T1217" s="164" t="s">
        <v>3027</v>
      </c>
      <c r="U1217" s="164" t="s">
        <v>238</v>
      </c>
      <c r="V1217" s="163"/>
      <c r="W1217" s="163"/>
      <c r="X1217" s="164"/>
      <c r="Y1217" s="164"/>
      <c r="Z1217" s="164"/>
      <c r="AA1217" s="170"/>
      <c r="AB1217" s="164" t="s">
        <v>113</v>
      </c>
      <c r="AC1217" s="251"/>
      <c r="AD1217" s="170"/>
      <c r="AE1217" s="225"/>
      <c r="AF1217" s="170"/>
      <c r="AG1217" s="170"/>
      <c r="AH1217" s="251"/>
      <c r="AI1217" s="170"/>
      <c r="AJ1217" s="164" t="s">
        <v>115</v>
      </c>
      <c r="AK1217" s="22"/>
      <c r="AL1217" s="170"/>
      <c r="AM1217" s="170"/>
      <c r="AN1217" s="170"/>
      <c r="AO1217" s="170"/>
      <c r="AP1217" s="170"/>
      <c r="AQ1217" s="22"/>
      <c r="AR1217" s="22"/>
      <c r="AS1217" s="22"/>
      <c r="AT1217" s="170"/>
      <c r="AU1217" s="170"/>
      <c r="AV1217" s="170"/>
      <c r="AW1217" s="170"/>
      <c r="AX1217" s="170"/>
      <c r="AY1217" s="170"/>
      <c r="AZ1217" s="170"/>
      <c r="BA1217" s="170"/>
      <c r="BB1217" s="170"/>
      <c r="BC1217" s="170"/>
      <c r="BD1217" s="170"/>
      <c r="BE1217" s="137" t="s">
        <v>3024</v>
      </c>
      <c r="BF1217" s="137" t="s">
        <v>2635</v>
      </c>
      <c r="BG1217" s="139" t="s">
        <v>2636</v>
      </c>
      <c r="BH1217" s="220"/>
      <c r="BI1217" s="220"/>
      <c r="BJ1217" s="220"/>
      <c r="BK1217" s="46">
        <f t="shared" si="1"/>
        <v>1</v>
      </c>
      <c r="BL1217" s="46"/>
      <c r="BM1217" s="46"/>
      <c r="BN1217" s="46"/>
    </row>
    <row r="1218" spans="1:66" ht="12.75" hidden="1" customHeight="1">
      <c r="A1218" s="22">
        <v>1216</v>
      </c>
      <c r="B1218" s="22" t="s">
        <v>3616</v>
      </c>
      <c r="C1218" s="22" t="e">
        <f t="shared" ca="1" si="0"/>
        <v>#NAME?</v>
      </c>
      <c r="D1218" s="24" t="s">
        <v>2405</v>
      </c>
      <c r="E1218" s="22" t="s">
        <v>180</v>
      </c>
      <c r="F1218" s="24" t="s">
        <v>3025</v>
      </c>
      <c r="G1218" s="24" t="s">
        <v>3021</v>
      </c>
      <c r="H1218" s="24"/>
      <c r="I1218" s="24">
        <v>1</v>
      </c>
      <c r="J1218" s="24" t="s">
        <v>2372</v>
      </c>
      <c r="K1218" s="24"/>
      <c r="L1218" s="24"/>
      <c r="M1218" s="24"/>
      <c r="N1218" s="24"/>
      <c r="O1218" s="24"/>
      <c r="P1218" s="170"/>
      <c r="Q1218" s="170"/>
      <c r="R1218" s="247"/>
      <c r="S1218" s="164"/>
      <c r="T1218" s="196"/>
      <c r="U1218" s="196"/>
      <c r="V1218" s="163"/>
      <c r="W1218" s="163" t="s">
        <v>2405</v>
      </c>
      <c r="X1218" s="196"/>
      <c r="Y1218" s="196"/>
      <c r="Z1218" s="196"/>
      <c r="AA1218" s="170"/>
      <c r="AB1218" s="196"/>
      <c r="AC1218" s="251"/>
      <c r="AD1218" s="170"/>
      <c r="AE1218" s="225"/>
      <c r="AF1218" s="170"/>
      <c r="AG1218" s="170"/>
      <c r="AH1218" s="251"/>
      <c r="AI1218" s="170"/>
      <c r="AJ1218" s="196"/>
      <c r="AK1218" s="22"/>
      <c r="AL1218" s="170"/>
      <c r="AM1218" s="170"/>
      <c r="AN1218" s="170"/>
      <c r="AO1218" s="170"/>
      <c r="AP1218" s="170"/>
      <c r="AQ1218" s="22"/>
      <c r="AR1218" s="22"/>
      <c r="AS1218" s="22"/>
      <c r="AT1218" s="170"/>
      <c r="AU1218" s="170"/>
      <c r="AV1218" s="170"/>
      <c r="AW1218" s="170"/>
      <c r="AX1218" s="170"/>
      <c r="AY1218" s="170"/>
      <c r="AZ1218" s="170"/>
      <c r="BA1218" s="170"/>
      <c r="BB1218" s="170"/>
      <c r="BC1218" s="170"/>
      <c r="BD1218" s="170"/>
      <c r="BE1218" s="137" t="s">
        <v>115</v>
      </c>
      <c r="BF1218" s="143" t="s">
        <v>2406</v>
      </c>
      <c r="BG1218" s="139" t="s">
        <v>2407</v>
      </c>
      <c r="BH1218" s="220"/>
      <c r="BI1218" s="220"/>
      <c r="BJ1218" s="220"/>
      <c r="BK1218" s="46">
        <f t="shared" si="1"/>
        <v>1</v>
      </c>
      <c r="BL1218" s="46"/>
      <c r="BM1218" s="46"/>
      <c r="BN1218" s="46"/>
    </row>
    <row r="1219" spans="1:66" ht="12.75" hidden="1" customHeight="1">
      <c r="A1219" s="22">
        <v>1217</v>
      </c>
      <c r="B1219" s="22" t="s">
        <v>535</v>
      </c>
      <c r="C1219" s="22" t="e">
        <f t="shared" ca="1" si="0"/>
        <v>#NAME?</v>
      </c>
      <c r="D1219" s="24" t="s">
        <v>405</v>
      </c>
      <c r="E1219" s="22" t="s">
        <v>180</v>
      </c>
      <c r="F1219" s="24" t="s">
        <v>3025</v>
      </c>
      <c r="G1219" s="24" t="s">
        <v>3021</v>
      </c>
      <c r="H1219" s="24"/>
      <c r="I1219" s="24">
        <v>1</v>
      </c>
      <c r="J1219" s="24" t="s">
        <v>2372</v>
      </c>
      <c r="K1219" s="24"/>
      <c r="L1219" s="24"/>
      <c r="M1219" s="24"/>
      <c r="N1219" s="24"/>
      <c r="O1219" s="24"/>
      <c r="P1219" s="170"/>
      <c r="Q1219" s="170"/>
      <c r="R1219" s="247"/>
      <c r="S1219" s="164"/>
      <c r="T1219" s="196"/>
      <c r="U1219" s="196"/>
      <c r="V1219" s="194"/>
      <c r="W1219" s="194" t="s">
        <v>405</v>
      </c>
      <c r="X1219" s="196"/>
      <c r="Y1219" s="196"/>
      <c r="Z1219" s="196"/>
      <c r="AA1219" s="170"/>
      <c r="AB1219" s="196"/>
      <c r="AC1219" s="251"/>
      <c r="AD1219" s="170"/>
      <c r="AE1219" s="225"/>
      <c r="AF1219" s="170"/>
      <c r="AG1219" s="170"/>
      <c r="AH1219" s="251"/>
      <c r="AI1219" s="170"/>
      <c r="AJ1219" s="196"/>
      <c r="AK1219" s="22"/>
      <c r="AL1219" s="170"/>
      <c r="AM1219" s="170"/>
      <c r="AN1219" s="170"/>
      <c r="AO1219" s="170"/>
      <c r="AP1219" s="170"/>
      <c r="AQ1219" s="22"/>
      <c r="AR1219" s="22"/>
      <c r="AS1219" s="22"/>
      <c r="AT1219" s="170"/>
      <c r="AU1219" s="170"/>
      <c r="AV1219" s="170"/>
      <c r="AW1219" s="170"/>
      <c r="AX1219" s="170"/>
      <c r="AY1219" s="170"/>
      <c r="AZ1219" s="170"/>
      <c r="BA1219" s="170"/>
      <c r="BB1219" s="170"/>
      <c r="BC1219" s="170"/>
      <c r="BD1219" s="170"/>
      <c r="BE1219" s="137" t="s">
        <v>115</v>
      </c>
      <c r="BF1219" s="143" t="s">
        <v>406</v>
      </c>
      <c r="BG1219" s="139" t="s">
        <v>407</v>
      </c>
      <c r="BH1219" s="220"/>
      <c r="BI1219" s="220"/>
      <c r="BJ1219" s="220"/>
      <c r="BK1219" s="46">
        <f t="shared" si="1"/>
        <v>1</v>
      </c>
      <c r="BL1219" s="46"/>
      <c r="BM1219" s="46"/>
      <c r="BN1219" s="46"/>
    </row>
    <row r="1220" spans="1:66" ht="12.75" hidden="1" customHeight="1">
      <c r="A1220" s="22">
        <v>1218</v>
      </c>
      <c r="B1220" s="22" t="s">
        <v>3028</v>
      </c>
      <c r="C1220" s="22" t="str">
        <f t="shared" si="0"/>
        <v>Specify - Reason Prescribe daily calcium supplementation (1.5–2.0 g oral elemental calcium) not done</v>
      </c>
      <c r="D1220" s="24" t="s">
        <v>3028</v>
      </c>
      <c r="E1220" s="22" t="s">
        <v>96</v>
      </c>
      <c r="F1220" s="24" t="s">
        <v>1787</v>
      </c>
      <c r="G1220" s="24" t="s">
        <v>3021</v>
      </c>
      <c r="H1220" s="24"/>
      <c r="I1220" s="24">
        <v>1</v>
      </c>
      <c r="J1220" s="24" t="s">
        <v>2372</v>
      </c>
      <c r="K1220" s="24"/>
      <c r="L1220" s="24"/>
      <c r="M1220" s="24"/>
      <c r="N1220" s="24"/>
      <c r="O1220" s="24"/>
      <c r="P1220" s="170"/>
      <c r="Q1220" s="170"/>
      <c r="R1220" s="247" t="s">
        <v>409</v>
      </c>
      <c r="S1220" s="164" t="s">
        <v>3029</v>
      </c>
      <c r="T1220" s="196" t="s">
        <v>2641</v>
      </c>
      <c r="U1220" s="196" t="s">
        <v>111</v>
      </c>
      <c r="V1220" s="194"/>
      <c r="W1220" s="194"/>
      <c r="X1220" s="196"/>
      <c r="Y1220" s="196"/>
      <c r="Z1220" s="196"/>
      <c r="AA1220" s="170"/>
      <c r="AB1220" s="196" t="s">
        <v>208</v>
      </c>
      <c r="AC1220" s="251"/>
      <c r="AD1220" s="170"/>
      <c r="AE1220" s="225"/>
      <c r="AF1220" s="170"/>
      <c r="AG1220" s="170"/>
      <c r="AH1220" s="251"/>
      <c r="AI1220" s="170"/>
      <c r="AJ1220" s="196" t="s">
        <v>115</v>
      </c>
      <c r="AK1220" s="22"/>
      <c r="AL1220" s="170"/>
      <c r="AM1220" s="170"/>
      <c r="AN1220" s="170"/>
      <c r="AO1220" s="170"/>
      <c r="AP1220" s="170"/>
      <c r="AQ1220" s="22"/>
      <c r="AR1220" s="22"/>
      <c r="AS1220" s="22"/>
      <c r="AT1220" s="170"/>
      <c r="AU1220" s="170"/>
      <c r="AV1220" s="170"/>
      <c r="AW1220" s="170"/>
      <c r="AX1220" s="170"/>
      <c r="AY1220" s="170"/>
      <c r="AZ1220" s="170"/>
      <c r="BA1220" s="170"/>
      <c r="BB1220" s="170"/>
      <c r="BC1220" s="170"/>
      <c r="BD1220" s="170"/>
      <c r="BE1220" s="137" t="s">
        <v>3024</v>
      </c>
      <c r="BF1220" s="137" t="s">
        <v>2642</v>
      </c>
      <c r="BG1220" s="139" t="s">
        <v>2643</v>
      </c>
      <c r="BH1220" s="220"/>
      <c r="BI1220" s="220"/>
      <c r="BJ1220" s="220"/>
      <c r="BK1220" s="46">
        <f t="shared" si="1"/>
        <v>1</v>
      </c>
      <c r="BL1220" s="46"/>
      <c r="BM1220" s="46"/>
      <c r="BN1220" s="46"/>
    </row>
    <row r="1221" spans="1:66" ht="12.75" hidden="1" customHeight="1">
      <c r="A1221" s="22">
        <v>1219</v>
      </c>
      <c r="B1221" s="22" t="s">
        <v>3030</v>
      </c>
      <c r="C1221" s="22" t="str">
        <f t="shared" si="0"/>
        <v>calcium</v>
      </c>
      <c r="D1221" s="24" t="s">
        <v>3030</v>
      </c>
      <c r="E1221" s="22" t="s">
        <v>65</v>
      </c>
      <c r="F1221" s="24" t="s">
        <v>1787</v>
      </c>
      <c r="G1221" s="24" t="s">
        <v>3021</v>
      </c>
      <c r="H1221" s="24"/>
      <c r="I1221" s="24">
        <v>1</v>
      </c>
      <c r="J1221" s="24" t="s">
        <v>2372</v>
      </c>
      <c r="K1221" s="24"/>
      <c r="L1221" s="24"/>
      <c r="M1221" s="24"/>
      <c r="N1221" s="24"/>
      <c r="O1221" s="24"/>
      <c r="P1221" s="170"/>
      <c r="Q1221" s="170"/>
      <c r="R1221" s="222" t="s">
        <v>115</v>
      </c>
      <c r="S1221" s="221" t="s">
        <v>3030</v>
      </c>
      <c r="T1221" s="221" t="s">
        <v>3031</v>
      </c>
      <c r="U1221" s="221" t="s">
        <v>65</v>
      </c>
      <c r="V1221" s="163"/>
      <c r="W1221" s="163"/>
      <c r="X1221" s="221" t="s">
        <v>3032</v>
      </c>
      <c r="Y1221" s="221"/>
      <c r="Z1221" s="164"/>
      <c r="AA1221" s="170"/>
      <c r="AB1221" s="221" t="s">
        <v>115</v>
      </c>
      <c r="AC1221" s="251"/>
      <c r="AD1221" s="170"/>
      <c r="AE1221" s="225"/>
      <c r="AF1221" s="170"/>
      <c r="AG1221" s="170"/>
      <c r="AH1221" s="251"/>
      <c r="AI1221" s="170"/>
      <c r="AJ1221" s="221" t="s">
        <v>115</v>
      </c>
      <c r="AK1221" s="22"/>
      <c r="AL1221" s="170"/>
      <c r="AM1221" s="170"/>
      <c r="AN1221" s="170"/>
      <c r="AO1221" s="170"/>
      <c r="AP1221" s="170"/>
      <c r="AQ1221" s="22"/>
      <c r="AR1221" s="22"/>
      <c r="AS1221" s="22"/>
      <c r="AT1221" s="170"/>
      <c r="AU1221" s="170"/>
      <c r="AV1221" s="170"/>
      <c r="AW1221" s="170"/>
      <c r="AX1221" s="170"/>
      <c r="AY1221" s="170"/>
      <c r="AZ1221" s="170"/>
      <c r="BA1221" s="170"/>
      <c r="BB1221" s="170"/>
      <c r="BC1221" s="170"/>
      <c r="BD1221" s="170"/>
      <c r="BE1221" s="137" t="s">
        <v>115</v>
      </c>
      <c r="BF1221" s="137" t="s">
        <v>115</v>
      </c>
      <c r="BG1221" s="139" t="s">
        <v>115</v>
      </c>
      <c r="BH1221" s="220"/>
      <c r="BI1221" s="220"/>
      <c r="BJ1221" s="220"/>
      <c r="BK1221" s="46">
        <f t="shared" si="1"/>
        <v>1</v>
      </c>
      <c r="BL1221" s="46"/>
      <c r="BM1221" s="46"/>
      <c r="BN1221" s="46"/>
    </row>
    <row r="1222" spans="1:66" ht="12.75" hidden="1" customHeight="1">
      <c r="A1222" s="22">
        <v>1220</v>
      </c>
      <c r="B1222" s="22" t="s">
        <v>3033</v>
      </c>
      <c r="C1222" s="22" t="str">
        <f t="shared" si="0"/>
        <v>Prescribe a daily dose of up to 10,000 IU vitamin A, or a weekly dose of up to 25,000 IU</v>
      </c>
      <c r="D1222" s="24" t="s">
        <v>3033</v>
      </c>
      <c r="E1222" s="22" t="s">
        <v>96</v>
      </c>
      <c r="F1222" s="24" t="s">
        <v>1787</v>
      </c>
      <c r="G1222" s="24" t="s">
        <v>3034</v>
      </c>
      <c r="H1222" s="24"/>
      <c r="I1222" s="24">
        <v>1</v>
      </c>
      <c r="J1222" s="24" t="s">
        <v>2372</v>
      </c>
      <c r="K1222" s="24"/>
      <c r="L1222" s="24"/>
      <c r="M1222" s="24"/>
      <c r="N1222" s="24"/>
      <c r="O1222" s="24"/>
      <c r="P1222" s="170"/>
      <c r="Q1222" s="170"/>
      <c r="R1222" s="162" t="s">
        <v>3033</v>
      </c>
      <c r="S1222" s="164" t="s">
        <v>3035</v>
      </c>
      <c r="T1222" s="164"/>
      <c r="U1222" s="164" t="s">
        <v>202</v>
      </c>
      <c r="V1222" s="193"/>
      <c r="W1222" s="194"/>
      <c r="X1222" s="164"/>
      <c r="Y1222" s="164"/>
      <c r="Z1222" s="164"/>
      <c r="AA1222" s="170"/>
      <c r="AB1222" s="164" t="s">
        <v>113</v>
      </c>
      <c r="AC1222" s="251"/>
      <c r="AD1222" s="170"/>
      <c r="AE1222" s="225"/>
      <c r="AF1222" s="170"/>
      <c r="AG1222" s="170"/>
      <c r="AH1222" s="251"/>
      <c r="AI1222" s="170"/>
      <c r="AJ1222" s="194" t="s">
        <v>3023</v>
      </c>
      <c r="AK1222" s="22"/>
      <c r="AL1222" s="170"/>
      <c r="AM1222" s="170"/>
      <c r="AN1222" s="170"/>
      <c r="AO1222" s="170"/>
      <c r="AP1222" s="170"/>
      <c r="AQ1222" s="22"/>
      <c r="AR1222" s="22"/>
      <c r="AS1222" s="22"/>
      <c r="AT1222" s="170"/>
      <c r="AU1222" s="170"/>
      <c r="AV1222" s="170"/>
      <c r="AW1222" s="170"/>
      <c r="AX1222" s="170"/>
      <c r="AY1222" s="170"/>
      <c r="AZ1222" s="170"/>
      <c r="BA1222" s="170"/>
      <c r="BB1222" s="170"/>
      <c r="BC1222" s="170"/>
      <c r="BD1222" s="170"/>
      <c r="BE1222" s="137" t="s">
        <v>3036</v>
      </c>
      <c r="BF1222" s="137" t="s">
        <v>2630</v>
      </c>
      <c r="BG1222" s="139" t="s">
        <v>2631</v>
      </c>
      <c r="BH1222" s="220"/>
      <c r="BI1222" s="220"/>
      <c r="BJ1222" s="220"/>
      <c r="BK1222" s="46">
        <f t="shared" si="1"/>
        <v>1</v>
      </c>
      <c r="BL1222" s="46"/>
      <c r="BM1222" s="46"/>
      <c r="BN1222" s="46"/>
    </row>
    <row r="1223" spans="1:66" ht="12.75" hidden="1" customHeight="1">
      <c r="A1223" s="22">
        <v>1221</v>
      </c>
      <c r="B1223" s="22" t="s">
        <v>2527</v>
      </c>
      <c r="C1223" s="22" t="e">
        <f t="shared" ca="1" si="0"/>
        <v>#NAME?</v>
      </c>
      <c r="D1223" s="24" t="s">
        <v>1673</v>
      </c>
      <c r="E1223" s="22" t="s">
        <v>180</v>
      </c>
      <c r="F1223" s="24" t="s">
        <v>3033</v>
      </c>
      <c r="G1223" s="24" t="s">
        <v>3034</v>
      </c>
      <c r="H1223" s="24"/>
      <c r="I1223" s="24">
        <v>1</v>
      </c>
      <c r="J1223" s="24" t="s">
        <v>2372</v>
      </c>
      <c r="K1223" s="24"/>
      <c r="L1223" s="24"/>
      <c r="M1223" s="24"/>
      <c r="N1223" s="24"/>
      <c r="O1223" s="24"/>
      <c r="P1223" s="170"/>
      <c r="Q1223" s="170"/>
      <c r="R1223" s="169"/>
      <c r="S1223" s="164"/>
      <c r="T1223" s="164"/>
      <c r="U1223" s="164"/>
      <c r="V1223" s="193"/>
      <c r="W1223" s="194" t="s">
        <v>1673</v>
      </c>
      <c r="X1223" s="164"/>
      <c r="Y1223" s="164"/>
      <c r="Z1223" s="164"/>
      <c r="AA1223" s="170"/>
      <c r="AB1223" s="164"/>
      <c r="AC1223" s="251"/>
      <c r="AD1223" s="170"/>
      <c r="AE1223" s="225"/>
      <c r="AF1223" s="170"/>
      <c r="AG1223" s="170"/>
      <c r="AH1223" s="251"/>
      <c r="AI1223" s="170"/>
      <c r="AJ1223" s="164"/>
      <c r="AK1223" s="22"/>
      <c r="AL1223" s="170"/>
      <c r="AM1223" s="170"/>
      <c r="AN1223" s="170"/>
      <c r="AO1223" s="170"/>
      <c r="AP1223" s="170"/>
      <c r="AQ1223" s="22"/>
      <c r="AR1223" s="22"/>
      <c r="AS1223" s="22"/>
      <c r="AT1223" s="170"/>
      <c r="AU1223" s="170"/>
      <c r="AV1223" s="170"/>
      <c r="AW1223" s="170"/>
      <c r="AX1223" s="170"/>
      <c r="AY1223" s="170"/>
      <c r="AZ1223" s="170"/>
      <c r="BA1223" s="170"/>
      <c r="BB1223" s="170"/>
      <c r="BC1223" s="170"/>
      <c r="BD1223" s="170"/>
      <c r="BE1223" s="137" t="s">
        <v>115</v>
      </c>
      <c r="BF1223" s="137" t="s">
        <v>942</v>
      </c>
      <c r="BG1223" s="167" t="s">
        <v>943</v>
      </c>
      <c r="BH1223" s="220"/>
      <c r="BI1223" s="220"/>
      <c r="BJ1223" s="220"/>
      <c r="BK1223" s="46">
        <f t="shared" si="1"/>
        <v>1</v>
      </c>
      <c r="BL1223" s="46"/>
      <c r="BM1223" s="46"/>
      <c r="BN1223" s="46"/>
    </row>
    <row r="1224" spans="1:66" ht="12.75" hidden="1" customHeight="1">
      <c r="A1224" s="22">
        <v>1222</v>
      </c>
      <c r="B1224" s="22" t="s">
        <v>2118</v>
      </c>
      <c r="C1224" s="22" t="e">
        <f t="shared" ca="1" si="0"/>
        <v>#NAME?</v>
      </c>
      <c r="D1224" s="24" t="s">
        <v>1468</v>
      </c>
      <c r="E1224" s="22" t="s">
        <v>180</v>
      </c>
      <c r="F1224" s="24" t="s">
        <v>3033</v>
      </c>
      <c r="G1224" s="24" t="s">
        <v>3034</v>
      </c>
      <c r="H1224" s="24"/>
      <c r="I1224" s="24">
        <v>1</v>
      </c>
      <c r="J1224" s="24" t="s">
        <v>2372</v>
      </c>
      <c r="K1224" s="24"/>
      <c r="L1224" s="24"/>
      <c r="M1224" s="24"/>
      <c r="N1224" s="24"/>
      <c r="O1224" s="24"/>
      <c r="P1224" s="170"/>
      <c r="Q1224" s="170"/>
      <c r="R1224" s="169"/>
      <c r="S1224" s="164"/>
      <c r="T1224" s="164"/>
      <c r="U1224" s="164"/>
      <c r="V1224" s="163"/>
      <c r="W1224" s="163" t="s">
        <v>1468</v>
      </c>
      <c r="X1224" s="164"/>
      <c r="Y1224" s="164"/>
      <c r="Z1224" s="164"/>
      <c r="AA1224" s="170"/>
      <c r="AB1224" s="164"/>
      <c r="AC1224" s="251"/>
      <c r="AD1224" s="170"/>
      <c r="AE1224" s="225"/>
      <c r="AF1224" s="170"/>
      <c r="AG1224" s="170"/>
      <c r="AH1224" s="251"/>
      <c r="AI1224" s="170"/>
      <c r="AJ1224" s="164"/>
      <c r="AK1224" s="22"/>
      <c r="AL1224" s="170"/>
      <c r="AM1224" s="170"/>
      <c r="AN1224" s="170"/>
      <c r="AO1224" s="170"/>
      <c r="AP1224" s="170"/>
      <c r="AQ1224" s="22"/>
      <c r="AR1224" s="22"/>
      <c r="AS1224" s="22"/>
      <c r="AT1224" s="170"/>
      <c r="AU1224" s="170"/>
      <c r="AV1224" s="170"/>
      <c r="AW1224" s="170"/>
      <c r="AX1224" s="170"/>
      <c r="AY1224" s="170"/>
      <c r="AZ1224" s="170"/>
      <c r="BA1224" s="170"/>
      <c r="BB1224" s="170"/>
      <c r="BC1224" s="170"/>
      <c r="BD1224" s="170"/>
      <c r="BE1224" s="137" t="s">
        <v>115</v>
      </c>
      <c r="BF1224" s="137" t="s">
        <v>1469</v>
      </c>
      <c r="BG1224" s="167" t="s">
        <v>1470</v>
      </c>
      <c r="BH1224" s="220"/>
      <c r="BI1224" s="220"/>
      <c r="BJ1224" s="220"/>
      <c r="BK1224" s="46">
        <f t="shared" si="1"/>
        <v>1</v>
      </c>
      <c r="BL1224" s="46"/>
      <c r="BM1224" s="46"/>
      <c r="BN1224" s="46"/>
    </row>
    <row r="1225" spans="1:66" ht="12.75" hidden="1" customHeight="1">
      <c r="A1225" s="22">
        <v>1223</v>
      </c>
      <c r="B1225" s="22" t="s">
        <v>3038</v>
      </c>
      <c r="C1225" s="22" t="str">
        <f t="shared" si="0"/>
        <v>Reason Prescribe a daily dose of up to 10,000 IU vitamin A, or a weekly dose of up to 25,000 IU not done</v>
      </c>
      <c r="D1225" s="24" t="s">
        <v>3038</v>
      </c>
      <c r="E1225" s="22" t="s">
        <v>96</v>
      </c>
      <c r="F1225" s="24" t="s">
        <v>1787</v>
      </c>
      <c r="G1225" s="24" t="s">
        <v>3034</v>
      </c>
      <c r="H1225" s="24"/>
      <c r="I1225" s="24">
        <v>1</v>
      </c>
      <c r="J1225" s="24" t="s">
        <v>2372</v>
      </c>
      <c r="K1225" s="24"/>
      <c r="L1225" s="24"/>
      <c r="M1225" s="24"/>
      <c r="N1225" s="24"/>
      <c r="O1225" s="24"/>
      <c r="P1225" s="170"/>
      <c r="Q1225" s="170"/>
      <c r="R1225" s="169" t="s">
        <v>1376</v>
      </c>
      <c r="S1225" s="164" t="s">
        <v>3039</v>
      </c>
      <c r="T1225" s="164" t="s">
        <v>3027</v>
      </c>
      <c r="U1225" s="164" t="s">
        <v>238</v>
      </c>
      <c r="V1225" s="163"/>
      <c r="W1225" s="163"/>
      <c r="X1225" s="164"/>
      <c r="Y1225" s="164"/>
      <c r="Z1225" s="164"/>
      <c r="AA1225" s="170"/>
      <c r="AB1225" s="164" t="s">
        <v>113</v>
      </c>
      <c r="AC1225" s="251"/>
      <c r="AD1225" s="170"/>
      <c r="AE1225" s="225"/>
      <c r="AF1225" s="170"/>
      <c r="AG1225" s="170"/>
      <c r="AH1225" s="251"/>
      <c r="AI1225" s="170"/>
      <c r="AJ1225" s="164" t="s">
        <v>115</v>
      </c>
      <c r="AK1225" s="22"/>
      <c r="AL1225" s="170"/>
      <c r="AM1225" s="170"/>
      <c r="AN1225" s="170"/>
      <c r="AO1225" s="170"/>
      <c r="AP1225" s="170"/>
      <c r="AQ1225" s="22"/>
      <c r="AR1225" s="22"/>
      <c r="AS1225" s="22"/>
      <c r="AT1225" s="170"/>
      <c r="AU1225" s="170"/>
      <c r="AV1225" s="170"/>
      <c r="AW1225" s="170"/>
      <c r="AX1225" s="170"/>
      <c r="AY1225" s="170"/>
      <c r="AZ1225" s="170"/>
      <c r="BA1225" s="170"/>
      <c r="BB1225" s="170"/>
      <c r="BC1225" s="170"/>
      <c r="BD1225" s="170"/>
      <c r="BE1225" s="137" t="s">
        <v>3036</v>
      </c>
      <c r="BF1225" s="137" t="s">
        <v>2635</v>
      </c>
      <c r="BG1225" s="139" t="s">
        <v>2636</v>
      </c>
      <c r="BH1225" s="220"/>
      <c r="BI1225" s="220"/>
      <c r="BJ1225" s="220"/>
      <c r="BK1225" s="46">
        <f t="shared" si="1"/>
        <v>1</v>
      </c>
      <c r="BL1225" s="46"/>
      <c r="BM1225" s="46"/>
      <c r="BN1225" s="46"/>
    </row>
    <row r="1226" spans="1:66" ht="12.75" hidden="1" customHeight="1">
      <c r="A1226" s="22">
        <v>1224</v>
      </c>
      <c r="B1226" s="22" t="s">
        <v>3616</v>
      </c>
      <c r="C1226" s="22" t="e">
        <f t="shared" ca="1" si="0"/>
        <v>#NAME?</v>
      </c>
      <c r="D1226" s="24" t="s">
        <v>2405</v>
      </c>
      <c r="E1226" s="22" t="s">
        <v>180</v>
      </c>
      <c r="F1226" s="24" t="s">
        <v>3038</v>
      </c>
      <c r="G1226" s="24" t="s">
        <v>3034</v>
      </c>
      <c r="H1226" s="24"/>
      <c r="I1226" s="24">
        <v>1</v>
      </c>
      <c r="J1226" s="24" t="s">
        <v>2372</v>
      </c>
      <c r="K1226" s="24"/>
      <c r="L1226" s="24"/>
      <c r="M1226" s="24"/>
      <c r="N1226" s="24"/>
      <c r="O1226" s="24"/>
      <c r="P1226" s="170"/>
      <c r="Q1226" s="170"/>
      <c r="R1226" s="247"/>
      <c r="S1226" s="164"/>
      <c r="T1226" s="196"/>
      <c r="U1226" s="196"/>
      <c r="V1226" s="163"/>
      <c r="W1226" s="163" t="s">
        <v>2405</v>
      </c>
      <c r="X1226" s="196"/>
      <c r="Y1226" s="196"/>
      <c r="Z1226" s="196"/>
      <c r="AA1226" s="170"/>
      <c r="AB1226" s="196"/>
      <c r="AC1226" s="251"/>
      <c r="AD1226" s="170"/>
      <c r="AE1226" s="225"/>
      <c r="AF1226" s="170"/>
      <c r="AG1226" s="170"/>
      <c r="AH1226" s="251"/>
      <c r="AI1226" s="170"/>
      <c r="AJ1226" s="196"/>
      <c r="AK1226" s="22"/>
      <c r="AL1226" s="170"/>
      <c r="AM1226" s="170"/>
      <c r="AN1226" s="170"/>
      <c r="AO1226" s="170"/>
      <c r="AP1226" s="170"/>
      <c r="AQ1226" s="22"/>
      <c r="AR1226" s="22"/>
      <c r="AS1226" s="22"/>
      <c r="AT1226" s="170"/>
      <c r="AU1226" s="170"/>
      <c r="AV1226" s="170"/>
      <c r="AW1226" s="170"/>
      <c r="AX1226" s="170"/>
      <c r="AY1226" s="170"/>
      <c r="AZ1226" s="170"/>
      <c r="BA1226" s="170"/>
      <c r="BB1226" s="170"/>
      <c r="BC1226" s="170"/>
      <c r="BD1226" s="170"/>
      <c r="BE1226" s="137" t="s">
        <v>115</v>
      </c>
      <c r="BF1226" s="143" t="s">
        <v>2406</v>
      </c>
      <c r="BG1226" s="139" t="s">
        <v>2407</v>
      </c>
      <c r="BH1226" s="220"/>
      <c r="BI1226" s="220"/>
      <c r="BJ1226" s="220"/>
      <c r="BK1226" s="46">
        <f t="shared" si="1"/>
        <v>1</v>
      </c>
      <c r="BL1226" s="46"/>
      <c r="BM1226" s="46"/>
      <c r="BN1226" s="46"/>
    </row>
    <row r="1227" spans="1:66" ht="12.75" hidden="1" customHeight="1">
      <c r="A1227" s="22">
        <v>1225</v>
      </c>
      <c r="B1227" s="22" t="s">
        <v>535</v>
      </c>
      <c r="C1227" s="22" t="e">
        <f t="shared" ca="1" si="0"/>
        <v>#NAME?</v>
      </c>
      <c r="D1227" s="24" t="s">
        <v>405</v>
      </c>
      <c r="E1227" s="22" t="s">
        <v>180</v>
      </c>
      <c r="F1227" s="24" t="s">
        <v>3038</v>
      </c>
      <c r="G1227" s="24" t="s">
        <v>3034</v>
      </c>
      <c r="H1227" s="24"/>
      <c r="I1227" s="24">
        <v>1</v>
      </c>
      <c r="J1227" s="24" t="s">
        <v>2372</v>
      </c>
      <c r="K1227" s="24"/>
      <c r="L1227" s="24"/>
      <c r="M1227" s="24"/>
      <c r="N1227" s="24"/>
      <c r="O1227" s="24"/>
      <c r="P1227" s="170"/>
      <c r="Q1227" s="170"/>
      <c r="R1227" s="247"/>
      <c r="S1227" s="164"/>
      <c r="T1227" s="196"/>
      <c r="U1227" s="196"/>
      <c r="V1227" s="194"/>
      <c r="W1227" s="194" t="s">
        <v>405</v>
      </c>
      <c r="X1227" s="196"/>
      <c r="Y1227" s="196"/>
      <c r="Z1227" s="196"/>
      <c r="AA1227" s="170"/>
      <c r="AB1227" s="196"/>
      <c r="AC1227" s="251"/>
      <c r="AD1227" s="170"/>
      <c r="AE1227" s="225"/>
      <c r="AF1227" s="170"/>
      <c r="AG1227" s="170"/>
      <c r="AH1227" s="251"/>
      <c r="AI1227" s="170"/>
      <c r="AJ1227" s="196"/>
      <c r="AK1227" s="22"/>
      <c r="AL1227" s="170"/>
      <c r="AM1227" s="170"/>
      <c r="AN1227" s="170"/>
      <c r="AO1227" s="170"/>
      <c r="AP1227" s="170"/>
      <c r="AQ1227" s="22"/>
      <c r="AR1227" s="22"/>
      <c r="AS1227" s="22"/>
      <c r="AT1227" s="170"/>
      <c r="AU1227" s="170"/>
      <c r="AV1227" s="170"/>
      <c r="AW1227" s="170"/>
      <c r="AX1227" s="170"/>
      <c r="AY1227" s="170"/>
      <c r="AZ1227" s="170"/>
      <c r="BA1227" s="170"/>
      <c r="BB1227" s="170"/>
      <c r="BC1227" s="170"/>
      <c r="BD1227" s="170"/>
      <c r="BE1227" s="137" t="s">
        <v>115</v>
      </c>
      <c r="BF1227" s="143" t="s">
        <v>406</v>
      </c>
      <c r="BG1227" s="139" t="s">
        <v>407</v>
      </c>
      <c r="BH1227" s="220"/>
      <c r="BI1227" s="220"/>
      <c r="BJ1227" s="220"/>
      <c r="BK1227" s="46">
        <f t="shared" si="1"/>
        <v>1</v>
      </c>
      <c r="BL1227" s="46"/>
      <c r="BM1227" s="46"/>
      <c r="BN1227" s="46"/>
    </row>
    <row r="1228" spans="1:66" ht="12.75" hidden="1" customHeight="1">
      <c r="A1228" s="22">
        <v>1226</v>
      </c>
      <c r="B1228" s="22" t="s">
        <v>3042</v>
      </c>
      <c r="C1228" s="22" t="str">
        <f t="shared" si="0"/>
        <v>Specify - Reason Prescribe a daily dose of up to 10,000 IU vitamin A, or a weekly dose of up to 25,000 IU not done</v>
      </c>
      <c r="D1228" s="24" t="s">
        <v>3042</v>
      </c>
      <c r="E1228" s="22" t="s">
        <v>96</v>
      </c>
      <c r="F1228" s="24" t="s">
        <v>1787</v>
      </c>
      <c r="G1228" s="24" t="s">
        <v>3034</v>
      </c>
      <c r="H1228" s="24"/>
      <c r="I1228" s="24">
        <v>1</v>
      </c>
      <c r="J1228" s="24" t="s">
        <v>2372</v>
      </c>
      <c r="K1228" s="24"/>
      <c r="L1228" s="24"/>
      <c r="M1228" s="24"/>
      <c r="N1228" s="24"/>
      <c r="O1228" s="24"/>
      <c r="P1228" s="170"/>
      <c r="Q1228" s="170"/>
      <c r="R1228" s="247" t="s">
        <v>409</v>
      </c>
      <c r="S1228" s="164" t="s">
        <v>3043</v>
      </c>
      <c r="T1228" s="196" t="s">
        <v>2641</v>
      </c>
      <c r="U1228" s="196" t="s">
        <v>111</v>
      </c>
      <c r="V1228" s="194"/>
      <c r="W1228" s="194"/>
      <c r="X1228" s="196"/>
      <c r="Y1228" s="196"/>
      <c r="Z1228" s="196"/>
      <c r="AA1228" s="170"/>
      <c r="AB1228" s="196" t="s">
        <v>208</v>
      </c>
      <c r="AC1228" s="251"/>
      <c r="AD1228" s="170"/>
      <c r="AE1228" s="225"/>
      <c r="AF1228" s="170"/>
      <c r="AG1228" s="170"/>
      <c r="AH1228" s="251"/>
      <c r="AI1228" s="170"/>
      <c r="AJ1228" s="196" t="s">
        <v>115</v>
      </c>
      <c r="AK1228" s="22"/>
      <c r="AL1228" s="170"/>
      <c r="AM1228" s="170"/>
      <c r="AN1228" s="170"/>
      <c r="AO1228" s="170"/>
      <c r="AP1228" s="170"/>
      <c r="AQ1228" s="22"/>
      <c r="AR1228" s="22"/>
      <c r="AS1228" s="22"/>
      <c r="AT1228" s="170"/>
      <c r="AU1228" s="170"/>
      <c r="AV1228" s="170"/>
      <c r="AW1228" s="170"/>
      <c r="AX1228" s="170"/>
      <c r="AY1228" s="170"/>
      <c r="AZ1228" s="170"/>
      <c r="BA1228" s="170"/>
      <c r="BB1228" s="170"/>
      <c r="BC1228" s="170"/>
      <c r="BD1228" s="170"/>
      <c r="BE1228" s="137" t="s">
        <v>3036</v>
      </c>
      <c r="BF1228" s="137" t="s">
        <v>2642</v>
      </c>
      <c r="BG1228" s="139" t="s">
        <v>2643</v>
      </c>
      <c r="BH1228" s="220"/>
      <c r="BI1228" s="220"/>
      <c r="BJ1228" s="220"/>
      <c r="BK1228" s="46">
        <f t="shared" si="1"/>
        <v>1</v>
      </c>
      <c r="BL1228" s="46"/>
      <c r="BM1228" s="46"/>
      <c r="BN1228" s="46"/>
    </row>
    <row r="1229" spans="1:66" ht="12.75" hidden="1" customHeight="1">
      <c r="A1229" s="22">
        <v>1227</v>
      </c>
      <c r="B1229" s="22" t="s">
        <v>3044</v>
      </c>
      <c r="C1229" s="22" t="str">
        <f t="shared" si="0"/>
        <v>vita</v>
      </c>
      <c r="D1229" s="24" t="s">
        <v>3044</v>
      </c>
      <c r="E1229" s="22" t="s">
        <v>65</v>
      </c>
      <c r="F1229" s="24" t="s">
        <v>1787</v>
      </c>
      <c r="G1229" s="24" t="s">
        <v>3034</v>
      </c>
      <c r="H1229" s="24"/>
      <c r="I1229" s="24">
        <v>1</v>
      </c>
      <c r="J1229" s="24" t="s">
        <v>2372</v>
      </c>
      <c r="K1229" s="24"/>
      <c r="L1229" s="24"/>
      <c r="M1229" s="24"/>
      <c r="N1229" s="24"/>
      <c r="O1229" s="24"/>
      <c r="P1229" s="170"/>
      <c r="Q1229" s="170"/>
      <c r="R1229" s="222" t="s">
        <v>115</v>
      </c>
      <c r="S1229" s="221" t="s">
        <v>3044</v>
      </c>
      <c r="T1229" s="221" t="s">
        <v>3045</v>
      </c>
      <c r="U1229" s="221" t="s">
        <v>65</v>
      </c>
      <c r="V1229" s="163"/>
      <c r="W1229" s="163"/>
      <c r="X1229" s="221" t="s">
        <v>3046</v>
      </c>
      <c r="Y1229" s="221"/>
      <c r="Z1229" s="164"/>
      <c r="AA1229" s="170"/>
      <c r="AB1229" s="221" t="s">
        <v>115</v>
      </c>
      <c r="AC1229" s="251"/>
      <c r="AD1229" s="170"/>
      <c r="AE1229" s="225"/>
      <c r="AF1229" s="170"/>
      <c r="AG1229" s="170"/>
      <c r="AH1229" s="251"/>
      <c r="AI1229" s="170"/>
      <c r="AJ1229" s="221" t="s">
        <v>115</v>
      </c>
      <c r="AK1229" s="22"/>
      <c r="AL1229" s="170"/>
      <c r="AM1229" s="170"/>
      <c r="AN1229" s="170"/>
      <c r="AO1229" s="170"/>
      <c r="AP1229" s="170"/>
      <c r="AQ1229" s="22"/>
      <c r="AR1229" s="22"/>
      <c r="AS1229" s="22"/>
      <c r="AT1229" s="170"/>
      <c r="AU1229" s="170"/>
      <c r="AV1229" s="170"/>
      <c r="AW1229" s="170"/>
      <c r="AX1229" s="170"/>
      <c r="AY1229" s="170"/>
      <c r="AZ1229" s="170"/>
      <c r="BA1229" s="170"/>
      <c r="BB1229" s="170"/>
      <c r="BC1229" s="170"/>
      <c r="BD1229" s="170"/>
      <c r="BE1229" s="137" t="s">
        <v>115</v>
      </c>
      <c r="BF1229" s="137" t="s">
        <v>115</v>
      </c>
      <c r="BG1229" s="139" t="s">
        <v>115</v>
      </c>
      <c r="BH1229" s="311"/>
      <c r="BI1229" s="311"/>
      <c r="BJ1229" s="311"/>
      <c r="BK1229" s="46">
        <f t="shared" si="1"/>
        <v>1</v>
      </c>
      <c r="BL1229" s="46"/>
      <c r="BM1229" s="46"/>
      <c r="BN1229" s="46"/>
    </row>
    <row r="1230" spans="1:66" ht="12.75" hidden="1" customHeight="1">
      <c r="A1230" s="22">
        <v>1228</v>
      </c>
      <c r="B1230" s="22" t="s">
        <v>164</v>
      </c>
      <c r="C1230" s="22" t="str">
        <f t="shared" si="0"/>
        <v>Note</v>
      </c>
      <c r="D1230" s="24" t="s">
        <v>164</v>
      </c>
      <c r="E1230" s="22" t="s">
        <v>1445</v>
      </c>
      <c r="F1230" s="24"/>
      <c r="G1230" s="24" t="s">
        <v>3047</v>
      </c>
      <c r="H1230" s="24"/>
      <c r="I1230" s="24">
        <v>1</v>
      </c>
      <c r="J1230" s="24" t="s">
        <v>2372</v>
      </c>
      <c r="K1230" s="24"/>
      <c r="L1230" s="24"/>
      <c r="M1230" s="24"/>
      <c r="N1230" s="24"/>
      <c r="O1230" s="24"/>
      <c r="P1230" s="170"/>
      <c r="Q1230" s="170"/>
      <c r="R1230" s="482" t="s">
        <v>3048</v>
      </c>
      <c r="S1230" s="483" t="s">
        <v>115</v>
      </c>
      <c r="T1230" s="483" t="s">
        <v>3049</v>
      </c>
      <c r="U1230" s="483" t="s">
        <v>1445</v>
      </c>
      <c r="V1230" s="484"/>
      <c r="W1230" s="484" t="s">
        <v>164</v>
      </c>
      <c r="X1230" s="384"/>
      <c r="Y1230" s="384"/>
      <c r="Z1230" s="384"/>
      <c r="AA1230" s="384"/>
      <c r="AB1230" s="483" t="s">
        <v>208</v>
      </c>
      <c r="AC1230" s="486"/>
      <c r="AD1230" s="384"/>
      <c r="AE1230" s="225"/>
      <c r="AF1230" s="384"/>
      <c r="AG1230" s="484"/>
      <c r="AH1230" s="486"/>
      <c r="AI1230" s="384"/>
      <c r="AJ1230" s="483" t="s">
        <v>1277</v>
      </c>
      <c r="AK1230" s="22"/>
      <c r="AL1230" s="170"/>
      <c r="AM1230" s="170"/>
      <c r="AN1230" s="170"/>
      <c r="AO1230" s="170"/>
      <c r="AP1230" s="170"/>
      <c r="AQ1230" s="22"/>
      <c r="AR1230" s="22"/>
      <c r="AS1230" s="22"/>
      <c r="AT1230" s="384"/>
      <c r="AU1230" s="384"/>
      <c r="AV1230" s="384"/>
      <c r="AW1230" s="384"/>
      <c r="AX1230" s="384"/>
      <c r="AY1230" s="384"/>
      <c r="AZ1230" s="384"/>
      <c r="BA1230" s="384"/>
      <c r="BB1230" s="384"/>
      <c r="BC1230" s="384"/>
      <c r="BD1230" s="384"/>
      <c r="BE1230" s="137" t="s">
        <v>115</v>
      </c>
      <c r="BF1230" s="137" t="s">
        <v>115</v>
      </c>
      <c r="BG1230" s="139" t="s">
        <v>115</v>
      </c>
      <c r="BH1230" s="487"/>
      <c r="BI1230" s="488"/>
      <c r="BJ1230" s="488"/>
      <c r="BK1230" s="46">
        <f t="shared" si="1"/>
        <v>1</v>
      </c>
      <c r="BL1230" s="46"/>
      <c r="BM1230" s="46"/>
      <c r="BN1230" s="46"/>
    </row>
    <row r="1231" spans="1:66" ht="12.75" customHeight="1">
      <c r="A1231" s="399">
        <v>1229</v>
      </c>
      <c r="B1231" s="399" t="s">
        <v>3092</v>
      </c>
      <c r="C1231" s="399" t="str">
        <f t="shared" si="0"/>
        <v>Client first name</v>
      </c>
      <c r="D1231" s="400" t="s">
        <v>3092</v>
      </c>
      <c r="E1231" s="399" t="s">
        <v>96</v>
      </c>
      <c r="F1231" s="400" t="s">
        <v>1787</v>
      </c>
      <c r="G1231" s="400"/>
      <c r="H1231" s="402">
        <v>1</v>
      </c>
      <c r="I1231" s="400"/>
      <c r="J1231" s="400"/>
      <c r="K1231" s="400">
        <v>1</v>
      </c>
      <c r="L1231" s="400" t="s">
        <v>99</v>
      </c>
      <c r="M1231" s="402" t="s">
        <v>3093</v>
      </c>
      <c r="N1231" s="400"/>
      <c r="O1231" s="489" t="s">
        <v>3094</v>
      </c>
      <c r="P1231" s="489" t="s">
        <v>3095</v>
      </c>
      <c r="Q1231" s="490" t="s">
        <v>3096</v>
      </c>
      <c r="R1231" s="428" t="s">
        <v>3092</v>
      </c>
      <c r="S1231" s="399" t="s">
        <v>109</v>
      </c>
      <c r="T1231" s="399" t="s">
        <v>3097</v>
      </c>
      <c r="U1231" s="399" t="s">
        <v>111</v>
      </c>
      <c r="V1231" s="399"/>
      <c r="W1231" s="399"/>
      <c r="X1231" s="399"/>
      <c r="Y1231" s="490" t="s">
        <v>113</v>
      </c>
      <c r="Z1231" s="399" t="s">
        <v>112</v>
      </c>
      <c r="AA1231" s="399" t="s">
        <v>113</v>
      </c>
      <c r="AB1231" s="399" t="s">
        <v>3098</v>
      </c>
      <c r="AC1231" s="491"/>
      <c r="AD1231" s="492"/>
      <c r="AE1231" s="492"/>
      <c r="AF1231" s="492"/>
      <c r="AG1231" s="399"/>
      <c r="AH1231" s="491"/>
      <c r="AI1231" s="492"/>
      <c r="AJ1231" s="492"/>
      <c r="AK1231" s="399"/>
      <c r="AL1231" s="493" t="s">
        <v>3099</v>
      </c>
      <c r="AM1231" s="493"/>
      <c r="AN1231" s="493"/>
      <c r="AO1231" s="494" t="s">
        <v>3100</v>
      </c>
      <c r="AP1231" s="493" t="s">
        <v>3101</v>
      </c>
      <c r="AQ1231" s="399"/>
      <c r="AR1231" s="399"/>
      <c r="AS1231" s="399"/>
      <c r="AT1231" s="399"/>
      <c r="AU1231" s="399"/>
      <c r="AV1231" s="399"/>
      <c r="AW1231" s="399"/>
      <c r="AX1231" s="399"/>
      <c r="AY1231" s="409" t="s">
        <v>3106</v>
      </c>
      <c r="AZ1231" s="399"/>
      <c r="BA1231" s="399"/>
      <c r="BB1231" s="399"/>
      <c r="BC1231" s="399" t="str">
        <f t="shared" ref="BC1231:BC1715" si="2">IF(B1231=C1231,"",CONCATENATE(CHAR(34), C1231,CHAR(34), "-&gt;", CHAR(34), B1231,CHAR(34)))</f>
        <v/>
      </c>
      <c r="BD1231" s="399"/>
      <c r="BE1231" s="490" t="s">
        <v>115</v>
      </c>
      <c r="BF1231" s="490" t="s">
        <v>118</v>
      </c>
      <c r="BG1231" s="495" t="s">
        <v>109</v>
      </c>
      <c r="BH1231" s="407"/>
      <c r="BI1231" s="407"/>
      <c r="BJ1231" s="407"/>
      <c r="BK1231" s="46">
        <f t="shared" si="1"/>
        <v>1</v>
      </c>
      <c r="BL1231" s="46">
        <f t="shared" ref="BL1231:BL1814" si="3">IF(E1231="Data Element",IF(AND(AL1231&lt;&gt;"", AO1231&lt;&gt;"",AP1231&lt;&gt;""),1,0),IF(E1231="Input Option",IF(OR(AND(AR1231&lt;&gt;"",AQ1231&lt;&gt;""),AT1231&lt;&gt;"",AV1231&lt;&gt;"",AW1231&lt;&gt;"",AX1231&lt;&gt;"",AY1231&lt;&gt;""),1,0),1))</f>
        <v>1</v>
      </c>
      <c r="BM1231" s="46">
        <f t="shared" ref="BM1231:BM1814" si="4">BK1231-BL1231</f>
        <v>0</v>
      </c>
      <c r="BN1231" s="46">
        <f t="shared" ref="BN1231:BN1715" si="5">IFERROR(SEARCH("extens",AO1231),0)</f>
        <v>0</v>
      </c>
    </row>
    <row r="1232" spans="1:66" ht="12.75" customHeight="1">
      <c r="A1232" s="399">
        <v>1230</v>
      </c>
      <c r="B1232" s="399" t="s">
        <v>3107</v>
      </c>
      <c r="C1232" s="399" t="str">
        <f t="shared" si="0"/>
        <v>Client last name</v>
      </c>
      <c r="D1232" s="400" t="s">
        <v>3107</v>
      </c>
      <c r="E1232" s="399" t="s">
        <v>96</v>
      </c>
      <c r="F1232" s="400" t="s">
        <v>1787</v>
      </c>
      <c r="G1232" s="400"/>
      <c r="H1232" s="402">
        <v>1</v>
      </c>
      <c r="I1232" s="400"/>
      <c r="J1232" s="400"/>
      <c r="K1232" s="400">
        <v>1</v>
      </c>
      <c r="L1232" s="400" t="s">
        <v>99</v>
      </c>
      <c r="M1232" s="402" t="s">
        <v>3093</v>
      </c>
      <c r="N1232" s="400"/>
      <c r="O1232" s="489" t="s">
        <v>3094</v>
      </c>
      <c r="P1232" s="489" t="s">
        <v>3108</v>
      </c>
      <c r="Q1232" s="490" t="s">
        <v>3109</v>
      </c>
      <c r="R1232" s="428" t="s">
        <v>3107</v>
      </c>
      <c r="S1232" s="399" t="s">
        <v>125</v>
      </c>
      <c r="T1232" s="399" t="s">
        <v>3110</v>
      </c>
      <c r="U1232" s="399" t="s">
        <v>111</v>
      </c>
      <c r="V1232" s="399"/>
      <c r="W1232" s="399"/>
      <c r="X1232" s="399"/>
      <c r="Y1232" s="490" t="s">
        <v>113</v>
      </c>
      <c r="Z1232" s="399" t="s">
        <v>112</v>
      </c>
      <c r="AA1232" s="399" t="s">
        <v>113</v>
      </c>
      <c r="AB1232" s="399" t="s">
        <v>3098</v>
      </c>
      <c r="AC1232" s="491"/>
      <c r="AD1232" s="492"/>
      <c r="AE1232" s="492"/>
      <c r="AF1232" s="492"/>
      <c r="AG1232" s="399" t="s">
        <v>3111</v>
      </c>
      <c r="AH1232" s="491"/>
      <c r="AI1232" s="492"/>
      <c r="AJ1232" s="492"/>
      <c r="AK1232" s="399"/>
      <c r="AL1232" s="493" t="s">
        <v>3112</v>
      </c>
      <c r="AM1232" s="493"/>
      <c r="AN1232" s="493"/>
      <c r="AO1232" s="494" t="s">
        <v>3100</v>
      </c>
      <c r="AP1232" s="493" t="s">
        <v>3101</v>
      </c>
      <c r="AQ1232" s="399"/>
      <c r="AR1232" s="399"/>
      <c r="AS1232" s="399"/>
      <c r="AT1232" s="399"/>
      <c r="AU1232" s="399"/>
      <c r="AV1232" s="496">
        <v>184096005</v>
      </c>
      <c r="AW1232" s="399"/>
      <c r="AX1232" s="399"/>
      <c r="AY1232" s="409" t="s">
        <v>3106</v>
      </c>
      <c r="AZ1232" s="399"/>
      <c r="BA1232" s="399"/>
      <c r="BB1232" s="399"/>
      <c r="BC1232" s="399" t="str">
        <f t="shared" si="2"/>
        <v/>
      </c>
      <c r="BD1232" s="399"/>
      <c r="BE1232" s="490" t="s">
        <v>115</v>
      </c>
      <c r="BF1232" s="490" t="s">
        <v>118</v>
      </c>
      <c r="BG1232" s="495" t="s">
        <v>125</v>
      </c>
      <c r="BH1232" s="497"/>
      <c r="BI1232" s="497">
        <v>184096005</v>
      </c>
      <c r="BJ1232" s="497"/>
      <c r="BK1232" s="46">
        <f t="shared" si="1"/>
        <v>1</v>
      </c>
      <c r="BL1232" s="46">
        <f t="shared" si="3"/>
        <v>1</v>
      </c>
      <c r="BM1232" s="46">
        <f t="shared" si="4"/>
        <v>0</v>
      </c>
      <c r="BN1232" s="46">
        <f t="shared" si="5"/>
        <v>0</v>
      </c>
    </row>
    <row r="1233" spans="1:66" ht="12.75" customHeight="1">
      <c r="A1233" s="399">
        <v>1236</v>
      </c>
      <c r="B1233" s="399" t="s">
        <v>3154</v>
      </c>
      <c r="C1233" s="399" t="str">
        <f t="shared" si="0"/>
        <v>Visit Date</v>
      </c>
      <c r="D1233" s="400" t="s">
        <v>3154</v>
      </c>
      <c r="E1233" s="399" t="s">
        <v>96</v>
      </c>
      <c r="F1233" s="400" t="s">
        <v>1787</v>
      </c>
      <c r="G1233" s="400"/>
      <c r="H1233" s="402">
        <v>1</v>
      </c>
      <c r="I1233" s="400"/>
      <c r="J1233" s="400"/>
      <c r="K1233" s="400">
        <v>1</v>
      </c>
      <c r="L1233" s="400" t="s">
        <v>99</v>
      </c>
      <c r="M1233" s="402" t="s">
        <v>3117</v>
      </c>
      <c r="N1233" s="400"/>
      <c r="O1233" s="489" t="s">
        <v>3094</v>
      </c>
      <c r="P1233" s="489"/>
      <c r="Q1233" s="490" t="s">
        <v>3156</v>
      </c>
      <c r="R1233" s="498" t="s">
        <v>3154</v>
      </c>
      <c r="S1233" s="490" t="s">
        <v>3115</v>
      </c>
      <c r="T1233" s="489" t="s">
        <v>3157</v>
      </c>
      <c r="U1233" s="489" t="s">
        <v>3158</v>
      </c>
      <c r="V1233" s="489"/>
      <c r="W1233" s="489"/>
      <c r="X1233" s="489"/>
      <c r="Y1233" s="489" t="s">
        <v>208</v>
      </c>
      <c r="Z1233" s="490" t="s">
        <v>3159</v>
      </c>
      <c r="AA1233" s="489" t="s">
        <v>113</v>
      </c>
      <c r="AB1233" s="489" t="s">
        <v>3098</v>
      </c>
      <c r="AC1233" s="491"/>
      <c r="AD1233" s="489"/>
      <c r="AE1233" s="489"/>
      <c r="AF1233" s="490"/>
      <c r="AG1233" s="489" t="s">
        <v>3160</v>
      </c>
      <c r="AH1233" s="491"/>
      <c r="AI1233" s="490"/>
      <c r="AJ1233" s="489"/>
      <c r="AK1233" s="399"/>
      <c r="AL1233" s="499" t="s">
        <v>3161</v>
      </c>
      <c r="AM1233" s="499"/>
      <c r="AN1233" s="499"/>
      <c r="AO1233" s="494" t="s">
        <v>3100</v>
      </c>
      <c r="AP1233" s="500" t="s">
        <v>3101</v>
      </c>
      <c r="AQ1233" s="489"/>
      <c r="AR1233" s="489"/>
      <c r="AS1233" s="500" t="s">
        <v>3162</v>
      </c>
      <c r="AT1233" s="489"/>
      <c r="AU1233" s="489"/>
      <c r="AV1233" s="489"/>
      <c r="AW1233" s="501" t="s">
        <v>3163</v>
      </c>
      <c r="AX1233" s="502"/>
      <c r="AY1233" s="502"/>
      <c r="AZ1233" s="502"/>
      <c r="BA1233" s="502"/>
      <c r="BB1233" s="489"/>
      <c r="BC1233" s="399" t="str">
        <f t="shared" si="2"/>
        <v/>
      </c>
      <c r="BD1233" s="489"/>
      <c r="BE1233" s="490"/>
      <c r="BF1233" s="489"/>
      <c r="BG1233" s="495"/>
      <c r="BH1233" s="407"/>
      <c r="BI1233" s="407"/>
      <c r="BJ1233" s="503" t="s">
        <v>3163</v>
      </c>
      <c r="BK1233" s="46">
        <f t="shared" si="1"/>
        <v>1</v>
      </c>
      <c r="BL1233" s="46">
        <f t="shared" si="3"/>
        <v>1</v>
      </c>
      <c r="BM1233" s="46">
        <f t="shared" si="4"/>
        <v>0</v>
      </c>
      <c r="BN1233" s="46">
        <f t="shared" si="5"/>
        <v>0</v>
      </c>
    </row>
    <row r="1234" spans="1:66" ht="12.75" customHeight="1">
      <c r="A1234" s="399">
        <v>1237</v>
      </c>
      <c r="B1234" s="399" t="s">
        <v>4656</v>
      </c>
      <c r="C1234" s="399" t="str">
        <f t="shared" si="0"/>
        <v>Back-dated Flag</v>
      </c>
      <c r="D1234" s="400" t="s">
        <v>4656</v>
      </c>
      <c r="E1234" s="399" t="s">
        <v>4657</v>
      </c>
      <c r="F1234" s="400" t="s">
        <v>1787</v>
      </c>
      <c r="G1234" s="400"/>
      <c r="H1234" s="402">
        <v>1</v>
      </c>
      <c r="I1234" s="400"/>
      <c r="J1234" s="400"/>
      <c r="K1234" s="400">
        <v>1</v>
      </c>
      <c r="L1234" s="400" t="s">
        <v>99</v>
      </c>
      <c r="M1234" s="402" t="s">
        <v>3117</v>
      </c>
      <c r="N1234" s="400"/>
      <c r="O1234" s="489" t="s">
        <v>3094</v>
      </c>
      <c r="P1234" s="489"/>
      <c r="Q1234" s="490" t="s">
        <v>3236</v>
      </c>
      <c r="R1234" s="498" t="s">
        <v>4656</v>
      </c>
      <c r="S1234" s="490"/>
      <c r="T1234" s="489" t="s">
        <v>3154</v>
      </c>
      <c r="U1234" s="489" t="s">
        <v>3169</v>
      </c>
      <c r="V1234" s="489"/>
      <c r="W1234" s="489" t="s">
        <v>3170</v>
      </c>
      <c r="X1234" s="489"/>
      <c r="Y1234" s="489" t="s">
        <v>208</v>
      </c>
      <c r="Z1234" s="490"/>
      <c r="AA1234" s="489"/>
      <c r="AB1234" s="489" t="s">
        <v>3178</v>
      </c>
      <c r="AC1234" s="491"/>
      <c r="AD1234" s="489"/>
      <c r="AE1234" s="489"/>
      <c r="AF1234" s="490"/>
      <c r="AG1234" s="489"/>
      <c r="AH1234" s="491"/>
      <c r="AI1234" s="490"/>
      <c r="AJ1234" s="489"/>
      <c r="AK1234" s="399"/>
      <c r="AL1234" s="499"/>
      <c r="AM1234" s="499"/>
      <c r="AN1234" s="499"/>
      <c r="AO1234" s="494"/>
      <c r="AP1234" s="500"/>
      <c r="AQ1234" s="489"/>
      <c r="AR1234" s="489"/>
      <c r="AS1234" s="500" t="s">
        <v>4658</v>
      </c>
      <c r="AT1234" s="489"/>
      <c r="AU1234" s="489"/>
      <c r="AV1234" s="489"/>
      <c r="AW1234" s="502"/>
      <c r="AX1234" s="502"/>
      <c r="AY1234" s="502"/>
      <c r="AZ1234" s="502"/>
      <c r="BA1234" s="502"/>
      <c r="BB1234" s="489"/>
      <c r="BC1234" s="399" t="str">
        <f t="shared" si="2"/>
        <v/>
      </c>
      <c r="BD1234" s="489"/>
      <c r="BE1234" s="490"/>
      <c r="BF1234" s="489"/>
      <c r="BG1234" s="495"/>
      <c r="BH1234" s="407"/>
      <c r="BI1234" s="407"/>
      <c r="BJ1234" s="503"/>
      <c r="BK1234" s="46">
        <f t="shared" si="1"/>
        <v>1</v>
      </c>
      <c r="BL1234" s="46">
        <f t="shared" si="3"/>
        <v>1</v>
      </c>
      <c r="BM1234" s="46">
        <f t="shared" si="4"/>
        <v>0</v>
      </c>
      <c r="BN1234" s="46">
        <f t="shared" si="5"/>
        <v>0</v>
      </c>
    </row>
    <row r="1235" spans="1:66" ht="12.75" customHeight="1">
      <c r="A1235" s="399">
        <v>1238</v>
      </c>
      <c r="B1235" s="399" t="s">
        <v>3171</v>
      </c>
      <c r="C1235" s="399" t="str">
        <f t="shared" si="0"/>
        <v>Referral (If client was referred for care)</v>
      </c>
      <c r="D1235" s="400" t="s">
        <v>3171</v>
      </c>
      <c r="E1235" s="399" t="s">
        <v>96</v>
      </c>
      <c r="F1235" s="400" t="s">
        <v>1787</v>
      </c>
      <c r="G1235" s="400"/>
      <c r="H1235" s="402"/>
      <c r="I1235" s="400"/>
      <c r="J1235" s="400"/>
      <c r="K1235" s="400">
        <v>1</v>
      </c>
      <c r="L1235" s="400" t="s">
        <v>99</v>
      </c>
      <c r="M1235" s="402" t="s">
        <v>3142</v>
      </c>
      <c r="N1235" s="400"/>
      <c r="O1235" s="489" t="s">
        <v>3165</v>
      </c>
      <c r="P1235" s="489"/>
      <c r="Q1235" s="490" t="s">
        <v>3167</v>
      </c>
      <c r="R1235" s="498" t="s">
        <v>3141</v>
      </c>
      <c r="S1235" s="490"/>
      <c r="T1235" s="489" t="s">
        <v>3168</v>
      </c>
      <c r="U1235" s="489" t="s">
        <v>3169</v>
      </c>
      <c r="V1235" s="489"/>
      <c r="W1235" s="489" t="s">
        <v>3170</v>
      </c>
      <c r="X1235" s="489"/>
      <c r="Y1235" s="489" t="s">
        <v>208</v>
      </c>
      <c r="Z1235" s="490"/>
      <c r="AA1235" s="489"/>
      <c r="AB1235" s="489" t="s">
        <v>1889</v>
      </c>
      <c r="AC1235" s="491"/>
      <c r="AD1235" s="489"/>
      <c r="AE1235" s="489"/>
      <c r="AF1235" s="490"/>
      <c r="AG1235" s="489"/>
      <c r="AH1235" s="491"/>
      <c r="AI1235" s="490"/>
      <c r="AJ1235" s="489"/>
      <c r="AK1235" s="399"/>
      <c r="AL1235" s="499"/>
      <c r="AM1235" s="499"/>
      <c r="AN1235" s="499"/>
      <c r="AO1235" s="494"/>
      <c r="AP1235" s="500"/>
      <c r="AQ1235" s="489"/>
      <c r="AR1235" s="489"/>
      <c r="AS1235" s="500"/>
      <c r="AT1235" s="489"/>
      <c r="AU1235" s="489"/>
      <c r="AV1235" s="489"/>
      <c r="AW1235" s="502"/>
      <c r="AX1235" s="502"/>
      <c r="AY1235" s="502"/>
      <c r="AZ1235" s="502"/>
      <c r="BA1235" s="502"/>
      <c r="BB1235" s="489"/>
      <c r="BC1235" s="399" t="str">
        <f t="shared" si="2"/>
        <v/>
      </c>
      <c r="BD1235" s="489"/>
      <c r="BE1235" s="490"/>
      <c r="BF1235" s="489"/>
      <c r="BG1235" s="495"/>
      <c r="BH1235" s="407"/>
      <c r="BI1235" s="407"/>
      <c r="BJ1235" s="503"/>
      <c r="BK1235" s="46">
        <f t="shared" si="1"/>
        <v>1</v>
      </c>
      <c r="BL1235" s="46">
        <f t="shared" si="3"/>
        <v>0</v>
      </c>
      <c r="BM1235" s="46">
        <f t="shared" si="4"/>
        <v>1</v>
      </c>
      <c r="BN1235" s="46">
        <f t="shared" si="5"/>
        <v>0</v>
      </c>
    </row>
    <row r="1236" spans="1:66" ht="12.75" customHeight="1">
      <c r="A1236" s="399">
        <v>1239</v>
      </c>
      <c r="B1236" s="399" t="s">
        <v>3172</v>
      </c>
      <c r="C1236" s="399" t="str">
        <f t="shared" si="0"/>
        <v>Referred by</v>
      </c>
      <c r="D1236" s="400" t="s">
        <v>3172</v>
      </c>
      <c r="E1236" s="399" t="s">
        <v>96</v>
      </c>
      <c r="F1236" s="400" t="s">
        <v>1787</v>
      </c>
      <c r="G1236" s="400"/>
      <c r="H1236" s="402"/>
      <c r="I1236" s="400"/>
      <c r="J1236" s="400"/>
      <c r="K1236" s="400">
        <v>1</v>
      </c>
      <c r="L1236" s="400" t="s">
        <v>99</v>
      </c>
      <c r="M1236" s="402" t="s">
        <v>3142</v>
      </c>
      <c r="N1236" s="400"/>
      <c r="O1236" s="489" t="s">
        <v>3165</v>
      </c>
      <c r="P1236" s="489" t="s">
        <v>3173</v>
      </c>
      <c r="Q1236" s="490" t="s">
        <v>3174</v>
      </c>
      <c r="R1236" s="498" t="s">
        <v>3172</v>
      </c>
      <c r="S1236" s="490" t="s">
        <v>3175</v>
      </c>
      <c r="T1236" s="489" t="s">
        <v>3176</v>
      </c>
      <c r="U1236" s="489" t="s">
        <v>202</v>
      </c>
      <c r="V1236" s="489"/>
      <c r="W1236" s="489" t="s">
        <v>3170</v>
      </c>
      <c r="X1236" s="489"/>
      <c r="Y1236" s="489" t="s">
        <v>208</v>
      </c>
      <c r="Z1236" s="490"/>
      <c r="AA1236" s="489"/>
      <c r="AB1236" s="489" t="s">
        <v>3178</v>
      </c>
      <c r="AC1236" s="491" t="s">
        <v>3179</v>
      </c>
      <c r="AD1236" s="489"/>
      <c r="AE1236" s="489"/>
      <c r="AF1236" s="490"/>
      <c r="AG1236" s="489"/>
      <c r="AH1236" s="491"/>
      <c r="AI1236" s="490"/>
      <c r="AJ1236" s="489"/>
      <c r="AK1236" s="399"/>
      <c r="AL1236" s="499"/>
      <c r="AM1236" s="499"/>
      <c r="AN1236" s="499"/>
      <c r="AO1236" s="494"/>
      <c r="AP1236" s="500"/>
      <c r="AQ1236" s="489"/>
      <c r="AR1236" s="489"/>
      <c r="AS1236" s="500"/>
      <c r="AT1236" s="489"/>
      <c r="AU1236" s="489"/>
      <c r="AV1236" s="489"/>
      <c r="AW1236" s="502"/>
      <c r="AX1236" s="502"/>
      <c r="AY1236" s="502"/>
      <c r="AZ1236" s="502"/>
      <c r="BA1236" s="502"/>
      <c r="BB1236" s="489"/>
      <c r="BC1236" s="399" t="str">
        <f t="shared" si="2"/>
        <v/>
      </c>
      <c r="BD1236" s="489"/>
      <c r="BE1236" s="490"/>
      <c r="BF1236" s="489"/>
      <c r="BG1236" s="495"/>
      <c r="BH1236" s="407"/>
      <c r="BI1236" s="407"/>
      <c r="BJ1236" s="503"/>
      <c r="BK1236" s="46">
        <f t="shared" si="1"/>
        <v>1</v>
      </c>
      <c r="BL1236" s="46">
        <f t="shared" si="3"/>
        <v>0</v>
      </c>
      <c r="BM1236" s="46">
        <f t="shared" si="4"/>
        <v>1</v>
      </c>
      <c r="BN1236" s="46">
        <f t="shared" si="5"/>
        <v>0</v>
      </c>
    </row>
    <row r="1237" spans="1:66" ht="12.75" customHeight="1">
      <c r="A1237" s="399">
        <v>1240</v>
      </c>
      <c r="B1237" s="399" t="s">
        <v>3184</v>
      </c>
      <c r="C1237" s="399" t="e">
        <f t="shared" ca="1" si="0"/>
        <v>#NAME?</v>
      </c>
      <c r="D1237" s="400" t="s">
        <v>3187</v>
      </c>
      <c r="E1237" s="399" t="s">
        <v>180</v>
      </c>
      <c r="F1237" s="400" t="s">
        <v>3172</v>
      </c>
      <c r="G1237" s="400"/>
      <c r="H1237" s="402"/>
      <c r="I1237" s="400"/>
      <c r="J1237" s="400"/>
      <c r="K1237" s="400">
        <v>1</v>
      </c>
      <c r="L1237" s="400" t="s">
        <v>99</v>
      </c>
      <c r="M1237" s="402" t="s">
        <v>3142</v>
      </c>
      <c r="N1237" s="400"/>
      <c r="O1237" s="489" t="s">
        <v>3165</v>
      </c>
      <c r="P1237" s="489"/>
      <c r="Q1237" s="490" t="s">
        <v>3186</v>
      </c>
      <c r="R1237" s="498"/>
      <c r="S1237" s="490"/>
      <c r="T1237" s="489"/>
      <c r="U1237" s="489"/>
      <c r="V1237" s="489"/>
      <c r="W1237" s="489" t="s">
        <v>3187</v>
      </c>
      <c r="X1237" s="489"/>
      <c r="Y1237" s="489"/>
      <c r="Z1237" s="490"/>
      <c r="AA1237" s="489"/>
      <c r="AB1237" s="489"/>
      <c r="AC1237" s="491"/>
      <c r="AD1237" s="489"/>
      <c r="AE1237" s="489"/>
      <c r="AF1237" s="490"/>
      <c r="AG1237" s="489"/>
      <c r="AH1237" s="491"/>
      <c r="AI1237" s="490"/>
      <c r="AJ1237" s="489"/>
      <c r="AK1237" s="399"/>
      <c r="AL1237" s="499"/>
      <c r="AM1237" s="499"/>
      <c r="AN1237" s="499"/>
      <c r="AO1237" s="494"/>
      <c r="AP1237" s="500"/>
      <c r="AQ1237" s="489"/>
      <c r="AR1237" s="489"/>
      <c r="AS1237" s="500"/>
      <c r="AT1237" s="489"/>
      <c r="AU1237" s="489"/>
      <c r="AV1237" s="489"/>
      <c r="AW1237" s="502"/>
      <c r="AX1237" s="502"/>
      <c r="AY1237" s="502"/>
      <c r="AZ1237" s="502"/>
      <c r="BA1237" s="502"/>
      <c r="BB1237" s="489"/>
      <c r="BC1237" s="399" t="e">
        <f t="shared" ca="1" si="2"/>
        <v>#NAME?</v>
      </c>
      <c r="BD1237" s="489"/>
      <c r="BE1237" s="490"/>
      <c r="BF1237" s="489"/>
      <c r="BG1237" s="495"/>
      <c r="BH1237" s="407"/>
      <c r="BI1237" s="407"/>
      <c r="BJ1237" s="503"/>
      <c r="BK1237" s="46">
        <f t="shared" si="1"/>
        <v>1</v>
      </c>
      <c r="BL1237" s="46">
        <f t="shared" si="3"/>
        <v>0</v>
      </c>
      <c r="BM1237" s="46">
        <f t="shared" si="4"/>
        <v>1</v>
      </c>
      <c r="BN1237" s="46">
        <f t="shared" si="5"/>
        <v>0</v>
      </c>
    </row>
    <row r="1238" spans="1:66" ht="12.75" customHeight="1">
      <c r="A1238" s="399">
        <v>1241</v>
      </c>
      <c r="B1238" s="399" t="s">
        <v>3191</v>
      </c>
      <c r="C1238" s="399" t="e">
        <f t="shared" ca="1" si="0"/>
        <v>#NAME?</v>
      </c>
      <c r="D1238" s="400" t="s">
        <v>2745</v>
      </c>
      <c r="E1238" s="399" t="s">
        <v>180</v>
      </c>
      <c r="F1238" s="400" t="s">
        <v>3172</v>
      </c>
      <c r="G1238" s="400"/>
      <c r="H1238" s="402"/>
      <c r="I1238" s="400"/>
      <c r="J1238" s="400"/>
      <c r="K1238" s="400">
        <v>1</v>
      </c>
      <c r="L1238" s="400" t="s">
        <v>99</v>
      </c>
      <c r="M1238" s="402" t="s">
        <v>3142</v>
      </c>
      <c r="N1238" s="400"/>
      <c r="O1238" s="489" t="s">
        <v>3165</v>
      </c>
      <c r="P1238" s="489"/>
      <c r="Q1238" s="490" t="s">
        <v>3194</v>
      </c>
      <c r="R1238" s="498"/>
      <c r="S1238" s="490"/>
      <c r="T1238" s="489"/>
      <c r="U1238" s="489"/>
      <c r="V1238" s="489"/>
      <c r="W1238" s="489" t="s">
        <v>2745</v>
      </c>
      <c r="X1238" s="489"/>
      <c r="Y1238" s="489"/>
      <c r="Z1238" s="490"/>
      <c r="AA1238" s="489"/>
      <c r="AB1238" s="489"/>
      <c r="AC1238" s="491"/>
      <c r="AD1238" s="489"/>
      <c r="AE1238" s="489"/>
      <c r="AF1238" s="490"/>
      <c r="AG1238" s="489"/>
      <c r="AH1238" s="491"/>
      <c r="AI1238" s="490"/>
      <c r="AJ1238" s="489"/>
      <c r="AK1238" s="399"/>
      <c r="AL1238" s="499"/>
      <c r="AM1238" s="499"/>
      <c r="AN1238" s="499"/>
      <c r="AO1238" s="494"/>
      <c r="AP1238" s="500"/>
      <c r="AQ1238" s="489"/>
      <c r="AR1238" s="489"/>
      <c r="AS1238" s="500"/>
      <c r="AT1238" s="489"/>
      <c r="AU1238" s="489"/>
      <c r="AV1238" s="489"/>
      <c r="AW1238" s="502"/>
      <c r="AX1238" s="502"/>
      <c r="AY1238" s="502"/>
      <c r="AZ1238" s="502"/>
      <c r="BA1238" s="502"/>
      <c r="BB1238" s="489"/>
      <c r="BC1238" s="399" t="e">
        <f t="shared" ca="1" si="2"/>
        <v>#NAME?</v>
      </c>
      <c r="BD1238" s="489"/>
      <c r="BE1238" s="490"/>
      <c r="BF1238" s="489"/>
      <c r="BG1238" s="495"/>
      <c r="BH1238" s="407"/>
      <c r="BI1238" s="407"/>
      <c r="BJ1238" s="503"/>
      <c r="BK1238" s="46">
        <f t="shared" si="1"/>
        <v>1</v>
      </c>
      <c r="BL1238" s="46">
        <f t="shared" si="3"/>
        <v>0</v>
      </c>
      <c r="BM1238" s="46">
        <f t="shared" si="4"/>
        <v>1</v>
      </c>
      <c r="BN1238" s="46">
        <f t="shared" si="5"/>
        <v>0</v>
      </c>
    </row>
    <row r="1239" spans="1:66" ht="12.75" customHeight="1">
      <c r="A1239" s="399">
        <v>1242</v>
      </c>
      <c r="B1239" s="399" t="s">
        <v>3202</v>
      </c>
      <c r="C1239" s="399" t="str">
        <f t="shared" si="0"/>
        <v>Unique identification</v>
      </c>
      <c r="D1239" s="400" t="s">
        <v>3202</v>
      </c>
      <c r="E1239" s="399" t="s">
        <v>96</v>
      </c>
      <c r="F1239" s="400" t="s">
        <v>1787</v>
      </c>
      <c r="G1239" s="400"/>
      <c r="H1239" s="402"/>
      <c r="I1239" s="400"/>
      <c r="J1239" s="400"/>
      <c r="K1239" s="400">
        <v>1</v>
      </c>
      <c r="L1239" s="400" t="s">
        <v>99</v>
      </c>
      <c r="M1239" s="402" t="s">
        <v>3093</v>
      </c>
      <c r="N1239" s="400"/>
      <c r="O1239" s="489" t="s">
        <v>3199</v>
      </c>
      <c r="P1239" s="489" t="s">
        <v>3200</v>
      </c>
      <c r="Q1239" s="490" t="s">
        <v>3201</v>
      </c>
      <c r="R1239" s="498" t="s">
        <v>3202</v>
      </c>
      <c r="S1239" s="490" t="s">
        <v>101</v>
      </c>
      <c r="T1239" s="489" t="s">
        <v>3203</v>
      </c>
      <c r="U1239" s="489" t="s">
        <v>103</v>
      </c>
      <c r="V1239" s="489"/>
      <c r="W1239" s="489"/>
      <c r="X1239" s="489"/>
      <c r="Y1239" s="489" t="s">
        <v>113</v>
      </c>
      <c r="Z1239" s="490" t="s">
        <v>3204</v>
      </c>
      <c r="AA1239" s="489" t="s">
        <v>208</v>
      </c>
      <c r="AB1239" s="489" t="s">
        <v>3098</v>
      </c>
      <c r="AC1239" s="491" t="s">
        <v>3205</v>
      </c>
      <c r="AD1239" s="489"/>
      <c r="AE1239" s="489"/>
      <c r="AF1239" s="490"/>
      <c r="AG1239" s="489"/>
      <c r="AH1239" s="491"/>
      <c r="AI1239" s="490"/>
      <c r="AJ1239" s="489"/>
      <c r="AK1239" s="399"/>
      <c r="AL1239" s="499" t="s">
        <v>3206</v>
      </c>
      <c r="AM1239" s="499"/>
      <c r="AN1239" s="499"/>
      <c r="AO1239" s="494" t="s">
        <v>3100</v>
      </c>
      <c r="AP1239" s="500" t="s">
        <v>3101</v>
      </c>
      <c r="AQ1239" s="489" t="s">
        <v>3218</v>
      </c>
      <c r="AR1239" s="489"/>
      <c r="AS1239" s="500"/>
      <c r="AT1239" s="489" t="s">
        <v>3218</v>
      </c>
      <c r="AU1239" s="489"/>
      <c r="AV1239" s="489" t="s">
        <v>3218</v>
      </c>
      <c r="AW1239" s="502" t="s">
        <v>3218</v>
      </c>
      <c r="AX1239" s="502" t="s">
        <v>3218</v>
      </c>
      <c r="AY1239" s="502" t="s">
        <v>3106</v>
      </c>
      <c r="AZ1239" s="502"/>
      <c r="BA1239" s="502"/>
      <c r="BB1239" s="489"/>
      <c r="BC1239" s="399" t="str">
        <f t="shared" si="2"/>
        <v/>
      </c>
      <c r="BD1239" s="489"/>
      <c r="BE1239" s="490"/>
      <c r="BF1239" s="489" t="s">
        <v>105</v>
      </c>
      <c r="BG1239" s="495"/>
      <c r="BH1239" s="407"/>
      <c r="BI1239" s="407"/>
      <c r="BJ1239" s="503"/>
      <c r="BK1239" s="46">
        <f t="shared" si="1"/>
        <v>1</v>
      </c>
      <c r="BL1239" s="46">
        <f t="shared" si="3"/>
        <v>1</v>
      </c>
      <c r="BM1239" s="46">
        <f t="shared" si="4"/>
        <v>0</v>
      </c>
      <c r="BN1239" s="46">
        <f t="shared" si="5"/>
        <v>0</v>
      </c>
    </row>
    <row r="1240" spans="1:66" ht="12.75" customHeight="1">
      <c r="A1240" s="399">
        <v>1243</v>
      </c>
      <c r="B1240" s="399" t="s">
        <v>4671</v>
      </c>
      <c r="C1240" s="399" t="str">
        <f t="shared" si="0"/>
        <v>Universal ID</v>
      </c>
      <c r="D1240" s="400" t="s">
        <v>4671</v>
      </c>
      <c r="E1240" s="399" t="s">
        <v>96</v>
      </c>
      <c r="F1240" s="400" t="s">
        <v>1787</v>
      </c>
      <c r="G1240" s="400"/>
      <c r="H1240" s="402"/>
      <c r="I1240" s="400"/>
      <c r="J1240" s="400"/>
      <c r="K1240" s="400">
        <v>1</v>
      </c>
      <c r="L1240" s="400" t="s">
        <v>99</v>
      </c>
      <c r="M1240" s="402" t="s">
        <v>3093</v>
      </c>
      <c r="N1240" s="400"/>
      <c r="O1240" s="489" t="s">
        <v>3199</v>
      </c>
      <c r="P1240" s="489"/>
      <c r="Q1240" s="490" t="s">
        <v>4672</v>
      </c>
      <c r="R1240" s="498" t="s">
        <v>4671</v>
      </c>
      <c r="S1240" s="490" t="s">
        <v>4673</v>
      </c>
      <c r="T1240" s="489" t="s">
        <v>4674</v>
      </c>
      <c r="U1240" s="489" t="s">
        <v>103</v>
      </c>
      <c r="V1240" s="489"/>
      <c r="W1240" s="489"/>
      <c r="X1240" s="489"/>
      <c r="Y1240" s="489" t="s">
        <v>113</v>
      </c>
      <c r="Z1240" s="490" t="s">
        <v>4675</v>
      </c>
      <c r="AA1240" s="489" t="s">
        <v>208</v>
      </c>
      <c r="AB1240" s="489" t="s">
        <v>3178</v>
      </c>
      <c r="AC1240" s="491" t="s">
        <v>4676</v>
      </c>
      <c r="AD1240" s="489"/>
      <c r="AE1240" s="489"/>
      <c r="AF1240" s="490"/>
      <c r="AG1240" s="489"/>
      <c r="AH1240" s="491"/>
      <c r="AI1240" s="490"/>
      <c r="AJ1240" s="489"/>
      <c r="AK1240" s="399"/>
      <c r="AL1240" s="499" t="s">
        <v>3206</v>
      </c>
      <c r="AM1240" s="499"/>
      <c r="AN1240" s="499"/>
      <c r="AO1240" s="494" t="s">
        <v>3100</v>
      </c>
      <c r="AP1240" s="500" t="s">
        <v>3101</v>
      </c>
      <c r="AQ1240" s="489" t="s">
        <v>3218</v>
      </c>
      <c r="AR1240" s="489"/>
      <c r="AS1240" s="500"/>
      <c r="AT1240" s="489" t="s">
        <v>3218</v>
      </c>
      <c r="AU1240" s="489"/>
      <c r="AV1240" s="489" t="s">
        <v>3218</v>
      </c>
      <c r="AW1240" s="502" t="s">
        <v>3218</v>
      </c>
      <c r="AX1240" s="502" t="s">
        <v>3218</v>
      </c>
      <c r="AY1240" s="502" t="s">
        <v>3106</v>
      </c>
      <c r="AZ1240" s="502"/>
      <c r="BA1240" s="502"/>
      <c r="BB1240" s="489"/>
      <c r="BC1240" s="399" t="str">
        <f t="shared" si="2"/>
        <v/>
      </c>
      <c r="BD1240" s="489"/>
      <c r="BE1240" s="490"/>
      <c r="BF1240" s="489"/>
      <c r="BG1240" s="495"/>
      <c r="BH1240" s="407"/>
      <c r="BI1240" s="407"/>
      <c r="BJ1240" s="503"/>
      <c r="BK1240" s="46">
        <f t="shared" si="1"/>
        <v>1</v>
      </c>
      <c r="BL1240" s="46">
        <f t="shared" si="3"/>
        <v>1</v>
      </c>
      <c r="BM1240" s="46">
        <f t="shared" si="4"/>
        <v>0</v>
      </c>
      <c r="BN1240" s="46">
        <f t="shared" si="5"/>
        <v>0</v>
      </c>
    </row>
    <row r="1241" spans="1:66" ht="12.75" customHeight="1">
      <c r="A1241" s="399">
        <v>1244</v>
      </c>
      <c r="B1241" s="399" t="s">
        <v>3209</v>
      </c>
      <c r="C1241" s="399" t="str">
        <f t="shared" si="0"/>
        <v xml:space="preserve">Date of birth </v>
      </c>
      <c r="D1241" s="400" t="s">
        <v>3209</v>
      </c>
      <c r="E1241" s="399" t="s">
        <v>96</v>
      </c>
      <c r="F1241" s="400" t="s">
        <v>1787</v>
      </c>
      <c r="G1241" s="400"/>
      <c r="H1241" s="402">
        <v>1</v>
      </c>
      <c r="I1241" s="400"/>
      <c r="J1241" s="400"/>
      <c r="K1241" s="400">
        <v>1</v>
      </c>
      <c r="L1241" s="400" t="s">
        <v>99</v>
      </c>
      <c r="M1241" s="402" t="s">
        <v>3093</v>
      </c>
      <c r="N1241" s="400"/>
      <c r="O1241" s="489" t="s">
        <v>3199</v>
      </c>
      <c r="P1241" s="489" t="s">
        <v>3210</v>
      </c>
      <c r="Q1241" s="490" t="s">
        <v>3211</v>
      </c>
      <c r="R1241" s="498" t="s">
        <v>3209</v>
      </c>
      <c r="S1241" s="490" t="s">
        <v>138</v>
      </c>
      <c r="T1241" s="489" t="s">
        <v>3212</v>
      </c>
      <c r="U1241" s="489" t="s">
        <v>140</v>
      </c>
      <c r="V1241" s="489"/>
      <c r="W1241" s="489" t="s">
        <v>140</v>
      </c>
      <c r="X1241" s="489"/>
      <c r="Y1241" s="489" t="s">
        <v>113</v>
      </c>
      <c r="Z1241" s="490" t="s">
        <v>3213</v>
      </c>
      <c r="AA1241" s="489" t="s">
        <v>113</v>
      </c>
      <c r="AB1241" s="489" t="s">
        <v>3178</v>
      </c>
      <c r="AC1241" s="491"/>
      <c r="AD1241" s="489"/>
      <c r="AE1241" s="489" t="s">
        <v>4680</v>
      </c>
      <c r="AF1241" s="490" t="s">
        <v>4681</v>
      </c>
      <c r="AG1241" s="489"/>
      <c r="AH1241" s="491"/>
      <c r="AI1241" s="490"/>
      <c r="AJ1241" s="489"/>
      <c r="AK1241" s="399"/>
      <c r="AL1241" s="499" t="s">
        <v>145</v>
      </c>
      <c r="AM1241" s="499"/>
      <c r="AN1241" s="499"/>
      <c r="AO1241" s="494" t="s">
        <v>3100</v>
      </c>
      <c r="AP1241" s="500" t="s">
        <v>3101</v>
      </c>
      <c r="AQ1241" s="489" t="s">
        <v>3218</v>
      </c>
      <c r="AR1241" s="489" t="s">
        <v>3218</v>
      </c>
      <c r="AS1241" s="500"/>
      <c r="AT1241" s="489" t="s">
        <v>3218</v>
      </c>
      <c r="AU1241" s="489"/>
      <c r="AV1241" s="489" t="s">
        <v>3218</v>
      </c>
      <c r="AW1241" s="502" t="s">
        <v>3219</v>
      </c>
      <c r="AX1241" s="502" t="s">
        <v>3218</v>
      </c>
      <c r="AY1241" s="502" t="s">
        <v>3106</v>
      </c>
      <c r="AZ1241" s="502"/>
      <c r="BA1241" s="502"/>
      <c r="BB1241" s="489"/>
      <c r="BC1241" s="399" t="str">
        <f t="shared" si="2"/>
        <v/>
      </c>
      <c r="BD1241" s="489"/>
      <c r="BE1241" s="490"/>
      <c r="BF1241" s="489" t="s">
        <v>118</v>
      </c>
      <c r="BG1241" s="495" t="s">
        <v>144</v>
      </c>
      <c r="BH1241" s="407"/>
      <c r="BI1241" s="407"/>
      <c r="BJ1241" s="503" t="s">
        <v>3219</v>
      </c>
      <c r="BK1241" s="46">
        <f t="shared" si="1"/>
        <v>1</v>
      </c>
      <c r="BL1241" s="46">
        <f t="shared" si="3"/>
        <v>1</v>
      </c>
      <c r="BM1241" s="46">
        <f t="shared" si="4"/>
        <v>0</v>
      </c>
      <c r="BN1241" s="46">
        <f t="shared" si="5"/>
        <v>0</v>
      </c>
    </row>
    <row r="1242" spans="1:66" ht="12.75" customHeight="1">
      <c r="A1242" s="399">
        <v>1245</v>
      </c>
      <c r="B1242" s="399" t="s">
        <v>3220</v>
      </c>
      <c r="C1242" s="399" t="str">
        <f t="shared" si="0"/>
        <v>Date of birth unknown</v>
      </c>
      <c r="D1242" s="400" t="s">
        <v>3220</v>
      </c>
      <c r="E1242" s="409" t="s">
        <v>4657</v>
      </c>
      <c r="F1242" s="400" t="s">
        <v>1787</v>
      </c>
      <c r="G1242" s="400"/>
      <c r="H1242" s="402">
        <v>1</v>
      </c>
      <c r="I1242" s="400"/>
      <c r="J1242" s="400"/>
      <c r="K1242" s="400">
        <v>1</v>
      </c>
      <c r="L1242" s="400" t="s">
        <v>99</v>
      </c>
      <c r="M1242" s="402" t="s">
        <v>3093</v>
      </c>
      <c r="N1242" s="402"/>
      <c r="O1242" s="489" t="s">
        <v>3199</v>
      </c>
      <c r="P1242" s="489" t="s">
        <v>3221</v>
      </c>
      <c r="Q1242" s="490" t="s">
        <v>3222</v>
      </c>
      <c r="R1242" s="428" t="s">
        <v>3220</v>
      </c>
      <c r="S1242" s="399" t="s">
        <v>150</v>
      </c>
      <c r="T1242" s="489" t="s">
        <v>3223</v>
      </c>
      <c r="U1242" s="489" t="s">
        <v>3169</v>
      </c>
      <c r="V1242" s="489"/>
      <c r="W1242" s="489" t="s">
        <v>3170</v>
      </c>
      <c r="X1242" s="489"/>
      <c r="Y1242" s="489" t="s">
        <v>113</v>
      </c>
      <c r="Z1242" s="489" t="s">
        <v>3213</v>
      </c>
      <c r="AA1242" s="399" t="s">
        <v>113</v>
      </c>
      <c r="AB1242" s="399" t="s">
        <v>3178</v>
      </c>
      <c r="AC1242" s="491"/>
      <c r="AD1242" s="492"/>
      <c r="AE1242" s="492"/>
      <c r="AF1242" s="492"/>
      <c r="AG1242" s="492"/>
      <c r="AH1242" s="491"/>
      <c r="AI1242" s="492"/>
      <c r="AJ1242" s="492"/>
      <c r="AK1242" s="399"/>
      <c r="AL1242" s="500"/>
      <c r="AM1242" s="500"/>
      <c r="AN1242" s="500"/>
      <c r="AO1242" s="500"/>
      <c r="AP1242" s="489"/>
      <c r="AQ1242" s="489"/>
      <c r="AR1242" s="489"/>
      <c r="AS1242" s="489"/>
      <c r="AT1242" s="489"/>
      <c r="AU1242" s="489"/>
      <c r="AV1242" s="489"/>
      <c r="AW1242" s="489"/>
      <c r="AX1242" s="489"/>
      <c r="AY1242" s="500" t="s">
        <v>3106</v>
      </c>
      <c r="AZ1242" s="489"/>
      <c r="BA1242" s="504" t="s">
        <v>3224</v>
      </c>
      <c r="BB1242" s="505" t="str">
        <f>HYPERLINK("https://github.com/who-int/Data-Dictionary-Mapping/issues/9","9 (Closed)")</f>
        <v>9 (Closed)</v>
      </c>
      <c r="BC1242" s="399" t="str">
        <f t="shared" si="2"/>
        <v/>
      </c>
      <c r="BD1242" s="489"/>
      <c r="BE1242" s="506" t="s">
        <v>156</v>
      </c>
      <c r="BF1242" s="506" t="s">
        <v>156</v>
      </c>
      <c r="BG1242" s="507" t="s">
        <v>156</v>
      </c>
      <c r="BH1242" s="407"/>
      <c r="BI1242" s="407"/>
      <c r="BJ1242" s="407"/>
      <c r="BK1242" s="46">
        <f t="shared" si="1"/>
        <v>1</v>
      </c>
      <c r="BL1242" s="46">
        <f t="shared" si="3"/>
        <v>1</v>
      </c>
      <c r="BM1242" s="46">
        <f t="shared" si="4"/>
        <v>0</v>
      </c>
      <c r="BN1242" s="46">
        <f t="shared" si="5"/>
        <v>0</v>
      </c>
    </row>
    <row r="1243" spans="1:66" ht="12.75" customHeight="1">
      <c r="A1243" s="399">
        <v>1246</v>
      </c>
      <c r="B1243" s="399" t="s">
        <v>3226</v>
      </c>
      <c r="C1243" s="399" t="str">
        <f t="shared" si="0"/>
        <v>Estimated age</v>
      </c>
      <c r="D1243" s="400" t="s">
        <v>3226</v>
      </c>
      <c r="E1243" s="399" t="s">
        <v>96</v>
      </c>
      <c r="F1243" s="400" t="s">
        <v>1787</v>
      </c>
      <c r="G1243" s="400"/>
      <c r="H1243" s="402">
        <v>1</v>
      </c>
      <c r="I1243" s="400"/>
      <c r="J1243" s="400"/>
      <c r="K1243" s="400">
        <v>1</v>
      </c>
      <c r="L1243" s="400" t="s">
        <v>99</v>
      </c>
      <c r="M1243" s="402" t="s">
        <v>3093</v>
      </c>
      <c r="N1243" s="402"/>
      <c r="O1243" s="489" t="s">
        <v>3199</v>
      </c>
      <c r="P1243" s="489" t="s">
        <v>3227</v>
      </c>
      <c r="Q1243" s="490" t="s">
        <v>3228</v>
      </c>
      <c r="R1243" s="498" t="s">
        <v>3226</v>
      </c>
      <c r="S1243" s="490" t="s">
        <v>166</v>
      </c>
      <c r="T1243" s="489" t="s">
        <v>3229</v>
      </c>
      <c r="U1243" s="489" t="s">
        <v>164</v>
      </c>
      <c r="V1243" s="489"/>
      <c r="W1243" s="489" t="s">
        <v>168</v>
      </c>
      <c r="X1243" s="489"/>
      <c r="Y1243" s="489" t="s">
        <v>3230</v>
      </c>
      <c r="Z1243" s="489" t="s">
        <v>3213</v>
      </c>
      <c r="AA1243" s="399" t="s">
        <v>115</v>
      </c>
      <c r="AB1243" s="399" t="s">
        <v>3178</v>
      </c>
      <c r="AC1243" s="491" t="s">
        <v>3231</v>
      </c>
      <c r="AD1243" s="492"/>
      <c r="AE1243" s="492"/>
      <c r="AF1243" s="492"/>
      <c r="AG1243" s="399"/>
      <c r="AH1243" s="491"/>
      <c r="AI1243" s="492"/>
      <c r="AJ1243" s="492"/>
      <c r="AK1243" s="399"/>
      <c r="AL1243" s="489" t="s">
        <v>145</v>
      </c>
      <c r="AM1243" s="500"/>
      <c r="AN1243" s="500"/>
      <c r="AO1243" s="494" t="s">
        <v>3100</v>
      </c>
      <c r="AP1243" s="500" t="s">
        <v>3101</v>
      </c>
      <c r="AQ1243" s="489"/>
      <c r="AR1243" s="489"/>
      <c r="AS1243" s="489"/>
      <c r="AT1243" s="489"/>
      <c r="AU1243" s="489"/>
      <c r="AV1243" s="489"/>
      <c r="AW1243" s="489"/>
      <c r="AX1243" s="489"/>
      <c r="AY1243" s="500" t="s">
        <v>3106</v>
      </c>
      <c r="AZ1243" s="489"/>
      <c r="BA1243" s="489"/>
      <c r="BB1243" s="489"/>
      <c r="BC1243" s="399" t="str">
        <f t="shared" si="2"/>
        <v/>
      </c>
      <c r="BD1243" s="489"/>
      <c r="BE1243" s="506" t="s">
        <v>156</v>
      </c>
      <c r="BF1243" s="506" t="s">
        <v>156</v>
      </c>
      <c r="BG1243" s="507" t="s">
        <v>156</v>
      </c>
      <c r="BH1243" s="407"/>
      <c r="BI1243" s="407"/>
      <c r="BJ1243" s="407"/>
      <c r="BK1243" s="46">
        <f t="shared" si="1"/>
        <v>1</v>
      </c>
      <c r="BL1243" s="46">
        <f t="shared" si="3"/>
        <v>1</v>
      </c>
      <c r="BM1243" s="46">
        <f t="shared" si="4"/>
        <v>0</v>
      </c>
      <c r="BN1243" s="46">
        <f t="shared" si="5"/>
        <v>0</v>
      </c>
    </row>
    <row r="1244" spans="1:66" ht="12.75" customHeight="1">
      <c r="A1244" s="399">
        <v>1247</v>
      </c>
      <c r="B1244" s="399" t="s">
        <v>3238</v>
      </c>
      <c r="C1244" s="399" t="str">
        <f t="shared" si="0"/>
        <v>Gender</v>
      </c>
      <c r="D1244" s="400" t="s">
        <v>3238</v>
      </c>
      <c r="E1244" s="399" t="s">
        <v>96</v>
      </c>
      <c r="F1244" s="400" t="s">
        <v>1787</v>
      </c>
      <c r="G1244" s="400"/>
      <c r="H1244" s="402">
        <v>1</v>
      </c>
      <c r="I1244" s="400"/>
      <c r="J1244" s="400"/>
      <c r="K1244" s="400">
        <v>1</v>
      </c>
      <c r="L1244" s="400" t="s">
        <v>99</v>
      </c>
      <c r="M1244" s="402" t="s">
        <v>3093</v>
      </c>
      <c r="N1244" s="402"/>
      <c r="O1244" s="489" t="s">
        <v>3199</v>
      </c>
      <c r="P1244" s="489" t="s">
        <v>3239</v>
      </c>
      <c r="Q1244" s="490" t="s">
        <v>3240</v>
      </c>
      <c r="R1244" s="428" t="s">
        <v>3238</v>
      </c>
      <c r="S1244" s="489" t="s">
        <v>3241</v>
      </c>
      <c r="T1244" s="489" t="s">
        <v>3242</v>
      </c>
      <c r="U1244" s="489" t="s">
        <v>4694</v>
      </c>
      <c r="V1244" s="489"/>
      <c r="W1244" s="489"/>
      <c r="X1244" s="490"/>
      <c r="Y1244" s="489" t="s">
        <v>208</v>
      </c>
      <c r="Z1244" s="490"/>
      <c r="AA1244" s="489" t="s">
        <v>113</v>
      </c>
      <c r="AB1244" s="489" t="s">
        <v>3098</v>
      </c>
      <c r="AC1244" s="491"/>
      <c r="AD1244" s="489"/>
      <c r="AE1244" s="489" t="s">
        <v>4695</v>
      </c>
      <c r="AF1244" s="489" t="s">
        <v>4696</v>
      </c>
      <c r="AG1244" s="489"/>
      <c r="AH1244" s="491"/>
      <c r="AI1244" s="489"/>
      <c r="AJ1244" s="489"/>
      <c r="AK1244" s="399"/>
      <c r="AL1244" s="489" t="s">
        <v>3241</v>
      </c>
      <c r="AM1244" s="489"/>
      <c r="AN1244" s="489"/>
      <c r="AO1244" s="494" t="s">
        <v>3100</v>
      </c>
      <c r="AP1244" s="500" t="s">
        <v>3101</v>
      </c>
      <c r="AQ1244" s="508" t="s">
        <v>4697</v>
      </c>
      <c r="AR1244" s="500" t="s">
        <v>3218</v>
      </c>
      <c r="AS1244" s="500"/>
      <c r="AT1244" s="500" t="s">
        <v>3218</v>
      </c>
      <c r="AU1244" s="489"/>
      <c r="AV1244" s="500" t="s">
        <v>3218</v>
      </c>
      <c r="AW1244" s="500" t="s">
        <v>3218</v>
      </c>
      <c r="AX1244" s="500" t="s">
        <v>3218</v>
      </c>
      <c r="AY1244" s="500" t="s">
        <v>3106</v>
      </c>
      <c r="AZ1244" s="489"/>
      <c r="BA1244" s="489"/>
      <c r="BB1244" s="489"/>
      <c r="BC1244" s="399" t="str">
        <f t="shared" si="2"/>
        <v/>
      </c>
      <c r="BD1244" s="489"/>
      <c r="BE1244" s="490"/>
      <c r="BF1244" s="490" t="s">
        <v>3247</v>
      </c>
      <c r="BG1244" s="495" t="s">
        <v>3248</v>
      </c>
      <c r="BH1244" s="407"/>
      <c r="BI1244" s="407"/>
      <c r="BJ1244" s="407"/>
      <c r="BK1244" s="46">
        <f t="shared" si="1"/>
        <v>1</v>
      </c>
      <c r="BL1244" s="46">
        <f t="shared" si="3"/>
        <v>1</v>
      </c>
      <c r="BM1244" s="46">
        <f t="shared" si="4"/>
        <v>0</v>
      </c>
      <c r="BN1244" s="46">
        <f t="shared" si="5"/>
        <v>0</v>
      </c>
    </row>
    <row r="1245" spans="1:66" ht="12.75" customHeight="1">
      <c r="A1245" s="399">
        <v>1248</v>
      </c>
      <c r="B1245" s="399" t="s">
        <v>3249</v>
      </c>
      <c r="C1245" s="399" t="e">
        <f t="shared" ca="1" si="0"/>
        <v>#NAME?</v>
      </c>
      <c r="D1245" s="400" t="s">
        <v>3252</v>
      </c>
      <c r="E1245" s="399" t="s">
        <v>180</v>
      </c>
      <c r="F1245" s="400" t="s">
        <v>3238</v>
      </c>
      <c r="G1245" s="400"/>
      <c r="H1245" s="402">
        <v>1</v>
      </c>
      <c r="I1245" s="400"/>
      <c r="J1245" s="400"/>
      <c r="K1245" s="400">
        <v>1</v>
      </c>
      <c r="L1245" s="400" t="s">
        <v>99</v>
      </c>
      <c r="M1245" s="402" t="s">
        <v>3093</v>
      </c>
      <c r="N1245" s="400"/>
      <c r="O1245" s="489" t="s">
        <v>3199</v>
      </c>
      <c r="P1245" s="489"/>
      <c r="Q1245" s="490" t="s">
        <v>3251</v>
      </c>
      <c r="R1245" s="428"/>
      <c r="S1245" s="489"/>
      <c r="T1245" s="489"/>
      <c r="U1245" s="489"/>
      <c r="V1245" s="489"/>
      <c r="W1245" s="489" t="s">
        <v>3252</v>
      </c>
      <c r="X1245" s="489"/>
      <c r="Y1245" s="489"/>
      <c r="Z1245" s="490"/>
      <c r="AA1245" s="489"/>
      <c r="AB1245" s="489"/>
      <c r="AC1245" s="491"/>
      <c r="AD1245" s="489"/>
      <c r="AE1245" s="489"/>
      <c r="AF1245" s="489"/>
      <c r="AG1245" s="489"/>
      <c r="AH1245" s="491"/>
      <c r="AI1245" s="489"/>
      <c r="AJ1245" s="489"/>
      <c r="AK1245" s="399"/>
      <c r="AL1245" s="489"/>
      <c r="AM1245" s="489"/>
      <c r="AN1245" s="489"/>
      <c r="AO1245" s="494"/>
      <c r="AP1245" s="500"/>
      <c r="AQ1245" s="508" t="s">
        <v>4697</v>
      </c>
      <c r="AR1245" s="500" t="s">
        <v>3254</v>
      </c>
      <c r="AS1245" s="500"/>
      <c r="AT1245" s="500" t="s">
        <v>3218</v>
      </c>
      <c r="AU1245" s="489"/>
      <c r="AV1245" s="500" t="s">
        <v>3218</v>
      </c>
      <c r="AW1245" s="500" t="s">
        <v>3218</v>
      </c>
      <c r="AX1245" s="500" t="s">
        <v>3218</v>
      </c>
      <c r="AY1245" s="500"/>
      <c r="AZ1245" s="489"/>
      <c r="BA1245" s="489"/>
      <c r="BB1245" s="489"/>
      <c r="BC1245" s="399" t="e">
        <f t="shared" ca="1" si="2"/>
        <v>#NAME?</v>
      </c>
      <c r="BD1245" s="489"/>
      <c r="BE1245" s="490"/>
      <c r="BF1245" s="490"/>
      <c r="BG1245" s="495"/>
      <c r="BH1245" s="407"/>
      <c r="BI1245" s="407"/>
      <c r="BJ1245" s="407"/>
      <c r="BK1245" s="46">
        <f t="shared" si="1"/>
        <v>1</v>
      </c>
      <c r="BL1245" s="46">
        <f t="shared" si="3"/>
        <v>1</v>
      </c>
      <c r="BM1245" s="46">
        <f t="shared" si="4"/>
        <v>0</v>
      </c>
      <c r="BN1245" s="46">
        <f t="shared" si="5"/>
        <v>0</v>
      </c>
    </row>
    <row r="1246" spans="1:66" ht="12.75" customHeight="1">
      <c r="A1246" s="399">
        <v>1249</v>
      </c>
      <c r="B1246" s="399" t="s">
        <v>3255</v>
      </c>
      <c r="C1246" s="399" t="e">
        <f t="shared" ca="1" si="0"/>
        <v>#NAME?</v>
      </c>
      <c r="D1246" s="400" t="s">
        <v>3258</v>
      </c>
      <c r="E1246" s="399" t="s">
        <v>180</v>
      </c>
      <c r="F1246" s="400" t="s">
        <v>3238</v>
      </c>
      <c r="G1246" s="400"/>
      <c r="H1246" s="402">
        <v>1</v>
      </c>
      <c r="I1246" s="400"/>
      <c r="J1246" s="400"/>
      <c r="K1246" s="400">
        <v>1</v>
      </c>
      <c r="L1246" s="400" t="s">
        <v>99</v>
      </c>
      <c r="M1246" s="402" t="s">
        <v>3093</v>
      </c>
      <c r="N1246" s="400"/>
      <c r="O1246" s="489" t="s">
        <v>3199</v>
      </c>
      <c r="P1246" s="489"/>
      <c r="Q1246" s="490" t="s">
        <v>3257</v>
      </c>
      <c r="R1246" s="428"/>
      <c r="S1246" s="489"/>
      <c r="T1246" s="489"/>
      <c r="U1246" s="489"/>
      <c r="V1246" s="489"/>
      <c r="W1246" s="489" t="s">
        <v>3258</v>
      </c>
      <c r="X1246" s="489"/>
      <c r="Y1246" s="489"/>
      <c r="Z1246" s="490"/>
      <c r="AA1246" s="489"/>
      <c r="AB1246" s="489"/>
      <c r="AC1246" s="491"/>
      <c r="AD1246" s="489"/>
      <c r="AE1246" s="489"/>
      <c r="AF1246" s="490"/>
      <c r="AG1246" s="489"/>
      <c r="AH1246" s="491"/>
      <c r="AI1246" s="490"/>
      <c r="AJ1246" s="489"/>
      <c r="AK1246" s="399"/>
      <c r="AL1246" s="489"/>
      <c r="AM1246" s="489"/>
      <c r="AN1246" s="489"/>
      <c r="AO1246" s="494"/>
      <c r="AP1246" s="500"/>
      <c r="AQ1246" s="508" t="s">
        <v>4697</v>
      </c>
      <c r="AR1246" s="489" t="s">
        <v>3259</v>
      </c>
      <c r="AS1246" s="500"/>
      <c r="AT1246" s="500" t="s">
        <v>3218</v>
      </c>
      <c r="AU1246" s="489"/>
      <c r="AV1246" s="500" t="s">
        <v>3218</v>
      </c>
      <c r="AW1246" s="500" t="s">
        <v>3218</v>
      </c>
      <c r="AX1246" s="500" t="s">
        <v>3218</v>
      </c>
      <c r="AY1246" s="500"/>
      <c r="AZ1246" s="489"/>
      <c r="BA1246" s="489"/>
      <c r="BB1246" s="489"/>
      <c r="BC1246" s="399" t="e">
        <f t="shared" ca="1" si="2"/>
        <v>#NAME?</v>
      </c>
      <c r="BD1246" s="489"/>
      <c r="BE1246" s="490"/>
      <c r="BF1246" s="490"/>
      <c r="BG1246" s="495"/>
      <c r="BH1246" s="407"/>
      <c r="BI1246" s="407"/>
      <c r="BJ1246" s="407"/>
      <c r="BK1246" s="46">
        <f t="shared" si="1"/>
        <v>1</v>
      </c>
      <c r="BL1246" s="46">
        <f t="shared" si="3"/>
        <v>1</v>
      </c>
      <c r="BM1246" s="46">
        <f t="shared" si="4"/>
        <v>0</v>
      </c>
      <c r="BN1246" s="46">
        <f t="shared" si="5"/>
        <v>0</v>
      </c>
    </row>
    <row r="1247" spans="1:66" ht="12.75" customHeight="1">
      <c r="A1247" s="399">
        <v>1250</v>
      </c>
      <c r="B1247" s="399" t="s">
        <v>2005</v>
      </c>
      <c r="C1247" s="399" t="e">
        <f t="shared" ca="1" si="0"/>
        <v>#NAME?</v>
      </c>
      <c r="D1247" s="400" t="s">
        <v>1387</v>
      </c>
      <c r="E1247" s="399" t="s">
        <v>180</v>
      </c>
      <c r="F1247" s="400" t="s">
        <v>3238</v>
      </c>
      <c r="G1247" s="400"/>
      <c r="H1247" s="402">
        <v>1</v>
      </c>
      <c r="I1247" s="400"/>
      <c r="J1247" s="400"/>
      <c r="K1247" s="400">
        <v>1</v>
      </c>
      <c r="L1247" s="400" t="s">
        <v>99</v>
      </c>
      <c r="M1247" s="402" t="s">
        <v>3093</v>
      </c>
      <c r="N1247" s="400"/>
      <c r="O1247" s="489" t="s">
        <v>3199</v>
      </c>
      <c r="P1247" s="489"/>
      <c r="Q1247" s="490" t="s">
        <v>3261</v>
      </c>
      <c r="R1247" s="428"/>
      <c r="S1247" s="489"/>
      <c r="T1247" s="493"/>
      <c r="U1247" s="489"/>
      <c r="V1247" s="489"/>
      <c r="W1247" s="489" t="s">
        <v>1387</v>
      </c>
      <c r="X1247" s="489"/>
      <c r="Y1247" s="489"/>
      <c r="Z1247" s="490"/>
      <c r="AA1247" s="489"/>
      <c r="AB1247" s="489"/>
      <c r="AC1247" s="491"/>
      <c r="AD1247" s="489"/>
      <c r="AE1247" s="489"/>
      <c r="AF1247" s="490"/>
      <c r="AG1247" s="489"/>
      <c r="AH1247" s="491"/>
      <c r="AI1247" s="490"/>
      <c r="AJ1247" s="489"/>
      <c r="AK1247" s="399"/>
      <c r="AL1247" s="489"/>
      <c r="AM1247" s="489"/>
      <c r="AN1247" s="489"/>
      <c r="AO1247" s="494"/>
      <c r="AP1247" s="500"/>
      <c r="AQ1247" s="508" t="s">
        <v>4697</v>
      </c>
      <c r="AR1247" s="489" t="s">
        <v>3263</v>
      </c>
      <c r="AS1247" s="500"/>
      <c r="AT1247" s="500" t="s">
        <v>3218</v>
      </c>
      <c r="AU1247" s="489"/>
      <c r="AV1247" s="500" t="s">
        <v>3218</v>
      </c>
      <c r="AW1247" s="500" t="s">
        <v>3218</v>
      </c>
      <c r="AX1247" s="500" t="s">
        <v>3218</v>
      </c>
      <c r="AY1247" s="489"/>
      <c r="AZ1247" s="489"/>
      <c r="BA1247" s="489"/>
      <c r="BB1247" s="489"/>
      <c r="BC1247" s="399" t="e">
        <f t="shared" ca="1" si="2"/>
        <v>#NAME?</v>
      </c>
      <c r="BD1247" s="489"/>
      <c r="BE1247" s="490"/>
      <c r="BF1247" s="490"/>
      <c r="BG1247" s="495"/>
      <c r="BH1247" s="407"/>
      <c r="BI1247" s="407"/>
      <c r="BJ1247" s="407"/>
      <c r="BK1247" s="46">
        <f t="shared" si="1"/>
        <v>1</v>
      </c>
      <c r="BL1247" s="46">
        <f t="shared" si="3"/>
        <v>1</v>
      </c>
      <c r="BM1247" s="46">
        <f t="shared" si="4"/>
        <v>0</v>
      </c>
      <c r="BN1247" s="46">
        <f t="shared" si="5"/>
        <v>0</v>
      </c>
    </row>
    <row r="1248" spans="1:66" ht="12.75" customHeight="1">
      <c r="A1248" s="399">
        <v>1251</v>
      </c>
      <c r="B1248" s="399" t="s">
        <v>3264</v>
      </c>
      <c r="C1248" s="399" t="str">
        <f t="shared" si="0"/>
        <v>Marital Status</v>
      </c>
      <c r="D1248" s="400" t="s">
        <v>3264</v>
      </c>
      <c r="E1248" s="399" t="s">
        <v>96</v>
      </c>
      <c r="F1248" s="400" t="s">
        <v>1787</v>
      </c>
      <c r="G1248" s="400"/>
      <c r="H1248" s="402">
        <v>1</v>
      </c>
      <c r="I1248" s="400"/>
      <c r="J1248" s="400"/>
      <c r="K1248" s="400">
        <v>1</v>
      </c>
      <c r="L1248" s="400" t="s">
        <v>99</v>
      </c>
      <c r="M1248" s="402" t="s">
        <v>3093</v>
      </c>
      <c r="N1248" s="402"/>
      <c r="O1248" s="490" t="s">
        <v>3199</v>
      </c>
      <c r="P1248" s="490" t="s">
        <v>3265</v>
      </c>
      <c r="Q1248" s="490" t="s">
        <v>3266</v>
      </c>
      <c r="R1248" s="509" t="s">
        <v>3264</v>
      </c>
      <c r="S1248" s="490"/>
      <c r="T1248" s="489" t="s">
        <v>3267</v>
      </c>
      <c r="U1248" s="489" t="s">
        <v>4694</v>
      </c>
      <c r="V1248" s="489"/>
      <c r="W1248" s="489"/>
      <c r="X1248" s="490"/>
      <c r="Y1248" s="490" t="s">
        <v>208</v>
      </c>
      <c r="Z1248" s="490"/>
      <c r="AA1248" s="490" t="s">
        <v>113</v>
      </c>
      <c r="AB1248" s="490" t="s">
        <v>1889</v>
      </c>
      <c r="AC1248" s="491"/>
      <c r="AD1248" s="490"/>
      <c r="AE1248" s="490"/>
      <c r="AF1248" s="490"/>
      <c r="AG1248" s="489" t="s">
        <v>3268</v>
      </c>
      <c r="AH1248" s="491"/>
      <c r="AI1248" s="490"/>
      <c r="AJ1248" s="490"/>
      <c r="AK1248" s="399"/>
      <c r="AL1248" s="500" t="s">
        <v>4717</v>
      </c>
      <c r="AM1248" s="489"/>
      <c r="AN1248" s="489"/>
      <c r="AO1248" s="510" t="s">
        <v>3100</v>
      </c>
      <c r="AP1248" s="489" t="s">
        <v>3101</v>
      </c>
      <c r="AQ1248" s="489"/>
      <c r="AR1248" s="489"/>
      <c r="AS1248" s="489"/>
      <c r="AT1248" s="490"/>
      <c r="AU1248" s="490"/>
      <c r="AV1248" s="490"/>
      <c r="AW1248" s="490"/>
      <c r="AX1248" s="490"/>
      <c r="AY1248" s="511" t="s">
        <v>3106</v>
      </c>
      <c r="AZ1248" s="490"/>
      <c r="BA1248" s="490"/>
      <c r="BB1248" s="490"/>
      <c r="BC1248" s="399" t="str">
        <f t="shared" si="2"/>
        <v/>
      </c>
      <c r="BD1248" s="490"/>
      <c r="BE1248" s="490"/>
      <c r="BF1248" s="490"/>
      <c r="BG1248" s="495"/>
      <c r="BH1248" s="407"/>
      <c r="BI1248" s="407"/>
      <c r="BJ1248" s="407"/>
      <c r="BK1248" s="46">
        <f t="shared" si="1"/>
        <v>1</v>
      </c>
      <c r="BL1248" s="46">
        <f t="shared" si="3"/>
        <v>1</v>
      </c>
      <c r="BM1248" s="46">
        <f t="shared" si="4"/>
        <v>0</v>
      </c>
      <c r="BN1248" s="46">
        <f t="shared" si="5"/>
        <v>0</v>
      </c>
    </row>
    <row r="1249" spans="1:66" ht="12.75" customHeight="1">
      <c r="A1249" s="399">
        <v>1252</v>
      </c>
      <c r="B1249" s="399" t="s">
        <v>3270</v>
      </c>
      <c r="C1249" s="399" t="e">
        <f t="shared" ca="1" si="0"/>
        <v>#NAME?</v>
      </c>
      <c r="D1249" s="400" t="s">
        <v>3272</v>
      </c>
      <c r="E1249" s="399" t="s">
        <v>180</v>
      </c>
      <c r="F1249" s="400" t="s">
        <v>3264</v>
      </c>
      <c r="G1249" s="400"/>
      <c r="H1249" s="402">
        <v>1</v>
      </c>
      <c r="I1249" s="400"/>
      <c r="J1249" s="400"/>
      <c r="K1249" s="400">
        <v>1</v>
      </c>
      <c r="L1249" s="400" t="s">
        <v>99</v>
      </c>
      <c r="M1249" s="402" t="s">
        <v>3093</v>
      </c>
      <c r="N1249" s="400"/>
      <c r="O1249" s="512" t="s">
        <v>3199</v>
      </c>
      <c r="P1249" s="489"/>
      <c r="Q1249" s="490" t="s">
        <v>3186</v>
      </c>
      <c r="R1249" s="498"/>
      <c r="S1249" s="490"/>
      <c r="T1249" s="489"/>
      <c r="U1249" s="489"/>
      <c r="V1249" s="489"/>
      <c r="W1249" s="489" t="s">
        <v>3272</v>
      </c>
      <c r="X1249" s="489"/>
      <c r="Y1249" s="489"/>
      <c r="Z1249" s="489"/>
      <c r="AA1249" s="490" t="s">
        <v>113</v>
      </c>
      <c r="AB1249" s="489"/>
      <c r="AC1249" s="491"/>
      <c r="AD1249" s="489"/>
      <c r="AE1249" s="489"/>
      <c r="AF1249" s="490"/>
      <c r="AG1249" s="489"/>
      <c r="AH1249" s="491"/>
      <c r="AI1249" s="490"/>
      <c r="AJ1249" s="489"/>
      <c r="AK1249" s="399"/>
      <c r="AL1249" s="513"/>
      <c r="AM1249" s="514"/>
      <c r="AN1249" s="514"/>
      <c r="AO1249" s="489"/>
      <c r="AP1249" s="489"/>
      <c r="AQ1249" s="515" t="s">
        <v>3273</v>
      </c>
      <c r="AR1249" s="489" t="s">
        <v>3274</v>
      </c>
      <c r="AS1249" s="489"/>
      <c r="AT1249" s="511" t="s">
        <v>3218</v>
      </c>
      <c r="AU1249" s="490"/>
      <c r="AV1249" s="511" t="s">
        <v>3218</v>
      </c>
      <c r="AW1249" s="500" t="s">
        <v>3218</v>
      </c>
      <c r="AX1249" s="500" t="s">
        <v>3218</v>
      </c>
      <c r="AY1249" s="500"/>
      <c r="AZ1249" s="489"/>
      <c r="BA1249" s="489"/>
      <c r="BB1249" s="516"/>
      <c r="BC1249" s="399" t="e">
        <f t="shared" ca="1" si="2"/>
        <v>#NAME?</v>
      </c>
      <c r="BD1249" s="516">
        <v>5615</v>
      </c>
      <c r="BE1249" s="517"/>
      <c r="BF1249" s="489"/>
      <c r="BG1249" s="518" t="s">
        <v>3275</v>
      </c>
      <c r="BH1249" s="414"/>
      <c r="BI1249" s="519">
        <v>125681006</v>
      </c>
      <c r="BJ1249" s="407"/>
      <c r="BK1249" s="46">
        <f t="shared" si="1"/>
        <v>1</v>
      </c>
      <c r="BL1249" s="46">
        <f t="shared" si="3"/>
        <v>1</v>
      </c>
      <c r="BM1249" s="46">
        <f t="shared" si="4"/>
        <v>0</v>
      </c>
      <c r="BN1249" s="46">
        <f t="shared" si="5"/>
        <v>0</v>
      </c>
    </row>
    <row r="1250" spans="1:66" ht="12.75" customHeight="1">
      <c r="A1250" s="399">
        <v>1253</v>
      </c>
      <c r="B1250" s="399" t="s">
        <v>3276</v>
      </c>
      <c r="C1250" s="399" t="e">
        <f t="shared" ca="1" si="0"/>
        <v>#NAME?</v>
      </c>
      <c r="D1250" s="400" t="s">
        <v>3279</v>
      </c>
      <c r="E1250" s="399" t="s">
        <v>180</v>
      </c>
      <c r="F1250" s="400" t="s">
        <v>3264</v>
      </c>
      <c r="G1250" s="400"/>
      <c r="H1250" s="402">
        <v>1</v>
      </c>
      <c r="I1250" s="400"/>
      <c r="J1250" s="400"/>
      <c r="K1250" s="400">
        <v>1</v>
      </c>
      <c r="L1250" s="400" t="s">
        <v>99</v>
      </c>
      <c r="M1250" s="402" t="s">
        <v>3093</v>
      </c>
      <c r="N1250" s="400"/>
      <c r="O1250" s="512" t="s">
        <v>3199</v>
      </c>
      <c r="P1250" s="489"/>
      <c r="Q1250" s="490" t="s">
        <v>3194</v>
      </c>
      <c r="R1250" s="498"/>
      <c r="S1250" s="490"/>
      <c r="T1250" s="520" t="s">
        <v>3278</v>
      </c>
      <c r="U1250" s="489"/>
      <c r="V1250" s="489"/>
      <c r="W1250" s="489" t="s">
        <v>3279</v>
      </c>
      <c r="X1250" s="489"/>
      <c r="Y1250" s="489"/>
      <c r="Z1250" s="489"/>
      <c r="AA1250" s="490" t="s">
        <v>113</v>
      </c>
      <c r="AB1250" s="489"/>
      <c r="AC1250" s="491"/>
      <c r="AD1250" s="489"/>
      <c r="AE1250" s="489"/>
      <c r="AF1250" s="490"/>
      <c r="AG1250" s="489"/>
      <c r="AH1250" s="491"/>
      <c r="AI1250" s="490"/>
      <c r="AJ1250" s="489"/>
      <c r="AK1250" s="399"/>
      <c r="AL1250" s="513"/>
      <c r="AM1250" s="514"/>
      <c r="AN1250" s="514"/>
      <c r="AO1250" s="489"/>
      <c r="AP1250" s="489"/>
      <c r="AQ1250" s="515" t="s">
        <v>3273</v>
      </c>
      <c r="AR1250" s="489" t="s">
        <v>3280</v>
      </c>
      <c r="AS1250" s="489"/>
      <c r="AT1250" s="511" t="s">
        <v>3218</v>
      </c>
      <c r="AU1250" s="490"/>
      <c r="AV1250" s="511" t="s">
        <v>3218</v>
      </c>
      <c r="AW1250" s="500" t="s">
        <v>3218</v>
      </c>
      <c r="AX1250" s="500" t="s">
        <v>3218</v>
      </c>
      <c r="AY1250" s="500"/>
      <c r="AZ1250" s="489"/>
      <c r="BA1250" s="489"/>
      <c r="BB1250" s="517"/>
      <c r="BC1250" s="399" t="e">
        <f t="shared" ca="1" si="2"/>
        <v>#NAME?</v>
      </c>
      <c r="BD1250" s="517">
        <v>1055</v>
      </c>
      <c r="BE1250" s="517"/>
      <c r="BF1250" s="489"/>
      <c r="BG1250" s="495" t="s">
        <v>3281</v>
      </c>
      <c r="BH1250" s="414"/>
      <c r="BI1250" s="519">
        <v>87915002</v>
      </c>
      <c r="BJ1250" s="407"/>
      <c r="BK1250" s="46">
        <f t="shared" si="1"/>
        <v>1</v>
      </c>
      <c r="BL1250" s="46">
        <f t="shared" si="3"/>
        <v>1</v>
      </c>
      <c r="BM1250" s="46">
        <f t="shared" si="4"/>
        <v>0</v>
      </c>
      <c r="BN1250" s="46">
        <f t="shared" si="5"/>
        <v>0</v>
      </c>
    </row>
    <row r="1251" spans="1:66" ht="12.75" customHeight="1">
      <c r="A1251" s="399">
        <v>1254</v>
      </c>
      <c r="B1251" s="399" t="s">
        <v>3282</v>
      </c>
      <c r="C1251" s="399" t="e">
        <f t="shared" ca="1" si="0"/>
        <v>#NAME?</v>
      </c>
      <c r="D1251" s="400" t="s">
        <v>3285</v>
      </c>
      <c r="E1251" s="399" t="s">
        <v>180</v>
      </c>
      <c r="F1251" s="400" t="s">
        <v>3264</v>
      </c>
      <c r="G1251" s="400"/>
      <c r="H1251" s="402">
        <v>1</v>
      </c>
      <c r="I1251" s="400"/>
      <c r="J1251" s="400"/>
      <c r="K1251" s="400">
        <v>1</v>
      </c>
      <c r="L1251" s="400" t="s">
        <v>99</v>
      </c>
      <c r="M1251" s="402" t="s">
        <v>3093</v>
      </c>
      <c r="N1251" s="400"/>
      <c r="O1251" s="512" t="s">
        <v>3199</v>
      </c>
      <c r="P1251" s="489"/>
      <c r="Q1251" s="490" t="s">
        <v>3284</v>
      </c>
      <c r="R1251" s="498"/>
      <c r="S1251" s="490"/>
      <c r="T1251" s="489"/>
      <c r="U1251" s="489"/>
      <c r="V1251" s="489"/>
      <c r="W1251" s="489" t="s">
        <v>3285</v>
      </c>
      <c r="X1251" s="489"/>
      <c r="Y1251" s="489"/>
      <c r="Z1251" s="489"/>
      <c r="AA1251" s="490" t="s">
        <v>113</v>
      </c>
      <c r="AB1251" s="489"/>
      <c r="AC1251" s="491"/>
      <c r="AD1251" s="489"/>
      <c r="AE1251" s="489"/>
      <c r="AF1251" s="490"/>
      <c r="AG1251" s="489"/>
      <c r="AH1251" s="491"/>
      <c r="AI1251" s="490"/>
      <c r="AJ1251" s="489"/>
      <c r="AK1251" s="399"/>
      <c r="AL1251" s="513"/>
      <c r="AM1251" s="514"/>
      <c r="AN1251" s="514"/>
      <c r="AO1251" s="489"/>
      <c r="AP1251" s="489"/>
      <c r="AQ1251" s="515" t="s">
        <v>3273</v>
      </c>
      <c r="AR1251" s="489" t="s">
        <v>3286</v>
      </c>
      <c r="AS1251" s="489"/>
      <c r="AT1251" s="511" t="s">
        <v>3218</v>
      </c>
      <c r="AU1251" s="490"/>
      <c r="AV1251" s="511" t="s">
        <v>3218</v>
      </c>
      <c r="AW1251" s="500" t="s">
        <v>3218</v>
      </c>
      <c r="AX1251" s="500" t="s">
        <v>3218</v>
      </c>
      <c r="AY1251" s="500"/>
      <c r="AZ1251" s="489"/>
      <c r="BA1251" s="489"/>
      <c r="BB1251" s="516"/>
      <c r="BC1251" s="399" t="e">
        <f t="shared" ca="1" si="2"/>
        <v>#NAME?</v>
      </c>
      <c r="BD1251" s="516">
        <v>1058</v>
      </c>
      <c r="BE1251" s="517"/>
      <c r="BF1251" s="489"/>
      <c r="BG1251" s="518" t="s">
        <v>3287</v>
      </c>
      <c r="BH1251" s="414"/>
      <c r="BI1251" s="519">
        <v>20295000</v>
      </c>
      <c r="BJ1251" s="407"/>
      <c r="BK1251" s="46">
        <f t="shared" si="1"/>
        <v>1</v>
      </c>
      <c r="BL1251" s="46">
        <f t="shared" si="3"/>
        <v>1</v>
      </c>
      <c r="BM1251" s="46">
        <f t="shared" si="4"/>
        <v>0</v>
      </c>
      <c r="BN1251" s="46">
        <f t="shared" si="5"/>
        <v>0</v>
      </c>
    </row>
    <row r="1252" spans="1:66" ht="12.75" customHeight="1">
      <c r="A1252" s="399">
        <v>1255</v>
      </c>
      <c r="B1252" s="399" t="s">
        <v>3288</v>
      </c>
      <c r="C1252" s="399" t="e">
        <f t="shared" ca="1" si="0"/>
        <v>#NAME?</v>
      </c>
      <c r="D1252" s="400" t="s">
        <v>3291</v>
      </c>
      <c r="E1252" s="399" t="s">
        <v>180</v>
      </c>
      <c r="F1252" s="400" t="s">
        <v>3264</v>
      </c>
      <c r="G1252" s="400"/>
      <c r="H1252" s="402">
        <v>1</v>
      </c>
      <c r="I1252" s="400"/>
      <c r="J1252" s="400"/>
      <c r="K1252" s="400">
        <v>1</v>
      </c>
      <c r="L1252" s="400" t="s">
        <v>99</v>
      </c>
      <c r="M1252" s="402" t="s">
        <v>3093</v>
      </c>
      <c r="N1252" s="400"/>
      <c r="O1252" s="512" t="s">
        <v>3199</v>
      </c>
      <c r="P1252" s="489"/>
      <c r="Q1252" s="490" t="s">
        <v>3290</v>
      </c>
      <c r="R1252" s="498"/>
      <c r="S1252" s="490"/>
      <c r="T1252" s="489"/>
      <c r="U1252" s="489"/>
      <c r="V1252" s="489"/>
      <c r="W1252" s="489" t="s">
        <v>3291</v>
      </c>
      <c r="X1252" s="489"/>
      <c r="Y1252" s="489"/>
      <c r="Z1252" s="489"/>
      <c r="AA1252" s="490" t="s">
        <v>113</v>
      </c>
      <c r="AB1252" s="489"/>
      <c r="AC1252" s="491"/>
      <c r="AD1252" s="489"/>
      <c r="AE1252" s="489"/>
      <c r="AF1252" s="490"/>
      <c r="AG1252" s="489"/>
      <c r="AH1252" s="491"/>
      <c r="AI1252" s="490"/>
      <c r="AJ1252" s="489"/>
      <c r="AK1252" s="399"/>
      <c r="AL1252" s="513"/>
      <c r="AM1252" s="514"/>
      <c r="AN1252" s="514"/>
      <c r="AO1252" s="489"/>
      <c r="AP1252" s="489"/>
      <c r="AQ1252" s="515" t="s">
        <v>3273</v>
      </c>
      <c r="AR1252" s="489" t="s">
        <v>3292</v>
      </c>
      <c r="AS1252" s="489"/>
      <c r="AT1252" s="511" t="s">
        <v>3218</v>
      </c>
      <c r="AU1252" s="490"/>
      <c r="AV1252" s="511" t="s">
        <v>3218</v>
      </c>
      <c r="AW1252" s="500" t="s">
        <v>3218</v>
      </c>
      <c r="AX1252" s="500" t="s">
        <v>3218</v>
      </c>
      <c r="AY1252" s="500"/>
      <c r="AZ1252" s="489"/>
      <c r="BA1252" s="489"/>
      <c r="BB1252" s="516"/>
      <c r="BC1252" s="399" t="e">
        <f t="shared" ca="1" si="2"/>
        <v>#NAME?</v>
      </c>
      <c r="BD1252" s="516">
        <v>1059</v>
      </c>
      <c r="BE1252" s="517"/>
      <c r="BF1252" s="489"/>
      <c r="BG1252" s="518" t="s">
        <v>3293</v>
      </c>
      <c r="BH1252" s="414"/>
      <c r="BI1252" s="519">
        <v>33553000</v>
      </c>
      <c r="BJ1252" s="407"/>
      <c r="BK1252" s="46">
        <f t="shared" si="1"/>
        <v>1</v>
      </c>
      <c r="BL1252" s="46">
        <f t="shared" si="3"/>
        <v>1</v>
      </c>
      <c r="BM1252" s="46">
        <f t="shared" si="4"/>
        <v>0</v>
      </c>
      <c r="BN1252" s="46">
        <f t="shared" si="5"/>
        <v>0</v>
      </c>
    </row>
    <row r="1253" spans="1:66" ht="12.75" customHeight="1">
      <c r="A1253" s="399">
        <v>1256</v>
      </c>
      <c r="B1253" s="399" t="s">
        <v>1162</v>
      </c>
      <c r="C1253" s="399" t="e">
        <f t="shared" ca="1" si="0"/>
        <v>#NAME?</v>
      </c>
      <c r="D1253" s="400" t="s">
        <v>936</v>
      </c>
      <c r="E1253" s="399" t="s">
        <v>180</v>
      </c>
      <c r="F1253" s="400" t="s">
        <v>3264</v>
      </c>
      <c r="G1253" s="400"/>
      <c r="H1253" s="402">
        <v>1</v>
      </c>
      <c r="I1253" s="400"/>
      <c r="J1253" s="400"/>
      <c r="K1253" s="400">
        <v>1</v>
      </c>
      <c r="L1253" s="400" t="s">
        <v>99</v>
      </c>
      <c r="M1253" s="402" t="s">
        <v>3093</v>
      </c>
      <c r="N1253" s="400"/>
      <c r="O1253" s="512" t="s">
        <v>3199</v>
      </c>
      <c r="P1253" s="489"/>
      <c r="Q1253" s="490" t="s">
        <v>3295</v>
      </c>
      <c r="R1253" s="498"/>
      <c r="S1253" s="490"/>
      <c r="T1253" s="489"/>
      <c r="U1253" s="489"/>
      <c r="V1253" s="489"/>
      <c r="W1253" s="489" t="s">
        <v>936</v>
      </c>
      <c r="X1253" s="489"/>
      <c r="Y1253" s="489"/>
      <c r="Z1253" s="489"/>
      <c r="AA1253" s="490" t="s">
        <v>113</v>
      </c>
      <c r="AB1253" s="489"/>
      <c r="AC1253" s="491"/>
      <c r="AD1253" s="489"/>
      <c r="AE1253" s="489"/>
      <c r="AF1253" s="490"/>
      <c r="AG1253" s="489"/>
      <c r="AH1253" s="491"/>
      <c r="AI1253" s="490"/>
      <c r="AJ1253" s="489"/>
      <c r="AK1253" s="399"/>
      <c r="AL1253" s="513"/>
      <c r="AM1253" s="514"/>
      <c r="AN1253" s="514"/>
      <c r="AO1253" s="489"/>
      <c r="AP1253" s="489"/>
      <c r="AQ1253" s="515" t="s">
        <v>3273</v>
      </c>
      <c r="AR1253" s="489" t="s">
        <v>3296</v>
      </c>
      <c r="AS1253" s="489"/>
      <c r="AT1253" s="511" t="s">
        <v>3218</v>
      </c>
      <c r="AU1253" s="490"/>
      <c r="AV1253" s="511" t="s">
        <v>3218</v>
      </c>
      <c r="AW1253" s="500" t="s">
        <v>3218</v>
      </c>
      <c r="AX1253" s="500" t="s">
        <v>3218</v>
      </c>
      <c r="AY1253" s="500"/>
      <c r="AZ1253" s="489"/>
      <c r="BA1253" s="489"/>
      <c r="BB1253" s="489"/>
      <c r="BC1253" s="399" t="e">
        <f t="shared" ca="1" si="2"/>
        <v>#NAME?</v>
      </c>
      <c r="BD1253" s="489"/>
      <c r="BE1253" s="489"/>
      <c r="BF1253" s="489"/>
      <c r="BG1253" s="495"/>
      <c r="BH1253" s="521"/>
      <c r="BI1253" s="497"/>
      <c r="BJ1253" s="497"/>
      <c r="BK1253" s="46">
        <f t="shared" si="1"/>
        <v>1</v>
      </c>
      <c r="BL1253" s="46">
        <f t="shared" si="3"/>
        <v>1</v>
      </c>
      <c r="BM1253" s="46">
        <f t="shared" si="4"/>
        <v>0</v>
      </c>
      <c r="BN1253" s="46">
        <f t="shared" si="5"/>
        <v>0</v>
      </c>
    </row>
    <row r="1254" spans="1:66" ht="12.75" customHeight="1">
      <c r="A1254" s="399">
        <v>1257</v>
      </c>
      <c r="B1254" s="409" t="s">
        <v>4738</v>
      </c>
      <c r="C1254" s="399" t="str">
        <f t="shared" si="0"/>
        <v>[Administrative Area]</v>
      </c>
      <c r="D1254" s="400" t="s">
        <v>3300</v>
      </c>
      <c r="E1254" s="399" t="s">
        <v>96</v>
      </c>
      <c r="F1254" s="400" t="s">
        <v>1787</v>
      </c>
      <c r="G1254" s="400"/>
      <c r="H1254" s="400"/>
      <c r="I1254" s="400"/>
      <c r="J1254" s="400"/>
      <c r="K1254" s="400">
        <v>1</v>
      </c>
      <c r="L1254" s="400" t="s">
        <v>99</v>
      </c>
      <c r="M1254" s="402" t="s">
        <v>3093</v>
      </c>
      <c r="N1254" s="409" t="s">
        <v>3218</v>
      </c>
      <c r="O1254" s="522" t="s">
        <v>3199</v>
      </c>
      <c r="P1254" s="522" t="s">
        <v>3298</v>
      </c>
      <c r="Q1254" s="522" t="s">
        <v>3299</v>
      </c>
      <c r="R1254" s="523" t="s">
        <v>3300</v>
      </c>
      <c r="S1254" s="522"/>
      <c r="T1254" s="520" t="s">
        <v>3301</v>
      </c>
      <c r="U1254" s="522"/>
      <c r="V1254" s="520"/>
      <c r="W1254" s="520"/>
      <c r="X1254" s="522"/>
      <c r="Y1254" s="522"/>
      <c r="Z1254" s="522"/>
      <c r="AA1254" s="490" t="s">
        <v>113</v>
      </c>
      <c r="AB1254" s="522" t="s">
        <v>3098</v>
      </c>
      <c r="AC1254" s="524"/>
      <c r="AD1254" s="522"/>
      <c r="AE1254" s="522"/>
      <c r="AF1254" s="522"/>
      <c r="AG1254" s="520"/>
      <c r="AH1254" s="524"/>
      <c r="AI1254" s="522"/>
      <c r="AJ1254" s="522"/>
      <c r="AK1254" s="409"/>
      <c r="AL1254" s="525" t="s">
        <v>3302</v>
      </c>
      <c r="AM1254" s="499"/>
      <c r="AN1254" s="499"/>
      <c r="AO1254" s="510" t="s">
        <v>3100</v>
      </c>
      <c r="AP1254" s="489" t="s">
        <v>3101</v>
      </c>
      <c r="AQ1254" s="520"/>
      <c r="AR1254" s="520"/>
      <c r="AS1254" s="489"/>
      <c r="AT1254" s="522"/>
      <c r="AU1254" s="522"/>
      <c r="AV1254" s="522"/>
      <c r="AW1254" s="522"/>
      <c r="AX1254" s="522"/>
      <c r="AY1254" s="526" t="s">
        <v>3106</v>
      </c>
      <c r="AZ1254" s="522"/>
      <c r="BA1254" s="522"/>
      <c r="BB1254" s="522"/>
      <c r="BC1254" s="399" t="str">
        <f t="shared" si="2"/>
        <v>"[Administrative Area]"-&gt;"Client District"</v>
      </c>
      <c r="BD1254" s="522"/>
      <c r="BE1254" s="522"/>
      <c r="BF1254" s="522"/>
      <c r="BG1254" s="527"/>
      <c r="BH1254" s="528"/>
      <c r="BI1254" s="529"/>
      <c r="BJ1254" s="529"/>
      <c r="BK1254" s="46">
        <f t="shared" si="1"/>
        <v>1</v>
      </c>
      <c r="BL1254" s="46">
        <f t="shared" si="3"/>
        <v>1</v>
      </c>
      <c r="BM1254" s="46">
        <f t="shared" si="4"/>
        <v>0</v>
      </c>
      <c r="BN1254" s="46">
        <f t="shared" si="5"/>
        <v>0</v>
      </c>
    </row>
    <row r="1255" spans="1:66" ht="12.75" customHeight="1">
      <c r="A1255" s="399">
        <v>1261</v>
      </c>
      <c r="B1255" s="399" t="s">
        <v>4746</v>
      </c>
      <c r="C1255" s="399" t="str">
        <f t="shared" si="0"/>
        <v>Reminder message consent</v>
      </c>
      <c r="D1255" s="402" t="s">
        <v>4746</v>
      </c>
      <c r="E1255" s="399" t="s">
        <v>96</v>
      </c>
      <c r="F1255" s="400" t="s">
        <v>1787</v>
      </c>
      <c r="G1255" s="400"/>
      <c r="H1255" s="400"/>
      <c r="I1255" s="400"/>
      <c r="J1255" s="400"/>
      <c r="K1255" s="400">
        <v>1</v>
      </c>
      <c r="L1255" s="400" t="s">
        <v>99</v>
      </c>
      <c r="M1255" s="402" t="s">
        <v>3093</v>
      </c>
      <c r="N1255" s="402"/>
      <c r="O1255" s="490" t="s">
        <v>3199</v>
      </c>
      <c r="P1255" s="490" t="s">
        <v>3316</v>
      </c>
      <c r="Q1255" s="490" t="s">
        <v>3317</v>
      </c>
      <c r="R1255" s="509" t="s">
        <v>3315</v>
      </c>
      <c r="S1255" s="490"/>
      <c r="T1255" s="489" t="s">
        <v>3318</v>
      </c>
      <c r="U1255" s="490" t="s">
        <v>3169</v>
      </c>
      <c r="V1255" s="489"/>
      <c r="W1255" s="489" t="s">
        <v>3170</v>
      </c>
      <c r="X1255" s="490"/>
      <c r="Y1255" s="490"/>
      <c r="Z1255" s="490"/>
      <c r="AA1255" s="490" t="s">
        <v>113</v>
      </c>
      <c r="AB1255" s="490" t="s">
        <v>3178</v>
      </c>
      <c r="AC1255" s="491" t="s">
        <v>3319</v>
      </c>
      <c r="AD1255" s="490"/>
      <c r="AE1255" s="490"/>
      <c r="AF1255" s="490"/>
      <c r="AG1255" s="489"/>
      <c r="AH1255" s="491"/>
      <c r="AI1255" s="490"/>
      <c r="AJ1255" s="490"/>
      <c r="AK1255" s="399"/>
      <c r="AL1255" s="500" t="s">
        <v>4748</v>
      </c>
      <c r="AM1255" s="500"/>
      <c r="AN1255" s="500"/>
      <c r="AO1255" s="500" t="s">
        <v>3314</v>
      </c>
      <c r="AP1255" s="489"/>
      <c r="AQ1255" s="489"/>
      <c r="AR1255" s="489"/>
      <c r="AS1255" s="489"/>
      <c r="AT1255" s="490"/>
      <c r="AU1255" s="490"/>
      <c r="AV1255" s="490"/>
      <c r="AW1255" s="490"/>
      <c r="AX1255" s="490"/>
      <c r="AY1255" s="511" t="s">
        <v>3106</v>
      </c>
      <c r="AZ1255" s="490"/>
      <c r="BA1255" s="490"/>
      <c r="BB1255" s="490"/>
      <c r="BC1255" s="399" t="str">
        <f t="shared" si="2"/>
        <v/>
      </c>
      <c r="BD1255" s="490">
        <v>163164</v>
      </c>
      <c r="BE1255" s="490"/>
      <c r="BF1255" s="490"/>
      <c r="BG1255" s="495" t="s">
        <v>205</v>
      </c>
      <c r="BH1255" s="407"/>
      <c r="BI1255" s="407"/>
      <c r="BJ1255" s="407"/>
      <c r="BK1255" s="46">
        <f t="shared" si="1"/>
        <v>1</v>
      </c>
      <c r="BL1255" s="46">
        <f t="shared" si="3"/>
        <v>0</v>
      </c>
      <c r="BM1255" s="46">
        <f t="shared" si="4"/>
        <v>1</v>
      </c>
      <c r="BN1255" s="46">
        <f t="shared" si="5"/>
        <v>1</v>
      </c>
    </row>
    <row r="1256" spans="1:66" ht="12.75" customHeight="1">
      <c r="A1256" s="399">
        <v>1263</v>
      </c>
      <c r="B1256" s="399" t="s">
        <v>3449</v>
      </c>
      <c r="C1256" s="399" t="str">
        <f t="shared" si="0"/>
        <v>Body height</v>
      </c>
      <c r="D1256" s="400" t="s">
        <v>3449</v>
      </c>
      <c r="E1256" s="399" t="s">
        <v>96</v>
      </c>
      <c r="F1256" s="400" t="s">
        <v>1787</v>
      </c>
      <c r="G1256" s="400"/>
      <c r="H1256" s="400"/>
      <c r="I1256" s="400"/>
      <c r="J1256" s="400"/>
      <c r="K1256" s="400">
        <v>1</v>
      </c>
      <c r="L1256" s="400" t="s">
        <v>3333</v>
      </c>
      <c r="M1256" s="402" t="s">
        <v>3450</v>
      </c>
      <c r="N1256" s="400"/>
      <c r="O1256" s="428" t="s">
        <v>3451</v>
      </c>
      <c r="P1256" s="428"/>
      <c r="Q1256" s="399" t="s">
        <v>3452</v>
      </c>
      <c r="R1256" s="428" t="s">
        <v>3449</v>
      </c>
      <c r="S1256" s="530"/>
      <c r="T1256" s="399" t="s">
        <v>3453</v>
      </c>
      <c r="U1256" s="399" t="s">
        <v>1318</v>
      </c>
      <c r="V1256" s="399"/>
      <c r="W1256" s="399"/>
      <c r="X1256" s="400"/>
      <c r="Y1256" s="399"/>
      <c r="Z1256" s="399" t="s">
        <v>3454</v>
      </c>
      <c r="AA1256" s="399" t="s">
        <v>113</v>
      </c>
      <c r="AB1256" s="531" t="s">
        <v>1889</v>
      </c>
      <c r="AC1256" s="532" t="s">
        <v>3455</v>
      </c>
      <c r="AD1256" s="400"/>
      <c r="AE1256" s="399"/>
      <c r="AF1256" s="399"/>
      <c r="AG1256" s="399"/>
      <c r="AH1256" s="532"/>
      <c r="AI1256" s="399"/>
      <c r="AJ1256" s="400"/>
      <c r="AK1256" s="399"/>
      <c r="AL1256" s="489" t="s">
        <v>4752</v>
      </c>
      <c r="AM1256" s="489"/>
      <c r="AN1256" s="489" t="s">
        <v>3460</v>
      </c>
      <c r="AO1256" s="515" t="s">
        <v>3457</v>
      </c>
      <c r="AP1256" s="489" t="s">
        <v>3101</v>
      </c>
      <c r="AQ1256" s="409" t="s">
        <v>4754</v>
      </c>
      <c r="AR1256" s="399"/>
      <c r="AS1256" s="409" t="s">
        <v>3162</v>
      </c>
      <c r="AT1256" s="399"/>
      <c r="AU1256" s="399"/>
      <c r="AV1256" s="533">
        <v>50373000</v>
      </c>
      <c r="AW1256" s="534" t="s">
        <v>4757</v>
      </c>
      <c r="AX1256" s="534"/>
      <c r="AY1256" s="534"/>
      <c r="AZ1256" s="534"/>
      <c r="BA1256" s="534"/>
      <c r="BB1256" s="400"/>
      <c r="BC1256" s="399" t="str">
        <f t="shared" si="2"/>
        <v/>
      </c>
      <c r="BD1256" s="535">
        <v>5090</v>
      </c>
      <c r="BE1256" s="399"/>
      <c r="BF1256" s="490" t="s">
        <v>1313</v>
      </c>
      <c r="BG1256" s="495" t="s">
        <v>1314</v>
      </c>
      <c r="BH1256" s="407"/>
      <c r="BI1256" s="536">
        <v>50373000</v>
      </c>
      <c r="BJ1256" s="537" t="s">
        <v>4757</v>
      </c>
      <c r="BK1256" s="46">
        <f t="shared" si="1"/>
        <v>1</v>
      </c>
      <c r="BL1256" s="46">
        <f t="shared" si="3"/>
        <v>1</v>
      </c>
      <c r="BM1256" s="46">
        <f t="shared" si="4"/>
        <v>0</v>
      </c>
      <c r="BN1256" s="46">
        <f t="shared" si="5"/>
        <v>0</v>
      </c>
    </row>
    <row r="1257" spans="1:66" ht="12.75" customHeight="1">
      <c r="A1257" s="399">
        <v>1264</v>
      </c>
      <c r="B1257" s="399" t="s">
        <v>3463</v>
      </c>
      <c r="C1257" s="399" t="str">
        <f t="shared" si="0"/>
        <v>Body weight</v>
      </c>
      <c r="D1257" s="400" t="s">
        <v>3463</v>
      </c>
      <c r="E1257" s="399" t="s">
        <v>96</v>
      </c>
      <c r="F1257" s="400" t="s">
        <v>1787</v>
      </c>
      <c r="G1257" s="400"/>
      <c r="H1257" s="400"/>
      <c r="I1257" s="400"/>
      <c r="J1257" s="400"/>
      <c r="K1257" s="400">
        <v>1</v>
      </c>
      <c r="L1257" s="400" t="s">
        <v>3333</v>
      </c>
      <c r="M1257" s="402" t="s">
        <v>3450</v>
      </c>
      <c r="N1257" s="400"/>
      <c r="O1257" s="428" t="s">
        <v>3451</v>
      </c>
      <c r="P1257" s="428"/>
      <c r="Q1257" s="399" t="s">
        <v>3464</v>
      </c>
      <c r="R1257" s="428" t="s">
        <v>3463</v>
      </c>
      <c r="S1257" s="530"/>
      <c r="T1257" s="531" t="s">
        <v>3465</v>
      </c>
      <c r="U1257" s="399" t="s">
        <v>1318</v>
      </c>
      <c r="V1257" s="399"/>
      <c r="W1257" s="399"/>
      <c r="X1257" s="400"/>
      <c r="Y1257" s="399"/>
      <c r="Z1257" s="399" t="s">
        <v>3466</v>
      </c>
      <c r="AA1257" s="399" t="s">
        <v>113</v>
      </c>
      <c r="AB1257" s="531" t="s">
        <v>1889</v>
      </c>
      <c r="AC1257" s="532"/>
      <c r="AD1257" s="400"/>
      <c r="AE1257" s="399"/>
      <c r="AF1257" s="399"/>
      <c r="AG1257" s="399" t="s">
        <v>3467</v>
      </c>
      <c r="AH1257" s="532"/>
      <c r="AI1257" s="399"/>
      <c r="AJ1257" s="400"/>
      <c r="AK1257" s="399"/>
      <c r="AL1257" s="489" t="s">
        <v>4752</v>
      </c>
      <c r="AM1257" s="489"/>
      <c r="AN1257" s="489" t="s">
        <v>3467</v>
      </c>
      <c r="AO1257" s="515" t="s">
        <v>3468</v>
      </c>
      <c r="AP1257" s="489" t="s">
        <v>3101</v>
      </c>
      <c r="AQ1257" s="409" t="s">
        <v>4754</v>
      </c>
      <c r="AR1257" s="399"/>
      <c r="AS1257" s="409" t="s">
        <v>4758</v>
      </c>
      <c r="AT1257" s="399"/>
      <c r="AU1257" s="399"/>
      <c r="AV1257" s="533">
        <v>27113001</v>
      </c>
      <c r="AW1257" s="538" t="s">
        <v>4759</v>
      </c>
      <c r="AX1257" s="534"/>
      <c r="AY1257" s="534"/>
      <c r="AZ1257" s="534"/>
      <c r="BA1257" s="534"/>
      <c r="BB1257" s="400"/>
      <c r="BC1257" s="399" t="str">
        <f t="shared" si="2"/>
        <v/>
      </c>
      <c r="BD1257" s="535">
        <v>5089</v>
      </c>
      <c r="BE1257" s="539"/>
      <c r="BF1257" s="399"/>
      <c r="BG1257" s="540"/>
      <c r="BH1257" s="407"/>
      <c r="BI1257" s="536">
        <v>27113001</v>
      </c>
      <c r="BJ1257" s="537" t="s">
        <v>4760</v>
      </c>
      <c r="BK1257" s="46">
        <f t="shared" si="1"/>
        <v>1</v>
      </c>
      <c r="BL1257" s="46">
        <f t="shared" si="3"/>
        <v>1</v>
      </c>
      <c r="BM1257" s="46">
        <f t="shared" si="4"/>
        <v>0</v>
      </c>
      <c r="BN1257" s="46">
        <f t="shared" si="5"/>
        <v>0</v>
      </c>
    </row>
    <row r="1258" spans="1:66" ht="12.75" customHeight="1">
      <c r="A1258" s="399">
        <v>1265</v>
      </c>
      <c r="B1258" s="399" t="s">
        <v>4762</v>
      </c>
      <c r="C1258" s="399" t="str">
        <f t="shared" si="0"/>
        <v>Systolic blood pressure</v>
      </c>
      <c r="D1258" s="400" t="s">
        <v>4762</v>
      </c>
      <c r="E1258" s="399" t="s">
        <v>96</v>
      </c>
      <c r="F1258" s="400" t="s">
        <v>1787</v>
      </c>
      <c r="G1258" s="400"/>
      <c r="H1258" s="400"/>
      <c r="I1258" s="400"/>
      <c r="J1258" s="400"/>
      <c r="K1258" s="400">
        <v>1</v>
      </c>
      <c r="L1258" s="400" t="s">
        <v>3333</v>
      </c>
      <c r="M1258" s="402" t="s">
        <v>3450</v>
      </c>
      <c r="N1258" s="400"/>
      <c r="O1258" s="428" t="s">
        <v>3451</v>
      </c>
      <c r="P1258" s="428"/>
      <c r="Q1258" s="399" t="s">
        <v>4763</v>
      </c>
      <c r="R1258" s="428" t="s">
        <v>4762</v>
      </c>
      <c r="S1258" s="530"/>
      <c r="T1258" s="399" t="s">
        <v>4764</v>
      </c>
      <c r="U1258" s="399" t="s">
        <v>168</v>
      </c>
      <c r="V1258" s="399"/>
      <c r="W1258" s="399"/>
      <c r="X1258" s="400"/>
      <c r="Y1258" s="399"/>
      <c r="Z1258" s="399" t="s">
        <v>1362</v>
      </c>
      <c r="AA1258" s="399" t="s">
        <v>113</v>
      </c>
      <c r="AB1258" s="531" t="s">
        <v>3178</v>
      </c>
      <c r="AC1258" s="532" t="s">
        <v>4765</v>
      </c>
      <c r="AD1258" s="400"/>
      <c r="AE1258" s="399"/>
      <c r="AF1258" s="399"/>
      <c r="AG1258" s="399" t="s">
        <v>4766</v>
      </c>
      <c r="AH1258" s="532"/>
      <c r="AI1258" s="399"/>
      <c r="AJ1258" s="400"/>
      <c r="AK1258" s="399"/>
      <c r="AL1258" s="489" t="s">
        <v>4752</v>
      </c>
      <c r="AM1258" s="489"/>
      <c r="AN1258" s="489" t="s">
        <v>4767</v>
      </c>
      <c r="AO1258" s="515" t="s">
        <v>4768</v>
      </c>
      <c r="AP1258" s="489" t="s">
        <v>3101</v>
      </c>
      <c r="AQ1258" s="409" t="s">
        <v>4754</v>
      </c>
      <c r="AR1258" s="399"/>
      <c r="AS1258" s="409" t="s">
        <v>3162</v>
      </c>
      <c r="AT1258" s="399"/>
      <c r="AU1258" s="399"/>
      <c r="AV1258" s="533">
        <v>271649006</v>
      </c>
      <c r="AW1258" s="541" t="s">
        <v>4770</v>
      </c>
      <c r="AX1258" s="541"/>
      <c r="AY1258" s="541"/>
      <c r="AZ1258" s="541"/>
      <c r="BA1258" s="541"/>
      <c r="BB1258" s="400"/>
      <c r="BC1258" s="399" t="str">
        <f t="shared" si="2"/>
        <v/>
      </c>
      <c r="BD1258" s="535">
        <v>5085</v>
      </c>
      <c r="BE1258" s="517"/>
      <c r="BF1258" s="399"/>
      <c r="BG1258" s="542" t="s">
        <v>1365</v>
      </c>
      <c r="BH1258" s="407"/>
      <c r="BI1258" s="536">
        <v>271649006</v>
      </c>
      <c r="BJ1258" s="543" t="s">
        <v>4770</v>
      </c>
      <c r="BK1258" s="46">
        <f t="shared" si="1"/>
        <v>1</v>
      </c>
      <c r="BL1258" s="46">
        <f t="shared" si="3"/>
        <v>1</v>
      </c>
      <c r="BM1258" s="46">
        <f t="shared" si="4"/>
        <v>0</v>
      </c>
      <c r="BN1258" s="46">
        <f t="shared" si="5"/>
        <v>0</v>
      </c>
    </row>
    <row r="1259" spans="1:66" ht="12.75" customHeight="1">
      <c r="A1259" s="399">
        <v>1266</v>
      </c>
      <c r="B1259" s="399" t="s">
        <v>4772</v>
      </c>
      <c r="C1259" s="399" t="str">
        <f t="shared" si="0"/>
        <v>Diastolic blood pressure</v>
      </c>
      <c r="D1259" s="400" t="s">
        <v>4772</v>
      </c>
      <c r="E1259" s="399" t="s">
        <v>96</v>
      </c>
      <c r="F1259" s="400" t="s">
        <v>1787</v>
      </c>
      <c r="G1259" s="400"/>
      <c r="H1259" s="400"/>
      <c r="I1259" s="400"/>
      <c r="J1259" s="400"/>
      <c r="K1259" s="400">
        <v>1</v>
      </c>
      <c r="L1259" s="400" t="s">
        <v>3333</v>
      </c>
      <c r="M1259" s="402" t="s">
        <v>3450</v>
      </c>
      <c r="N1259" s="400"/>
      <c r="O1259" s="428" t="s">
        <v>3451</v>
      </c>
      <c r="P1259" s="428"/>
      <c r="Q1259" s="399" t="s">
        <v>4773</v>
      </c>
      <c r="R1259" s="428" t="s">
        <v>4772</v>
      </c>
      <c r="S1259" s="530"/>
      <c r="T1259" s="399" t="s">
        <v>4774</v>
      </c>
      <c r="U1259" s="399" t="s">
        <v>168</v>
      </c>
      <c r="V1259" s="399"/>
      <c r="W1259" s="399"/>
      <c r="X1259" s="400"/>
      <c r="Y1259" s="399"/>
      <c r="Z1259" s="399" t="s">
        <v>1362</v>
      </c>
      <c r="AA1259" s="399" t="s">
        <v>113</v>
      </c>
      <c r="AB1259" s="531" t="s">
        <v>3178</v>
      </c>
      <c r="AC1259" s="532" t="s">
        <v>4765</v>
      </c>
      <c r="AD1259" s="400"/>
      <c r="AE1259" s="399"/>
      <c r="AF1259" s="399"/>
      <c r="AG1259" s="399" t="s">
        <v>4777</v>
      </c>
      <c r="AH1259" s="532"/>
      <c r="AI1259" s="399"/>
      <c r="AJ1259" s="400"/>
      <c r="AK1259" s="399"/>
      <c r="AL1259" s="489" t="s">
        <v>4752</v>
      </c>
      <c r="AM1259" s="489"/>
      <c r="AN1259" s="489" t="s">
        <v>4767</v>
      </c>
      <c r="AO1259" s="515" t="s">
        <v>4768</v>
      </c>
      <c r="AP1259" s="489" t="s">
        <v>3101</v>
      </c>
      <c r="AQ1259" s="409" t="s">
        <v>4754</v>
      </c>
      <c r="AR1259" s="399"/>
      <c r="AS1259" s="409" t="s">
        <v>3162</v>
      </c>
      <c r="AT1259" s="399"/>
      <c r="AU1259" s="399"/>
      <c r="AV1259" s="533">
        <v>271650006</v>
      </c>
      <c r="AW1259" s="541" t="s">
        <v>4779</v>
      </c>
      <c r="AX1259" s="541"/>
      <c r="AY1259" s="541"/>
      <c r="AZ1259" s="541"/>
      <c r="BA1259" s="541"/>
      <c r="BB1259" s="400"/>
      <c r="BC1259" s="399" t="str">
        <f t="shared" si="2"/>
        <v/>
      </c>
      <c r="BD1259" s="535">
        <v>5086</v>
      </c>
      <c r="BE1259" s="517"/>
      <c r="BF1259" s="399"/>
      <c r="BG1259" s="542" t="s">
        <v>1371</v>
      </c>
      <c r="BH1259" s="407"/>
      <c r="BI1259" s="536">
        <v>271650006</v>
      </c>
      <c r="BJ1259" s="543" t="s">
        <v>4779</v>
      </c>
      <c r="BK1259" s="46">
        <f t="shared" si="1"/>
        <v>1</v>
      </c>
      <c r="BL1259" s="46">
        <f t="shared" si="3"/>
        <v>1</v>
      </c>
      <c r="BM1259" s="46">
        <f t="shared" si="4"/>
        <v>0</v>
      </c>
      <c r="BN1259" s="46">
        <f t="shared" si="5"/>
        <v>0</v>
      </c>
    </row>
    <row r="1260" spans="1:66" ht="12.75" customHeight="1">
      <c r="A1260" s="399">
        <v>1267</v>
      </c>
      <c r="B1260" s="399" t="s">
        <v>4780</v>
      </c>
      <c r="C1260" s="399" t="str">
        <f t="shared" si="0"/>
        <v>Parity</v>
      </c>
      <c r="D1260" s="400" t="s">
        <v>4780</v>
      </c>
      <c r="E1260" s="399" t="s">
        <v>96</v>
      </c>
      <c r="F1260" s="400" t="s">
        <v>1787</v>
      </c>
      <c r="G1260" s="400"/>
      <c r="H1260" s="400"/>
      <c r="I1260" s="400"/>
      <c r="J1260" s="400"/>
      <c r="K1260" s="400">
        <v>1</v>
      </c>
      <c r="L1260" s="400" t="s">
        <v>3333</v>
      </c>
      <c r="M1260" s="402" t="s">
        <v>3489</v>
      </c>
      <c r="N1260" s="400"/>
      <c r="O1260" s="428" t="s">
        <v>3477</v>
      </c>
      <c r="P1260" s="428"/>
      <c r="Q1260" s="399" t="s">
        <v>3478</v>
      </c>
      <c r="R1260" s="428" t="s">
        <v>4780</v>
      </c>
      <c r="S1260" s="399"/>
      <c r="T1260" s="399" t="s">
        <v>3479</v>
      </c>
      <c r="U1260" s="399" t="s">
        <v>168</v>
      </c>
      <c r="V1260" s="399"/>
      <c r="W1260" s="399"/>
      <c r="X1260" s="400"/>
      <c r="Y1260" s="517"/>
      <c r="Z1260" s="517"/>
      <c r="AA1260" s="399" t="s">
        <v>113</v>
      </c>
      <c r="AB1260" s="399" t="s">
        <v>3178</v>
      </c>
      <c r="AC1260" s="532" t="s">
        <v>3482</v>
      </c>
      <c r="AD1260" s="399"/>
      <c r="AE1260" s="399"/>
      <c r="AF1260" s="399"/>
      <c r="AG1260" s="399"/>
      <c r="AH1260" s="532"/>
      <c r="AI1260" s="399"/>
      <c r="AJ1260" s="399"/>
      <c r="AK1260" s="399"/>
      <c r="AL1260" s="399"/>
      <c r="AM1260" s="399"/>
      <c r="AN1260" s="399"/>
      <c r="AO1260" s="399"/>
      <c r="AP1260" s="399"/>
      <c r="AQ1260" s="399"/>
      <c r="AR1260" s="399"/>
      <c r="AS1260" s="409" t="s">
        <v>3162</v>
      </c>
      <c r="AT1260" s="399"/>
      <c r="AU1260" s="399"/>
      <c r="AV1260" s="496"/>
      <c r="AW1260" s="541" t="s">
        <v>4781</v>
      </c>
      <c r="AX1260" s="541"/>
      <c r="AY1260" s="541"/>
      <c r="AZ1260" s="541"/>
      <c r="BA1260" s="541"/>
      <c r="BB1260" s="400"/>
      <c r="BC1260" s="399" t="str">
        <f t="shared" si="2"/>
        <v/>
      </c>
      <c r="BD1260" s="535">
        <v>162557</v>
      </c>
      <c r="BE1260" s="517" t="s">
        <v>4782</v>
      </c>
      <c r="BF1260" s="399"/>
      <c r="BG1260" s="540"/>
      <c r="BH1260" s="407"/>
      <c r="BI1260" s="407">
        <v>364325004</v>
      </c>
      <c r="BJ1260" s="543" t="s">
        <v>4781</v>
      </c>
      <c r="BK1260" s="46">
        <f t="shared" si="1"/>
        <v>1</v>
      </c>
      <c r="BL1260" s="46">
        <f t="shared" si="3"/>
        <v>0</v>
      </c>
      <c r="BM1260" s="46">
        <f t="shared" si="4"/>
        <v>1</v>
      </c>
      <c r="BN1260" s="46">
        <f t="shared" si="5"/>
        <v>0</v>
      </c>
    </row>
    <row r="1261" spans="1:66" ht="12.75" customHeight="1">
      <c r="A1261" s="399">
        <v>1268</v>
      </c>
      <c r="B1261" s="399" t="s">
        <v>3488</v>
      </c>
      <c r="C1261" s="399" t="str">
        <f t="shared" si="0"/>
        <v>Number of pregnancies</v>
      </c>
      <c r="D1261" s="400" t="s">
        <v>3488</v>
      </c>
      <c r="E1261" s="399" t="s">
        <v>96</v>
      </c>
      <c r="F1261" s="400" t="s">
        <v>1787</v>
      </c>
      <c r="G1261" s="400"/>
      <c r="H1261" s="400"/>
      <c r="I1261" s="400"/>
      <c r="J1261" s="400"/>
      <c r="K1261" s="400">
        <v>1</v>
      </c>
      <c r="L1261" s="400" t="s">
        <v>3333</v>
      </c>
      <c r="M1261" s="402" t="s">
        <v>3489</v>
      </c>
      <c r="N1261" s="400"/>
      <c r="O1261" s="428" t="s">
        <v>3477</v>
      </c>
      <c r="P1261" s="428"/>
      <c r="Q1261" s="399" t="s">
        <v>3490</v>
      </c>
      <c r="R1261" s="428" t="s">
        <v>3488</v>
      </c>
      <c r="S1261" s="399"/>
      <c r="T1261" s="399" t="s">
        <v>3491</v>
      </c>
      <c r="U1261" s="399" t="s">
        <v>168</v>
      </c>
      <c r="V1261" s="399"/>
      <c r="W1261" s="399"/>
      <c r="X1261" s="400"/>
      <c r="Y1261" s="517" t="s">
        <v>3492</v>
      </c>
      <c r="Z1261" s="517"/>
      <c r="AA1261" s="399" t="s">
        <v>113</v>
      </c>
      <c r="AB1261" s="399" t="s">
        <v>3178</v>
      </c>
      <c r="AC1261" s="532" t="s">
        <v>3482</v>
      </c>
      <c r="AD1261" s="399"/>
      <c r="AE1261" s="399"/>
      <c r="AF1261" s="399"/>
      <c r="AG1261" s="399"/>
      <c r="AH1261" s="532"/>
      <c r="AI1261" s="399"/>
      <c r="AJ1261" s="399"/>
      <c r="AK1261" s="399"/>
      <c r="AL1261" s="399"/>
      <c r="AM1261" s="399"/>
      <c r="AN1261" s="399"/>
      <c r="AO1261" s="399"/>
      <c r="AP1261" s="399"/>
      <c r="AQ1261" s="399"/>
      <c r="AR1261" s="399"/>
      <c r="AS1261" s="409" t="s">
        <v>3162</v>
      </c>
      <c r="AT1261" s="399"/>
      <c r="AU1261" s="399"/>
      <c r="AV1261" s="496"/>
      <c r="AW1261" s="541" t="s">
        <v>3496</v>
      </c>
      <c r="AX1261" s="541"/>
      <c r="AY1261" s="541"/>
      <c r="AZ1261" s="541"/>
      <c r="BA1261" s="541"/>
      <c r="BB1261" s="399"/>
      <c r="BC1261" s="399" t="str">
        <f t="shared" si="2"/>
        <v/>
      </c>
      <c r="BD1261" s="399"/>
      <c r="BE1261" s="399"/>
      <c r="BF1261" s="399"/>
      <c r="BG1261" s="540"/>
      <c r="BH1261" s="407"/>
      <c r="BI1261" s="407">
        <v>161732006</v>
      </c>
      <c r="BJ1261" s="543" t="s">
        <v>3496</v>
      </c>
      <c r="BK1261" s="46">
        <f t="shared" si="1"/>
        <v>1</v>
      </c>
      <c r="BL1261" s="46">
        <f t="shared" si="3"/>
        <v>0</v>
      </c>
      <c r="BM1261" s="46">
        <f t="shared" si="4"/>
        <v>1</v>
      </c>
      <c r="BN1261" s="46">
        <f t="shared" si="5"/>
        <v>0</v>
      </c>
    </row>
    <row r="1262" spans="1:66" ht="12.75" customHeight="1">
      <c r="A1262" s="399">
        <v>1269</v>
      </c>
      <c r="B1262" s="399" t="s">
        <v>4011</v>
      </c>
      <c r="C1262" s="399" t="str">
        <f t="shared" si="0"/>
        <v>Pregnancy test recommended</v>
      </c>
      <c r="D1262" s="400" t="s">
        <v>4011</v>
      </c>
      <c r="E1262" s="399" t="s">
        <v>96</v>
      </c>
      <c r="F1262" s="400" t="s">
        <v>1787</v>
      </c>
      <c r="G1262" s="400"/>
      <c r="H1262" s="400"/>
      <c r="I1262" s="400"/>
      <c r="J1262" s="400"/>
      <c r="K1262" s="400">
        <v>1</v>
      </c>
      <c r="L1262" s="400" t="s">
        <v>3333</v>
      </c>
      <c r="M1262" s="402" t="s">
        <v>3489</v>
      </c>
      <c r="N1262" s="400"/>
      <c r="O1262" s="428" t="s">
        <v>3477</v>
      </c>
      <c r="P1262" s="428"/>
      <c r="Q1262" s="399" t="s">
        <v>4012</v>
      </c>
      <c r="R1262" s="428" t="s">
        <v>4011</v>
      </c>
      <c r="S1262" s="399"/>
      <c r="T1262" s="399" t="s">
        <v>4790</v>
      </c>
      <c r="U1262" s="399" t="s">
        <v>3169</v>
      </c>
      <c r="V1262" s="399"/>
      <c r="W1262" s="399" t="s">
        <v>3170</v>
      </c>
      <c r="X1262" s="400"/>
      <c r="Y1262" s="517" t="s">
        <v>208</v>
      </c>
      <c r="Z1262" s="517"/>
      <c r="AA1262" s="399" t="s">
        <v>208</v>
      </c>
      <c r="AB1262" s="399" t="s">
        <v>3178</v>
      </c>
      <c r="AC1262" s="532" t="s">
        <v>4792</v>
      </c>
      <c r="AD1262" s="517"/>
      <c r="AE1262" s="399"/>
      <c r="AF1262" s="399"/>
      <c r="AG1262" s="399"/>
      <c r="AH1262" s="532"/>
      <c r="AI1262" s="399"/>
      <c r="AJ1262" s="517"/>
      <c r="AK1262" s="399"/>
      <c r="AL1262" s="399"/>
      <c r="AM1262" s="399"/>
      <c r="AN1262" s="399"/>
      <c r="AO1262" s="399"/>
      <c r="AP1262" s="399"/>
      <c r="AQ1262" s="399"/>
      <c r="AR1262" s="399"/>
      <c r="AS1262" s="399"/>
      <c r="AT1262" s="399"/>
      <c r="AU1262" s="399"/>
      <c r="AV1262" s="517"/>
      <c r="AW1262" s="534"/>
      <c r="AX1262" s="534"/>
      <c r="AY1262" s="534"/>
      <c r="AZ1262" s="534"/>
      <c r="BA1262" s="534"/>
      <c r="BB1262" s="400"/>
      <c r="BC1262" s="399" t="str">
        <f t="shared" si="2"/>
        <v/>
      </c>
      <c r="BD1262" s="400"/>
      <c r="BE1262" s="399"/>
      <c r="BF1262" s="399"/>
      <c r="BG1262" s="540"/>
      <c r="BH1262" s="407"/>
      <c r="BI1262" s="414"/>
      <c r="BJ1262" s="537"/>
      <c r="BK1262" s="46">
        <f t="shared" si="1"/>
        <v>1</v>
      </c>
      <c r="BL1262" s="46">
        <f t="shared" si="3"/>
        <v>0</v>
      </c>
      <c r="BM1262" s="46">
        <f t="shared" si="4"/>
        <v>1</v>
      </c>
      <c r="BN1262" s="46">
        <f t="shared" si="5"/>
        <v>0</v>
      </c>
    </row>
    <row r="1263" spans="1:66" ht="12.75" customHeight="1">
      <c r="A1263" s="399">
        <v>1270</v>
      </c>
      <c r="B1263" s="399" t="s">
        <v>3986</v>
      </c>
      <c r="C1263" s="399" t="str">
        <f t="shared" si="0"/>
        <v>Pregnancy status</v>
      </c>
      <c r="D1263" s="400" t="s">
        <v>3986</v>
      </c>
      <c r="E1263" s="399" t="s">
        <v>96</v>
      </c>
      <c r="F1263" s="400" t="s">
        <v>1787</v>
      </c>
      <c r="G1263" s="400"/>
      <c r="H1263" s="400"/>
      <c r="I1263" s="400"/>
      <c r="J1263" s="400"/>
      <c r="K1263" s="400">
        <v>1</v>
      </c>
      <c r="L1263" s="400" t="s">
        <v>3333</v>
      </c>
      <c r="M1263" s="402" t="s">
        <v>3489</v>
      </c>
      <c r="N1263" s="400"/>
      <c r="O1263" s="428" t="s">
        <v>3477</v>
      </c>
      <c r="P1263" s="428"/>
      <c r="Q1263" s="399" t="s">
        <v>3988</v>
      </c>
      <c r="R1263" s="428" t="s">
        <v>3986</v>
      </c>
      <c r="S1263" s="399"/>
      <c r="T1263" s="399" t="s">
        <v>4797</v>
      </c>
      <c r="U1263" s="399" t="s">
        <v>4694</v>
      </c>
      <c r="V1263" s="399"/>
      <c r="W1263" s="399"/>
      <c r="X1263" s="400"/>
      <c r="Y1263" s="517" t="s">
        <v>208</v>
      </c>
      <c r="Z1263" s="517"/>
      <c r="AA1263" s="399" t="s">
        <v>113</v>
      </c>
      <c r="AB1263" s="399" t="s">
        <v>3178</v>
      </c>
      <c r="AC1263" s="532" t="s">
        <v>4798</v>
      </c>
      <c r="AD1263" s="517"/>
      <c r="AE1263" s="399"/>
      <c r="AF1263" s="399"/>
      <c r="AG1263" s="399"/>
      <c r="AH1263" s="532" t="s">
        <v>3991</v>
      </c>
      <c r="AI1263" s="399"/>
      <c r="AJ1263" s="517"/>
      <c r="AK1263" s="399"/>
      <c r="AL1263" s="399"/>
      <c r="AM1263" s="399"/>
      <c r="AN1263" s="399"/>
      <c r="AO1263" s="399"/>
      <c r="AP1263" s="399"/>
      <c r="AQ1263" s="399"/>
      <c r="AR1263" s="399"/>
      <c r="AS1263" s="409" t="s">
        <v>3162</v>
      </c>
      <c r="AT1263" s="399"/>
      <c r="AU1263" s="399"/>
      <c r="AV1263" s="517"/>
      <c r="AW1263" s="534" t="s">
        <v>4800</v>
      </c>
      <c r="AX1263" s="534"/>
      <c r="AY1263" s="534"/>
      <c r="AZ1263" s="534"/>
      <c r="BA1263" s="534"/>
      <c r="BB1263" s="400"/>
      <c r="BC1263" s="399" t="str">
        <f t="shared" si="2"/>
        <v/>
      </c>
      <c r="BD1263" s="535">
        <v>5272</v>
      </c>
      <c r="BE1263" s="399"/>
      <c r="BF1263" s="399"/>
      <c r="BG1263" s="540"/>
      <c r="BH1263" s="407"/>
      <c r="BI1263" s="414"/>
      <c r="BJ1263" s="537" t="s">
        <v>4800</v>
      </c>
      <c r="BK1263" s="46">
        <f t="shared" si="1"/>
        <v>1</v>
      </c>
      <c r="BL1263" s="46">
        <f t="shared" si="3"/>
        <v>0</v>
      </c>
      <c r="BM1263" s="46">
        <f t="shared" si="4"/>
        <v>1</v>
      </c>
      <c r="BN1263" s="46">
        <f t="shared" si="5"/>
        <v>0</v>
      </c>
    </row>
    <row r="1264" spans="1:66" ht="12.75" customHeight="1">
      <c r="A1264" s="399">
        <v>1271</v>
      </c>
      <c r="B1264" s="399" t="s">
        <v>3995</v>
      </c>
      <c r="C1264" s="399" t="e">
        <f t="shared" ca="1" si="0"/>
        <v>#NAME?</v>
      </c>
      <c r="D1264" s="400" t="s">
        <v>3997</v>
      </c>
      <c r="E1264" s="399" t="s">
        <v>180</v>
      </c>
      <c r="F1264" s="400" t="s">
        <v>3986</v>
      </c>
      <c r="G1264" s="400"/>
      <c r="H1264" s="400"/>
      <c r="I1264" s="400"/>
      <c r="J1264" s="400"/>
      <c r="K1264" s="400">
        <v>1</v>
      </c>
      <c r="L1264" s="400" t="s">
        <v>3333</v>
      </c>
      <c r="M1264" s="402" t="s">
        <v>3489</v>
      </c>
      <c r="N1264" s="400"/>
      <c r="O1264" s="428" t="s">
        <v>3477</v>
      </c>
      <c r="P1264" s="428"/>
      <c r="Q1264" s="399" t="s">
        <v>3996</v>
      </c>
      <c r="R1264" s="428"/>
      <c r="S1264" s="399"/>
      <c r="T1264" s="399" t="s">
        <v>3797</v>
      </c>
      <c r="U1264" s="399" t="s">
        <v>4694</v>
      </c>
      <c r="V1264" s="399"/>
      <c r="W1264" s="545" t="s">
        <v>3997</v>
      </c>
      <c r="X1264" s="400"/>
      <c r="Y1264" s="517" t="s">
        <v>208</v>
      </c>
      <c r="Z1264" s="517"/>
      <c r="AA1264" s="399" t="s">
        <v>113</v>
      </c>
      <c r="AB1264" s="399" t="s">
        <v>3178</v>
      </c>
      <c r="AC1264" s="532" t="s">
        <v>113</v>
      </c>
      <c r="AD1264" s="399"/>
      <c r="AE1264" s="399"/>
      <c r="AF1264" s="399"/>
      <c r="AG1264" s="399"/>
      <c r="AH1264" s="532"/>
      <c r="AI1264" s="399"/>
      <c r="AJ1264" s="399"/>
      <c r="AK1264" s="399"/>
      <c r="AL1264" s="399"/>
      <c r="AM1264" s="399"/>
      <c r="AN1264" s="399"/>
      <c r="AO1264" s="399"/>
      <c r="AP1264" s="399"/>
      <c r="AQ1264" s="399"/>
      <c r="AR1264" s="399"/>
      <c r="AS1264" s="409" t="s">
        <v>3162</v>
      </c>
      <c r="AT1264" s="399"/>
      <c r="AU1264" s="399"/>
      <c r="AV1264" s="517">
        <v>77386006</v>
      </c>
      <c r="AW1264" s="541" t="s">
        <v>3998</v>
      </c>
      <c r="AX1264" s="541"/>
      <c r="AY1264" s="541"/>
      <c r="AZ1264" s="541"/>
      <c r="BA1264" s="541"/>
      <c r="BB1264" s="400"/>
      <c r="BC1264" s="399" t="e">
        <f t="shared" ca="1" si="2"/>
        <v>#NAME?</v>
      </c>
      <c r="BD1264" s="535"/>
      <c r="BE1264" s="399"/>
      <c r="BF1264" s="399"/>
      <c r="BG1264" s="540"/>
      <c r="BH1264" s="407"/>
      <c r="BI1264" s="546">
        <v>77386006</v>
      </c>
      <c r="BJ1264" s="543" t="s">
        <v>3998</v>
      </c>
      <c r="BK1264" s="46">
        <f t="shared" si="1"/>
        <v>1</v>
      </c>
      <c r="BL1264" s="46">
        <f t="shared" si="3"/>
        <v>1</v>
      </c>
      <c r="BM1264" s="46">
        <f t="shared" si="4"/>
        <v>0</v>
      </c>
      <c r="BN1264" s="46">
        <f t="shared" si="5"/>
        <v>0</v>
      </c>
    </row>
    <row r="1265" spans="1:66" ht="12.75" customHeight="1">
      <c r="A1265" s="399">
        <v>1272</v>
      </c>
      <c r="B1265" s="399" t="s">
        <v>3999</v>
      </c>
      <c r="C1265" s="399" t="e">
        <f t="shared" ca="1" si="0"/>
        <v>#NAME?</v>
      </c>
      <c r="D1265" s="400" t="s">
        <v>4001</v>
      </c>
      <c r="E1265" s="399" t="s">
        <v>180</v>
      </c>
      <c r="F1265" s="400" t="s">
        <v>3986</v>
      </c>
      <c r="G1265" s="400"/>
      <c r="H1265" s="400"/>
      <c r="I1265" s="400"/>
      <c r="J1265" s="400"/>
      <c r="K1265" s="400">
        <v>1</v>
      </c>
      <c r="L1265" s="400" t="s">
        <v>3333</v>
      </c>
      <c r="M1265" s="402" t="s">
        <v>3489</v>
      </c>
      <c r="N1265" s="400"/>
      <c r="O1265" s="428" t="s">
        <v>3477</v>
      </c>
      <c r="P1265" s="428"/>
      <c r="Q1265" s="399" t="s">
        <v>4000</v>
      </c>
      <c r="R1265" s="428"/>
      <c r="S1265" s="399"/>
      <c r="T1265" s="399" t="s">
        <v>4001</v>
      </c>
      <c r="U1265" s="399"/>
      <c r="V1265" s="399"/>
      <c r="W1265" s="545" t="s">
        <v>4001</v>
      </c>
      <c r="X1265" s="400"/>
      <c r="Y1265" s="517" t="s">
        <v>208</v>
      </c>
      <c r="Z1265" s="517"/>
      <c r="AA1265" s="399" t="s">
        <v>113</v>
      </c>
      <c r="AB1265" s="399"/>
      <c r="AC1265" s="532" t="s">
        <v>113</v>
      </c>
      <c r="AD1265" s="399"/>
      <c r="AE1265" s="399"/>
      <c r="AF1265" s="399"/>
      <c r="AG1265" s="399"/>
      <c r="AH1265" s="532"/>
      <c r="AI1265" s="399"/>
      <c r="AJ1265" s="399"/>
      <c r="AK1265" s="399"/>
      <c r="AL1265" s="399"/>
      <c r="AM1265" s="399"/>
      <c r="AN1265" s="399"/>
      <c r="AO1265" s="399"/>
      <c r="AP1265" s="399"/>
      <c r="AQ1265" s="399"/>
      <c r="AR1265" s="399"/>
      <c r="AS1265" s="409" t="s">
        <v>3162</v>
      </c>
      <c r="AT1265" s="399"/>
      <c r="AU1265" s="399"/>
      <c r="AV1265" s="517">
        <v>60001007</v>
      </c>
      <c r="AW1265" s="541" t="s">
        <v>4003</v>
      </c>
      <c r="AX1265" s="541"/>
      <c r="AY1265" s="541"/>
      <c r="AZ1265" s="541"/>
      <c r="BA1265" s="541"/>
      <c r="BB1265" s="399"/>
      <c r="BC1265" s="399" t="e">
        <f t="shared" ca="1" si="2"/>
        <v>#NAME?</v>
      </c>
      <c r="BD1265" s="399"/>
      <c r="BE1265" s="399"/>
      <c r="BF1265" s="399"/>
      <c r="BG1265" s="540"/>
      <c r="BH1265" s="407"/>
      <c r="BI1265" s="546">
        <v>60001007</v>
      </c>
      <c r="BJ1265" s="543" t="s">
        <v>4003</v>
      </c>
      <c r="BK1265" s="46">
        <f t="shared" si="1"/>
        <v>1</v>
      </c>
      <c r="BL1265" s="46">
        <f t="shared" si="3"/>
        <v>1</v>
      </c>
      <c r="BM1265" s="46">
        <f t="shared" si="4"/>
        <v>0</v>
      </c>
      <c r="BN1265" s="46">
        <f t="shared" si="5"/>
        <v>0</v>
      </c>
    </row>
    <row r="1266" spans="1:66" ht="12.75" customHeight="1">
      <c r="A1266" s="399">
        <v>1273</v>
      </c>
      <c r="B1266" s="399" t="s">
        <v>1162</v>
      </c>
      <c r="C1266" s="399" t="e">
        <f t="shared" ca="1" si="0"/>
        <v>#NAME?</v>
      </c>
      <c r="D1266" s="400" t="s">
        <v>936</v>
      </c>
      <c r="E1266" s="399" t="s">
        <v>180</v>
      </c>
      <c r="F1266" s="400" t="s">
        <v>3986</v>
      </c>
      <c r="G1266" s="400"/>
      <c r="H1266" s="400"/>
      <c r="I1266" s="400"/>
      <c r="J1266" s="400"/>
      <c r="K1266" s="400">
        <v>1</v>
      </c>
      <c r="L1266" s="400" t="s">
        <v>3333</v>
      </c>
      <c r="M1266" s="402" t="s">
        <v>3489</v>
      </c>
      <c r="N1266" s="400"/>
      <c r="O1266" s="428" t="s">
        <v>3477</v>
      </c>
      <c r="P1266" s="428"/>
      <c r="Q1266" s="399" t="s">
        <v>4004</v>
      </c>
      <c r="R1266" s="428"/>
      <c r="S1266" s="399"/>
      <c r="T1266" s="399" t="s">
        <v>4005</v>
      </c>
      <c r="U1266" s="399"/>
      <c r="V1266" s="399"/>
      <c r="W1266" s="399" t="s">
        <v>936</v>
      </c>
      <c r="X1266" s="400"/>
      <c r="Y1266" s="517" t="s">
        <v>208</v>
      </c>
      <c r="Z1266" s="399"/>
      <c r="AA1266" s="399" t="s">
        <v>113</v>
      </c>
      <c r="AB1266" s="399" t="s">
        <v>3178</v>
      </c>
      <c r="AC1266" s="532" t="s">
        <v>4814</v>
      </c>
      <c r="AD1266" s="399"/>
      <c r="AE1266" s="399"/>
      <c r="AF1266" s="399" t="s">
        <v>4007</v>
      </c>
      <c r="AG1266" s="399"/>
      <c r="AH1266" s="532"/>
      <c r="AI1266" s="399"/>
      <c r="AJ1266" s="399"/>
      <c r="AK1266" s="399"/>
      <c r="AL1266" s="399"/>
      <c r="AM1266" s="399"/>
      <c r="AN1266" s="399"/>
      <c r="AO1266" s="399"/>
      <c r="AP1266" s="399"/>
      <c r="AQ1266" s="399"/>
      <c r="AR1266" s="399"/>
      <c r="AS1266" s="399"/>
      <c r="AT1266" s="399"/>
      <c r="AU1266" s="399"/>
      <c r="AV1266" s="399"/>
      <c r="AW1266" s="541" t="s">
        <v>4009</v>
      </c>
      <c r="AX1266" s="541"/>
      <c r="AY1266" s="541"/>
      <c r="AZ1266" s="541"/>
      <c r="BA1266" s="541"/>
      <c r="BB1266" s="399"/>
      <c r="BC1266" s="399" t="e">
        <f t="shared" ca="1" si="2"/>
        <v>#NAME?</v>
      </c>
      <c r="BD1266" s="399"/>
      <c r="BE1266" s="399"/>
      <c r="BF1266" s="399"/>
      <c r="BG1266" s="540"/>
      <c r="BH1266" s="497"/>
      <c r="BI1266" s="497"/>
      <c r="BJ1266" s="547" t="s">
        <v>4009</v>
      </c>
      <c r="BK1266" s="46">
        <f t="shared" si="1"/>
        <v>1</v>
      </c>
      <c r="BL1266" s="46">
        <f t="shared" si="3"/>
        <v>1</v>
      </c>
      <c r="BM1266" s="46">
        <f t="shared" si="4"/>
        <v>0</v>
      </c>
      <c r="BN1266" s="46">
        <f t="shared" si="5"/>
        <v>0</v>
      </c>
    </row>
    <row r="1267" spans="1:66" ht="12.75" customHeight="1">
      <c r="A1267" s="399">
        <v>1275</v>
      </c>
      <c r="B1267" s="399" t="s">
        <v>4816</v>
      </c>
      <c r="C1267" s="399" t="str">
        <f t="shared" si="0"/>
        <v>Information source for pregnancy status</v>
      </c>
      <c r="D1267" s="400" t="s">
        <v>4816</v>
      </c>
      <c r="E1267" s="399" t="s">
        <v>96</v>
      </c>
      <c r="F1267" s="400" t="s">
        <v>1787</v>
      </c>
      <c r="G1267" s="400"/>
      <c r="H1267" s="400"/>
      <c r="I1267" s="400"/>
      <c r="J1267" s="400"/>
      <c r="K1267" s="400">
        <v>1</v>
      </c>
      <c r="L1267" s="400" t="s">
        <v>3333</v>
      </c>
      <c r="M1267" s="402" t="s">
        <v>3489</v>
      </c>
      <c r="N1267" s="400"/>
      <c r="O1267" s="428" t="s">
        <v>3477</v>
      </c>
      <c r="P1267" s="428"/>
      <c r="Q1267" s="399" t="s">
        <v>4821</v>
      </c>
      <c r="R1267" s="428" t="s">
        <v>4816</v>
      </c>
      <c r="S1267" s="399"/>
      <c r="T1267" s="399" t="s">
        <v>4822</v>
      </c>
      <c r="U1267" s="399" t="s">
        <v>4823</v>
      </c>
      <c r="V1267" s="399"/>
      <c r="W1267" s="399"/>
      <c r="X1267" s="399"/>
      <c r="Y1267" s="517" t="s">
        <v>208</v>
      </c>
      <c r="Z1267" s="399"/>
      <c r="AA1267" s="399" t="s">
        <v>113</v>
      </c>
      <c r="AB1267" s="399" t="s">
        <v>3178</v>
      </c>
      <c r="AC1267" s="548" t="s">
        <v>4825</v>
      </c>
      <c r="AD1267" s="400"/>
      <c r="AE1267" s="399"/>
      <c r="AF1267" s="399"/>
      <c r="AG1267" s="399"/>
      <c r="AH1267" s="532" t="s">
        <v>3851</v>
      </c>
      <c r="AI1267" s="399"/>
      <c r="AJ1267" s="400"/>
      <c r="AK1267" s="399"/>
      <c r="AL1267" s="399"/>
      <c r="AM1267" s="399"/>
      <c r="AN1267" s="399"/>
      <c r="AO1267" s="399"/>
      <c r="AP1267" s="399"/>
      <c r="AQ1267" s="399"/>
      <c r="AR1267" s="399"/>
      <c r="AS1267" s="409" t="s">
        <v>3162</v>
      </c>
      <c r="AT1267" s="399"/>
      <c r="AU1267" s="399"/>
      <c r="AV1267" s="549"/>
      <c r="AW1267" s="534" t="s">
        <v>4828</v>
      </c>
      <c r="AX1267" s="534"/>
      <c r="AY1267" s="534"/>
      <c r="AZ1267" s="534"/>
      <c r="BA1267" s="534"/>
      <c r="BB1267" s="399"/>
      <c r="BC1267" s="399" t="str">
        <f t="shared" si="2"/>
        <v/>
      </c>
      <c r="BD1267" s="399"/>
      <c r="BE1267" s="399"/>
      <c r="BF1267" s="399"/>
      <c r="BG1267" s="540"/>
      <c r="BH1267" s="407"/>
      <c r="BI1267" s="407"/>
      <c r="BJ1267" s="537" t="s">
        <v>4828</v>
      </c>
      <c r="BK1267" s="46">
        <f t="shared" si="1"/>
        <v>1</v>
      </c>
      <c r="BL1267" s="46">
        <f t="shared" si="3"/>
        <v>0</v>
      </c>
      <c r="BM1267" s="46">
        <f t="shared" si="4"/>
        <v>1</v>
      </c>
      <c r="BN1267" s="46">
        <f t="shared" si="5"/>
        <v>0</v>
      </c>
    </row>
    <row r="1268" spans="1:66" ht="12.75" customHeight="1">
      <c r="A1268" s="399">
        <v>1276</v>
      </c>
      <c r="B1268" s="399" t="s">
        <v>4829</v>
      </c>
      <c r="C1268" s="399" t="e">
        <f t="shared" ca="1" si="0"/>
        <v>#NAME?</v>
      </c>
      <c r="D1268" s="400" t="s">
        <v>4830</v>
      </c>
      <c r="E1268" s="399" t="s">
        <v>180</v>
      </c>
      <c r="F1268" s="400" t="s">
        <v>4816</v>
      </c>
      <c r="G1268" s="400"/>
      <c r="H1268" s="400"/>
      <c r="I1268" s="400"/>
      <c r="J1268" s="400"/>
      <c r="K1268" s="400">
        <v>1</v>
      </c>
      <c r="L1268" s="400" t="s">
        <v>3333</v>
      </c>
      <c r="M1268" s="402" t="s">
        <v>3489</v>
      </c>
      <c r="N1268" s="400"/>
      <c r="O1268" s="428" t="s">
        <v>3477</v>
      </c>
      <c r="P1268" s="428"/>
      <c r="Q1268" s="399" t="s">
        <v>4831</v>
      </c>
      <c r="R1268" s="428"/>
      <c r="S1268" s="399"/>
      <c r="T1268" s="399" t="s">
        <v>4832</v>
      </c>
      <c r="U1268" s="399"/>
      <c r="V1268" s="399"/>
      <c r="W1268" s="399" t="s">
        <v>4830</v>
      </c>
      <c r="X1268" s="400"/>
      <c r="Y1268" s="517" t="s">
        <v>208</v>
      </c>
      <c r="Z1268" s="399"/>
      <c r="AA1268" s="399"/>
      <c r="AB1268" s="399"/>
      <c r="AC1268" s="532"/>
      <c r="AD1268" s="400"/>
      <c r="AE1268" s="399"/>
      <c r="AF1268" s="399"/>
      <c r="AG1268" s="399"/>
      <c r="AH1268" s="532"/>
      <c r="AI1268" s="399"/>
      <c r="AJ1268" s="400"/>
      <c r="AK1268" s="399"/>
      <c r="AL1268" s="399"/>
      <c r="AM1268" s="399"/>
      <c r="AN1268" s="399"/>
      <c r="AO1268" s="399"/>
      <c r="AP1268" s="399"/>
      <c r="AQ1268" s="399"/>
      <c r="AR1268" s="399"/>
      <c r="AS1268" s="409" t="s">
        <v>4835</v>
      </c>
      <c r="AT1268" s="399"/>
      <c r="AU1268" s="399"/>
      <c r="AV1268" s="399">
        <v>167252002</v>
      </c>
      <c r="AW1268" s="550" t="s">
        <v>4837</v>
      </c>
      <c r="AX1268" s="541"/>
      <c r="AY1268" s="541"/>
      <c r="AZ1268" s="541"/>
      <c r="BA1268" s="541"/>
      <c r="BB1268" s="438" t="str">
        <f t="shared" ref="BB1268:BB1269" si="6">HYPERLINK("https://github.com/who-int/Data-Dictionary-Mapping/issues/17","17")</f>
        <v>17</v>
      </c>
      <c r="BC1268" s="399" t="e">
        <f t="shared" ca="1" si="2"/>
        <v>#NAME?</v>
      </c>
      <c r="BD1268" s="399"/>
      <c r="BE1268" s="399"/>
      <c r="BF1268" s="399"/>
      <c r="BG1268" s="540"/>
      <c r="BH1268" s="407"/>
      <c r="BI1268" s="407">
        <v>167252002</v>
      </c>
      <c r="BJ1268" s="543"/>
      <c r="BK1268" s="46">
        <f t="shared" si="1"/>
        <v>1</v>
      </c>
      <c r="BL1268" s="46">
        <f t="shared" si="3"/>
        <v>1</v>
      </c>
      <c r="BM1268" s="46">
        <f t="shared" si="4"/>
        <v>0</v>
      </c>
      <c r="BN1268" s="46">
        <f t="shared" si="5"/>
        <v>0</v>
      </c>
    </row>
    <row r="1269" spans="1:66" ht="12.75" customHeight="1">
      <c r="A1269" s="399">
        <v>1277</v>
      </c>
      <c r="B1269" s="399" t="s">
        <v>4841</v>
      </c>
      <c r="C1269" s="399" t="e">
        <f t="shared" ca="1" si="0"/>
        <v>#NAME?</v>
      </c>
      <c r="D1269" s="400" t="s">
        <v>4842</v>
      </c>
      <c r="E1269" s="399" t="s">
        <v>180</v>
      </c>
      <c r="F1269" s="400" t="s">
        <v>4816</v>
      </c>
      <c r="G1269" s="400"/>
      <c r="H1269" s="400"/>
      <c r="I1269" s="400"/>
      <c r="J1269" s="400"/>
      <c r="K1269" s="400">
        <v>1</v>
      </c>
      <c r="L1269" s="400" t="s">
        <v>3333</v>
      </c>
      <c r="M1269" s="402" t="s">
        <v>3489</v>
      </c>
      <c r="N1269" s="400"/>
      <c r="O1269" s="428" t="s">
        <v>3477</v>
      </c>
      <c r="P1269" s="428"/>
      <c r="Q1269" s="399" t="s">
        <v>4843</v>
      </c>
      <c r="R1269" s="428"/>
      <c r="S1269" s="399"/>
      <c r="T1269" s="399" t="s">
        <v>4844</v>
      </c>
      <c r="U1269" s="399"/>
      <c r="V1269" s="399"/>
      <c r="W1269" s="399" t="s">
        <v>4842</v>
      </c>
      <c r="X1269" s="400"/>
      <c r="Y1269" s="517" t="s">
        <v>208</v>
      </c>
      <c r="Z1269" s="399"/>
      <c r="AA1269" s="399"/>
      <c r="AB1269" s="399"/>
      <c r="AC1269" s="532"/>
      <c r="AD1269" s="400"/>
      <c r="AE1269" s="399"/>
      <c r="AF1269" s="399"/>
      <c r="AG1269" s="399"/>
      <c r="AH1269" s="532"/>
      <c r="AI1269" s="399"/>
      <c r="AJ1269" s="400"/>
      <c r="AK1269" s="399"/>
      <c r="AL1269" s="399"/>
      <c r="AM1269" s="399"/>
      <c r="AN1269" s="399"/>
      <c r="AO1269" s="399"/>
      <c r="AP1269" s="399"/>
      <c r="AQ1269" s="399"/>
      <c r="AR1269" s="399"/>
      <c r="AS1269" s="409" t="s">
        <v>4845</v>
      </c>
      <c r="AT1269" s="399"/>
      <c r="AU1269" s="399"/>
      <c r="AV1269" s="399">
        <v>166434005</v>
      </c>
      <c r="AW1269" s="550" t="s">
        <v>4846</v>
      </c>
      <c r="AX1269" s="541"/>
      <c r="AY1269" s="541"/>
      <c r="AZ1269" s="541"/>
      <c r="BA1269" s="541"/>
      <c r="BB1269" s="438" t="str">
        <f t="shared" si="6"/>
        <v>17</v>
      </c>
      <c r="BC1269" s="399" t="e">
        <f t="shared" ca="1" si="2"/>
        <v>#NAME?</v>
      </c>
      <c r="BD1269" s="399"/>
      <c r="BE1269" s="399"/>
      <c r="BF1269" s="399"/>
      <c r="BG1269" s="540"/>
      <c r="BH1269" s="407"/>
      <c r="BI1269" s="407">
        <v>166434005</v>
      </c>
      <c r="BJ1269" s="543"/>
      <c r="BK1269" s="46">
        <f t="shared" si="1"/>
        <v>1</v>
      </c>
      <c r="BL1269" s="46">
        <f t="shared" si="3"/>
        <v>1</v>
      </c>
      <c r="BM1269" s="46">
        <f t="shared" si="4"/>
        <v>0</v>
      </c>
      <c r="BN1269" s="46">
        <f t="shared" si="5"/>
        <v>0</v>
      </c>
    </row>
    <row r="1270" spans="1:66" ht="12.75" customHeight="1">
      <c r="A1270" s="399">
        <v>1278</v>
      </c>
      <c r="B1270" s="399" t="s">
        <v>4847</v>
      </c>
      <c r="C1270" s="399" t="e">
        <f t="shared" ca="1" si="0"/>
        <v>#NAME?</v>
      </c>
      <c r="D1270" s="400" t="s">
        <v>4848</v>
      </c>
      <c r="E1270" s="399" t="s">
        <v>180</v>
      </c>
      <c r="F1270" s="400" t="s">
        <v>4816</v>
      </c>
      <c r="G1270" s="400"/>
      <c r="H1270" s="400"/>
      <c r="I1270" s="400"/>
      <c r="J1270" s="400"/>
      <c r="K1270" s="400">
        <v>1</v>
      </c>
      <c r="L1270" s="400" t="s">
        <v>3333</v>
      </c>
      <c r="M1270" s="402" t="s">
        <v>3489</v>
      </c>
      <c r="N1270" s="400"/>
      <c r="O1270" s="428" t="s">
        <v>3477</v>
      </c>
      <c r="P1270" s="428"/>
      <c r="Q1270" s="399" t="s">
        <v>4849</v>
      </c>
      <c r="R1270" s="428"/>
      <c r="S1270" s="399"/>
      <c r="T1270" s="399" t="s">
        <v>4850</v>
      </c>
      <c r="U1270" s="399"/>
      <c r="V1270" s="399"/>
      <c r="W1270" s="399" t="s">
        <v>4848</v>
      </c>
      <c r="X1270" s="400"/>
      <c r="Y1270" s="517" t="s">
        <v>208</v>
      </c>
      <c r="Z1270" s="399"/>
      <c r="AA1270" s="399" t="s">
        <v>113</v>
      </c>
      <c r="AB1270" s="399" t="s">
        <v>3178</v>
      </c>
      <c r="AC1270" s="532" t="s">
        <v>4851</v>
      </c>
      <c r="AD1270" s="400"/>
      <c r="AE1270" s="399"/>
      <c r="AF1270" s="399"/>
      <c r="AG1270" s="399" t="s">
        <v>4852</v>
      </c>
      <c r="AH1270" s="532"/>
      <c r="AI1270" s="399"/>
      <c r="AJ1270" s="400"/>
      <c r="AK1270" s="399"/>
      <c r="AL1270" s="399"/>
      <c r="AM1270" s="399"/>
      <c r="AN1270" s="399"/>
      <c r="AO1270" s="399"/>
      <c r="AP1270" s="399"/>
      <c r="AQ1270" s="399"/>
      <c r="AR1270" s="399"/>
      <c r="AS1270" s="399"/>
      <c r="AT1270" s="399"/>
      <c r="AU1270" s="399"/>
      <c r="AV1270" s="399">
        <v>169563005</v>
      </c>
      <c r="AW1270" s="541"/>
      <c r="AX1270" s="541"/>
      <c r="AY1270" s="541"/>
      <c r="AZ1270" s="550" t="s">
        <v>4854</v>
      </c>
      <c r="BA1270" s="550"/>
      <c r="BB1270" s="399"/>
      <c r="BC1270" s="399" t="e">
        <f t="shared" ca="1" si="2"/>
        <v>#NAME?</v>
      </c>
      <c r="BD1270" s="399"/>
      <c r="BE1270" s="399"/>
      <c r="BF1270" s="399"/>
      <c r="BG1270" s="540"/>
      <c r="BH1270" s="407"/>
      <c r="BI1270" s="407">
        <v>169563005</v>
      </c>
      <c r="BJ1270" s="543"/>
      <c r="BK1270" s="46">
        <f t="shared" si="1"/>
        <v>1</v>
      </c>
      <c r="BL1270" s="46">
        <f t="shared" si="3"/>
        <v>1</v>
      </c>
      <c r="BM1270" s="46">
        <f t="shared" si="4"/>
        <v>0</v>
      </c>
      <c r="BN1270" s="46">
        <f t="shared" si="5"/>
        <v>0</v>
      </c>
    </row>
    <row r="1271" spans="1:66" ht="12.75" customHeight="1">
      <c r="A1271" s="399">
        <v>1279</v>
      </c>
      <c r="B1271" s="399" t="s">
        <v>4858</v>
      </c>
      <c r="C1271" s="399" t="e">
        <f t="shared" ca="1" si="0"/>
        <v>#NAME?</v>
      </c>
      <c r="D1271" s="400" t="s">
        <v>4859</v>
      </c>
      <c r="E1271" s="399" t="s">
        <v>180</v>
      </c>
      <c r="F1271" s="400" t="s">
        <v>4816</v>
      </c>
      <c r="G1271" s="400"/>
      <c r="H1271" s="400"/>
      <c r="I1271" s="400"/>
      <c r="J1271" s="400"/>
      <c r="K1271" s="400">
        <v>1</v>
      </c>
      <c r="L1271" s="400" t="s">
        <v>3333</v>
      </c>
      <c r="M1271" s="402" t="s">
        <v>3489</v>
      </c>
      <c r="N1271" s="400"/>
      <c r="O1271" s="428" t="s">
        <v>3477</v>
      </c>
      <c r="P1271" s="428"/>
      <c r="Q1271" s="399" t="s">
        <v>4860</v>
      </c>
      <c r="R1271" s="428"/>
      <c r="S1271" s="399"/>
      <c r="T1271" s="399" t="s">
        <v>4861</v>
      </c>
      <c r="U1271" s="399"/>
      <c r="V1271" s="399"/>
      <c r="W1271" s="399" t="s">
        <v>4859</v>
      </c>
      <c r="X1271" s="400"/>
      <c r="Y1271" s="517" t="s">
        <v>208</v>
      </c>
      <c r="Z1271" s="399"/>
      <c r="AA1271" s="399" t="s">
        <v>113</v>
      </c>
      <c r="AB1271" s="399" t="s">
        <v>3178</v>
      </c>
      <c r="AC1271" s="532"/>
      <c r="AD1271" s="400"/>
      <c r="AE1271" s="399"/>
      <c r="AF1271" s="399"/>
      <c r="AG1271" s="399"/>
      <c r="AH1271" s="532"/>
      <c r="AI1271" s="399"/>
      <c r="AJ1271" s="400"/>
      <c r="AK1271" s="399"/>
      <c r="AL1271" s="399"/>
      <c r="AM1271" s="399"/>
      <c r="AN1271" s="399"/>
      <c r="AO1271" s="399"/>
      <c r="AP1271" s="399"/>
      <c r="AQ1271" s="399"/>
      <c r="AR1271" s="399"/>
      <c r="AS1271" s="399"/>
      <c r="AT1271" s="399"/>
      <c r="AU1271" s="399"/>
      <c r="AV1271" s="549"/>
      <c r="AW1271" s="541"/>
      <c r="AX1271" s="541"/>
      <c r="AY1271" s="541"/>
      <c r="AZ1271" s="541"/>
      <c r="BA1271" s="550"/>
      <c r="BB1271" s="399"/>
      <c r="BC1271" s="399" t="e">
        <f t="shared" ca="1" si="2"/>
        <v>#NAME?</v>
      </c>
      <c r="BD1271" s="399"/>
      <c r="BE1271" s="399"/>
      <c r="BF1271" s="399"/>
      <c r="BG1271" s="540"/>
      <c r="BH1271" s="407"/>
      <c r="BI1271" s="407"/>
      <c r="BJ1271" s="543"/>
      <c r="BK1271" s="46">
        <f t="shared" si="1"/>
        <v>1</v>
      </c>
      <c r="BL1271" s="46">
        <f t="shared" si="3"/>
        <v>0</v>
      </c>
      <c r="BM1271" s="46">
        <f t="shared" si="4"/>
        <v>1</v>
      </c>
      <c r="BN1271" s="46">
        <f t="shared" si="5"/>
        <v>0</v>
      </c>
    </row>
    <row r="1272" spans="1:66" ht="12.75" customHeight="1">
      <c r="A1272" s="399">
        <v>1280</v>
      </c>
      <c r="B1272" s="399" t="s">
        <v>4017</v>
      </c>
      <c r="C1272" s="399" t="str">
        <f t="shared" si="0"/>
        <v>Sensitivity of pregnancy test</v>
      </c>
      <c r="D1272" s="400" t="s">
        <v>4017</v>
      </c>
      <c r="E1272" s="399" t="s">
        <v>96</v>
      </c>
      <c r="F1272" s="400" t="s">
        <v>1787</v>
      </c>
      <c r="G1272" s="400"/>
      <c r="H1272" s="400"/>
      <c r="I1272" s="400"/>
      <c r="J1272" s="400"/>
      <c r="K1272" s="400">
        <v>1</v>
      </c>
      <c r="L1272" s="400" t="s">
        <v>3333</v>
      </c>
      <c r="M1272" s="402" t="s">
        <v>3489</v>
      </c>
      <c r="N1272" s="400"/>
      <c r="O1272" s="428" t="s">
        <v>3477</v>
      </c>
      <c r="P1272" s="428"/>
      <c r="Q1272" s="399" t="s">
        <v>4018</v>
      </c>
      <c r="R1272" s="428" t="s">
        <v>4017</v>
      </c>
      <c r="S1272" s="399"/>
      <c r="T1272" s="399"/>
      <c r="U1272" s="399" t="s">
        <v>4694</v>
      </c>
      <c r="V1272" s="399"/>
      <c r="W1272" s="399"/>
      <c r="X1272" s="400"/>
      <c r="Y1272" s="517" t="s">
        <v>208</v>
      </c>
      <c r="Z1272" s="399"/>
      <c r="AA1272" s="399" t="s">
        <v>113</v>
      </c>
      <c r="AB1272" s="399" t="s">
        <v>1889</v>
      </c>
      <c r="AC1272" s="532" t="s">
        <v>4019</v>
      </c>
      <c r="AD1272" s="400"/>
      <c r="AE1272" s="399"/>
      <c r="AF1272" s="399"/>
      <c r="AG1272" s="399"/>
      <c r="AH1272" s="532"/>
      <c r="AI1272" s="399"/>
      <c r="AJ1272" s="400"/>
      <c r="AK1272" s="399"/>
      <c r="AL1272" s="399"/>
      <c r="AM1272" s="399"/>
      <c r="AN1272" s="399"/>
      <c r="AO1272" s="399"/>
      <c r="AP1272" s="399"/>
      <c r="AQ1272" s="399"/>
      <c r="AR1272" s="399"/>
      <c r="AS1272" s="409" t="s">
        <v>4020</v>
      </c>
      <c r="AT1272" s="399"/>
      <c r="AU1272" s="399"/>
      <c r="AV1272" s="549"/>
      <c r="AW1272" s="541"/>
      <c r="AX1272" s="541"/>
      <c r="AY1272" s="541"/>
      <c r="AZ1272" s="541"/>
      <c r="BA1272" s="550" t="s">
        <v>4864</v>
      </c>
      <c r="BB1272" s="438" t="str">
        <f>HYPERLINK("https://github.com/who-int/Data-Dictionary-Mapping/issues/18","18")</f>
        <v>18</v>
      </c>
      <c r="BC1272" s="399" t="str">
        <f t="shared" si="2"/>
        <v/>
      </c>
      <c r="BD1272" s="399"/>
      <c r="BE1272" s="399"/>
      <c r="BF1272" s="399"/>
      <c r="BG1272" s="540"/>
      <c r="BH1272" s="407"/>
      <c r="BI1272" s="407"/>
      <c r="BJ1272" s="543"/>
      <c r="BK1272" s="46">
        <f t="shared" si="1"/>
        <v>1</v>
      </c>
      <c r="BL1272" s="46">
        <f t="shared" si="3"/>
        <v>0</v>
      </c>
      <c r="BM1272" s="46">
        <f t="shared" si="4"/>
        <v>1</v>
      </c>
      <c r="BN1272" s="46">
        <f t="shared" si="5"/>
        <v>0</v>
      </c>
    </row>
    <row r="1273" spans="1:66" ht="12.75" customHeight="1">
      <c r="A1273" s="399">
        <v>1281</v>
      </c>
      <c r="B1273" s="399" t="s">
        <v>4024</v>
      </c>
      <c r="C1273" s="399" t="e">
        <f t="shared" ca="1" si="0"/>
        <v>#NAME?</v>
      </c>
      <c r="D1273" s="400" t="s">
        <v>4026</v>
      </c>
      <c r="E1273" s="399" t="s">
        <v>180</v>
      </c>
      <c r="F1273" s="400" t="s">
        <v>4017</v>
      </c>
      <c r="G1273" s="400"/>
      <c r="H1273" s="400"/>
      <c r="I1273" s="400"/>
      <c r="J1273" s="400"/>
      <c r="K1273" s="400">
        <v>1</v>
      </c>
      <c r="L1273" s="400" t="s">
        <v>3333</v>
      </c>
      <c r="M1273" s="402" t="s">
        <v>3489</v>
      </c>
      <c r="N1273" s="400"/>
      <c r="O1273" s="428" t="s">
        <v>3477</v>
      </c>
      <c r="P1273" s="428"/>
      <c r="Q1273" s="399" t="s">
        <v>4025</v>
      </c>
      <c r="R1273" s="428"/>
      <c r="S1273" s="399"/>
      <c r="T1273" s="399"/>
      <c r="U1273" s="399"/>
      <c r="V1273" s="399"/>
      <c r="W1273" s="399" t="s">
        <v>4026</v>
      </c>
      <c r="X1273" s="400"/>
      <c r="Y1273" s="399" t="s">
        <v>113</v>
      </c>
      <c r="Z1273" s="399"/>
      <c r="AA1273" s="399" t="s">
        <v>113</v>
      </c>
      <c r="AB1273" s="399" t="s">
        <v>1889</v>
      </c>
      <c r="AC1273" s="532"/>
      <c r="AD1273" s="400"/>
      <c r="AE1273" s="399"/>
      <c r="AF1273" s="399"/>
      <c r="AG1273" s="399"/>
      <c r="AH1273" s="532"/>
      <c r="AI1273" s="399"/>
      <c r="AJ1273" s="400"/>
      <c r="AK1273" s="399"/>
      <c r="AL1273" s="399"/>
      <c r="AM1273" s="399"/>
      <c r="AN1273" s="399"/>
      <c r="AO1273" s="399"/>
      <c r="AP1273" s="399"/>
      <c r="AQ1273" s="399"/>
      <c r="AR1273" s="399"/>
      <c r="AS1273" s="399"/>
      <c r="AT1273" s="399"/>
      <c r="AU1273" s="399"/>
      <c r="AV1273" s="549"/>
      <c r="AW1273" s="541"/>
      <c r="AX1273" s="541"/>
      <c r="AY1273" s="541"/>
      <c r="AZ1273" s="541"/>
      <c r="BA1273" s="541"/>
      <c r="BB1273" s="399"/>
      <c r="BC1273" s="399" t="e">
        <f t="shared" ca="1" si="2"/>
        <v>#NAME?</v>
      </c>
      <c r="BD1273" s="399"/>
      <c r="BE1273" s="399"/>
      <c r="BF1273" s="399"/>
      <c r="BG1273" s="540"/>
      <c r="BH1273" s="407"/>
      <c r="BI1273" s="407"/>
      <c r="BJ1273" s="543"/>
      <c r="BK1273" s="46">
        <f t="shared" si="1"/>
        <v>1</v>
      </c>
      <c r="BL1273" s="46">
        <f t="shared" si="3"/>
        <v>0</v>
      </c>
      <c r="BM1273" s="46">
        <f t="shared" si="4"/>
        <v>1</v>
      </c>
      <c r="BN1273" s="46">
        <f t="shared" si="5"/>
        <v>0</v>
      </c>
    </row>
    <row r="1274" spans="1:66" ht="12.75" customHeight="1">
      <c r="A1274" s="399">
        <v>1282</v>
      </c>
      <c r="B1274" s="399" t="s">
        <v>3498</v>
      </c>
      <c r="C1274" s="399" t="str">
        <f t="shared" si="0"/>
        <v>Ever had sex - Reported</v>
      </c>
      <c r="D1274" s="400" t="s">
        <v>3498</v>
      </c>
      <c r="E1274" s="399" t="s">
        <v>96</v>
      </c>
      <c r="F1274" s="400" t="s">
        <v>1787</v>
      </c>
      <c r="G1274" s="400"/>
      <c r="H1274" s="400"/>
      <c r="I1274" s="400"/>
      <c r="J1274" s="400"/>
      <c r="K1274" s="400">
        <v>1</v>
      </c>
      <c r="L1274" s="400" t="s">
        <v>3333</v>
      </c>
      <c r="M1274" s="402" t="s">
        <v>3499</v>
      </c>
      <c r="N1274" s="400"/>
      <c r="O1274" s="428" t="s">
        <v>3477</v>
      </c>
      <c r="P1274" s="428"/>
      <c r="Q1274" s="399" t="s">
        <v>3500</v>
      </c>
      <c r="R1274" s="428" t="s">
        <v>3498</v>
      </c>
      <c r="S1274" s="399"/>
      <c r="T1274" s="399" t="s">
        <v>3501</v>
      </c>
      <c r="U1274" s="399" t="s">
        <v>3169</v>
      </c>
      <c r="V1274" s="399"/>
      <c r="W1274" s="399" t="s">
        <v>3170</v>
      </c>
      <c r="X1274" s="400"/>
      <c r="Y1274" s="399" t="s">
        <v>208</v>
      </c>
      <c r="Z1274" s="399"/>
      <c r="AA1274" s="399" t="s">
        <v>113</v>
      </c>
      <c r="AB1274" s="399" t="s">
        <v>1889</v>
      </c>
      <c r="AC1274" s="532"/>
      <c r="AD1274" s="400"/>
      <c r="AE1274" s="399"/>
      <c r="AF1274" s="399"/>
      <c r="AG1274" s="399" t="s">
        <v>3502</v>
      </c>
      <c r="AH1274" s="532"/>
      <c r="AI1274" s="399"/>
      <c r="AJ1274" s="400"/>
      <c r="AK1274" s="399"/>
      <c r="AL1274" s="399"/>
      <c r="AM1274" s="399"/>
      <c r="AN1274" s="399"/>
      <c r="AO1274" s="399"/>
      <c r="AP1274" s="399"/>
      <c r="AQ1274" s="399"/>
      <c r="AR1274" s="399"/>
      <c r="AS1274" s="409" t="s">
        <v>3162</v>
      </c>
      <c r="AT1274" s="399"/>
      <c r="AU1274" s="399"/>
      <c r="AV1274" s="549"/>
      <c r="AW1274" s="541" t="s">
        <v>4873</v>
      </c>
      <c r="AX1274" s="541"/>
      <c r="AY1274" s="541"/>
      <c r="AZ1274" s="541"/>
      <c r="BA1274" s="550" t="s">
        <v>4874</v>
      </c>
      <c r="BB1274" s="399"/>
      <c r="BC1274" s="399" t="str">
        <f t="shared" si="2"/>
        <v/>
      </c>
      <c r="BD1274" s="399"/>
      <c r="BE1274" s="399"/>
      <c r="BF1274" s="399"/>
      <c r="BG1274" s="540"/>
      <c r="BH1274" s="407"/>
      <c r="BI1274" s="407"/>
      <c r="BJ1274" s="543" t="s">
        <v>4873</v>
      </c>
      <c r="BK1274" s="46">
        <f t="shared" si="1"/>
        <v>1</v>
      </c>
      <c r="BL1274" s="46">
        <f t="shared" si="3"/>
        <v>0</v>
      </c>
      <c r="BM1274" s="46">
        <f t="shared" si="4"/>
        <v>1</v>
      </c>
      <c r="BN1274" s="46">
        <f t="shared" si="5"/>
        <v>0</v>
      </c>
    </row>
    <row r="1275" spans="1:66" ht="12.75" customHeight="1">
      <c r="A1275" s="399">
        <v>1283</v>
      </c>
      <c r="B1275" s="399" t="s">
        <v>3507</v>
      </c>
      <c r="C1275" s="399" t="str">
        <f t="shared" si="0"/>
        <v>Date of last sexual intercourse</v>
      </c>
      <c r="D1275" s="400" t="s">
        <v>3507</v>
      </c>
      <c r="E1275" s="399" t="s">
        <v>96</v>
      </c>
      <c r="F1275" s="400" t="s">
        <v>1787</v>
      </c>
      <c r="G1275" s="400"/>
      <c r="H1275" s="400"/>
      <c r="I1275" s="400"/>
      <c r="J1275" s="400"/>
      <c r="K1275" s="400">
        <v>1</v>
      </c>
      <c r="L1275" s="400" t="s">
        <v>3333</v>
      </c>
      <c r="M1275" s="402" t="s">
        <v>3499</v>
      </c>
      <c r="N1275" s="400"/>
      <c r="O1275" s="428" t="s">
        <v>3477</v>
      </c>
      <c r="P1275" s="428"/>
      <c r="Q1275" s="399" t="s">
        <v>3509</v>
      </c>
      <c r="R1275" s="428" t="s">
        <v>3507</v>
      </c>
      <c r="S1275" s="399"/>
      <c r="T1275" s="399" t="s">
        <v>3510</v>
      </c>
      <c r="U1275" s="399" t="s">
        <v>140</v>
      </c>
      <c r="V1275" s="399"/>
      <c r="W1275" s="399"/>
      <c r="X1275" s="400"/>
      <c r="Y1275" s="399" t="s">
        <v>113</v>
      </c>
      <c r="Z1275" s="399" t="s">
        <v>4876</v>
      </c>
      <c r="AA1275" s="399" t="s">
        <v>113</v>
      </c>
      <c r="AB1275" s="399" t="s">
        <v>3178</v>
      </c>
      <c r="AC1275" s="532" t="s">
        <v>4877</v>
      </c>
      <c r="AD1275" s="400"/>
      <c r="AE1275" s="399"/>
      <c r="AF1275" s="399"/>
      <c r="AG1275" s="399"/>
      <c r="AH1275" s="532"/>
      <c r="AI1275" s="399"/>
      <c r="AJ1275" s="400"/>
      <c r="AK1275" s="399"/>
      <c r="AL1275" s="399"/>
      <c r="AM1275" s="399"/>
      <c r="AN1275" s="399"/>
      <c r="AO1275" s="399"/>
      <c r="AP1275" s="399"/>
      <c r="AQ1275" s="399"/>
      <c r="AR1275" s="399"/>
      <c r="AS1275" s="409" t="s">
        <v>3514</v>
      </c>
      <c r="AT1275" s="399"/>
      <c r="AU1275" s="399"/>
      <c r="AV1275" s="549">
        <v>449331006</v>
      </c>
      <c r="AW1275" s="534"/>
      <c r="AX1275" s="534"/>
      <c r="AY1275" s="534"/>
      <c r="AZ1275" s="534"/>
      <c r="BA1275" s="534"/>
      <c r="BB1275" s="399"/>
      <c r="BC1275" s="399" t="str">
        <f t="shared" si="2"/>
        <v/>
      </c>
      <c r="BD1275" s="399"/>
      <c r="BE1275" s="399"/>
      <c r="BF1275" s="399"/>
      <c r="BG1275" s="540"/>
      <c r="BH1275" s="407"/>
      <c r="BI1275" s="552">
        <v>449331006</v>
      </c>
      <c r="BJ1275" s="537"/>
      <c r="BK1275" s="46">
        <f t="shared" si="1"/>
        <v>1</v>
      </c>
      <c r="BL1275" s="46">
        <f t="shared" si="3"/>
        <v>0</v>
      </c>
      <c r="BM1275" s="46">
        <f t="shared" si="4"/>
        <v>1</v>
      </c>
      <c r="BN1275" s="46">
        <f t="shared" si="5"/>
        <v>0</v>
      </c>
    </row>
    <row r="1276" spans="1:66" ht="12.75" customHeight="1">
      <c r="A1276" s="399">
        <v>1284</v>
      </c>
      <c r="B1276" s="399" t="s">
        <v>3516</v>
      </c>
      <c r="C1276" s="399" t="str">
        <f t="shared" si="0"/>
        <v>Never used contraception</v>
      </c>
      <c r="D1276" s="400" t="s">
        <v>3516</v>
      </c>
      <c r="E1276" s="399" t="s">
        <v>96</v>
      </c>
      <c r="F1276" s="400" t="s">
        <v>1787</v>
      </c>
      <c r="G1276" s="400"/>
      <c r="H1276" s="400"/>
      <c r="I1276" s="400"/>
      <c r="J1276" s="400"/>
      <c r="K1276" s="400">
        <v>1</v>
      </c>
      <c r="L1276" s="400" t="s">
        <v>3333</v>
      </c>
      <c r="M1276" s="402" t="s">
        <v>3517</v>
      </c>
      <c r="N1276" s="400"/>
      <c r="O1276" s="428" t="s">
        <v>3477</v>
      </c>
      <c r="P1276" s="428"/>
      <c r="Q1276" s="399" t="s">
        <v>3519</v>
      </c>
      <c r="R1276" s="428" t="s">
        <v>3516</v>
      </c>
      <c r="S1276" s="399"/>
      <c r="T1276" s="399" t="s">
        <v>4880</v>
      </c>
      <c r="U1276" s="399" t="s">
        <v>3169</v>
      </c>
      <c r="V1276" s="399"/>
      <c r="W1276" s="399" t="s">
        <v>3170</v>
      </c>
      <c r="X1276" s="400"/>
      <c r="Y1276" s="399" t="s">
        <v>208</v>
      </c>
      <c r="Z1276" s="399"/>
      <c r="AA1276" s="399" t="s">
        <v>113</v>
      </c>
      <c r="AB1276" s="399" t="s">
        <v>3098</v>
      </c>
      <c r="AC1276" s="532"/>
      <c r="AD1276" s="400"/>
      <c r="AE1276" s="399"/>
      <c r="AF1276" s="399" t="s">
        <v>4881</v>
      </c>
      <c r="AG1276" s="399" t="s">
        <v>3523</v>
      </c>
      <c r="AH1276" s="532"/>
      <c r="AI1276" s="399"/>
      <c r="AJ1276" s="400"/>
      <c r="AK1276" s="399"/>
      <c r="AL1276" s="399"/>
      <c r="AM1276" s="399"/>
      <c r="AN1276" s="399"/>
      <c r="AO1276" s="399"/>
      <c r="AP1276" s="399"/>
      <c r="AQ1276" s="399"/>
      <c r="AR1276" s="399"/>
      <c r="AS1276" s="409" t="s">
        <v>3162</v>
      </c>
      <c r="AT1276" s="399"/>
      <c r="AU1276" s="399"/>
      <c r="AV1276" s="553" t="s">
        <v>4883</v>
      </c>
      <c r="AW1276" s="541"/>
      <c r="AX1276" s="541"/>
      <c r="AY1276" s="541"/>
      <c r="AZ1276" s="541"/>
      <c r="BA1276" s="541"/>
      <c r="BB1276" s="399"/>
      <c r="BC1276" s="399" t="str">
        <f t="shared" si="2"/>
        <v/>
      </c>
      <c r="BD1276" s="553"/>
      <c r="BE1276" s="399"/>
      <c r="BF1276" s="399"/>
      <c r="BG1276" s="540"/>
      <c r="BH1276" s="497"/>
      <c r="BI1276" s="554" t="s">
        <v>4883</v>
      </c>
      <c r="BJ1276" s="543"/>
      <c r="BK1276" s="46">
        <f t="shared" si="1"/>
        <v>1</v>
      </c>
      <c r="BL1276" s="46">
        <f t="shared" si="3"/>
        <v>0</v>
      </c>
      <c r="BM1276" s="46">
        <f t="shared" si="4"/>
        <v>1</v>
      </c>
      <c r="BN1276" s="46">
        <f t="shared" si="5"/>
        <v>0</v>
      </c>
    </row>
    <row r="1277" spans="1:66" ht="12.75" customHeight="1">
      <c r="A1277" s="399">
        <v>1286</v>
      </c>
      <c r="B1277" s="409" t="s">
        <v>3537</v>
      </c>
      <c r="C1277" s="399" t="str">
        <f t="shared" si="0"/>
        <v>Method at intake</v>
      </c>
      <c r="D1277" s="400" t="s">
        <v>3528</v>
      </c>
      <c r="E1277" s="399" t="s">
        <v>96</v>
      </c>
      <c r="F1277" s="400" t="s">
        <v>1787</v>
      </c>
      <c r="G1277" s="400"/>
      <c r="H1277" s="400"/>
      <c r="I1277" s="400"/>
      <c r="J1277" s="400"/>
      <c r="K1277" s="400">
        <v>1</v>
      </c>
      <c r="L1277" s="400" t="s">
        <v>3333</v>
      </c>
      <c r="M1277" s="402" t="s">
        <v>3517</v>
      </c>
      <c r="N1277" s="400"/>
      <c r="O1277" s="428" t="s">
        <v>3477</v>
      </c>
      <c r="P1277" s="428"/>
      <c r="Q1277" s="399" t="s">
        <v>3527</v>
      </c>
      <c r="R1277" s="428" t="s">
        <v>3528</v>
      </c>
      <c r="S1277" s="399"/>
      <c r="T1277" s="399" t="s">
        <v>4885</v>
      </c>
      <c r="U1277" s="399" t="s">
        <v>4823</v>
      </c>
      <c r="V1277" s="399"/>
      <c r="W1277" s="399"/>
      <c r="X1277" s="399"/>
      <c r="Y1277" s="399" t="s">
        <v>208</v>
      </c>
      <c r="Z1277" s="399"/>
      <c r="AA1277" s="399" t="s">
        <v>113</v>
      </c>
      <c r="AB1277" s="399" t="s">
        <v>3098</v>
      </c>
      <c r="AC1277" s="532" t="s">
        <v>3530</v>
      </c>
      <c r="AD1277" s="400"/>
      <c r="AE1277" s="399" t="s">
        <v>4887</v>
      </c>
      <c r="AF1277" s="399"/>
      <c r="AG1277" s="399"/>
      <c r="AH1277" s="532" t="s">
        <v>3533</v>
      </c>
      <c r="AI1277" s="399"/>
      <c r="AJ1277" s="400"/>
      <c r="AK1277" s="399"/>
      <c r="AL1277" s="399"/>
      <c r="AM1277" s="399"/>
      <c r="AN1277" s="399"/>
      <c r="AO1277" s="399"/>
      <c r="AP1277" s="399"/>
      <c r="AQ1277" s="399"/>
      <c r="AR1277" s="399"/>
      <c r="AS1277" s="409" t="s">
        <v>1673</v>
      </c>
      <c r="AT1277" s="399"/>
      <c r="AU1277" s="399"/>
      <c r="AV1277" s="549"/>
      <c r="AW1277" s="538" t="s">
        <v>3539</v>
      </c>
      <c r="AX1277" s="534"/>
      <c r="AY1277" s="534"/>
      <c r="AZ1277" s="534"/>
      <c r="BA1277" s="534"/>
      <c r="BB1277" s="555"/>
      <c r="BC1277" s="399" t="str">
        <f t="shared" si="2"/>
        <v>"Method at intake"-&gt;"Birth control method reported at intake"</v>
      </c>
      <c r="BD1277" s="555"/>
      <c r="BE1277" s="399"/>
      <c r="BF1277" s="399"/>
      <c r="BG1277" s="540"/>
      <c r="BH1277" s="407"/>
      <c r="BI1277" s="407"/>
      <c r="BJ1277" s="537" t="s">
        <v>4889</v>
      </c>
      <c r="BK1277" s="46">
        <f t="shared" si="1"/>
        <v>1</v>
      </c>
      <c r="BL1277" s="46">
        <f t="shared" si="3"/>
        <v>0</v>
      </c>
      <c r="BM1277" s="46">
        <f t="shared" si="4"/>
        <v>1</v>
      </c>
      <c r="BN1277" s="46">
        <f t="shared" si="5"/>
        <v>0</v>
      </c>
    </row>
    <row r="1278" spans="1:66" ht="12.75" customHeight="1">
      <c r="A1278" s="399">
        <v>1287</v>
      </c>
      <c r="B1278" s="399" t="s">
        <v>3546</v>
      </c>
      <c r="C1278" s="399" t="e">
        <f t="shared" ca="1" si="0"/>
        <v>#NAME?</v>
      </c>
      <c r="D1278" s="400" t="s">
        <v>3543</v>
      </c>
      <c r="E1278" s="399" t="s">
        <v>180</v>
      </c>
      <c r="F1278" s="556" t="s">
        <v>3528</v>
      </c>
      <c r="G1278" s="400"/>
      <c r="H1278" s="400"/>
      <c r="I1278" s="400"/>
      <c r="J1278" s="400"/>
      <c r="K1278" s="400">
        <v>1</v>
      </c>
      <c r="L1278" s="400" t="s">
        <v>3333</v>
      </c>
      <c r="M1278" s="402" t="s">
        <v>3517</v>
      </c>
      <c r="N1278" s="400"/>
      <c r="O1278" s="428" t="s">
        <v>3477</v>
      </c>
      <c r="P1278" s="557"/>
      <c r="Q1278" s="399" t="s">
        <v>3541</v>
      </c>
      <c r="R1278" s="428"/>
      <c r="S1278" s="400"/>
      <c r="T1278" s="400" t="s">
        <v>3542</v>
      </c>
      <c r="U1278" s="400"/>
      <c r="V1278" s="399"/>
      <c r="W1278" s="399" t="s">
        <v>3543</v>
      </c>
      <c r="X1278" s="400"/>
      <c r="Y1278" s="400" t="s">
        <v>113</v>
      </c>
      <c r="Z1278" s="399" t="s">
        <v>3544</v>
      </c>
      <c r="AA1278" s="400" t="s">
        <v>113</v>
      </c>
      <c r="AB1278" s="399"/>
      <c r="AC1278" s="532"/>
      <c r="AD1278" s="400"/>
      <c r="AE1278" s="399"/>
      <c r="AF1278" s="399"/>
      <c r="AG1278" s="399"/>
      <c r="AH1278" s="532"/>
      <c r="AI1278" s="399"/>
      <c r="AJ1278" s="400"/>
      <c r="AK1278" s="399"/>
      <c r="AL1278" s="399"/>
      <c r="AM1278" s="399"/>
      <c r="AN1278" s="399"/>
      <c r="AO1278" s="399"/>
      <c r="AP1278" s="399"/>
      <c r="AQ1278" s="399"/>
      <c r="AR1278" s="399"/>
      <c r="AS1278" s="409" t="s">
        <v>1673</v>
      </c>
      <c r="AT1278" s="400"/>
      <c r="AU1278" s="399"/>
      <c r="AV1278" s="400">
        <v>169450001</v>
      </c>
      <c r="AW1278" s="541"/>
      <c r="AX1278" s="541"/>
      <c r="AY1278" s="541"/>
      <c r="AZ1278" s="541"/>
      <c r="BA1278" s="541"/>
      <c r="BB1278" s="399"/>
      <c r="BC1278" s="399" t="e">
        <f t="shared" ca="1" si="2"/>
        <v>#NAME?</v>
      </c>
      <c r="BD1278" s="399"/>
      <c r="BE1278" s="399"/>
      <c r="BF1278" s="399"/>
      <c r="BG1278" s="542"/>
      <c r="BH1278" s="407"/>
      <c r="BI1278" s="407">
        <v>169450001</v>
      </c>
      <c r="BJ1278" s="543"/>
      <c r="BK1278" s="46">
        <f t="shared" si="1"/>
        <v>1</v>
      </c>
      <c r="BL1278" s="46">
        <f t="shared" si="3"/>
        <v>1</v>
      </c>
      <c r="BM1278" s="46">
        <f t="shared" si="4"/>
        <v>0</v>
      </c>
      <c r="BN1278" s="46">
        <f t="shared" si="5"/>
        <v>0</v>
      </c>
    </row>
    <row r="1279" spans="1:66" ht="12.75" customHeight="1">
      <c r="A1279" s="399">
        <v>1288</v>
      </c>
      <c r="B1279" s="399" t="s">
        <v>3698</v>
      </c>
      <c r="C1279" s="399" t="e">
        <f t="shared" ca="1" si="0"/>
        <v>#NAME?</v>
      </c>
      <c r="D1279" s="400" t="s">
        <v>4892</v>
      </c>
      <c r="E1279" s="399" t="s">
        <v>180</v>
      </c>
      <c r="F1279" s="556" t="s">
        <v>3528</v>
      </c>
      <c r="G1279" s="400"/>
      <c r="H1279" s="400"/>
      <c r="I1279" s="400"/>
      <c r="J1279" s="400"/>
      <c r="K1279" s="400">
        <v>1</v>
      </c>
      <c r="L1279" s="400" t="s">
        <v>3333</v>
      </c>
      <c r="M1279" s="402" t="s">
        <v>3517</v>
      </c>
      <c r="N1279" s="400"/>
      <c r="O1279" s="428" t="s">
        <v>3477</v>
      </c>
      <c r="P1279" s="557"/>
      <c r="Q1279" s="399" t="s">
        <v>3694</v>
      </c>
      <c r="R1279" s="428"/>
      <c r="S1279" s="400" t="s">
        <v>3695</v>
      </c>
      <c r="T1279" s="400" t="s">
        <v>4894</v>
      </c>
      <c r="U1279" s="400"/>
      <c r="V1279" s="399"/>
      <c r="W1279" s="399" t="s">
        <v>4892</v>
      </c>
      <c r="X1279" s="400"/>
      <c r="Y1279" s="400" t="s">
        <v>208</v>
      </c>
      <c r="Z1279" s="399"/>
      <c r="AA1279" s="400" t="s">
        <v>113</v>
      </c>
      <c r="AB1279" s="399" t="s">
        <v>3178</v>
      </c>
      <c r="AC1279" s="532" t="s">
        <v>3552</v>
      </c>
      <c r="AD1279" s="400"/>
      <c r="AE1279" s="399"/>
      <c r="AF1279" s="399"/>
      <c r="AG1279" s="399"/>
      <c r="AH1279" s="532"/>
      <c r="AI1279" s="399"/>
      <c r="AJ1279" s="400"/>
      <c r="AK1279" s="399"/>
      <c r="AL1279" s="399"/>
      <c r="AM1279" s="399"/>
      <c r="AN1279" s="399"/>
      <c r="AO1279" s="399"/>
      <c r="AP1279" s="399"/>
      <c r="AQ1279" s="399"/>
      <c r="AR1279" s="399"/>
      <c r="AS1279" s="409" t="s">
        <v>1673</v>
      </c>
      <c r="AT1279" s="400"/>
      <c r="AU1279" s="399"/>
      <c r="AV1279" s="399">
        <v>268458002</v>
      </c>
      <c r="AW1279" s="541" t="s">
        <v>3700</v>
      </c>
      <c r="AX1279" s="541"/>
      <c r="AY1279" s="541"/>
      <c r="AZ1279" s="541"/>
      <c r="BA1279" s="541"/>
      <c r="BB1279" s="399"/>
      <c r="BC1279" s="399" t="e">
        <f t="shared" ca="1" si="2"/>
        <v>#NAME?</v>
      </c>
      <c r="BD1279" s="399">
        <v>159783</v>
      </c>
      <c r="BE1279" s="517"/>
      <c r="BF1279" s="399"/>
      <c r="BG1279" s="542" t="s">
        <v>3701</v>
      </c>
      <c r="BH1279" s="407"/>
      <c r="BI1279" s="407">
        <v>268458002</v>
      </c>
      <c r="BJ1279" s="543" t="s">
        <v>3700</v>
      </c>
      <c r="BK1279" s="46">
        <f t="shared" si="1"/>
        <v>1</v>
      </c>
      <c r="BL1279" s="46">
        <f t="shared" si="3"/>
        <v>1</v>
      </c>
      <c r="BM1279" s="46">
        <f t="shared" si="4"/>
        <v>0</v>
      </c>
      <c r="BN1279" s="46">
        <f t="shared" si="5"/>
        <v>0</v>
      </c>
    </row>
    <row r="1280" spans="1:66" ht="12.75" customHeight="1">
      <c r="A1280" s="399">
        <v>1289</v>
      </c>
      <c r="B1280" s="399" t="s">
        <v>4896</v>
      </c>
      <c r="C1280" s="399" t="e">
        <f t="shared" ca="1" si="0"/>
        <v>#NAME?</v>
      </c>
      <c r="D1280" s="400" t="s">
        <v>3594</v>
      </c>
      <c r="E1280" s="399" t="s">
        <v>180</v>
      </c>
      <c r="F1280" s="556" t="s">
        <v>3528</v>
      </c>
      <c r="G1280" s="400"/>
      <c r="H1280" s="400"/>
      <c r="I1280" s="400"/>
      <c r="J1280" s="400"/>
      <c r="K1280" s="400">
        <v>1</v>
      </c>
      <c r="L1280" s="400" t="s">
        <v>3333</v>
      </c>
      <c r="M1280" s="402" t="s">
        <v>3517</v>
      </c>
      <c r="N1280" s="400"/>
      <c r="O1280" s="428" t="s">
        <v>3477</v>
      </c>
      <c r="P1280" s="557"/>
      <c r="Q1280" s="399" t="s">
        <v>3593</v>
      </c>
      <c r="R1280" s="428"/>
      <c r="S1280" s="400" t="s">
        <v>3594</v>
      </c>
      <c r="T1280" s="400" t="s">
        <v>4899</v>
      </c>
      <c r="U1280" s="400"/>
      <c r="V1280" s="399"/>
      <c r="W1280" s="399" t="s">
        <v>3594</v>
      </c>
      <c r="X1280" s="400"/>
      <c r="Y1280" s="400" t="s">
        <v>208</v>
      </c>
      <c r="Z1280" s="399"/>
      <c r="AA1280" s="400" t="s">
        <v>113</v>
      </c>
      <c r="AB1280" s="399" t="s">
        <v>3178</v>
      </c>
      <c r="AC1280" s="532" t="s">
        <v>3552</v>
      </c>
      <c r="AD1280" s="400"/>
      <c r="AE1280" s="399"/>
      <c r="AF1280" s="399"/>
      <c r="AG1280" s="399"/>
      <c r="AH1280" s="532"/>
      <c r="AI1280" s="399"/>
      <c r="AJ1280" s="400"/>
      <c r="AK1280" s="399"/>
      <c r="AL1280" s="399"/>
      <c r="AM1280" s="399"/>
      <c r="AN1280" s="399"/>
      <c r="AO1280" s="399"/>
      <c r="AP1280" s="399"/>
      <c r="AQ1280" s="399"/>
      <c r="AR1280" s="399"/>
      <c r="AS1280" s="409" t="s">
        <v>1673</v>
      </c>
      <c r="AT1280" s="399"/>
      <c r="AU1280" s="399"/>
      <c r="AV1280" s="400">
        <v>413116005</v>
      </c>
      <c r="AW1280" s="541" t="s">
        <v>3598</v>
      </c>
      <c r="AX1280" s="541"/>
      <c r="AY1280" s="541"/>
      <c r="AZ1280" s="541"/>
      <c r="BA1280" s="541"/>
      <c r="BB1280" s="399"/>
      <c r="BC1280" s="399" t="e">
        <f t="shared" ca="1" si="2"/>
        <v>#NAME?</v>
      </c>
      <c r="BD1280" s="399">
        <v>159784</v>
      </c>
      <c r="BE1280" s="517"/>
      <c r="BF1280" s="399"/>
      <c r="BG1280" s="540"/>
      <c r="BH1280" s="407"/>
      <c r="BI1280" s="407">
        <v>413116005</v>
      </c>
      <c r="BJ1280" s="543" t="s">
        <v>3598</v>
      </c>
      <c r="BK1280" s="46">
        <f t="shared" si="1"/>
        <v>1</v>
      </c>
      <c r="BL1280" s="46">
        <f t="shared" si="3"/>
        <v>1</v>
      </c>
      <c r="BM1280" s="46">
        <f t="shared" si="4"/>
        <v>0</v>
      </c>
      <c r="BN1280" s="46">
        <f t="shared" si="5"/>
        <v>0</v>
      </c>
    </row>
    <row r="1281" spans="1:66" ht="12.75" customHeight="1">
      <c r="A1281" s="399">
        <v>1290</v>
      </c>
      <c r="B1281" s="399" t="s">
        <v>4903</v>
      </c>
      <c r="C1281" s="399" t="e">
        <f t="shared" ca="1" si="0"/>
        <v>#NAME?</v>
      </c>
      <c r="D1281" s="400" t="s">
        <v>3602</v>
      </c>
      <c r="E1281" s="399" t="s">
        <v>180</v>
      </c>
      <c r="F1281" s="556" t="s">
        <v>3528</v>
      </c>
      <c r="G1281" s="400"/>
      <c r="H1281" s="400"/>
      <c r="I1281" s="400"/>
      <c r="J1281" s="400"/>
      <c r="K1281" s="400">
        <v>1</v>
      </c>
      <c r="L1281" s="400" t="s">
        <v>3333</v>
      </c>
      <c r="M1281" s="402" t="s">
        <v>3517</v>
      </c>
      <c r="N1281" s="400"/>
      <c r="O1281" s="428" t="s">
        <v>3477</v>
      </c>
      <c r="P1281" s="557"/>
      <c r="Q1281" s="399" t="s">
        <v>3601</v>
      </c>
      <c r="R1281" s="428"/>
      <c r="S1281" s="400" t="s">
        <v>3602</v>
      </c>
      <c r="T1281" s="400" t="s">
        <v>4904</v>
      </c>
      <c r="U1281" s="400"/>
      <c r="V1281" s="399"/>
      <c r="W1281" s="399" t="s">
        <v>3602</v>
      </c>
      <c r="X1281" s="400"/>
      <c r="Y1281" s="400" t="s">
        <v>208</v>
      </c>
      <c r="Z1281" s="399"/>
      <c r="AA1281" s="400" t="s">
        <v>113</v>
      </c>
      <c r="AB1281" s="399" t="s">
        <v>3178</v>
      </c>
      <c r="AC1281" s="532" t="s">
        <v>3552</v>
      </c>
      <c r="AD1281" s="400"/>
      <c r="AE1281" s="399"/>
      <c r="AF1281" s="399"/>
      <c r="AG1281" s="399"/>
      <c r="AH1281" s="532"/>
      <c r="AI1281" s="399"/>
      <c r="AJ1281" s="400"/>
      <c r="AK1281" s="399"/>
      <c r="AL1281" s="399"/>
      <c r="AM1281" s="399"/>
      <c r="AN1281" s="399"/>
      <c r="AO1281" s="399"/>
      <c r="AP1281" s="399"/>
      <c r="AQ1281" s="399"/>
      <c r="AR1281" s="399"/>
      <c r="AS1281" s="409" t="s">
        <v>1673</v>
      </c>
      <c r="AT1281" s="399"/>
      <c r="AU1281" s="399"/>
      <c r="AV1281" s="399">
        <v>450850003</v>
      </c>
      <c r="AW1281" s="541" t="s">
        <v>4907</v>
      </c>
      <c r="AX1281" s="541"/>
      <c r="AY1281" s="541"/>
      <c r="AZ1281" s="541"/>
      <c r="BA1281" s="541"/>
      <c r="BB1281" s="399"/>
      <c r="BC1281" s="399" t="e">
        <f t="shared" ca="1" si="2"/>
        <v>#NAME?</v>
      </c>
      <c r="BD1281" s="399"/>
      <c r="BE1281" s="399"/>
      <c r="BF1281" s="399"/>
      <c r="BG1281" s="540"/>
      <c r="BH1281" s="407"/>
      <c r="BI1281" s="552">
        <v>450850003</v>
      </c>
      <c r="BJ1281" s="543" t="s">
        <v>4907</v>
      </c>
      <c r="BK1281" s="46">
        <f t="shared" si="1"/>
        <v>1</v>
      </c>
      <c r="BL1281" s="46">
        <f t="shared" si="3"/>
        <v>1</v>
      </c>
      <c r="BM1281" s="46">
        <f t="shared" si="4"/>
        <v>0</v>
      </c>
      <c r="BN1281" s="46">
        <f t="shared" si="5"/>
        <v>0</v>
      </c>
    </row>
    <row r="1282" spans="1:66" ht="12.75" customHeight="1">
      <c r="A1282" s="399">
        <v>1291</v>
      </c>
      <c r="B1282" s="399" t="s">
        <v>3659</v>
      </c>
      <c r="C1282" s="399" t="e">
        <f t="shared" ca="1" si="0"/>
        <v>#NAME?</v>
      </c>
      <c r="D1282" s="400" t="s">
        <v>4908</v>
      </c>
      <c r="E1282" s="399" t="s">
        <v>180</v>
      </c>
      <c r="F1282" s="556" t="s">
        <v>3528</v>
      </c>
      <c r="G1282" s="400"/>
      <c r="H1282" s="400"/>
      <c r="I1282" s="400"/>
      <c r="J1282" s="400"/>
      <c r="K1282" s="400">
        <v>1</v>
      </c>
      <c r="L1282" s="400" t="s">
        <v>3333</v>
      </c>
      <c r="M1282" s="402" t="s">
        <v>3517</v>
      </c>
      <c r="N1282" s="400"/>
      <c r="O1282" s="428" t="s">
        <v>3477</v>
      </c>
      <c r="P1282" s="557"/>
      <c r="Q1282" s="399" t="s">
        <v>3655</v>
      </c>
      <c r="R1282" s="428"/>
      <c r="S1282" s="400" t="s">
        <v>3656</v>
      </c>
      <c r="T1282" s="400" t="s">
        <v>3657</v>
      </c>
      <c r="U1282" s="400"/>
      <c r="V1282" s="399"/>
      <c r="W1282" s="399" t="s">
        <v>4908</v>
      </c>
      <c r="X1282" s="400"/>
      <c r="Y1282" s="400" t="s">
        <v>208</v>
      </c>
      <c r="Z1282" s="399"/>
      <c r="AA1282" s="400" t="s">
        <v>113</v>
      </c>
      <c r="AB1282" s="399" t="s">
        <v>3178</v>
      </c>
      <c r="AC1282" s="532" t="s">
        <v>3552</v>
      </c>
      <c r="AD1282" s="400"/>
      <c r="AE1282" s="399"/>
      <c r="AF1282" s="399"/>
      <c r="AG1282" s="399"/>
      <c r="AH1282" s="532"/>
      <c r="AI1282" s="399"/>
      <c r="AJ1282" s="400"/>
      <c r="AK1282" s="399"/>
      <c r="AL1282" s="399"/>
      <c r="AM1282" s="399"/>
      <c r="AN1282" s="399"/>
      <c r="AO1282" s="399"/>
      <c r="AP1282" s="399"/>
      <c r="AQ1282" s="399"/>
      <c r="AR1282" s="399"/>
      <c r="AS1282" s="409" t="s">
        <v>1673</v>
      </c>
      <c r="AT1282" s="399"/>
      <c r="AU1282" s="399"/>
      <c r="AV1282" s="553"/>
      <c r="AW1282" s="541" t="s">
        <v>3660</v>
      </c>
      <c r="AX1282" s="541"/>
      <c r="AY1282" s="541"/>
      <c r="AZ1282" s="541"/>
      <c r="BA1282" s="541"/>
      <c r="BB1282" s="399"/>
      <c r="BC1282" s="399" t="e">
        <f t="shared" ca="1" si="2"/>
        <v>#NAME?</v>
      </c>
      <c r="BD1282" s="399"/>
      <c r="BE1282" s="553"/>
      <c r="BF1282" s="553"/>
      <c r="BG1282" s="558"/>
      <c r="BH1282" s="407"/>
      <c r="BI1282" s="554"/>
      <c r="BJ1282" s="543" t="s">
        <v>3660</v>
      </c>
      <c r="BK1282" s="46">
        <f t="shared" si="1"/>
        <v>1</v>
      </c>
      <c r="BL1282" s="46">
        <f t="shared" si="3"/>
        <v>1</v>
      </c>
      <c r="BM1282" s="46">
        <f t="shared" si="4"/>
        <v>0</v>
      </c>
      <c r="BN1282" s="46">
        <f t="shared" si="5"/>
        <v>0</v>
      </c>
    </row>
    <row r="1283" spans="1:66" ht="12.75" customHeight="1">
      <c r="A1283" s="399">
        <v>1292</v>
      </c>
      <c r="B1283" s="399" t="s">
        <v>3666</v>
      </c>
      <c r="C1283" s="399" t="e">
        <f t="shared" ca="1" si="0"/>
        <v>#NAME?</v>
      </c>
      <c r="D1283" s="400" t="s">
        <v>4911</v>
      </c>
      <c r="E1283" s="399" t="s">
        <v>180</v>
      </c>
      <c r="F1283" s="556" t="s">
        <v>3528</v>
      </c>
      <c r="G1283" s="400"/>
      <c r="H1283" s="400"/>
      <c r="I1283" s="400"/>
      <c r="J1283" s="400"/>
      <c r="K1283" s="400">
        <v>1</v>
      </c>
      <c r="L1283" s="400" t="s">
        <v>3333</v>
      </c>
      <c r="M1283" s="402" t="s">
        <v>3517</v>
      </c>
      <c r="N1283" s="400"/>
      <c r="O1283" s="428" t="s">
        <v>3477</v>
      </c>
      <c r="P1283" s="557"/>
      <c r="Q1283" s="399" t="s">
        <v>3662</v>
      </c>
      <c r="R1283" s="428"/>
      <c r="S1283" s="400" t="s">
        <v>3663</v>
      </c>
      <c r="T1283" s="400" t="s">
        <v>3664</v>
      </c>
      <c r="U1283" s="400"/>
      <c r="V1283" s="399"/>
      <c r="W1283" s="399" t="s">
        <v>4911</v>
      </c>
      <c r="X1283" s="400"/>
      <c r="Y1283" s="400" t="s">
        <v>208</v>
      </c>
      <c r="Z1283" s="399"/>
      <c r="AA1283" s="400" t="s">
        <v>113</v>
      </c>
      <c r="AB1283" s="399" t="s">
        <v>3178</v>
      </c>
      <c r="AC1283" s="532" t="s">
        <v>3552</v>
      </c>
      <c r="AD1283" s="400"/>
      <c r="AE1283" s="400"/>
      <c r="AF1283" s="400"/>
      <c r="AG1283" s="399"/>
      <c r="AH1283" s="532"/>
      <c r="AI1283" s="400"/>
      <c r="AJ1283" s="400"/>
      <c r="AK1283" s="399"/>
      <c r="AL1283" s="399"/>
      <c r="AM1283" s="399"/>
      <c r="AN1283" s="399"/>
      <c r="AO1283" s="399"/>
      <c r="AP1283" s="399"/>
      <c r="AQ1283" s="399"/>
      <c r="AR1283" s="399"/>
      <c r="AS1283" s="409" t="s">
        <v>1673</v>
      </c>
      <c r="AT1283" s="399"/>
      <c r="AU1283" s="399"/>
      <c r="AV1283" s="399">
        <v>709457002</v>
      </c>
      <c r="AW1283" s="541"/>
      <c r="AX1283" s="541"/>
      <c r="AY1283" s="541"/>
      <c r="AZ1283" s="541"/>
      <c r="BA1283" s="541"/>
      <c r="BB1283" s="399"/>
      <c r="BC1283" s="399" t="e">
        <f t="shared" ca="1" si="2"/>
        <v>#NAME?</v>
      </c>
      <c r="BD1283" s="399"/>
      <c r="BE1283" s="399"/>
      <c r="BF1283" s="399"/>
      <c r="BG1283" s="540"/>
      <c r="BH1283" s="407"/>
      <c r="BI1283" s="407">
        <v>709457002</v>
      </c>
      <c r="BJ1283" s="543"/>
      <c r="BK1283" s="46">
        <f t="shared" si="1"/>
        <v>1</v>
      </c>
      <c r="BL1283" s="46">
        <f t="shared" si="3"/>
        <v>1</v>
      </c>
      <c r="BM1283" s="46">
        <f t="shared" si="4"/>
        <v>0</v>
      </c>
      <c r="BN1283" s="46">
        <f t="shared" si="5"/>
        <v>0</v>
      </c>
    </row>
    <row r="1284" spans="1:66" ht="12.75" customHeight="1">
      <c r="A1284" s="399">
        <v>1293</v>
      </c>
      <c r="B1284" s="399" t="s">
        <v>3371</v>
      </c>
      <c r="C1284" s="399" t="e">
        <f t="shared" ca="1" si="0"/>
        <v>#NAME?</v>
      </c>
      <c r="D1284" s="400" t="s">
        <v>3374</v>
      </c>
      <c r="E1284" s="399" t="s">
        <v>180</v>
      </c>
      <c r="F1284" s="556" t="s">
        <v>3528</v>
      </c>
      <c r="G1284" s="400"/>
      <c r="H1284" s="400"/>
      <c r="I1284" s="400"/>
      <c r="J1284" s="400"/>
      <c r="K1284" s="400">
        <v>1</v>
      </c>
      <c r="L1284" s="400" t="s">
        <v>3333</v>
      </c>
      <c r="M1284" s="402" t="s">
        <v>3517</v>
      </c>
      <c r="N1284" s="400"/>
      <c r="O1284" s="428" t="s">
        <v>3477</v>
      </c>
      <c r="P1284" s="557"/>
      <c r="Q1284" s="399" t="s">
        <v>3677</v>
      </c>
      <c r="R1284" s="428"/>
      <c r="S1284" s="400" t="s">
        <v>3374</v>
      </c>
      <c r="T1284" s="400" t="s">
        <v>3374</v>
      </c>
      <c r="U1284" s="400"/>
      <c r="V1284" s="399"/>
      <c r="W1284" s="399" t="s">
        <v>3374</v>
      </c>
      <c r="X1284" s="400"/>
      <c r="Y1284" s="400" t="s">
        <v>208</v>
      </c>
      <c r="Z1284" s="399"/>
      <c r="AA1284" s="400" t="s">
        <v>113</v>
      </c>
      <c r="AB1284" s="399" t="s">
        <v>3178</v>
      </c>
      <c r="AC1284" s="532" t="s">
        <v>3552</v>
      </c>
      <c r="AD1284" s="400"/>
      <c r="AE1284" s="399"/>
      <c r="AF1284" s="399"/>
      <c r="AG1284" s="399"/>
      <c r="AH1284" s="532"/>
      <c r="AI1284" s="399"/>
      <c r="AJ1284" s="400"/>
      <c r="AK1284" s="399"/>
      <c r="AL1284" s="399"/>
      <c r="AM1284" s="399"/>
      <c r="AN1284" s="399"/>
      <c r="AO1284" s="399"/>
      <c r="AP1284" s="399"/>
      <c r="AQ1284" s="399"/>
      <c r="AR1284" s="399"/>
      <c r="AS1284" s="409" t="s">
        <v>1673</v>
      </c>
      <c r="AT1284" s="399"/>
      <c r="AU1284" s="399"/>
      <c r="AV1284" s="399">
        <v>102954005</v>
      </c>
      <c r="AW1284" s="541" t="s">
        <v>4913</v>
      </c>
      <c r="AX1284" s="541"/>
      <c r="AY1284" s="541"/>
      <c r="AZ1284" s="541"/>
      <c r="BA1284" s="541"/>
      <c r="BB1284" s="399"/>
      <c r="BC1284" s="399" t="e">
        <f t="shared" ca="1" si="2"/>
        <v>#NAME?</v>
      </c>
      <c r="BD1284" s="399"/>
      <c r="BE1284" s="400">
        <v>275813002</v>
      </c>
      <c r="BF1284" s="399"/>
      <c r="BG1284" s="540"/>
      <c r="BH1284" s="407"/>
      <c r="BI1284" s="407">
        <v>102954005</v>
      </c>
      <c r="BJ1284" s="543" t="s">
        <v>4913</v>
      </c>
      <c r="BK1284" s="46">
        <f t="shared" si="1"/>
        <v>1</v>
      </c>
      <c r="BL1284" s="46">
        <f t="shared" si="3"/>
        <v>1</v>
      </c>
      <c r="BM1284" s="46">
        <f t="shared" si="4"/>
        <v>0</v>
      </c>
      <c r="BN1284" s="46">
        <f t="shared" si="5"/>
        <v>0</v>
      </c>
    </row>
    <row r="1285" spans="1:66" ht="12.75" customHeight="1">
      <c r="A1285" s="399">
        <v>1294</v>
      </c>
      <c r="B1285" s="399" t="s">
        <v>3689</v>
      </c>
      <c r="C1285" s="399" t="e">
        <f t="shared" ca="1" si="0"/>
        <v>#NAME?</v>
      </c>
      <c r="D1285" s="400" t="s">
        <v>4918</v>
      </c>
      <c r="E1285" s="399" t="s">
        <v>180</v>
      </c>
      <c r="F1285" s="556" t="s">
        <v>3528</v>
      </c>
      <c r="G1285" s="400"/>
      <c r="H1285" s="400"/>
      <c r="I1285" s="400"/>
      <c r="J1285" s="400"/>
      <c r="K1285" s="400">
        <v>1</v>
      </c>
      <c r="L1285" s="400" t="s">
        <v>3333</v>
      </c>
      <c r="M1285" s="402" t="s">
        <v>3517</v>
      </c>
      <c r="N1285" s="400"/>
      <c r="O1285" s="428" t="s">
        <v>3477</v>
      </c>
      <c r="P1285" s="557"/>
      <c r="Q1285" s="399" t="s">
        <v>3685</v>
      </c>
      <c r="R1285" s="428"/>
      <c r="S1285" s="400" t="s">
        <v>3686</v>
      </c>
      <c r="T1285" s="400" t="s">
        <v>3687</v>
      </c>
      <c r="U1285" s="400"/>
      <c r="V1285" s="399"/>
      <c r="W1285" s="399" t="s">
        <v>4918</v>
      </c>
      <c r="X1285" s="400"/>
      <c r="Y1285" s="400" t="s">
        <v>208</v>
      </c>
      <c r="Z1285" s="399"/>
      <c r="AA1285" s="400" t="s">
        <v>113</v>
      </c>
      <c r="AB1285" s="399" t="s">
        <v>3178</v>
      </c>
      <c r="AC1285" s="532" t="s">
        <v>3552</v>
      </c>
      <c r="AD1285" s="400"/>
      <c r="AE1285" s="399"/>
      <c r="AF1285" s="399"/>
      <c r="AG1285" s="399"/>
      <c r="AH1285" s="532"/>
      <c r="AI1285" s="399"/>
      <c r="AJ1285" s="400"/>
      <c r="AK1285" s="399"/>
      <c r="AL1285" s="399"/>
      <c r="AM1285" s="399"/>
      <c r="AN1285" s="399"/>
      <c r="AO1285" s="399"/>
      <c r="AP1285" s="399"/>
      <c r="AQ1285" s="399"/>
      <c r="AR1285" s="399"/>
      <c r="AS1285" s="409" t="s">
        <v>1673</v>
      </c>
      <c r="AT1285" s="399"/>
      <c r="AU1285" s="399"/>
      <c r="AV1285" s="400">
        <v>169467008</v>
      </c>
      <c r="AW1285" s="541" t="s">
        <v>3691</v>
      </c>
      <c r="AX1285" s="541"/>
      <c r="AY1285" s="541"/>
      <c r="AZ1285" s="541"/>
      <c r="BA1285" s="541"/>
      <c r="BB1285" s="400"/>
      <c r="BC1285" s="399" t="e">
        <f t="shared" ca="1" si="2"/>
        <v>#NAME?</v>
      </c>
      <c r="BD1285" s="400">
        <v>159784</v>
      </c>
      <c r="BE1285" s="400"/>
      <c r="BF1285" s="400"/>
      <c r="BG1285" s="540" t="s">
        <v>3692</v>
      </c>
      <c r="BH1285" s="407"/>
      <c r="BI1285" s="407">
        <v>169467008</v>
      </c>
      <c r="BJ1285" s="543" t="s">
        <v>3691</v>
      </c>
      <c r="BK1285" s="46">
        <f t="shared" si="1"/>
        <v>1</v>
      </c>
      <c r="BL1285" s="46">
        <f t="shared" si="3"/>
        <v>1</v>
      </c>
      <c r="BM1285" s="46">
        <f t="shared" si="4"/>
        <v>0</v>
      </c>
      <c r="BN1285" s="46">
        <f t="shared" si="5"/>
        <v>0</v>
      </c>
    </row>
    <row r="1286" spans="1:66" ht="12.75" customHeight="1">
      <c r="A1286" s="399">
        <v>1295</v>
      </c>
      <c r="B1286" s="399" t="s">
        <v>4922</v>
      </c>
      <c r="C1286" s="399" t="e">
        <f t="shared" ca="1" si="0"/>
        <v>#NAME?</v>
      </c>
      <c r="D1286" s="400" t="s">
        <v>4923</v>
      </c>
      <c r="E1286" s="399" t="s">
        <v>180</v>
      </c>
      <c r="F1286" s="556" t="s">
        <v>3528</v>
      </c>
      <c r="G1286" s="400"/>
      <c r="H1286" s="400"/>
      <c r="I1286" s="400"/>
      <c r="J1286" s="400"/>
      <c r="K1286" s="400">
        <v>1</v>
      </c>
      <c r="L1286" s="400" t="s">
        <v>3333</v>
      </c>
      <c r="M1286" s="402" t="s">
        <v>3517</v>
      </c>
      <c r="N1286" s="400"/>
      <c r="O1286" s="428" t="s">
        <v>3477</v>
      </c>
      <c r="P1286" s="557"/>
      <c r="Q1286" s="399" t="s">
        <v>4924</v>
      </c>
      <c r="R1286" s="428"/>
      <c r="S1286" s="400" t="s">
        <v>4925</v>
      </c>
      <c r="T1286" s="400" t="s">
        <v>4926</v>
      </c>
      <c r="U1286" s="400"/>
      <c r="V1286" s="399"/>
      <c r="W1286" s="399" t="s">
        <v>4923</v>
      </c>
      <c r="X1286" s="400"/>
      <c r="Y1286" s="400" t="s">
        <v>208</v>
      </c>
      <c r="Z1286" s="399"/>
      <c r="AA1286" s="400" t="s">
        <v>113</v>
      </c>
      <c r="AB1286" s="399" t="s">
        <v>3178</v>
      </c>
      <c r="AC1286" s="532" t="s">
        <v>3552</v>
      </c>
      <c r="AD1286" s="400"/>
      <c r="AE1286" s="399"/>
      <c r="AF1286" s="399"/>
      <c r="AG1286" s="399"/>
      <c r="AH1286" s="532"/>
      <c r="AI1286" s="399"/>
      <c r="AJ1286" s="400"/>
      <c r="AK1286" s="399"/>
      <c r="AL1286" s="399"/>
      <c r="AM1286" s="399"/>
      <c r="AN1286" s="399"/>
      <c r="AO1286" s="399"/>
      <c r="AP1286" s="399"/>
      <c r="AQ1286" s="399"/>
      <c r="AR1286" s="399"/>
      <c r="AS1286" s="409" t="s">
        <v>1673</v>
      </c>
      <c r="AT1286" s="399"/>
      <c r="AU1286" s="399"/>
      <c r="AV1286" s="399"/>
      <c r="AW1286" s="541"/>
      <c r="AX1286" s="541"/>
      <c r="AY1286" s="541"/>
      <c r="AZ1286" s="541"/>
      <c r="BA1286" s="541"/>
      <c r="BB1286" s="399"/>
      <c r="BC1286" s="399" t="e">
        <f t="shared" ca="1" si="2"/>
        <v>#NAME?</v>
      </c>
      <c r="BD1286" s="399"/>
      <c r="BE1286" s="399"/>
      <c r="BF1286" s="399"/>
      <c r="BG1286" s="540"/>
      <c r="BH1286" s="407"/>
      <c r="BI1286" s="407"/>
      <c r="BJ1286" s="543"/>
      <c r="BK1286" s="46">
        <f t="shared" si="1"/>
        <v>1</v>
      </c>
      <c r="BL1286" s="46">
        <f t="shared" si="3"/>
        <v>0</v>
      </c>
      <c r="BM1286" s="46">
        <f t="shared" si="4"/>
        <v>1</v>
      </c>
      <c r="BN1286" s="46">
        <f t="shared" si="5"/>
        <v>0</v>
      </c>
    </row>
    <row r="1287" spans="1:66" ht="12.75" customHeight="1">
      <c r="A1287" s="399">
        <v>1296</v>
      </c>
      <c r="B1287" s="399" t="s">
        <v>3673</v>
      </c>
      <c r="C1287" s="399" t="e">
        <f t="shared" ca="1" si="0"/>
        <v>#NAME?</v>
      </c>
      <c r="D1287" s="400" t="s">
        <v>4929</v>
      </c>
      <c r="E1287" s="399" t="s">
        <v>180</v>
      </c>
      <c r="F1287" s="556" t="s">
        <v>3528</v>
      </c>
      <c r="G1287" s="400"/>
      <c r="H1287" s="400"/>
      <c r="I1287" s="400"/>
      <c r="J1287" s="400"/>
      <c r="K1287" s="400">
        <v>1</v>
      </c>
      <c r="L1287" s="400" t="s">
        <v>3333</v>
      </c>
      <c r="M1287" s="402" t="s">
        <v>3517</v>
      </c>
      <c r="N1287" s="400"/>
      <c r="O1287" s="428" t="s">
        <v>3477</v>
      </c>
      <c r="P1287" s="557"/>
      <c r="Q1287" s="399" t="s">
        <v>3669</v>
      </c>
      <c r="R1287" s="428"/>
      <c r="S1287" s="400" t="s">
        <v>3670</v>
      </c>
      <c r="T1287" s="400" t="s">
        <v>4931</v>
      </c>
      <c r="U1287" s="400"/>
      <c r="V1287" s="399"/>
      <c r="W1287" s="399" t="s">
        <v>4929</v>
      </c>
      <c r="X1287" s="400"/>
      <c r="Y1287" s="400" t="s">
        <v>208</v>
      </c>
      <c r="Z1287" s="399"/>
      <c r="AA1287" s="400" t="s">
        <v>113</v>
      </c>
      <c r="AB1287" s="399" t="s">
        <v>3178</v>
      </c>
      <c r="AC1287" s="532" t="s">
        <v>3552</v>
      </c>
      <c r="AD1287" s="400"/>
      <c r="AE1287" s="400"/>
      <c r="AF1287" s="400"/>
      <c r="AG1287" s="399"/>
      <c r="AH1287" s="532"/>
      <c r="AI1287" s="400"/>
      <c r="AJ1287" s="400"/>
      <c r="AK1287" s="399"/>
      <c r="AL1287" s="399"/>
      <c r="AM1287" s="399"/>
      <c r="AN1287" s="399"/>
      <c r="AO1287" s="399"/>
      <c r="AP1287" s="399"/>
      <c r="AQ1287" s="399"/>
      <c r="AR1287" s="399"/>
      <c r="AS1287" s="409" t="s">
        <v>1673</v>
      </c>
      <c r="AT1287" s="399"/>
      <c r="AU1287" s="399"/>
      <c r="AV1287" s="399"/>
      <c r="AW1287" s="541"/>
      <c r="AX1287" s="541"/>
      <c r="AY1287" s="541"/>
      <c r="AZ1287" s="541"/>
      <c r="BA1287" s="541"/>
      <c r="BB1287" s="399"/>
      <c r="BC1287" s="399" t="e">
        <f t="shared" ca="1" si="2"/>
        <v>#NAME?</v>
      </c>
      <c r="BD1287" s="399"/>
      <c r="BE1287" s="399"/>
      <c r="BF1287" s="399"/>
      <c r="BG1287" s="540"/>
      <c r="BH1287" s="407"/>
      <c r="BI1287" s="407"/>
      <c r="BJ1287" s="543"/>
      <c r="BK1287" s="46">
        <f t="shared" si="1"/>
        <v>1</v>
      </c>
      <c r="BL1287" s="46">
        <f t="shared" si="3"/>
        <v>0</v>
      </c>
      <c r="BM1287" s="46">
        <f t="shared" si="4"/>
        <v>1</v>
      </c>
      <c r="BN1287" s="46">
        <f t="shared" si="5"/>
        <v>0</v>
      </c>
    </row>
    <row r="1288" spans="1:66" ht="12.75" customHeight="1">
      <c r="A1288" s="399">
        <v>1297</v>
      </c>
      <c r="B1288" s="399" t="s">
        <v>3574</v>
      </c>
      <c r="C1288" s="399" t="e">
        <f t="shared" ca="1" si="0"/>
        <v>#NAME?</v>
      </c>
      <c r="D1288" s="400" t="s">
        <v>4934</v>
      </c>
      <c r="E1288" s="399" t="s">
        <v>180</v>
      </c>
      <c r="F1288" s="556" t="s">
        <v>3528</v>
      </c>
      <c r="G1288" s="400"/>
      <c r="H1288" s="400"/>
      <c r="I1288" s="400"/>
      <c r="J1288" s="400"/>
      <c r="K1288" s="400">
        <v>1</v>
      </c>
      <c r="L1288" s="400" t="s">
        <v>3333</v>
      </c>
      <c r="M1288" s="402" t="s">
        <v>3517</v>
      </c>
      <c r="N1288" s="400"/>
      <c r="O1288" s="428" t="s">
        <v>3477</v>
      </c>
      <c r="P1288" s="557"/>
      <c r="Q1288" s="399" t="s">
        <v>3571</v>
      </c>
      <c r="R1288" s="428"/>
      <c r="S1288" s="400" t="s">
        <v>3572</v>
      </c>
      <c r="T1288" s="400" t="s">
        <v>4935</v>
      </c>
      <c r="U1288" s="400"/>
      <c r="V1288" s="399"/>
      <c r="W1288" s="399" t="s">
        <v>4934</v>
      </c>
      <c r="X1288" s="400"/>
      <c r="Y1288" s="400" t="s">
        <v>208</v>
      </c>
      <c r="Z1288" s="399"/>
      <c r="AA1288" s="400" t="s">
        <v>113</v>
      </c>
      <c r="AB1288" s="399" t="s">
        <v>3178</v>
      </c>
      <c r="AC1288" s="532" t="s">
        <v>3552</v>
      </c>
      <c r="AD1288" s="400"/>
      <c r="AE1288" s="399"/>
      <c r="AF1288" s="399"/>
      <c r="AG1288" s="399"/>
      <c r="AH1288" s="532"/>
      <c r="AI1288" s="399"/>
      <c r="AJ1288" s="400"/>
      <c r="AK1288" s="399"/>
      <c r="AL1288" s="399"/>
      <c r="AM1288" s="399"/>
      <c r="AN1288" s="399"/>
      <c r="AO1288" s="399"/>
      <c r="AP1288" s="399"/>
      <c r="AQ1288" s="399"/>
      <c r="AR1288" s="399"/>
      <c r="AS1288" s="409" t="s">
        <v>1673</v>
      </c>
      <c r="AT1288" s="399"/>
      <c r="AU1288" s="399"/>
      <c r="AV1288" s="400">
        <v>428987008</v>
      </c>
      <c r="AW1288" s="541" t="s">
        <v>3576</v>
      </c>
      <c r="AX1288" s="541"/>
      <c r="AY1288" s="541"/>
      <c r="AZ1288" s="541"/>
      <c r="BA1288" s="541"/>
      <c r="BB1288" s="399"/>
      <c r="BC1288" s="399" t="e">
        <f t="shared" ca="1" si="2"/>
        <v>#NAME?</v>
      </c>
      <c r="BD1288" s="399"/>
      <c r="BE1288" s="399"/>
      <c r="BF1288" s="399"/>
      <c r="BG1288" s="540"/>
      <c r="BH1288" s="407"/>
      <c r="BI1288" s="407">
        <v>428987008</v>
      </c>
      <c r="BJ1288" s="543" t="s">
        <v>3576</v>
      </c>
      <c r="BK1288" s="46">
        <f t="shared" si="1"/>
        <v>1</v>
      </c>
      <c r="BL1288" s="46">
        <f t="shared" si="3"/>
        <v>1</v>
      </c>
      <c r="BM1288" s="46">
        <f t="shared" si="4"/>
        <v>0</v>
      </c>
      <c r="BN1288" s="46">
        <f t="shared" si="5"/>
        <v>0</v>
      </c>
    </row>
    <row r="1289" spans="1:66" ht="12.75" customHeight="1">
      <c r="A1289" s="399">
        <v>1298</v>
      </c>
      <c r="B1289" s="399" t="s">
        <v>3719</v>
      </c>
      <c r="C1289" s="399" t="e">
        <f t="shared" ca="1" si="0"/>
        <v>#NAME?</v>
      </c>
      <c r="D1289" s="400" t="s">
        <v>3722</v>
      </c>
      <c r="E1289" s="399" t="s">
        <v>180</v>
      </c>
      <c r="F1289" s="556" t="s">
        <v>3528</v>
      </c>
      <c r="G1289" s="400"/>
      <c r="H1289" s="400"/>
      <c r="I1289" s="400"/>
      <c r="J1289" s="400"/>
      <c r="K1289" s="400">
        <v>1</v>
      </c>
      <c r="L1289" s="400" t="s">
        <v>3333</v>
      </c>
      <c r="M1289" s="402" t="s">
        <v>3517</v>
      </c>
      <c r="N1289" s="400"/>
      <c r="O1289" s="428" t="s">
        <v>3477</v>
      </c>
      <c r="P1289" s="557"/>
      <c r="Q1289" s="399" t="s">
        <v>3720</v>
      </c>
      <c r="R1289" s="428"/>
      <c r="S1289" s="400"/>
      <c r="T1289" s="400" t="s">
        <v>3721</v>
      </c>
      <c r="U1289" s="400"/>
      <c r="V1289" s="399"/>
      <c r="W1289" s="399" t="s">
        <v>3722</v>
      </c>
      <c r="X1289" s="400"/>
      <c r="Y1289" s="400" t="s">
        <v>208</v>
      </c>
      <c r="Z1289" s="399"/>
      <c r="AA1289" s="400" t="s">
        <v>113</v>
      </c>
      <c r="AB1289" s="399" t="s">
        <v>3178</v>
      </c>
      <c r="AC1289" s="532" t="s">
        <v>3552</v>
      </c>
      <c r="AD1289" s="400"/>
      <c r="AE1289" s="400"/>
      <c r="AF1289" s="400"/>
      <c r="AG1289" s="399" t="s">
        <v>3723</v>
      </c>
      <c r="AH1289" s="532"/>
      <c r="AI1289" s="400"/>
      <c r="AJ1289" s="400"/>
      <c r="AK1289" s="399"/>
      <c r="AL1289" s="399"/>
      <c r="AM1289" s="399"/>
      <c r="AN1289" s="399"/>
      <c r="AO1289" s="399"/>
      <c r="AP1289" s="399"/>
      <c r="AQ1289" s="399"/>
      <c r="AR1289" s="399"/>
      <c r="AS1289" s="409" t="s">
        <v>1673</v>
      </c>
      <c r="AT1289" s="399"/>
      <c r="AU1289" s="399"/>
      <c r="AV1289" s="517">
        <v>275572005</v>
      </c>
      <c r="AW1289" s="541" t="s">
        <v>3725</v>
      </c>
      <c r="AX1289" s="541"/>
      <c r="AY1289" s="541"/>
      <c r="AZ1289" s="541"/>
      <c r="BA1289" s="541"/>
      <c r="BB1289" s="517"/>
      <c r="BC1289" s="399" t="e">
        <f t="shared" ca="1" si="2"/>
        <v>#NAME?</v>
      </c>
      <c r="BD1289" s="517"/>
      <c r="BE1289" s="517"/>
      <c r="BF1289" s="400"/>
      <c r="BG1289" s="542"/>
      <c r="BH1289" s="407"/>
      <c r="BI1289" s="546">
        <v>275572005</v>
      </c>
      <c r="BJ1289" s="543" t="s">
        <v>3725</v>
      </c>
      <c r="BK1289" s="46">
        <f t="shared" si="1"/>
        <v>1</v>
      </c>
      <c r="BL1289" s="46">
        <f t="shared" si="3"/>
        <v>1</v>
      </c>
      <c r="BM1289" s="46">
        <f t="shared" si="4"/>
        <v>0</v>
      </c>
      <c r="BN1289" s="46">
        <f t="shared" si="5"/>
        <v>0</v>
      </c>
    </row>
    <row r="1290" spans="1:66" ht="12.75" customHeight="1">
      <c r="A1290" s="399">
        <v>1299</v>
      </c>
      <c r="B1290" s="399" t="s">
        <v>4941</v>
      </c>
      <c r="C1290" s="399" t="e">
        <f t="shared" ca="1" si="0"/>
        <v>#NAME?</v>
      </c>
      <c r="D1290" s="400" t="s">
        <v>4942</v>
      </c>
      <c r="E1290" s="399" t="s">
        <v>180</v>
      </c>
      <c r="F1290" s="556" t="s">
        <v>3528</v>
      </c>
      <c r="G1290" s="400"/>
      <c r="H1290" s="400"/>
      <c r="I1290" s="400"/>
      <c r="J1290" s="400"/>
      <c r="K1290" s="400">
        <v>1</v>
      </c>
      <c r="L1290" s="400" t="s">
        <v>3333</v>
      </c>
      <c r="M1290" s="402" t="s">
        <v>3517</v>
      </c>
      <c r="N1290" s="400"/>
      <c r="O1290" s="428" t="s">
        <v>3477</v>
      </c>
      <c r="P1290" s="557"/>
      <c r="Q1290" s="399" t="s">
        <v>3727</v>
      </c>
      <c r="R1290" s="428"/>
      <c r="S1290" s="400"/>
      <c r="T1290" s="400" t="s">
        <v>3728</v>
      </c>
      <c r="U1290" s="400"/>
      <c r="V1290" s="399"/>
      <c r="W1290" s="399" t="s">
        <v>4942</v>
      </c>
      <c r="X1290" s="400"/>
      <c r="Y1290" s="400" t="s">
        <v>208</v>
      </c>
      <c r="Z1290" s="399"/>
      <c r="AA1290" s="400" t="s">
        <v>113</v>
      </c>
      <c r="AB1290" s="399" t="s">
        <v>3178</v>
      </c>
      <c r="AC1290" s="532" t="s">
        <v>3730</v>
      </c>
      <c r="AD1290" s="400"/>
      <c r="AE1290" s="400"/>
      <c r="AF1290" s="400"/>
      <c r="AG1290" s="399" t="s">
        <v>3731</v>
      </c>
      <c r="AH1290" s="532"/>
      <c r="AI1290" s="400"/>
      <c r="AJ1290" s="400"/>
      <c r="AK1290" s="399"/>
      <c r="AL1290" s="399"/>
      <c r="AM1290" s="399"/>
      <c r="AN1290" s="399"/>
      <c r="AO1290" s="399"/>
      <c r="AP1290" s="399"/>
      <c r="AQ1290" s="399"/>
      <c r="AR1290" s="399"/>
      <c r="AS1290" s="409" t="s">
        <v>1673</v>
      </c>
      <c r="AT1290" s="399"/>
      <c r="AU1290" s="399"/>
      <c r="AV1290" s="517">
        <v>161558008</v>
      </c>
      <c r="AW1290" s="541" t="s">
        <v>4944</v>
      </c>
      <c r="AX1290" s="541"/>
      <c r="AY1290" s="541"/>
      <c r="AZ1290" s="541"/>
      <c r="BA1290" s="541"/>
      <c r="BB1290" s="517"/>
      <c r="BC1290" s="399" t="e">
        <f t="shared" ca="1" si="2"/>
        <v>#NAME?</v>
      </c>
      <c r="BD1290" s="517"/>
      <c r="BE1290" s="517"/>
      <c r="BF1290" s="517"/>
      <c r="BG1290" s="542"/>
      <c r="BH1290" s="407"/>
      <c r="BI1290" s="546">
        <v>161558008</v>
      </c>
      <c r="BJ1290" s="543" t="s">
        <v>4944</v>
      </c>
      <c r="BK1290" s="46">
        <f t="shared" si="1"/>
        <v>1</v>
      </c>
      <c r="BL1290" s="46">
        <f t="shared" si="3"/>
        <v>1</v>
      </c>
      <c r="BM1290" s="46">
        <f t="shared" si="4"/>
        <v>0</v>
      </c>
      <c r="BN1290" s="46">
        <f t="shared" si="5"/>
        <v>0</v>
      </c>
    </row>
    <row r="1291" spans="1:66" ht="12.75" customHeight="1">
      <c r="A1291" s="399">
        <v>1300</v>
      </c>
      <c r="B1291" s="399" t="s">
        <v>3547</v>
      </c>
      <c r="C1291" s="399" t="e">
        <f t="shared" ca="1" si="0"/>
        <v>#NAME?</v>
      </c>
      <c r="D1291" s="400" t="s">
        <v>3550</v>
      </c>
      <c r="E1291" s="399" t="s">
        <v>180</v>
      </c>
      <c r="F1291" s="556" t="s">
        <v>3528</v>
      </c>
      <c r="G1291" s="400"/>
      <c r="H1291" s="400"/>
      <c r="I1291" s="400"/>
      <c r="J1291" s="400"/>
      <c r="K1291" s="400">
        <v>1</v>
      </c>
      <c r="L1291" s="400" t="s">
        <v>3333</v>
      </c>
      <c r="M1291" s="402" t="s">
        <v>3517</v>
      </c>
      <c r="N1291" s="400"/>
      <c r="O1291" s="428" t="s">
        <v>3477</v>
      </c>
      <c r="P1291" s="557"/>
      <c r="Q1291" s="399" t="s">
        <v>3548</v>
      </c>
      <c r="R1291" s="428"/>
      <c r="S1291" s="400"/>
      <c r="T1291" s="400" t="s">
        <v>3549</v>
      </c>
      <c r="U1291" s="400"/>
      <c r="V1291" s="399"/>
      <c r="W1291" s="399" t="s">
        <v>3550</v>
      </c>
      <c r="X1291" s="400"/>
      <c r="Y1291" s="400" t="s">
        <v>208</v>
      </c>
      <c r="Z1291" s="399"/>
      <c r="AA1291" s="400" t="s">
        <v>113</v>
      </c>
      <c r="AB1291" s="399" t="s">
        <v>3178</v>
      </c>
      <c r="AC1291" s="532" t="s">
        <v>3552</v>
      </c>
      <c r="AD1291" s="400"/>
      <c r="AE1291" s="400"/>
      <c r="AF1291" s="400"/>
      <c r="AG1291" s="399"/>
      <c r="AH1291" s="532"/>
      <c r="AI1291" s="400"/>
      <c r="AJ1291" s="400"/>
      <c r="AK1291" s="399"/>
      <c r="AL1291" s="399"/>
      <c r="AM1291" s="399"/>
      <c r="AN1291" s="399"/>
      <c r="AO1291" s="399"/>
      <c r="AP1291" s="399"/>
      <c r="AQ1291" s="399"/>
      <c r="AR1291" s="399"/>
      <c r="AS1291" s="409" t="s">
        <v>1673</v>
      </c>
      <c r="AT1291" s="399"/>
      <c r="AU1291" s="399"/>
      <c r="AV1291" s="399">
        <v>449038007</v>
      </c>
      <c r="AW1291" s="541" t="s">
        <v>3554</v>
      </c>
      <c r="AX1291" s="541"/>
      <c r="AY1291" s="541"/>
      <c r="AZ1291" s="541"/>
      <c r="BA1291" s="541"/>
      <c r="BB1291" s="399"/>
      <c r="BC1291" s="399" t="e">
        <f t="shared" ca="1" si="2"/>
        <v>#NAME?</v>
      </c>
      <c r="BD1291" s="399"/>
      <c r="BE1291" s="399"/>
      <c r="BF1291" s="399"/>
      <c r="BG1291" s="540"/>
      <c r="BH1291" s="407"/>
      <c r="BI1291" s="407">
        <v>449038007</v>
      </c>
      <c r="BJ1291" s="543" t="s">
        <v>3554</v>
      </c>
      <c r="BK1291" s="46">
        <f t="shared" si="1"/>
        <v>1</v>
      </c>
      <c r="BL1291" s="46">
        <f t="shared" si="3"/>
        <v>1</v>
      </c>
      <c r="BM1291" s="46">
        <f t="shared" si="4"/>
        <v>0</v>
      </c>
      <c r="BN1291" s="46">
        <f t="shared" si="5"/>
        <v>0</v>
      </c>
    </row>
    <row r="1292" spans="1:66" ht="12.75" customHeight="1">
      <c r="A1292" s="399">
        <v>1301</v>
      </c>
      <c r="B1292" s="399" t="s">
        <v>3560</v>
      </c>
      <c r="C1292" s="399" t="e">
        <f t="shared" ca="1" si="0"/>
        <v>#NAME?</v>
      </c>
      <c r="D1292" s="400" t="s">
        <v>4948</v>
      </c>
      <c r="E1292" s="399" t="s">
        <v>180</v>
      </c>
      <c r="F1292" s="556" t="s">
        <v>3528</v>
      </c>
      <c r="G1292" s="400"/>
      <c r="H1292" s="400"/>
      <c r="I1292" s="400"/>
      <c r="J1292" s="400"/>
      <c r="K1292" s="400">
        <v>1</v>
      </c>
      <c r="L1292" s="400" t="s">
        <v>3333</v>
      </c>
      <c r="M1292" s="402" t="s">
        <v>3517</v>
      </c>
      <c r="N1292" s="400"/>
      <c r="O1292" s="428" t="s">
        <v>3477</v>
      </c>
      <c r="P1292" s="557"/>
      <c r="Q1292" s="399" t="s">
        <v>3557</v>
      </c>
      <c r="R1292" s="428"/>
      <c r="S1292" s="400"/>
      <c r="T1292" s="400" t="s">
        <v>3558</v>
      </c>
      <c r="U1292" s="400"/>
      <c r="V1292" s="399"/>
      <c r="W1292" s="399" t="s">
        <v>4948</v>
      </c>
      <c r="X1292" s="400"/>
      <c r="Y1292" s="400" t="s">
        <v>208</v>
      </c>
      <c r="Z1292" s="399"/>
      <c r="AA1292" s="400" t="s">
        <v>113</v>
      </c>
      <c r="AB1292" s="399" t="s">
        <v>3178</v>
      </c>
      <c r="AC1292" s="532" t="s">
        <v>3552</v>
      </c>
      <c r="AD1292" s="400"/>
      <c r="AE1292" s="400"/>
      <c r="AF1292" s="400"/>
      <c r="AG1292" s="399"/>
      <c r="AH1292" s="532"/>
      <c r="AI1292" s="400"/>
      <c r="AJ1292" s="400"/>
      <c r="AK1292" s="399"/>
      <c r="AL1292" s="399"/>
      <c r="AM1292" s="399"/>
      <c r="AN1292" s="399"/>
      <c r="AO1292" s="399"/>
      <c r="AP1292" s="399"/>
      <c r="AQ1292" s="399"/>
      <c r="AR1292" s="399"/>
      <c r="AS1292" s="409" t="s">
        <v>1673</v>
      </c>
      <c r="AT1292" s="399"/>
      <c r="AU1292" s="399"/>
      <c r="AV1292" s="399">
        <v>448962006</v>
      </c>
      <c r="AW1292" s="541" t="s">
        <v>3563</v>
      </c>
      <c r="AX1292" s="541"/>
      <c r="AY1292" s="541"/>
      <c r="AZ1292" s="541"/>
      <c r="BA1292" s="541"/>
      <c r="BB1292" s="399"/>
      <c r="BC1292" s="399" t="e">
        <f t="shared" ca="1" si="2"/>
        <v>#NAME?</v>
      </c>
      <c r="BD1292" s="399"/>
      <c r="BE1292" s="517"/>
      <c r="BF1292" s="399"/>
      <c r="BG1292" s="540"/>
      <c r="BH1292" s="407"/>
      <c r="BI1292" s="407">
        <v>448962006</v>
      </c>
      <c r="BJ1292" s="543" t="s">
        <v>3563</v>
      </c>
      <c r="BK1292" s="46">
        <f t="shared" si="1"/>
        <v>1</v>
      </c>
      <c r="BL1292" s="46">
        <f t="shared" si="3"/>
        <v>1</v>
      </c>
      <c r="BM1292" s="46">
        <f t="shared" si="4"/>
        <v>0</v>
      </c>
      <c r="BN1292" s="46">
        <f t="shared" si="5"/>
        <v>0</v>
      </c>
    </row>
    <row r="1293" spans="1:66" ht="12.75" customHeight="1">
      <c r="A1293" s="399">
        <v>1302</v>
      </c>
      <c r="B1293" s="399" t="s">
        <v>3564</v>
      </c>
      <c r="C1293" s="399" t="e">
        <f t="shared" ca="1" si="0"/>
        <v>#NAME?</v>
      </c>
      <c r="D1293" s="400" t="s">
        <v>3567</v>
      </c>
      <c r="E1293" s="399" t="s">
        <v>180</v>
      </c>
      <c r="F1293" s="556" t="s">
        <v>3528</v>
      </c>
      <c r="G1293" s="400"/>
      <c r="H1293" s="400"/>
      <c r="I1293" s="400"/>
      <c r="J1293" s="400"/>
      <c r="K1293" s="400">
        <v>1</v>
      </c>
      <c r="L1293" s="400" t="s">
        <v>3333</v>
      </c>
      <c r="M1293" s="402" t="s">
        <v>3517</v>
      </c>
      <c r="N1293" s="400"/>
      <c r="O1293" s="428" t="s">
        <v>3477</v>
      </c>
      <c r="P1293" s="557"/>
      <c r="Q1293" s="399" t="s">
        <v>3565</v>
      </c>
      <c r="R1293" s="428"/>
      <c r="S1293" s="400"/>
      <c r="T1293" s="400" t="s">
        <v>3566</v>
      </c>
      <c r="U1293" s="400"/>
      <c r="V1293" s="399"/>
      <c r="W1293" s="399" t="s">
        <v>3567</v>
      </c>
      <c r="X1293" s="400"/>
      <c r="Y1293" s="400" t="s">
        <v>208</v>
      </c>
      <c r="Z1293" s="399"/>
      <c r="AA1293" s="400" t="s">
        <v>113</v>
      </c>
      <c r="AB1293" s="399" t="s">
        <v>3178</v>
      </c>
      <c r="AC1293" s="532" t="s">
        <v>3552</v>
      </c>
      <c r="AD1293" s="400"/>
      <c r="AE1293" s="400"/>
      <c r="AF1293" s="400"/>
      <c r="AG1293" s="399"/>
      <c r="AH1293" s="532"/>
      <c r="AI1293" s="400"/>
      <c r="AJ1293" s="400"/>
      <c r="AK1293" s="399"/>
      <c r="AL1293" s="399"/>
      <c r="AM1293" s="399"/>
      <c r="AN1293" s="399"/>
      <c r="AO1293" s="399"/>
      <c r="AP1293" s="399"/>
      <c r="AQ1293" s="399"/>
      <c r="AR1293" s="399"/>
      <c r="AS1293" s="409" t="s">
        <v>1673</v>
      </c>
      <c r="AT1293" s="399"/>
      <c r="AU1293" s="399"/>
      <c r="AV1293" s="517" t="s">
        <v>3568</v>
      </c>
      <c r="AW1293" s="541" t="s">
        <v>3569</v>
      </c>
      <c r="AX1293" s="541"/>
      <c r="AY1293" s="541"/>
      <c r="AZ1293" s="541"/>
      <c r="BA1293" s="541"/>
      <c r="BB1293" s="517"/>
      <c r="BC1293" s="399" t="e">
        <f t="shared" ca="1" si="2"/>
        <v>#NAME?</v>
      </c>
      <c r="BD1293" s="517">
        <v>5275</v>
      </c>
      <c r="BE1293" s="517"/>
      <c r="BF1293" s="517"/>
      <c r="BG1293" s="542" t="s">
        <v>2791</v>
      </c>
      <c r="BH1293" s="407"/>
      <c r="BI1293" s="414" t="s">
        <v>3568</v>
      </c>
      <c r="BJ1293" s="543" t="s">
        <v>3569</v>
      </c>
      <c r="BK1293" s="46">
        <f t="shared" si="1"/>
        <v>1</v>
      </c>
      <c r="BL1293" s="46">
        <f t="shared" si="3"/>
        <v>1</v>
      </c>
      <c r="BM1293" s="46">
        <f t="shared" si="4"/>
        <v>0</v>
      </c>
      <c r="BN1293" s="46">
        <f t="shared" si="5"/>
        <v>0</v>
      </c>
    </row>
    <row r="1294" spans="1:66" ht="12.75" customHeight="1">
      <c r="A1294" s="399">
        <v>1303</v>
      </c>
      <c r="B1294" s="399" t="s">
        <v>4954</v>
      </c>
      <c r="C1294" s="399" t="e">
        <f t="shared" ca="1" si="0"/>
        <v>#NAME?</v>
      </c>
      <c r="D1294" s="400" t="s">
        <v>4955</v>
      </c>
      <c r="E1294" s="399" t="s">
        <v>180</v>
      </c>
      <c r="F1294" s="556" t="s">
        <v>3528</v>
      </c>
      <c r="G1294" s="400"/>
      <c r="H1294" s="400"/>
      <c r="I1294" s="400"/>
      <c r="J1294" s="400"/>
      <c r="K1294" s="400">
        <v>1</v>
      </c>
      <c r="L1294" s="400" t="s">
        <v>3333</v>
      </c>
      <c r="M1294" s="402" t="s">
        <v>3517</v>
      </c>
      <c r="N1294" s="400"/>
      <c r="O1294" s="428" t="s">
        <v>3477</v>
      </c>
      <c r="P1294" s="557"/>
      <c r="Q1294" s="399" t="s">
        <v>3703</v>
      </c>
      <c r="R1294" s="428"/>
      <c r="S1294" s="400"/>
      <c r="T1294" s="400" t="s">
        <v>4956</v>
      </c>
      <c r="U1294" s="400"/>
      <c r="V1294" s="399"/>
      <c r="W1294" s="399" t="s">
        <v>4955</v>
      </c>
      <c r="X1294" s="400"/>
      <c r="Y1294" s="400" t="s">
        <v>208</v>
      </c>
      <c r="Z1294" s="399"/>
      <c r="AA1294" s="400" t="s">
        <v>113</v>
      </c>
      <c r="AB1294" s="399" t="s">
        <v>3178</v>
      </c>
      <c r="AC1294" s="532" t="s">
        <v>3552</v>
      </c>
      <c r="AD1294" s="400"/>
      <c r="AE1294" s="400"/>
      <c r="AF1294" s="400"/>
      <c r="AG1294" s="399"/>
      <c r="AH1294" s="532"/>
      <c r="AI1294" s="400"/>
      <c r="AJ1294" s="400"/>
      <c r="AK1294" s="399"/>
      <c r="AL1294" s="399"/>
      <c r="AM1294" s="399"/>
      <c r="AN1294" s="399"/>
      <c r="AO1294" s="399"/>
      <c r="AP1294" s="399"/>
      <c r="AQ1294" s="399"/>
      <c r="AR1294" s="399"/>
      <c r="AS1294" s="409" t="s">
        <v>1673</v>
      </c>
      <c r="AT1294" s="399"/>
      <c r="AU1294" s="399"/>
      <c r="AV1294" s="399"/>
      <c r="AW1294" s="541"/>
      <c r="AX1294" s="541"/>
      <c r="AY1294" s="541"/>
      <c r="AZ1294" s="541"/>
      <c r="BA1294" s="541"/>
      <c r="BB1294" s="399"/>
      <c r="BC1294" s="399" t="e">
        <f t="shared" ca="1" si="2"/>
        <v>#NAME?</v>
      </c>
      <c r="BD1294" s="399"/>
      <c r="BE1294" s="399"/>
      <c r="BF1294" s="399"/>
      <c r="BG1294" s="540"/>
      <c r="BH1294" s="407"/>
      <c r="BI1294" s="407"/>
      <c r="BJ1294" s="543"/>
      <c r="BK1294" s="46">
        <f t="shared" si="1"/>
        <v>1</v>
      </c>
      <c r="BL1294" s="46">
        <f t="shared" si="3"/>
        <v>0</v>
      </c>
      <c r="BM1294" s="46">
        <f t="shared" si="4"/>
        <v>1</v>
      </c>
      <c r="BN1294" s="46">
        <f t="shared" si="5"/>
        <v>0</v>
      </c>
    </row>
    <row r="1295" spans="1:66" ht="12.75" customHeight="1">
      <c r="A1295" s="399">
        <v>1304</v>
      </c>
      <c r="B1295" s="399" t="s">
        <v>4283</v>
      </c>
      <c r="C1295" s="399" t="e">
        <f t="shared" ca="1" si="0"/>
        <v>#NAME?</v>
      </c>
      <c r="D1295" s="400" t="s">
        <v>2792</v>
      </c>
      <c r="E1295" s="399" t="s">
        <v>180</v>
      </c>
      <c r="F1295" s="556" t="s">
        <v>3528</v>
      </c>
      <c r="G1295" s="400"/>
      <c r="H1295" s="400"/>
      <c r="I1295" s="400"/>
      <c r="J1295" s="400"/>
      <c r="K1295" s="400">
        <v>1</v>
      </c>
      <c r="L1295" s="400" t="s">
        <v>3333</v>
      </c>
      <c r="M1295" s="402" t="s">
        <v>3517</v>
      </c>
      <c r="N1295" s="400"/>
      <c r="O1295" s="428" t="s">
        <v>3477</v>
      </c>
      <c r="P1295" s="557"/>
      <c r="Q1295" s="399" t="s">
        <v>4959</v>
      </c>
      <c r="R1295" s="428"/>
      <c r="S1295" s="400"/>
      <c r="T1295" s="400" t="s">
        <v>4960</v>
      </c>
      <c r="U1295" s="400"/>
      <c r="V1295" s="399"/>
      <c r="W1295" s="399" t="s">
        <v>2792</v>
      </c>
      <c r="X1295" s="400"/>
      <c r="Y1295" s="400" t="s">
        <v>208</v>
      </c>
      <c r="Z1295" s="399"/>
      <c r="AA1295" s="400" t="s">
        <v>113</v>
      </c>
      <c r="AB1295" s="399" t="s">
        <v>3178</v>
      </c>
      <c r="AC1295" s="532" t="s">
        <v>3552</v>
      </c>
      <c r="AD1295" s="400"/>
      <c r="AE1295" s="400"/>
      <c r="AF1295" s="400"/>
      <c r="AG1295" s="399"/>
      <c r="AH1295" s="532"/>
      <c r="AI1295" s="400"/>
      <c r="AJ1295" s="400"/>
      <c r="AK1295" s="399"/>
      <c r="AL1295" s="399"/>
      <c r="AM1295" s="399"/>
      <c r="AN1295" s="399"/>
      <c r="AO1295" s="399"/>
      <c r="AP1295" s="399"/>
      <c r="AQ1295" s="399"/>
      <c r="AR1295" s="399"/>
      <c r="AS1295" s="409" t="s">
        <v>1673</v>
      </c>
      <c r="AT1295" s="399"/>
      <c r="AU1295" s="399"/>
      <c r="AV1295" s="399">
        <v>450850003</v>
      </c>
      <c r="AW1295" s="541"/>
      <c r="AX1295" s="541"/>
      <c r="AY1295" s="541"/>
      <c r="AZ1295" s="541"/>
      <c r="BA1295" s="541"/>
      <c r="BB1295" s="399"/>
      <c r="BC1295" s="399" t="e">
        <f t="shared" ca="1" si="2"/>
        <v>#NAME?</v>
      </c>
      <c r="BD1295" s="399"/>
      <c r="BE1295" s="399"/>
      <c r="BF1295" s="399"/>
      <c r="BG1295" s="540"/>
      <c r="BH1295" s="407"/>
      <c r="BI1295" s="407">
        <v>450850003</v>
      </c>
      <c r="BJ1295" s="543"/>
      <c r="BK1295" s="46">
        <f t="shared" si="1"/>
        <v>1</v>
      </c>
      <c r="BL1295" s="46">
        <f t="shared" si="3"/>
        <v>1</v>
      </c>
      <c r="BM1295" s="46">
        <f t="shared" si="4"/>
        <v>0</v>
      </c>
      <c r="BN1295" s="46">
        <f t="shared" si="5"/>
        <v>0</v>
      </c>
    </row>
    <row r="1296" spans="1:66" ht="12.75" customHeight="1">
      <c r="A1296" s="399">
        <v>1305</v>
      </c>
      <c r="B1296" s="399" t="s">
        <v>3617</v>
      </c>
      <c r="C1296" s="399" t="e">
        <f t="shared" ca="1" si="0"/>
        <v>#NAME?</v>
      </c>
      <c r="D1296" s="400" t="s">
        <v>3620</v>
      </c>
      <c r="E1296" s="399" t="s">
        <v>180</v>
      </c>
      <c r="F1296" s="556" t="s">
        <v>3528</v>
      </c>
      <c r="G1296" s="400"/>
      <c r="H1296" s="400"/>
      <c r="I1296" s="400"/>
      <c r="J1296" s="400"/>
      <c r="K1296" s="400">
        <v>1</v>
      </c>
      <c r="L1296" s="400" t="s">
        <v>3333</v>
      </c>
      <c r="M1296" s="402" t="s">
        <v>3517</v>
      </c>
      <c r="N1296" s="400"/>
      <c r="O1296" s="428" t="s">
        <v>3477</v>
      </c>
      <c r="P1296" s="557"/>
      <c r="Q1296" s="399" t="s">
        <v>3618</v>
      </c>
      <c r="R1296" s="428"/>
      <c r="S1296" s="400"/>
      <c r="T1296" s="400" t="s">
        <v>3619</v>
      </c>
      <c r="U1296" s="400"/>
      <c r="V1296" s="399"/>
      <c r="W1296" s="399" t="s">
        <v>3620</v>
      </c>
      <c r="X1296" s="400"/>
      <c r="Y1296" s="400" t="s">
        <v>208</v>
      </c>
      <c r="Z1296" s="399"/>
      <c r="AA1296" s="400" t="s">
        <v>113</v>
      </c>
      <c r="AB1296" s="399" t="s">
        <v>3178</v>
      </c>
      <c r="AC1296" s="532"/>
      <c r="AD1296" s="400"/>
      <c r="AE1296" s="400"/>
      <c r="AF1296" s="400"/>
      <c r="AG1296" s="399"/>
      <c r="AH1296" s="532"/>
      <c r="AI1296" s="400"/>
      <c r="AJ1296" s="400"/>
      <c r="AK1296" s="399"/>
      <c r="AL1296" s="399"/>
      <c r="AM1296" s="399"/>
      <c r="AN1296" s="399"/>
      <c r="AO1296" s="399"/>
      <c r="AP1296" s="399"/>
      <c r="AQ1296" s="399"/>
      <c r="AR1296" s="399"/>
      <c r="AS1296" s="409" t="s">
        <v>1673</v>
      </c>
      <c r="AT1296" s="399"/>
      <c r="AU1296" s="399"/>
      <c r="AV1296" s="517">
        <v>225370004</v>
      </c>
      <c r="AW1296" s="541"/>
      <c r="AX1296" s="541"/>
      <c r="AY1296" s="541"/>
      <c r="AZ1296" s="541"/>
      <c r="BA1296" s="541"/>
      <c r="BB1296" s="517"/>
      <c r="BC1296" s="399" t="e">
        <f t="shared" ca="1" si="2"/>
        <v>#NAME?</v>
      </c>
      <c r="BD1296" s="517">
        <v>160694</v>
      </c>
      <c r="BE1296" s="400"/>
      <c r="BF1296" s="399"/>
      <c r="BG1296" s="542" t="s">
        <v>3622</v>
      </c>
      <c r="BH1296" s="407"/>
      <c r="BI1296" s="546">
        <v>225370004</v>
      </c>
      <c r="BJ1296" s="543"/>
      <c r="BK1296" s="46">
        <f t="shared" si="1"/>
        <v>1</v>
      </c>
      <c r="BL1296" s="46">
        <f t="shared" si="3"/>
        <v>1</v>
      </c>
      <c r="BM1296" s="46">
        <f t="shared" si="4"/>
        <v>0</v>
      </c>
      <c r="BN1296" s="46">
        <f t="shared" si="5"/>
        <v>0</v>
      </c>
    </row>
    <row r="1297" spans="1:66" ht="12.75" customHeight="1">
      <c r="A1297" s="399">
        <v>1306</v>
      </c>
      <c r="B1297" s="399" t="s">
        <v>3627</v>
      </c>
      <c r="C1297" s="399" t="e">
        <f t="shared" ca="1" si="0"/>
        <v>#NAME?</v>
      </c>
      <c r="D1297" s="400" t="s">
        <v>4964</v>
      </c>
      <c r="E1297" s="399" t="s">
        <v>180</v>
      </c>
      <c r="F1297" s="556" t="s">
        <v>3528</v>
      </c>
      <c r="G1297" s="400"/>
      <c r="H1297" s="400"/>
      <c r="I1297" s="400"/>
      <c r="J1297" s="400"/>
      <c r="K1297" s="400">
        <v>1</v>
      </c>
      <c r="L1297" s="400" t="s">
        <v>3333</v>
      </c>
      <c r="M1297" s="402" t="s">
        <v>3517</v>
      </c>
      <c r="N1297" s="400"/>
      <c r="O1297" s="428" t="s">
        <v>3477</v>
      </c>
      <c r="P1297" s="557"/>
      <c r="Q1297" s="399" t="s">
        <v>3624</v>
      </c>
      <c r="R1297" s="428"/>
      <c r="S1297" s="400"/>
      <c r="T1297" s="400" t="s">
        <v>4965</v>
      </c>
      <c r="U1297" s="400"/>
      <c r="V1297" s="399"/>
      <c r="W1297" s="399" t="s">
        <v>4964</v>
      </c>
      <c r="X1297" s="400"/>
      <c r="Y1297" s="400" t="s">
        <v>208</v>
      </c>
      <c r="Z1297" s="399"/>
      <c r="AA1297" s="400" t="s">
        <v>113</v>
      </c>
      <c r="AB1297" s="399" t="s">
        <v>3178</v>
      </c>
      <c r="AC1297" s="532"/>
      <c r="AD1297" s="400"/>
      <c r="AE1297" s="400"/>
      <c r="AF1297" s="400"/>
      <c r="AG1297" s="399"/>
      <c r="AH1297" s="532"/>
      <c r="AI1297" s="400"/>
      <c r="AJ1297" s="400"/>
      <c r="AK1297" s="399"/>
      <c r="AL1297" s="399"/>
      <c r="AM1297" s="399"/>
      <c r="AN1297" s="399"/>
      <c r="AO1297" s="399"/>
      <c r="AP1297" s="399"/>
      <c r="AQ1297" s="399"/>
      <c r="AR1297" s="399"/>
      <c r="AS1297" s="409" t="s">
        <v>1673</v>
      </c>
      <c r="AT1297" s="399"/>
      <c r="AU1297" s="399"/>
      <c r="AV1297" s="517">
        <v>275831001</v>
      </c>
      <c r="AW1297" s="541"/>
      <c r="AX1297" s="541"/>
      <c r="AY1297" s="541"/>
      <c r="AZ1297" s="541"/>
      <c r="BA1297" s="541"/>
      <c r="BB1297" s="517"/>
      <c r="BC1297" s="399" t="e">
        <f t="shared" ca="1" si="2"/>
        <v>#NAME?</v>
      </c>
      <c r="BD1297" s="517"/>
      <c r="BE1297" s="400"/>
      <c r="BF1297" s="399"/>
      <c r="BG1297" s="542"/>
      <c r="BH1297" s="407"/>
      <c r="BI1297" s="546">
        <v>275831001</v>
      </c>
      <c r="BJ1297" s="543"/>
      <c r="BK1297" s="46">
        <f t="shared" si="1"/>
        <v>1</v>
      </c>
      <c r="BL1297" s="46">
        <f t="shared" si="3"/>
        <v>1</v>
      </c>
      <c r="BM1297" s="46">
        <f t="shared" si="4"/>
        <v>0</v>
      </c>
      <c r="BN1297" s="46">
        <f t="shared" si="5"/>
        <v>0</v>
      </c>
    </row>
    <row r="1298" spans="1:66" ht="12.75" customHeight="1">
      <c r="A1298" s="399">
        <v>1307</v>
      </c>
      <c r="B1298" s="399" t="s">
        <v>3629</v>
      </c>
      <c r="C1298" s="399" t="e">
        <f t="shared" ca="1" si="0"/>
        <v>#NAME?</v>
      </c>
      <c r="D1298" s="400" t="s">
        <v>3632</v>
      </c>
      <c r="E1298" s="399" t="s">
        <v>180</v>
      </c>
      <c r="F1298" s="556" t="s">
        <v>3528</v>
      </c>
      <c r="G1298" s="400"/>
      <c r="H1298" s="400"/>
      <c r="I1298" s="400"/>
      <c r="J1298" s="400"/>
      <c r="K1298" s="400">
        <v>1</v>
      </c>
      <c r="L1298" s="400" t="s">
        <v>3333</v>
      </c>
      <c r="M1298" s="402" t="s">
        <v>3517</v>
      </c>
      <c r="N1298" s="400"/>
      <c r="O1298" s="428" t="s">
        <v>3477</v>
      </c>
      <c r="P1298" s="557"/>
      <c r="Q1298" s="399" t="s">
        <v>3630</v>
      </c>
      <c r="R1298" s="428"/>
      <c r="S1298" s="400"/>
      <c r="T1298" s="400" t="s">
        <v>4969</v>
      </c>
      <c r="U1298" s="400"/>
      <c r="V1298" s="489"/>
      <c r="W1298" s="489" t="s">
        <v>3632</v>
      </c>
      <c r="X1298" s="490"/>
      <c r="Y1298" s="400" t="s">
        <v>208</v>
      </c>
      <c r="Z1298" s="399"/>
      <c r="AA1298" s="400" t="s">
        <v>113</v>
      </c>
      <c r="AB1298" s="399" t="s">
        <v>3178</v>
      </c>
      <c r="AC1298" s="532" t="s">
        <v>3552</v>
      </c>
      <c r="AD1298" s="400"/>
      <c r="AE1298" s="400"/>
      <c r="AF1298" s="400"/>
      <c r="AG1298" s="399"/>
      <c r="AH1298" s="532"/>
      <c r="AI1298" s="400"/>
      <c r="AJ1298" s="400"/>
      <c r="AK1298" s="399"/>
      <c r="AL1298" s="399"/>
      <c r="AM1298" s="399"/>
      <c r="AN1298" s="399"/>
      <c r="AO1298" s="399"/>
      <c r="AP1298" s="399"/>
      <c r="AQ1298" s="399"/>
      <c r="AR1298" s="399"/>
      <c r="AS1298" s="409" t="s">
        <v>1673</v>
      </c>
      <c r="AT1298" s="399" t="s">
        <v>3633</v>
      </c>
      <c r="AU1298" s="399"/>
      <c r="AV1298" s="400">
        <v>228479001</v>
      </c>
      <c r="AW1298" s="541"/>
      <c r="AX1298" s="541"/>
      <c r="AY1298" s="541"/>
      <c r="AZ1298" s="541"/>
      <c r="BA1298" s="541"/>
      <c r="BB1298" s="400"/>
      <c r="BC1298" s="399" t="e">
        <f t="shared" ca="1" si="2"/>
        <v>#NAME?</v>
      </c>
      <c r="BD1298" s="400"/>
      <c r="BE1298" s="400"/>
      <c r="BF1298" s="400"/>
      <c r="BG1298" s="540"/>
      <c r="BH1298" s="407" t="s">
        <v>3633</v>
      </c>
      <c r="BI1298" s="407">
        <v>228479001</v>
      </c>
      <c r="BJ1298" s="543"/>
      <c r="BK1298" s="46">
        <f t="shared" si="1"/>
        <v>1</v>
      </c>
      <c r="BL1298" s="46">
        <f t="shared" si="3"/>
        <v>1</v>
      </c>
      <c r="BM1298" s="46">
        <f t="shared" si="4"/>
        <v>0</v>
      </c>
      <c r="BN1298" s="46">
        <f t="shared" si="5"/>
        <v>0</v>
      </c>
    </row>
    <row r="1299" spans="1:66" ht="12.75" customHeight="1">
      <c r="A1299" s="399">
        <v>1308</v>
      </c>
      <c r="B1299" s="399" t="s">
        <v>4971</v>
      </c>
      <c r="C1299" s="399" t="e">
        <f t="shared" ca="1" si="0"/>
        <v>#NAME?</v>
      </c>
      <c r="D1299" s="400" t="s">
        <v>4972</v>
      </c>
      <c r="E1299" s="399" t="s">
        <v>180</v>
      </c>
      <c r="F1299" s="556" t="s">
        <v>3528</v>
      </c>
      <c r="G1299" s="400"/>
      <c r="H1299" s="400"/>
      <c r="I1299" s="400"/>
      <c r="J1299" s="400"/>
      <c r="K1299" s="400">
        <v>1</v>
      </c>
      <c r="L1299" s="400" t="s">
        <v>3333</v>
      </c>
      <c r="M1299" s="402" t="s">
        <v>3517</v>
      </c>
      <c r="N1299" s="400"/>
      <c r="O1299" s="428" t="s">
        <v>3477</v>
      </c>
      <c r="P1299" s="557"/>
      <c r="Q1299" s="399" t="s">
        <v>4973</v>
      </c>
      <c r="R1299" s="428"/>
      <c r="S1299" s="400"/>
      <c r="T1299" s="400" t="s">
        <v>4974</v>
      </c>
      <c r="U1299" s="400"/>
      <c r="V1299" s="399"/>
      <c r="W1299" s="399" t="s">
        <v>4972</v>
      </c>
      <c r="X1299" s="400"/>
      <c r="Y1299" s="400" t="s">
        <v>208</v>
      </c>
      <c r="Z1299" s="399"/>
      <c r="AA1299" s="400" t="s">
        <v>113</v>
      </c>
      <c r="AB1299" s="399" t="s">
        <v>3178</v>
      </c>
      <c r="AC1299" s="532" t="s">
        <v>3552</v>
      </c>
      <c r="AD1299" s="400"/>
      <c r="AE1299" s="400"/>
      <c r="AF1299" s="400"/>
      <c r="AG1299" s="399"/>
      <c r="AH1299" s="532"/>
      <c r="AI1299" s="400"/>
      <c r="AJ1299" s="400"/>
      <c r="AK1299" s="399"/>
      <c r="AL1299" s="399"/>
      <c r="AM1299" s="399"/>
      <c r="AN1299" s="399"/>
      <c r="AO1299" s="399"/>
      <c r="AP1299" s="399"/>
      <c r="AQ1299" s="399"/>
      <c r="AR1299" s="399"/>
      <c r="AS1299" s="409" t="s">
        <v>1673</v>
      </c>
      <c r="AT1299" s="399"/>
      <c r="AU1299" s="399"/>
      <c r="AV1299" s="400">
        <v>450851004</v>
      </c>
      <c r="AW1299" s="541" t="s">
        <v>4975</v>
      </c>
      <c r="AX1299" s="541"/>
      <c r="AY1299" s="541"/>
      <c r="AZ1299" s="541"/>
      <c r="BA1299" s="541"/>
      <c r="BB1299" s="400"/>
      <c r="BC1299" s="399" t="e">
        <f t="shared" ca="1" si="2"/>
        <v>#NAME?</v>
      </c>
      <c r="BD1299" s="400"/>
      <c r="BE1299" s="400"/>
      <c r="BF1299" s="400"/>
      <c r="BG1299" s="540"/>
      <c r="BH1299" s="407"/>
      <c r="BI1299" s="407">
        <v>450851004</v>
      </c>
      <c r="BJ1299" s="543" t="s">
        <v>4975</v>
      </c>
      <c r="BK1299" s="46">
        <f t="shared" si="1"/>
        <v>1</v>
      </c>
      <c r="BL1299" s="46">
        <f t="shared" si="3"/>
        <v>1</v>
      </c>
      <c r="BM1299" s="46">
        <f t="shared" si="4"/>
        <v>0</v>
      </c>
      <c r="BN1299" s="46">
        <f t="shared" si="5"/>
        <v>0</v>
      </c>
    </row>
    <row r="1300" spans="1:66" ht="12.75" customHeight="1">
      <c r="A1300" s="399">
        <v>1309</v>
      </c>
      <c r="B1300" s="399" t="s">
        <v>3745</v>
      </c>
      <c r="C1300" s="399" t="e">
        <f t="shared" ca="1" si="0"/>
        <v>#NAME?</v>
      </c>
      <c r="D1300" s="400" t="s">
        <v>3748</v>
      </c>
      <c r="E1300" s="399" t="s">
        <v>180</v>
      </c>
      <c r="F1300" s="556" t="s">
        <v>3528</v>
      </c>
      <c r="G1300" s="400"/>
      <c r="H1300" s="400"/>
      <c r="I1300" s="400"/>
      <c r="J1300" s="400"/>
      <c r="K1300" s="400">
        <v>1</v>
      </c>
      <c r="L1300" s="400" t="s">
        <v>3333</v>
      </c>
      <c r="M1300" s="402" t="s">
        <v>3517</v>
      </c>
      <c r="N1300" s="400"/>
      <c r="O1300" s="428" t="s">
        <v>3477</v>
      </c>
      <c r="P1300" s="557"/>
      <c r="Q1300" s="399" t="s">
        <v>3746</v>
      </c>
      <c r="R1300" s="428"/>
      <c r="S1300" s="400"/>
      <c r="T1300" s="400" t="s">
        <v>3747</v>
      </c>
      <c r="U1300" s="400"/>
      <c r="V1300" s="399"/>
      <c r="W1300" s="399" t="s">
        <v>3748</v>
      </c>
      <c r="X1300" s="400"/>
      <c r="Y1300" s="400" t="s">
        <v>208</v>
      </c>
      <c r="Z1300" s="399"/>
      <c r="AA1300" s="400" t="s">
        <v>113</v>
      </c>
      <c r="AB1300" s="399" t="s">
        <v>3178</v>
      </c>
      <c r="AC1300" s="532"/>
      <c r="AD1300" s="400"/>
      <c r="AE1300" s="400"/>
      <c r="AF1300" s="400"/>
      <c r="AG1300" s="399"/>
      <c r="AH1300" s="532"/>
      <c r="AI1300" s="400"/>
      <c r="AJ1300" s="400"/>
      <c r="AK1300" s="399"/>
      <c r="AL1300" s="399"/>
      <c r="AM1300" s="399"/>
      <c r="AN1300" s="399"/>
      <c r="AO1300" s="399"/>
      <c r="AP1300" s="399"/>
      <c r="AQ1300" s="399"/>
      <c r="AR1300" s="399"/>
      <c r="AS1300" s="409" t="s">
        <v>1673</v>
      </c>
      <c r="AT1300" s="399"/>
      <c r="AU1300" s="399"/>
      <c r="AV1300" s="400">
        <v>169513000</v>
      </c>
      <c r="AW1300" s="541" t="s">
        <v>3750</v>
      </c>
      <c r="AX1300" s="541"/>
      <c r="AY1300" s="541"/>
      <c r="AZ1300" s="541"/>
      <c r="BA1300" s="541"/>
      <c r="BB1300" s="399"/>
      <c r="BC1300" s="399" t="e">
        <f t="shared" ca="1" si="2"/>
        <v>#NAME?</v>
      </c>
      <c r="BD1300" s="399"/>
      <c r="BE1300" s="399"/>
      <c r="BF1300" s="399"/>
      <c r="BG1300" s="540"/>
      <c r="BH1300" s="407"/>
      <c r="BI1300" s="407">
        <v>169513000</v>
      </c>
      <c r="BJ1300" s="543" t="s">
        <v>3750</v>
      </c>
      <c r="BK1300" s="46">
        <f t="shared" si="1"/>
        <v>1</v>
      </c>
      <c r="BL1300" s="46">
        <f t="shared" si="3"/>
        <v>1</v>
      </c>
      <c r="BM1300" s="46">
        <f t="shared" si="4"/>
        <v>0</v>
      </c>
      <c r="BN1300" s="46">
        <f t="shared" si="5"/>
        <v>0</v>
      </c>
    </row>
    <row r="1301" spans="1:66" ht="12.75" customHeight="1">
      <c r="A1301" s="399">
        <v>1310</v>
      </c>
      <c r="B1301" s="399" t="s">
        <v>4980</v>
      </c>
      <c r="C1301" s="399" t="e">
        <f t="shared" ca="1" si="0"/>
        <v>#NAME?</v>
      </c>
      <c r="D1301" s="400" t="s">
        <v>4981</v>
      </c>
      <c r="E1301" s="399" t="s">
        <v>180</v>
      </c>
      <c r="F1301" s="556" t="s">
        <v>3528</v>
      </c>
      <c r="G1301" s="400"/>
      <c r="H1301" s="400"/>
      <c r="I1301" s="400"/>
      <c r="J1301" s="400"/>
      <c r="K1301" s="400">
        <v>1</v>
      </c>
      <c r="L1301" s="400" t="s">
        <v>3333</v>
      </c>
      <c r="M1301" s="402" t="s">
        <v>3517</v>
      </c>
      <c r="N1301" s="400"/>
      <c r="O1301" s="428" t="s">
        <v>3477</v>
      </c>
      <c r="P1301" s="557"/>
      <c r="Q1301" s="399" t="s">
        <v>4982</v>
      </c>
      <c r="R1301" s="428"/>
      <c r="S1301" s="400"/>
      <c r="T1301" s="400" t="s">
        <v>4984</v>
      </c>
      <c r="U1301" s="400"/>
      <c r="V1301" s="399"/>
      <c r="W1301" s="399" t="s">
        <v>4981</v>
      </c>
      <c r="X1301" s="400"/>
      <c r="Y1301" s="400" t="s">
        <v>208</v>
      </c>
      <c r="Z1301" s="399"/>
      <c r="AA1301" s="400" t="s">
        <v>113</v>
      </c>
      <c r="AB1301" s="399" t="s">
        <v>3178</v>
      </c>
      <c r="AC1301" s="532" t="s">
        <v>3552</v>
      </c>
      <c r="AD1301" s="400"/>
      <c r="AE1301" s="400"/>
      <c r="AF1301" s="400"/>
      <c r="AG1301" s="399"/>
      <c r="AH1301" s="532"/>
      <c r="AI1301" s="400"/>
      <c r="AJ1301" s="400"/>
      <c r="AK1301" s="399"/>
      <c r="AL1301" s="399"/>
      <c r="AM1301" s="399"/>
      <c r="AN1301" s="399"/>
      <c r="AO1301" s="399"/>
      <c r="AP1301" s="399"/>
      <c r="AQ1301" s="399"/>
      <c r="AR1301" s="399"/>
      <c r="AS1301" s="409" t="s">
        <v>1673</v>
      </c>
      <c r="AT1301" s="399"/>
      <c r="AU1301" s="399"/>
      <c r="AV1301" s="517" t="s">
        <v>4985</v>
      </c>
      <c r="AW1301" s="541" t="s">
        <v>4986</v>
      </c>
      <c r="AX1301" s="541"/>
      <c r="AY1301" s="541"/>
      <c r="AZ1301" s="541"/>
      <c r="BA1301" s="541"/>
      <c r="BB1301" s="517"/>
      <c r="BC1301" s="399" t="e">
        <f t="shared" ca="1" si="2"/>
        <v>#NAME?</v>
      </c>
      <c r="BD1301" s="517">
        <v>162195</v>
      </c>
      <c r="BE1301" s="517"/>
      <c r="BF1301" s="517"/>
      <c r="BG1301" s="542" t="s">
        <v>4987</v>
      </c>
      <c r="BH1301" s="407"/>
      <c r="BI1301" s="414" t="s">
        <v>4985</v>
      </c>
      <c r="BJ1301" s="543" t="s">
        <v>4986</v>
      </c>
      <c r="BK1301" s="46">
        <f t="shared" si="1"/>
        <v>1</v>
      </c>
      <c r="BL1301" s="46">
        <f t="shared" si="3"/>
        <v>1</v>
      </c>
      <c r="BM1301" s="46">
        <f t="shared" si="4"/>
        <v>0</v>
      </c>
      <c r="BN1301" s="46">
        <f t="shared" si="5"/>
        <v>0</v>
      </c>
    </row>
    <row r="1302" spans="1:66" ht="12.75" customHeight="1">
      <c r="A1302" s="399">
        <v>1311</v>
      </c>
      <c r="B1302" s="399" t="s">
        <v>4989</v>
      </c>
      <c r="C1302" s="399" t="e">
        <f t="shared" ca="1" si="0"/>
        <v>#NAME?</v>
      </c>
      <c r="D1302" s="400" t="s">
        <v>4990</v>
      </c>
      <c r="E1302" s="399" t="s">
        <v>180</v>
      </c>
      <c r="F1302" s="556" t="s">
        <v>3528</v>
      </c>
      <c r="G1302" s="400"/>
      <c r="H1302" s="400"/>
      <c r="I1302" s="400"/>
      <c r="J1302" s="400"/>
      <c r="K1302" s="400">
        <v>1</v>
      </c>
      <c r="L1302" s="400" t="s">
        <v>3333</v>
      </c>
      <c r="M1302" s="402" t="s">
        <v>3517</v>
      </c>
      <c r="N1302" s="400"/>
      <c r="O1302" s="428" t="s">
        <v>3477</v>
      </c>
      <c r="P1302" s="557"/>
      <c r="Q1302" s="399" t="s">
        <v>4992</v>
      </c>
      <c r="R1302" s="560"/>
      <c r="S1302" s="400" t="s">
        <v>4993</v>
      </c>
      <c r="T1302" s="400" t="s">
        <v>4994</v>
      </c>
      <c r="U1302" s="400"/>
      <c r="V1302" s="399"/>
      <c r="W1302" s="399" t="s">
        <v>4990</v>
      </c>
      <c r="X1302" s="400"/>
      <c r="Y1302" s="400" t="s">
        <v>208</v>
      </c>
      <c r="Z1302" s="399"/>
      <c r="AA1302" s="400" t="s">
        <v>113</v>
      </c>
      <c r="AB1302" s="399" t="s">
        <v>3178</v>
      </c>
      <c r="AC1302" s="532" t="s">
        <v>3552</v>
      </c>
      <c r="AD1302" s="400"/>
      <c r="AE1302" s="400"/>
      <c r="AF1302" s="400"/>
      <c r="AG1302" s="399"/>
      <c r="AH1302" s="532"/>
      <c r="AI1302" s="400"/>
      <c r="AJ1302" s="400"/>
      <c r="AK1302" s="399"/>
      <c r="AL1302" s="399"/>
      <c r="AM1302" s="399"/>
      <c r="AN1302" s="399"/>
      <c r="AO1302" s="399"/>
      <c r="AP1302" s="399"/>
      <c r="AQ1302" s="399"/>
      <c r="AR1302" s="399"/>
      <c r="AS1302" s="409" t="s">
        <v>1673</v>
      </c>
      <c r="AT1302" s="399"/>
      <c r="AU1302" s="399"/>
      <c r="AV1302" s="400">
        <v>169530003</v>
      </c>
      <c r="AW1302" s="541" t="s">
        <v>4995</v>
      </c>
      <c r="AX1302" s="541"/>
      <c r="AY1302" s="541"/>
      <c r="AZ1302" s="541"/>
      <c r="BA1302" s="541"/>
      <c r="BB1302" s="399"/>
      <c r="BC1302" s="399" t="e">
        <f t="shared" ca="1" si="2"/>
        <v>#NAME?</v>
      </c>
      <c r="BD1302" s="399"/>
      <c r="BE1302" s="399"/>
      <c r="BF1302" s="399"/>
      <c r="BG1302" s="540"/>
      <c r="BH1302" s="407"/>
      <c r="BI1302" s="407">
        <v>169530003</v>
      </c>
      <c r="BJ1302" s="543" t="s">
        <v>4995</v>
      </c>
      <c r="BK1302" s="46">
        <f t="shared" si="1"/>
        <v>1</v>
      </c>
      <c r="BL1302" s="46">
        <f t="shared" si="3"/>
        <v>1</v>
      </c>
      <c r="BM1302" s="46">
        <f t="shared" si="4"/>
        <v>0</v>
      </c>
      <c r="BN1302" s="46">
        <f t="shared" si="5"/>
        <v>0</v>
      </c>
    </row>
    <row r="1303" spans="1:66" ht="12.75" customHeight="1">
      <c r="A1303" s="399">
        <v>1312</v>
      </c>
      <c r="B1303" s="399" t="s">
        <v>3755</v>
      </c>
      <c r="C1303" s="399" t="e">
        <f t="shared" ca="1" si="0"/>
        <v>#NAME?</v>
      </c>
      <c r="D1303" s="400" t="s">
        <v>4998</v>
      </c>
      <c r="E1303" s="399" t="s">
        <v>180</v>
      </c>
      <c r="F1303" s="556" t="s">
        <v>3528</v>
      </c>
      <c r="G1303" s="400"/>
      <c r="H1303" s="400"/>
      <c r="I1303" s="400"/>
      <c r="J1303" s="400"/>
      <c r="K1303" s="400">
        <v>1</v>
      </c>
      <c r="L1303" s="400" t="s">
        <v>3333</v>
      </c>
      <c r="M1303" s="402" t="s">
        <v>3517</v>
      </c>
      <c r="N1303" s="400"/>
      <c r="O1303" s="428" t="s">
        <v>3477</v>
      </c>
      <c r="P1303" s="557"/>
      <c r="Q1303" s="399" t="s">
        <v>3752</v>
      </c>
      <c r="R1303" s="428"/>
      <c r="S1303" s="400"/>
      <c r="T1303" s="400" t="s">
        <v>4999</v>
      </c>
      <c r="U1303" s="400"/>
      <c r="V1303" s="399"/>
      <c r="W1303" s="399" t="s">
        <v>4998</v>
      </c>
      <c r="X1303" s="400"/>
      <c r="Y1303" s="400" t="s">
        <v>208</v>
      </c>
      <c r="Z1303" s="399"/>
      <c r="AA1303" s="400" t="s">
        <v>113</v>
      </c>
      <c r="AB1303" s="399" t="s">
        <v>3178</v>
      </c>
      <c r="AC1303" s="532" t="s">
        <v>3552</v>
      </c>
      <c r="AD1303" s="400"/>
      <c r="AE1303" s="400"/>
      <c r="AF1303" s="400"/>
      <c r="AG1303" s="399"/>
      <c r="AH1303" s="532"/>
      <c r="AI1303" s="400"/>
      <c r="AJ1303" s="400"/>
      <c r="AK1303" s="399"/>
      <c r="AL1303" s="399"/>
      <c r="AM1303" s="399"/>
      <c r="AN1303" s="399"/>
      <c r="AO1303" s="399"/>
      <c r="AP1303" s="399"/>
      <c r="AQ1303" s="399"/>
      <c r="AR1303" s="399"/>
      <c r="AS1303" s="409" t="s">
        <v>1673</v>
      </c>
      <c r="AT1303" s="399"/>
      <c r="AU1303" s="399"/>
      <c r="AV1303" s="409">
        <v>455501000124105</v>
      </c>
      <c r="AW1303" s="541" t="s">
        <v>3757</v>
      </c>
      <c r="AX1303" s="541"/>
      <c r="AY1303" s="541"/>
      <c r="AZ1303" s="541"/>
      <c r="BA1303" s="541"/>
      <c r="BB1303" s="399"/>
      <c r="BC1303" s="399" t="e">
        <f t="shared" ca="1" si="2"/>
        <v>#NAME?</v>
      </c>
      <c r="BD1303" s="399"/>
      <c r="BE1303" s="399"/>
      <c r="BF1303" s="399"/>
      <c r="BG1303" s="540"/>
      <c r="BH1303" s="407"/>
      <c r="BI1303" s="407"/>
      <c r="BJ1303" s="543" t="s">
        <v>3757</v>
      </c>
      <c r="BK1303" s="46">
        <f t="shared" si="1"/>
        <v>1</v>
      </c>
      <c r="BL1303" s="46">
        <f t="shared" si="3"/>
        <v>1</v>
      </c>
      <c r="BM1303" s="46">
        <f t="shared" si="4"/>
        <v>0</v>
      </c>
      <c r="BN1303" s="46">
        <f t="shared" si="5"/>
        <v>0</v>
      </c>
    </row>
    <row r="1304" spans="1:66" ht="12.75" customHeight="1">
      <c r="A1304" s="399">
        <v>1313</v>
      </c>
      <c r="B1304" s="399" t="s">
        <v>3762</v>
      </c>
      <c r="C1304" s="399" t="e">
        <f t="shared" ca="1" si="0"/>
        <v>#NAME?</v>
      </c>
      <c r="D1304" s="400" t="s">
        <v>5002</v>
      </c>
      <c r="E1304" s="399" t="s">
        <v>180</v>
      </c>
      <c r="F1304" s="556" t="s">
        <v>3528</v>
      </c>
      <c r="G1304" s="400"/>
      <c r="H1304" s="400"/>
      <c r="I1304" s="400"/>
      <c r="J1304" s="400"/>
      <c r="K1304" s="400">
        <v>1</v>
      </c>
      <c r="L1304" s="400" t="s">
        <v>3333</v>
      </c>
      <c r="M1304" s="402" t="s">
        <v>3517</v>
      </c>
      <c r="N1304" s="400"/>
      <c r="O1304" s="428" t="s">
        <v>3477</v>
      </c>
      <c r="P1304" s="557"/>
      <c r="Q1304" s="399" t="s">
        <v>3759</v>
      </c>
      <c r="R1304" s="428"/>
      <c r="S1304" s="400"/>
      <c r="T1304" s="400" t="s">
        <v>3760</v>
      </c>
      <c r="U1304" s="400"/>
      <c r="V1304" s="399"/>
      <c r="W1304" s="399" t="s">
        <v>5002</v>
      </c>
      <c r="X1304" s="400"/>
      <c r="Y1304" s="400" t="s">
        <v>208</v>
      </c>
      <c r="Z1304" s="399"/>
      <c r="AA1304" s="400" t="s">
        <v>113</v>
      </c>
      <c r="AB1304" s="399" t="s">
        <v>3178</v>
      </c>
      <c r="AC1304" s="532" t="s">
        <v>3552</v>
      </c>
      <c r="AD1304" s="400"/>
      <c r="AE1304" s="400"/>
      <c r="AF1304" s="400"/>
      <c r="AG1304" s="399"/>
      <c r="AH1304" s="532"/>
      <c r="AI1304" s="400"/>
      <c r="AJ1304" s="400"/>
      <c r="AK1304" s="399"/>
      <c r="AL1304" s="399"/>
      <c r="AM1304" s="399"/>
      <c r="AN1304" s="399"/>
      <c r="AO1304" s="399"/>
      <c r="AP1304" s="399"/>
      <c r="AQ1304" s="399"/>
      <c r="AR1304" s="399"/>
      <c r="AS1304" s="409" t="s">
        <v>1673</v>
      </c>
      <c r="AT1304" s="399"/>
      <c r="AU1304" s="399"/>
      <c r="AV1304" s="409">
        <v>454441000124107</v>
      </c>
      <c r="AW1304" s="541" t="s">
        <v>3764</v>
      </c>
      <c r="AX1304" s="541"/>
      <c r="AY1304" s="541"/>
      <c r="AZ1304" s="541"/>
      <c r="BA1304" s="541"/>
      <c r="BB1304" s="399"/>
      <c r="BC1304" s="399" t="e">
        <f t="shared" ca="1" si="2"/>
        <v>#NAME?</v>
      </c>
      <c r="BD1304" s="399"/>
      <c r="BE1304" s="399"/>
      <c r="BF1304" s="399"/>
      <c r="BG1304" s="540"/>
      <c r="BH1304" s="407"/>
      <c r="BI1304" s="407"/>
      <c r="BJ1304" s="543" t="s">
        <v>3764</v>
      </c>
      <c r="BK1304" s="46">
        <f t="shared" si="1"/>
        <v>1</v>
      </c>
      <c r="BL1304" s="46">
        <f t="shared" si="3"/>
        <v>1</v>
      </c>
      <c r="BM1304" s="46">
        <f t="shared" si="4"/>
        <v>0</v>
      </c>
      <c r="BN1304" s="46">
        <f t="shared" si="5"/>
        <v>0</v>
      </c>
    </row>
    <row r="1305" spans="1:66" ht="12.75" customHeight="1">
      <c r="A1305" s="399">
        <v>1314</v>
      </c>
      <c r="B1305" s="399" t="s">
        <v>3765</v>
      </c>
      <c r="C1305" s="399" t="e">
        <f t="shared" ca="1" si="0"/>
        <v>#NAME?</v>
      </c>
      <c r="D1305" s="400" t="s">
        <v>3768</v>
      </c>
      <c r="E1305" s="399" t="s">
        <v>180</v>
      </c>
      <c r="F1305" s="556" t="s">
        <v>3528</v>
      </c>
      <c r="G1305" s="400"/>
      <c r="H1305" s="400"/>
      <c r="I1305" s="400"/>
      <c r="J1305" s="400"/>
      <c r="K1305" s="400">
        <v>1</v>
      </c>
      <c r="L1305" s="400" t="s">
        <v>3333</v>
      </c>
      <c r="M1305" s="402" t="s">
        <v>3517</v>
      </c>
      <c r="N1305" s="400"/>
      <c r="O1305" s="428" t="s">
        <v>3477</v>
      </c>
      <c r="P1305" s="557"/>
      <c r="Q1305" s="399" t="s">
        <v>3766</v>
      </c>
      <c r="R1305" s="428"/>
      <c r="S1305" s="400"/>
      <c r="T1305" s="400" t="s">
        <v>3767</v>
      </c>
      <c r="U1305" s="400"/>
      <c r="V1305" s="399"/>
      <c r="W1305" s="399" t="s">
        <v>3768</v>
      </c>
      <c r="X1305" s="400"/>
      <c r="Y1305" s="400" t="s">
        <v>208</v>
      </c>
      <c r="Z1305" s="399"/>
      <c r="AA1305" s="400" t="s">
        <v>113</v>
      </c>
      <c r="AB1305" s="399" t="s">
        <v>3178</v>
      </c>
      <c r="AC1305" s="532" t="s">
        <v>3769</v>
      </c>
      <c r="AD1305" s="400"/>
      <c r="AE1305" s="400"/>
      <c r="AF1305" s="400"/>
      <c r="AG1305" s="399"/>
      <c r="AH1305" s="532"/>
      <c r="AI1305" s="400"/>
      <c r="AJ1305" s="400"/>
      <c r="AK1305" s="399"/>
      <c r="AL1305" s="399"/>
      <c r="AM1305" s="399"/>
      <c r="AN1305" s="399"/>
      <c r="AO1305" s="399"/>
      <c r="AP1305" s="399"/>
      <c r="AQ1305" s="399"/>
      <c r="AR1305" s="399"/>
      <c r="AS1305" s="409" t="s">
        <v>1673</v>
      </c>
      <c r="AT1305" s="399"/>
      <c r="AU1305" s="399"/>
      <c r="AV1305" s="409">
        <v>455491000124102</v>
      </c>
      <c r="AW1305" s="541" t="s">
        <v>3771</v>
      </c>
      <c r="AX1305" s="541"/>
      <c r="AY1305" s="541"/>
      <c r="AZ1305" s="541"/>
      <c r="BA1305" s="541"/>
      <c r="BB1305" s="399"/>
      <c r="BC1305" s="399" t="e">
        <f t="shared" ca="1" si="2"/>
        <v>#NAME?</v>
      </c>
      <c r="BD1305" s="399"/>
      <c r="BE1305" s="399"/>
      <c r="BF1305" s="399"/>
      <c r="BG1305" s="540"/>
      <c r="BH1305" s="407"/>
      <c r="BI1305" s="407"/>
      <c r="BJ1305" s="543" t="s">
        <v>3771</v>
      </c>
      <c r="BK1305" s="46">
        <f t="shared" si="1"/>
        <v>1</v>
      </c>
      <c r="BL1305" s="46">
        <f t="shared" si="3"/>
        <v>1</v>
      </c>
      <c r="BM1305" s="46">
        <f t="shared" si="4"/>
        <v>0</v>
      </c>
      <c r="BN1305" s="46">
        <f t="shared" si="5"/>
        <v>0</v>
      </c>
    </row>
    <row r="1306" spans="1:66" ht="12.75" customHeight="1">
      <c r="A1306" s="399">
        <v>1315</v>
      </c>
      <c r="B1306" s="399" t="s">
        <v>3708</v>
      </c>
      <c r="C1306" s="399" t="str">
        <f t="shared" si="0"/>
        <v>Injection Date</v>
      </c>
      <c r="D1306" s="400" t="s">
        <v>3708</v>
      </c>
      <c r="E1306" s="399" t="s">
        <v>96</v>
      </c>
      <c r="F1306" s="400" t="s">
        <v>1787</v>
      </c>
      <c r="G1306" s="400"/>
      <c r="H1306" s="400"/>
      <c r="I1306" s="400"/>
      <c r="J1306" s="400"/>
      <c r="K1306" s="400">
        <v>1</v>
      </c>
      <c r="L1306" s="400" t="s">
        <v>3333</v>
      </c>
      <c r="M1306" s="402" t="s">
        <v>3517</v>
      </c>
      <c r="N1306" s="400"/>
      <c r="O1306" s="428" t="s">
        <v>3477</v>
      </c>
      <c r="P1306" s="428"/>
      <c r="Q1306" s="399" t="s">
        <v>3709</v>
      </c>
      <c r="R1306" s="509" t="s">
        <v>3708</v>
      </c>
      <c r="S1306" s="399"/>
      <c r="T1306" s="399" t="s">
        <v>3710</v>
      </c>
      <c r="U1306" s="399" t="s">
        <v>3158</v>
      </c>
      <c r="V1306" s="399"/>
      <c r="W1306" s="399"/>
      <c r="X1306" s="399"/>
      <c r="Y1306" s="399" t="s">
        <v>113</v>
      </c>
      <c r="Z1306" s="399" t="s">
        <v>3638</v>
      </c>
      <c r="AA1306" s="399" t="s">
        <v>113</v>
      </c>
      <c r="AB1306" s="399" t="s">
        <v>3178</v>
      </c>
      <c r="AC1306" s="532" t="s">
        <v>5011</v>
      </c>
      <c r="AD1306" s="400"/>
      <c r="AE1306" s="399"/>
      <c r="AF1306" s="399"/>
      <c r="AG1306" s="399"/>
      <c r="AH1306" s="532"/>
      <c r="AI1306" s="399"/>
      <c r="AJ1306" s="400"/>
      <c r="AK1306" s="399"/>
      <c r="AL1306" s="399"/>
      <c r="AM1306" s="399"/>
      <c r="AN1306" s="399"/>
      <c r="AO1306" s="399"/>
      <c r="AP1306" s="399"/>
      <c r="AQ1306" s="399"/>
      <c r="AR1306" s="399"/>
      <c r="AS1306" s="409" t="s">
        <v>3713</v>
      </c>
      <c r="AT1306" s="399"/>
      <c r="AU1306" s="399"/>
      <c r="AV1306" s="549"/>
      <c r="AW1306" s="534"/>
      <c r="AX1306" s="534"/>
      <c r="AY1306" s="534"/>
      <c r="AZ1306" s="534"/>
      <c r="BA1306" s="534"/>
      <c r="BB1306" s="399"/>
      <c r="BC1306" s="399" t="str">
        <f t="shared" si="2"/>
        <v/>
      </c>
      <c r="BD1306" s="399"/>
      <c r="BE1306" s="399"/>
      <c r="BF1306" s="399"/>
      <c r="BG1306" s="540"/>
      <c r="BH1306" s="407"/>
      <c r="BI1306" s="407"/>
      <c r="BJ1306" s="537"/>
      <c r="BK1306" s="46">
        <f t="shared" si="1"/>
        <v>1</v>
      </c>
      <c r="BL1306" s="46">
        <f t="shared" si="3"/>
        <v>0</v>
      </c>
      <c r="BM1306" s="46">
        <f t="shared" si="4"/>
        <v>1</v>
      </c>
      <c r="BN1306" s="46">
        <f t="shared" si="5"/>
        <v>0</v>
      </c>
    </row>
    <row r="1307" spans="1:66" ht="12.75" customHeight="1">
      <c r="A1307" s="399">
        <v>1316</v>
      </c>
      <c r="B1307" s="399" t="s">
        <v>3635</v>
      </c>
      <c r="C1307" s="399" t="str">
        <f t="shared" si="0"/>
        <v>Implant Date</v>
      </c>
      <c r="D1307" s="400" t="s">
        <v>3635</v>
      </c>
      <c r="E1307" s="399" t="s">
        <v>96</v>
      </c>
      <c r="F1307" s="400" t="s">
        <v>1787</v>
      </c>
      <c r="G1307" s="400"/>
      <c r="H1307" s="400"/>
      <c r="I1307" s="400"/>
      <c r="J1307" s="400"/>
      <c r="K1307" s="400">
        <v>1</v>
      </c>
      <c r="L1307" s="400" t="s">
        <v>3333</v>
      </c>
      <c r="M1307" s="402" t="s">
        <v>3517</v>
      </c>
      <c r="N1307" s="400"/>
      <c r="O1307" s="428" t="s">
        <v>3477</v>
      </c>
      <c r="P1307" s="428"/>
      <c r="Q1307" s="399" t="s">
        <v>3636</v>
      </c>
      <c r="R1307" s="428" t="s">
        <v>3635</v>
      </c>
      <c r="S1307" s="399"/>
      <c r="T1307" s="399" t="s">
        <v>3637</v>
      </c>
      <c r="U1307" s="399" t="s">
        <v>3158</v>
      </c>
      <c r="V1307" s="399"/>
      <c r="W1307" s="399"/>
      <c r="X1307" s="399"/>
      <c r="Y1307" s="399" t="s">
        <v>113</v>
      </c>
      <c r="Z1307" s="399" t="s">
        <v>3638</v>
      </c>
      <c r="AA1307" s="399" t="s">
        <v>113</v>
      </c>
      <c r="AB1307" s="399" t="s">
        <v>3178</v>
      </c>
      <c r="AC1307" s="532" t="s">
        <v>5017</v>
      </c>
      <c r="AD1307" s="400"/>
      <c r="AE1307" s="399"/>
      <c r="AF1307" s="399"/>
      <c r="AG1307" s="399"/>
      <c r="AH1307" s="532"/>
      <c r="AI1307" s="399"/>
      <c r="AJ1307" s="400"/>
      <c r="AK1307" s="399"/>
      <c r="AL1307" s="399"/>
      <c r="AM1307" s="399"/>
      <c r="AN1307" s="399"/>
      <c r="AO1307" s="399"/>
      <c r="AP1307" s="399"/>
      <c r="AQ1307" s="399"/>
      <c r="AR1307" s="399"/>
      <c r="AS1307" s="409" t="s">
        <v>3641</v>
      </c>
      <c r="AT1307" s="399"/>
      <c r="AU1307" s="399"/>
      <c r="AV1307" s="561">
        <v>428987008</v>
      </c>
      <c r="AW1307" s="534"/>
      <c r="AX1307" s="534"/>
      <c r="AY1307" s="534"/>
      <c r="AZ1307" s="534"/>
      <c r="BA1307" s="534"/>
      <c r="BB1307" s="399"/>
      <c r="BC1307" s="399" t="str">
        <f t="shared" si="2"/>
        <v/>
      </c>
      <c r="BD1307" s="399"/>
      <c r="BE1307" s="399"/>
      <c r="BF1307" s="399"/>
      <c r="BG1307" s="540"/>
      <c r="BH1307" s="407"/>
      <c r="BI1307" s="407"/>
      <c r="BJ1307" s="537"/>
      <c r="BK1307" s="46">
        <f t="shared" si="1"/>
        <v>1</v>
      </c>
      <c r="BL1307" s="46">
        <f t="shared" si="3"/>
        <v>0</v>
      </c>
      <c r="BM1307" s="46">
        <f t="shared" si="4"/>
        <v>1</v>
      </c>
      <c r="BN1307" s="46">
        <f t="shared" si="5"/>
        <v>0</v>
      </c>
    </row>
    <row r="1308" spans="1:66" ht="12.75" customHeight="1">
      <c r="A1308" s="399">
        <v>1317</v>
      </c>
      <c r="B1308" s="399" t="s">
        <v>3642</v>
      </c>
      <c r="C1308" s="399" t="str">
        <f t="shared" si="0"/>
        <v>IUD Insertion Date</v>
      </c>
      <c r="D1308" s="400" t="s">
        <v>3642</v>
      </c>
      <c r="E1308" s="399" t="s">
        <v>96</v>
      </c>
      <c r="F1308" s="400" t="s">
        <v>1787</v>
      </c>
      <c r="G1308" s="400"/>
      <c r="H1308" s="400"/>
      <c r="I1308" s="400"/>
      <c r="J1308" s="400"/>
      <c r="K1308" s="400">
        <v>1</v>
      </c>
      <c r="L1308" s="400" t="s">
        <v>3333</v>
      </c>
      <c r="M1308" s="402" t="s">
        <v>3517</v>
      </c>
      <c r="N1308" s="400"/>
      <c r="O1308" s="428" t="s">
        <v>3477</v>
      </c>
      <c r="P1308" s="428"/>
      <c r="Q1308" s="399" t="s">
        <v>3643</v>
      </c>
      <c r="R1308" s="428" t="s">
        <v>3642</v>
      </c>
      <c r="S1308" s="399"/>
      <c r="T1308" s="399" t="s">
        <v>3644</v>
      </c>
      <c r="U1308" s="399" t="s">
        <v>3158</v>
      </c>
      <c r="V1308" s="399"/>
      <c r="W1308" s="399"/>
      <c r="X1308" s="399"/>
      <c r="Y1308" s="399" t="s">
        <v>113</v>
      </c>
      <c r="Z1308" s="399" t="s">
        <v>3638</v>
      </c>
      <c r="AA1308" s="399" t="s">
        <v>113</v>
      </c>
      <c r="AB1308" s="399" t="s">
        <v>3178</v>
      </c>
      <c r="AC1308" s="532" t="s">
        <v>5022</v>
      </c>
      <c r="AD1308" s="400"/>
      <c r="AE1308" s="399"/>
      <c r="AF1308" s="399"/>
      <c r="AG1308" s="399"/>
      <c r="AH1308" s="532"/>
      <c r="AI1308" s="399"/>
      <c r="AJ1308" s="400"/>
      <c r="AK1308" s="399"/>
      <c r="AL1308" s="399"/>
      <c r="AM1308" s="399"/>
      <c r="AN1308" s="399"/>
      <c r="AO1308" s="399"/>
      <c r="AP1308" s="399"/>
      <c r="AQ1308" s="399"/>
      <c r="AR1308" s="399"/>
      <c r="AS1308" s="409" t="s">
        <v>3646</v>
      </c>
      <c r="AT1308" s="399"/>
      <c r="AU1308" s="399"/>
      <c r="AV1308" s="549"/>
      <c r="AW1308" s="534"/>
      <c r="AX1308" s="534"/>
      <c r="AY1308" s="534"/>
      <c r="AZ1308" s="534"/>
      <c r="BA1308" s="534"/>
      <c r="BB1308" s="399"/>
      <c r="BC1308" s="399" t="str">
        <f t="shared" si="2"/>
        <v/>
      </c>
      <c r="BD1308" s="399"/>
      <c r="BE1308" s="399"/>
      <c r="BF1308" s="399"/>
      <c r="BG1308" s="540"/>
      <c r="BH1308" s="407"/>
      <c r="BI1308" s="407"/>
      <c r="BJ1308" s="537"/>
      <c r="BK1308" s="46">
        <f t="shared" si="1"/>
        <v>1</v>
      </c>
      <c r="BL1308" s="46">
        <f t="shared" si="3"/>
        <v>0</v>
      </c>
      <c r="BM1308" s="46">
        <f t="shared" si="4"/>
        <v>1</v>
      </c>
      <c r="BN1308" s="46">
        <f t="shared" si="5"/>
        <v>0</v>
      </c>
    </row>
    <row r="1309" spans="1:66" ht="12.75" customHeight="1">
      <c r="A1309" s="399">
        <v>1318</v>
      </c>
      <c r="B1309" s="399" t="s">
        <v>3735</v>
      </c>
      <c r="C1309" s="399" t="str">
        <f t="shared" si="0"/>
        <v>Sterilization date</v>
      </c>
      <c r="D1309" s="400" t="s">
        <v>3735</v>
      </c>
      <c r="E1309" s="399" t="s">
        <v>96</v>
      </c>
      <c r="F1309" s="400" t="s">
        <v>1787</v>
      </c>
      <c r="G1309" s="400"/>
      <c r="H1309" s="400"/>
      <c r="I1309" s="400"/>
      <c r="J1309" s="400"/>
      <c r="K1309" s="400">
        <v>1</v>
      </c>
      <c r="L1309" s="400" t="s">
        <v>3333</v>
      </c>
      <c r="M1309" s="402" t="s">
        <v>3517</v>
      </c>
      <c r="N1309" s="400"/>
      <c r="O1309" s="428" t="s">
        <v>3477</v>
      </c>
      <c r="P1309" s="428"/>
      <c r="Q1309" s="399" t="s">
        <v>3736</v>
      </c>
      <c r="R1309" s="428" t="s">
        <v>3735</v>
      </c>
      <c r="S1309" s="399"/>
      <c r="T1309" s="399" t="s">
        <v>3737</v>
      </c>
      <c r="U1309" s="399" t="s">
        <v>3158</v>
      </c>
      <c r="V1309" s="399"/>
      <c r="W1309" s="399"/>
      <c r="X1309" s="399"/>
      <c r="Y1309" s="399" t="s">
        <v>113</v>
      </c>
      <c r="Z1309" s="399" t="s">
        <v>3638</v>
      </c>
      <c r="AA1309" s="399" t="s">
        <v>113</v>
      </c>
      <c r="AB1309" s="399" t="s">
        <v>3178</v>
      </c>
      <c r="AC1309" s="532" t="s">
        <v>5027</v>
      </c>
      <c r="AD1309" s="400"/>
      <c r="AE1309" s="399"/>
      <c r="AF1309" s="399"/>
      <c r="AG1309" s="399"/>
      <c r="AH1309" s="532"/>
      <c r="AI1309" s="399"/>
      <c r="AJ1309" s="400"/>
      <c r="AK1309" s="399"/>
      <c r="AL1309" s="399"/>
      <c r="AM1309" s="399"/>
      <c r="AN1309" s="399"/>
      <c r="AO1309" s="399"/>
      <c r="AP1309" s="399"/>
      <c r="AQ1309" s="399"/>
      <c r="AR1309" s="399"/>
      <c r="AS1309" s="409" t="s">
        <v>3713</v>
      </c>
      <c r="AT1309" s="399"/>
      <c r="AU1309" s="399"/>
      <c r="AV1309" s="549"/>
      <c r="AW1309" s="534"/>
      <c r="AX1309" s="534"/>
      <c r="AY1309" s="534"/>
      <c r="AZ1309" s="534"/>
      <c r="BA1309" s="534"/>
      <c r="BB1309" s="399"/>
      <c r="BC1309" s="399" t="str">
        <f t="shared" si="2"/>
        <v/>
      </c>
      <c r="BD1309" s="399"/>
      <c r="BE1309" s="399"/>
      <c r="BF1309" s="399"/>
      <c r="BG1309" s="540"/>
      <c r="BH1309" s="407"/>
      <c r="BI1309" s="407"/>
      <c r="BJ1309" s="537"/>
      <c r="BK1309" s="46">
        <f t="shared" si="1"/>
        <v>1</v>
      </c>
      <c r="BL1309" s="46">
        <f t="shared" si="3"/>
        <v>0</v>
      </c>
      <c r="BM1309" s="46">
        <f t="shared" si="4"/>
        <v>1</v>
      </c>
      <c r="BN1309" s="46">
        <f t="shared" si="5"/>
        <v>0</v>
      </c>
    </row>
    <row r="1310" spans="1:66" ht="12.75" customHeight="1">
      <c r="A1310" s="399">
        <v>1319</v>
      </c>
      <c r="B1310" s="399" t="s">
        <v>3772</v>
      </c>
      <c r="C1310" s="399" t="str">
        <f t="shared" si="0"/>
        <v>Reason for no contraceptive method - Reported at intake</v>
      </c>
      <c r="D1310" s="400" t="s">
        <v>3772</v>
      </c>
      <c r="E1310" s="399" t="s">
        <v>96</v>
      </c>
      <c r="F1310" s="400" t="s">
        <v>1787</v>
      </c>
      <c r="G1310" s="400"/>
      <c r="H1310" s="400"/>
      <c r="I1310" s="400"/>
      <c r="J1310" s="400"/>
      <c r="K1310" s="400">
        <v>1</v>
      </c>
      <c r="L1310" s="400" t="s">
        <v>3333</v>
      </c>
      <c r="M1310" s="402" t="s">
        <v>3517</v>
      </c>
      <c r="N1310" s="400"/>
      <c r="O1310" s="428" t="s">
        <v>3477</v>
      </c>
      <c r="P1310" s="428"/>
      <c r="Q1310" s="399" t="s">
        <v>3773</v>
      </c>
      <c r="R1310" s="428" t="s">
        <v>3772</v>
      </c>
      <c r="S1310" s="399"/>
      <c r="T1310" s="399" t="s">
        <v>5029</v>
      </c>
      <c r="U1310" s="399" t="s">
        <v>4823</v>
      </c>
      <c r="V1310" s="399"/>
      <c r="W1310" s="399"/>
      <c r="X1310" s="399"/>
      <c r="Y1310" s="400" t="s">
        <v>208</v>
      </c>
      <c r="Z1310" s="399"/>
      <c r="AA1310" s="399" t="s">
        <v>113</v>
      </c>
      <c r="AB1310" s="399" t="s">
        <v>1889</v>
      </c>
      <c r="AC1310" s="532" t="s">
        <v>3775</v>
      </c>
      <c r="AD1310" s="400"/>
      <c r="AE1310" s="399"/>
      <c r="AF1310" s="399"/>
      <c r="AG1310" s="399"/>
      <c r="AH1310" s="532"/>
      <c r="AI1310" s="399"/>
      <c r="AJ1310" s="400"/>
      <c r="AK1310" s="399"/>
      <c r="AL1310" s="399"/>
      <c r="AM1310" s="399"/>
      <c r="AN1310" s="399"/>
      <c r="AO1310" s="399"/>
      <c r="AP1310" s="399"/>
      <c r="AQ1310" s="399"/>
      <c r="AR1310" s="399"/>
      <c r="AS1310" s="409" t="s">
        <v>3778</v>
      </c>
      <c r="AT1310" s="399"/>
      <c r="AU1310" s="399"/>
      <c r="AV1310" s="549">
        <v>736796006</v>
      </c>
      <c r="AW1310" s="563" t="s">
        <v>5031</v>
      </c>
      <c r="AX1310" s="534"/>
      <c r="AY1310" s="534"/>
      <c r="AZ1310" s="534"/>
      <c r="BA1310" s="534"/>
      <c r="BB1310" s="399"/>
      <c r="BC1310" s="399" t="str">
        <f t="shared" si="2"/>
        <v/>
      </c>
      <c r="BD1310" s="399"/>
      <c r="BE1310" s="399"/>
      <c r="BF1310" s="399"/>
      <c r="BG1310" s="540"/>
      <c r="BH1310" s="407"/>
      <c r="BI1310" s="407">
        <v>736796006</v>
      </c>
      <c r="BJ1310" s="537" t="s">
        <v>5035</v>
      </c>
      <c r="BK1310" s="46">
        <f t="shared" si="1"/>
        <v>1</v>
      </c>
      <c r="BL1310" s="46">
        <f t="shared" si="3"/>
        <v>0</v>
      </c>
      <c r="BM1310" s="46">
        <f t="shared" si="4"/>
        <v>1</v>
      </c>
      <c r="BN1310" s="46">
        <f t="shared" si="5"/>
        <v>0</v>
      </c>
    </row>
    <row r="1311" spans="1:66" ht="12.75" customHeight="1">
      <c r="A1311" s="399">
        <v>1320</v>
      </c>
      <c r="B1311" s="399" t="s">
        <v>3782</v>
      </c>
      <c r="C1311" s="399" t="e">
        <f t="shared" ca="1" si="0"/>
        <v>#NAME?</v>
      </c>
      <c r="D1311" s="400" t="s">
        <v>3785</v>
      </c>
      <c r="E1311" s="399" t="s">
        <v>180</v>
      </c>
      <c r="F1311" s="400" t="s">
        <v>3772</v>
      </c>
      <c r="G1311" s="400"/>
      <c r="H1311" s="400"/>
      <c r="I1311" s="400"/>
      <c r="J1311" s="400"/>
      <c r="K1311" s="400">
        <v>1</v>
      </c>
      <c r="L1311" s="400" t="s">
        <v>3333</v>
      </c>
      <c r="M1311" s="402" t="s">
        <v>3517</v>
      </c>
      <c r="N1311" s="400"/>
      <c r="O1311" s="428" t="s">
        <v>3477</v>
      </c>
      <c r="P1311" s="428"/>
      <c r="Q1311" s="399" t="s">
        <v>3783</v>
      </c>
      <c r="R1311" s="428"/>
      <c r="S1311" s="399"/>
      <c r="T1311" s="399" t="s">
        <v>3784</v>
      </c>
      <c r="U1311" s="399"/>
      <c r="V1311" s="399"/>
      <c r="W1311" s="399" t="s">
        <v>3785</v>
      </c>
      <c r="X1311" s="400"/>
      <c r="Y1311" s="400" t="s">
        <v>208</v>
      </c>
      <c r="Z1311" s="399"/>
      <c r="AA1311" s="399"/>
      <c r="AB1311" s="493"/>
      <c r="AC1311" s="564"/>
      <c r="AD1311" s="400"/>
      <c r="AE1311" s="399"/>
      <c r="AF1311" s="517"/>
      <c r="AG1311" s="565"/>
      <c r="AH1311" s="566"/>
      <c r="AI1311" s="517"/>
      <c r="AJ1311" s="400"/>
      <c r="AK1311" s="399"/>
      <c r="AL1311" s="565"/>
      <c r="AM1311" s="565"/>
      <c r="AN1311" s="565"/>
      <c r="AO1311" s="399"/>
      <c r="AP1311" s="399"/>
      <c r="AQ1311" s="399"/>
      <c r="AR1311" s="399"/>
      <c r="AS1311" s="409" t="s">
        <v>3162</v>
      </c>
      <c r="AT1311" s="399"/>
      <c r="AU1311" s="399"/>
      <c r="AV1311" s="549">
        <v>162171002</v>
      </c>
      <c r="AW1311" s="550" t="s">
        <v>3787</v>
      </c>
      <c r="AX1311" s="541"/>
      <c r="AY1311" s="541"/>
      <c r="AZ1311" s="541"/>
      <c r="BA1311" s="541"/>
      <c r="BB1311" s="567"/>
      <c r="BC1311" s="399" t="e">
        <f t="shared" ca="1" si="2"/>
        <v>#NAME?</v>
      </c>
      <c r="BD1311" s="567">
        <v>159524</v>
      </c>
      <c r="BE1311" s="517"/>
      <c r="BF1311" s="567"/>
      <c r="BG1311" s="542" t="s">
        <v>3788</v>
      </c>
      <c r="BH1311" s="407"/>
      <c r="BI1311" s="407">
        <v>162171002</v>
      </c>
      <c r="BJ1311" s="543"/>
      <c r="BK1311" s="46">
        <f t="shared" si="1"/>
        <v>1</v>
      </c>
      <c r="BL1311" s="46">
        <f t="shared" si="3"/>
        <v>1</v>
      </c>
      <c r="BM1311" s="46">
        <f t="shared" si="4"/>
        <v>0</v>
      </c>
      <c r="BN1311" s="46">
        <f t="shared" si="5"/>
        <v>0</v>
      </c>
    </row>
    <row r="1312" spans="1:66" ht="12.75" customHeight="1">
      <c r="A1312" s="399">
        <v>1321</v>
      </c>
      <c r="B1312" s="399" t="s">
        <v>3789</v>
      </c>
      <c r="C1312" s="399" t="e">
        <f t="shared" ca="1" si="0"/>
        <v>#NAME?</v>
      </c>
      <c r="D1312" s="400" t="s">
        <v>3791</v>
      </c>
      <c r="E1312" s="399" t="s">
        <v>180</v>
      </c>
      <c r="F1312" s="400" t="s">
        <v>3772</v>
      </c>
      <c r="G1312" s="400"/>
      <c r="H1312" s="400"/>
      <c r="I1312" s="400"/>
      <c r="J1312" s="400"/>
      <c r="K1312" s="400">
        <v>1</v>
      </c>
      <c r="L1312" s="400" t="s">
        <v>3333</v>
      </c>
      <c r="M1312" s="402" t="s">
        <v>3517</v>
      </c>
      <c r="N1312" s="400"/>
      <c r="O1312" s="428" t="s">
        <v>3477</v>
      </c>
      <c r="P1312" s="428"/>
      <c r="Q1312" s="399" t="s">
        <v>3790</v>
      </c>
      <c r="R1312" s="428"/>
      <c r="S1312" s="399"/>
      <c r="T1312" s="399"/>
      <c r="U1312" s="399"/>
      <c r="V1312" s="399"/>
      <c r="W1312" s="399" t="s">
        <v>3791</v>
      </c>
      <c r="X1312" s="400"/>
      <c r="Y1312" s="400" t="s">
        <v>208</v>
      </c>
      <c r="Z1312" s="399"/>
      <c r="AA1312" s="399"/>
      <c r="AB1312" s="493"/>
      <c r="AC1312" s="564"/>
      <c r="AD1312" s="400"/>
      <c r="AE1312" s="399"/>
      <c r="AF1312" s="517"/>
      <c r="AG1312" s="565"/>
      <c r="AH1312" s="566"/>
      <c r="AI1312" s="517"/>
      <c r="AJ1312" s="400"/>
      <c r="AK1312" s="399"/>
      <c r="AL1312" s="565"/>
      <c r="AM1312" s="565"/>
      <c r="AN1312" s="565"/>
      <c r="AO1312" s="399"/>
      <c r="AP1312" s="399"/>
      <c r="AQ1312" s="399"/>
      <c r="AR1312" s="399"/>
      <c r="AS1312" s="399"/>
      <c r="AT1312" s="399"/>
      <c r="AU1312" s="399"/>
      <c r="AV1312" s="549"/>
      <c r="AW1312" s="534"/>
      <c r="AX1312" s="534"/>
      <c r="AY1312" s="534"/>
      <c r="AZ1312" s="534"/>
      <c r="BA1312" s="534"/>
      <c r="BB1312" s="399"/>
      <c r="BC1312" s="399" t="e">
        <f t="shared" ca="1" si="2"/>
        <v>#NAME?</v>
      </c>
      <c r="BD1312" s="399"/>
      <c r="BE1312" s="399"/>
      <c r="BF1312" s="399"/>
      <c r="BG1312" s="540"/>
      <c r="BH1312" s="407"/>
      <c r="BI1312" s="407"/>
      <c r="BJ1312" s="537"/>
      <c r="BK1312" s="46">
        <f t="shared" si="1"/>
        <v>1</v>
      </c>
      <c r="BL1312" s="46">
        <f t="shared" si="3"/>
        <v>0</v>
      </c>
      <c r="BM1312" s="46">
        <f t="shared" si="4"/>
        <v>1</v>
      </c>
      <c r="BN1312" s="46">
        <f t="shared" si="5"/>
        <v>0</v>
      </c>
    </row>
    <row r="1313" spans="1:66" ht="12.75" customHeight="1">
      <c r="A1313" s="399">
        <v>1322</v>
      </c>
      <c r="B1313" s="399" t="s">
        <v>3795</v>
      </c>
      <c r="C1313" s="399" t="e">
        <f t="shared" ca="1" si="0"/>
        <v>#NAME?</v>
      </c>
      <c r="D1313" s="400" t="s">
        <v>3797</v>
      </c>
      <c r="E1313" s="399" t="s">
        <v>180</v>
      </c>
      <c r="F1313" s="400" t="s">
        <v>3772</v>
      </c>
      <c r="G1313" s="400"/>
      <c r="H1313" s="400"/>
      <c r="I1313" s="400"/>
      <c r="J1313" s="400"/>
      <c r="K1313" s="400">
        <v>1</v>
      </c>
      <c r="L1313" s="400" t="s">
        <v>3333</v>
      </c>
      <c r="M1313" s="402" t="s">
        <v>3517</v>
      </c>
      <c r="N1313" s="400"/>
      <c r="O1313" s="428" t="s">
        <v>3477</v>
      </c>
      <c r="P1313" s="428"/>
      <c r="Q1313" s="399" t="s">
        <v>3796</v>
      </c>
      <c r="R1313" s="428"/>
      <c r="S1313" s="399"/>
      <c r="T1313" s="399"/>
      <c r="U1313" s="399"/>
      <c r="V1313" s="399"/>
      <c r="W1313" s="399" t="s">
        <v>3797</v>
      </c>
      <c r="X1313" s="400"/>
      <c r="Y1313" s="400" t="s">
        <v>208</v>
      </c>
      <c r="Z1313" s="399"/>
      <c r="AA1313" s="399"/>
      <c r="AB1313" s="493"/>
      <c r="AC1313" s="564"/>
      <c r="AD1313" s="400"/>
      <c r="AE1313" s="399"/>
      <c r="AF1313" s="517"/>
      <c r="AG1313" s="565"/>
      <c r="AH1313" s="566"/>
      <c r="AI1313" s="517"/>
      <c r="AJ1313" s="400"/>
      <c r="AK1313" s="399"/>
      <c r="AL1313" s="565"/>
      <c r="AM1313" s="565"/>
      <c r="AN1313" s="565"/>
      <c r="AO1313" s="399"/>
      <c r="AP1313" s="399"/>
      <c r="AQ1313" s="399"/>
      <c r="AR1313" s="399"/>
      <c r="AS1313" s="409" t="s">
        <v>3162</v>
      </c>
      <c r="AT1313" s="399"/>
      <c r="AU1313" s="399"/>
      <c r="AV1313" s="549">
        <v>77386006</v>
      </c>
      <c r="AW1313" s="534"/>
      <c r="AX1313" s="534"/>
      <c r="AY1313" s="534"/>
      <c r="AZ1313" s="534"/>
      <c r="BA1313" s="534"/>
      <c r="BB1313" s="399"/>
      <c r="BC1313" s="399" t="e">
        <f t="shared" ca="1" si="2"/>
        <v>#NAME?</v>
      </c>
      <c r="BD1313" s="399"/>
      <c r="BE1313" s="399"/>
      <c r="BF1313" s="399"/>
      <c r="BG1313" s="540"/>
      <c r="BH1313" s="407"/>
      <c r="BI1313" s="407">
        <v>77386006</v>
      </c>
      <c r="BJ1313" s="537"/>
      <c r="BK1313" s="46">
        <f t="shared" si="1"/>
        <v>1</v>
      </c>
      <c r="BL1313" s="46">
        <f t="shared" si="3"/>
        <v>1</v>
      </c>
      <c r="BM1313" s="46">
        <f t="shared" si="4"/>
        <v>0</v>
      </c>
      <c r="BN1313" s="46">
        <f t="shared" si="5"/>
        <v>0</v>
      </c>
    </row>
    <row r="1314" spans="1:66" ht="12.75" customHeight="1">
      <c r="A1314" s="399">
        <v>1323</v>
      </c>
      <c r="B1314" s="399" t="s">
        <v>3799</v>
      </c>
      <c r="C1314" s="399" t="e">
        <f t="shared" ca="1" si="0"/>
        <v>#NAME?</v>
      </c>
      <c r="D1314" s="400" t="s">
        <v>3801</v>
      </c>
      <c r="E1314" s="399" t="s">
        <v>180</v>
      </c>
      <c r="F1314" s="400" t="s">
        <v>3772</v>
      </c>
      <c r="G1314" s="400"/>
      <c r="H1314" s="400"/>
      <c r="I1314" s="400"/>
      <c r="J1314" s="400"/>
      <c r="K1314" s="400">
        <v>1</v>
      </c>
      <c r="L1314" s="400" t="s">
        <v>3333</v>
      </c>
      <c r="M1314" s="402" t="s">
        <v>3517</v>
      </c>
      <c r="N1314" s="402"/>
      <c r="O1314" s="428" t="s">
        <v>3477</v>
      </c>
      <c r="P1314" s="428"/>
      <c r="Q1314" s="399" t="s">
        <v>3800</v>
      </c>
      <c r="R1314" s="428"/>
      <c r="S1314" s="399"/>
      <c r="T1314" s="399"/>
      <c r="U1314" s="399"/>
      <c r="V1314" s="399"/>
      <c r="W1314" s="399" t="s">
        <v>3801</v>
      </c>
      <c r="X1314" s="400"/>
      <c r="Y1314" s="400" t="s">
        <v>208</v>
      </c>
      <c r="Z1314" s="399"/>
      <c r="AA1314" s="399"/>
      <c r="AB1314" s="493"/>
      <c r="AC1314" s="564"/>
      <c r="AD1314" s="400"/>
      <c r="AE1314" s="399"/>
      <c r="AF1314" s="517"/>
      <c r="AG1314" s="565"/>
      <c r="AH1314" s="566"/>
      <c r="AI1314" s="517"/>
      <c r="AJ1314" s="400"/>
      <c r="AK1314" s="399"/>
      <c r="AL1314" s="565"/>
      <c r="AM1314" s="565"/>
      <c r="AN1314" s="565"/>
      <c r="AO1314" s="399"/>
      <c r="AP1314" s="399"/>
      <c r="AQ1314" s="399"/>
      <c r="AR1314" s="399"/>
      <c r="AS1314" s="409" t="s">
        <v>3162</v>
      </c>
      <c r="AT1314" s="399"/>
      <c r="AU1314" s="399"/>
      <c r="AV1314" s="409">
        <v>454361000124100</v>
      </c>
      <c r="AW1314" s="550" t="s">
        <v>3803</v>
      </c>
      <c r="AX1314" s="541"/>
      <c r="AY1314" s="541"/>
      <c r="AZ1314" s="541"/>
      <c r="BA1314" s="541"/>
      <c r="BB1314" s="517"/>
      <c r="BC1314" s="399" t="e">
        <f t="shared" ca="1" si="2"/>
        <v>#NAME?</v>
      </c>
      <c r="BD1314" s="517"/>
      <c r="BE1314" s="399"/>
      <c r="BF1314" s="399"/>
      <c r="BG1314" s="542"/>
      <c r="BH1314" s="407"/>
      <c r="BI1314" s="407"/>
      <c r="BJ1314" s="543"/>
      <c r="BK1314" s="46">
        <f t="shared" si="1"/>
        <v>1</v>
      </c>
      <c r="BL1314" s="46">
        <f t="shared" si="3"/>
        <v>1</v>
      </c>
      <c r="BM1314" s="46">
        <f t="shared" si="4"/>
        <v>0</v>
      </c>
      <c r="BN1314" s="46">
        <f t="shared" si="5"/>
        <v>0</v>
      </c>
    </row>
    <row r="1315" spans="1:66" ht="12.75" customHeight="1">
      <c r="A1315" s="399">
        <v>1324</v>
      </c>
      <c r="B1315" s="399" t="s">
        <v>3804</v>
      </c>
      <c r="C1315" s="399" t="e">
        <f t="shared" ca="1" si="0"/>
        <v>#NAME?</v>
      </c>
      <c r="D1315" s="400" t="s">
        <v>3807</v>
      </c>
      <c r="E1315" s="399" t="s">
        <v>180</v>
      </c>
      <c r="F1315" s="400" t="s">
        <v>3772</v>
      </c>
      <c r="G1315" s="400"/>
      <c r="H1315" s="400"/>
      <c r="I1315" s="400"/>
      <c r="J1315" s="400"/>
      <c r="K1315" s="400">
        <v>1</v>
      </c>
      <c r="L1315" s="400" t="s">
        <v>3333</v>
      </c>
      <c r="M1315" s="402" t="s">
        <v>3517</v>
      </c>
      <c r="N1315" s="400"/>
      <c r="O1315" s="428" t="s">
        <v>3477</v>
      </c>
      <c r="P1315" s="428"/>
      <c r="Q1315" s="399" t="s">
        <v>3805</v>
      </c>
      <c r="R1315" s="428"/>
      <c r="S1315" s="399"/>
      <c r="T1315" s="399" t="s">
        <v>3806</v>
      </c>
      <c r="U1315" s="399"/>
      <c r="V1315" s="399"/>
      <c r="W1315" s="399" t="s">
        <v>3807</v>
      </c>
      <c r="X1315" s="400"/>
      <c r="Y1315" s="400" t="s">
        <v>208</v>
      </c>
      <c r="Z1315" s="399"/>
      <c r="AA1315" s="399"/>
      <c r="AB1315" s="493"/>
      <c r="AC1315" s="564"/>
      <c r="AD1315" s="400"/>
      <c r="AE1315" s="399"/>
      <c r="AF1315" s="517"/>
      <c r="AG1315" s="565"/>
      <c r="AH1315" s="566"/>
      <c r="AI1315" s="517"/>
      <c r="AJ1315" s="400"/>
      <c r="AK1315" s="399"/>
      <c r="AL1315" s="565"/>
      <c r="AM1315" s="565"/>
      <c r="AN1315" s="565"/>
      <c r="AO1315" s="399"/>
      <c r="AP1315" s="399"/>
      <c r="AQ1315" s="399"/>
      <c r="AR1315" s="399"/>
      <c r="AS1315" s="409" t="s">
        <v>5045</v>
      </c>
      <c r="AT1315" s="399"/>
      <c r="AU1315" s="399"/>
      <c r="AV1315" s="399">
        <v>74964007</v>
      </c>
      <c r="AW1315" s="541"/>
      <c r="AX1315" s="541"/>
      <c r="AY1315" s="541"/>
      <c r="AZ1315" s="541"/>
      <c r="BA1315" s="541"/>
      <c r="BB1315" s="409" t="s">
        <v>3810</v>
      </c>
      <c r="BC1315" s="399" t="e">
        <f t="shared" ca="1" si="2"/>
        <v>#NAME?</v>
      </c>
      <c r="BD1315" s="399"/>
      <c r="BE1315" s="399"/>
      <c r="BF1315" s="399"/>
      <c r="BG1315" s="540"/>
      <c r="BH1315" s="407"/>
      <c r="BI1315" s="407">
        <v>74964007</v>
      </c>
      <c r="BJ1315" s="543"/>
      <c r="BK1315" s="46">
        <f t="shared" si="1"/>
        <v>1</v>
      </c>
      <c r="BL1315" s="46">
        <f t="shared" si="3"/>
        <v>1</v>
      </c>
      <c r="BM1315" s="46">
        <f t="shared" si="4"/>
        <v>0</v>
      </c>
      <c r="BN1315" s="46">
        <f t="shared" si="5"/>
        <v>0</v>
      </c>
    </row>
    <row r="1316" spans="1:66" ht="12.75" customHeight="1">
      <c r="A1316" s="399">
        <v>1325</v>
      </c>
      <c r="B1316" s="399" t="s">
        <v>3811</v>
      </c>
      <c r="C1316" s="399" t="e">
        <f t="shared" ca="1" si="0"/>
        <v>#NAME?</v>
      </c>
      <c r="D1316" s="400" t="s">
        <v>3814</v>
      </c>
      <c r="E1316" s="399" t="s">
        <v>180</v>
      </c>
      <c r="F1316" s="400" t="s">
        <v>3772</v>
      </c>
      <c r="G1316" s="400"/>
      <c r="H1316" s="400"/>
      <c r="I1316" s="400"/>
      <c r="J1316" s="400"/>
      <c r="K1316" s="400">
        <v>1</v>
      </c>
      <c r="L1316" s="400" t="s">
        <v>3333</v>
      </c>
      <c r="M1316" s="402" t="s">
        <v>3517</v>
      </c>
      <c r="N1316" s="400"/>
      <c r="O1316" s="428" t="s">
        <v>3477</v>
      </c>
      <c r="P1316" s="428"/>
      <c r="Q1316" s="399" t="s">
        <v>3812</v>
      </c>
      <c r="R1316" s="428"/>
      <c r="S1316" s="399"/>
      <c r="T1316" s="399" t="s">
        <v>3813</v>
      </c>
      <c r="U1316" s="399"/>
      <c r="V1316" s="399"/>
      <c r="W1316" s="399" t="s">
        <v>3814</v>
      </c>
      <c r="X1316" s="400"/>
      <c r="Y1316" s="400" t="s">
        <v>208</v>
      </c>
      <c r="Z1316" s="399"/>
      <c r="AA1316" s="399"/>
      <c r="AB1316" s="493"/>
      <c r="AC1316" s="564"/>
      <c r="AD1316" s="400"/>
      <c r="AE1316" s="399"/>
      <c r="AF1316" s="517"/>
      <c r="AG1316" s="565"/>
      <c r="AH1316" s="566"/>
      <c r="AI1316" s="517"/>
      <c r="AJ1316" s="400"/>
      <c r="AK1316" s="399"/>
      <c r="AL1316" s="565"/>
      <c r="AM1316" s="565"/>
      <c r="AN1316" s="565"/>
      <c r="AO1316" s="399"/>
      <c r="AP1316" s="399"/>
      <c r="AQ1316" s="399"/>
      <c r="AR1316" s="399"/>
      <c r="AS1316" s="409" t="s">
        <v>3162</v>
      </c>
      <c r="AT1316" s="399" t="s">
        <v>3815</v>
      </c>
      <c r="AU1316" s="399"/>
      <c r="AV1316" s="567">
        <v>182856006</v>
      </c>
      <c r="AW1316" s="541"/>
      <c r="AX1316" s="541"/>
      <c r="AY1316" s="541"/>
      <c r="AZ1316" s="541"/>
      <c r="BA1316" s="541"/>
      <c r="BB1316" s="567"/>
      <c r="BC1316" s="399" t="e">
        <f t="shared" ca="1" si="2"/>
        <v>#NAME?</v>
      </c>
      <c r="BD1316" s="567">
        <v>1754</v>
      </c>
      <c r="BE1316" s="517"/>
      <c r="BF1316" s="517"/>
      <c r="BG1316" s="542" t="s">
        <v>2638</v>
      </c>
      <c r="BH1316" s="407" t="s">
        <v>3815</v>
      </c>
      <c r="BI1316" s="546">
        <v>182856006</v>
      </c>
      <c r="BJ1316" s="543"/>
      <c r="BK1316" s="46">
        <f t="shared" si="1"/>
        <v>1</v>
      </c>
      <c r="BL1316" s="46">
        <f t="shared" si="3"/>
        <v>1</v>
      </c>
      <c r="BM1316" s="46">
        <f t="shared" si="4"/>
        <v>0</v>
      </c>
      <c r="BN1316" s="46">
        <f t="shared" si="5"/>
        <v>0</v>
      </c>
    </row>
    <row r="1317" spans="1:66" ht="12.75" customHeight="1">
      <c r="A1317" s="399">
        <v>1326</v>
      </c>
      <c r="B1317" s="399" t="s">
        <v>3817</v>
      </c>
      <c r="C1317" s="399" t="e">
        <f t="shared" ca="1" si="0"/>
        <v>#NAME?</v>
      </c>
      <c r="D1317" s="400" t="s">
        <v>3819</v>
      </c>
      <c r="E1317" s="399" t="s">
        <v>180</v>
      </c>
      <c r="F1317" s="400" t="s">
        <v>3772</v>
      </c>
      <c r="G1317" s="400"/>
      <c r="H1317" s="400"/>
      <c r="I1317" s="400"/>
      <c r="J1317" s="400"/>
      <c r="K1317" s="400">
        <v>1</v>
      </c>
      <c r="L1317" s="400" t="s">
        <v>3333</v>
      </c>
      <c r="M1317" s="402" t="s">
        <v>3517</v>
      </c>
      <c r="N1317" s="402"/>
      <c r="O1317" s="428" t="s">
        <v>3477</v>
      </c>
      <c r="P1317" s="428"/>
      <c r="Q1317" s="399" t="s">
        <v>3818</v>
      </c>
      <c r="R1317" s="428"/>
      <c r="S1317" s="399"/>
      <c r="T1317" s="399"/>
      <c r="U1317" s="399"/>
      <c r="V1317" s="399"/>
      <c r="W1317" s="399" t="s">
        <v>3819</v>
      </c>
      <c r="X1317" s="400"/>
      <c r="Y1317" s="400" t="s">
        <v>208</v>
      </c>
      <c r="Z1317" s="399"/>
      <c r="AA1317" s="399"/>
      <c r="AB1317" s="493"/>
      <c r="AC1317" s="564"/>
      <c r="AD1317" s="400"/>
      <c r="AE1317" s="399"/>
      <c r="AF1317" s="517"/>
      <c r="AG1317" s="565"/>
      <c r="AH1317" s="566"/>
      <c r="AI1317" s="517"/>
      <c r="AJ1317" s="400"/>
      <c r="AK1317" s="399"/>
      <c r="AL1317" s="565"/>
      <c r="AM1317" s="565"/>
      <c r="AN1317" s="565"/>
      <c r="AO1317" s="399"/>
      <c r="AP1317" s="399"/>
      <c r="AQ1317" s="399"/>
      <c r="AR1317" s="399"/>
      <c r="AS1317" s="409" t="s">
        <v>3162</v>
      </c>
      <c r="AT1317" s="517" t="s">
        <v>3820</v>
      </c>
      <c r="AU1317" s="517" t="s">
        <v>3821</v>
      </c>
      <c r="AV1317" s="568" t="s">
        <v>3824</v>
      </c>
      <c r="AW1317" s="550" t="s">
        <v>3823</v>
      </c>
      <c r="AX1317" s="541"/>
      <c r="AY1317" s="541"/>
      <c r="AZ1317" s="541"/>
      <c r="BA1317" s="541"/>
      <c r="BB1317" s="567"/>
      <c r="BC1317" s="399" t="e">
        <f t="shared" ca="1" si="2"/>
        <v>#NAME?</v>
      </c>
      <c r="BD1317" s="567">
        <v>125899</v>
      </c>
      <c r="BE1317" s="517"/>
      <c r="BF1317" s="517"/>
      <c r="BG1317" s="542" t="s">
        <v>3825</v>
      </c>
      <c r="BH1317" s="414" t="s">
        <v>3820</v>
      </c>
      <c r="BI1317" s="546">
        <v>15296000</v>
      </c>
      <c r="BJ1317" s="569" t="s">
        <v>5059</v>
      </c>
      <c r="BK1317" s="46">
        <f t="shared" si="1"/>
        <v>1</v>
      </c>
      <c r="BL1317" s="46">
        <f t="shared" si="3"/>
        <v>1</v>
      </c>
      <c r="BM1317" s="46">
        <f t="shared" si="4"/>
        <v>0</v>
      </c>
      <c r="BN1317" s="46">
        <f t="shared" si="5"/>
        <v>0</v>
      </c>
    </row>
    <row r="1318" spans="1:66" ht="12.75" customHeight="1">
      <c r="A1318" s="399">
        <v>1327</v>
      </c>
      <c r="B1318" s="399" t="s">
        <v>3826</v>
      </c>
      <c r="C1318" s="399" t="e">
        <f t="shared" ca="1" si="0"/>
        <v>#NAME?</v>
      </c>
      <c r="D1318" s="400" t="s">
        <v>3828</v>
      </c>
      <c r="E1318" s="399" t="s">
        <v>180</v>
      </c>
      <c r="F1318" s="400" t="s">
        <v>3772</v>
      </c>
      <c r="G1318" s="400"/>
      <c r="H1318" s="400"/>
      <c r="I1318" s="400"/>
      <c r="J1318" s="400"/>
      <c r="K1318" s="400">
        <v>1</v>
      </c>
      <c r="L1318" s="400" t="s">
        <v>3333</v>
      </c>
      <c r="M1318" s="402" t="s">
        <v>3517</v>
      </c>
      <c r="N1318" s="402"/>
      <c r="O1318" s="428" t="s">
        <v>3477</v>
      </c>
      <c r="P1318" s="428"/>
      <c r="Q1318" s="399" t="s">
        <v>3827</v>
      </c>
      <c r="R1318" s="428"/>
      <c r="S1318" s="399"/>
      <c r="T1318" s="399"/>
      <c r="U1318" s="399"/>
      <c r="V1318" s="399"/>
      <c r="W1318" s="399" t="s">
        <v>3828</v>
      </c>
      <c r="X1318" s="400"/>
      <c r="Y1318" s="400" t="s">
        <v>208</v>
      </c>
      <c r="Z1318" s="399"/>
      <c r="AA1318" s="399"/>
      <c r="AB1318" s="493"/>
      <c r="AC1318" s="564"/>
      <c r="AD1318" s="400"/>
      <c r="AE1318" s="399"/>
      <c r="AF1318" s="517"/>
      <c r="AG1318" s="565"/>
      <c r="AH1318" s="566"/>
      <c r="AI1318" s="517"/>
      <c r="AJ1318" s="400"/>
      <c r="AK1318" s="399"/>
      <c r="AL1318" s="565"/>
      <c r="AM1318" s="565"/>
      <c r="AN1318" s="565"/>
      <c r="AO1318" s="399"/>
      <c r="AP1318" s="399"/>
      <c r="AQ1318" s="399"/>
      <c r="AR1318" s="399"/>
      <c r="AS1318" s="409" t="s">
        <v>3162</v>
      </c>
      <c r="AT1318" s="399"/>
      <c r="AU1318" s="399"/>
      <c r="AV1318" s="409">
        <v>454411000124108</v>
      </c>
      <c r="AW1318" s="550" t="s">
        <v>3830</v>
      </c>
      <c r="AX1318" s="541"/>
      <c r="AY1318" s="541"/>
      <c r="AZ1318" s="541"/>
      <c r="BA1318" s="541"/>
      <c r="BB1318" s="399"/>
      <c r="BC1318" s="399" t="e">
        <f t="shared" ca="1" si="2"/>
        <v>#NAME?</v>
      </c>
      <c r="BD1318" s="399"/>
      <c r="BE1318" s="399"/>
      <c r="BF1318" s="399"/>
      <c r="BG1318" s="540"/>
      <c r="BH1318" s="407"/>
      <c r="BI1318" s="552"/>
      <c r="BJ1318" s="543"/>
      <c r="BK1318" s="46">
        <f t="shared" si="1"/>
        <v>1</v>
      </c>
      <c r="BL1318" s="46">
        <f t="shared" si="3"/>
        <v>1</v>
      </c>
      <c r="BM1318" s="46">
        <f t="shared" si="4"/>
        <v>0</v>
      </c>
      <c r="BN1318" s="46">
        <f t="shared" si="5"/>
        <v>0</v>
      </c>
    </row>
    <row r="1319" spans="1:66" ht="12.75" customHeight="1">
      <c r="A1319" s="399">
        <v>1328</v>
      </c>
      <c r="B1319" s="399" t="s">
        <v>3838</v>
      </c>
      <c r="C1319" s="399" t="str">
        <f t="shared" si="0"/>
        <v>Prior contraceptive methods used</v>
      </c>
      <c r="D1319" s="402" t="s">
        <v>3838</v>
      </c>
      <c r="E1319" s="399" t="s">
        <v>96</v>
      </c>
      <c r="F1319" s="400" t="s">
        <v>1787</v>
      </c>
      <c r="G1319" s="400"/>
      <c r="H1319" s="400"/>
      <c r="I1319" s="400"/>
      <c r="J1319" s="400"/>
      <c r="K1319" s="400">
        <v>1</v>
      </c>
      <c r="L1319" s="400" t="s">
        <v>3333</v>
      </c>
      <c r="M1319" s="402" t="s">
        <v>3517</v>
      </c>
      <c r="N1319" s="400"/>
      <c r="O1319" s="428" t="s">
        <v>3477</v>
      </c>
      <c r="P1319" s="428"/>
      <c r="Q1319" s="399" t="s">
        <v>3832</v>
      </c>
      <c r="R1319" s="428" t="s">
        <v>3833</v>
      </c>
      <c r="S1319" s="399"/>
      <c r="T1319" s="399" t="s">
        <v>3834</v>
      </c>
      <c r="U1319" s="399" t="s">
        <v>238</v>
      </c>
      <c r="V1319" s="399"/>
      <c r="W1319" s="399" t="s">
        <v>3835</v>
      </c>
      <c r="X1319" s="400"/>
      <c r="Y1319" s="400" t="s">
        <v>208</v>
      </c>
      <c r="Z1319" s="399"/>
      <c r="AA1319" s="399" t="s">
        <v>113</v>
      </c>
      <c r="AB1319" s="399" t="s">
        <v>3178</v>
      </c>
      <c r="AC1319" s="532" t="s">
        <v>3836</v>
      </c>
      <c r="AD1319" s="400"/>
      <c r="AE1319" s="399"/>
      <c r="AF1319" s="399"/>
      <c r="AG1319" s="399"/>
      <c r="AH1319" s="532"/>
      <c r="AI1319" s="399"/>
      <c r="AJ1319" s="400"/>
      <c r="AK1319" s="399"/>
      <c r="AL1319" s="399"/>
      <c r="AM1319" s="399"/>
      <c r="AN1319" s="399"/>
      <c r="AO1319" s="399"/>
      <c r="AP1319" s="399"/>
      <c r="AQ1319" s="399"/>
      <c r="AR1319" s="399"/>
      <c r="AS1319" s="399"/>
      <c r="AT1319" s="399"/>
      <c r="AU1319" s="399"/>
      <c r="AV1319" s="553"/>
      <c r="AW1319" s="541"/>
      <c r="AX1319" s="541"/>
      <c r="AY1319" s="541"/>
      <c r="AZ1319" s="541"/>
      <c r="BA1319" s="541"/>
      <c r="BB1319" s="399"/>
      <c r="BC1319" s="399" t="str">
        <f t="shared" si="2"/>
        <v/>
      </c>
      <c r="BD1319" s="553"/>
      <c r="BE1319" s="399"/>
      <c r="BF1319" s="399"/>
      <c r="BG1319" s="540"/>
      <c r="BH1319" s="407"/>
      <c r="BI1319" s="554"/>
      <c r="BJ1319" s="543"/>
      <c r="BK1319" s="46">
        <f t="shared" si="1"/>
        <v>1</v>
      </c>
      <c r="BL1319" s="46">
        <f t="shared" si="3"/>
        <v>0</v>
      </c>
      <c r="BM1319" s="46">
        <f t="shared" si="4"/>
        <v>1</v>
      </c>
      <c r="BN1319" s="46">
        <f t="shared" si="5"/>
        <v>0</v>
      </c>
    </row>
    <row r="1320" spans="1:66" ht="12.75" customHeight="1">
      <c r="A1320" s="399">
        <v>1329</v>
      </c>
      <c r="B1320" s="399" t="s">
        <v>3895</v>
      </c>
      <c r="C1320" s="399" t="str">
        <f t="shared" si="0"/>
        <v>Postpartum</v>
      </c>
      <c r="D1320" s="400" t="s">
        <v>3895</v>
      </c>
      <c r="E1320" s="399" t="s">
        <v>96</v>
      </c>
      <c r="F1320" s="400" t="s">
        <v>1787</v>
      </c>
      <c r="G1320" s="400"/>
      <c r="H1320" s="400"/>
      <c r="I1320" s="400"/>
      <c r="J1320" s="400"/>
      <c r="K1320" s="400">
        <v>1</v>
      </c>
      <c r="L1320" s="400" t="s">
        <v>3333</v>
      </c>
      <c r="M1320" s="402" t="s">
        <v>3489</v>
      </c>
      <c r="N1320" s="400"/>
      <c r="O1320" s="428" t="s">
        <v>3477</v>
      </c>
      <c r="P1320" s="428"/>
      <c r="Q1320" s="399" t="s">
        <v>3897</v>
      </c>
      <c r="R1320" s="428" t="s">
        <v>3895</v>
      </c>
      <c r="S1320" s="399"/>
      <c r="T1320" s="399" t="s">
        <v>5065</v>
      </c>
      <c r="U1320" s="399" t="s">
        <v>3169</v>
      </c>
      <c r="V1320" s="399"/>
      <c r="W1320" s="399" t="s">
        <v>3170</v>
      </c>
      <c r="X1320" s="400"/>
      <c r="Y1320" s="399" t="s">
        <v>208</v>
      </c>
      <c r="Z1320" s="399"/>
      <c r="AA1320" s="399" t="s">
        <v>113</v>
      </c>
      <c r="AB1320" s="399" t="s">
        <v>3178</v>
      </c>
      <c r="AC1320" s="532" t="s">
        <v>3850</v>
      </c>
      <c r="AD1320" s="400"/>
      <c r="AE1320" s="399"/>
      <c r="AF1320" s="399"/>
      <c r="AG1320" s="399"/>
      <c r="AH1320" s="532"/>
      <c r="AI1320" s="399"/>
      <c r="AJ1320" s="400"/>
      <c r="AK1320" s="399"/>
      <c r="AL1320" s="399"/>
      <c r="AM1320" s="399"/>
      <c r="AN1320" s="399"/>
      <c r="AO1320" s="399"/>
      <c r="AP1320" s="399"/>
      <c r="AQ1320" s="399"/>
      <c r="AR1320" s="399"/>
      <c r="AS1320" s="409" t="s">
        <v>3162</v>
      </c>
      <c r="AT1320" s="399"/>
      <c r="AU1320" s="399"/>
      <c r="AV1320" s="409" t="s">
        <v>3904</v>
      </c>
      <c r="AW1320" s="550" t="s">
        <v>3903</v>
      </c>
      <c r="AX1320" s="541"/>
      <c r="AY1320" s="541"/>
      <c r="AZ1320" s="541"/>
      <c r="BA1320" s="541"/>
      <c r="BB1320" s="400"/>
      <c r="BC1320" s="399" t="str">
        <f t="shared" si="2"/>
        <v/>
      </c>
      <c r="BD1320" s="400">
        <v>1180</v>
      </c>
      <c r="BE1320" s="399"/>
      <c r="BF1320" s="399"/>
      <c r="BG1320" s="542" t="s">
        <v>3905</v>
      </c>
      <c r="BH1320" s="407"/>
      <c r="BI1320" s="407">
        <v>255410009</v>
      </c>
      <c r="BJ1320" s="543"/>
      <c r="BK1320" s="46">
        <f t="shared" si="1"/>
        <v>1</v>
      </c>
      <c r="BL1320" s="46">
        <f t="shared" si="3"/>
        <v>0</v>
      </c>
      <c r="BM1320" s="46">
        <f t="shared" si="4"/>
        <v>1</v>
      </c>
      <c r="BN1320" s="46">
        <f t="shared" si="5"/>
        <v>0</v>
      </c>
    </row>
    <row r="1321" spans="1:66" ht="12.75" customHeight="1">
      <c r="A1321" s="399">
        <v>1330</v>
      </c>
      <c r="B1321" s="399" t="s">
        <v>3846</v>
      </c>
      <c r="C1321" s="399" t="str">
        <f t="shared" si="0"/>
        <v>Breastfeeding</v>
      </c>
      <c r="D1321" s="400" t="s">
        <v>3846</v>
      </c>
      <c r="E1321" s="399" t="s">
        <v>96</v>
      </c>
      <c r="F1321" s="400" t="s">
        <v>1787</v>
      </c>
      <c r="G1321" s="400"/>
      <c r="H1321" s="400"/>
      <c r="I1321" s="400"/>
      <c r="J1321" s="400"/>
      <c r="K1321" s="400">
        <v>1</v>
      </c>
      <c r="L1321" s="400" t="s">
        <v>3333</v>
      </c>
      <c r="M1321" s="402" t="s">
        <v>3489</v>
      </c>
      <c r="N1321" s="400"/>
      <c r="O1321" s="428" t="s">
        <v>3477</v>
      </c>
      <c r="P1321" s="428"/>
      <c r="Q1321" s="399" t="s">
        <v>3848</v>
      </c>
      <c r="R1321" s="428" t="s">
        <v>3846</v>
      </c>
      <c r="S1321" s="399"/>
      <c r="T1321" s="399" t="s">
        <v>3849</v>
      </c>
      <c r="U1321" s="517" t="s">
        <v>3169</v>
      </c>
      <c r="V1321" s="399"/>
      <c r="W1321" s="399" t="s">
        <v>3170</v>
      </c>
      <c r="X1321" s="399"/>
      <c r="Y1321" s="399" t="s">
        <v>208</v>
      </c>
      <c r="Z1321" s="399"/>
      <c r="AA1321" s="399" t="s">
        <v>113</v>
      </c>
      <c r="AB1321" s="399" t="s">
        <v>3178</v>
      </c>
      <c r="AC1321" s="532" t="s">
        <v>3850</v>
      </c>
      <c r="AD1321" s="400"/>
      <c r="AE1321" s="399"/>
      <c r="AF1321" s="399"/>
      <c r="AG1321" s="399"/>
      <c r="AH1321" s="532" t="s">
        <v>3851</v>
      </c>
      <c r="AI1321" s="399"/>
      <c r="AJ1321" s="400"/>
      <c r="AK1321" s="399"/>
      <c r="AL1321" s="399"/>
      <c r="AM1321" s="399"/>
      <c r="AN1321" s="399"/>
      <c r="AO1321" s="399"/>
      <c r="AP1321" s="399"/>
      <c r="AQ1321" s="399"/>
      <c r="AR1321" s="399"/>
      <c r="AS1321" s="409" t="s">
        <v>3162</v>
      </c>
      <c r="AT1321" s="399"/>
      <c r="AU1321" s="399"/>
      <c r="AV1321" s="400">
        <v>413712001</v>
      </c>
      <c r="AW1321" s="541"/>
      <c r="AX1321" s="541"/>
      <c r="AY1321" s="541"/>
      <c r="AZ1321" s="541"/>
      <c r="BA1321" s="541"/>
      <c r="BB1321" s="400"/>
      <c r="BC1321" s="399" t="str">
        <f t="shared" si="2"/>
        <v/>
      </c>
      <c r="BD1321" s="400">
        <v>5632</v>
      </c>
      <c r="BE1321" s="399"/>
      <c r="BF1321" s="399"/>
      <c r="BG1321" s="542" t="s">
        <v>3854</v>
      </c>
      <c r="BH1321" s="407"/>
      <c r="BI1321" s="407">
        <v>413712001</v>
      </c>
      <c r="BJ1321" s="543"/>
      <c r="BK1321" s="46">
        <f t="shared" si="1"/>
        <v>1</v>
      </c>
      <c r="BL1321" s="46">
        <f t="shared" si="3"/>
        <v>0</v>
      </c>
      <c r="BM1321" s="46">
        <f t="shared" si="4"/>
        <v>1</v>
      </c>
      <c r="BN1321" s="46">
        <f t="shared" si="5"/>
        <v>0</v>
      </c>
    </row>
    <row r="1322" spans="1:66" ht="12.75" customHeight="1">
      <c r="A1322" s="399">
        <v>1331</v>
      </c>
      <c r="B1322" s="399" t="s">
        <v>3855</v>
      </c>
      <c r="C1322" s="399" t="str">
        <f t="shared" si="0"/>
        <v>Breastfeeding status</v>
      </c>
      <c r="D1322" s="400" t="s">
        <v>3855</v>
      </c>
      <c r="E1322" s="399" t="s">
        <v>96</v>
      </c>
      <c r="F1322" s="400" t="s">
        <v>1787</v>
      </c>
      <c r="G1322" s="400"/>
      <c r="H1322" s="400"/>
      <c r="I1322" s="400"/>
      <c r="J1322" s="400"/>
      <c r="K1322" s="400">
        <v>1</v>
      </c>
      <c r="L1322" s="400" t="s">
        <v>3333</v>
      </c>
      <c r="M1322" s="402" t="s">
        <v>3489</v>
      </c>
      <c r="N1322" s="400"/>
      <c r="O1322" s="428" t="s">
        <v>3477</v>
      </c>
      <c r="P1322" s="428"/>
      <c r="Q1322" s="399" t="s">
        <v>3856</v>
      </c>
      <c r="R1322" s="428" t="s">
        <v>3855</v>
      </c>
      <c r="S1322" s="399"/>
      <c r="T1322" s="399"/>
      <c r="U1322" s="399" t="s">
        <v>5076</v>
      </c>
      <c r="V1322" s="399"/>
      <c r="W1322" s="399"/>
      <c r="X1322" s="399"/>
      <c r="Y1322" s="399" t="s">
        <v>208</v>
      </c>
      <c r="Z1322" s="399"/>
      <c r="AA1322" s="399" t="s">
        <v>113</v>
      </c>
      <c r="AB1322" s="399" t="s">
        <v>3178</v>
      </c>
      <c r="AC1322" s="532" t="s">
        <v>3857</v>
      </c>
      <c r="AD1322" s="400"/>
      <c r="AE1322" s="399"/>
      <c r="AF1322" s="399"/>
      <c r="AG1322" s="399"/>
      <c r="AH1322" s="532"/>
      <c r="AI1322" s="399"/>
      <c r="AJ1322" s="400"/>
      <c r="AK1322" s="399"/>
      <c r="AL1322" s="399"/>
      <c r="AM1322" s="399"/>
      <c r="AN1322" s="399"/>
      <c r="AO1322" s="399"/>
      <c r="AP1322" s="399"/>
      <c r="AQ1322" s="399"/>
      <c r="AR1322" s="399"/>
      <c r="AS1322" s="409" t="s">
        <v>3162</v>
      </c>
      <c r="AT1322" s="399"/>
      <c r="AU1322" s="399"/>
      <c r="AV1322" s="399"/>
      <c r="AW1322" s="550" t="s">
        <v>3859</v>
      </c>
      <c r="AX1322" s="541"/>
      <c r="AY1322" s="541"/>
      <c r="AZ1322" s="541"/>
      <c r="BA1322" s="541"/>
      <c r="BB1322" s="517"/>
      <c r="BC1322" s="399" t="str">
        <f t="shared" si="2"/>
        <v/>
      </c>
      <c r="BD1322" s="517"/>
      <c r="BE1322" s="567"/>
      <c r="BF1322" s="517"/>
      <c r="BG1322" s="570"/>
      <c r="BH1322" s="407"/>
      <c r="BI1322" s="407"/>
      <c r="BJ1322" s="543"/>
      <c r="BK1322" s="46">
        <f t="shared" si="1"/>
        <v>1</v>
      </c>
      <c r="BL1322" s="46">
        <f t="shared" si="3"/>
        <v>0</v>
      </c>
      <c r="BM1322" s="46">
        <f t="shared" si="4"/>
        <v>1</v>
      </c>
      <c r="BN1322" s="46">
        <f t="shared" si="5"/>
        <v>0</v>
      </c>
    </row>
    <row r="1323" spans="1:66" ht="12.75" customHeight="1">
      <c r="A1323" s="399">
        <v>1332</v>
      </c>
      <c r="B1323" s="399" t="s">
        <v>5079</v>
      </c>
      <c r="C1323" s="399" t="e">
        <f t="shared" ca="1" si="0"/>
        <v>#NAME?</v>
      </c>
      <c r="D1323" s="400" t="s">
        <v>4049</v>
      </c>
      <c r="E1323" s="399" t="s">
        <v>180</v>
      </c>
      <c r="F1323" s="400" t="s">
        <v>3855</v>
      </c>
      <c r="G1323" s="400"/>
      <c r="H1323" s="400"/>
      <c r="I1323" s="400"/>
      <c r="J1323" s="400"/>
      <c r="K1323" s="400">
        <v>1</v>
      </c>
      <c r="L1323" s="400" t="s">
        <v>3333</v>
      </c>
      <c r="M1323" s="402" t="s">
        <v>3489</v>
      </c>
      <c r="N1323" s="400"/>
      <c r="O1323" s="428" t="s">
        <v>3477</v>
      </c>
      <c r="P1323" s="428"/>
      <c r="Q1323" s="399" t="s">
        <v>4050</v>
      </c>
      <c r="R1323" s="428"/>
      <c r="S1323" s="399"/>
      <c r="T1323" s="399" t="s">
        <v>5080</v>
      </c>
      <c r="U1323" s="399"/>
      <c r="V1323" s="399"/>
      <c r="W1323" s="399" t="s">
        <v>4049</v>
      </c>
      <c r="X1323" s="399"/>
      <c r="Y1323" s="399" t="s">
        <v>208</v>
      </c>
      <c r="Z1323" s="399"/>
      <c r="AA1323" s="399" t="s">
        <v>113</v>
      </c>
      <c r="AB1323" s="399"/>
      <c r="AC1323" s="532"/>
      <c r="AD1323" s="400"/>
      <c r="AE1323" s="399"/>
      <c r="AF1323" s="399"/>
      <c r="AG1323" s="399"/>
      <c r="AH1323" s="532"/>
      <c r="AI1323" s="399"/>
      <c r="AJ1323" s="400"/>
      <c r="AK1323" s="399"/>
      <c r="AL1323" s="399"/>
      <c r="AM1323" s="399"/>
      <c r="AN1323" s="399"/>
      <c r="AO1323" s="399"/>
      <c r="AP1323" s="399"/>
      <c r="AQ1323" s="399"/>
      <c r="AR1323" s="399"/>
      <c r="AS1323" s="409" t="s">
        <v>3162</v>
      </c>
      <c r="AT1323" s="399"/>
      <c r="AU1323" s="399"/>
      <c r="AV1323" s="399">
        <v>63158009</v>
      </c>
      <c r="AW1323" s="550" t="s">
        <v>5083</v>
      </c>
      <c r="AX1323" s="541"/>
      <c r="AY1323" s="541"/>
      <c r="AZ1323" s="541"/>
      <c r="BA1323" s="541"/>
      <c r="BB1323" s="517"/>
      <c r="BC1323" s="399" t="e">
        <f t="shared" ca="1" si="2"/>
        <v>#NAME?</v>
      </c>
      <c r="BD1323" s="517"/>
      <c r="BE1323" s="567">
        <v>5632</v>
      </c>
      <c r="BF1323" s="517"/>
      <c r="BG1323" s="570"/>
      <c r="BH1323" s="407"/>
      <c r="BI1323" s="407">
        <v>63158009</v>
      </c>
      <c r="BJ1323" s="543"/>
      <c r="BK1323" s="46">
        <f t="shared" si="1"/>
        <v>1</v>
      </c>
      <c r="BL1323" s="46">
        <f t="shared" si="3"/>
        <v>1</v>
      </c>
      <c r="BM1323" s="46">
        <f t="shared" si="4"/>
        <v>0</v>
      </c>
      <c r="BN1323" s="46">
        <f t="shared" si="5"/>
        <v>0</v>
      </c>
    </row>
    <row r="1324" spans="1:66" ht="12.75" customHeight="1">
      <c r="A1324" s="399">
        <v>1333</v>
      </c>
      <c r="B1324" s="399" t="s">
        <v>3860</v>
      </c>
      <c r="C1324" s="399" t="e">
        <f t="shared" ca="1" si="0"/>
        <v>#NAME?</v>
      </c>
      <c r="D1324" s="400" t="s">
        <v>3863</v>
      </c>
      <c r="E1324" s="399" t="s">
        <v>180</v>
      </c>
      <c r="F1324" s="400" t="s">
        <v>3855</v>
      </c>
      <c r="G1324" s="400"/>
      <c r="H1324" s="400"/>
      <c r="I1324" s="400"/>
      <c r="J1324" s="400"/>
      <c r="K1324" s="400">
        <v>1</v>
      </c>
      <c r="L1324" s="400" t="s">
        <v>3333</v>
      </c>
      <c r="M1324" s="402" t="s">
        <v>3489</v>
      </c>
      <c r="N1324" s="400"/>
      <c r="O1324" s="428" t="s">
        <v>3477</v>
      </c>
      <c r="P1324" s="428"/>
      <c r="Q1324" s="399" t="s">
        <v>3861</v>
      </c>
      <c r="R1324" s="428"/>
      <c r="S1324" s="399"/>
      <c r="T1324" s="399" t="s">
        <v>3862</v>
      </c>
      <c r="U1324" s="399"/>
      <c r="V1324" s="399"/>
      <c r="W1324" s="399" t="s">
        <v>3863</v>
      </c>
      <c r="X1324" s="400"/>
      <c r="Y1324" s="399" t="s">
        <v>208</v>
      </c>
      <c r="Z1324" s="399"/>
      <c r="AA1324" s="399" t="s">
        <v>113</v>
      </c>
      <c r="AB1324" s="399"/>
      <c r="AC1324" s="532"/>
      <c r="AD1324" s="400"/>
      <c r="AE1324" s="399"/>
      <c r="AF1324" s="399"/>
      <c r="AG1324" s="399"/>
      <c r="AH1324" s="532"/>
      <c r="AI1324" s="399"/>
      <c r="AJ1324" s="400"/>
      <c r="AK1324" s="399"/>
      <c r="AL1324" s="399"/>
      <c r="AM1324" s="399"/>
      <c r="AN1324" s="399"/>
      <c r="AO1324" s="399"/>
      <c r="AP1324" s="399"/>
      <c r="AQ1324" s="399"/>
      <c r="AR1324" s="399"/>
      <c r="AS1324" s="409" t="s">
        <v>3162</v>
      </c>
      <c r="AT1324" s="399"/>
      <c r="AU1324" s="399"/>
      <c r="AV1324" s="399"/>
      <c r="AW1324" s="550" t="s">
        <v>3864</v>
      </c>
      <c r="AX1324" s="541"/>
      <c r="AY1324" s="541"/>
      <c r="AZ1324" s="541"/>
      <c r="BA1324" s="541"/>
      <c r="BB1324" s="517"/>
      <c r="BC1324" s="399" t="e">
        <f t="shared" ca="1" si="2"/>
        <v>#NAME?</v>
      </c>
      <c r="BD1324" s="517"/>
      <c r="BE1324" s="399"/>
      <c r="BF1324" s="399"/>
      <c r="BG1324" s="570"/>
      <c r="BH1324" s="407"/>
      <c r="BI1324" s="407"/>
      <c r="BJ1324" s="543"/>
      <c r="BK1324" s="46">
        <f t="shared" si="1"/>
        <v>1</v>
      </c>
      <c r="BL1324" s="46">
        <f t="shared" si="3"/>
        <v>1</v>
      </c>
      <c r="BM1324" s="46">
        <f t="shared" si="4"/>
        <v>0</v>
      </c>
      <c r="BN1324" s="46">
        <f t="shared" si="5"/>
        <v>0</v>
      </c>
    </row>
    <row r="1325" spans="1:66" ht="12.75" customHeight="1">
      <c r="A1325" s="399">
        <v>1334</v>
      </c>
      <c r="B1325" s="399" t="s">
        <v>3865</v>
      </c>
      <c r="C1325" s="399" t="e">
        <f t="shared" ca="1" si="0"/>
        <v>#NAME?</v>
      </c>
      <c r="D1325" s="400" t="s">
        <v>3868</v>
      </c>
      <c r="E1325" s="399" t="s">
        <v>180</v>
      </c>
      <c r="F1325" s="400" t="s">
        <v>3855</v>
      </c>
      <c r="G1325" s="400"/>
      <c r="H1325" s="400"/>
      <c r="I1325" s="400"/>
      <c r="J1325" s="400"/>
      <c r="K1325" s="400">
        <v>1</v>
      </c>
      <c r="L1325" s="400" t="s">
        <v>3333</v>
      </c>
      <c r="M1325" s="402" t="s">
        <v>3489</v>
      </c>
      <c r="N1325" s="400"/>
      <c r="O1325" s="428" t="s">
        <v>3477</v>
      </c>
      <c r="P1325" s="428"/>
      <c r="Q1325" s="399" t="s">
        <v>3866</v>
      </c>
      <c r="R1325" s="428"/>
      <c r="S1325" s="399"/>
      <c r="T1325" s="399" t="s">
        <v>3867</v>
      </c>
      <c r="U1325" s="399"/>
      <c r="V1325" s="399"/>
      <c r="W1325" s="399" t="s">
        <v>3868</v>
      </c>
      <c r="X1325" s="400"/>
      <c r="Y1325" s="399" t="s">
        <v>208</v>
      </c>
      <c r="Z1325" s="399"/>
      <c r="AA1325" s="399" t="s">
        <v>113</v>
      </c>
      <c r="AB1325" s="399"/>
      <c r="AC1325" s="532"/>
      <c r="AD1325" s="400"/>
      <c r="AE1325" s="399"/>
      <c r="AF1325" s="399"/>
      <c r="AG1325" s="399"/>
      <c r="AH1325" s="532"/>
      <c r="AI1325" s="399"/>
      <c r="AJ1325" s="400"/>
      <c r="AK1325" s="399"/>
      <c r="AL1325" s="399"/>
      <c r="AM1325" s="399"/>
      <c r="AN1325" s="399"/>
      <c r="AO1325" s="399"/>
      <c r="AP1325" s="399"/>
      <c r="AQ1325" s="399"/>
      <c r="AR1325" s="399"/>
      <c r="AS1325" s="409" t="s">
        <v>3162</v>
      </c>
      <c r="AT1325" s="399"/>
      <c r="AU1325" s="399"/>
      <c r="AV1325" s="409" t="s">
        <v>3871</v>
      </c>
      <c r="AW1325" s="550" t="s">
        <v>3870</v>
      </c>
      <c r="AX1325" s="541"/>
      <c r="AY1325" s="541"/>
      <c r="AZ1325" s="541"/>
      <c r="BA1325" s="541"/>
      <c r="BB1325" s="399"/>
      <c r="BC1325" s="399" t="e">
        <f t="shared" ca="1" si="2"/>
        <v>#NAME?</v>
      </c>
      <c r="BD1325" s="399"/>
      <c r="BE1325" s="399"/>
      <c r="BF1325" s="399"/>
      <c r="BG1325" s="540"/>
      <c r="BH1325" s="497"/>
      <c r="BI1325" s="497"/>
      <c r="BJ1325" s="547"/>
      <c r="BK1325" s="46">
        <f t="shared" si="1"/>
        <v>1</v>
      </c>
      <c r="BL1325" s="46">
        <f t="shared" si="3"/>
        <v>1</v>
      </c>
      <c r="BM1325" s="46">
        <f t="shared" si="4"/>
        <v>0</v>
      </c>
      <c r="BN1325" s="46">
        <f t="shared" si="5"/>
        <v>0</v>
      </c>
    </row>
    <row r="1326" spans="1:66" ht="12.75" customHeight="1">
      <c r="A1326" s="399">
        <v>1336</v>
      </c>
      <c r="B1326" s="399" t="s">
        <v>3872</v>
      </c>
      <c r="C1326" s="399" t="str">
        <f t="shared" si="0"/>
        <v>Date of delivery</v>
      </c>
      <c r="D1326" s="400" t="s">
        <v>3872</v>
      </c>
      <c r="E1326" s="399" t="s">
        <v>96</v>
      </c>
      <c r="F1326" s="400" t="s">
        <v>1787</v>
      </c>
      <c r="G1326" s="400"/>
      <c r="H1326" s="400"/>
      <c r="I1326" s="400"/>
      <c r="J1326" s="400"/>
      <c r="K1326" s="400">
        <v>1</v>
      </c>
      <c r="L1326" s="400" t="s">
        <v>3333</v>
      </c>
      <c r="M1326" s="402" t="s">
        <v>3489</v>
      </c>
      <c r="N1326" s="400"/>
      <c r="O1326" s="428" t="s">
        <v>3477</v>
      </c>
      <c r="P1326" s="428"/>
      <c r="Q1326" s="399" t="s">
        <v>3874</v>
      </c>
      <c r="R1326" s="428" t="s">
        <v>3872</v>
      </c>
      <c r="S1326" s="399"/>
      <c r="T1326" s="399" t="s">
        <v>3875</v>
      </c>
      <c r="U1326" s="399" t="s">
        <v>3158</v>
      </c>
      <c r="V1326" s="399"/>
      <c r="W1326" s="399"/>
      <c r="X1326" s="400"/>
      <c r="Y1326" s="399" t="s">
        <v>208</v>
      </c>
      <c r="Z1326" s="399"/>
      <c r="AA1326" s="399" t="s">
        <v>113</v>
      </c>
      <c r="AB1326" s="399" t="s">
        <v>3178</v>
      </c>
      <c r="AC1326" s="532" t="s">
        <v>3878</v>
      </c>
      <c r="AD1326" s="400"/>
      <c r="AE1326" s="399"/>
      <c r="AF1326" s="399"/>
      <c r="AG1326" s="399"/>
      <c r="AH1326" s="532"/>
      <c r="AI1326" s="399"/>
      <c r="AJ1326" s="400"/>
      <c r="AK1326" s="399"/>
      <c r="AL1326" s="399"/>
      <c r="AM1326" s="399"/>
      <c r="AN1326" s="399"/>
      <c r="AO1326" s="399"/>
      <c r="AP1326" s="399"/>
      <c r="AQ1326" s="399"/>
      <c r="AR1326" s="399"/>
      <c r="AS1326" s="409" t="s">
        <v>3880</v>
      </c>
      <c r="AT1326" s="399"/>
      <c r="AU1326" s="399"/>
      <c r="AV1326" s="399"/>
      <c r="AW1326" s="541"/>
      <c r="AX1326" s="541"/>
      <c r="AY1326" s="541"/>
      <c r="AZ1326" s="541"/>
      <c r="BA1326" s="541"/>
      <c r="BB1326" s="409"/>
      <c r="BC1326" s="399" t="str">
        <f t="shared" si="2"/>
        <v/>
      </c>
      <c r="BD1326" s="399"/>
      <c r="BE1326" s="399"/>
      <c r="BF1326" s="399"/>
      <c r="BG1326" s="540"/>
      <c r="BH1326" s="407"/>
      <c r="BI1326" s="407"/>
      <c r="BJ1326" s="543"/>
      <c r="BK1326" s="46">
        <f t="shared" si="1"/>
        <v>1</v>
      </c>
      <c r="BL1326" s="46">
        <f t="shared" si="3"/>
        <v>0</v>
      </c>
      <c r="BM1326" s="46">
        <f t="shared" si="4"/>
        <v>1</v>
      </c>
      <c r="BN1326" s="46">
        <f t="shared" si="5"/>
        <v>0</v>
      </c>
    </row>
    <row r="1327" spans="1:66" ht="12.75" customHeight="1">
      <c r="A1327" s="399">
        <v>1337</v>
      </c>
      <c r="B1327" s="399" t="s">
        <v>3884</v>
      </c>
      <c r="C1327" s="399" t="str">
        <f t="shared" si="0"/>
        <v>Time postpartum</v>
      </c>
      <c r="D1327" s="400" t="s">
        <v>3884</v>
      </c>
      <c r="E1327" s="399" t="s">
        <v>96</v>
      </c>
      <c r="F1327" s="400" t="s">
        <v>1787</v>
      </c>
      <c r="G1327" s="400"/>
      <c r="H1327" s="400"/>
      <c r="I1327" s="400"/>
      <c r="J1327" s="400"/>
      <c r="K1327" s="400">
        <v>1</v>
      </c>
      <c r="L1327" s="400" t="s">
        <v>3333</v>
      </c>
      <c r="M1327" s="402" t="s">
        <v>3489</v>
      </c>
      <c r="N1327" s="400"/>
      <c r="O1327" s="428" t="s">
        <v>3477</v>
      </c>
      <c r="P1327" s="428"/>
      <c r="Q1327" s="399" t="s">
        <v>3887</v>
      </c>
      <c r="R1327" s="428" t="s">
        <v>3884</v>
      </c>
      <c r="S1327" s="399"/>
      <c r="T1327" s="399" t="s">
        <v>3888</v>
      </c>
      <c r="U1327" s="399" t="s">
        <v>3158</v>
      </c>
      <c r="V1327" s="399"/>
      <c r="W1327" s="399"/>
      <c r="X1327" s="400"/>
      <c r="Y1327" s="399" t="s">
        <v>208</v>
      </c>
      <c r="Z1327" s="399"/>
      <c r="AA1327" s="399" t="s">
        <v>113</v>
      </c>
      <c r="AB1327" s="399" t="s">
        <v>3178</v>
      </c>
      <c r="AC1327" s="532" t="s">
        <v>3878</v>
      </c>
      <c r="AD1327" s="400"/>
      <c r="AE1327" s="399"/>
      <c r="AF1327" s="399"/>
      <c r="AG1327" s="399" t="s">
        <v>3889</v>
      </c>
      <c r="AH1327" s="532" t="s">
        <v>3890</v>
      </c>
      <c r="AI1327" s="399"/>
      <c r="AJ1327" s="400"/>
      <c r="AK1327" s="399"/>
      <c r="AL1327" s="399"/>
      <c r="AM1327" s="399"/>
      <c r="AN1327" s="399"/>
      <c r="AO1327" s="399"/>
      <c r="AP1327" s="399"/>
      <c r="AQ1327" s="399"/>
      <c r="AR1327" s="399"/>
      <c r="AS1327" s="399"/>
      <c r="AT1327" s="399"/>
      <c r="AU1327" s="399"/>
      <c r="AV1327" s="399">
        <v>86569001</v>
      </c>
      <c r="AW1327" s="541"/>
      <c r="AX1327" s="541"/>
      <c r="AY1327" s="541"/>
      <c r="AZ1327" s="541"/>
      <c r="BA1327" s="541"/>
      <c r="BB1327" s="399"/>
      <c r="BC1327" s="399" t="str">
        <f t="shared" si="2"/>
        <v/>
      </c>
      <c r="BD1327" s="399"/>
      <c r="BE1327" s="399"/>
      <c r="BF1327" s="399"/>
      <c r="BG1327" s="540"/>
      <c r="BH1327" s="407"/>
      <c r="BI1327" s="407">
        <v>86569001</v>
      </c>
      <c r="BJ1327" s="543"/>
      <c r="BK1327" s="46">
        <f t="shared" si="1"/>
        <v>1</v>
      </c>
      <c r="BL1327" s="46">
        <f t="shared" si="3"/>
        <v>0</v>
      </c>
      <c r="BM1327" s="46">
        <f t="shared" si="4"/>
        <v>1</v>
      </c>
      <c r="BN1327" s="46">
        <f t="shared" si="5"/>
        <v>0</v>
      </c>
    </row>
    <row r="1328" spans="1:66" ht="12.75" customHeight="1">
      <c r="A1328" s="399">
        <v>1338</v>
      </c>
      <c r="B1328" s="399" t="s">
        <v>3906</v>
      </c>
      <c r="C1328" s="399" t="str">
        <f t="shared" si="0"/>
        <v>Recent miscarriage or post-abortion</v>
      </c>
      <c r="D1328" s="400" t="s">
        <v>3906</v>
      </c>
      <c r="E1328" s="399" t="s">
        <v>96</v>
      </c>
      <c r="F1328" s="400" t="s">
        <v>1787</v>
      </c>
      <c r="G1328" s="400"/>
      <c r="H1328" s="400"/>
      <c r="I1328" s="400"/>
      <c r="J1328" s="400"/>
      <c r="K1328" s="400">
        <v>1</v>
      </c>
      <c r="L1328" s="400" t="s">
        <v>3333</v>
      </c>
      <c r="M1328" s="402" t="s">
        <v>3489</v>
      </c>
      <c r="N1328" s="400"/>
      <c r="O1328" s="428" t="s">
        <v>3477</v>
      </c>
      <c r="P1328" s="428"/>
      <c r="Q1328" s="399" t="s">
        <v>3907</v>
      </c>
      <c r="R1328" s="428" t="s">
        <v>3906</v>
      </c>
      <c r="S1328" s="399"/>
      <c r="T1328" s="399" t="s">
        <v>3908</v>
      </c>
      <c r="U1328" s="399" t="s">
        <v>3169</v>
      </c>
      <c r="V1328" s="399"/>
      <c r="W1328" s="399" t="s">
        <v>3170</v>
      </c>
      <c r="X1328" s="400"/>
      <c r="Y1328" s="399" t="s">
        <v>208</v>
      </c>
      <c r="Z1328" s="399"/>
      <c r="AA1328" s="399" t="s">
        <v>113</v>
      </c>
      <c r="AB1328" s="399" t="s">
        <v>3178</v>
      </c>
      <c r="AC1328" s="532"/>
      <c r="AD1328" s="400"/>
      <c r="AE1328" s="399"/>
      <c r="AF1328" s="399"/>
      <c r="AG1328" s="399"/>
      <c r="AH1328" s="532"/>
      <c r="AI1328" s="399"/>
      <c r="AJ1328" s="400"/>
      <c r="AK1328" s="399"/>
      <c r="AL1328" s="399"/>
      <c r="AM1328" s="399"/>
      <c r="AN1328" s="399"/>
      <c r="AO1328" s="399"/>
      <c r="AP1328" s="399"/>
      <c r="AQ1328" s="399"/>
      <c r="AR1328" s="399"/>
      <c r="AS1328" s="409" t="s">
        <v>3909</v>
      </c>
      <c r="AT1328" s="399"/>
      <c r="AU1328" s="399"/>
      <c r="AV1328" s="409" t="s">
        <v>3913</v>
      </c>
      <c r="AW1328" s="571" t="s">
        <v>5106</v>
      </c>
      <c r="AX1328" s="541"/>
      <c r="AY1328" s="541"/>
      <c r="AZ1328" s="541"/>
      <c r="BA1328" s="541"/>
      <c r="BB1328" s="438" t="str">
        <f>HYPERLINK("https://github.com/who-int/Data-Dictionary-Mapping/issues/21","21")</f>
        <v>21</v>
      </c>
      <c r="BC1328" s="399" t="str">
        <f t="shared" si="2"/>
        <v/>
      </c>
      <c r="BD1328" s="399"/>
      <c r="BE1328" s="399"/>
      <c r="BF1328" s="399"/>
      <c r="BG1328" s="540"/>
      <c r="BH1328" s="407"/>
      <c r="BI1328" s="407"/>
      <c r="BJ1328" s="543"/>
      <c r="BK1328" s="46">
        <f t="shared" si="1"/>
        <v>1</v>
      </c>
      <c r="BL1328" s="46">
        <f t="shared" si="3"/>
        <v>0</v>
      </c>
      <c r="BM1328" s="46">
        <f t="shared" si="4"/>
        <v>1</v>
      </c>
      <c r="BN1328" s="46">
        <f t="shared" si="5"/>
        <v>0</v>
      </c>
    </row>
    <row r="1329" spans="1:66" ht="12.75" customHeight="1">
      <c r="A1329" s="399">
        <v>1339</v>
      </c>
      <c r="B1329" s="399" t="s">
        <v>3931</v>
      </c>
      <c r="C1329" s="399" t="str">
        <f t="shared" si="0"/>
        <v>Miscarriage or abortion stage of pregnancy</v>
      </c>
      <c r="D1329" s="400" t="s">
        <v>3931</v>
      </c>
      <c r="E1329" s="399" t="s">
        <v>96</v>
      </c>
      <c r="F1329" s="400" t="s">
        <v>1787</v>
      </c>
      <c r="G1329" s="400"/>
      <c r="H1329" s="400"/>
      <c r="I1329" s="400"/>
      <c r="J1329" s="400"/>
      <c r="K1329" s="400">
        <v>1</v>
      </c>
      <c r="L1329" s="400" t="s">
        <v>3333</v>
      </c>
      <c r="M1329" s="402" t="s">
        <v>3489</v>
      </c>
      <c r="N1329" s="400"/>
      <c r="O1329" s="428" t="s">
        <v>3477</v>
      </c>
      <c r="P1329" s="428"/>
      <c r="Q1329" s="399" t="s">
        <v>3932</v>
      </c>
      <c r="R1329" s="428" t="s">
        <v>3931</v>
      </c>
      <c r="S1329" s="399"/>
      <c r="T1329" s="399" t="s">
        <v>3933</v>
      </c>
      <c r="U1329" s="399" t="s">
        <v>4694</v>
      </c>
      <c r="V1329" s="399"/>
      <c r="W1329" s="399"/>
      <c r="X1329" s="399"/>
      <c r="Y1329" s="399" t="s">
        <v>208</v>
      </c>
      <c r="Z1329" s="399"/>
      <c r="AA1329" s="399" t="s">
        <v>113</v>
      </c>
      <c r="AB1329" s="399" t="s">
        <v>3178</v>
      </c>
      <c r="AC1329" s="532" t="s">
        <v>5113</v>
      </c>
      <c r="AD1329" s="400"/>
      <c r="AE1329" s="399"/>
      <c r="AF1329" s="399"/>
      <c r="AG1329" s="399"/>
      <c r="AH1329" s="532"/>
      <c r="AI1329" s="399"/>
      <c r="AJ1329" s="400"/>
      <c r="AK1329" s="399"/>
      <c r="AL1329" s="399"/>
      <c r="AM1329" s="399"/>
      <c r="AN1329" s="399"/>
      <c r="AO1329" s="399"/>
      <c r="AP1329" s="399"/>
      <c r="AQ1329" s="399"/>
      <c r="AR1329" s="399"/>
      <c r="AS1329" s="409" t="s">
        <v>5114</v>
      </c>
      <c r="AT1329" s="399"/>
      <c r="AU1329" s="399"/>
      <c r="AV1329" s="399"/>
      <c r="AW1329" s="541"/>
      <c r="AX1329" s="541"/>
      <c r="AY1329" s="541"/>
      <c r="AZ1329" s="541"/>
      <c r="BA1329" s="541"/>
      <c r="BB1329" s="399"/>
      <c r="BC1329" s="399" t="str">
        <f t="shared" si="2"/>
        <v/>
      </c>
      <c r="BD1329" s="399"/>
      <c r="BE1329" s="399"/>
      <c r="BF1329" s="399"/>
      <c r="BG1329" s="540"/>
      <c r="BH1329" s="407"/>
      <c r="BI1329" s="407"/>
      <c r="BJ1329" s="543"/>
      <c r="BK1329" s="46">
        <f t="shared" si="1"/>
        <v>1</v>
      </c>
      <c r="BL1329" s="46">
        <f t="shared" si="3"/>
        <v>0</v>
      </c>
      <c r="BM1329" s="46">
        <f t="shared" si="4"/>
        <v>1</v>
      </c>
      <c r="BN1329" s="46">
        <f t="shared" si="5"/>
        <v>0</v>
      </c>
    </row>
    <row r="1330" spans="1:66" ht="12.75" customHeight="1">
      <c r="A1330" s="399">
        <v>1340</v>
      </c>
      <c r="B1330" s="399" t="s">
        <v>3935</v>
      </c>
      <c r="C1330" s="399" t="e">
        <f t="shared" ca="1" si="0"/>
        <v>#NAME?</v>
      </c>
      <c r="D1330" s="400" t="s">
        <v>3938</v>
      </c>
      <c r="E1330" s="399" t="s">
        <v>180</v>
      </c>
      <c r="F1330" s="400" t="s">
        <v>3931</v>
      </c>
      <c r="G1330" s="400"/>
      <c r="H1330" s="400"/>
      <c r="I1330" s="400"/>
      <c r="J1330" s="400"/>
      <c r="K1330" s="400">
        <v>1</v>
      </c>
      <c r="L1330" s="400" t="s">
        <v>3333</v>
      </c>
      <c r="M1330" s="402" t="s">
        <v>3489</v>
      </c>
      <c r="N1330" s="400"/>
      <c r="O1330" s="428" t="s">
        <v>3477</v>
      </c>
      <c r="P1330" s="428"/>
      <c r="Q1330" s="399" t="s">
        <v>3936</v>
      </c>
      <c r="R1330" s="428"/>
      <c r="S1330" s="399"/>
      <c r="T1330" s="399" t="s">
        <v>3937</v>
      </c>
      <c r="U1330" s="399"/>
      <c r="V1330" s="399"/>
      <c r="W1330" s="399" t="s">
        <v>3938</v>
      </c>
      <c r="X1330" s="400"/>
      <c r="Y1330" s="399" t="s">
        <v>208</v>
      </c>
      <c r="Z1330" s="399"/>
      <c r="AA1330" s="399" t="s">
        <v>113</v>
      </c>
      <c r="AB1330" s="493"/>
      <c r="AC1330" s="564"/>
      <c r="AD1330" s="400"/>
      <c r="AE1330" s="399"/>
      <c r="AF1330" s="399"/>
      <c r="AG1330" s="399"/>
      <c r="AH1330" s="532"/>
      <c r="AI1330" s="399"/>
      <c r="AJ1330" s="400"/>
      <c r="AK1330" s="399"/>
      <c r="AL1330" s="399"/>
      <c r="AM1330" s="399"/>
      <c r="AN1330" s="399"/>
      <c r="AO1330" s="399"/>
      <c r="AP1330" s="399"/>
      <c r="AQ1330" s="399"/>
      <c r="AR1330" s="399"/>
      <c r="AS1330" s="409" t="s">
        <v>3162</v>
      </c>
      <c r="AT1330" s="399"/>
      <c r="AU1330" s="399"/>
      <c r="AV1330" s="409" t="s">
        <v>3941</v>
      </c>
      <c r="AW1330" s="541"/>
      <c r="AX1330" s="541"/>
      <c r="AY1330" s="541"/>
      <c r="AZ1330" s="541"/>
      <c r="BA1330" s="541"/>
      <c r="BB1330" s="400"/>
      <c r="BC1330" s="399" t="e">
        <f t="shared" ca="1" si="2"/>
        <v>#NAME?</v>
      </c>
      <c r="BD1330" s="400">
        <v>1721</v>
      </c>
      <c r="BE1330" s="400"/>
      <c r="BF1330" s="400"/>
      <c r="BG1330" s="540" t="s">
        <v>3942</v>
      </c>
      <c r="BH1330" s="407"/>
      <c r="BI1330" s="407" t="s">
        <v>5120</v>
      </c>
      <c r="BJ1330" s="543"/>
      <c r="BK1330" s="46">
        <f t="shared" si="1"/>
        <v>1</v>
      </c>
      <c r="BL1330" s="46">
        <f t="shared" si="3"/>
        <v>1</v>
      </c>
      <c r="BM1330" s="46">
        <f t="shared" si="4"/>
        <v>0</v>
      </c>
      <c r="BN1330" s="46">
        <f t="shared" si="5"/>
        <v>0</v>
      </c>
    </row>
    <row r="1331" spans="1:66" ht="12.75" customHeight="1">
      <c r="A1331" s="399">
        <v>1341</v>
      </c>
      <c r="B1331" s="399" t="s">
        <v>3943</v>
      </c>
      <c r="C1331" s="399" t="e">
        <f t="shared" ca="1" si="0"/>
        <v>#NAME?</v>
      </c>
      <c r="D1331" s="400" t="s">
        <v>3946</v>
      </c>
      <c r="E1331" s="399" t="s">
        <v>180</v>
      </c>
      <c r="F1331" s="400" t="s">
        <v>3931</v>
      </c>
      <c r="G1331" s="400"/>
      <c r="H1331" s="400"/>
      <c r="I1331" s="400"/>
      <c r="J1331" s="400"/>
      <c r="K1331" s="400">
        <v>1</v>
      </c>
      <c r="L1331" s="400" t="s">
        <v>3333</v>
      </c>
      <c r="M1331" s="402" t="s">
        <v>3489</v>
      </c>
      <c r="N1331" s="400"/>
      <c r="O1331" s="428" t="s">
        <v>3477</v>
      </c>
      <c r="P1331" s="428"/>
      <c r="Q1331" s="399" t="s">
        <v>3944</v>
      </c>
      <c r="R1331" s="428"/>
      <c r="S1331" s="399"/>
      <c r="T1331" s="399" t="s">
        <v>3945</v>
      </c>
      <c r="U1331" s="399"/>
      <c r="V1331" s="399"/>
      <c r="W1331" s="399" t="s">
        <v>3946</v>
      </c>
      <c r="X1331" s="400"/>
      <c r="Y1331" s="399" t="s">
        <v>208</v>
      </c>
      <c r="Z1331" s="399"/>
      <c r="AA1331" s="399" t="s">
        <v>113</v>
      </c>
      <c r="AB1331" s="493"/>
      <c r="AC1331" s="564"/>
      <c r="AD1331" s="400"/>
      <c r="AE1331" s="399"/>
      <c r="AF1331" s="399"/>
      <c r="AG1331" s="399"/>
      <c r="AH1331" s="532"/>
      <c r="AI1331" s="399"/>
      <c r="AJ1331" s="400"/>
      <c r="AK1331" s="399"/>
      <c r="AL1331" s="399"/>
      <c r="AM1331" s="399"/>
      <c r="AN1331" s="399"/>
      <c r="AO1331" s="399"/>
      <c r="AP1331" s="399"/>
      <c r="AQ1331" s="399"/>
      <c r="AR1331" s="399"/>
      <c r="AS1331" s="409" t="s">
        <v>3162</v>
      </c>
      <c r="AT1331" s="399"/>
      <c r="AU1331" s="399"/>
      <c r="AV1331" s="409" t="s">
        <v>3949</v>
      </c>
      <c r="AW1331" s="541"/>
      <c r="AX1331" s="541"/>
      <c r="AY1331" s="541"/>
      <c r="AZ1331" s="541"/>
      <c r="BA1331" s="541"/>
      <c r="BB1331" s="400"/>
      <c r="BC1331" s="399" t="e">
        <f t="shared" ca="1" si="2"/>
        <v>#NAME?</v>
      </c>
      <c r="BD1331" s="400">
        <v>1722</v>
      </c>
      <c r="BE1331" s="400"/>
      <c r="BF1331" s="400"/>
      <c r="BG1331" s="540" t="s">
        <v>3950</v>
      </c>
      <c r="BH1331" s="407"/>
      <c r="BI1331" s="407" t="s">
        <v>5123</v>
      </c>
      <c r="BJ1331" s="543"/>
      <c r="BK1331" s="46">
        <f t="shared" si="1"/>
        <v>1</v>
      </c>
      <c r="BL1331" s="46">
        <f t="shared" si="3"/>
        <v>1</v>
      </c>
      <c r="BM1331" s="46">
        <f t="shared" si="4"/>
        <v>0</v>
      </c>
      <c r="BN1331" s="46">
        <f t="shared" si="5"/>
        <v>0</v>
      </c>
    </row>
    <row r="1332" spans="1:66" ht="12.75" customHeight="1">
      <c r="A1332" s="399">
        <v>1342</v>
      </c>
      <c r="B1332" s="399" t="s">
        <v>3951</v>
      </c>
      <c r="C1332" s="399" t="e">
        <f t="shared" ca="1" si="0"/>
        <v>#NAME?</v>
      </c>
      <c r="D1332" s="400" t="s">
        <v>3954</v>
      </c>
      <c r="E1332" s="399" t="s">
        <v>180</v>
      </c>
      <c r="F1332" s="400" t="s">
        <v>3931</v>
      </c>
      <c r="G1332" s="400"/>
      <c r="H1332" s="400"/>
      <c r="I1332" s="400"/>
      <c r="J1332" s="400"/>
      <c r="K1332" s="400">
        <v>1</v>
      </c>
      <c r="L1332" s="400" t="s">
        <v>3333</v>
      </c>
      <c r="M1332" s="402" t="s">
        <v>3489</v>
      </c>
      <c r="N1332" s="400"/>
      <c r="O1332" s="428" t="s">
        <v>3477</v>
      </c>
      <c r="P1332" s="428"/>
      <c r="Q1332" s="399" t="s">
        <v>3952</v>
      </c>
      <c r="R1332" s="428"/>
      <c r="S1332" s="399"/>
      <c r="T1332" s="399" t="s">
        <v>3937</v>
      </c>
      <c r="U1332" s="399"/>
      <c r="V1332" s="399"/>
      <c r="W1332" s="399" t="s">
        <v>3954</v>
      </c>
      <c r="X1332" s="400"/>
      <c r="Y1332" s="399" t="s">
        <v>208</v>
      </c>
      <c r="Z1332" s="399"/>
      <c r="AA1332" s="399" t="s">
        <v>113</v>
      </c>
      <c r="AB1332" s="493"/>
      <c r="AC1332" s="564"/>
      <c r="AD1332" s="400"/>
      <c r="AE1332" s="399"/>
      <c r="AF1332" s="399"/>
      <c r="AG1332" s="399"/>
      <c r="AH1332" s="532"/>
      <c r="AI1332" s="399"/>
      <c r="AJ1332" s="400"/>
      <c r="AK1332" s="399"/>
      <c r="AL1332" s="399"/>
      <c r="AM1332" s="399"/>
      <c r="AN1332" s="399"/>
      <c r="AO1332" s="399"/>
      <c r="AP1332" s="399"/>
      <c r="AQ1332" s="399"/>
      <c r="AR1332" s="399"/>
      <c r="AS1332" s="409" t="s">
        <v>3955</v>
      </c>
      <c r="AT1332" s="399"/>
      <c r="AU1332" s="399"/>
      <c r="AV1332" s="409" t="s">
        <v>3959</v>
      </c>
      <c r="AW1332" s="541"/>
      <c r="AX1332" s="541"/>
      <c r="AY1332" s="541"/>
      <c r="AZ1332" s="541"/>
      <c r="BA1332" s="541"/>
      <c r="BB1332" s="572" t="str">
        <f>HYPERLINK("https://github.com/who-int/Data-Dictionary-Mapping/issues/22","22")</f>
        <v>22</v>
      </c>
      <c r="BC1332" s="399" t="e">
        <f t="shared" ca="1" si="2"/>
        <v>#NAME?</v>
      </c>
      <c r="BD1332" s="400">
        <v>1723</v>
      </c>
      <c r="BE1332" s="400"/>
      <c r="BF1332" s="400"/>
      <c r="BG1332" s="540" t="s">
        <v>3961</v>
      </c>
      <c r="BH1332" s="552"/>
      <c r="BI1332" s="552" t="s">
        <v>5128</v>
      </c>
      <c r="BJ1332" s="543"/>
      <c r="BK1332" s="46">
        <f t="shared" si="1"/>
        <v>1</v>
      </c>
      <c r="BL1332" s="46">
        <f t="shared" si="3"/>
        <v>1</v>
      </c>
      <c r="BM1332" s="46">
        <f t="shared" si="4"/>
        <v>0</v>
      </c>
      <c r="BN1332" s="46">
        <f t="shared" si="5"/>
        <v>0</v>
      </c>
    </row>
    <row r="1333" spans="1:66" ht="12.75" customHeight="1">
      <c r="A1333" s="399">
        <v>1343</v>
      </c>
      <c r="B1333" s="399" t="s">
        <v>3962</v>
      </c>
      <c r="C1333" s="399" t="str">
        <f t="shared" si="0"/>
        <v>Start date of last normal menses</v>
      </c>
      <c r="D1333" s="400" t="s">
        <v>3962</v>
      </c>
      <c r="E1333" s="399" t="s">
        <v>96</v>
      </c>
      <c r="F1333" s="400" t="s">
        <v>1787</v>
      </c>
      <c r="G1333" s="400"/>
      <c r="H1333" s="400"/>
      <c r="I1333" s="400"/>
      <c r="J1333" s="400"/>
      <c r="K1333" s="400">
        <v>1</v>
      </c>
      <c r="L1333" s="400" t="s">
        <v>3333</v>
      </c>
      <c r="M1333" s="402" t="s">
        <v>3489</v>
      </c>
      <c r="N1333" s="400"/>
      <c r="O1333" s="428" t="s">
        <v>3477</v>
      </c>
      <c r="P1333" s="428"/>
      <c r="Q1333" s="399" t="s">
        <v>3964</v>
      </c>
      <c r="R1333" s="428" t="s">
        <v>3962</v>
      </c>
      <c r="S1333" s="399"/>
      <c r="T1333" s="399" t="s">
        <v>3965</v>
      </c>
      <c r="U1333" s="399" t="s">
        <v>140</v>
      </c>
      <c r="V1333" s="399"/>
      <c r="W1333" s="399"/>
      <c r="X1333" s="400"/>
      <c r="Y1333" s="399" t="s">
        <v>208</v>
      </c>
      <c r="Z1333" s="399"/>
      <c r="AA1333" s="399" t="s">
        <v>113</v>
      </c>
      <c r="AB1333" s="399" t="s">
        <v>3178</v>
      </c>
      <c r="AC1333" s="532" t="s">
        <v>5130</v>
      </c>
      <c r="AD1333" s="400"/>
      <c r="AE1333" s="399"/>
      <c r="AF1333" s="399"/>
      <c r="AG1333" s="399"/>
      <c r="AH1333" s="532"/>
      <c r="AI1333" s="399"/>
      <c r="AJ1333" s="400"/>
      <c r="AK1333" s="399"/>
      <c r="AL1333" s="399"/>
      <c r="AM1333" s="399"/>
      <c r="AN1333" s="399"/>
      <c r="AO1333" s="399"/>
      <c r="AP1333" s="399"/>
      <c r="AQ1333" s="399"/>
      <c r="AR1333" s="399"/>
      <c r="AS1333" s="409" t="s">
        <v>3968</v>
      </c>
      <c r="AT1333" s="553"/>
      <c r="AU1333" s="553"/>
      <c r="AV1333" s="553"/>
      <c r="AW1333" s="541"/>
      <c r="AX1333" s="541"/>
      <c r="AY1333" s="541"/>
      <c r="AZ1333" s="541"/>
      <c r="BA1333" s="541"/>
      <c r="BB1333" s="399"/>
      <c r="BC1333" s="399" t="str">
        <f t="shared" si="2"/>
        <v/>
      </c>
      <c r="BD1333" s="553"/>
      <c r="BE1333" s="399"/>
      <c r="BF1333" s="399"/>
      <c r="BG1333" s="540"/>
      <c r="BH1333" s="573"/>
      <c r="BI1333" s="554"/>
      <c r="BJ1333" s="543"/>
      <c r="BK1333" s="46">
        <f t="shared" si="1"/>
        <v>1</v>
      </c>
      <c r="BL1333" s="46">
        <f t="shared" si="3"/>
        <v>0</v>
      </c>
      <c r="BM1333" s="46">
        <f t="shared" si="4"/>
        <v>1</v>
      </c>
      <c r="BN1333" s="46">
        <f t="shared" si="5"/>
        <v>0</v>
      </c>
    </row>
    <row r="1334" spans="1:66" ht="12.75" customHeight="1">
      <c r="A1334" s="399">
        <v>1344</v>
      </c>
      <c r="B1334" s="399" t="s">
        <v>3970</v>
      </c>
      <c r="C1334" s="399" t="str">
        <f t="shared" si="0"/>
        <v>Missed or late menses</v>
      </c>
      <c r="D1334" s="400" t="s">
        <v>3970</v>
      </c>
      <c r="E1334" s="399" t="s">
        <v>96</v>
      </c>
      <c r="F1334" s="400" t="s">
        <v>1787</v>
      </c>
      <c r="G1334" s="400"/>
      <c r="H1334" s="400"/>
      <c r="I1334" s="400"/>
      <c r="J1334" s="400"/>
      <c r="K1334" s="400">
        <v>1</v>
      </c>
      <c r="L1334" s="400" t="s">
        <v>3333</v>
      </c>
      <c r="M1334" s="402" t="s">
        <v>3489</v>
      </c>
      <c r="N1334" s="400"/>
      <c r="O1334" s="428" t="s">
        <v>3477</v>
      </c>
      <c r="P1334" s="428"/>
      <c r="Q1334" s="399" t="s">
        <v>3971</v>
      </c>
      <c r="R1334" s="428" t="s">
        <v>3970</v>
      </c>
      <c r="S1334" s="399"/>
      <c r="T1334" s="399" t="s">
        <v>3972</v>
      </c>
      <c r="U1334" s="399" t="s">
        <v>3169</v>
      </c>
      <c r="V1334" s="399"/>
      <c r="W1334" s="399" t="s">
        <v>3170</v>
      </c>
      <c r="X1334" s="400"/>
      <c r="Y1334" s="517" t="s">
        <v>113</v>
      </c>
      <c r="Z1334" s="399" t="s">
        <v>5132</v>
      </c>
      <c r="AA1334" s="399" t="s">
        <v>113</v>
      </c>
      <c r="AB1334" s="399" t="s">
        <v>3178</v>
      </c>
      <c r="AC1334" s="532"/>
      <c r="AD1334" s="400"/>
      <c r="AE1334" s="399"/>
      <c r="AF1334" s="399"/>
      <c r="AG1334" s="399"/>
      <c r="AH1334" s="532"/>
      <c r="AI1334" s="399"/>
      <c r="AJ1334" s="400"/>
      <c r="AK1334" s="399"/>
      <c r="AL1334" s="399"/>
      <c r="AM1334" s="399"/>
      <c r="AN1334" s="399"/>
      <c r="AO1334" s="399"/>
      <c r="AP1334" s="399"/>
      <c r="AQ1334" s="399"/>
      <c r="AR1334" s="399"/>
      <c r="AS1334" s="409" t="s">
        <v>3975</v>
      </c>
      <c r="AT1334" s="399"/>
      <c r="AU1334" s="399"/>
      <c r="AV1334" s="409" t="s">
        <v>5134</v>
      </c>
      <c r="AW1334" s="550" t="s">
        <v>3977</v>
      </c>
      <c r="AX1334" s="541"/>
      <c r="AY1334" s="541"/>
      <c r="AZ1334" s="541"/>
      <c r="BA1334" s="541"/>
      <c r="BB1334" s="438" t="str">
        <f>HYPERLINK("https://github.com/who-int/Data-Dictionary-Mapping/issues/23","23")</f>
        <v>23</v>
      </c>
      <c r="BC1334" s="399" t="str">
        <f t="shared" si="2"/>
        <v/>
      </c>
      <c r="BD1334" s="399"/>
      <c r="BE1334" s="399"/>
      <c r="BF1334" s="399"/>
      <c r="BG1334" s="540"/>
      <c r="BH1334" s="552"/>
      <c r="BI1334" s="552"/>
      <c r="BJ1334" s="543"/>
      <c r="BK1334" s="46">
        <f t="shared" si="1"/>
        <v>1</v>
      </c>
      <c r="BL1334" s="46">
        <f t="shared" si="3"/>
        <v>0</v>
      </c>
      <c r="BM1334" s="46">
        <f t="shared" si="4"/>
        <v>1</v>
      </c>
      <c r="BN1334" s="46">
        <f t="shared" si="5"/>
        <v>0</v>
      </c>
    </row>
    <row r="1335" spans="1:66" ht="12.75" customHeight="1">
      <c r="A1335" s="399">
        <v>1345</v>
      </c>
      <c r="B1335" s="399" t="s">
        <v>3985</v>
      </c>
      <c r="C1335" s="399" t="str">
        <f t="shared" si="0"/>
        <v>Days since last normal menses</v>
      </c>
      <c r="D1335" s="400" t="s">
        <v>3985</v>
      </c>
      <c r="E1335" s="399" t="s">
        <v>96</v>
      </c>
      <c r="F1335" s="400" t="s">
        <v>1787</v>
      </c>
      <c r="G1335" s="400"/>
      <c r="H1335" s="400"/>
      <c r="I1335" s="400"/>
      <c r="J1335" s="400"/>
      <c r="K1335" s="400">
        <v>1</v>
      </c>
      <c r="L1335" s="400" t="s">
        <v>3333</v>
      </c>
      <c r="M1335" s="402" t="s">
        <v>3489</v>
      </c>
      <c r="N1335" s="400"/>
      <c r="O1335" s="428" t="s">
        <v>3477</v>
      </c>
      <c r="P1335" s="428"/>
      <c r="Q1335" s="399" t="s">
        <v>3981</v>
      </c>
      <c r="R1335" s="574" t="s">
        <v>3985</v>
      </c>
      <c r="S1335" s="399"/>
      <c r="T1335" s="400"/>
      <c r="U1335" s="399" t="s">
        <v>168</v>
      </c>
      <c r="V1335" s="565"/>
      <c r="W1335" s="565"/>
      <c r="X1335" s="517"/>
      <c r="Y1335" s="399" t="s">
        <v>208</v>
      </c>
      <c r="Z1335" s="399"/>
      <c r="AA1335" s="399" t="s">
        <v>113</v>
      </c>
      <c r="AB1335" s="399" t="s">
        <v>3178</v>
      </c>
      <c r="AC1335" s="532"/>
      <c r="AD1335" s="400"/>
      <c r="AE1335" s="399"/>
      <c r="AF1335" s="399"/>
      <c r="AG1335" s="399"/>
      <c r="AH1335" s="532"/>
      <c r="AI1335" s="399"/>
      <c r="AJ1335" s="400"/>
      <c r="AK1335" s="399"/>
      <c r="AL1335" s="399"/>
      <c r="AM1335" s="399"/>
      <c r="AN1335" s="399"/>
      <c r="AO1335" s="399"/>
      <c r="AP1335" s="399"/>
      <c r="AQ1335" s="399"/>
      <c r="AR1335" s="399"/>
      <c r="AS1335" s="409" t="s">
        <v>5142</v>
      </c>
      <c r="AT1335" s="553"/>
      <c r="AU1335" s="553"/>
      <c r="AV1335" s="553"/>
      <c r="AW1335" s="541"/>
      <c r="AX1335" s="541"/>
      <c r="AY1335" s="541"/>
      <c r="AZ1335" s="541"/>
      <c r="BA1335" s="541"/>
      <c r="BB1335" s="409" t="s">
        <v>4063</v>
      </c>
      <c r="BC1335" s="399" t="str">
        <f t="shared" si="2"/>
        <v/>
      </c>
      <c r="BD1335" s="553"/>
      <c r="BE1335" s="399"/>
      <c r="BF1335" s="399"/>
      <c r="BG1335" s="540"/>
      <c r="BH1335" s="573"/>
      <c r="BI1335" s="554"/>
      <c r="BJ1335" s="543"/>
      <c r="BK1335" s="46">
        <f t="shared" si="1"/>
        <v>1</v>
      </c>
      <c r="BL1335" s="46">
        <f t="shared" si="3"/>
        <v>0</v>
      </c>
      <c r="BM1335" s="46">
        <f t="shared" si="4"/>
        <v>1</v>
      </c>
      <c r="BN1335" s="46">
        <f t="shared" si="5"/>
        <v>0</v>
      </c>
    </row>
    <row r="1336" spans="1:66" ht="12.75" customHeight="1">
      <c r="A1336" s="399">
        <v>1346</v>
      </c>
      <c r="B1336" s="399" t="s">
        <v>4030</v>
      </c>
      <c r="C1336" s="399" t="str">
        <f t="shared" si="0"/>
        <v>Intercourse since last normal menses</v>
      </c>
      <c r="D1336" s="400" t="s">
        <v>4030</v>
      </c>
      <c r="E1336" s="399" t="s">
        <v>96</v>
      </c>
      <c r="F1336" s="400" t="s">
        <v>1787</v>
      </c>
      <c r="G1336" s="400"/>
      <c r="H1336" s="400"/>
      <c r="I1336" s="400"/>
      <c r="J1336" s="400"/>
      <c r="K1336" s="400">
        <v>1</v>
      </c>
      <c r="L1336" s="400" t="s">
        <v>3333</v>
      </c>
      <c r="M1336" s="402" t="s">
        <v>3489</v>
      </c>
      <c r="N1336" s="400"/>
      <c r="O1336" s="428" t="s">
        <v>3477</v>
      </c>
      <c r="P1336" s="428"/>
      <c r="Q1336" s="399" t="s">
        <v>4031</v>
      </c>
      <c r="R1336" s="574" t="s">
        <v>4030</v>
      </c>
      <c r="S1336" s="399"/>
      <c r="T1336" s="400"/>
      <c r="U1336" s="399" t="s">
        <v>3169</v>
      </c>
      <c r="V1336" s="565"/>
      <c r="W1336" s="565" t="s">
        <v>3170</v>
      </c>
      <c r="X1336" s="517"/>
      <c r="Y1336" s="399" t="s">
        <v>208</v>
      </c>
      <c r="Z1336" s="399"/>
      <c r="AA1336" s="399" t="s">
        <v>113</v>
      </c>
      <c r="AB1336" s="399" t="s">
        <v>3178</v>
      </c>
      <c r="AC1336" s="532" t="s">
        <v>4032</v>
      </c>
      <c r="AD1336" s="400" t="s">
        <v>4033</v>
      </c>
      <c r="AE1336" s="399"/>
      <c r="AF1336" s="399"/>
      <c r="AG1336" s="399"/>
      <c r="AH1336" s="532"/>
      <c r="AI1336" s="399"/>
      <c r="AJ1336" s="400"/>
      <c r="AK1336" s="399"/>
      <c r="AL1336" s="399"/>
      <c r="AM1336" s="399"/>
      <c r="AN1336" s="399"/>
      <c r="AO1336" s="399"/>
      <c r="AP1336" s="399"/>
      <c r="AQ1336" s="399"/>
      <c r="AR1336" s="399"/>
      <c r="AS1336" s="409" t="s">
        <v>4035</v>
      </c>
      <c r="AT1336" s="399"/>
      <c r="AU1336" s="399"/>
      <c r="AV1336" s="399"/>
      <c r="AW1336" s="541"/>
      <c r="AX1336" s="541"/>
      <c r="AY1336" s="541"/>
      <c r="AZ1336" s="541"/>
      <c r="BA1336" s="541"/>
      <c r="BB1336" s="409" t="s">
        <v>4037</v>
      </c>
      <c r="BC1336" s="399" t="str">
        <f t="shared" si="2"/>
        <v/>
      </c>
      <c r="BD1336" s="399"/>
      <c r="BE1336" s="399"/>
      <c r="BF1336" s="399"/>
      <c r="BG1336" s="540"/>
      <c r="BH1336" s="407"/>
      <c r="BI1336" s="407"/>
      <c r="BJ1336" s="543"/>
      <c r="BK1336" s="46">
        <f t="shared" si="1"/>
        <v>1</v>
      </c>
      <c r="BL1336" s="46">
        <f t="shared" si="3"/>
        <v>0</v>
      </c>
      <c r="BM1336" s="46">
        <f t="shared" si="4"/>
        <v>1</v>
      </c>
      <c r="BN1336" s="46">
        <f t="shared" si="5"/>
        <v>0</v>
      </c>
    </row>
    <row r="1337" spans="1:66" ht="12.75" customHeight="1">
      <c r="A1337" s="399">
        <v>1347</v>
      </c>
      <c r="B1337" s="399" t="s">
        <v>4038</v>
      </c>
      <c r="C1337" s="399" t="str">
        <f t="shared" si="0"/>
        <v>Recent unprotected sexual intercourse</v>
      </c>
      <c r="D1337" s="400" t="s">
        <v>4038</v>
      </c>
      <c r="E1337" s="399" t="s">
        <v>96</v>
      </c>
      <c r="F1337" s="400" t="s">
        <v>1787</v>
      </c>
      <c r="G1337" s="400"/>
      <c r="H1337" s="400"/>
      <c r="I1337" s="400"/>
      <c r="J1337" s="400"/>
      <c r="K1337" s="400">
        <v>1</v>
      </c>
      <c r="L1337" s="400" t="s">
        <v>3333</v>
      </c>
      <c r="M1337" s="402" t="s">
        <v>3499</v>
      </c>
      <c r="N1337" s="402"/>
      <c r="O1337" s="428" t="s">
        <v>3477</v>
      </c>
      <c r="P1337" s="428"/>
      <c r="Q1337" s="399" t="s">
        <v>4040</v>
      </c>
      <c r="R1337" s="428" t="s">
        <v>4038</v>
      </c>
      <c r="S1337" s="399"/>
      <c r="T1337" s="400" t="s">
        <v>4041</v>
      </c>
      <c r="U1337" s="399" t="s">
        <v>3169</v>
      </c>
      <c r="V1337" s="565"/>
      <c r="W1337" s="565" t="s">
        <v>3170</v>
      </c>
      <c r="X1337" s="517"/>
      <c r="Y1337" s="399" t="s">
        <v>208</v>
      </c>
      <c r="Z1337" s="399"/>
      <c r="AA1337" s="399" t="s">
        <v>113</v>
      </c>
      <c r="AB1337" s="399" t="s">
        <v>3178</v>
      </c>
      <c r="AC1337" s="532" t="s">
        <v>4032</v>
      </c>
      <c r="AD1337" s="400" t="s">
        <v>4033</v>
      </c>
      <c r="AE1337" s="399"/>
      <c r="AF1337" s="399"/>
      <c r="AG1337" s="399"/>
      <c r="AH1337" s="532"/>
      <c r="AI1337" s="399"/>
      <c r="AJ1337" s="400"/>
      <c r="AK1337" s="399"/>
      <c r="AL1337" s="399" t="s">
        <v>3916</v>
      </c>
      <c r="AM1337" s="399" t="s">
        <v>4042</v>
      </c>
      <c r="AN1337" s="399"/>
      <c r="AO1337" s="399" t="s">
        <v>3100</v>
      </c>
      <c r="AP1337" s="399" t="s">
        <v>3101</v>
      </c>
      <c r="AQ1337" s="399"/>
      <c r="AR1337" s="399"/>
      <c r="AS1337" s="409" t="s">
        <v>3162</v>
      </c>
      <c r="AT1337" s="400" t="s">
        <v>4044</v>
      </c>
      <c r="AU1337" s="400" t="s">
        <v>4045</v>
      </c>
      <c r="AV1337" s="400">
        <v>2314005</v>
      </c>
      <c r="AW1337" s="541"/>
      <c r="AX1337" s="541"/>
      <c r="AY1337" s="541"/>
      <c r="AZ1337" s="541"/>
      <c r="BA1337" s="541"/>
      <c r="BB1337" s="400"/>
      <c r="BC1337" s="399" t="str">
        <f t="shared" si="2"/>
        <v/>
      </c>
      <c r="BD1337" s="400">
        <v>159218</v>
      </c>
      <c r="BE1337" s="399"/>
      <c r="BF1337" s="399"/>
      <c r="BG1337" s="540" t="s">
        <v>4047</v>
      </c>
      <c r="BH1337" s="407" t="s">
        <v>4044</v>
      </c>
      <c r="BI1337" s="407">
        <v>2314005</v>
      </c>
      <c r="BJ1337" s="543"/>
      <c r="BK1337" s="46">
        <f t="shared" si="1"/>
        <v>1</v>
      </c>
      <c r="BL1337" s="46">
        <f t="shared" si="3"/>
        <v>1</v>
      </c>
      <c r="BM1337" s="46">
        <f t="shared" si="4"/>
        <v>0</v>
      </c>
      <c r="BN1337" s="46">
        <f t="shared" si="5"/>
        <v>0</v>
      </c>
    </row>
    <row r="1338" spans="1:66" ht="12.75" customHeight="1">
      <c r="A1338" s="399">
        <v>1348</v>
      </c>
      <c r="B1338" s="399" t="s">
        <v>4056</v>
      </c>
      <c r="C1338" s="399" t="str">
        <f t="shared" si="0"/>
        <v>Days since unprotected sex</v>
      </c>
      <c r="D1338" s="400" t="s">
        <v>4056</v>
      </c>
      <c r="E1338" s="399" t="s">
        <v>96</v>
      </c>
      <c r="F1338" s="400" t="s">
        <v>1787</v>
      </c>
      <c r="G1338" s="400"/>
      <c r="H1338" s="400"/>
      <c r="I1338" s="400"/>
      <c r="J1338" s="400"/>
      <c r="K1338" s="400">
        <v>1</v>
      </c>
      <c r="L1338" s="400" t="s">
        <v>3333</v>
      </c>
      <c r="M1338" s="402" t="s">
        <v>3499</v>
      </c>
      <c r="N1338" s="400"/>
      <c r="O1338" s="428" t="s">
        <v>3477</v>
      </c>
      <c r="P1338" s="428"/>
      <c r="Q1338" s="399" t="s">
        <v>4057</v>
      </c>
      <c r="R1338" s="428" t="s">
        <v>4056</v>
      </c>
      <c r="S1338" s="399"/>
      <c r="T1338" s="400" t="s">
        <v>4056</v>
      </c>
      <c r="U1338" s="399" t="s">
        <v>168</v>
      </c>
      <c r="V1338" s="565"/>
      <c r="W1338" s="565"/>
      <c r="X1338" s="517"/>
      <c r="Y1338" s="399" t="s">
        <v>208</v>
      </c>
      <c r="Z1338" s="399"/>
      <c r="AA1338" s="399" t="s">
        <v>113</v>
      </c>
      <c r="AB1338" s="399" t="s">
        <v>3178</v>
      </c>
      <c r="AC1338" s="532"/>
      <c r="AD1338" s="400"/>
      <c r="AE1338" s="399"/>
      <c r="AF1338" s="399"/>
      <c r="AG1338" s="399" t="s">
        <v>4058</v>
      </c>
      <c r="AH1338" s="532"/>
      <c r="AI1338" s="399"/>
      <c r="AJ1338" s="400"/>
      <c r="AK1338" s="399"/>
      <c r="AL1338" s="399"/>
      <c r="AM1338" s="399"/>
      <c r="AN1338" s="399"/>
      <c r="AO1338" s="399"/>
      <c r="AP1338" s="399"/>
      <c r="AQ1338" s="399"/>
      <c r="AR1338" s="399"/>
      <c r="AS1338" s="409" t="s">
        <v>4060</v>
      </c>
      <c r="AT1338" s="399"/>
      <c r="AU1338" s="399"/>
      <c r="AV1338" s="399"/>
      <c r="AW1338" s="541"/>
      <c r="AX1338" s="541"/>
      <c r="AY1338" s="541"/>
      <c r="AZ1338" s="541"/>
      <c r="BA1338" s="541"/>
      <c r="BB1338" s="409" t="s">
        <v>4063</v>
      </c>
      <c r="BC1338" s="399" t="str">
        <f t="shared" si="2"/>
        <v/>
      </c>
      <c r="BD1338" s="399"/>
      <c r="BE1338" s="399"/>
      <c r="BF1338" s="399"/>
      <c r="BG1338" s="540"/>
      <c r="BH1338" s="407"/>
      <c r="BI1338" s="407"/>
      <c r="BJ1338" s="543"/>
      <c r="BK1338" s="46">
        <f t="shared" si="1"/>
        <v>1</v>
      </c>
      <c r="BL1338" s="46">
        <f t="shared" si="3"/>
        <v>0</v>
      </c>
      <c r="BM1338" s="46">
        <f t="shared" si="4"/>
        <v>1</v>
      </c>
      <c r="BN1338" s="46">
        <f t="shared" si="5"/>
        <v>0</v>
      </c>
    </row>
    <row r="1339" spans="1:66" ht="12.75" customHeight="1">
      <c r="A1339" s="399">
        <v>1349</v>
      </c>
      <c r="B1339" s="399" t="s">
        <v>5156</v>
      </c>
      <c r="C1339" s="399" t="str">
        <f t="shared" si="0"/>
        <v>Perform pregnancy test</v>
      </c>
      <c r="D1339" s="400" t="s">
        <v>5156</v>
      </c>
      <c r="E1339" s="399" t="s">
        <v>96</v>
      </c>
      <c r="F1339" s="400" t="s">
        <v>1787</v>
      </c>
      <c r="G1339" s="400"/>
      <c r="H1339" s="400"/>
      <c r="I1339" s="400"/>
      <c r="J1339" s="400"/>
      <c r="K1339" s="400">
        <v>1</v>
      </c>
      <c r="L1339" s="400" t="s">
        <v>3333</v>
      </c>
      <c r="M1339" s="402" t="s">
        <v>3489</v>
      </c>
      <c r="N1339" s="400"/>
      <c r="O1339" s="428" t="s">
        <v>3477</v>
      </c>
      <c r="P1339" s="428"/>
      <c r="Q1339" s="399" t="s">
        <v>4050</v>
      </c>
      <c r="R1339" s="428" t="s">
        <v>5156</v>
      </c>
      <c r="S1339" s="399"/>
      <c r="T1339" s="399" t="s">
        <v>5158</v>
      </c>
      <c r="U1339" s="399" t="s">
        <v>3169</v>
      </c>
      <c r="V1339" s="399"/>
      <c r="W1339" s="399" t="s">
        <v>3170</v>
      </c>
      <c r="X1339" s="400"/>
      <c r="Y1339" s="399" t="s">
        <v>208</v>
      </c>
      <c r="Z1339" s="399"/>
      <c r="AA1339" s="399" t="s">
        <v>208</v>
      </c>
      <c r="AB1339" s="399" t="s">
        <v>3178</v>
      </c>
      <c r="AC1339" s="532" t="s">
        <v>4066</v>
      </c>
      <c r="AD1339" s="400"/>
      <c r="AE1339" s="399"/>
      <c r="AF1339" s="399"/>
      <c r="AG1339" s="399"/>
      <c r="AH1339" s="532" t="s">
        <v>4067</v>
      </c>
      <c r="AI1339" s="399"/>
      <c r="AJ1339" s="400"/>
      <c r="AK1339" s="399"/>
      <c r="AL1339" s="399"/>
      <c r="AM1339" s="399"/>
      <c r="AN1339" s="399"/>
      <c r="AO1339" s="399"/>
      <c r="AP1339" s="399"/>
      <c r="AQ1339" s="399"/>
      <c r="AR1339" s="399"/>
      <c r="AS1339" s="399"/>
      <c r="AT1339" s="399"/>
      <c r="AU1339" s="399"/>
      <c r="AV1339" s="399"/>
      <c r="AW1339" s="541"/>
      <c r="AX1339" s="541"/>
      <c r="AY1339" s="541"/>
      <c r="AZ1339" s="541"/>
      <c r="BA1339" s="541"/>
      <c r="BB1339" s="399"/>
      <c r="BC1339" s="399" t="str">
        <f t="shared" si="2"/>
        <v/>
      </c>
      <c r="BD1339" s="399"/>
      <c r="BE1339" s="399"/>
      <c r="BF1339" s="399"/>
      <c r="BG1339" s="540"/>
      <c r="BH1339" s="407"/>
      <c r="BI1339" s="407"/>
      <c r="BJ1339" s="543"/>
      <c r="BK1339" s="46">
        <f t="shared" si="1"/>
        <v>1</v>
      </c>
      <c r="BL1339" s="46">
        <f t="shared" si="3"/>
        <v>0</v>
      </c>
      <c r="BM1339" s="46">
        <f t="shared" si="4"/>
        <v>1</v>
      </c>
      <c r="BN1339" s="46">
        <f t="shared" si="5"/>
        <v>0</v>
      </c>
    </row>
    <row r="1340" spans="1:66" ht="12.75" customHeight="1">
      <c r="A1340" s="399">
        <v>1350</v>
      </c>
      <c r="B1340" s="399" t="s">
        <v>4070</v>
      </c>
      <c r="C1340" s="399" t="str">
        <f t="shared" si="0"/>
        <v>Pregnancy test available</v>
      </c>
      <c r="D1340" s="400" t="s">
        <v>4070</v>
      </c>
      <c r="E1340" s="399" t="s">
        <v>96</v>
      </c>
      <c r="F1340" s="400" t="s">
        <v>1787</v>
      </c>
      <c r="G1340" s="400"/>
      <c r="H1340" s="400"/>
      <c r="I1340" s="400"/>
      <c r="J1340" s="400"/>
      <c r="K1340" s="400">
        <v>1</v>
      </c>
      <c r="L1340" s="400" t="s">
        <v>3333</v>
      </c>
      <c r="M1340" s="402" t="s">
        <v>3489</v>
      </c>
      <c r="N1340" s="400"/>
      <c r="O1340" s="428" t="s">
        <v>3477</v>
      </c>
      <c r="P1340" s="428"/>
      <c r="Q1340" s="399" t="s">
        <v>4072</v>
      </c>
      <c r="R1340" s="428" t="s">
        <v>4070</v>
      </c>
      <c r="S1340" s="399"/>
      <c r="T1340" s="399" t="s">
        <v>4073</v>
      </c>
      <c r="U1340" s="399" t="s">
        <v>3169</v>
      </c>
      <c r="V1340" s="399"/>
      <c r="W1340" s="399" t="s">
        <v>3170</v>
      </c>
      <c r="X1340" s="400"/>
      <c r="Y1340" s="399" t="s">
        <v>208</v>
      </c>
      <c r="Z1340" s="399"/>
      <c r="AA1340" s="399" t="s">
        <v>208</v>
      </c>
      <c r="AB1340" s="399" t="s">
        <v>3178</v>
      </c>
      <c r="AC1340" s="532" t="s">
        <v>4074</v>
      </c>
      <c r="AD1340" s="400"/>
      <c r="AE1340" s="399"/>
      <c r="AF1340" s="399"/>
      <c r="AG1340" s="399"/>
      <c r="AH1340" s="532" t="s">
        <v>4067</v>
      </c>
      <c r="AI1340" s="399"/>
      <c r="AJ1340" s="400"/>
      <c r="AK1340" s="399"/>
      <c r="AL1340" s="399"/>
      <c r="AM1340" s="399"/>
      <c r="AN1340" s="399"/>
      <c r="AO1340" s="399"/>
      <c r="AP1340" s="399"/>
      <c r="AQ1340" s="399"/>
      <c r="AR1340" s="399"/>
      <c r="AS1340" s="409" t="s">
        <v>4077</v>
      </c>
      <c r="AT1340" s="399"/>
      <c r="AU1340" s="399"/>
      <c r="AV1340" s="399"/>
      <c r="AW1340" s="541"/>
      <c r="AX1340" s="541"/>
      <c r="AY1340" s="541"/>
      <c r="AZ1340" s="541"/>
      <c r="BA1340" s="541"/>
      <c r="BB1340" s="399"/>
      <c r="BC1340" s="399" t="str">
        <f t="shared" si="2"/>
        <v/>
      </c>
      <c r="BD1340" s="399"/>
      <c r="BE1340" s="399"/>
      <c r="BF1340" s="399"/>
      <c r="BG1340" s="540"/>
      <c r="BH1340" s="407"/>
      <c r="BI1340" s="407"/>
      <c r="BJ1340" s="543"/>
      <c r="BK1340" s="46">
        <f t="shared" si="1"/>
        <v>1</v>
      </c>
      <c r="BL1340" s="46">
        <f t="shared" si="3"/>
        <v>0</v>
      </c>
      <c r="BM1340" s="46">
        <f t="shared" si="4"/>
        <v>1</v>
      </c>
      <c r="BN1340" s="46">
        <f t="shared" si="5"/>
        <v>0</v>
      </c>
    </row>
    <row r="1341" spans="1:66" ht="12.75" customHeight="1">
      <c r="A1341" s="399">
        <v>1351</v>
      </c>
      <c r="B1341" s="399" t="s">
        <v>3924</v>
      </c>
      <c r="C1341" s="399" t="str">
        <f t="shared" si="0"/>
        <v>Date of miscarriage or abortion</v>
      </c>
      <c r="D1341" s="400" t="s">
        <v>3924</v>
      </c>
      <c r="E1341" s="399" t="s">
        <v>96</v>
      </c>
      <c r="F1341" s="400" t="s">
        <v>1787</v>
      </c>
      <c r="G1341" s="400"/>
      <c r="H1341" s="400"/>
      <c r="I1341" s="400"/>
      <c r="J1341" s="400"/>
      <c r="K1341" s="400">
        <v>1</v>
      </c>
      <c r="L1341" s="400" t="s">
        <v>3333</v>
      </c>
      <c r="M1341" s="402" t="s">
        <v>3489</v>
      </c>
      <c r="N1341" s="400"/>
      <c r="O1341" s="428" t="s">
        <v>3477</v>
      </c>
      <c r="P1341" s="428"/>
      <c r="Q1341" s="399" t="s">
        <v>3927</v>
      </c>
      <c r="R1341" s="428" t="s">
        <v>3924</v>
      </c>
      <c r="S1341" s="399"/>
      <c r="T1341" s="399" t="s">
        <v>3928</v>
      </c>
      <c r="U1341" s="399" t="s">
        <v>3513</v>
      </c>
      <c r="V1341" s="399"/>
      <c r="W1341" s="399"/>
      <c r="X1341" s="400"/>
      <c r="Y1341" s="399" t="s">
        <v>208</v>
      </c>
      <c r="Z1341" s="399"/>
      <c r="AA1341" s="399" t="s">
        <v>113</v>
      </c>
      <c r="AB1341" s="399" t="s">
        <v>3178</v>
      </c>
      <c r="AC1341" s="532" t="s">
        <v>5113</v>
      </c>
      <c r="AD1341" s="400"/>
      <c r="AE1341" s="399"/>
      <c r="AF1341" s="399"/>
      <c r="AG1341" s="399"/>
      <c r="AH1341" s="532"/>
      <c r="AI1341" s="399"/>
      <c r="AJ1341" s="400"/>
      <c r="AK1341" s="399"/>
      <c r="AL1341" s="399"/>
      <c r="AM1341" s="399"/>
      <c r="AN1341" s="399"/>
      <c r="AO1341" s="399"/>
      <c r="AP1341" s="399"/>
      <c r="AQ1341" s="399"/>
      <c r="AR1341" s="399"/>
      <c r="AS1341" s="409" t="s">
        <v>3930</v>
      </c>
      <c r="AT1341" s="399"/>
      <c r="AU1341" s="399"/>
      <c r="AV1341" s="399"/>
      <c r="AW1341" s="541"/>
      <c r="AX1341" s="541"/>
      <c r="AY1341" s="541"/>
      <c r="AZ1341" s="541"/>
      <c r="BA1341" s="541"/>
      <c r="BB1341" s="409" t="s">
        <v>4063</v>
      </c>
      <c r="BC1341" s="399" t="str">
        <f t="shared" si="2"/>
        <v/>
      </c>
      <c r="BD1341" s="399"/>
      <c r="BE1341" s="399"/>
      <c r="BF1341" s="399"/>
      <c r="BG1341" s="540"/>
      <c r="BH1341" s="407"/>
      <c r="BI1341" s="407"/>
      <c r="BJ1341" s="543"/>
      <c r="BK1341" s="46">
        <f t="shared" si="1"/>
        <v>1</v>
      </c>
      <c r="BL1341" s="46">
        <f t="shared" si="3"/>
        <v>0</v>
      </c>
      <c r="BM1341" s="46">
        <f t="shared" si="4"/>
        <v>1</v>
      </c>
      <c r="BN1341" s="46">
        <f t="shared" si="5"/>
        <v>0</v>
      </c>
    </row>
    <row r="1342" spans="1:66" ht="12.75" customHeight="1">
      <c r="A1342" s="399">
        <v>1352</v>
      </c>
      <c r="B1342" s="399" t="s">
        <v>5167</v>
      </c>
      <c r="C1342" s="399" t="str">
        <f t="shared" si="0"/>
        <v>Regular periods</v>
      </c>
      <c r="D1342" s="400" t="s">
        <v>5167</v>
      </c>
      <c r="E1342" s="399" t="s">
        <v>96</v>
      </c>
      <c r="F1342" s="400" t="s">
        <v>1787</v>
      </c>
      <c r="G1342" s="400"/>
      <c r="H1342" s="400"/>
      <c r="I1342" s="400"/>
      <c r="J1342" s="400"/>
      <c r="K1342" s="400">
        <v>1</v>
      </c>
      <c r="L1342" s="400" t="s">
        <v>3333</v>
      </c>
      <c r="M1342" s="402" t="s">
        <v>3489</v>
      </c>
      <c r="N1342" s="400"/>
      <c r="O1342" s="428" t="s">
        <v>3477</v>
      </c>
      <c r="P1342" s="428"/>
      <c r="Q1342" s="399" t="s">
        <v>5168</v>
      </c>
      <c r="R1342" s="428" t="s">
        <v>5167</v>
      </c>
      <c r="S1342" s="399"/>
      <c r="T1342" s="399" t="s">
        <v>5169</v>
      </c>
      <c r="U1342" s="399" t="s">
        <v>3169</v>
      </c>
      <c r="V1342" s="399"/>
      <c r="W1342" s="399" t="s">
        <v>3170</v>
      </c>
      <c r="X1342" s="400"/>
      <c r="Y1342" s="399" t="s">
        <v>208</v>
      </c>
      <c r="Z1342" s="399"/>
      <c r="AA1342" s="399" t="s">
        <v>113</v>
      </c>
      <c r="AB1342" s="399" t="s">
        <v>3178</v>
      </c>
      <c r="AC1342" s="532"/>
      <c r="AD1342" s="400"/>
      <c r="AE1342" s="399"/>
      <c r="AF1342" s="399"/>
      <c r="AG1342" s="565"/>
      <c r="AH1342" s="532"/>
      <c r="AI1342" s="399"/>
      <c r="AJ1342" s="400"/>
      <c r="AK1342" s="399"/>
      <c r="AL1342" s="399"/>
      <c r="AM1342" s="399"/>
      <c r="AN1342" s="399"/>
      <c r="AO1342" s="399"/>
      <c r="AP1342" s="399"/>
      <c r="AQ1342" s="399"/>
      <c r="AR1342" s="399"/>
      <c r="AS1342" s="409" t="s">
        <v>3162</v>
      </c>
      <c r="AT1342" s="517"/>
      <c r="AU1342" s="517"/>
      <c r="AV1342" s="575" t="s">
        <v>5171</v>
      </c>
      <c r="AW1342" s="517"/>
      <c r="AX1342" s="517"/>
      <c r="AY1342" s="517"/>
      <c r="AZ1342" s="517"/>
      <c r="BA1342" s="517"/>
      <c r="BB1342" s="399"/>
      <c r="BC1342" s="399" t="str">
        <f t="shared" si="2"/>
        <v/>
      </c>
      <c r="BD1342" s="399">
        <v>160600</v>
      </c>
      <c r="BE1342" s="517"/>
      <c r="BF1342" s="567"/>
      <c r="BG1342" s="576" t="s">
        <v>5172</v>
      </c>
      <c r="BH1342" s="577"/>
      <c r="BI1342" s="578">
        <v>302757007</v>
      </c>
      <c r="BJ1342" s="577"/>
      <c r="BK1342" s="46">
        <f t="shared" si="1"/>
        <v>1</v>
      </c>
      <c r="BL1342" s="46">
        <f t="shared" si="3"/>
        <v>0</v>
      </c>
      <c r="BM1342" s="46">
        <f t="shared" si="4"/>
        <v>1</v>
      </c>
      <c r="BN1342" s="46">
        <f t="shared" si="5"/>
        <v>0</v>
      </c>
    </row>
    <row r="1343" spans="1:66" ht="12.75" customHeight="1">
      <c r="A1343" s="399">
        <v>1353</v>
      </c>
      <c r="B1343" s="399" t="s">
        <v>5175</v>
      </c>
      <c r="C1343" s="399" t="str">
        <f t="shared" si="0"/>
        <v>Excessive bleeding</v>
      </c>
      <c r="D1343" s="400" t="s">
        <v>5175</v>
      </c>
      <c r="E1343" s="399" t="s">
        <v>96</v>
      </c>
      <c r="F1343" s="400" t="s">
        <v>1787</v>
      </c>
      <c r="G1343" s="400"/>
      <c r="H1343" s="400"/>
      <c r="I1343" s="400"/>
      <c r="J1343" s="400"/>
      <c r="K1343" s="400">
        <v>1</v>
      </c>
      <c r="L1343" s="400" t="s">
        <v>3333</v>
      </c>
      <c r="M1343" s="402" t="s">
        <v>3489</v>
      </c>
      <c r="N1343" s="400"/>
      <c r="O1343" s="428" t="s">
        <v>3477</v>
      </c>
      <c r="P1343" s="428"/>
      <c r="Q1343" s="399" t="s">
        <v>5176</v>
      </c>
      <c r="R1343" s="428" t="s">
        <v>5175</v>
      </c>
      <c r="S1343" s="399"/>
      <c r="T1343" s="399" t="s">
        <v>5177</v>
      </c>
      <c r="U1343" s="399" t="s">
        <v>3169</v>
      </c>
      <c r="V1343" s="399"/>
      <c r="W1343" s="399" t="s">
        <v>3170</v>
      </c>
      <c r="X1343" s="400"/>
      <c r="Y1343" s="399" t="s">
        <v>208</v>
      </c>
      <c r="Z1343" s="399"/>
      <c r="AA1343" s="399" t="s">
        <v>113</v>
      </c>
      <c r="AB1343" s="399" t="s">
        <v>3178</v>
      </c>
      <c r="AC1343" s="532"/>
      <c r="AD1343" s="400"/>
      <c r="AE1343" s="399"/>
      <c r="AF1343" s="399"/>
      <c r="AG1343" s="399"/>
      <c r="AH1343" s="532"/>
      <c r="AI1343" s="399"/>
      <c r="AJ1343" s="400"/>
      <c r="AK1343" s="399"/>
      <c r="AL1343" s="399"/>
      <c r="AM1343" s="399"/>
      <c r="AN1343" s="399"/>
      <c r="AO1343" s="399"/>
      <c r="AP1343" s="399"/>
      <c r="AQ1343" s="399"/>
      <c r="AR1343" s="399"/>
      <c r="AS1343" s="399"/>
      <c r="AT1343" s="400" t="s">
        <v>5181</v>
      </c>
      <c r="AU1343" s="400" t="s">
        <v>5182</v>
      </c>
      <c r="AV1343" s="400">
        <v>386692008</v>
      </c>
      <c r="AW1343" s="541"/>
      <c r="AX1343" s="541"/>
      <c r="AY1343" s="541"/>
      <c r="AZ1343" s="541"/>
      <c r="BA1343" s="541"/>
      <c r="BB1343" s="400"/>
      <c r="BC1343" s="399" t="str">
        <f t="shared" si="2"/>
        <v/>
      </c>
      <c r="BD1343" s="400">
        <v>134345</v>
      </c>
      <c r="BE1343" s="399"/>
      <c r="BF1343" s="399"/>
      <c r="BG1343" s="540"/>
      <c r="BH1343" s="407" t="s">
        <v>5181</v>
      </c>
      <c r="BI1343" s="407">
        <v>386692008</v>
      </c>
      <c r="BJ1343" s="543"/>
      <c r="BK1343" s="46">
        <f t="shared" si="1"/>
        <v>1</v>
      </c>
      <c r="BL1343" s="46">
        <f t="shared" si="3"/>
        <v>0</v>
      </c>
      <c r="BM1343" s="46">
        <f t="shared" si="4"/>
        <v>1</v>
      </c>
      <c r="BN1343" s="46">
        <f t="shared" si="5"/>
        <v>0</v>
      </c>
    </row>
    <row r="1344" spans="1:66" ht="12.75" customHeight="1">
      <c r="A1344" s="399">
        <v>1354</v>
      </c>
      <c r="B1344" s="399" t="s">
        <v>4505</v>
      </c>
      <c r="C1344" s="399" t="str">
        <f t="shared" si="0"/>
        <v>Past ectopic pregnancy</v>
      </c>
      <c r="D1344" s="400" t="s">
        <v>4505</v>
      </c>
      <c r="E1344" s="399" t="s">
        <v>96</v>
      </c>
      <c r="F1344" s="400" t="s">
        <v>1787</v>
      </c>
      <c r="G1344" s="400"/>
      <c r="H1344" s="400"/>
      <c r="I1344" s="400"/>
      <c r="J1344" s="400"/>
      <c r="K1344" s="400">
        <v>1</v>
      </c>
      <c r="L1344" s="400" t="s">
        <v>3333</v>
      </c>
      <c r="M1344" s="402" t="s">
        <v>3489</v>
      </c>
      <c r="N1344" s="400"/>
      <c r="O1344" s="428" t="s">
        <v>3477</v>
      </c>
      <c r="P1344" s="399"/>
      <c r="Q1344" s="399" t="s">
        <v>4506</v>
      </c>
      <c r="R1344" s="428" t="s">
        <v>4505</v>
      </c>
      <c r="S1344" s="399"/>
      <c r="T1344" s="399"/>
      <c r="U1344" s="399" t="s">
        <v>3169</v>
      </c>
      <c r="V1344" s="399"/>
      <c r="W1344" s="399" t="s">
        <v>3170</v>
      </c>
      <c r="X1344" s="400"/>
      <c r="Y1344" s="399" t="s">
        <v>208</v>
      </c>
      <c r="Z1344" s="399"/>
      <c r="AA1344" s="399" t="s">
        <v>113</v>
      </c>
      <c r="AB1344" s="399" t="s">
        <v>3178</v>
      </c>
      <c r="AC1344" s="532"/>
      <c r="AD1344" s="400"/>
      <c r="AE1344" s="399"/>
      <c r="AF1344" s="399"/>
      <c r="AG1344" s="399" t="s">
        <v>4507</v>
      </c>
      <c r="AH1344" s="532"/>
      <c r="AI1344" s="399"/>
      <c r="AJ1344" s="400"/>
      <c r="AK1344" s="399"/>
      <c r="AL1344" s="399"/>
      <c r="AM1344" s="399"/>
      <c r="AN1344" s="399"/>
      <c r="AO1344" s="399"/>
      <c r="AP1344" s="399"/>
      <c r="AQ1344" s="399"/>
      <c r="AR1344" s="399"/>
      <c r="AS1344" s="409" t="s">
        <v>4508</v>
      </c>
      <c r="AT1344" s="517" t="s">
        <v>4509</v>
      </c>
      <c r="AU1344" s="517" t="s">
        <v>4088</v>
      </c>
      <c r="AV1344" s="567">
        <v>161763005</v>
      </c>
      <c r="AW1344" s="541"/>
      <c r="AX1344" s="541"/>
      <c r="AY1344" s="541"/>
      <c r="AZ1344" s="541"/>
      <c r="BA1344" s="541"/>
      <c r="BB1344" s="567"/>
      <c r="BC1344" s="399" t="str">
        <f t="shared" si="2"/>
        <v/>
      </c>
      <c r="BD1344" s="567">
        <v>158905</v>
      </c>
      <c r="BE1344" s="517"/>
      <c r="BF1344" s="517"/>
      <c r="BG1344" s="542" t="s">
        <v>4511</v>
      </c>
      <c r="BH1344" s="414" t="s">
        <v>4509</v>
      </c>
      <c r="BI1344" s="546">
        <v>161763005</v>
      </c>
      <c r="BJ1344" s="543"/>
      <c r="BK1344" s="46">
        <f t="shared" si="1"/>
        <v>1</v>
      </c>
      <c r="BL1344" s="46">
        <f t="shared" si="3"/>
        <v>0</v>
      </c>
      <c r="BM1344" s="46">
        <f t="shared" si="4"/>
        <v>1</v>
      </c>
      <c r="BN1344" s="46">
        <f t="shared" si="5"/>
        <v>0</v>
      </c>
    </row>
    <row r="1345" spans="1:66" ht="12.75" customHeight="1">
      <c r="A1345" s="399">
        <v>1355</v>
      </c>
      <c r="B1345" s="399" t="s">
        <v>4512</v>
      </c>
      <c r="C1345" s="399" t="str">
        <f t="shared" si="0"/>
        <v>History of pelvic surgery</v>
      </c>
      <c r="D1345" s="400" t="s">
        <v>4512</v>
      </c>
      <c r="E1345" s="399" t="s">
        <v>96</v>
      </c>
      <c r="F1345" s="400" t="s">
        <v>1787</v>
      </c>
      <c r="G1345" s="400"/>
      <c r="H1345" s="400"/>
      <c r="I1345" s="400"/>
      <c r="J1345" s="400"/>
      <c r="K1345" s="400">
        <v>1</v>
      </c>
      <c r="L1345" s="400" t="s">
        <v>3333</v>
      </c>
      <c r="M1345" s="402" t="s">
        <v>3489</v>
      </c>
      <c r="N1345" s="400"/>
      <c r="O1345" s="428" t="s">
        <v>3477</v>
      </c>
      <c r="P1345" s="428"/>
      <c r="Q1345" s="399" t="s">
        <v>4513</v>
      </c>
      <c r="R1345" s="428" t="s">
        <v>4512</v>
      </c>
      <c r="S1345" s="399"/>
      <c r="T1345" s="399"/>
      <c r="U1345" s="399" t="s">
        <v>3169</v>
      </c>
      <c r="V1345" s="399"/>
      <c r="W1345" s="399" t="s">
        <v>3170</v>
      </c>
      <c r="X1345" s="400"/>
      <c r="Y1345" s="399" t="s">
        <v>208</v>
      </c>
      <c r="Z1345" s="399"/>
      <c r="AA1345" s="399" t="s">
        <v>113</v>
      </c>
      <c r="AB1345" s="399" t="s">
        <v>3178</v>
      </c>
      <c r="AC1345" s="532"/>
      <c r="AD1345" s="400"/>
      <c r="AE1345" s="399"/>
      <c r="AF1345" s="399"/>
      <c r="AG1345" s="399" t="s">
        <v>4514</v>
      </c>
      <c r="AH1345" s="532"/>
      <c r="AI1345" s="399"/>
      <c r="AJ1345" s="400"/>
      <c r="AK1345" s="399"/>
      <c r="AL1345" s="399"/>
      <c r="AM1345" s="399"/>
      <c r="AN1345" s="399"/>
      <c r="AO1345" s="399"/>
      <c r="AP1345" s="399"/>
      <c r="AQ1345" s="399"/>
      <c r="AR1345" s="399"/>
      <c r="AS1345" s="409" t="s">
        <v>4515</v>
      </c>
      <c r="AT1345" s="399"/>
      <c r="AU1345" s="399"/>
      <c r="AV1345" s="399">
        <v>161615003</v>
      </c>
      <c r="AW1345" s="541"/>
      <c r="AX1345" s="541"/>
      <c r="AY1345" s="541"/>
      <c r="AZ1345" s="541"/>
      <c r="BA1345" s="541"/>
      <c r="BB1345" s="399"/>
      <c r="BC1345" s="399" t="str">
        <f t="shared" si="2"/>
        <v/>
      </c>
      <c r="BD1345" s="399"/>
      <c r="BE1345" s="399"/>
      <c r="BF1345" s="399"/>
      <c r="BG1345" s="540"/>
      <c r="BH1345" s="407"/>
      <c r="BI1345" s="407">
        <v>161615003</v>
      </c>
      <c r="BJ1345" s="543"/>
      <c r="BK1345" s="46">
        <f t="shared" si="1"/>
        <v>1</v>
      </c>
      <c r="BL1345" s="46">
        <f t="shared" si="3"/>
        <v>0</v>
      </c>
      <c r="BM1345" s="46">
        <f t="shared" si="4"/>
        <v>1</v>
      </c>
      <c r="BN1345" s="46">
        <f t="shared" si="5"/>
        <v>0</v>
      </c>
    </row>
    <row r="1346" spans="1:66" ht="12.75" customHeight="1">
      <c r="A1346" s="399">
        <v>1356</v>
      </c>
      <c r="B1346" s="399" t="s">
        <v>4080</v>
      </c>
      <c r="C1346" s="399" t="str">
        <f t="shared" si="0"/>
        <v>Gender-based violence victim</v>
      </c>
      <c r="D1346" s="400" t="s">
        <v>4080</v>
      </c>
      <c r="E1346" s="399" t="s">
        <v>96</v>
      </c>
      <c r="F1346" s="400" t="s">
        <v>1787</v>
      </c>
      <c r="G1346" s="400"/>
      <c r="H1346" s="400"/>
      <c r="I1346" s="400"/>
      <c r="J1346" s="400"/>
      <c r="K1346" s="400">
        <v>1</v>
      </c>
      <c r="L1346" s="400" t="s">
        <v>3333</v>
      </c>
      <c r="M1346" s="402" t="s">
        <v>4081</v>
      </c>
      <c r="N1346" s="400"/>
      <c r="O1346" s="428" t="s">
        <v>3477</v>
      </c>
      <c r="P1346" s="428"/>
      <c r="Q1346" s="399" t="s">
        <v>4082</v>
      </c>
      <c r="R1346" s="428" t="s">
        <v>4080</v>
      </c>
      <c r="S1346" s="399"/>
      <c r="T1346" s="399" t="s">
        <v>4083</v>
      </c>
      <c r="U1346" s="399" t="s">
        <v>3169</v>
      </c>
      <c r="V1346" s="399"/>
      <c r="W1346" s="399" t="s">
        <v>3170</v>
      </c>
      <c r="X1346" s="400"/>
      <c r="Y1346" s="399" t="s">
        <v>208</v>
      </c>
      <c r="Z1346" s="399"/>
      <c r="AA1346" s="399" t="s">
        <v>113</v>
      </c>
      <c r="AB1346" s="399" t="s">
        <v>1889</v>
      </c>
      <c r="AC1346" s="532"/>
      <c r="AD1346" s="400"/>
      <c r="AE1346" s="399"/>
      <c r="AF1346" s="399"/>
      <c r="AG1346" s="399"/>
      <c r="AH1346" s="532"/>
      <c r="AI1346" s="399"/>
      <c r="AJ1346" s="400"/>
      <c r="AK1346" s="399"/>
      <c r="AL1346" s="399"/>
      <c r="AM1346" s="399"/>
      <c r="AN1346" s="399"/>
      <c r="AO1346" s="399"/>
      <c r="AP1346" s="399"/>
      <c r="AQ1346" s="399"/>
      <c r="AR1346" s="399"/>
      <c r="AS1346" s="409" t="s">
        <v>4086</v>
      </c>
      <c r="AT1346" s="400" t="s">
        <v>4087</v>
      </c>
      <c r="AU1346" s="400" t="s">
        <v>4088</v>
      </c>
      <c r="AV1346" s="400"/>
      <c r="AW1346" s="541"/>
      <c r="AX1346" s="541"/>
      <c r="AY1346" s="541"/>
      <c r="AZ1346" s="541"/>
      <c r="BA1346" s="541"/>
      <c r="BB1346" s="572" t="str">
        <f>HYPERLINK("https://github.com/who-int/Data-Dictionary-Mapping/issues/27","27")</f>
        <v>27</v>
      </c>
      <c r="BC1346" s="399" t="str">
        <f t="shared" si="2"/>
        <v/>
      </c>
      <c r="BD1346" s="400">
        <v>165088</v>
      </c>
      <c r="BE1346" s="399"/>
      <c r="BF1346" s="399"/>
      <c r="BG1346" s="540"/>
      <c r="BH1346" s="407" t="s">
        <v>4087</v>
      </c>
      <c r="BI1346" s="407"/>
      <c r="BJ1346" s="543"/>
      <c r="BK1346" s="46">
        <f t="shared" si="1"/>
        <v>1</v>
      </c>
      <c r="BL1346" s="46">
        <f t="shared" si="3"/>
        <v>0</v>
      </c>
      <c r="BM1346" s="46">
        <f t="shared" si="4"/>
        <v>1</v>
      </c>
      <c r="BN1346" s="46">
        <f t="shared" si="5"/>
        <v>0</v>
      </c>
    </row>
    <row r="1347" spans="1:66" ht="12.75" customHeight="1">
      <c r="A1347" s="399">
        <v>1357</v>
      </c>
      <c r="B1347" s="399" t="s">
        <v>4093</v>
      </c>
      <c r="C1347" s="399" t="str">
        <f t="shared" si="0"/>
        <v>Gender-based violence risk factors</v>
      </c>
      <c r="D1347" s="400" t="s">
        <v>4093</v>
      </c>
      <c r="E1347" s="399" t="s">
        <v>96</v>
      </c>
      <c r="F1347" s="400" t="s">
        <v>1787</v>
      </c>
      <c r="G1347" s="400"/>
      <c r="H1347" s="400"/>
      <c r="I1347" s="400"/>
      <c r="J1347" s="400"/>
      <c r="K1347" s="400">
        <v>1</v>
      </c>
      <c r="L1347" s="400" t="s">
        <v>3333</v>
      </c>
      <c r="M1347" s="402" t="s">
        <v>4081</v>
      </c>
      <c r="N1347" s="400"/>
      <c r="O1347" s="428" t="s">
        <v>3477</v>
      </c>
      <c r="P1347" s="428"/>
      <c r="Q1347" s="399" t="s">
        <v>4095</v>
      </c>
      <c r="R1347" s="428" t="s">
        <v>4093</v>
      </c>
      <c r="S1347" s="399"/>
      <c r="T1347" s="399" t="s">
        <v>4096</v>
      </c>
      <c r="U1347" s="399"/>
      <c r="V1347" s="399"/>
      <c r="W1347" s="399"/>
      <c r="X1347" s="400"/>
      <c r="Y1347" s="399" t="s">
        <v>208</v>
      </c>
      <c r="Z1347" s="399"/>
      <c r="AA1347" s="399" t="s">
        <v>113</v>
      </c>
      <c r="AB1347" s="399" t="s">
        <v>1889</v>
      </c>
      <c r="AC1347" s="532"/>
      <c r="AD1347" s="400"/>
      <c r="AE1347" s="399"/>
      <c r="AF1347" s="399"/>
      <c r="AG1347" s="399"/>
      <c r="AH1347" s="532"/>
      <c r="AI1347" s="399"/>
      <c r="AJ1347" s="400"/>
      <c r="AK1347" s="399"/>
      <c r="AL1347" s="399"/>
      <c r="AM1347" s="399"/>
      <c r="AN1347" s="399"/>
      <c r="AO1347" s="399"/>
      <c r="AP1347" s="399"/>
      <c r="AQ1347" s="399"/>
      <c r="AR1347" s="399"/>
      <c r="AS1347" s="409" t="s">
        <v>4100</v>
      </c>
      <c r="AT1347" s="399"/>
      <c r="AU1347" s="399"/>
      <c r="AV1347" s="399"/>
      <c r="AW1347" s="541"/>
      <c r="AX1347" s="541"/>
      <c r="AY1347" s="541"/>
      <c r="AZ1347" s="541"/>
      <c r="BA1347" s="541"/>
      <c r="BB1347" s="438" t="str">
        <f>HYPERLINK("https://github.com/who-int/Data-Dictionary-Mapping/issues/24","24")</f>
        <v>24</v>
      </c>
      <c r="BC1347" s="399" t="str">
        <f t="shared" si="2"/>
        <v/>
      </c>
      <c r="BD1347" s="399"/>
      <c r="BE1347" s="399"/>
      <c r="BF1347" s="399"/>
      <c r="BG1347" s="540"/>
      <c r="BH1347" s="407"/>
      <c r="BI1347" s="552"/>
      <c r="BJ1347" s="543"/>
      <c r="BK1347" s="46">
        <f t="shared" si="1"/>
        <v>1</v>
      </c>
      <c r="BL1347" s="46">
        <f t="shared" si="3"/>
        <v>0</v>
      </c>
      <c r="BM1347" s="46">
        <f t="shared" si="4"/>
        <v>1</v>
      </c>
      <c r="BN1347" s="46">
        <f t="shared" si="5"/>
        <v>0</v>
      </c>
    </row>
    <row r="1348" spans="1:66" ht="12.75" customHeight="1">
      <c r="A1348" s="399">
        <v>1358</v>
      </c>
      <c r="B1348" s="399" t="s">
        <v>4102</v>
      </c>
      <c r="C1348" s="399" t="str">
        <f t="shared" si="0"/>
        <v>Sexually active</v>
      </c>
      <c r="D1348" s="400" t="s">
        <v>4102</v>
      </c>
      <c r="E1348" s="399" t="s">
        <v>96</v>
      </c>
      <c r="F1348" s="400" t="s">
        <v>1787</v>
      </c>
      <c r="G1348" s="400"/>
      <c r="H1348" s="400"/>
      <c r="I1348" s="400"/>
      <c r="J1348" s="400"/>
      <c r="K1348" s="400">
        <v>1</v>
      </c>
      <c r="L1348" s="400" t="s">
        <v>3333</v>
      </c>
      <c r="M1348" s="402" t="s">
        <v>3499</v>
      </c>
      <c r="N1348" s="400"/>
      <c r="O1348" s="428" t="s">
        <v>3477</v>
      </c>
      <c r="P1348" s="428"/>
      <c r="Q1348" s="399" t="s">
        <v>4104</v>
      </c>
      <c r="R1348" s="428" t="s">
        <v>4102</v>
      </c>
      <c r="S1348" s="399"/>
      <c r="T1348" s="399" t="s">
        <v>4105</v>
      </c>
      <c r="U1348" s="399"/>
      <c r="V1348" s="399"/>
      <c r="W1348" s="399"/>
      <c r="X1348" s="400"/>
      <c r="Y1348" s="399" t="s">
        <v>208</v>
      </c>
      <c r="Z1348" s="399"/>
      <c r="AA1348" s="399" t="s">
        <v>113</v>
      </c>
      <c r="AB1348" s="399" t="s">
        <v>1889</v>
      </c>
      <c r="AC1348" s="532"/>
      <c r="AD1348" s="400"/>
      <c r="AE1348" s="399"/>
      <c r="AF1348" s="399"/>
      <c r="AG1348" s="399"/>
      <c r="AH1348" s="532"/>
      <c r="AI1348" s="399"/>
      <c r="AJ1348" s="400"/>
      <c r="AK1348" s="399"/>
      <c r="AL1348" s="399"/>
      <c r="AM1348" s="399"/>
      <c r="AN1348" s="399"/>
      <c r="AO1348" s="399"/>
      <c r="AP1348" s="399"/>
      <c r="AQ1348" s="399"/>
      <c r="AR1348" s="399"/>
      <c r="AS1348" s="409" t="s">
        <v>4107</v>
      </c>
      <c r="AT1348" s="399"/>
      <c r="AU1348" s="399"/>
      <c r="AV1348" s="579" t="s">
        <v>5195</v>
      </c>
      <c r="AW1348" s="580" t="s">
        <v>5196</v>
      </c>
      <c r="AX1348" s="541"/>
      <c r="AY1348" s="541"/>
      <c r="AZ1348" s="541"/>
      <c r="BA1348" s="541"/>
      <c r="BB1348" s="438" t="str">
        <f>HYPERLINK("https://github.com/who-int/Data-Dictionary-Mapping/issues/25","25")</f>
        <v>25</v>
      </c>
      <c r="BC1348" s="399" t="str">
        <f t="shared" si="2"/>
        <v/>
      </c>
      <c r="BD1348" s="553"/>
      <c r="BE1348" s="399"/>
      <c r="BF1348" s="399"/>
      <c r="BG1348" s="540"/>
      <c r="BH1348" s="407"/>
      <c r="BI1348" s="554"/>
      <c r="BJ1348" s="543"/>
      <c r="BK1348" s="46">
        <f t="shared" si="1"/>
        <v>1</v>
      </c>
      <c r="BL1348" s="46">
        <f t="shared" si="3"/>
        <v>0</v>
      </c>
      <c r="BM1348" s="46">
        <f t="shared" si="4"/>
        <v>1</v>
      </c>
      <c r="BN1348" s="46">
        <f t="shared" si="5"/>
        <v>0</v>
      </c>
    </row>
    <row r="1349" spans="1:66" ht="12.75" customHeight="1">
      <c r="A1349" s="399">
        <v>1359</v>
      </c>
      <c r="B1349" s="399" t="s">
        <v>5197</v>
      </c>
      <c r="C1349" s="399" t="str">
        <f t="shared" si="0"/>
        <v>Risk assessment conducted</v>
      </c>
      <c r="D1349" s="400" t="s">
        <v>5197</v>
      </c>
      <c r="E1349" s="399" t="s">
        <v>96</v>
      </c>
      <c r="F1349" s="400" t="s">
        <v>1787</v>
      </c>
      <c r="G1349" s="400"/>
      <c r="H1349" s="400"/>
      <c r="I1349" s="400"/>
      <c r="J1349" s="400"/>
      <c r="K1349" s="400">
        <v>1</v>
      </c>
      <c r="L1349" s="400" t="s">
        <v>3333</v>
      </c>
      <c r="M1349" s="402" t="s">
        <v>3499</v>
      </c>
      <c r="N1349" s="400"/>
      <c r="O1349" s="428" t="s">
        <v>4113</v>
      </c>
      <c r="P1349" s="428"/>
      <c r="Q1349" s="400" t="s">
        <v>5198</v>
      </c>
      <c r="R1349" s="428" t="s">
        <v>5197</v>
      </c>
      <c r="S1349" s="400"/>
      <c r="T1349" s="400" t="s">
        <v>5199</v>
      </c>
      <c r="U1349" s="400" t="s">
        <v>3169</v>
      </c>
      <c r="V1349" s="399"/>
      <c r="W1349" s="399" t="s">
        <v>3170</v>
      </c>
      <c r="X1349" s="400"/>
      <c r="Y1349" s="399" t="s">
        <v>208</v>
      </c>
      <c r="Z1349" s="400"/>
      <c r="AA1349" s="399" t="s">
        <v>113</v>
      </c>
      <c r="AB1349" s="400" t="s">
        <v>1889</v>
      </c>
      <c r="AC1349" s="532"/>
      <c r="AD1349" s="400"/>
      <c r="AE1349" s="400"/>
      <c r="AF1349" s="400"/>
      <c r="AG1349" s="399"/>
      <c r="AH1349" s="532"/>
      <c r="AI1349" s="400"/>
      <c r="AJ1349" s="400"/>
      <c r="AK1349" s="399"/>
      <c r="AL1349" s="399"/>
      <c r="AM1349" s="399"/>
      <c r="AN1349" s="399"/>
      <c r="AO1349" s="399"/>
      <c r="AP1349" s="399"/>
      <c r="AQ1349" s="399"/>
      <c r="AR1349" s="399"/>
      <c r="AS1349" s="409" t="s">
        <v>5200</v>
      </c>
      <c r="AT1349" s="400"/>
      <c r="AU1349" s="400"/>
      <c r="AV1349" s="400"/>
      <c r="AW1349" s="541"/>
      <c r="AX1349" s="541"/>
      <c r="AY1349" s="541"/>
      <c r="AZ1349" s="541"/>
      <c r="BA1349" s="541"/>
      <c r="BB1349" s="572" t="str">
        <f>HYPERLINK("https://github.com/who-int/Data-Dictionary-Mapping/issues/26","26")</f>
        <v>26</v>
      </c>
      <c r="BC1349" s="399" t="str">
        <f t="shared" si="2"/>
        <v/>
      </c>
      <c r="BD1349" s="400"/>
      <c r="BE1349" s="400"/>
      <c r="BF1349" s="400"/>
      <c r="BG1349" s="540"/>
      <c r="BH1349" s="407"/>
      <c r="BI1349" s="407"/>
      <c r="BJ1349" s="543"/>
      <c r="BK1349" s="46">
        <f t="shared" si="1"/>
        <v>1</v>
      </c>
      <c r="BL1349" s="46">
        <f t="shared" si="3"/>
        <v>0</v>
      </c>
      <c r="BM1349" s="46">
        <f t="shared" si="4"/>
        <v>1</v>
      </c>
      <c r="BN1349" s="46">
        <f t="shared" si="5"/>
        <v>0</v>
      </c>
    </row>
    <row r="1350" spans="1:66" ht="12.75" customHeight="1">
      <c r="A1350" s="399">
        <v>1360</v>
      </c>
      <c r="B1350" s="399" t="s">
        <v>5203</v>
      </c>
      <c r="C1350" s="399" t="str">
        <f t="shared" si="0"/>
        <v>STI risk assessment factors</v>
      </c>
      <c r="D1350" s="400" t="s">
        <v>5203</v>
      </c>
      <c r="E1350" s="399" t="s">
        <v>96</v>
      </c>
      <c r="F1350" s="400" t="s">
        <v>1787</v>
      </c>
      <c r="G1350" s="400"/>
      <c r="H1350" s="400"/>
      <c r="I1350" s="400"/>
      <c r="J1350" s="400"/>
      <c r="K1350" s="400">
        <v>1</v>
      </c>
      <c r="L1350" s="400" t="s">
        <v>3333</v>
      </c>
      <c r="M1350" s="402" t="s">
        <v>3499</v>
      </c>
      <c r="N1350" s="400"/>
      <c r="O1350" s="428" t="s">
        <v>4113</v>
      </c>
      <c r="P1350" s="574"/>
      <c r="Q1350" s="400" t="s">
        <v>5204</v>
      </c>
      <c r="R1350" s="428" t="s">
        <v>5203</v>
      </c>
      <c r="S1350" s="399"/>
      <c r="T1350" s="399" t="s">
        <v>5205</v>
      </c>
      <c r="U1350" s="400" t="s">
        <v>4823</v>
      </c>
      <c r="V1350" s="399"/>
      <c r="W1350" s="399"/>
      <c r="X1350" s="400"/>
      <c r="Y1350" s="399" t="s">
        <v>208</v>
      </c>
      <c r="Z1350" s="400"/>
      <c r="AA1350" s="399" t="s">
        <v>113</v>
      </c>
      <c r="AB1350" s="400" t="s">
        <v>1889</v>
      </c>
      <c r="AC1350" s="532"/>
      <c r="AD1350" s="400"/>
      <c r="AE1350" s="400"/>
      <c r="AF1350" s="400"/>
      <c r="AG1350" s="399" t="s">
        <v>5207</v>
      </c>
      <c r="AH1350" s="532"/>
      <c r="AI1350" s="400"/>
      <c r="AJ1350" s="400"/>
      <c r="AK1350" s="399"/>
      <c r="AL1350" s="399"/>
      <c r="AM1350" s="399"/>
      <c r="AN1350" s="399"/>
      <c r="AO1350" s="399"/>
      <c r="AP1350" s="399"/>
      <c r="AQ1350" s="399"/>
      <c r="AR1350" s="399"/>
      <c r="AS1350" s="409" t="s">
        <v>5211</v>
      </c>
      <c r="AT1350" s="400"/>
      <c r="AU1350" s="400"/>
      <c r="AV1350" s="400"/>
      <c r="AW1350" s="541"/>
      <c r="AX1350" s="541"/>
      <c r="AY1350" s="541"/>
      <c r="AZ1350" s="541"/>
      <c r="BA1350" s="541"/>
      <c r="BB1350" s="572" t="str">
        <f>HYPERLINK("https://github.com/who-int/Data-Dictionary-Mapping/issues/14","14")</f>
        <v>14</v>
      </c>
      <c r="BC1350" s="399" t="str">
        <f t="shared" si="2"/>
        <v/>
      </c>
      <c r="BD1350" s="400"/>
      <c r="BE1350" s="400"/>
      <c r="BF1350" s="400"/>
      <c r="BG1350" s="540"/>
      <c r="BH1350" s="407"/>
      <c r="BI1350" s="407"/>
      <c r="BJ1350" s="543"/>
      <c r="BK1350" s="46">
        <f t="shared" si="1"/>
        <v>1</v>
      </c>
      <c r="BL1350" s="46">
        <f t="shared" si="3"/>
        <v>0</v>
      </c>
      <c r="BM1350" s="46">
        <f t="shared" si="4"/>
        <v>1</v>
      </c>
      <c r="BN1350" s="46">
        <f t="shared" si="5"/>
        <v>0</v>
      </c>
    </row>
    <row r="1351" spans="1:66" ht="12.75" customHeight="1">
      <c r="A1351" s="399">
        <v>1361</v>
      </c>
      <c r="B1351" s="399" t="s">
        <v>4112</v>
      </c>
      <c r="C1351" s="399" t="str">
        <f t="shared" si="0"/>
        <v>Clinical observations</v>
      </c>
      <c r="D1351" s="400" t="s">
        <v>4112</v>
      </c>
      <c r="E1351" s="399" t="s">
        <v>96</v>
      </c>
      <c r="F1351" s="400" t="s">
        <v>1787</v>
      </c>
      <c r="G1351" s="400"/>
      <c r="H1351" s="400"/>
      <c r="I1351" s="400"/>
      <c r="J1351" s="400"/>
      <c r="K1351" s="400">
        <v>1</v>
      </c>
      <c r="L1351" s="400" t="s">
        <v>3333</v>
      </c>
      <c r="M1351" s="402" t="s">
        <v>4081</v>
      </c>
      <c r="N1351" s="400"/>
      <c r="O1351" s="428" t="s">
        <v>4119</v>
      </c>
      <c r="P1351" s="428"/>
      <c r="Q1351" s="399" t="s">
        <v>4115</v>
      </c>
      <c r="R1351" s="428" t="s">
        <v>4112</v>
      </c>
      <c r="S1351" s="399"/>
      <c r="T1351" s="399" t="s">
        <v>4116</v>
      </c>
      <c r="U1351" s="399"/>
      <c r="V1351" s="399"/>
      <c r="W1351" s="399"/>
      <c r="X1351" s="400"/>
      <c r="Y1351" s="399" t="s">
        <v>208</v>
      </c>
      <c r="Z1351" s="399"/>
      <c r="AA1351" s="399" t="s">
        <v>113</v>
      </c>
      <c r="AB1351" s="399" t="s">
        <v>3178</v>
      </c>
      <c r="AC1351" s="532"/>
      <c r="AD1351" s="400"/>
      <c r="AE1351" s="399"/>
      <c r="AF1351" s="399"/>
      <c r="AG1351" s="399"/>
      <c r="AH1351" s="532"/>
      <c r="AI1351" s="399"/>
      <c r="AJ1351" s="400"/>
      <c r="AK1351" s="399"/>
      <c r="AL1351" s="399"/>
      <c r="AM1351" s="399"/>
      <c r="AN1351" s="399"/>
      <c r="AO1351" s="399"/>
      <c r="AP1351" s="399"/>
      <c r="AQ1351" s="399"/>
      <c r="AR1351" s="399"/>
      <c r="AS1351" s="399"/>
      <c r="AT1351" s="399"/>
      <c r="AU1351" s="399"/>
      <c r="AV1351" s="399"/>
      <c r="AW1351" s="541"/>
      <c r="AX1351" s="541"/>
      <c r="AY1351" s="541"/>
      <c r="AZ1351" s="541"/>
      <c r="BA1351" s="541"/>
      <c r="BB1351" s="399"/>
      <c r="BC1351" s="399" t="str">
        <f t="shared" si="2"/>
        <v/>
      </c>
      <c r="BD1351" s="399"/>
      <c r="BE1351" s="399"/>
      <c r="BF1351" s="399"/>
      <c r="BG1351" s="540"/>
      <c r="BH1351" s="407"/>
      <c r="BI1351" s="407"/>
      <c r="BJ1351" s="543"/>
      <c r="BK1351" s="46">
        <f t="shared" si="1"/>
        <v>1</v>
      </c>
      <c r="BL1351" s="46">
        <f t="shared" si="3"/>
        <v>0</v>
      </c>
      <c r="BM1351" s="46">
        <f t="shared" si="4"/>
        <v>1</v>
      </c>
      <c r="BN1351" s="46">
        <f t="shared" si="5"/>
        <v>0</v>
      </c>
    </row>
    <row r="1352" spans="1:66" ht="12.75" customHeight="1">
      <c r="A1352" s="399">
        <v>1362</v>
      </c>
      <c r="B1352" s="399" t="s">
        <v>3337</v>
      </c>
      <c r="C1352" s="399" t="str">
        <f t="shared" si="0"/>
        <v>Reason for visit</v>
      </c>
      <c r="D1352" s="400" t="s">
        <v>3337</v>
      </c>
      <c r="E1352" s="399" t="s">
        <v>96</v>
      </c>
      <c r="F1352" s="400" t="s">
        <v>1787</v>
      </c>
      <c r="G1352" s="400"/>
      <c r="H1352" s="402"/>
      <c r="I1352" s="400"/>
      <c r="J1352" s="400"/>
      <c r="K1352" s="400">
        <v>1</v>
      </c>
      <c r="L1352" s="400" t="s">
        <v>3333</v>
      </c>
      <c r="M1352" s="402" t="s">
        <v>3334</v>
      </c>
      <c r="N1352" s="402"/>
      <c r="O1352" s="428" t="s">
        <v>4119</v>
      </c>
      <c r="P1352" s="581"/>
      <c r="Q1352" s="399" t="s">
        <v>3336</v>
      </c>
      <c r="R1352" s="428" t="s">
        <v>3337</v>
      </c>
      <c r="S1352" s="399"/>
      <c r="T1352" s="399" t="s">
        <v>3338</v>
      </c>
      <c r="U1352" s="399" t="s">
        <v>4823</v>
      </c>
      <c r="V1352" s="399"/>
      <c r="W1352" s="493"/>
      <c r="X1352" s="582"/>
      <c r="Y1352" s="399" t="s">
        <v>208</v>
      </c>
      <c r="Z1352" s="399"/>
      <c r="AA1352" s="399" t="s">
        <v>113</v>
      </c>
      <c r="AB1352" s="399" t="s">
        <v>3098</v>
      </c>
      <c r="AC1352" s="532"/>
      <c r="AD1352" s="400"/>
      <c r="AE1352" s="399"/>
      <c r="AF1352" s="517"/>
      <c r="AG1352" s="399"/>
      <c r="AH1352" s="532"/>
      <c r="AI1352" s="517"/>
      <c r="AJ1352" s="400"/>
      <c r="AK1352" s="399"/>
      <c r="AL1352" s="499" t="s">
        <v>5218</v>
      </c>
      <c r="AM1352" s="500" t="s">
        <v>5219</v>
      </c>
      <c r="AN1352" s="458"/>
      <c r="AO1352" s="409" t="s">
        <v>3100</v>
      </c>
      <c r="AP1352" s="409" t="s">
        <v>3101</v>
      </c>
      <c r="AQ1352" s="415" t="s">
        <v>5220</v>
      </c>
      <c r="AR1352" s="399"/>
      <c r="AS1352" s="409"/>
      <c r="AT1352" s="399"/>
      <c r="AU1352" s="399"/>
      <c r="AV1352" s="399"/>
      <c r="AW1352" s="541"/>
      <c r="AX1352" s="541"/>
      <c r="AY1352" s="541"/>
      <c r="AZ1352" s="541"/>
      <c r="BA1352" s="489"/>
      <c r="BB1352" s="399"/>
      <c r="BC1352" s="399" t="str">
        <f t="shared" si="2"/>
        <v/>
      </c>
      <c r="BD1352" s="399"/>
      <c r="BE1352" s="399"/>
      <c r="BF1352" s="399"/>
      <c r="BG1352" s="540"/>
      <c r="BH1352" s="407"/>
      <c r="BI1352" s="407"/>
      <c r="BJ1352" s="543"/>
      <c r="BK1352" s="46">
        <f t="shared" si="1"/>
        <v>1</v>
      </c>
      <c r="BL1352" s="46">
        <f t="shared" si="3"/>
        <v>1</v>
      </c>
      <c r="BM1352" s="46">
        <f t="shared" si="4"/>
        <v>0</v>
      </c>
      <c r="BN1352" s="46">
        <f t="shared" si="5"/>
        <v>0</v>
      </c>
    </row>
    <row r="1353" spans="1:66" ht="12.75" customHeight="1">
      <c r="A1353" s="399">
        <v>1363</v>
      </c>
      <c r="B1353" s="399" t="s">
        <v>3344</v>
      </c>
      <c r="C1353" s="399" t="e">
        <f t="shared" ca="1" si="0"/>
        <v>#NAME?</v>
      </c>
      <c r="D1353" s="400" t="s">
        <v>3347</v>
      </c>
      <c r="E1353" s="399" t="s">
        <v>180</v>
      </c>
      <c r="F1353" s="400" t="s">
        <v>3337</v>
      </c>
      <c r="G1353" s="400"/>
      <c r="H1353" s="400"/>
      <c r="I1353" s="400"/>
      <c r="J1353" s="400"/>
      <c r="K1353" s="400">
        <v>1</v>
      </c>
      <c r="L1353" s="400" t="s">
        <v>3333</v>
      </c>
      <c r="M1353" s="402" t="s">
        <v>3334</v>
      </c>
      <c r="N1353" s="402"/>
      <c r="O1353" s="428" t="s">
        <v>4119</v>
      </c>
      <c r="P1353" s="581"/>
      <c r="Q1353" s="399" t="s">
        <v>3345</v>
      </c>
      <c r="R1353" s="428"/>
      <c r="S1353" s="399"/>
      <c r="T1353" s="399" t="s">
        <v>3346</v>
      </c>
      <c r="U1353" s="399"/>
      <c r="V1353" s="399"/>
      <c r="W1353" s="493" t="s">
        <v>3347</v>
      </c>
      <c r="X1353" s="582"/>
      <c r="Y1353" s="399" t="s">
        <v>208</v>
      </c>
      <c r="Z1353" s="399"/>
      <c r="AA1353" s="399" t="s">
        <v>113</v>
      </c>
      <c r="AB1353" s="399" t="s">
        <v>3178</v>
      </c>
      <c r="AC1353" s="532"/>
      <c r="AD1353" s="400"/>
      <c r="AE1353" s="399"/>
      <c r="AF1353" s="399"/>
      <c r="AG1353" s="399"/>
      <c r="AH1353" s="532"/>
      <c r="AI1353" s="399"/>
      <c r="AJ1353" s="400"/>
      <c r="AK1353" s="399"/>
      <c r="AL1353" s="458"/>
      <c r="AM1353" s="458"/>
      <c r="AN1353" s="458"/>
      <c r="AO1353" s="399"/>
      <c r="AP1353" s="399"/>
      <c r="AQ1353" s="399"/>
      <c r="AR1353" s="399"/>
      <c r="AS1353" s="409" t="s">
        <v>3348</v>
      </c>
      <c r="AT1353" s="399"/>
      <c r="AU1353" s="399"/>
      <c r="AV1353" s="409">
        <v>169450001</v>
      </c>
      <c r="AW1353" s="541"/>
      <c r="AX1353" s="541"/>
      <c r="AY1353" s="541"/>
      <c r="AZ1353" s="541"/>
      <c r="BA1353" s="541"/>
      <c r="BB1353" s="409" t="s">
        <v>3350</v>
      </c>
      <c r="BC1353" s="399" t="e">
        <f t="shared" ca="1" si="2"/>
        <v>#NAME?</v>
      </c>
      <c r="BD1353" s="399"/>
      <c r="BE1353" s="399"/>
      <c r="BF1353" s="399"/>
      <c r="BG1353" s="540"/>
      <c r="BH1353" s="407"/>
      <c r="BI1353" s="407"/>
      <c r="BJ1353" s="543"/>
      <c r="BK1353" s="46">
        <f t="shared" si="1"/>
        <v>1</v>
      </c>
      <c r="BL1353" s="46">
        <f t="shared" si="3"/>
        <v>1</v>
      </c>
      <c r="BM1353" s="46">
        <f t="shared" si="4"/>
        <v>0</v>
      </c>
      <c r="BN1353" s="46">
        <f t="shared" si="5"/>
        <v>0</v>
      </c>
    </row>
    <row r="1354" spans="1:66" ht="12.75" customHeight="1">
      <c r="A1354" s="399">
        <v>1364</v>
      </c>
      <c r="B1354" s="399" t="s">
        <v>3351</v>
      </c>
      <c r="C1354" s="399" t="e">
        <f t="shared" ca="1" si="0"/>
        <v>#NAME?</v>
      </c>
      <c r="D1354" s="400" t="s">
        <v>3354</v>
      </c>
      <c r="E1354" s="399" t="s">
        <v>180</v>
      </c>
      <c r="F1354" s="400" t="s">
        <v>3337</v>
      </c>
      <c r="G1354" s="400"/>
      <c r="H1354" s="400"/>
      <c r="I1354" s="400"/>
      <c r="J1354" s="400"/>
      <c r="K1354" s="400">
        <v>1</v>
      </c>
      <c r="L1354" s="400" t="s">
        <v>3333</v>
      </c>
      <c r="M1354" s="402" t="s">
        <v>3334</v>
      </c>
      <c r="N1354" s="402"/>
      <c r="O1354" s="428" t="s">
        <v>4119</v>
      </c>
      <c r="P1354" s="574"/>
      <c r="Q1354" s="399" t="s">
        <v>3352</v>
      </c>
      <c r="R1354" s="560"/>
      <c r="S1354" s="400"/>
      <c r="T1354" s="400" t="s">
        <v>3353</v>
      </c>
      <c r="U1354" s="400"/>
      <c r="V1354" s="399"/>
      <c r="W1354" s="399" t="s">
        <v>3354</v>
      </c>
      <c r="X1354" s="399"/>
      <c r="Y1354" s="399" t="s">
        <v>208</v>
      </c>
      <c r="Z1354" s="400"/>
      <c r="AA1354" s="399" t="s">
        <v>113</v>
      </c>
      <c r="AB1354" s="400" t="s">
        <v>1889</v>
      </c>
      <c r="AC1354" s="532"/>
      <c r="AD1354" s="400"/>
      <c r="AE1354" s="400"/>
      <c r="AF1354" s="400"/>
      <c r="AG1354" s="399"/>
      <c r="AH1354" s="532"/>
      <c r="AI1354" s="400"/>
      <c r="AJ1354" s="400"/>
      <c r="AK1354" s="399"/>
      <c r="AL1354" s="458"/>
      <c r="AM1354" s="458"/>
      <c r="AN1354" s="458"/>
      <c r="AO1354" s="399"/>
      <c r="AP1354" s="399"/>
      <c r="AQ1354" s="399"/>
      <c r="AR1354" s="399"/>
      <c r="AS1354" s="409" t="s">
        <v>3162</v>
      </c>
      <c r="AT1354" s="409" t="s">
        <v>5230</v>
      </c>
      <c r="AU1354" s="399"/>
      <c r="AV1354" s="583">
        <v>408968008</v>
      </c>
      <c r="AW1354" s="541"/>
      <c r="AX1354" s="584"/>
      <c r="AY1354" s="541"/>
      <c r="AZ1354" s="541"/>
      <c r="BA1354" s="541"/>
      <c r="BB1354" s="400"/>
      <c r="BC1354" s="399" t="e">
        <f t="shared" ca="1" si="2"/>
        <v>#NAME?</v>
      </c>
      <c r="BD1354" s="400"/>
      <c r="BE1354" s="400"/>
      <c r="BF1354" s="400"/>
      <c r="BG1354" s="540"/>
      <c r="BH1354" s="497" t="s">
        <v>3355</v>
      </c>
      <c r="BI1354" s="407"/>
      <c r="BJ1354" s="543"/>
      <c r="BK1354" s="46">
        <f t="shared" si="1"/>
        <v>1</v>
      </c>
      <c r="BL1354" s="46">
        <f t="shared" si="3"/>
        <v>1</v>
      </c>
      <c r="BM1354" s="46">
        <f t="shared" si="4"/>
        <v>0</v>
      </c>
      <c r="BN1354" s="46">
        <f t="shared" si="5"/>
        <v>0</v>
      </c>
    </row>
    <row r="1355" spans="1:66" ht="12.75" customHeight="1">
      <c r="A1355" s="399">
        <v>1365</v>
      </c>
      <c r="B1355" s="399" t="s">
        <v>3357</v>
      </c>
      <c r="C1355" s="399" t="e">
        <f t="shared" ca="1" si="0"/>
        <v>#NAME?</v>
      </c>
      <c r="D1355" s="400" t="s">
        <v>3360</v>
      </c>
      <c r="E1355" s="399" t="s">
        <v>180</v>
      </c>
      <c r="F1355" s="400" t="s">
        <v>3337</v>
      </c>
      <c r="G1355" s="400"/>
      <c r="H1355" s="400"/>
      <c r="I1355" s="400"/>
      <c r="J1355" s="400"/>
      <c r="K1355" s="400">
        <v>1</v>
      </c>
      <c r="L1355" s="400" t="s">
        <v>3333</v>
      </c>
      <c r="M1355" s="402" t="s">
        <v>3334</v>
      </c>
      <c r="N1355" s="402"/>
      <c r="O1355" s="428" t="s">
        <v>4119</v>
      </c>
      <c r="P1355" s="574"/>
      <c r="Q1355" s="399" t="s">
        <v>3358</v>
      </c>
      <c r="R1355" s="560"/>
      <c r="S1355" s="400"/>
      <c r="T1355" s="400" t="s">
        <v>3359</v>
      </c>
      <c r="U1355" s="400"/>
      <c r="V1355" s="399"/>
      <c r="W1355" s="493" t="s">
        <v>3360</v>
      </c>
      <c r="X1355" s="493"/>
      <c r="Y1355" s="399" t="s">
        <v>208</v>
      </c>
      <c r="Z1355" s="400"/>
      <c r="AA1355" s="399" t="s">
        <v>113</v>
      </c>
      <c r="AB1355" s="400" t="s">
        <v>1889</v>
      </c>
      <c r="AC1355" s="532"/>
      <c r="AD1355" s="400"/>
      <c r="AE1355" s="400"/>
      <c r="AF1355" s="400" t="s">
        <v>5239</v>
      </c>
      <c r="AG1355" s="399"/>
      <c r="AH1355" s="532"/>
      <c r="AI1355" s="400"/>
      <c r="AJ1355" s="400"/>
      <c r="AK1355" s="399"/>
      <c r="AL1355" s="458"/>
      <c r="AM1355" s="458"/>
      <c r="AN1355" s="458"/>
      <c r="AO1355" s="399"/>
      <c r="AP1355" s="399"/>
      <c r="AQ1355" s="399"/>
      <c r="AR1355" s="399"/>
      <c r="AS1355" s="409" t="s">
        <v>3162</v>
      </c>
      <c r="AT1355" s="494" t="s">
        <v>5240</v>
      </c>
      <c r="AU1355" s="493"/>
      <c r="AV1355" s="400"/>
      <c r="AW1355" s="541"/>
      <c r="AX1355" s="541"/>
      <c r="AY1355" s="541"/>
      <c r="AZ1355" s="541"/>
      <c r="BA1355" s="541"/>
      <c r="BB1355" s="400"/>
      <c r="BC1355" s="399" t="e">
        <f t="shared" ca="1" si="2"/>
        <v>#NAME?</v>
      </c>
      <c r="BD1355" s="400"/>
      <c r="BE1355" s="400"/>
      <c r="BF1355" s="400"/>
      <c r="BG1355" s="540"/>
      <c r="BH1355" s="528" t="s">
        <v>3362</v>
      </c>
      <c r="BI1355" s="407"/>
      <c r="BJ1355" s="543"/>
      <c r="BK1355" s="46">
        <f t="shared" si="1"/>
        <v>1</v>
      </c>
      <c r="BL1355" s="46">
        <f t="shared" si="3"/>
        <v>1</v>
      </c>
      <c r="BM1355" s="46">
        <f t="shared" si="4"/>
        <v>0</v>
      </c>
      <c r="BN1355" s="46">
        <f t="shared" si="5"/>
        <v>0</v>
      </c>
    </row>
    <row r="1356" spans="1:66" ht="12.75" customHeight="1">
      <c r="A1356" s="399">
        <v>1366</v>
      </c>
      <c r="B1356" s="399" t="s">
        <v>3367</v>
      </c>
      <c r="C1356" s="399" t="e">
        <f t="shared" ca="1" si="0"/>
        <v>#NAME?</v>
      </c>
      <c r="D1356" s="400" t="s">
        <v>5242</v>
      </c>
      <c r="E1356" s="399" t="s">
        <v>180</v>
      </c>
      <c r="F1356" s="400" t="s">
        <v>3337</v>
      </c>
      <c r="G1356" s="400"/>
      <c r="H1356" s="400"/>
      <c r="I1356" s="400"/>
      <c r="J1356" s="400"/>
      <c r="K1356" s="400">
        <v>1</v>
      </c>
      <c r="L1356" s="400" t="s">
        <v>3333</v>
      </c>
      <c r="M1356" s="402" t="s">
        <v>3334</v>
      </c>
      <c r="N1356" s="402"/>
      <c r="O1356" s="428" t="s">
        <v>4119</v>
      </c>
      <c r="P1356" s="574"/>
      <c r="Q1356" s="399" t="s">
        <v>3364</v>
      </c>
      <c r="R1356" s="560"/>
      <c r="S1356" s="400"/>
      <c r="T1356" s="400" t="s">
        <v>3346</v>
      </c>
      <c r="U1356" s="400"/>
      <c r="V1356" s="399"/>
      <c r="W1356" s="399" t="s">
        <v>5242</v>
      </c>
      <c r="X1356" s="399"/>
      <c r="Y1356" s="399" t="s">
        <v>208</v>
      </c>
      <c r="Z1356" s="400"/>
      <c r="AA1356" s="399" t="s">
        <v>113</v>
      </c>
      <c r="AB1356" s="400" t="s">
        <v>1889</v>
      </c>
      <c r="AC1356" s="532"/>
      <c r="AD1356" s="400"/>
      <c r="AE1356" s="400"/>
      <c r="AF1356" s="399" t="s">
        <v>5239</v>
      </c>
      <c r="AG1356" s="399"/>
      <c r="AH1356" s="532"/>
      <c r="AI1356" s="399"/>
      <c r="AJ1356" s="400"/>
      <c r="AK1356" s="399"/>
      <c r="AL1356" s="458"/>
      <c r="AM1356" s="458"/>
      <c r="AN1356" s="458"/>
      <c r="AO1356" s="399"/>
      <c r="AP1356" s="399"/>
      <c r="AQ1356" s="399"/>
      <c r="AR1356" s="399"/>
      <c r="AS1356" s="399"/>
      <c r="AT1356" s="399" t="s">
        <v>3368</v>
      </c>
      <c r="AU1356" s="399"/>
      <c r="AV1356" s="400"/>
      <c r="AW1356" s="541"/>
      <c r="AX1356" s="541"/>
      <c r="AY1356" s="541"/>
      <c r="AZ1356" s="541"/>
      <c r="BA1356" s="541"/>
      <c r="BB1356" s="400"/>
      <c r="BC1356" s="399" t="e">
        <f t="shared" ca="1" si="2"/>
        <v>#NAME?</v>
      </c>
      <c r="BD1356" s="400"/>
      <c r="BE1356" s="400"/>
      <c r="BF1356" s="400"/>
      <c r="BG1356" s="540"/>
      <c r="BH1356" s="407" t="s">
        <v>3368</v>
      </c>
      <c r="BI1356" s="407"/>
      <c r="BJ1356" s="543"/>
      <c r="BK1356" s="46">
        <f t="shared" si="1"/>
        <v>1</v>
      </c>
      <c r="BL1356" s="46">
        <f t="shared" si="3"/>
        <v>1</v>
      </c>
      <c r="BM1356" s="46">
        <f t="shared" si="4"/>
        <v>0</v>
      </c>
      <c r="BN1356" s="46">
        <f t="shared" si="5"/>
        <v>0</v>
      </c>
    </row>
    <row r="1357" spans="1:66" ht="12.75" customHeight="1">
      <c r="A1357" s="399">
        <v>1367</v>
      </c>
      <c r="B1357" s="399" t="s">
        <v>3371</v>
      </c>
      <c r="C1357" s="399" t="e">
        <f t="shared" ca="1" si="0"/>
        <v>#NAME?</v>
      </c>
      <c r="D1357" s="400" t="s">
        <v>3374</v>
      </c>
      <c r="E1357" s="399" t="s">
        <v>180</v>
      </c>
      <c r="F1357" s="400" t="s">
        <v>3337</v>
      </c>
      <c r="G1357" s="400"/>
      <c r="H1357" s="400"/>
      <c r="I1357" s="400"/>
      <c r="J1357" s="400"/>
      <c r="K1357" s="400">
        <v>1</v>
      </c>
      <c r="L1357" s="400" t="s">
        <v>3333</v>
      </c>
      <c r="M1357" s="402" t="s">
        <v>3334</v>
      </c>
      <c r="N1357" s="402"/>
      <c r="O1357" s="428" t="s">
        <v>4119</v>
      </c>
      <c r="P1357" s="574"/>
      <c r="Q1357" s="399" t="s">
        <v>3372</v>
      </c>
      <c r="R1357" s="560"/>
      <c r="S1357" s="400"/>
      <c r="T1357" s="400" t="s">
        <v>3373</v>
      </c>
      <c r="U1357" s="400"/>
      <c r="V1357" s="399"/>
      <c r="W1357" s="399" t="s">
        <v>3374</v>
      </c>
      <c r="X1357" s="399"/>
      <c r="Y1357" s="399" t="s">
        <v>208</v>
      </c>
      <c r="Z1357" s="400"/>
      <c r="AA1357" s="399" t="s">
        <v>113</v>
      </c>
      <c r="AB1357" s="400" t="s">
        <v>1889</v>
      </c>
      <c r="AC1357" s="532"/>
      <c r="AD1357" s="400"/>
      <c r="AE1357" s="400"/>
      <c r="AF1357" s="400"/>
      <c r="AG1357" s="399"/>
      <c r="AH1357" s="532"/>
      <c r="AI1357" s="400"/>
      <c r="AJ1357" s="400"/>
      <c r="AK1357" s="399"/>
      <c r="AL1357" s="458"/>
      <c r="AM1357" s="458"/>
      <c r="AN1357" s="458"/>
      <c r="AO1357" s="399"/>
      <c r="AP1357" s="399"/>
      <c r="AQ1357" s="399"/>
      <c r="AR1357" s="399"/>
      <c r="AS1357" s="409" t="s">
        <v>3162</v>
      </c>
      <c r="AT1357" s="409" t="s">
        <v>5248</v>
      </c>
      <c r="AU1357" s="400"/>
      <c r="AV1357" s="586">
        <v>275813002</v>
      </c>
      <c r="AW1357" s="541"/>
      <c r="AX1357" s="541"/>
      <c r="AY1357" s="541"/>
      <c r="AZ1357" s="541"/>
      <c r="BA1357" s="541"/>
      <c r="BB1357" s="400"/>
      <c r="BC1357" s="399" t="e">
        <f t="shared" ca="1" si="2"/>
        <v>#NAME?</v>
      </c>
      <c r="BD1357" s="400"/>
      <c r="BE1357" s="400"/>
      <c r="BF1357" s="400"/>
      <c r="BG1357" s="540"/>
      <c r="BH1357" s="407" t="s">
        <v>3375</v>
      </c>
      <c r="BI1357" s="407"/>
      <c r="BJ1357" s="543"/>
      <c r="BK1357" s="46">
        <f t="shared" si="1"/>
        <v>1</v>
      </c>
      <c r="BL1357" s="46">
        <f t="shared" si="3"/>
        <v>1</v>
      </c>
      <c r="BM1357" s="46">
        <f t="shared" si="4"/>
        <v>0</v>
      </c>
      <c r="BN1357" s="46">
        <f t="shared" si="5"/>
        <v>0</v>
      </c>
    </row>
    <row r="1358" spans="1:66" ht="12.75" customHeight="1">
      <c r="A1358" s="399">
        <v>1368</v>
      </c>
      <c r="B1358" s="409" t="s">
        <v>3378</v>
      </c>
      <c r="C1358" s="399" t="e">
        <f t="shared" ca="1" si="0"/>
        <v>#NAME?</v>
      </c>
      <c r="D1358" s="400" t="s">
        <v>3381</v>
      </c>
      <c r="E1358" s="399" t="s">
        <v>180</v>
      </c>
      <c r="F1358" s="400" t="s">
        <v>3337</v>
      </c>
      <c r="G1358" s="400"/>
      <c r="H1358" s="400"/>
      <c r="I1358" s="400"/>
      <c r="J1358" s="400"/>
      <c r="K1358" s="400">
        <v>1</v>
      </c>
      <c r="L1358" s="400" t="s">
        <v>3333</v>
      </c>
      <c r="M1358" s="402" t="s">
        <v>3334</v>
      </c>
      <c r="N1358" s="402"/>
      <c r="O1358" s="428" t="s">
        <v>4119</v>
      </c>
      <c r="P1358" s="581"/>
      <c r="Q1358" s="399" t="s">
        <v>3379</v>
      </c>
      <c r="R1358" s="428"/>
      <c r="S1358" s="399"/>
      <c r="T1358" s="399" t="s">
        <v>3380</v>
      </c>
      <c r="U1358" s="399"/>
      <c r="V1358" s="399"/>
      <c r="W1358" s="399" t="s">
        <v>3381</v>
      </c>
      <c r="X1358" s="399"/>
      <c r="Y1358" s="399" t="s">
        <v>208</v>
      </c>
      <c r="Z1358" s="531"/>
      <c r="AA1358" s="399" t="s">
        <v>113</v>
      </c>
      <c r="AB1358" s="399" t="s">
        <v>1889</v>
      </c>
      <c r="AC1358" s="532"/>
      <c r="AD1358" s="400"/>
      <c r="AE1358" s="399"/>
      <c r="AF1358" s="399"/>
      <c r="AG1358" s="399"/>
      <c r="AH1358" s="532"/>
      <c r="AI1358" s="399"/>
      <c r="AJ1358" s="400"/>
      <c r="AK1358" s="399"/>
      <c r="AL1358" s="458"/>
      <c r="AM1358" s="458"/>
      <c r="AN1358" s="458"/>
      <c r="AO1358" s="399"/>
      <c r="AP1358" s="399"/>
      <c r="AQ1358" s="409"/>
      <c r="AR1358" s="409"/>
      <c r="AS1358" s="409"/>
      <c r="AT1358" s="399"/>
      <c r="AU1358" s="399"/>
      <c r="AV1358" s="399"/>
      <c r="AW1358" s="541"/>
      <c r="AX1358" s="541"/>
      <c r="AY1358" s="541"/>
      <c r="AZ1358" s="541"/>
      <c r="BA1358" s="541"/>
      <c r="BB1358" s="399"/>
      <c r="BC1358" s="399" t="e">
        <f t="shared" ca="1" si="2"/>
        <v>#NAME?</v>
      </c>
      <c r="BD1358" s="399"/>
      <c r="BE1358" s="399"/>
      <c r="BF1358" s="399"/>
      <c r="BG1358" s="540"/>
      <c r="BH1358" s="407"/>
      <c r="BI1358" s="407"/>
      <c r="BJ1358" s="543"/>
      <c r="BK1358" s="46">
        <f t="shared" si="1"/>
        <v>1</v>
      </c>
      <c r="BL1358" s="46">
        <f t="shared" si="3"/>
        <v>0</v>
      </c>
      <c r="BM1358" s="46">
        <f t="shared" si="4"/>
        <v>1</v>
      </c>
      <c r="BN1358" s="46">
        <f t="shared" si="5"/>
        <v>0</v>
      </c>
    </row>
    <row r="1359" spans="1:66" ht="12.75" customHeight="1">
      <c r="A1359" s="399">
        <v>1369</v>
      </c>
      <c r="B1359" s="399" t="s">
        <v>3384</v>
      </c>
      <c r="C1359" s="399" t="e">
        <f t="shared" ca="1" si="0"/>
        <v>#NAME?</v>
      </c>
      <c r="D1359" s="400" t="s">
        <v>3387</v>
      </c>
      <c r="E1359" s="399" t="s">
        <v>180</v>
      </c>
      <c r="F1359" s="400" t="s">
        <v>3337</v>
      </c>
      <c r="G1359" s="400"/>
      <c r="H1359" s="402">
        <v>1</v>
      </c>
      <c r="I1359" s="400"/>
      <c r="J1359" s="400"/>
      <c r="K1359" s="400">
        <v>1</v>
      </c>
      <c r="L1359" s="400" t="s">
        <v>3333</v>
      </c>
      <c r="M1359" s="402" t="s">
        <v>3334</v>
      </c>
      <c r="N1359" s="400"/>
      <c r="O1359" s="428" t="s">
        <v>4119</v>
      </c>
      <c r="P1359" s="581"/>
      <c r="Q1359" s="399" t="s">
        <v>3385</v>
      </c>
      <c r="R1359" s="428"/>
      <c r="S1359" s="399"/>
      <c r="T1359" s="399" t="s">
        <v>3386</v>
      </c>
      <c r="U1359" s="399"/>
      <c r="V1359" s="399"/>
      <c r="W1359" s="399" t="s">
        <v>3387</v>
      </c>
      <c r="X1359" s="399"/>
      <c r="Y1359" s="399" t="s">
        <v>208</v>
      </c>
      <c r="Z1359" s="531"/>
      <c r="AA1359" s="399" t="s">
        <v>113</v>
      </c>
      <c r="AB1359" s="399" t="s">
        <v>3178</v>
      </c>
      <c r="AC1359" s="532"/>
      <c r="AD1359" s="400"/>
      <c r="AE1359" s="399" t="s">
        <v>5252</v>
      </c>
      <c r="AF1359" s="399"/>
      <c r="AG1359" s="399" t="s">
        <v>3389</v>
      </c>
      <c r="AH1359" s="532"/>
      <c r="AI1359" s="399"/>
      <c r="AJ1359" s="400"/>
      <c r="AK1359" s="399"/>
      <c r="AL1359" s="587"/>
      <c r="AM1359" s="587"/>
      <c r="AN1359" s="587"/>
      <c r="AO1359" s="410"/>
      <c r="AP1359" s="410"/>
      <c r="AQ1359" s="587"/>
      <c r="AR1359" s="587"/>
      <c r="AS1359" s="458" t="s">
        <v>3162</v>
      </c>
      <c r="AT1359" s="409" t="s">
        <v>5254</v>
      </c>
      <c r="AU1359" s="399"/>
      <c r="AV1359" s="399"/>
      <c r="AW1359" s="541"/>
      <c r="AX1359" s="541"/>
      <c r="AY1359" s="541"/>
      <c r="AZ1359" s="541"/>
      <c r="BA1359" s="541"/>
      <c r="BB1359" s="399"/>
      <c r="BC1359" s="399" t="e">
        <f t="shared" ca="1" si="2"/>
        <v>#NAME?</v>
      </c>
      <c r="BD1359" s="399"/>
      <c r="BE1359" s="399"/>
      <c r="BF1359" s="399"/>
      <c r="BG1359" s="540"/>
      <c r="BH1359" s="407" t="s">
        <v>3391</v>
      </c>
      <c r="BI1359" s="407"/>
      <c r="BJ1359" s="543"/>
      <c r="BK1359" s="46">
        <f t="shared" si="1"/>
        <v>1</v>
      </c>
      <c r="BL1359" s="46">
        <f t="shared" si="3"/>
        <v>1</v>
      </c>
      <c r="BM1359" s="46">
        <f t="shared" si="4"/>
        <v>0</v>
      </c>
      <c r="BN1359" s="46">
        <f t="shared" si="5"/>
        <v>0</v>
      </c>
    </row>
    <row r="1360" spans="1:66" ht="12.75" customHeight="1">
      <c r="A1360" s="399">
        <v>1370</v>
      </c>
      <c r="B1360" s="399" t="s">
        <v>3392</v>
      </c>
      <c r="C1360" s="399" t="e">
        <f t="shared" ca="1" si="0"/>
        <v>#NAME?</v>
      </c>
      <c r="D1360" s="400" t="s">
        <v>3396</v>
      </c>
      <c r="E1360" s="399" t="s">
        <v>180</v>
      </c>
      <c r="F1360" s="400" t="s">
        <v>3337</v>
      </c>
      <c r="G1360" s="400"/>
      <c r="H1360" s="402">
        <v>1</v>
      </c>
      <c r="I1360" s="400"/>
      <c r="J1360" s="400"/>
      <c r="K1360" s="400">
        <v>1</v>
      </c>
      <c r="L1360" s="400" t="s">
        <v>3333</v>
      </c>
      <c r="M1360" s="402" t="s">
        <v>3334</v>
      </c>
      <c r="N1360" s="400"/>
      <c r="O1360" s="428" t="s">
        <v>4119</v>
      </c>
      <c r="P1360" s="581"/>
      <c r="Q1360" s="399" t="s">
        <v>3394</v>
      </c>
      <c r="R1360" s="428"/>
      <c r="S1360" s="399"/>
      <c r="T1360" s="399" t="s">
        <v>3395</v>
      </c>
      <c r="U1360" s="399"/>
      <c r="V1360" s="399"/>
      <c r="W1360" s="399" t="s">
        <v>3396</v>
      </c>
      <c r="X1360" s="399"/>
      <c r="Y1360" s="399" t="s">
        <v>208</v>
      </c>
      <c r="Z1360" s="531"/>
      <c r="AA1360" s="399" t="s">
        <v>113</v>
      </c>
      <c r="AB1360" s="399" t="s">
        <v>3178</v>
      </c>
      <c r="AC1360" s="532"/>
      <c r="AD1360" s="400"/>
      <c r="AE1360" s="399" t="s">
        <v>5252</v>
      </c>
      <c r="AF1360" s="399"/>
      <c r="AG1360" s="399"/>
      <c r="AH1360" s="532"/>
      <c r="AI1360" s="399"/>
      <c r="AJ1360" s="400"/>
      <c r="AK1360" s="399"/>
      <c r="AL1360" s="587"/>
      <c r="AM1360" s="587"/>
      <c r="AN1360" s="587"/>
      <c r="AO1360" s="410"/>
      <c r="AP1360" s="410"/>
      <c r="AQ1360" s="458"/>
      <c r="AR1360" s="458"/>
      <c r="AS1360" s="458" t="s">
        <v>3162</v>
      </c>
      <c r="AT1360" s="409" t="s">
        <v>5257</v>
      </c>
      <c r="AU1360" s="517"/>
      <c r="AV1360" s="517"/>
      <c r="AW1360" s="541"/>
      <c r="AX1360" s="541"/>
      <c r="AY1360" s="541"/>
      <c r="AZ1360" s="541"/>
      <c r="BA1360" s="541"/>
      <c r="BB1360" s="399"/>
      <c r="BC1360" s="399" t="e">
        <f t="shared" ca="1" si="2"/>
        <v>#NAME?</v>
      </c>
      <c r="BD1360" s="399"/>
      <c r="BE1360" s="399"/>
      <c r="BF1360" s="399"/>
      <c r="BG1360" s="540"/>
      <c r="BH1360" s="407" t="s">
        <v>3397</v>
      </c>
      <c r="BI1360" s="414"/>
      <c r="BJ1360" s="543"/>
      <c r="BK1360" s="46">
        <f t="shared" si="1"/>
        <v>1</v>
      </c>
      <c r="BL1360" s="46">
        <f t="shared" si="3"/>
        <v>1</v>
      </c>
      <c r="BM1360" s="46">
        <f t="shared" si="4"/>
        <v>0</v>
      </c>
      <c r="BN1360" s="46">
        <f t="shared" si="5"/>
        <v>0</v>
      </c>
    </row>
    <row r="1361" spans="1:66" ht="12.75" customHeight="1">
      <c r="A1361" s="399">
        <v>1371</v>
      </c>
      <c r="B1361" s="399" t="s">
        <v>3402</v>
      </c>
      <c r="C1361" s="399" t="e">
        <f t="shared" ca="1" si="0"/>
        <v>#NAME?</v>
      </c>
      <c r="D1361" s="400" t="s">
        <v>3401</v>
      </c>
      <c r="E1361" s="399" t="s">
        <v>180</v>
      </c>
      <c r="F1361" s="400" t="s">
        <v>3337</v>
      </c>
      <c r="G1361" s="400"/>
      <c r="H1361" s="400"/>
      <c r="I1361" s="400"/>
      <c r="J1361" s="400"/>
      <c r="K1361" s="400">
        <v>1</v>
      </c>
      <c r="L1361" s="400" t="s">
        <v>3333</v>
      </c>
      <c r="M1361" s="402" t="s">
        <v>3334</v>
      </c>
      <c r="N1361" s="402"/>
      <c r="O1361" s="428" t="s">
        <v>4119</v>
      </c>
      <c r="P1361" s="581"/>
      <c r="Q1361" s="399" t="s">
        <v>3399</v>
      </c>
      <c r="R1361" s="588"/>
      <c r="S1361" s="399"/>
      <c r="T1361" s="399" t="s">
        <v>3400</v>
      </c>
      <c r="U1361" s="493"/>
      <c r="V1361" s="399"/>
      <c r="W1361" s="399" t="s">
        <v>3401</v>
      </c>
      <c r="X1361" s="400"/>
      <c r="Y1361" s="399" t="s">
        <v>208</v>
      </c>
      <c r="Z1361" s="399"/>
      <c r="AA1361" s="399" t="s">
        <v>113</v>
      </c>
      <c r="AB1361" s="399" t="s">
        <v>3178</v>
      </c>
      <c r="AC1361" s="532"/>
      <c r="AD1361" s="400"/>
      <c r="AE1361" s="399"/>
      <c r="AF1361" s="399"/>
      <c r="AG1361" s="399"/>
      <c r="AH1361" s="532"/>
      <c r="AI1361" s="399"/>
      <c r="AJ1361" s="400"/>
      <c r="AK1361" s="399"/>
      <c r="AL1361" s="500"/>
      <c r="AM1361" s="500"/>
      <c r="AN1361" s="500"/>
      <c r="AO1361" s="399"/>
      <c r="AP1361" s="399"/>
      <c r="AQ1361" s="399"/>
      <c r="AR1361" s="399"/>
      <c r="AS1361" s="399"/>
      <c r="AT1361" s="399"/>
      <c r="AU1361" s="399"/>
      <c r="AV1361" s="399"/>
      <c r="AW1361" s="541"/>
      <c r="AX1361" s="541"/>
      <c r="AY1361" s="541"/>
      <c r="AZ1361" s="541"/>
      <c r="BA1361" s="541"/>
      <c r="BB1361" s="399"/>
      <c r="BC1361" s="399" t="e">
        <f t="shared" ca="1" si="2"/>
        <v>#NAME?</v>
      </c>
      <c r="BD1361" s="399"/>
      <c r="BE1361" s="399"/>
      <c r="BF1361" s="399"/>
      <c r="BG1361" s="540"/>
      <c r="BH1361" s="407"/>
      <c r="BI1361" s="407"/>
      <c r="BJ1361" s="543"/>
      <c r="BK1361" s="46">
        <f t="shared" si="1"/>
        <v>1</v>
      </c>
      <c r="BL1361" s="46">
        <f t="shared" si="3"/>
        <v>0</v>
      </c>
      <c r="BM1361" s="46">
        <f t="shared" si="4"/>
        <v>1</v>
      </c>
      <c r="BN1361" s="46">
        <f t="shared" si="5"/>
        <v>0</v>
      </c>
    </row>
    <row r="1362" spans="1:66" ht="12.75" customHeight="1">
      <c r="A1362" s="399">
        <v>1372</v>
      </c>
      <c r="B1362" s="409" t="s">
        <v>3405</v>
      </c>
      <c r="C1362" s="399" t="str">
        <f t="shared" si="0"/>
        <v>Reason for stopping method</v>
      </c>
      <c r="D1362" s="400" t="s">
        <v>3407</v>
      </c>
      <c r="E1362" s="399" t="s">
        <v>96</v>
      </c>
      <c r="F1362" s="400" t="s">
        <v>1787</v>
      </c>
      <c r="G1362" s="400"/>
      <c r="H1362" s="400"/>
      <c r="I1362" s="400"/>
      <c r="J1362" s="400"/>
      <c r="K1362" s="400">
        <v>1</v>
      </c>
      <c r="L1362" s="400" t="s">
        <v>3333</v>
      </c>
      <c r="M1362" s="402" t="s">
        <v>3334</v>
      </c>
      <c r="N1362" s="402"/>
      <c r="O1362" s="428" t="s">
        <v>4119</v>
      </c>
      <c r="P1362" s="428"/>
      <c r="Q1362" s="399" t="s">
        <v>3406</v>
      </c>
      <c r="R1362" s="428" t="s">
        <v>3407</v>
      </c>
      <c r="S1362" s="399"/>
      <c r="T1362" s="399" t="s">
        <v>3408</v>
      </c>
      <c r="U1362" s="399"/>
      <c r="V1362" s="399"/>
      <c r="W1362" s="399"/>
      <c r="X1362" s="400"/>
      <c r="Y1362" s="399" t="s">
        <v>208</v>
      </c>
      <c r="Z1362" s="399"/>
      <c r="AA1362" s="399" t="s">
        <v>113</v>
      </c>
      <c r="AB1362" s="399" t="s">
        <v>3178</v>
      </c>
      <c r="AC1362" s="532" t="s">
        <v>3409</v>
      </c>
      <c r="AD1362" s="400"/>
      <c r="AE1362" s="399"/>
      <c r="AF1362" s="399"/>
      <c r="AG1362" s="399"/>
      <c r="AH1362" s="532"/>
      <c r="AI1362" s="399"/>
      <c r="AJ1362" s="400"/>
      <c r="AK1362" s="399"/>
      <c r="AL1362" s="500" t="s">
        <v>5263</v>
      </c>
      <c r="AM1362" s="500"/>
      <c r="AN1362" s="500"/>
      <c r="AO1362" s="500" t="s">
        <v>3100</v>
      </c>
      <c r="AP1362" s="409" t="s">
        <v>3101</v>
      </c>
      <c r="AQ1362" s="399"/>
      <c r="AR1362" s="399"/>
      <c r="AS1362" s="409" t="s">
        <v>5264</v>
      </c>
      <c r="AT1362" s="399"/>
      <c r="AU1362" s="399"/>
      <c r="AV1362" s="399"/>
      <c r="AW1362" s="541"/>
      <c r="AX1362" s="541"/>
      <c r="AY1362" s="541"/>
      <c r="AZ1362" s="541"/>
      <c r="BA1362" s="541"/>
      <c r="BB1362" s="409"/>
      <c r="BC1362" s="399" t="str">
        <f t="shared" si="2"/>
        <v>"Reason for stopping method"-&gt;"Reason for stopping contraception method"</v>
      </c>
      <c r="BD1362" s="399"/>
      <c r="BE1362" s="399"/>
      <c r="BF1362" s="399"/>
      <c r="BG1362" s="540"/>
      <c r="BH1362" s="407"/>
      <c r="BI1362" s="407"/>
      <c r="BJ1362" s="543"/>
      <c r="BK1362" s="46">
        <f t="shared" si="1"/>
        <v>1</v>
      </c>
      <c r="BL1362" s="46">
        <f t="shared" si="3"/>
        <v>1</v>
      </c>
      <c r="BM1362" s="46">
        <f t="shared" si="4"/>
        <v>0</v>
      </c>
      <c r="BN1362" s="46">
        <f t="shared" si="5"/>
        <v>0</v>
      </c>
    </row>
    <row r="1363" spans="1:66" ht="12.75" customHeight="1">
      <c r="A1363" s="399">
        <v>1373</v>
      </c>
      <c r="B1363" s="399" t="s">
        <v>5265</v>
      </c>
      <c r="C1363" s="399" t="e">
        <f t="shared" ca="1" si="0"/>
        <v>#NAME?</v>
      </c>
      <c r="D1363" s="400" t="s">
        <v>5266</v>
      </c>
      <c r="E1363" s="399" t="s">
        <v>180</v>
      </c>
      <c r="F1363" s="400" t="s">
        <v>3407</v>
      </c>
      <c r="G1363" s="400"/>
      <c r="H1363" s="400"/>
      <c r="I1363" s="400"/>
      <c r="J1363" s="400"/>
      <c r="K1363" s="400">
        <v>1</v>
      </c>
      <c r="L1363" s="400" t="s">
        <v>3333</v>
      </c>
      <c r="M1363" s="402" t="s">
        <v>3334</v>
      </c>
      <c r="N1363" s="402"/>
      <c r="O1363" s="428" t="s">
        <v>4119</v>
      </c>
      <c r="P1363" s="428"/>
      <c r="Q1363" s="399" t="s">
        <v>3783</v>
      </c>
      <c r="R1363" s="428"/>
      <c r="S1363" s="399"/>
      <c r="T1363" s="399" t="s">
        <v>5268</v>
      </c>
      <c r="U1363" s="399"/>
      <c r="V1363" s="399"/>
      <c r="W1363" s="399" t="s">
        <v>5266</v>
      </c>
      <c r="X1363" s="400"/>
      <c r="Y1363" s="399" t="s">
        <v>208</v>
      </c>
      <c r="Z1363" s="399"/>
      <c r="AA1363" s="493"/>
      <c r="AB1363" s="582"/>
      <c r="AC1363" s="532"/>
      <c r="AD1363" s="400"/>
      <c r="AE1363" s="517"/>
      <c r="AF1363" s="517"/>
      <c r="AG1363" s="565"/>
      <c r="AH1363" s="566"/>
      <c r="AI1363" s="517"/>
      <c r="AJ1363" s="400"/>
      <c r="AK1363" s="399"/>
      <c r="AL1363" s="500"/>
      <c r="AM1363" s="500"/>
      <c r="AN1363" s="500"/>
      <c r="AO1363" s="399"/>
      <c r="AP1363" s="399"/>
      <c r="AQ1363" s="399"/>
      <c r="AR1363" s="399"/>
      <c r="AS1363" s="399"/>
      <c r="AT1363" s="399"/>
      <c r="AU1363" s="399"/>
      <c r="AV1363" s="549">
        <v>162171002</v>
      </c>
      <c r="AW1363" s="534"/>
      <c r="AX1363" s="534"/>
      <c r="AY1363" s="534"/>
      <c r="AZ1363" s="534"/>
      <c r="BA1363" s="534"/>
      <c r="BB1363" s="567"/>
      <c r="BC1363" s="399" t="e">
        <f t="shared" ca="1" si="2"/>
        <v>#NAME?</v>
      </c>
      <c r="BD1363" s="567">
        <v>159524</v>
      </c>
      <c r="BE1363" s="399"/>
      <c r="BF1363" s="399"/>
      <c r="BG1363" s="542" t="s">
        <v>3788</v>
      </c>
      <c r="BH1363" s="407"/>
      <c r="BI1363" s="407">
        <v>162171002</v>
      </c>
      <c r="BJ1363" s="537"/>
      <c r="BK1363" s="46">
        <f t="shared" si="1"/>
        <v>1</v>
      </c>
      <c r="BL1363" s="46">
        <f t="shared" si="3"/>
        <v>1</v>
      </c>
      <c r="BM1363" s="46">
        <f t="shared" si="4"/>
        <v>0</v>
      </c>
      <c r="BN1363" s="46">
        <f t="shared" si="5"/>
        <v>0</v>
      </c>
    </row>
    <row r="1364" spans="1:66" ht="12.75" customHeight="1">
      <c r="A1364" s="399">
        <v>1374</v>
      </c>
      <c r="B1364" s="399" t="s">
        <v>5270</v>
      </c>
      <c r="C1364" s="399" t="e">
        <f t="shared" ca="1" si="0"/>
        <v>#NAME?</v>
      </c>
      <c r="D1364" s="400" t="s">
        <v>5271</v>
      </c>
      <c r="E1364" s="399" t="s">
        <v>180</v>
      </c>
      <c r="F1364" s="400" t="s">
        <v>3407</v>
      </c>
      <c r="G1364" s="400"/>
      <c r="H1364" s="400"/>
      <c r="I1364" s="400"/>
      <c r="J1364" s="400"/>
      <c r="K1364" s="400">
        <v>1</v>
      </c>
      <c r="L1364" s="400" t="s">
        <v>3333</v>
      </c>
      <c r="M1364" s="402" t="s">
        <v>3334</v>
      </c>
      <c r="N1364" s="402"/>
      <c r="O1364" s="428" t="s">
        <v>4119</v>
      </c>
      <c r="P1364" s="428"/>
      <c r="Q1364" s="399" t="s">
        <v>3790</v>
      </c>
      <c r="R1364" s="428"/>
      <c r="S1364" s="399"/>
      <c r="T1364" s="399"/>
      <c r="U1364" s="399"/>
      <c r="V1364" s="399"/>
      <c r="W1364" s="399" t="s">
        <v>5271</v>
      </c>
      <c r="X1364" s="400"/>
      <c r="Y1364" s="399" t="s">
        <v>208</v>
      </c>
      <c r="Z1364" s="399"/>
      <c r="AA1364" s="493"/>
      <c r="AB1364" s="582"/>
      <c r="AC1364" s="532"/>
      <c r="AD1364" s="400"/>
      <c r="AE1364" s="517"/>
      <c r="AF1364" s="517"/>
      <c r="AG1364" s="565"/>
      <c r="AH1364" s="566"/>
      <c r="AI1364" s="517"/>
      <c r="AJ1364" s="400"/>
      <c r="AK1364" s="399"/>
      <c r="AL1364" s="500"/>
      <c r="AM1364" s="500"/>
      <c r="AN1364" s="500"/>
      <c r="AO1364" s="399"/>
      <c r="AP1364" s="399"/>
      <c r="AQ1364" s="399"/>
      <c r="AR1364" s="399"/>
      <c r="AS1364" s="409" t="s">
        <v>3162</v>
      </c>
      <c r="AT1364" s="589" t="s">
        <v>5276</v>
      </c>
      <c r="AU1364" s="399"/>
      <c r="AV1364" s="549"/>
      <c r="AW1364" s="534"/>
      <c r="AX1364" s="534"/>
      <c r="AY1364" s="534"/>
      <c r="AZ1364" s="534"/>
      <c r="BA1364" s="534"/>
      <c r="BB1364" s="399"/>
      <c r="BC1364" s="399" t="e">
        <f t="shared" ca="1" si="2"/>
        <v>#NAME?</v>
      </c>
      <c r="BD1364" s="399"/>
      <c r="BE1364" s="399"/>
      <c r="BF1364" s="399"/>
      <c r="BG1364" s="540"/>
      <c r="BH1364" s="407"/>
      <c r="BI1364" s="407"/>
      <c r="BJ1364" s="537"/>
      <c r="BK1364" s="46">
        <f t="shared" si="1"/>
        <v>1</v>
      </c>
      <c r="BL1364" s="46">
        <f t="shared" si="3"/>
        <v>1</v>
      </c>
      <c r="BM1364" s="46">
        <f t="shared" si="4"/>
        <v>0</v>
      </c>
      <c r="BN1364" s="46">
        <f t="shared" si="5"/>
        <v>0</v>
      </c>
    </row>
    <row r="1365" spans="1:66" ht="12.75" customHeight="1">
      <c r="A1365" s="399">
        <v>1375</v>
      </c>
      <c r="B1365" s="399" t="s">
        <v>3795</v>
      </c>
      <c r="C1365" s="399" t="e">
        <f t="shared" ca="1" si="0"/>
        <v>#NAME?</v>
      </c>
      <c r="D1365" s="400" t="s">
        <v>3797</v>
      </c>
      <c r="E1365" s="399" t="s">
        <v>180</v>
      </c>
      <c r="F1365" s="400" t="s">
        <v>3407</v>
      </c>
      <c r="G1365" s="400"/>
      <c r="H1365" s="400"/>
      <c r="I1365" s="400"/>
      <c r="J1365" s="400"/>
      <c r="K1365" s="400">
        <v>1</v>
      </c>
      <c r="L1365" s="400" t="s">
        <v>3333</v>
      </c>
      <c r="M1365" s="402" t="s">
        <v>3334</v>
      </c>
      <c r="N1365" s="402"/>
      <c r="O1365" s="428" t="s">
        <v>4119</v>
      </c>
      <c r="P1365" s="428"/>
      <c r="Q1365" s="399" t="s">
        <v>3796</v>
      </c>
      <c r="R1365" s="428"/>
      <c r="S1365" s="399"/>
      <c r="T1365" s="399"/>
      <c r="U1365" s="399"/>
      <c r="V1365" s="399"/>
      <c r="W1365" s="399" t="s">
        <v>3797</v>
      </c>
      <c r="X1365" s="400"/>
      <c r="Y1365" s="399" t="s">
        <v>208</v>
      </c>
      <c r="Z1365" s="399"/>
      <c r="AA1365" s="493"/>
      <c r="AB1365" s="582"/>
      <c r="AC1365" s="532"/>
      <c r="AD1365" s="400"/>
      <c r="AE1365" s="517"/>
      <c r="AF1365" s="517"/>
      <c r="AG1365" s="565"/>
      <c r="AH1365" s="566"/>
      <c r="AI1365" s="517"/>
      <c r="AJ1365" s="400"/>
      <c r="AK1365" s="399"/>
      <c r="AL1365" s="500"/>
      <c r="AM1365" s="500"/>
      <c r="AN1365" s="500"/>
      <c r="AO1365" s="399"/>
      <c r="AP1365" s="399"/>
      <c r="AQ1365" s="399"/>
      <c r="AR1365" s="399"/>
      <c r="AS1365" s="399"/>
      <c r="AT1365" s="399"/>
      <c r="AU1365" s="399"/>
      <c r="AV1365" s="549">
        <v>77386006</v>
      </c>
      <c r="AW1365" s="534"/>
      <c r="AX1365" s="534"/>
      <c r="AY1365" s="534"/>
      <c r="AZ1365" s="534"/>
      <c r="BA1365" s="534"/>
      <c r="BB1365" s="399"/>
      <c r="BC1365" s="399" t="e">
        <f t="shared" ca="1" si="2"/>
        <v>#NAME?</v>
      </c>
      <c r="BD1365" s="399"/>
      <c r="BE1365" s="399"/>
      <c r="BF1365" s="399"/>
      <c r="BG1365" s="540"/>
      <c r="BH1365" s="407"/>
      <c r="BI1365" s="407">
        <v>77386006</v>
      </c>
      <c r="BJ1365" s="537"/>
      <c r="BK1365" s="46">
        <f t="shared" si="1"/>
        <v>1</v>
      </c>
      <c r="BL1365" s="46">
        <f t="shared" si="3"/>
        <v>1</v>
      </c>
      <c r="BM1365" s="46">
        <f t="shared" si="4"/>
        <v>0</v>
      </c>
      <c r="BN1365" s="46">
        <f t="shared" si="5"/>
        <v>0</v>
      </c>
    </row>
    <row r="1366" spans="1:66" ht="12.75" customHeight="1">
      <c r="A1366" s="399">
        <v>1376</v>
      </c>
      <c r="B1366" s="399" t="s">
        <v>3799</v>
      </c>
      <c r="C1366" s="399" t="e">
        <f t="shared" ca="1" si="0"/>
        <v>#NAME?</v>
      </c>
      <c r="D1366" s="400" t="s">
        <v>3801</v>
      </c>
      <c r="E1366" s="399" t="s">
        <v>180</v>
      </c>
      <c r="F1366" s="400" t="s">
        <v>3407</v>
      </c>
      <c r="G1366" s="400"/>
      <c r="H1366" s="400"/>
      <c r="I1366" s="400"/>
      <c r="J1366" s="400"/>
      <c r="K1366" s="400">
        <v>1</v>
      </c>
      <c r="L1366" s="400" t="s">
        <v>3333</v>
      </c>
      <c r="M1366" s="402" t="s">
        <v>3334</v>
      </c>
      <c r="N1366" s="402"/>
      <c r="O1366" s="428" t="s">
        <v>4119</v>
      </c>
      <c r="P1366" s="428"/>
      <c r="Q1366" s="399" t="s">
        <v>3800</v>
      </c>
      <c r="R1366" s="428"/>
      <c r="S1366" s="399"/>
      <c r="T1366" s="399"/>
      <c r="U1366" s="399"/>
      <c r="V1366" s="399"/>
      <c r="W1366" s="399" t="s">
        <v>3801</v>
      </c>
      <c r="X1366" s="400"/>
      <c r="Y1366" s="399" t="s">
        <v>208</v>
      </c>
      <c r="Z1366" s="399"/>
      <c r="AA1366" s="493"/>
      <c r="AB1366" s="582"/>
      <c r="AC1366" s="532"/>
      <c r="AD1366" s="400"/>
      <c r="AE1366" s="517"/>
      <c r="AF1366" s="517"/>
      <c r="AG1366" s="565"/>
      <c r="AH1366" s="566"/>
      <c r="AI1366" s="517"/>
      <c r="AJ1366" s="400"/>
      <c r="AK1366" s="399"/>
      <c r="AL1366" s="500"/>
      <c r="AM1366" s="500"/>
      <c r="AN1366" s="500"/>
      <c r="AO1366" s="399"/>
      <c r="AP1366" s="399"/>
      <c r="AQ1366" s="399"/>
      <c r="AR1366" s="399"/>
      <c r="AS1366" s="409" t="s">
        <v>3162</v>
      </c>
      <c r="AT1366" s="399"/>
      <c r="AU1366" s="399"/>
      <c r="AV1366" s="586">
        <v>454361000124100</v>
      </c>
      <c r="AW1366" s="541"/>
      <c r="AX1366" s="541"/>
      <c r="AY1366" s="541"/>
      <c r="AZ1366" s="541"/>
      <c r="BA1366" s="541"/>
      <c r="BB1366" s="399"/>
      <c r="BC1366" s="399" t="e">
        <f t="shared" ca="1" si="2"/>
        <v>#NAME?</v>
      </c>
      <c r="BD1366" s="399"/>
      <c r="BE1366" s="399"/>
      <c r="BF1366" s="399"/>
      <c r="BG1366" s="540"/>
      <c r="BH1366" s="407"/>
      <c r="BI1366" s="407"/>
      <c r="BJ1366" s="543"/>
      <c r="BK1366" s="46">
        <f t="shared" si="1"/>
        <v>1</v>
      </c>
      <c r="BL1366" s="46">
        <f t="shared" si="3"/>
        <v>1</v>
      </c>
      <c r="BM1366" s="46">
        <f t="shared" si="4"/>
        <v>0</v>
      </c>
      <c r="BN1366" s="46">
        <f t="shared" si="5"/>
        <v>0</v>
      </c>
    </row>
    <row r="1367" spans="1:66" ht="12.75" customHeight="1">
      <c r="A1367" s="399">
        <v>1377</v>
      </c>
      <c r="B1367" s="399" t="s">
        <v>3804</v>
      </c>
      <c r="C1367" s="399" t="e">
        <f t="shared" ca="1" si="0"/>
        <v>#NAME?</v>
      </c>
      <c r="D1367" s="400" t="s">
        <v>3807</v>
      </c>
      <c r="E1367" s="399" t="s">
        <v>180</v>
      </c>
      <c r="F1367" s="400" t="s">
        <v>3407</v>
      </c>
      <c r="G1367" s="400"/>
      <c r="H1367" s="400"/>
      <c r="I1367" s="400"/>
      <c r="J1367" s="400"/>
      <c r="K1367" s="400">
        <v>1</v>
      </c>
      <c r="L1367" s="400" t="s">
        <v>3333</v>
      </c>
      <c r="M1367" s="402" t="s">
        <v>3334</v>
      </c>
      <c r="N1367" s="402"/>
      <c r="O1367" s="428" t="s">
        <v>4119</v>
      </c>
      <c r="P1367" s="428"/>
      <c r="Q1367" s="399" t="s">
        <v>3805</v>
      </c>
      <c r="R1367" s="428"/>
      <c r="S1367" s="399"/>
      <c r="T1367" s="399"/>
      <c r="U1367" s="399"/>
      <c r="V1367" s="399"/>
      <c r="W1367" s="399" t="s">
        <v>3807</v>
      </c>
      <c r="X1367" s="400"/>
      <c r="Y1367" s="399" t="s">
        <v>208</v>
      </c>
      <c r="Z1367" s="399"/>
      <c r="AA1367" s="493"/>
      <c r="AB1367" s="582"/>
      <c r="AC1367" s="532"/>
      <c r="AD1367" s="400"/>
      <c r="AE1367" s="517"/>
      <c r="AF1367" s="517"/>
      <c r="AG1367" s="565"/>
      <c r="AH1367" s="566"/>
      <c r="AI1367" s="517"/>
      <c r="AJ1367" s="400"/>
      <c r="AK1367" s="399"/>
      <c r="AL1367" s="500"/>
      <c r="AM1367" s="500"/>
      <c r="AN1367" s="500"/>
      <c r="AO1367" s="399"/>
      <c r="AP1367" s="399"/>
      <c r="AQ1367" s="399"/>
      <c r="AR1367" s="399"/>
      <c r="AS1367" s="399"/>
      <c r="AT1367" s="399"/>
      <c r="AU1367" s="399"/>
      <c r="AV1367" s="399">
        <v>74964007</v>
      </c>
      <c r="AW1367" s="541"/>
      <c r="AX1367" s="541"/>
      <c r="AY1367" s="541"/>
      <c r="AZ1367" s="541"/>
      <c r="BA1367" s="541"/>
      <c r="BB1367" s="399"/>
      <c r="BC1367" s="399" t="e">
        <f t="shared" ca="1" si="2"/>
        <v>#NAME?</v>
      </c>
      <c r="BD1367" s="399"/>
      <c r="BE1367" s="399"/>
      <c r="BF1367" s="399"/>
      <c r="BG1367" s="540"/>
      <c r="BH1367" s="407"/>
      <c r="BI1367" s="407">
        <v>74964007</v>
      </c>
      <c r="BJ1367" s="543"/>
      <c r="BK1367" s="46">
        <f t="shared" si="1"/>
        <v>1</v>
      </c>
      <c r="BL1367" s="46">
        <f t="shared" si="3"/>
        <v>1</v>
      </c>
      <c r="BM1367" s="46">
        <f t="shared" si="4"/>
        <v>0</v>
      </c>
      <c r="BN1367" s="46">
        <f t="shared" si="5"/>
        <v>0</v>
      </c>
    </row>
    <row r="1368" spans="1:66" ht="12.75" customHeight="1">
      <c r="A1368" s="399">
        <v>1378</v>
      </c>
      <c r="B1368" s="399" t="s">
        <v>3817</v>
      </c>
      <c r="C1368" s="399" t="e">
        <f t="shared" ca="1" si="0"/>
        <v>#NAME?</v>
      </c>
      <c r="D1368" s="400" t="s">
        <v>3819</v>
      </c>
      <c r="E1368" s="399" t="s">
        <v>180</v>
      </c>
      <c r="F1368" s="400" t="s">
        <v>3407</v>
      </c>
      <c r="G1368" s="400"/>
      <c r="H1368" s="400"/>
      <c r="I1368" s="400"/>
      <c r="J1368" s="400"/>
      <c r="K1368" s="400">
        <v>1</v>
      </c>
      <c r="L1368" s="400" t="s">
        <v>3333</v>
      </c>
      <c r="M1368" s="402" t="s">
        <v>3334</v>
      </c>
      <c r="N1368" s="402"/>
      <c r="O1368" s="428" t="s">
        <v>4119</v>
      </c>
      <c r="P1368" s="428"/>
      <c r="Q1368" s="399" t="s">
        <v>3818</v>
      </c>
      <c r="R1368" s="428"/>
      <c r="S1368" s="399"/>
      <c r="T1368" s="399"/>
      <c r="U1368" s="399"/>
      <c r="V1368" s="399"/>
      <c r="W1368" s="399" t="s">
        <v>3819</v>
      </c>
      <c r="X1368" s="400"/>
      <c r="Y1368" s="399" t="s">
        <v>208</v>
      </c>
      <c r="Z1368" s="399"/>
      <c r="AA1368" s="493"/>
      <c r="AB1368" s="582"/>
      <c r="AC1368" s="532"/>
      <c r="AD1368" s="400"/>
      <c r="AE1368" s="517"/>
      <c r="AF1368" s="517"/>
      <c r="AG1368" s="565"/>
      <c r="AH1368" s="566"/>
      <c r="AI1368" s="517"/>
      <c r="AJ1368" s="400"/>
      <c r="AK1368" s="399"/>
      <c r="AL1368" s="500"/>
      <c r="AM1368" s="500"/>
      <c r="AN1368" s="500"/>
      <c r="AO1368" s="399"/>
      <c r="AP1368" s="399"/>
      <c r="AQ1368" s="399"/>
      <c r="AR1368" s="399"/>
      <c r="AS1368" s="409" t="s">
        <v>3162</v>
      </c>
      <c r="AT1368" s="517" t="s">
        <v>3820</v>
      </c>
      <c r="AU1368" s="517" t="s">
        <v>3821</v>
      </c>
      <c r="AV1368" s="399">
        <v>15296000</v>
      </c>
      <c r="AW1368" s="550" t="s">
        <v>3823</v>
      </c>
      <c r="AX1368" s="541"/>
      <c r="AY1368" s="541"/>
      <c r="AZ1368" s="541"/>
      <c r="BA1368" s="541"/>
      <c r="BB1368" s="567"/>
      <c r="BC1368" s="399" t="e">
        <f t="shared" ca="1" si="2"/>
        <v>#NAME?</v>
      </c>
      <c r="BD1368" s="567">
        <v>125899</v>
      </c>
      <c r="BE1368" s="399"/>
      <c r="BF1368" s="399"/>
      <c r="BG1368" s="542" t="s">
        <v>3825</v>
      </c>
      <c r="BH1368" s="414" t="s">
        <v>3820</v>
      </c>
      <c r="BI1368" s="407">
        <v>15296000</v>
      </c>
      <c r="BJ1368" s="543"/>
      <c r="BK1368" s="46">
        <f t="shared" si="1"/>
        <v>1</v>
      </c>
      <c r="BL1368" s="46">
        <f t="shared" si="3"/>
        <v>1</v>
      </c>
      <c r="BM1368" s="46">
        <f t="shared" si="4"/>
        <v>0</v>
      </c>
      <c r="BN1368" s="46">
        <f t="shared" si="5"/>
        <v>0</v>
      </c>
    </row>
    <row r="1369" spans="1:66" ht="12.75" customHeight="1">
      <c r="A1369" s="399">
        <v>1379</v>
      </c>
      <c r="B1369" s="399" t="s">
        <v>3826</v>
      </c>
      <c r="C1369" s="399" t="e">
        <f t="shared" ca="1" si="0"/>
        <v>#NAME?</v>
      </c>
      <c r="D1369" s="400" t="s">
        <v>3828</v>
      </c>
      <c r="E1369" s="399" t="s">
        <v>180</v>
      </c>
      <c r="F1369" s="400" t="s">
        <v>3407</v>
      </c>
      <c r="G1369" s="400"/>
      <c r="H1369" s="400"/>
      <c r="I1369" s="400"/>
      <c r="J1369" s="400"/>
      <c r="K1369" s="400">
        <v>1</v>
      </c>
      <c r="L1369" s="400" t="s">
        <v>3333</v>
      </c>
      <c r="M1369" s="402" t="s">
        <v>3334</v>
      </c>
      <c r="N1369" s="402"/>
      <c r="O1369" s="428" t="s">
        <v>4119</v>
      </c>
      <c r="P1369" s="428"/>
      <c r="Q1369" s="399" t="s">
        <v>3827</v>
      </c>
      <c r="R1369" s="428"/>
      <c r="S1369" s="399"/>
      <c r="T1369" s="399"/>
      <c r="U1369" s="399"/>
      <c r="V1369" s="399"/>
      <c r="W1369" s="399" t="s">
        <v>3828</v>
      </c>
      <c r="X1369" s="400"/>
      <c r="Y1369" s="399" t="s">
        <v>208</v>
      </c>
      <c r="Z1369" s="399"/>
      <c r="AA1369" s="493"/>
      <c r="AB1369" s="582"/>
      <c r="AC1369" s="532"/>
      <c r="AD1369" s="400"/>
      <c r="AE1369" s="517"/>
      <c r="AF1369" s="517"/>
      <c r="AG1369" s="565"/>
      <c r="AH1369" s="566"/>
      <c r="AI1369" s="517"/>
      <c r="AJ1369" s="400"/>
      <c r="AK1369" s="399"/>
      <c r="AL1369" s="500"/>
      <c r="AM1369" s="500"/>
      <c r="AN1369" s="500"/>
      <c r="AO1369" s="399"/>
      <c r="AP1369" s="399"/>
      <c r="AQ1369" s="399"/>
      <c r="AR1369" s="399"/>
      <c r="AS1369" s="409" t="s">
        <v>3162</v>
      </c>
      <c r="AT1369" s="399"/>
      <c r="AU1369" s="399"/>
      <c r="AV1369" s="399"/>
      <c r="AW1369" s="550" t="s">
        <v>3830</v>
      </c>
      <c r="AX1369" s="541"/>
      <c r="AY1369" s="541"/>
      <c r="AZ1369" s="541"/>
      <c r="BA1369" s="541"/>
      <c r="BB1369" s="399"/>
      <c r="BC1369" s="399" t="e">
        <f t="shared" ca="1" si="2"/>
        <v>#NAME?</v>
      </c>
      <c r="BD1369" s="399"/>
      <c r="BE1369" s="399"/>
      <c r="BF1369" s="399"/>
      <c r="BG1369" s="540"/>
      <c r="BH1369" s="407"/>
      <c r="BI1369" s="407"/>
      <c r="BJ1369" s="543"/>
      <c r="BK1369" s="46">
        <f t="shared" si="1"/>
        <v>1</v>
      </c>
      <c r="BL1369" s="46">
        <f t="shared" si="3"/>
        <v>1</v>
      </c>
      <c r="BM1369" s="46">
        <f t="shared" si="4"/>
        <v>0</v>
      </c>
      <c r="BN1369" s="46">
        <f t="shared" si="5"/>
        <v>0</v>
      </c>
    </row>
    <row r="1370" spans="1:66" ht="12.75" customHeight="1">
      <c r="A1370" s="399">
        <v>1380</v>
      </c>
      <c r="B1370" s="409" t="s">
        <v>4118</v>
      </c>
      <c r="C1370" s="399" t="str">
        <f t="shared" si="0"/>
        <v>Issues and concerns</v>
      </c>
      <c r="D1370" s="400" t="s">
        <v>3381</v>
      </c>
      <c r="E1370" s="399" t="s">
        <v>96</v>
      </c>
      <c r="F1370" s="400" t="s">
        <v>1787</v>
      </c>
      <c r="G1370" s="400"/>
      <c r="H1370" s="400"/>
      <c r="I1370" s="400"/>
      <c r="J1370" s="400"/>
      <c r="K1370" s="400">
        <v>1</v>
      </c>
      <c r="L1370" s="400" t="s">
        <v>3333</v>
      </c>
      <c r="M1370" s="402" t="s">
        <v>3334</v>
      </c>
      <c r="N1370" s="402"/>
      <c r="O1370" s="428" t="s">
        <v>4119</v>
      </c>
      <c r="P1370" s="581"/>
      <c r="Q1370" s="399" t="s">
        <v>4120</v>
      </c>
      <c r="R1370" s="428" t="s">
        <v>3381</v>
      </c>
      <c r="S1370" s="399"/>
      <c r="T1370" s="399" t="s">
        <v>4121</v>
      </c>
      <c r="U1370" s="399" t="s">
        <v>5282</v>
      </c>
      <c r="V1370" s="399"/>
      <c r="W1370" s="399"/>
      <c r="X1370" s="399"/>
      <c r="Y1370" s="399" t="s">
        <v>208</v>
      </c>
      <c r="Z1370" s="531"/>
      <c r="AA1370" s="399" t="s">
        <v>113</v>
      </c>
      <c r="AB1370" s="399" t="s">
        <v>3178</v>
      </c>
      <c r="AC1370" s="532" t="s">
        <v>4123</v>
      </c>
      <c r="AD1370" s="517"/>
      <c r="AE1370" s="399"/>
      <c r="AF1370" s="399"/>
      <c r="AG1370" s="399"/>
      <c r="AH1370" s="532"/>
      <c r="AI1370" s="399"/>
      <c r="AJ1370" s="517"/>
      <c r="AK1370" s="399"/>
      <c r="AL1370" s="499" t="s">
        <v>5218</v>
      </c>
      <c r="AM1370" s="500" t="s">
        <v>5219</v>
      </c>
      <c r="AN1370" s="458"/>
      <c r="AO1370" s="409" t="s">
        <v>3100</v>
      </c>
      <c r="AP1370" s="409" t="s">
        <v>3101</v>
      </c>
      <c r="AQ1370" s="399"/>
      <c r="AR1370" s="399"/>
      <c r="AS1370" s="399"/>
      <c r="AT1370" s="399"/>
      <c r="AU1370" s="399"/>
      <c r="AV1370" s="399"/>
      <c r="AW1370" s="571" t="s">
        <v>4125</v>
      </c>
      <c r="AX1370" s="541"/>
      <c r="AY1370" s="541"/>
      <c r="AZ1370" s="541"/>
      <c r="BA1370" s="541"/>
      <c r="BB1370" s="399"/>
      <c r="BC1370" s="399" t="str">
        <f t="shared" si="2"/>
        <v>"Issues and concerns"-&gt;"Contraception Issues and concerns"</v>
      </c>
      <c r="BD1370" s="399"/>
      <c r="BE1370" s="399"/>
      <c r="BF1370" s="399"/>
      <c r="BG1370" s="540"/>
      <c r="BH1370" s="407"/>
      <c r="BI1370" s="407"/>
      <c r="BJ1370" s="543"/>
      <c r="BK1370" s="46">
        <f t="shared" si="1"/>
        <v>1</v>
      </c>
      <c r="BL1370" s="46">
        <f t="shared" si="3"/>
        <v>1</v>
      </c>
      <c r="BM1370" s="46">
        <f t="shared" si="4"/>
        <v>0</v>
      </c>
      <c r="BN1370" s="46">
        <f t="shared" si="5"/>
        <v>0</v>
      </c>
    </row>
    <row r="1371" spans="1:66" ht="12.75" customHeight="1">
      <c r="A1371" s="399">
        <v>1381</v>
      </c>
      <c r="B1371" s="399" t="s">
        <v>4126</v>
      </c>
      <c r="C1371" s="399" t="e">
        <f t="shared" ca="1" si="0"/>
        <v>#NAME?</v>
      </c>
      <c r="D1371" s="400" t="s">
        <v>4128</v>
      </c>
      <c r="E1371" s="399" t="s">
        <v>180</v>
      </c>
      <c r="F1371" s="400" t="s">
        <v>3381</v>
      </c>
      <c r="G1371" s="400"/>
      <c r="H1371" s="400"/>
      <c r="I1371" s="400"/>
      <c r="J1371" s="400"/>
      <c r="K1371" s="400">
        <v>1</v>
      </c>
      <c r="L1371" s="400" t="s">
        <v>3333</v>
      </c>
      <c r="M1371" s="402" t="s">
        <v>3334</v>
      </c>
      <c r="N1371" s="402"/>
      <c r="O1371" s="428" t="s">
        <v>4119</v>
      </c>
      <c r="P1371" s="581"/>
      <c r="Q1371" s="399" t="s">
        <v>4127</v>
      </c>
      <c r="R1371" s="428"/>
      <c r="S1371" s="399"/>
      <c r="T1371" s="399"/>
      <c r="U1371" s="399"/>
      <c r="V1371" s="399"/>
      <c r="W1371" s="399" t="s">
        <v>4128</v>
      </c>
      <c r="X1371" s="400"/>
      <c r="Y1371" s="399" t="s">
        <v>208</v>
      </c>
      <c r="Z1371" s="531"/>
      <c r="AA1371" s="399" t="s">
        <v>113</v>
      </c>
      <c r="AB1371" s="399" t="s">
        <v>3178</v>
      </c>
      <c r="AC1371" s="532" t="s">
        <v>4129</v>
      </c>
      <c r="AD1371" s="400" t="s">
        <v>4130</v>
      </c>
      <c r="AE1371" s="399"/>
      <c r="AF1371" s="399"/>
      <c r="AG1371" s="399" t="s">
        <v>4131</v>
      </c>
      <c r="AH1371" s="532"/>
      <c r="AI1371" s="399"/>
      <c r="AJ1371" s="400"/>
      <c r="AK1371" s="399"/>
      <c r="AL1371" s="500"/>
      <c r="AM1371" s="500"/>
      <c r="AN1371" s="500"/>
      <c r="AO1371" s="399"/>
      <c r="AP1371" s="399"/>
      <c r="AQ1371" s="399"/>
      <c r="AR1371" s="399"/>
      <c r="AS1371" s="399"/>
      <c r="AT1371" s="399"/>
      <c r="AU1371" s="399"/>
      <c r="AV1371" s="399"/>
      <c r="AW1371" s="541"/>
      <c r="AX1371" s="541"/>
      <c r="AY1371" s="541"/>
      <c r="AZ1371" s="541"/>
      <c r="BA1371" s="541"/>
      <c r="BB1371" s="399"/>
      <c r="BC1371" s="399" t="e">
        <f t="shared" ca="1" si="2"/>
        <v>#NAME?</v>
      </c>
      <c r="BD1371" s="399"/>
      <c r="BE1371" s="399"/>
      <c r="BF1371" s="399"/>
      <c r="BG1371" s="540"/>
      <c r="BH1371" s="407"/>
      <c r="BI1371" s="407"/>
      <c r="BJ1371" s="543"/>
      <c r="BK1371" s="46">
        <f t="shared" si="1"/>
        <v>1</v>
      </c>
      <c r="BL1371" s="46">
        <f t="shared" si="3"/>
        <v>0</v>
      </c>
      <c r="BM1371" s="46">
        <f t="shared" si="4"/>
        <v>1</v>
      </c>
      <c r="BN1371" s="46">
        <f t="shared" si="5"/>
        <v>0</v>
      </c>
    </row>
    <row r="1372" spans="1:66" ht="12.75" customHeight="1">
      <c r="A1372" s="399">
        <v>1382</v>
      </c>
      <c r="B1372" s="399" t="s">
        <v>4135</v>
      </c>
      <c r="C1372" s="399" t="e">
        <f t="shared" ca="1" si="0"/>
        <v>#NAME?</v>
      </c>
      <c r="D1372" s="400" t="s">
        <v>4137</v>
      </c>
      <c r="E1372" s="399" t="s">
        <v>180</v>
      </c>
      <c r="F1372" s="400" t="s">
        <v>3381</v>
      </c>
      <c r="G1372" s="400"/>
      <c r="H1372" s="400"/>
      <c r="I1372" s="400"/>
      <c r="J1372" s="400"/>
      <c r="K1372" s="400">
        <v>1</v>
      </c>
      <c r="L1372" s="400" t="s">
        <v>3333</v>
      </c>
      <c r="M1372" s="402" t="s">
        <v>3334</v>
      </c>
      <c r="N1372" s="402"/>
      <c r="O1372" s="428" t="s">
        <v>4119</v>
      </c>
      <c r="P1372" s="428"/>
      <c r="Q1372" s="399" t="s">
        <v>4136</v>
      </c>
      <c r="R1372" s="428"/>
      <c r="S1372" s="399"/>
      <c r="T1372" s="399"/>
      <c r="U1372" s="399"/>
      <c r="V1372" s="399"/>
      <c r="W1372" s="399" t="s">
        <v>4137</v>
      </c>
      <c r="X1372" s="399"/>
      <c r="Y1372" s="399" t="s">
        <v>113</v>
      </c>
      <c r="Z1372" s="399" t="s">
        <v>4138</v>
      </c>
      <c r="AA1372" s="399" t="s">
        <v>113</v>
      </c>
      <c r="AB1372" s="399" t="s">
        <v>3178</v>
      </c>
      <c r="AC1372" s="532" t="s">
        <v>4139</v>
      </c>
      <c r="AD1372" s="400"/>
      <c r="AE1372" s="399"/>
      <c r="AF1372" s="399"/>
      <c r="AG1372" s="399"/>
      <c r="AH1372" s="532"/>
      <c r="AI1372" s="399"/>
      <c r="AJ1372" s="400"/>
      <c r="AK1372" s="399"/>
      <c r="AL1372" s="500"/>
      <c r="AM1372" s="500"/>
      <c r="AN1372" s="500"/>
      <c r="AO1372" s="399"/>
      <c r="AP1372" s="399"/>
      <c r="AQ1372" s="399"/>
      <c r="AR1372" s="399"/>
      <c r="AS1372" s="399"/>
      <c r="AT1372" s="399"/>
      <c r="AU1372" s="399"/>
      <c r="AV1372" s="399">
        <v>243818000</v>
      </c>
      <c r="AW1372" s="541"/>
      <c r="AX1372" s="541"/>
      <c r="AY1372" s="541"/>
      <c r="AZ1372" s="541"/>
      <c r="BA1372" s="541"/>
      <c r="BB1372" s="399"/>
      <c r="BC1372" s="399" t="e">
        <f t="shared" ca="1" si="2"/>
        <v>#NAME?</v>
      </c>
      <c r="BD1372" s="399"/>
      <c r="BE1372" s="399" t="s">
        <v>4141</v>
      </c>
      <c r="BF1372" s="399"/>
      <c r="BG1372" s="540"/>
      <c r="BH1372" s="407"/>
      <c r="BI1372" s="497">
        <v>243818000</v>
      </c>
      <c r="BJ1372" s="543"/>
      <c r="BK1372" s="46">
        <f t="shared" si="1"/>
        <v>1</v>
      </c>
      <c r="BL1372" s="46">
        <f t="shared" si="3"/>
        <v>1</v>
      </c>
      <c r="BM1372" s="46">
        <f t="shared" si="4"/>
        <v>0</v>
      </c>
      <c r="BN1372" s="46">
        <f t="shared" si="5"/>
        <v>0</v>
      </c>
    </row>
    <row r="1373" spans="1:66" ht="12.75" customHeight="1">
      <c r="A1373" s="399">
        <v>1383</v>
      </c>
      <c r="B1373" s="399" t="s">
        <v>4142</v>
      </c>
      <c r="C1373" s="399" t="e">
        <f t="shared" ca="1" si="0"/>
        <v>#NAME?</v>
      </c>
      <c r="D1373" s="400" t="s">
        <v>4144</v>
      </c>
      <c r="E1373" s="399" t="s">
        <v>180</v>
      </c>
      <c r="F1373" s="400" t="s">
        <v>3381</v>
      </c>
      <c r="G1373" s="400"/>
      <c r="H1373" s="400"/>
      <c r="I1373" s="400"/>
      <c r="J1373" s="400"/>
      <c r="K1373" s="400">
        <v>1</v>
      </c>
      <c r="L1373" s="400" t="s">
        <v>3333</v>
      </c>
      <c r="M1373" s="402" t="s">
        <v>3334</v>
      </c>
      <c r="N1373" s="402"/>
      <c r="O1373" s="428" t="s">
        <v>4119</v>
      </c>
      <c r="P1373" s="428"/>
      <c r="Q1373" s="399" t="s">
        <v>4143</v>
      </c>
      <c r="R1373" s="428"/>
      <c r="S1373" s="399"/>
      <c r="T1373" s="399"/>
      <c r="U1373" s="399"/>
      <c r="V1373" s="399"/>
      <c r="W1373" s="399" t="s">
        <v>4144</v>
      </c>
      <c r="X1373" s="400"/>
      <c r="Y1373" s="399" t="s">
        <v>113</v>
      </c>
      <c r="Z1373" s="399"/>
      <c r="AA1373" s="399" t="s">
        <v>113</v>
      </c>
      <c r="AB1373" s="399" t="s">
        <v>3178</v>
      </c>
      <c r="AC1373" s="532" t="s">
        <v>4145</v>
      </c>
      <c r="AD1373" s="400"/>
      <c r="AE1373" s="399"/>
      <c r="AF1373" s="399"/>
      <c r="AG1373" s="399"/>
      <c r="AH1373" s="532"/>
      <c r="AI1373" s="399"/>
      <c r="AJ1373" s="400"/>
      <c r="AK1373" s="399"/>
      <c r="AL1373" s="500"/>
      <c r="AM1373" s="500"/>
      <c r="AN1373" s="500"/>
      <c r="AO1373" s="399"/>
      <c r="AP1373" s="399"/>
      <c r="AQ1373" s="399"/>
      <c r="AR1373" s="399"/>
      <c r="AS1373" s="409" t="s">
        <v>3162</v>
      </c>
      <c r="AT1373" s="399"/>
      <c r="AU1373" s="399"/>
      <c r="AV1373" s="493">
        <v>169489007</v>
      </c>
      <c r="AW1373" s="541"/>
      <c r="AX1373" s="541"/>
      <c r="AY1373" s="541"/>
      <c r="AZ1373" s="541"/>
      <c r="BA1373" s="541"/>
      <c r="BB1373" s="399"/>
      <c r="BC1373" s="399" t="e">
        <f t="shared" ca="1" si="2"/>
        <v>#NAME?</v>
      </c>
      <c r="BD1373" s="399"/>
      <c r="BE1373" s="399"/>
      <c r="BF1373" s="399"/>
      <c r="BG1373" s="540"/>
      <c r="BH1373" s="407"/>
      <c r="BI1373" s="529">
        <v>169489007</v>
      </c>
      <c r="BJ1373" s="543"/>
      <c r="BK1373" s="46">
        <f t="shared" si="1"/>
        <v>1</v>
      </c>
      <c r="BL1373" s="46">
        <f t="shared" si="3"/>
        <v>1</v>
      </c>
      <c r="BM1373" s="46">
        <f t="shared" si="4"/>
        <v>0</v>
      </c>
      <c r="BN1373" s="46">
        <f t="shared" si="5"/>
        <v>0</v>
      </c>
    </row>
    <row r="1374" spans="1:66" ht="12.75" customHeight="1">
      <c r="A1374" s="399">
        <v>1384</v>
      </c>
      <c r="B1374" s="399" t="s">
        <v>4147</v>
      </c>
      <c r="C1374" s="399" t="e">
        <f t="shared" ca="1" si="0"/>
        <v>#NAME?</v>
      </c>
      <c r="D1374" s="400" t="s">
        <v>4149</v>
      </c>
      <c r="E1374" s="399" t="s">
        <v>180</v>
      </c>
      <c r="F1374" s="400" t="s">
        <v>3381</v>
      </c>
      <c r="G1374" s="400"/>
      <c r="H1374" s="400"/>
      <c r="I1374" s="400"/>
      <c r="J1374" s="400"/>
      <c r="K1374" s="400">
        <v>1</v>
      </c>
      <c r="L1374" s="400" t="s">
        <v>3333</v>
      </c>
      <c r="M1374" s="402" t="s">
        <v>3334</v>
      </c>
      <c r="N1374" s="402"/>
      <c r="O1374" s="428" t="s">
        <v>4119</v>
      </c>
      <c r="P1374" s="428"/>
      <c r="Q1374" s="399" t="s">
        <v>4148</v>
      </c>
      <c r="R1374" s="428"/>
      <c r="S1374" s="399"/>
      <c r="T1374" s="399"/>
      <c r="U1374" s="399"/>
      <c r="V1374" s="399"/>
      <c r="W1374" s="399" t="s">
        <v>4149</v>
      </c>
      <c r="X1374" s="400"/>
      <c r="Y1374" s="399" t="s">
        <v>208</v>
      </c>
      <c r="Z1374" s="399"/>
      <c r="AA1374" s="399" t="s">
        <v>113</v>
      </c>
      <c r="AB1374" s="399" t="s">
        <v>3178</v>
      </c>
      <c r="AC1374" s="532" t="s">
        <v>4145</v>
      </c>
      <c r="AD1374" s="400"/>
      <c r="AE1374" s="399"/>
      <c r="AF1374" s="399"/>
      <c r="AG1374" s="399"/>
      <c r="AH1374" s="532"/>
      <c r="AI1374" s="399"/>
      <c r="AJ1374" s="400"/>
      <c r="AK1374" s="399"/>
      <c r="AL1374" s="500"/>
      <c r="AM1374" s="500"/>
      <c r="AN1374" s="500"/>
      <c r="AO1374" s="399"/>
      <c r="AP1374" s="399"/>
      <c r="AQ1374" s="399"/>
      <c r="AR1374" s="399"/>
      <c r="AS1374" s="409" t="s">
        <v>3162</v>
      </c>
      <c r="AT1374" s="399"/>
      <c r="AU1374" s="399"/>
      <c r="AV1374" s="493">
        <v>169487009</v>
      </c>
      <c r="AW1374" s="541"/>
      <c r="AX1374" s="541"/>
      <c r="AY1374" s="541"/>
      <c r="AZ1374" s="541"/>
      <c r="BA1374" s="541"/>
      <c r="BB1374" s="399"/>
      <c r="BC1374" s="399" t="e">
        <f t="shared" ca="1" si="2"/>
        <v>#NAME?</v>
      </c>
      <c r="BD1374" s="399"/>
      <c r="BE1374" s="399"/>
      <c r="BF1374" s="399"/>
      <c r="BG1374" s="540"/>
      <c r="BH1374" s="407"/>
      <c r="BI1374" s="529">
        <v>169487009</v>
      </c>
      <c r="BJ1374" s="543"/>
      <c r="BK1374" s="46">
        <f t="shared" si="1"/>
        <v>1</v>
      </c>
      <c r="BL1374" s="46">
        <f t="shared" si="3"/>
        <v>1</v>
      </c>
      <c r="BM1374" s="46">
        <f t="shared" si="4"/>
        <v>0</v>
      </c>
      <c r="BN1374" s="46">
        <f t="shared" si="5"/>
        <v>0</v>
      </c>
    </row>
    <row r="1375" spans="1:66" ht="12.75" customHeight="1">
      <c r="A1375" s="399">
        <v>1385</v>
      </c>
      <c r="B1375" s="399" t="s">
        <v>4151</v>
      </c>
      <c r="C1375" s="399" t="e">
        <f t="shared" ca="1" si="0"/>
        <v>#NAME?</v>
      </c>
      <c r="D1375" s="400" t="s">
        <v>4153</v>
      </c>
      <c r="E1375" s="399" t="s">
        <v>180</v>
      </c>
      <c r="F1375" s="400" t="s">
        <v>3381</v>
      </c>
      <c r="G1375" s="400"/>
      <c r="H1375" s="400"/>
      <c r="I1375" s="400"/>
      <c r="J1375" s="400"/>
      <c r="K1375" s="400">
        <v>1</v>
      </c>
      <c r="L1375" s="400" t="s">
        <v>3333</v>
      </c>
      <c r="M1375" s="402" t="s">
        <v>3334</v>
      </c>
      <c r="N1375" s="402"/>
      <c r="O1375" s="428" t="s">
        <v>4119</v>
      </c>
      <c r="P1375" s="428"/>
      <c r="Q1375" s="399" t="s">
        <v>4152</v>
      </c>
      <c r="R1375" s="428"/>
      <c r="S1375" s="399"/>
      <c r="T1375" s="399"/>
      <c r="U1375" s="399"/>
      <c r="V1375" s="399"/>
      <c r="W1375" s="399" t="s">
        <v>4153</v>
      </c>
      <c r="X1375" s="400"/>
      <c r="Y1375" s="399" t="s">
        <v>208</v>
      </c>
      <c r="Z1375" s="399"/>
      <c r="AA1375" s="399" t="s">
        <v>113</v>
      </c>
      <c r="AB1375" s="399" t="s">
        <v>3178</v>
      </c>
      <c r="AC1375" s="532" t="s">
        <v>4145</v>
      </c>
      <c r="AD1375" s="517"/>
      <c r="AE1375" s="399"/>
      <c r="AF1375" s="399"/>
      <c r="AG1375" s="399"/>
      <c r="AH1375" s="532"/>
      <c r="AI1375" s="399"/>
      <c r="AJ1375" s="517"/>
      <c r="AK1375" s="399"/>
      <c r="AL1375" s="500"/>
      <c r="AM1375" s="500"/>
      <c r="AN1375" s="500"/>
      <c r="AO1375" s="399"/>
      <c r="AP1375" s="399"/>
      <c r="AQ1375" s="399"/>
      <c r="AR1375" s="399"/>
      <c r="AS1375" s="399"/>
      <c r="AT1375" s="400" t="s">
        <v>4155</v>
      </c>
      <c r="AU1375" s="400" t="s">
        <v>4156</v>
      </c>
      <c r="AV1375" s="400">
        <v>14302001</v>
      </c>
      <c r="AW1375" s="541"/>
      <c r="AX1375" s="541"/>
      <c r="AY1375" s="541"/>
      <c r="AZ1375" s="541"/>
      <c r="BA1375" s="541"/>
      <c r="BB1375" s="400"/>
      <c r="BC1375" s="399" t="e">
        <f t="shared" ca="1" si="2"/>
        <v>#NAME?</v>
      </c>
      <c r="BD1375" s="400">
        <v>148989</v>
      </c>
      <c r="BE1375" s="399"/>
      <c r="BF1375" s="399"/>
      <c r="BG1375" s="540"/>
      <c r="BH1375" s="407" t="s">
        <v>4155</v>
      </c>
      <c r="BI1375" s="407">
        <v>14302001</v>
      </c>
      <c r="BJ1375" s="543"/>
      <c r="BK1375" s="46">
        <f t="shared" si="1"/>
        <v>1</v>
      </c>
      <c r="BL1375" s="46">
        <f t="shared" si="3"/>
        <v>1</v>
      </c>
      <c r="BM1375" s="46">
        <f t="shared" si="4"/>
        <v>0</v>
      </c>
      <c r="BN1375" s="46">
        <f t="shared" si="5"/>
        <v>0</v>
      </c>
    </row>
    <row r="1376" spans="1:66" ht="12.75" customHeight="1">
      <c r="A1376" s="399">
        <v>1386</v>
      </c>
      <c r="B1376" s="399" t="s">
        <v>4158</v>
      </c>
      <c r="C1376" s="399" t="e">
        <f t="shared" ca="1" si="0"/>
        <v>#NAME?</v>
      </c>
      <c r="D1376" s="400" t="s">
        <v>4160</v>
      </c>
      <c r="E1376" s="399" t="s">
        <v>180</v>
      </c>
      <c r="F1376" s="400" t="s">
        <v>3381</v>
      </c>
      <c r="G1376" s="400"/>
      <c r="H1376" s="400"/>
      <c r="I1376" s="400"/>
      <c r="J1376" s="400"/>
      <c r="K1376" s="400">
        <v>1</v>
      </c>
      <c r="L1376" s="400" t="s">
        <v>3333</v>
      </c>
      <c r="M1376" s="402" t="s">
        <v>3334</v>
      </c>
      <c r="N1376" s="402"/>
      <c r="O1376" s="428" t="s">
        <v>4119</v>
      </c>
      <c r="P1376" s="428"/>
      <c r="Q1376" s="399" t="s">
        <v>4159</v>
      </c>
      <c r="R1376" s="428"/>
      <c r="S1376" s="399"/>
      <c r="T1376" s="399"/>
      <c r="U1376" s="399"/>
      <c r="V1376" s="399"/>
      <c r="W1376" s="399" t="s">
        <v>4160</v>
      </c>
      <c r="X1376" s="400"/>
      <c r="Y1376" s="399" t="s">
        <v>208</v>
      </c>
      <c r="Z1376" s="399"/>
      <c r="AA1376" s="399" t="s">
        <v>113</v>
      </c>
      <c r="AB1376" s="399" t="s">
        <v>3178</v>
      </c>
      <c r="AC1376" s="532" t="s">
        <v>4161</v>
      </c>
      <c r="AD1376" s="517"/>
      <c r="AE1376" s="399"/>
      <c r="AF1376" s="399"/>
      <c r="AG1376" s="399"/>
      <c r="AH1376" s="532"/>
      <c r="AI1376" s="399"/>
      <c r="AJ1376" s="517"/>
      <c r="AK1376" s="399"/>
      <c r="AL1376" s="500"/>
      <c r="AM1376" s="500"/>
      <c r="AN1376" s="500"/>
      <c r="AO1376" s="399"/>
      <c r="AP1376" s="399"/>
      <c r="AQ1376" s="399"/>
      <c r="AR1376" s="399"/>
      <c r="AS1376" s="399"/>
      <c r="AT1376" s="517" t="s">
        <v>428</v>
      </c>
      <c r="AU1376" s="517" t="s">
        <v>4162</v>
      </c>
      <c r="AV1376" s="517">
        <v>301822002</v>
      </c>
      <c r="AW1376" s="541"/>
      <c r="AX1376" s="541"/>
      <c r="AY1376" s="541"/>
      <c r="AZ1376" s="541"/>
      <c r="BA1376" s="541"/>
      <c r="BB1376" s="517"/>
      <c r="BC1376" s="399" t="e">
        <f t="shared" ca="1" si="2"/>
        <v>#NAME?</v>
      </c>
      <c r="BD1376" s="517">
        <v>150802</v>
      </c>
      <c r="BE1376" s="399"/>
      <c r="BF1376" s="399"/>
      <c r="BG1376" s="540"/>
      <c r="BH1376" s="414" t="s">
        <v>428</v>
      </c>
      <c r="BI1376" s="546">
        <v>301822002</v>
      </c>
      <c r="BJ1376" s="543"/>
      <c r="BK1376" s="46">
        <f t="shared" si="1"/>
        <v>1</v>
      </c>
      <c r="BL1376" s="46">
        <f t="shared" si="3"/>
        <v>1</v>
      </c>
      <c r="BM1376" s="46">
        <f t="shared" si="4"/>
        <v>0</v>
      </c>
      <c r="BN1376" s="46">
        <f t="shared" si="5"/>
        <v>0</v>
      </c>
    </row>
    <row r="1377" spans="1:66" ht="12.75" customHeight="1">
      <c r="A1377" s="399">
        <v>1387</v>
      </c>
      <c r="B1377" s="399" t="s">
        <v>4164</v>
      </c>
      <c r="C1377" s="399" t="e">
        <f t="shared" ca="1" si="0"/>
        <v>#NAME?</v>
      </c>
      <c r="D1377" s="400" t="s">
        <v>4166</v>
      </c>
      <c r="E1377" s="399" t="s">
        <v>180</v>
      </c>
      <c r="F1377" s="400" t="s">
        <v>3381</v>
      </c>
      <c r="G1377" s="400"/>
      <c r="H1377" s="400"/>
      <c r="I1377" s="400"/>
      <c r="J1377" s="400"/>
      <c r="K1377" s="400">
        <v>1</v>
      </c>
      <c r="L1377" s="400" t="s">
        <v>3333</v>
      </c>
      <c r="M1377" s="402" t="s">
        <v>3334</v>
      </c>
      <c r="N1377" s="402"/>
      <c r="O1377" s="428" t="s">
        <v>4119</v>
      </c>
      <c r="P1377" s="428"/>
      <c r="Q1377" s="399" t="s">
        <v>4165</v>
      </c>
      <c r="R1377" s="428"/>
      <c r="S1377" s="399"/>
      <c r="T1377" s="399"/>
      <c r="U1377" s="399"/>
      <c r="V1377" s="399"/>
      <c r="W1377" s="399" t="s">
        <v>4166</v>
      </c>
      <c r="X1377" s="400"/>
      <c r="Y1377" s="399" t="s">
        <v>208</v>
      </c>
      <c r="Z1377" s="399"/>
      <c r="AA1377" s="399" t="s">
        <v>113</v>
      </c>
      <c r="AB1377" s="399" t="s">
        <v>3178</v>
      </c>
      <c r="AC1377" s="532" t="s">
        <v>4161</v>
      </c>
      <c r="AD1377" s="517"/>
      <c r="AE1377" s="399"/>
      <c r="AF1377" s="399"/>
      <c r="AG1377" s="399"/>
      <c r="AH1377" s="532"/>
      <c r="AI1377" s="399"/>
      <c r="AJ1377" s="517"/>
      <c r="AK1377" s="399"/>
      <c r="AL1377" s="500"/>
      <c r="AM1377" s="500"/>
      <c r="AN1377" s="500"/>
      <c r="AO1377" s="399"/>
      <c r="AP1377" s="399"/>
      <c r="AQ1377" s="399"/>
      <c r="AR1377" s="399"/>
      <c r="AS1377" s="399"/>
      <c r="AT1377" s="399"/>
      <c r="AU1377" s="399"/>
      <c r="AV1377" s="399"/>
      <c r="AW1377" s="541"/>
      <c r="AX1377" s="541"/>
      <c r="AY1377" s="541"/>
      <c r="AZ1377" s="541"/>
      <c r="BA1377" s="541"/>
      <c r="BB1377" s="399"/>
      <c r="BC1377" s="399" t="e">
        <f t="shared" ca="1" si="2"/>
        <v>#NAME?</v>
      </c>
      <c r="BD1377" s="399"/>
      <c r="BE1377" s="399"/>
      <c r="BF1377" s="399"/>
      <c r="BG1377" s="540"/>
      <c r="BH1377" s="407"/>
      <c r="BI1377" s="407"/>
      <c r="BJ1377" s="543"/>
      <c r="BK1377" s="46">
        <f t="shared" si="1"/>
        <v>1</v>
      </c>
      <c r="BL1377" s="46">
        <f t="shared" si="3"/>
        <v>0</v>
      </c>
      <c r="BM1377" s="46">
        <f t="shared" si="4"/>
        <v>1</v>
      </c>
      <c r="BN1377" s="46">
        <f t="shared" si="5"/>
        <v>0</v>
      </c>
    </row>
    <row r="1378" spans="1:66" ht="12.75" customHeight="1">
      <c r="A1378" s="399">
        <v>1388</v>
      </c>
      <c r="B1378" s="399" t="s">
        <v>4171</v>
      </c>
      <c r="C1378" s="399" t="e">
        <f t="shared" ca="1" si="0"/>
        <v>#NAME?</v>
      </c>
      <c r="D1378" s="400" t="s">
        <v>4173</v>
      </c>
      <c r="E1378" s="399" t="s">
        <v>180</v>
      </c>
      <c r="F1378" s="400" t="s">
        <v>3381</v>
      </c>
      <c r="G1378" s="400"/>
      <c r="H1378" s="400"/>
      <c r="I1378" s="400"/>
      <c r="J1378" s="400"/>
      <c r="K1378" s="400">
        <v>1</v>
      </c>
      <c r="L1378" s="400" t="s">
        <v>3333</v>
      </c>
      <c r="M1378" s="402" t="s">
        <v>3334</v>
      </c>
      <c r="N1378" s="402"/>
      <c r="O1378" s="428" t="s">
        <v>4119</v>
      </c>
      <c r="P1378" s="428"/>
      <c r="Q1378" s="399" t="s">
        <v>4172</v>
      </c>
      <c r="R1378" s="428"/>
      <c r="S1378" s="399"/>
      <c r="T1378" s="399"/>
      <c r="U1378" s="399"/>
      <c r="V1378" s="399"/>
      <c r="W1378" s="399" t="s">
        <v>4173</v>
      </c>
      <c r="X1378" s="400"/>
      <c r="Y1378" s="399" t="s">
        <v>208</v>
      </c>
      <c r="Z1378" s="399"/>
      <c r="AA1378" s="399" t="s">
        <v>113</v>
      </c>
      <c r="AB1378" s="399" t="s">
        <v>3178</v>
      </c>
      <c r="AC1378" s="532" t="s">
        <v>4174</v>
      </c>
      <c r="AD1378" s="517"/>
      <c r="AE1378" s="399"/>
      <c r="AF1378" s="399"/>
      <c r="AG1378" s="399"/>
      <c r="AH1378" s="532"/>
      <c r="AI1378" s="399"/>
      <c r="AJ1378" s="517"/>
      <c r="AK1378" s="399"/>
      <c r="AL1378" s="500"/>
      <c r="AM1378" s="500"/>
      <c r="AN1378" s="500"/>
      <c r="AO1378" s="399"/>
      <c r="AP1378" s="399"/>
      <c r="AQ1378" s="399"/>
      <c r="AR1378" s="399"/>
      <c r="AS1378" s="399"/>
      <c r="AT1378" s="400" t="s">
        <v>397</v>
      </c>
      <c r="AU1378" s="400" t="s">
        <v>4175</v>
      </c>
      <c r="AV1378" s="400">
        <v>9126005</v>
      </c>
      <c r="AW1378" s="541"/>
      <c r="AX1378" s="541"/>
      <c r="AY1378" s="541"/>
      <c r="AZ1378" s="541"/>
      <c r="BA1378" s="541"/>
      <c r="BB1378" s="400"/>
      <c r="BC1378" s="399" t="e">
        <f t="shared" ca="1" si="2"/>
        <v>#NAME?</v>
      </c>
      <c r="BD1378" s="400">
        <v>115814</v>
      </c>
      <c r="BE1378" s="399"/>
      <c r="BF1378" s="399"/>
      <c r="BG1378" s="540"/>
      <c r="BH1378" s="407" t="s">
        <v>397</v>
      </c>
      <c r="BI1378" s="407">
        <v>9126005</v>
      </c>
      <c r="BJ1378" s="543"/>
      <c r="BK1378" s="46">
        <f t="shared" si="1"/>
        <v>1</v>
      </c>
      <c r="BL1378" s="46">
        <f t="shared" si="3"/>
        <v>1</v>
      </c>
      <c r="BM1378" s="46">
        <f t="shared" si="4"/>
        <v>0</v>
      </c>
      <c r="BN1378" s="46">
        <f t="shared" si="5"/>
        <v>0</v>
      </c>
    </row>
    <row r="1379" spans="1:66" ht="12.75" customHeight="1">
      <c r="A1379" s="399">
        <v>1389</v>
      </c>
      <c r="B1379" s="399" t="s">
        <v>4177</v>
      </c>
      <c r="C1379" s="399" t="e">
        <f t="shared" ca="1" si="0"/>
        <v>#NAME?</v>
      </c>
      <c r="D1379" s="400" t="s">
        <v>4179</v>
      </c>
      <c r="E1379" s="399" t="s">
        <v>180</v>
      </c>
      <c r="F1379" s="400" t="s">
        <v>3381</v>
      </c>
      <c r="G1379" s="400"/>
      <c r="H1379" s="400"/>
      <c r="I1379" s="400"/>
      <c r="J1379" s="400"/>
      <c r="K1379" s="400">
        <v>1</v>
      </c>
      <c r="L1379" s="400" t="s">
        <v>3333</v>
      </c>
      <c r="M1379" s="402" t="s">
        <v>3334</v>
      </c>
      <c r="N1379" s="402"/>
      <c r="O1379" s="428" t="s">
        <v>4119</v>
      </c>
      <c r="P1379" s="428"/>
      <c r="Q1379" s="399" t="s">
        <v>4178</v>
      </c>
      <c r="R1379" s="428"/>
      <c r="S1379" s="399"/>
      <c r="T1379" s="399"/>
      <c r="U1379" s="399"/>
      <c r="V1379" s="399"/>
      <c r="W1379" s="399" t="s">
        <v>4179</v>
      </c>
      <c r="X1379" s="400"/>
      <c r="Y1379" s="399" t="s">
        <v>208</v>
      </c>
      <c r="Z1379" s="399"/>
      <c r="AA1379" s="399" t="s">
        <v>113</v>
      </c>
      <c r="AB1379" s="399" t="s">
        <v>3178</v>
      </c>
      <c r="AC1379" s="532" t="s">
        <v>4180</v>
      </c>
      <c r="AD1379" s="517"/>
      <c r="AE1379" s="399"/>
      <c r="AF1379" s="399"/>
      <c r="AG1379" s="399"/>
      <c r="AH1379" s="532"/>
      <c r="AI1379" s="399"/>
      <c r="AJ1379" s="517"/>
      <c r="AK1379" s="399"/>
      <c r="AL1379" s="500"/>
      <c r="AM1379" s="500"/>
      <c r="AN1379" s="500"/>
      <c r="AO1379" s="399"/>
      <c r="AP1379" s="399"/>
      <c r="AQ1379" s="399"/>
      <c r="AR1379" s="399"/>
      <c r="AS1379" s="399"/>
      <c r="AT1379" s="399"/>
      <c r="AU1379" s="399"/>
      <c r="AV1379" s="399"/>
      <c r="AW1379" s="541"/>
      <c r="AX1379" s="541"/>
      <c r="AY1379" s="541"/>
      <c r="AZ1379" s="541"/>
      <c r="BA1379" s="541"/>
      <c r="BB1379" s="399"/>
      <c r="BC1379" s="399" t="e">
        <f t="shared" ca="1" si="2"/>
        <v>#NAME?</v>
      </c>
      <c r="BD1379" s="399"/>
      <c r="BE1379" s="399"/>
      <c r="BF1379" s="399"/>
      <c r="BG1379" s="540"/>
      <c r="BH1379" s="552"/>
      <c r="BI1379" s="552"/>
      <c r="BJ1379" s="543"/>
      <c r="BK1379" s="46">
        <f t="shared" si="1"/>
        <v>1</v>
      </c>
      <c r="BL1379" s="46">
        <f t="shared" si="3"/>
        <v>0</v>
      </c>
      <c r="BM1379" s="46">
        <f t="shared" si="4"/>
        <v>1</v>
      </c>
      <c r="BN1379" s="46">
        <f t="shared" si="5"/>
        <v>0</v>
      </c>
    </row>
    <row r="1380" spans="1:66" ht="12.75" customHeight="1">
      <c r="A1380" s="399">
        <v>1390</v>
      </c>
      <c r="B1380" s="399" t="s">
        <v>4183</v>
      </c>
      <c r="C1380" s="399" t="e">
        <f t="shared" ca="1" si="0"/>
        <v>#NAME?</v>
      </c>
      <c r="D1380" s="400" t="s">
        <v>4185</v>
      </c>
      <c r="E1380" s="399" t="s">
        <v>180</v>
      </c>
      <c r="F1380" s="400" t="s">
        <v>3381</v>
      </c>
      <c r="G1380" s="400"/>
      <c r="H1380" s="400"/>
      <c r="I1380" s="400"/>
      <c r="J1380" s="400"/>
      <c r="K1380" s="400">
        <v>1</v>
      </c>
      <c r="L1380" s="400" t="s">
        <v>3333</v>
      </c>
      <c r="M1380" s="402" t="s">
        <v>3334</v>
      </c>
      <c r="N1380" s="402"/>
      <c r="O1380" s="428" t="s">
        <v>4119</v>
      </c>
      <c r="P1380" s="428"/>
      <c r="Q1380" s="399" t="s">
        <v>4184</v>
      </c>
      <c r="R1380" s="428"/>
      <c r="S1380" s="399"/>
      <c r="T1380" s="399"/>
      <c r="U1380" s="399"/>
      <c r="V1380" s="399"/>
      <c r="W1380" s="399" t="s">
        <v>4185</v>
      </c>
      <c r="X1380" s="400"/>
      <c r="Y1380" s="399" t="s">
        <v>208</v>
      </c>
      <c r="Z1380" s="399"/>
      <c r="AA1380" s="399" t="s">
        <v>113</v>
      </c>
      <c r="AB1380" s="399" t="s">
        <v>3178</v>
      </c>
      <c r="AC1380" s="532" t="s">
        <v>4186</v>
      </c>
      <c r="AD1380" s="517"/>
      <c r="AE1380" s="399"/>
      <c r="AF1380" s="399"/>
      <c r="AG1380" s="399"/>
      <c r="AH1380" s="532"/>
      <c r="AI1380" s="399"/>
      <c r="AJ1380" s="517"/>
      <c r="AK1380" s="399"/>
      <c r="AL1380" s="500"/>
      <c r="AM1380" s="500"/>
      <c r="AN1380" s="500"/>
      <c r="AO1380" s="399"/>
      <c r="AP1380" s="399"/>
      <c r="AQ1380" s="399"/>
      <c r="AR1380" s="399"/>
      <c r="AS1380" s="409" t="s">
        <v>3162</v>
      </c>
      <c r="AT1380" s="579" t="s">
        <v>5312</v>
      </c>
      <c r="AU1380" s="553"/>
      <c r="AV1380" s="579">
        <v>289539007</v>
      </c>
      <c r="AW1380" s="541"/>
      <c r="AX1380" s="541"/>
      <c r="AY1380" s="541"/>
      <c r="AZ1380" s="541"/>
      <c r="BA1380" s="541"/>
      <c r="BB1380" s="399"/>
      <c r="BC1380" s="399" t="e">
        <f t="shared" ca="1" si="2"/>
        <v>#NAME?</v>
      </c>
      <c r="BD1380" s="553"/>
      <c r="BE1380" s="399"/>
      <c r="BF1380" s="399"/>
      <c r="BG1380" s="540"/>
      <c r="BH1380" s="573"/>
      <c r="BI1380" s="554"/>
      <c r="BJ1380" s="543"/>
      <c r="BK1380" s="46">
        <f t="shared" si="1"/>
        <v>1</v>
      </c>
      <c r="BL1380" s="46">
        <f t="shared" si="3"/>
        <v>1</v>
      </c>
      <c r="BM1380" s="46">
        <f t="shared" si="4"/>
        <v>0</v>
      </c>
      <c r="BN1380" s="46">
        <f t="shared" si="5"/>
        <v>0</v>
      </c>
    </row>
    <row r="1381" spans="1:66" ht="12.75" customHeight="1">
      <c r="A1381" s="399">
        <v>1391</v>
      </c>
      <c r="B1381" s="399" t="s">
        <v>4195</v>
      </c>
      <c r="C1381" s="399" t="e">
        <f t="shared" ca="1" si="0"/>
        <v>#NAME?</v>
      </c>
      <c r="D1381" s="400" t="s">
        <v>4193</v>
      </c>
      <c r="E1381" s="399" t="s">
        <v>180</v>
      </c>
      <c r="F1381" s="400" t="s">
        <v>3381</v>
      </c>
      <c r="G1381" s="400"/>
      <c r="H1381" s="400"/>
      <c r="I1381" s="400"/>
      <c r="J1381" s="400"/>
      <c r="K1381" s="400">
        <v>1</v>
      </c>
      <c r="L1381" s="400" t="s">
        <v>3333</v>
      </c>
      <c r="M1381" s="402" t="s">
        <v>3334</v>
      </c>
      <c r="N1381" s="402"/>
      <c r="O1381" s="428" t="s">
        <v>4119</v>
      </c>
      <c r="P1381" s="581"/>
      <c r="Q1381" s="399" t="s">
        <v>4191</v>
      </c>
      <c r="R1381" s="428"/>
      <c r="S1381" s="399"/>
      <c r="T1381" s="399"/>
      <c r="U1381" s="531"/>
      <c r="V1381" s="399"/>
      <c r="W1381" s="399" t="s">
        <v>4193</v>
      </c>
      <c r="X1381" s="400"/>
      <c r="Y1381" s="399" t="s">
        <v>208</v>
      </c>
      <c r="Z1381" s="531"/>
      <c r="AA1381" s="399" t="s">
        <v>113</v>
      </c>
      <c r="AB1381" s="399" t="s">
        <v>3178</v>
      </c>
      <c r="AC1381" s="532" t="s">
        <v>4194</v>
      </c>
      <c r="AD1381" s="517"/>
      <c r="AE1381" s="531"/>
      <c r="AF1381" s="531"/>
      <c r="AG1381" s="531"/>
      <c r="AH1381" s="590"/>
      <c r="AI1381" s="531"/>
      <c r="AJ1381" s="517"/>
      <c r="AK1381" s="399"/>
      <c r="AL1381" s="500"/>
      <c r="AM1381" s="500"/>
      <c r="AN1381" s="500"/>
      <c r="AO1381" s="531"/>
      <c r="AP1381" s="531"/>
      <c r="AQ1381" s="531"/>
      <c r="AR1381" s="531"/>
      <c r="AS1381" s="591" t="s">
        <v>3162</v>
      </c>
      <c r="AT1381" s="400" t="s">
        <v>397</v>
      </c>
      <c r="AU1381" s="400" t="s">
        <v>4175</v>
      </c>
      <c r="AV1381" s="400">
        <v>289530006</v>
      </c>
      <c r="AW1381" s="541"/>
      <c r="AX1381" s="541"/>
      <c r="AY1381" s="541"/>
      <c r="AZ1381" s="541"/>
      <c r="BA1381" s="541"/>
      <c r="BB1381" s="400"/>
      <c r="BC1381" s="399" t="e">
        <f t="shared" ca="1" si="2"/>
        <v>#NAME?</v>
      </c>
      <c r="BD1381" s="400">
        <v>147232</v>
      </c>
      <c r="BE1381" s="399"/>
      <c r="BF1381" s="399"/>
      <c r="BG1381" s="540"/>
      <c r="BH1381" s="407" t="s">
        <v>397</v>
      </c>
      <c r="BI1381" s="407">
        <v>289530006</v>
      </c>
      <c r="BJ1381" s="543"/>
      <c r="BK1381" s="46">
        <f t="shared" si="1"/>
        <v>1</v>
      </c>
      <c r="BL1381" s="46">
        <f t="shared" si="3"/>
        <v>1</v>
      </c>
      <c r="BM1381" s="46">
        <f t="shared" si="4"/>
        <v>0</v>
      </c>
      <c r="BN1381" s="46">
        <f t="shared" si="5"/>
        <v>0</v>
      </c>
    </row>
    <row r="1382" spans="1:66" ht="12.75" customHeight="1">
      <c r="A1382" s="399">
        <v>1392</v>
      </c>
      <c r="B1382" s="399" t="s">
        <v>4197</v>
      </c>
      <c r="C1382" s="399" t="e">
        <f t="shared" ca="1" si="0"/>
        <v>#NAME?</v>
      </c>
      <c r="D1382" s="400" t="s">
        <v>4199</v>
      </c>
      <c r="E1382" s="399" t="s">
        <v>180</v>
      </c>
      <c r="F1382" s="400" t="s">
        <v>3381</v>
      </c>
      <c r="G1382" s="400"/>
      <c r="H1382" s="400"/>
      <c r="I1382" s="400"/>
      <c r="J1382" s="400"/>
      <c r="K1382" s="400">
        <v>1</v>
      </c>
      <c r="L1382" s="400" t="s">
        <v>3333</v>
      </c>
      <c r="M1382" s="402" t="s">
        <v>3334</v>
      </c>
      <c r="N1382" s="402"/>
      <c r="O1382" s="428" t="s">
        <v>4119</v>
      </c>
      <c r="P1382" s="428"/>
      <c r="Q1382" s="399" t="s">
        <v>4198</v>
      </c>
      <c r="R1382" s="428"/>
      <c r="S1382" s="399"/>
      <c r="T1382" s="399"/>
      <c r="U1382" s="399"/>
      <c r="V1382" s="399"/>
      <c r="W1382" s="399" t="s">
        <v>4199</v>
      </c>
      <c r="X1382" s="400"/>
      <c r="Y1382" s="399" t="s">
        <v>208</v>
      </c>
      <c r="Z1382" s="399"/>
      <c r="AA1382" s="399" t="s">
        <v>113</v>
      </c>
      <c r="AB1382" s="399" t="s">
        <v>3178</v>
      </c>
      <c r="AC1382" s="532" t="s">
        <v>4200</v>
      </c>
      <c r="AD1382" s="517"/>
      <c r="AE1382" s="399"/>
      <c r="AF1382" s="399"/>
      <c r="AG1382" s="399"/>
      <c r="AH1382" s="532"/>
      <c r="AI1382" s="399"/>
      <c r="AJ1382" s="517"/>
      <c r="AK1382" s="399"/>
      <c r="AL1382" s="500"/>
      <c r="AM1382" s="500"/>
      <c r="AN1382" s="500"/>
      <c r="AO1382" s="399"/>
      <c r="AP1382" s="399"/>
      <c r="AQ1382" s="399"/>
      <c r="AR1382" s="399"/>
      <c r="AS1382" s="399"/>
      <c r="AT1382" s="400" t="s">
        <v>4201</v>
      </c>
      <c r="AU1382" s="400" t="s">
        <v>4202</v>
      </c>
      <c r="AV1382" s="400">
        <v>48079002</v>
      </c>
      <c r="AW1382" s="541"/>
      <c r="AX1382" s="541"/>
      <c r="AY1382" s="541"/>
      <c r="AZ1382" s="541"/>
      <c r="BA1382" s="541"/>
      <c r="BB1382" s="400"/>
      <c r="BC1382" s="399" t="e">
        <f t="shared" ca="1" si="2"/>
        <v>#NAME?</v>
      </c>
      <c r="BD1382" s="400">
        <v>118879</v>
      </c>
      <c r="BE1382" s="399"/>
      <c r="BF1382" s="399"/>
      <c r="BG1382" s="540"/>
      <c r="BH1382" s="407" t="s">
        <v>4201</v>
      </c>
      <c r="BI1382" s="407">
        <v>48079002</v>
      </c>
      <c r="BJ1382" s="543"/>
      <c r="BK1382" s="46">
        <f t="shared" si="1"/>
        <v>1</v>
      </c>
      <c r="BL1382" s="46">
        <f t="shared" si="3"/>
        <v>1</v>
      </c>
      <c r="BM1382" s="46">
        <f t="shared" si="4"/>
        <v>0</v>
      </c>
      <c r="BN1382" s="46">
        <f t="shared" si="5"/>
        <v>0</v>
      </c>
    </row>
    <row r="1383" spans="1:66" ht="12.75" customHeight="1">
      <c r="A1383" s="399">
        <v>1393</v>
      </c>
      <c r="B1383" s="399" t="s">
        <v>4204</v>
      </c>
      <c r="C1383" s="399" t="e">
        <f t="shared" ca="1" si="0"/>
        <v>#NAME?</v>
      </c>
      <c r="D1383" s="400" t="s">
        <v>4206</v>
      </c>
      <c r="E1383" s="399" t="s">
        <v>180</v>
      </c>
      <c r="F1383" s="400" t="s">
        <v>3381</v>
      </c>
      <c r="G1383" s="400"/>
      <c r="H1383" s="400"/>
      <c r="I1383" s="400"/>
      <c r="J1383" s="400"/>
      <c r="K1383" s="400">
        <v>1</v>
      </c>
      <c r="L1383" s="400" t="s">
        <v>3333</v>
      </c>
      <c r="M1383" s="402" t="s">
        <v>3334</v>
      </c>
      <c r="N1383" s="402"/>
      <c r="O1383" s="428" t="s">
        <v>4119</v>
      </c>
      <c r="P1383" s="428"/>
      <c r="Q1383" s="399" t="s">
        <v>4205</v>
      </c>
      <c r="R1383" s="428"/>
      <c r="S1383" s="399"/>
      <c r="T1383" s="399"/>
      <c r="U1383" s="399"/>
      <c r="V1383" s="399"/>
      <c r="W1383" s="399" t="s">
        <v>4206</v>
      </c>
      <c r="X1383" s="400"/>
      <c r="Y1383" s="399" t="s">
        <v>208</v>
      </c>
      <c r="Z1383" s="399"/>
      <c r="AA1383" s="399" t="s">
        <v>113</v>
      </c>
      <c r="AB1383" s="399" t="s">
        <v>3178</v>
      </c>
      <c r="AC1383" s="532" t="s">
        <v>4200</v>
      </c>
      <c r="AD1383" s="517"/>
      <c r="AE1383" s="399"/>
      <c r="AF1383" s="399"/>
      <c r="AG1383" s="399"/>
      <c r="AH1383" s="532"/>
      <c r="AI1383" s="399"/>
      <c r="AJ1383" s="517"/>
      <c r="AK1383" s="399"/>
      <c r="AL1383" s="500"/>
      <c r="AM1383" s="500"/>
      <c r="AN1383" s="500"/>
      <c r="AO1383" s="399"/>
      <c r="AP1383" s="399"/>
      <c r="AQ1383" s="399"/>
      <c r="AR1383" s="399"/>
      <c r="AS1383" s="399"/>
      <c r="AT1383" s="399"/>
      <c r="AU1383" s="399"/>
      <c r="AV1383" s="399">
        <v>365965002</v>
      </c>
      <c r="AW1383" s="541"/>
      <c r="AX1383" s="541"/>
      <c r="AY1383" s="541"/>
      <c r="AZ1383" s="541"/>
      <c r="BA1383" s="541"/>
      <c r="BB1383" s="399"/>
      <c r="BC1383" s="399" t="e">
        <f t="shared" ca="1" si="2"/>
        <v>#NAME?</v>
      </c>
      <c r="BD1383" s="399"/>
      <c r="BE1383" s="399"/>
      <c r="BF1383" s="399"/>
      <c r="BG1383" s="540"/>
      <c r="BH1383" s="407"/>
      <c r="BI1383" s="407">
        <v>365965002</v>
      </c>
      <c r="BJ1383" s="543"/>
      <c r="BK1383" s="46">
        <f t="shared" si="1"/>
        <v>1</v>
      </c>
      <c r="BL1383" s="46">
        <f t="shared" si="3"/>
        <v>1</v>
      </c>
      <c r="BM1383" s="46">
        <f t="shared" si="4"/>
        <v>0</v>
      </c>
      <c r="BN1383" s="46">
        <f t="shared" si="5"/>
        <v>0</v>
      </c>
    </row>
    <row r="1384" spans="1:66" ht="12.75" customHeight="1">
      <c r="A1384" s="399">
        <v>1394</v>
      </c>
      <c r="B1384" s="399" t="s">
        <v>4208</v>
      </c>
      <c r="C1384" s="399" t="e">
        <f t="shared" ca="1" si="0"/>
        <v>#NAME?</v>
      </c>
      <c r="D1384" s="400" t="s">
        <v>4210</v>
      </c>
      <c r="E1384" s="399" t="s">
        <v>180</v>
      </c>
      <c r="F1384" s="400" t="s">
        <v>3381</v>
      </c>
      <c r="G1384" s="400"/>
      <c r="H1384" s="400"/>
      <c r="I1384" s="400"/>
      <c r="J1384" s="400"/>
      <c r="K1384" s="400">
        <v>1</v>
      </c>
      <c r="L1384" s="400" t="s">
        <v>3333</v>
      </c>
      <c r="M1384" s="402" t="s">
        <v>3334</v>
      </c>
      <c r="N1384" s="402"/>
      <c r="O1384" s="428" t="s">
        <v>4119</v>
      </c>
      <c r="P1384" s="428"/>
      <c r="Q1384" s="399" t="s">
        <v>4209</v>
      </c>
      <c r="R1384" s="428"/>
      <c r="S1384" s="399"/>
      <c r="T1384" s="399"/>
      <c r="U1384" s="399"/>
      <c r="V1384" s="399"/>
      <c r="W1384" s="399" t="s">
        <v>4210</v>
      </c>
      <c r="X1384" s="400"/>
      <c r="Y1384" s="399" t="s">
        <v>208</v>
      </c>
      <c r="Z1384" s="399"/>
      <c r="AA1384" s="399" t="s">
        <v>113</v>
      </c>
      <c r="AB1384" s="399" t="s">
        <v>3178</v>
      </c>
      <c r="AC1384" s="532" t="s">
        <v>4211</v>
      </c>
      <c r="AD1384" s="517"/>
      <c r="AE1384" s="399"/>
      <c r="AF1384" s="399"/>
      <c r="AG1384" s="399"/>
      <c r="AH1384" s="532"/>
      <c r="AI1384" s="399"/>
      <c r="AJ1384" s="517"/>
      <c r="AK1384" s="399"/>
      <c r="AL1384" s="500"/>
      <c r="AM1384" s="500"/>
      <c r="AN1384" s="500"/>
      <c r="AO1384" s="399"/>
      <c r="AP1384" s="399"/>
      <c r="AQ1384" s="399"/>
      <c r="AR1384" s="399"/>
      <c r="AS1384" s="399"/>
      <c r="AT1384" s="399"/>
      <c r="AU1384" s="399"/>
      <c r="AV1384" s="399"/>
      <c r="AW1384" s="541"/>
      <c r="AX1384" s="541"/>
      <c r="AY1384" s="541"/>
      <c r="AZ1384" s="541"/>
      <c r="BA1384" s="541"/>
      <c r="BB1384" s="399"/>
      <c r="BC1384" s="399" t="e">
        <f t="shared" ca="1" si="2"/>
        <v>#NAME?</v>
      </c>
      <c r="BD1384" s="399"/>
      <c r="BE1384" s="399"/>
      <c r="BF1384" s="399"/>
      <c r="BG1384" s="540"/>
      <c r="BH1384" s="407"/>
      <c r="BI1384" s="407"/>
      <c r="BJ1384" s="543"/>
      <c r="BK1384" s="46">
        <f t="shared" si="1"/>
        <v>1</v>
      </c>
      <c r="BL1384" s="46">
        <f t="shared" si="3"/>
        <v>0</v>
      </c>
      <c r="BM1384" s="46">
        <f t="shared" si="4"/>
        <v>1</v>
      </c>
      <c r="BN1384" s="46">
        <f t="shared" si="5"/>
        <v>0</v>
      </c>
    </row>
    <row r="1385" spans="1:66" ht="12.75" customHeight="1">
      <c r="A1385" s="399">
        <v>1395</v>
      </c>
      <c r="B1385" s="399" t="s">
        <v>4214</v>
      </c>
      <c r="C1385" s="399" t="e">
        <f t="shared" ca="1" si="0"/>
        <v>#NAME?</v>
      </c>
      <c r="D1385" s="400" t="s">
        <v>4216</v>
      </c>
      <c r="E1385" s="399" t="s">
        <v>180</v>
      </c>
      <c r="F1385" s="400" t="s">
        <v>3381</v>
      </c>
      <c r="G1385" s="400"/>
      <c r="H1385" s="400"/>
      <c r="I1385" s="400"/>
      <c r="J1385" s="400"/>
      <c r="K1385" s="400">
        <v>1</v>
      </c>
      <c r="L1385" s="400" t="s">
        <v>3333</v>
      </c>
      <c r="M1385" s="402" t="s">
        <v>3334</v>
      </c>
      <c r="N1385" s="402"/>
      <c r="O1385" s="428" t="s">
        <v>4119</v>
      </c>
      <c r="P1385" s="428"/>
      <c r="Q1385" s="399" t="s">
        <v>4215</v>
      </c>
      <c r="R1385" s="428"/>
      <c r="S1385" s="399"/>
      <c r="T1385" s="399"/>
      <c r="U1385" s="399"/>
      <c r="V1385" s="399"/>
      <c r="W1385" s="399" t="s">
        <v>4216</v>
      </c>
      <c r="X1385" s="400"/>
      <c r="Y1385" s="399" t="s">
        <v>208</v>
      </c>
      <c r="Z1385" s="399"/>
      <c r="AA1385" s="399" t="s">
        <v>113</v>
      </c>
      <c r="AB1385" s="399" t="s">
        <v>3178</v>
      </c>
      <c r="AC1385" s="532" t="s">
        <v>4217</v>
      </c>
      <c r="AD1385" s="517"/>
      <c r="AE1385" s="399"/>
      <c r="AF1385" s="399"/>
      <c r="AG1385" s="399"/>
      <c r="AH1385" s="532"/>
      <c r="AI1385" s="399"/>
      <c r="AJ1385" s="517"/>
      <c r="AK1385" s="399"/>
      <c r="AL1385" s="500"/>
      <c r="AM1385" s="500"/>
      <c r="AN1385" s="500"/>
      <c r="AO1385" s="399"/>
      <c r="AP1385" s="399"/>
      <c r="AQ1385" s="399"/>
      <c r="AR1385" s="399"/>
      <c r="AS1385" s="399"/>
      <c r="AT1385" s="399"/>
      <c r="AU1385" s="399"/>
      <c r="AV1385" s="399"/>
      <c r="AW1385" s="541"/>
      <c r="AX1385" s="541"/>
      <c r="AY1385" s="541"/>
      <c r="AZ1385" s="541"/>
      <c r="BA1385" s="541"/>
      <c r="BB1385" s="399"/>
      <c r="BC1385" s="399" t="e">
        <f t="shared" ca="1" si="2"/>
        <v>#NAME?</v>
      </c>
      <c r="BD1385" s="399"/>
      <c r="BE1385" s="399"/>
      <c r="BF1385" s="399"/>
      <c r="BG1385" s="540"/>
      <c r="BH1385" s="407"/>
      <c r="BI1385" s="407"/>
      <c r="BJ1385" s="543"/>
      <c r="BK1385" s="46">
        <f t="shared" si="1"/>
        <v>1</v>
      </c>
      <c r="BL1385" s="46">
        <f t="shared" si="3"/>
        <v>0</v>
      </c>
      <c r="BM1385" s="46">
        <f t="shared" si="4"/>
        <v>1</v>
      </c>
      <c r="BN1385" s="46">
        <f t="shared" si="5"/>
        <v>0</v>
      </c>
    </row>
    <row r="1386" spans="1:66" ht="12.75" customHeight="1">
      <c r="A1386" s="399">
        <v>1396</v>
      </c>
      <c r="B1386" s="399" t="s">
        <v>4220</v>
      </c>
      <c r="C1386" s="399" t="e">
        <f t="shared" ca="1" si="0"/>
        <v>#NAME?</v>
      </c>
      <c r="D1386" s="400" t="s">
        <v>4222</v>
      </c>
      <c r="E1386" s="399" t="s">
        <v>180</v>
      </c>
      <c r="F1386" s="400" t="s">
        <v>3381</v>
      </c>
      <c r="G1386" s="400"/>
      <c r="H1386" s="400"/>
      <c r="I1386" s="400"/>
      <c r="J1386" s="400"/>
      <c r="K1386" s="400">
        <v>1</v>
      </c>
      <c r="L1386" s="400" t="s">
        <v>3333</v>
      </c>
      <c r="M1386" s="402" t="s">
        <v>3334</v>
      </c>
      <c r="N1386" s="402"/>
      <c r="O1386" s="428" t="s">
        <v>4119</v>
      </c>
      <c r="P1386" s="581"/>
      <c r="Q1386" s="399" t="s">
        <v>4221</v>
      </c>
      <c r="R1386" s="428"/>
      <c r="S1386" s="399"/>
      <c r="T1386" s="399"/>
      <c r="U1386" s="399"/>
      <c r="V1386" s="399"/>
      <c r="W1386" s="399" t="s">
        <v>4222</v>
      </c>
      <c r="X1386" s="400"/>
      <c r="Y1386" s="399" t="s">
        <v>208</v>
      </c>
      <c r="Z1386" s="399"/>
      <c r="AA1386" s="399" t="s">
        <v>113</v>
      </c>
      <c r="AB1386" s="399"/>
      <c r="AC1386" s="532"/>
      <c r="AD1386" s="400"/>
      <c r="AE1386" s="399"/>
      <c r="AF1386" s="399"/>
      <c r="AG1386" s="399"/>
      <c r="AH1386" s="532"/>
      <c r="AI1386" s="399"/>
      <c r="AJ1386" s="400"/>
      <c r="AK1386" s="399"/>
      <c r="AL1386" s="500"/>
      <c r="AM1386" s="500"/>
      <c r="AN1386" s="500"/>
      <c r="AO1386" s="399"/>
      <c r="AP1386" s="399"/>
      <c r="AQ1386" s="399"/>
      <c r="AR1386" s="399"/>
      <c r="AS1386" s="409" t="s">
        <v>4224</v>
      </c>
      <c r="AT1386" s="409" t="s">
        <v>5331</v>
      </c>
      <c r="AU1386" s="399"/>
      <c r="AV1386" s="517"/>
      <c r="AW1386" s="541"/>
      <c r="AX1386" s="541"/>
      <c r="AY1386" s="541"/>
      <c r="AZ1386" s="541"/>
      <c r="BA1386" s="541"/>
      <c r="BB1386" s="399"/>
      <c r="BC1386" s="399" t="e">
        <f t="shared" ca="1" si="2"/>
        <v>#NAME?</v>
      </c>
      <c r="BD1386" s="399"/>
      <c r="BE1386" s="517"/>
      <c r="BF1386" s="517"/>
      <c r="BG1386" s="542"/>
      <c r="BH1386" s="407"/>
      <c r="BI1386" s="414"/>
      <c r="BJ1386" s="543"/>
      <c r="BK1386" s="46">
        <f t="shared" si="1"/>
        <v>1</v>
      </c>
      <c r="BL1386" s="46">
        <f t="shared" si="3"/>
        <v>1</v>
      </c>
      <c r="BM1386" s="46">
        <f t="shared" si="4"/>
        <v>0</v>
      </c>
      <c r="BN1386" s="46">
        <f t="shared" si="5"/>
        <v>0</v>
      </c>
    </row>
    <row r="1387" spans="1:66" ht="12.75" customHeight="1">
      <c r="A1387" s="399">
        <v>1397</v>
      </c>
      <c r="B1387" s="399" t="s">
        <v>4227</v>
      </c>
      <c r="C1387" s="399" t="e">
        <f t="shared" ca="1" si="0"/>
        <v>#NAME?</v>
      </c>
      <c r="D1387" s="400" t="s">
        <v>4229</v>
      </c>
      <c r="E1387" s="399" t="s">
        <v>180</v>
      </c>
      <c r="F1387" s="400" t="s">
        <v>3381</v>
      </c>
      <c r="G1387" s="400"/>
      <c r="H1387" s="400"/>
      <c r="I1387" s="400"/>
      <c r="J1387" s="400"/>
      <c r="K1387" s="400">
        <v>1</v>
      </c>
      <c r="L1387" s="400" t="s">
        <v>3333</v>
      </c>
      <c r="M1387" s="402" t="s">
        <v>3334</v>
      </c>
      <c r="N1387" s="402"/>
      <c r="O1387" s="428" t="s">
        <v>4119</v>
      </c>
      <c r="P1387" s="428"/>
      <c r="Q1387" s="399" t="s">
        <v>4228</v>
      </c>
      <c r="R1387" s="428"/>
      <c r="S1387" s="399"/>
      <c r="T1387" s="399"/>
      <c r="U1387" s="399"/>
      <c r="V1387" s="399"/>
      <c r="W1387" s="399" t="s">
        <v>4229</v>
      </c>
      <c r="X1387" s="399"/>
      <c r="Y1387" s="399" t="s">
        <v>208</v>
      </c>
      <c r="Z1387" s="399"/>
      <c r="AA1387" s="399" t="s">
        <v>113</v>
      </c>
      <c r="AB1387" s="399" t="s">
        <v>3178</v>
      </c>
      <c r="AC1387" s="532" t="s">
        <v>4230</v>
      </c>
      <c r="AD1387" s="517"/>
      <c r="AE1387" s="399"/>
      <c r="AF1387" s="399"/>
      <c r="AG1387" s="399"/>
      <c r="AH1387" s="532"/>
      <c r="AI1387" s="399"/>
      <c r="AJ1387" s="517"/>
      <c r="AK1387" s="399"/>
      <c r="AL1387" s="500"/>
      <c r="AM1387" s="500"/>
      <c r="AN1387" s="500"/>
      <c r="AO1387" s="399"/>
      <c r="AP1387" s="399"/>
      <c r="AQ1387" s="399"/>
      <c r="AR1387" s="399"/>
      <c r="AS1387" s="399"/>
      <c r="AT1387" s="409" t="s">
        <v>5336</v>
      </c>
      <c r="AU1387" s="399"/>
      <c r="AV1387" s="399"/>
      <c r="AW1387" s="541"/>
      <c r="AX1387" s="541"/>
      <c r="AY1387" s="541"/>
      <c r="AZ1387" s="541"/>
      <c r="BA1387" s="541"/>
      <c r="BB1387" s="399"/>
      <c r="BC1387" s="399" t="e">
        <f t="shared" ca="1" si="2"/>
        <v>#NAME?</v>
      </c>
      <c r="BD1387" s="399"/>
      <c r="BE1387" s="399"/>
      <c r="BF1387" s="399"/>
      <c r="BG1387" s="540"/>
      <c r="BH1387" s="407"/>
      <c r="BI1387" s="407"/>
      <c r="BJ1387" s="543"/>
      <c r="BK1387" s="46">
        <f t="shared" si="1"/>
        <v>1</v>
      </c>
      <c r="BL1387" s="46">
        <f t="shared" si="3"/>
        <v>1</v>
      </c>
      <c r="BM1387" s="46">
        <f t="shared" si="4"/>
        <v>0</v>
      </c>
      <c r="BN1387" s="46">
        <f t="shared" si="5"/>
        <v>0</v>
      </c>
    </row>
    <row r="1388" spans="1:66" ht="12.75" customHeight="1">
      <c r="A1388" s="399">
        <v>1398</v>
      </c>
      <c r="B1388" s="399" t="s">
        <v>4235</v>
      </c>
      <c r="C1388" s="399" t="e">
        <f t="shared" ca="1" si="0"/>
        <v>#NAME?</v>
      </c>
      <c r="D1388" s="400" t="s">
        <v>4237</v>
      </c>
      <c r="E1388" s="399" t="s">
        <v>180</v>
      </c>
      <c r="F1388" s="400" t="s">
        <v>3381</v>
      </c>
      <c r="G1388" s="400"/>
      <c r="H1388" s="400"/>
      <c r="I1388" s="400"/>
      <c r="J1388" s="400"/>
      <c r="K1388" s="400">
        <v>1</v>
      </c>
      <c r="L1388" s="400" t="s">
        <v>3333</v>
      </c>
      <c r="M1388" s="402" t="s">
        <v>3334</v>
      </c>
      <c r="N1388" s="402"/>
      <c r="O1388" s="428" t="s">
        <v>4119</v>
      </c>
      <c r="P1388" s="517"/>
      <c r="Q1388" s="517" t="s">
        <v>4236</v>
      </c>
      <c r="R1388" s="560"/>
      <c r="S1388" s="531"/>
      <c r="T1388" s="531"/>
      <c r="U1388" s="531"/>
      <c r="V1388" s="565"/>
      <c r="W1388" s="565" t="s">
        <v>4237</v>
      </c>
      <c r="X1388" s="517"/>
      <c r="Y1388" s="399" t="s">
        <v>208</v>
      </c>
      <c r="Z1388" s="531"/>
      <c r="AA1388" s="399" t="s">
        <v>113</v>
      </c>
      <c r="AB1388" s="399" t="s">
        <v>3178</v>
      </c>
      <c r="AC1388" s="566" t="s">
        <v>4238</v>
      </c>
      <c r="AD1388" s="517"/>
      <c r="AE1388" s="531"/>
      <c r="AF1388" s="531"/>
      <c r="AG1388" s="531"/>
      <c r="AH1388" s="590"/>
      <c r="AI1388" s="531"/>
      <c r="AJ1388" s="517"/>
      <c r="AK1388" s="399"/>
      <c r="AL1388" s="500"/>
      <c r="AM1388" s="500"/>
      <c r="AN1388" s="500"/>
      <c r="AO1388" s="531"/>
      <c r="AP1388" s="531"/>
      <c r="AQ1388" s="531"/>
      <c r="AR1388" s="531"/>
      <c r="AS1388" s="591" t="s">
        <v>4239</v>
      </c>
      <c r="AT1388" s="591" t="s">
        <v>4240</v>
      </c>
      <c r="AU1388" s="531"/>
      <c r="AV1388" s="591">
        <v>72934000</v>
      </c>
      <c r="AW1388" s="571" t="s">
        <v>5341</v>
      </c>
      <c r="AX1388" s="541"/>
      <c r="AY1388" s="541"/>
      <c r="AZ1388" s="541"/>
      <c r="BA1388" s="541"/>
      <c r="BB1388" s="531"/>
      <c r="BC1388" s="399" t="e">
        <f t="shared" ca="1" si="2"/>
        <v>#NAME?</v>
      </c>
      <c r="BD1388" s="531"/>
      <c r="BE1388" s="531"/>
      <c r="BF1388" s="531"/>
      <c r="BG1388" s="592"/>
      <c r="BH1388" s="407"/>
      <c r="BI1388" s="407"/>
      <c r="BJ1388" s="543"/>
      <c r="BK1388" s="46">
        <f t="shared" si="1"/>
        <v>1</v>
      </c>
      <c r="BL1388" s="46">
        <f t="shared" si="3"/>
        <v>1</v>
      </c>
      <c r="BM1388" s="46">
        <f t="shared" si="4"/>
        <v>0</v>
      </c>
      <c r="BN1388" s="46">
        <f t="shared" si="5"/>
        <v>0</v>
      </c>
    </row>
    <row r="1389" spans="1:66" ht="12.75" customHeight="1">
      <c r="A1389" s="399">
        <v>1399</v>
      </c>
      <c r="B1389" s="399" t="s">
        <v>4244</v>
      </c>
      <c r="C1389" s="399" t="e">
        <f t="shared" ca="1" si="0"/>
        <v>#NAME?</v>
      </c>
      <c r="D1389" s="400" t="s">
        <v>4246</v>
      </c>
      <c r="E1389" s="399" t="s">
        <v>180</v>
      </c>
      <c r="F1389" s="400" t="s">
        <v>3381</v>
      </c>
      <c r="G1389" s="400"/>
      <c r="H1389" s="400"/>
      <c r="I1389" s="400"/>
      <c r="J1389" s="400"/>
      <c r="K1389" s="400">
        <v>1</v>
      </c>
      <c r="L1389" s="400" t="s">
        <v>3333</v>
      </c>
      <c r="M1389" s="402" t="s">
        <v>3334</v>
      </c>
      <c r="N1389" s="402"/>
      <c r="O1389" s="428" t="s">
        <v>4119</v>
      </c>
      <c r="P1389" s="517"/>
      <c r="Q1389" s="517" t="s">
        <v>4245</v>
      </c>
      <c r="R1389" s="560"/>
      <c r="S1389" s="531"/>
      <c r="T1389" s="531"/>
      <c r="U1389" s="531"/>
      <c r="V1389" s="565"/>
      <c r="W1389" s="565" t="s">
        <v>4246</v>
      </c>
      <c r="X1389" s="517"/>
      <c r="Y1389" s="399" t="s">
        <v>208</v>
      </c>
      <c r="Z1389" s="531"/>
      <c r="AA1389" s="399" t="s">
        <v>113</v>
      </c>
      <c r="AB1389" s="399" t="s">
        <v>3178</v>
      </c>
      <c r="AC1389" s="566" t="s">
        <v>4238</v>
      </c>
      <c r="AD1389" s="517"/>
      <c r="AE1389" s="531"/>
      <c r="AF1389" s="531"/>
      <c r="AG1389" s="531"/>
      <c r="AH1389" s="590"/>
      <c r="AI1389" s="531"/>
      <c r="AJ1389" s="517"/>
      <c r="AK1389" s="399"/>
      <c r="AL1389" s="500"/>
      <c r="AM1389" s="500"/>
      <c r="AN1389" s="500"/>
      <c r="AO1389" s="531"/>
      <c r="AP1389" s="531"/>
      <c r="AQ1389" s="531"/>
      <c r="AR1389" s="531"/>
      <c r="AS1389" s="591"/>
      <c r="AT1389" s="591" t="s">
        <v>5346</v>
      </c>
      <c r="AU1389" s="531"/>
      <c r="AV1389" s="531"/>
      <c r="AW1389" s="550" t="s">
        <v>4249</v>
      </c>
      <c r="AX1389" s="541"/>
      <c r="AY1389" s="541"/>
      <c r="AZ1389" s="541"/>
      <c r="BA1389" s="541"/>
      <c r="BB1389" s="531"/>
      <c r="BC1389" s="399" t="e">
        <f t="shared" ca="1" si="2"/>
        <v>#NAME?</v>
      </c>
      <c r="BD1389" s="531"/>
      <c r="BE1389" s="531"/>
      <c r="BF1389" s="531"/>
      <c r="BG1389" s="592"/>
      <c r="BH1389" s="407"/>
      <c r="BI1389" s="407"/>
      <c r="BJ1389" s="543"/>
      <c r="BK1389" s="46">
        <f t="shared" si="1"/>
        <v>1</v>
      </c>
      <c r="BL1389" s="46">
        <f t="shared" si="3"/>
        <v>1</v>
      </c>
      <c r="BM1389" s="46">
        <f t="shared" si="4"/>
        <v>0</v>
      </c>
      <c r="BN1389" s="46">
        <f t="shared" si="5"/>
        <v>0</v>
      </c>
    </row>
    <row r="1390" spans="1:66" ht="12.75" customHeight="1">
      <c r="A1390" s="399">
        <v>1400</v>
      </c>
      <c r="B1390" s="399" t="s">
        <v>4250</v>
      </c>
      <c r="C1390" s="399" t="e">
        <f t="shared" ca="1" si="0"/>
        <v>#NAME?</v>
      </c>
      <c r="D1390" s="400" t="s">
        <v>4252</v>
      </c>
      <c r="E1390" s="399" t="s">
        <v>180</v>
      </c>
      <c r="F1390" s="400" t="s">
        <v>3381</v>
      </c>
      <c r="G1390" s="400"/>
      <c r="H1390" s="400"/>
      <c r="I1390" s="400"/>
      <c r="J1390" s="400"/>
      <c r="K1390" s="400">
        <v>1</v>
      </c>
      <c r="L1390" s="400" t="s">
        <v>3333</v>
      </c>
      <c r="M1390" s="402" t="s">
        <v>3334</v>
      </c>
      <c r="N1390" s="402"/>
      <c r="O1390" s="428" t="s">
        <v>4119</v>
      </c>
      <c r="P1390" s="517"/>
      <c r="Q1390" s="517" t="s">
        <v>4251</v>
      </c>
      <c r="R1390" s="560"/>
      <c r="S1390" s="531"/>
      <c r="T1390" s="531"/>
      <c r="U1390" s="531"/>
      <c r="V1390" s="565"/>
      <c r="W1390" s="565" t="s">
        <v>4252</v>
      </c>
      <c r="X1390" s="517"/>
      <c r="Y1390" s="399" t="s">
        <v>208</v>
      </c>
      <c r="Z1390" s="531"/>
      <c r="AA1390" s="399" t="s">
        <v>113</v>
      </c>
      <c r="AB1390" s="399" t="s">
        <v>3178</v>
      </c>
      <c r="AC1390" s="566" t="s">
        <v>4238</v>
      </c>
      <c r="AD1390" s="517"/>
      <c r="AE1390" s="531"/>
      <c r="AF1390" s="531"/>
      <c r="AG1390" s="531"/>
      <c r="AH1390" s="590"/>
      <c r="AI1390" s="531"/>
      <c r="AJ1390" s="517"/>
      <c r="AK1390" s="399"/>
      <c r="AL1390" s="500"/>
      <c r="AM1390" s="500"/>
      <c r="AN1390" s="500"/>
      <c r="AO1390" s="531"/>
      <c r="AP1390" s="531"/>
      <c r="AQ1390" s="531"/>
      <c r="AR1390" s="531"/>
      <c r="AS1390" s="531"/>
      <c r="AT1390" s="591" t="s">
        <v>5349</v>
      </c>
      <c r="AU1390" s="531"/>
      <c r="AV1390" s="531"/>
      <c r="AW1390" s="541"/>
      <c r="AX1390" s="541"/>
      <c r="AY1390" s="541"/>
      <c r="AZ1390" s="541"/>
      <c r="BA1390" s="541"/>
      <c r="BB1390" s="531"/>
      <c r="BC1390" s="399" t="e">
        <f t="shared" ca="1" si="2"/>
        <v>#NAME?</v>
      </c>
      <c r="BD1390" s="531"/>
      <c r="BE1390" s="531"/>
      <c r="BF1390" s="531"/>
      <c r="BG1390" s="592"/>
      <c r="BH1390" s="407"/>
      <c r="BI1390" s="407"/>
      <c r="BJ1390" s="543"/>
      <c r="BK1390" s="46">
        <f t="shared" si="1"/>
        <v>1</v>
      </c>
      <c r="BL1390" s="46">
        <f t="shared" si="3"/>
        <v>1</v>
      </c>
      <c r="BM1390" s="46">
        <f t="shared" si="4"/>
        <v>0</v>
      </c>
      <c r="BN1390" s="46">
        <f t="shared" si="5"/>
        <v>0</v>
      </c>
    </row>
    <row r="1391" spans="1:66" ht="12.75" customHeight="1">
      <c r="A1391" s="399">
        <v>1401</v>
      </c>
      <c r="B1391" s="399" t="s">
        <v>4256</v>
      </c>
      <c r="C1391" s="399" t="e">
        <f t="shared" ca="1" si="0"/>
        <v>#NAME?</v>
      </c>
      <c r="D1391" s="400" t="s">
        <v>4258</v>
      </c>
      <c r="E1391" s="399" t="s">
        <v>180</v>
      </c>
      <c r="F1391" s="400" t="s">
        <v>3381</v>
      </c>
      <c r="G1391" s="400"/>
      <c r="H1391" s="400"/>
      <c r="I1391" s="400"/>
      <c r="J1391" s="400"/>
      <c r="K1391" s="400">
        <v>1</v>
      </c>
      <c r="L1391" s="400" t="s">
        <v>3333</v>
      </c>
      <c r="M1391" s="402" t="s">
        <v>3334</v>
      </c>
      <c r="N1391" s="402"/>
      <c r="O1391" s="428" t="s">
        <v>4119</v>
      </c>
      <c r="P1391" s="517"/>
      <c r="Q1391" s="517" t="s">
        <v>4257</v>
      </c>
      <c r="R1391" s="560"/>
      <c r="S1391" s="531"/>
      <c r="T1391" s="531"/>
      <c r="U1391" s="531"/>
      <c r="V1391" s="565"/>
      <c r="W1391" s="565" t="s">
        <v>4258</v>
      </c>
      <c r="X1391" s="517"/>
      <c r="Y1391" s="399" t="s">
        <v>208</v>
      </c>
      <c r="Z1391" s="531"/>
      <c r="AA1391" s="399" t="s">
        <v>113</v>
      </c>
      <c r="AB1391" s="399" t="s">
        <v>3178</v>
      </c>
      <c r="AC1391" s="566" t="s">
        <v>4238</v>
      </c>
      <c r="AD1391" s="517"/>
      <c r="AE1391" s="531"/>
      <c r="AF1391" s="531"/>
      <c r="AG1391" s="531"/>
      <c r="AH1391" s="590"/>
      <c r="AI1391" s="531"/>
      <c r="AJ1391" s="517"/>
      <c r="AK1391" s="399"/>
      <c r="AL1391" s="500"/>
      <c r="AM1391" s="500"/>
      <c r="AN1391" s="500"/>
      <c r="AO1391" s="531"/>
      <c r="AP1391" s="531"/>
      <c r="AQ1391" s="531"/>
      <c r="AR1391" s="531"/>
      <c r="AS1391" s="531"/>
      <c r="AT1391" s="591" t="s">
        <v>4259</v>
      </c>
      <c r="AU1391" s="531"/>
      <c r="AV1391" s="593" t="s">
        <v>4261</v>
      </c>
      <c r="AW1391" s="541"/>
      <c r="AX1391" s="541"/>
      <c r="AY1391" s="541"/>
      <c r="AZ1391" s="541"/>
      <c r="BA1391" s="541"/>
      <c r="BB1391" s="531"/>
      <c r="BC1391" s="399" t="e">
        <f t="shared" ca="1" si="2"/>
        <v>#NAME?</v>
      </c>
      <c r="BD1391" s="531"/>
      <c r="BE1391" s="531"/>
      <c r="BF1391" s="531"/>
      <c r="BG1391" s="592"/>
      <c r="BH1391" s="407"/>
      <c r="BI1391" s="407"/>
      <c r="BJ1391" s="543"/>
      <c r="BK1391" s="46">
        <f t="shared" si="1"/>
        <v>1</v>
      </c>
      <c r="BL1391" s="46">
        <f t="shared" si="3"/>
        <v>1</v>
      </c>
      <c r="BM1391" s="46">
        <f t="shared" si="4"/>
        <v>0</v>
      </c>
      <c r="BN1391" s="46">
        <f t="shared" si="5"/>
        <v>0</v>
      </c>
    </row>
    <row r="1392" spans="1:66" ht="12.75" customHeight="1">
      <c r="A1392" s="399">
        <v>1402</v>
      </c>
      <c r="B1392" s="399" t="s">
        <v>4262</v>
      </c>
      <c r="C1392" s="399" t="e">
        <f t="shared" ca="1" si="0"/>
        <v>#NAME?</v>
      </c>
      <c r="D1392" s="400" t="s">
        <v>4264</v>
      </c>
      <c r="E1392" s="399" t="s">
        <v>180</v>
      </c>
      <c r="F1392" s="400" t="s">
        <v>3381</v>
      </c>
      <c r="G1392" s="400"/>
      <c r="H1392" s="400"/>
      <c r="I1392" s="400"/>
      <c r="J1392" s="400"/>
      <c r="K1392" s="400">
        <v>1</v>
      </c>
      <c r="L1392" s="400" t="s">
        <v>3333</v>
      </c>
      <c r="M1392" s="402" t="s">
        <v>3334</v>
      </c>
      <c r="N1392" s="402"/>
      <c r="O1392" s="428" t="s">
        <v>4119</v>
      </c>
      <c r="P1392" s="517"/>
      <c r="Q1392" s="517" t="s">
        <v>4263</v>
      </c>
      <c r="R1392" s="560"/>
      <c r="S1392" s="531"/>
      <c r="T1392" s="531"/>
      <c r="U1392" s="531"/>
      <c r="V1392" s="565"/>
      <c r="W1392" s="565" t="s">
        <v>4264</v>
      </c>
      <c r="X1392" s="517"/>
      <c r="Y1392" s="399" t="s">
        <v>208</v>
      </c>
      <c r="Z1392" s="531"/>
      <c r="AA1392" s="399" t="s">
        <v>113</v>
      </c>
      <c r="AB1392" s="399" t="s">
        <v>3178</v>
      </c>
      <c r="AC1392" s="566" t="s">
        <v>4265</v>
      </c>
      <c r="AD1392" s="594"/>
      <c r="AE1392" s="531"/>
      <c r="AF1392" s="531"/>
      <c r="AG1392" s="531"/>
      <c r="AH1392" s="590"/>
      <c r="AI1392" s="531"/>
      <c r="AJ1392" s="594"/>
      <c r="AK1392" s="399"/>
      <c r="AL1392" s="500"/>
      <c r="AM1392" s="500"/>
      <c r="AN1392" s="500"/>
      <c r="AO1392" s="531"/>
      <c r="AP1392" s="531"/>
      <c r="AQ1392" s="531"/>
      <c r="AR1392" s="531"/>
      <c r="AS1392" s="531"/>
      <c r="AT1392" s="531"/>
      <c r="AU1392" s="531"/>
      <c r="AV1392" s="531"/>
      <c r="AW1392" s="541"/>
      <c r="AX1392" s="541"/>
      <c r="AY1392" s="541"/>
      <c r="AZ1392" s="541"/>
      <c r="BA1392" s="541"/>
      <c r="BB1392" s="531"/>
      <c r="BC1392" s="399" t="e">
        <f t="shared" ca="1" si="2"/>
        <v>#NAME?</v>
      </c>
      <c r="BD1392" s="531"/>
      <c r="BE1392" s="531"/>
      <c r="BF1392" s="531"/>
      <c r="BG1392" s="592"/>
      <c r="BH1392" s="407"/>
      <c r="BI1392" s="407"/>
      <c r="BJ1392" s="543"/>
      <c r="BK1392" s="46">
        <f t="shared" si="1"/>
        <v>1</v>
      </c>
      <c r="BL1392" s="46">
        <f t="shared" si="3"/>
        <v>0</v>
      </c>
      <c r="BM1392" s="46">
        <f t="shared" si="4"/>
        <v>1</v>
      </c>
      <c r="BN1392" s="46">
        <f t="shared" si="5"/>
        <v>0</v>
      </c>
    </row>
    <row r="1393" spans="1:66" ht="12.75" customHeight="1">
      <c r="A1393" s="399">
        <v>1403</v>
      </c>
      <c r="B1393" s="399" t="s">
        <v>4269</v>
      </c>
      <c r="C1393" s="399" t="e">
        <f t="shared" ca="1" si="0"/>
        <v>#NAME?</v>
      </c>
      <c r="D1393" s="400" t="s">
        <v>4272</v>
      </c>
      <c r="E1393" s="399" t="s">
        <v>180</v>
      </c>
      <c r="F1393" s="400" t="s">
        <v>3381</v>
      </c>
      <c r="G1393" s="400"/>
      <c r="H1393" s="400"/>
      <c r="I1393" s="400"/>
      <c r="J1393" s="400"/>
      <c r="K1393" s="400">
        <v>1</v>
      </c>
      <c r="L1393" s="400" t="s">
        <v>3333</v>
      </c>
      <c r="M1393" s="402" t="s">
        <v>3334</v>
      </c>
      <c r="N1393" s="402"/>
      <c r="O1393" s="428" t="s">
        <v>4119</v>
      </c>
      <c r="P1393" s="517"/>
      <c r="Q1393" s="517" t="s">
        <v>4270</v>
      </c>
      <c r="R1393" s="560"/>
      <c r="S1393" s="531"/>
      <c r="T1393" s="399" t="s">
        <v>4271</v>
      </c>
      <c r="U1393" s="531"/>
      <c r="V1393" s="565"/>
      <c r="W1393" s="565" t="s">
        <v>4272</v>
      </c>
      <c r="X1393" s="517"/>
      <c r="Y1393" s="399" t="s">
        <v>208</v>
      </c>
      <c r="Z1393" s="531"/>
      <c r="AA1393" s="399" t="s">
        <v>113</v>
      </c>
      <c r="AB1393" s="399" t="s">
        <v>3178</v>
      </c>
      <c r="AC1393" s="566" t="s">
        <v>4265</v>
      </c>
      <c r="AD1393" s="594"/>
      <c r="AE1393" s="531"/>
      <c r="AF1393" s="531"/>
      <c r="AG1393" s="531"/>
      <c r="AH1393" s="590"/>
      <c r="AI1393" s="531"/>
      <c r="AJ1393" s="594"/>
      <c r="AK1393" s="399"/>
      <c r="AL1393" s="500"/>
      <c r="AM1393" s="500"/>
      <c r="AN1393" s="500"/>
      <c r="AO1393" s="531"/>
      <c r="AP1393" s="531"/>
      <c r="AQ1393" s="531"/>
      <c r="AR1393" s="531"/>
      <c r="AS1393" s="531"/>
      <c r="AT1393" s="531"/>
      <c r="AU1393" s="531"/>
      <c r="AV1393" s="531"/>
      <c r="AW1393" s="541"/>
      <c r="AX1393" s="541"/>
      <c r="AY1393" s="541"/>
      <c r="AZ1393" s="541"/>
      <c r="BA1393" s="541"/>
      <c r="BB1393" s="531"/>
      <c r="BC1393" s="399" t="e">
        <f t="shared" ca="1" si="2"/>
        <v>#NAME?</v>
      </c>
      <c r="BD1393" s="531"/>
      <c r="BE1393" s="531"/>
      <c r="BF1393" s="531"/>
      <c r="BG1393" s="592"/>
      <c r="BH1393" s="407"/>
      <c r="BI1393" s="407"/>
      <c r="BJ1393" s="543"/>
      <c r="BK1393" s="46">
        <f t="shared" si="1"/>
        <v>1</v>
      </c>
      <c r="BL1393" s="46">
        <f t="shared" si="3"/>
        <v>0</v>
      </c>
      <c r="BM1393" s="46">
        <f t="shared" si="4"/>
        <v>1</v>
      </c>
      <c r="BN1393" s="46">
        <f t="shared" si="5"/>
        <v>0</v>
      </c>
    </row>
    <row r="1394" spans="1:66" ht="12.75" customHeight="1">
      <c r="A1394" s="399">
        <v>1404</v>
      </c>
      <c r="B1394" s="399" t="s">
        <v>4277</v>
      </c>
      <c r="C1394" s="399" t="e">
        <f t="shared" ca="1" si="0"/>
        <v>#NAME?</v>
      </c>
      <c r="D1394" s="400" t="s">
        <v>4280</v>
      </c>
      <c r="E1394" s="399" t="s">
        <v>180</v>
      </c>
      <c r="F1394" s="400" t="s">
        <v>3381</v>
      </c>
      <c r="G1394" s="400"/>
      <c r="H1394" s="400"/>
      <c r="I1394" s="400"/>
      <c r="J1394" s="400"/>
      <c r="K1394" s="400">
        <v>1</v>
      </c>
      <c r="L1394" s="400" t="s">
        <v>3333</v>
      </c>
      <c r="M1394" s="402" t="s">
        <v>3334</v>
      </c>
      <c r="N1394" s="402"/>
      <c r="O1394" s="428" t="s">
        <v>4119</v>
      </c>
      <c r="P1394" s="517"/>
      <c r="Q1394" s="517" t="s">
        <v>4278</v>
      </c>
      <c r="R1394" s="560"/>
      <c r="S1394" s="531"/>
      <c r="T1394" s="399" t="s">
        <v>4279</v>
      </c>
      <c r="U1394" s="531"/>
      <c r="V1394" s="565"/>
      <c r="W1394" s="565" t="s">
        <v>4280</v>
      </c>
      <c r="X1394" s="517"/>
      <c r="Y1394" s="399" t="s">
        <v>208</v>
      </c>
      <c r="Z1394" s="531"/>
      <c r="AA1394" s="399" t="s">
        <v>113</v>
      </c>
      <c r="AB1394" s="399" t="s">
        <v>3178</v>
      </c>
      <c r="AC1394" s="566" t="s">
        <v>4265</v>
      </c>
      <c r="AD1394" s="594"/>
      <c r="AE1394" s="531"/>
      <c r="AF1394" s="531"/>
      <c r="AG1394" s="531"/>
      <c r="AH1394" s="590"/>
      <c r="AI1394" s="531"/>
      <c r="AJ1394" s="594"/>
      <c r="AK1394" s="399"/>
      <c r="AL1394" s="500"/>
      <c r="AM1394" s="500"/>
      <c r="AN1394" s="500"/>
      <c r="AO1394" s="531"/>
      <c r="AP1394" s="531"/>
      <c r="AQ1394" s="531"/>
      <c r="AR1394" s="531"/>
      <c r="AS1394" s="531"/>
      <c r="AT1394" s="531"/>
      <c r="AU1394" s="531"/>
      <c r="AV1394" s="531"/>
      <c r="AW1394" s="541"/>
      <c r="AX1394" s="541"/>
      <c r="AY1394" s="541"/>
      <c r="AZ1394" s="541"/>
      <c r="BA1394" s="541"/>
      <c r="BB1394" s="531"/>
      <c r="BC1394" s="399" t="e">
        <f t="shared" ca="1" si="2"/>
        <v>#NAME?</v>
      </c>
      <c r="BD1394" s="531"/>
      <c r="BE1394" s="531"/>
      <c r="BF1394" s="531"/>
      <c r="BG1394" s="592"/>
      <c r="BH1394" s="407"/>
      <c r="BI1394" s="407"/>
      <c r="BJ1394" s="543"/>
      <c r="BK1394" s="46">
        <f t="shared" si="1"/>
        <v>1</v>
      </c>
      <c r="BL1394" s="46">
        <f t="shared" si="3"/>
        <v>0</v>
      </c>
      <c r="BM1394" s="46">
        <f t="shared" si="4"/>
        <v>1</v>
      </c>
      <c r="BN1394" s="46">
        <f t="shared" si="5"/>
        <v>0</v>
      </c>
    </row>
    <row r="1395" spans="1:66" ht="12.75" customHeight="1">
      <c r="A1395" s="399">
        <v>1405</v>
      </c>
      <c r="B1395" s="399" t="s">
        <v>4286</v>
      </c>
      <c r="C1395" s="399" t="e">
        <f t="shared" ca="1" si="0"/>
        <v>#NAME?</v>
      </c>
      <c r="D1395" s="400" t="s">
        <v>5372</v>
      </c>
      <c r="E1395" s="399" t="s">
        <v>180</v>
      </c>
      <c r="F1395" s="400" t="s">
        <v>3381</v>
      </c>
      <c r="G1395" s="400"/>
      <c r="H1395" s="400"/>
      <c r="I1395" s="400"/>
      <c r="J1395" s="400"/>
      <c r="K1395" s="400">
        <v>1</v>
      </c>
      <c r="L1395" s="400" t="s">
        <v>3333</v>
      </c>
      <c r="M1395" s="402" t="s">
        <v>3334</v>
      </c>
      <c r="N1395" s="402"/>
      <c r="O1395" s="428" t="s">
        <v>4119</v>
      </c>
      <c r="P1395" s="428"/>
      <c r="Q1395" s="399"/>
      <c r="R1395" s="428" t="s">
        <v>5372</v>
      </c>
      <c r="S1395" s="399"/>
      <c r="T1395" s="399"/>
      <c r="U1395" s="399"/>
      <c r="V1395" s="399"/>
      <c r="W1395" s="399"/>
      <c r="X1395" s="399"/>
      <c r="Y1395" s="399" t="s">
        <v>113</v>
      </c>
      <c r="Z1395" s="399" t="s">
        <v>4284</v>
      </c>
      <c r="AA1395" s="399" t="s">
        <v>113</v>
      </c>
      <c r="AB1395" s="399" t="s">
        <v>3178</v>
      </c>
      <c r="AC1395" s="532" t="s">
        <v>4265</v>
      </c>
      <c r="AD1395" s="400"/>
      <c r="AE1395" s="399"/>
      <c r="AF1395" s="399"/>
      <c r="AG1395" s="399"/>
      <c r="AH1395" s="532"/>
      <c r="AI1395" s="399"/>
      <c r="AJ1395" s="400"/>
      <c r="AK1395" s="399"/>
      <c r="AL1395" s="500"/>
      <c r="AM1395" s="500"/>
      <c r="AN1395" s="500"/>
      <c r="AO1395" s="399"/>
      <c r="AP1395" s="399"/>
      <c r="AQ1395" s="399"/>
      <c r="AR1395" s="399"/>
      <c r="AS1395" s="399"/>
      <c r="AT1395" s="399"/>
      <c r="AU1395" s="399"/>
      <c r="AV1395" s="399">
        <v>74964007</v>
      </c>
      <c r="AW1395" s="541"/>
      <c r="AX1395" s="541"/>
      <c r="AY1395" s="541"/>
      <c r="AZ1395" s="541"/>
      <c r="BA1395" s="541"/>
      <c r="BB1395" s="399"/>
      <c r="BC1395" s="399" t="e">
        <f t="shared" ca="1" si="2"/>
        <v>#NAME?</v>
      </c>
      <c r="BD1395" s="399"/>
      <c r="BE1395" s="399"/>
      <c r="BF1395" s="399"/>
      <c r="BG1395" s="540"/>
      <c r="BH1395" s="407"/>
      <c r="BI1395" s="407">
        <v>74964007</v>
      </c>
      <c r="BJ1395" s="543"/>
      <c r="BK1395" s="46">
        <f t="shared" si="1"/>
        <v>1</v>
      </c>
      <c r="BL1395" s="46">
        <f t="shared" si="3"/>
        <v>1</v>
      </c>
      <c r="BM1395" s="46">
        <f t="shared" si="4"/>
        <v>0</v>
      </c>
      <c r="BN1395" s="46">
        <f t="shared" si="5"/>
        <v>0</v>
      </c>
    </row>
    <row r="1396" spans="1:66" ht="12.75" customHeight="1">
      <c r="A1396" s="399">
        <v>1406</v>
      </c>
      <c r="B1396" s="399" t="s">
        <v>4288</v>
      </c>
      <c r="C1396" s="399" t="e">
        <f t="shared" ca="1" si="0"/>
        <v>#NAME?</v>
      </c>
      <c r="D1396" s="400" t="s">
        <v>4291</v>
      </c>
      <c r="E1396" s="399" t="s">
        <v>180</v>
      </c>
      <c r="F1396" s="400" t="s">
        <v>3381</v>
      </c>
      <c r="G1396" s="400"/>
      <c r="H1396" s="400"/>
      <c r="I1396" s="400"/>
      <c r="J1396" s="400"/>
      <c r="K1396" s="400">
        <v>1</v>
      </c>
      <c r="L1396" s="400" t="s">
        <v>3333</v>
      </c>
      <c r="M1396" s="402" t="s">
        <v>3334</v>
      </c>
      <c r="N1396" s="402"/>
      <c r="O1396" s="428" t="s">
        <v>4119</v>
      </c>
      <c r="P1396" s="428"/>
      <c r="Q1396" s="399" t="s">
        <v>4289</v>
      </c>
      <c r="R1396" s="428"/>
      <c r="S1396" s="399"/>
      <c r="T1396" s="490" t="s">
        <v>4290</v>
      </c>
      <c r="U1396" s="399"/>
      <c r="V1396" s="399"/>
      <c r="W1396" s="399" t="s">
        <v>4291</v>
      </c>
      <c r="X1396" s="399"/>
      <c r="Y1396" s="399" t="s">
        <v>208</v>
      </c>
      <c r="Z1396" s="399"/>
      <c r="AA1396" s="399" t="s">
        <v>113</v>
      </c>
      <c r="AB1396" s="399" t="s">
        <v>3178</v>
      </c>
      <c r="AC1396" s="532" t="s">
        <v>4265</v>
      </c>
      <c r="AD1396" s="400"/>
      <c r="AE1396" s="399"/>
      <c r="AF1396" s="399"/>
      <c r="AG1396" s="399"/>
      <c r="AH1396" s="532"/>
      <c r="AI1396" s="399"/>
      <c r="AJ1396" s="400"/>
      <c r="AK1396" s="399"/>
      <c r="AL1396" s="500"/>
      <c r="AM1396" s="500"/>
      <c r="AN1396" s="500"/>
      <c r="AO1396" s="399"/>
      <c r="AP1396" s="399"/>
      <c r="AQ1396" s="399"/>
      <c r="AR1396" s="399"/>
      <c r="AS1396" s="399"/>
      <c r="AT1396" s="399"/>
      <c r="AU1396" s="399"/>
      <c r="AV1396" s="399"/>
      <c r="AW1396" s="541"/>
      <c r="AX1396" s="541"/>
      <c r="AY1396" s="541"/>
      <c r="AZ1396" s="541"/>
      <c r="BA1396" s="541"/>
      <c r="BB1396" s="399"/>
      <c r="BC1396" s="399" t="e">
        <f t="shared" ca="1" si="2"/>
        <v>#NAME?</v>
      </c>
      <c r="BD1396" s="399"/>
      <c r="BE1396" s="399"/>
      <c r="BF1396" s="399"/>
      <c r="BG1396" s="540"/>
      <c r="BH1396" s="407"/>
      <c r="BI1396" s="407"/>
      <c r="BJ1396" s="543"/>
      <c r="BK1396" s="46">
        <f t="shared" si="1"/>
        <v>1</v>
      </c>
      <c r="BL1396" s="46">
        <f t="shared" si="3"/>
        <v>0</v>
      </c>
      <c r="BM1396" s="46">
        <f t="shared" si="4"/>
        <v>1</v>
      </c>
      <c r="BN1396" s="46">
        <f t="shared" si="5"/>
        <v>0</v>
      </c>
    </row>
    <row r="1397" spans="1:66" ht="12.75" customHeight="1">
      <c r="A1397" s="399">
        <v>1407</v>
      </c>
      <c r="B1397" s="399" t="s">
        <v>4292</v>
      </c>
      <c r="C1397" s="399" t="e">
        <f t="shared" ca="1" si="0"/>
        <v>#NAME?</v>
      </c>
      <c r="D1397" s="400" t="s">
        <v>4295</v>
      </c>
      <c r="E1397" s="399" t="s">
        <v>180</v>
      </c>
      <c r="F1397" s="400" t="s">
        <v>3381</v>
      </c>
      <c r="G1397" s="400"/>
      <c r="H1397" s="400"/>
      <c r="I1397" s="400"/>
      <c r="J1397" s="400"/>
      <c r="K1397" s="400">
        <v>1</v>
      </c>
      <c r="L1397" s="400" t="s">
        <v>3333</v>
      </c>
      <c r="M1397" s="402" t="s">
        <v>3334</v>
      </c>
      <c r="N1397" s="402"/>
      <c r="O1397" s="428" t="s">
        <v>4119</v>
      </c>
      <c r="P1397" s="428"/>
      <c r="Q1397" s="399" t="s">
        <v>4293</v>
      </c>
      <c r="R1397" s="428"/>
      <c r="S1397" s="399"/>
      <c r="T1397" s="399" t="s">
        <v>4294</v>
      </c>
      <c r="U1397" s="399"/>
      <c r="V1397" s="565"/>
      <c r="W1397" s="565" t="s">
        <v>4295</v>
      </c>
      <c r="X1397" s="517"/>
      <c r="Y1397" s="399" t="s">
        <v>208</v>
      </c>
      <c r="Z1397" s="399"/>
      <c r="AA1397" s="399" t="s">
        <v>113</v>
      </c>
      <c r="AB1397" s="399" t="s">
        <v>3178</v>
      </c>
      <c r="AC1397" s="532" t="s">
        <v>4265</v>
      </c>
      <c r="AD1397" s="400"/>
      <c r="AE1397" s="399"/>
      <c r="AF1397" s="399"/>
      <c r="AG1397" s="399"/>
      <c r="AH1397" s="532"/>
      <c r="AI1397" s="399"/>
      <c r="AJ1397" s="400"/>
      <c r="AK1397" s="399"/>
      <c r="AL1397" s="500"/>
      <c r="AM1397" s="500"/>
      <c r="AN1397" s="500"/>
      <c r="AO1397" s="399"/>
      <c r="AP1397" s="399"/>
      <c r="AQ1397" s="399"/>
      <c r="AR1397" s="399"/>
      <c r="AS1397" s="399"/>
      <c r="AT1397" s="409" t="s">
        <v>5380</v>
      </c>
      <c r="AU1397" s="399"/>
      <c r="AV1397" s="399"/>
      <c r="AW1397" s="541"/>
      <c r="AX1397" s="541"/>
      <c r="AY1397" s="541"/>
      <c r="AZ1397" s="541"/>
      <c r="BA1397" s="541"/>
      <c r="BB1397" s="399"/>
      <c r="BC1397" s="399" t="e">
        <f t="shared" ca="1" si="2"/>
        <v>#NAME?</v>
      </c>
      <c r="BD1397" s="399"/>
      <c r="BE1397" s="399"/>
      <c r="BF1397" s="399"/>
      <c r="BG1397" s="540"/>
      <c r="BH1397" s="407"/>
      <c r="BI1397" s="407"/>
      <c r="BJ1397" s="543"/>
      <c r="BK1397" s="46">
        <f t="shared" si="1"/>
        <v>1</v>
      </c>
      <c r="BL1397" s="46">
        <f t="shared" si="3"/>
        <v>1</v>
      </c>
      <c r="BM1397" s="46">
        <f t="shared" si="4"/>
        <v>0</v>
      </c>
      <c r="BN1397" s="46">
        <f t="shared" si="5"/>
        <v>0</v>
      </c>
    </row>
    <row r="1398" spans="1:66" ht="12.75" customHeight="1">
      <c r="A1398" s="399">
        <v>1408</v>
      </c>
      <c r="B1398" s="399" t="s">
        <v>4297</v>
      </c>
      <c r="C1398" s="399" t="e">
        <f t="shared" ca="1" si="0"/>
        <v>#NAME?</v>
      </c>
      <c r="D1398" s="400" t="s">
        <v>4299</v>
      </c>
      <c r="E1398" s="399" t="s">
        <v>180</v>
      </c>
      <c r="F1398" s="400" t="s">
        <v>3381</v>
      </c>
      <c r="G1398" s="400"/>
      <c r="H1398" s="400"/>
      <c r="I1398" s="400"/>
      <c r="J1398" s="400"/>
      <c r="K1398" s="400">
        <v>1</v>
      </c>
      <c r="L1398" s="400" t="s">
        <v>3333</v>
      </c>
      <c r="M1398" s="402" t="s">
        <v>3334</v>
      </c>
      <c r="N1398" s="402"/>
      <c r="O1398" s="428" t="s">
        <v>4119</v>
      </c>
      <c r="P1398" s="428"/>
      <c r="Q1398" s="399" t="s">
        <v>4298</v>
      </c>
      <c r="R1398" s="428"/>
      <c r="S1398" s="399"/>
      <c r="T1398" s="399"/>
      <c r="U1398" s="399"/>
      <c r="V1398" s="399"/>
      <c r="W1398" s="399" t="s">
        <v>4299</v>
      </c>
      <c r="X1398" s="400"/>
      <c r="Y1398" s="399" t="s">
        <v>208</v>
      </c>
      <c r="Z1398" s="399"/>
      <c r="AA1398" s="399" t="s">
        <v>113</v>
      </c>
      <c r="AB1398" s="399" t="s">
        <v>3178</v>
      </c>
      <c r="AC1398" s="532" t="s">
        <v>4265</v>
      </c>
      <c r="AD1398" s="517"/>
      <c r="AE1398" s="399"/>
      <c r="AF1398" s="399"/>
      <c r="AG1398" s="399"/>
      <c r="AH1398" s="532"/>
      <c r="AI1398" s="399"/>
      <c r="AJ1398" s="517"/>
      <c r="AK1398" s="399"/>
      <c r="AL1398" s="500"/>
      <c r="AM1398" s="500"/>
      <c r="AN1398" s="500"/>
      <c r="AO1398" s="399"/>
      <c r="AP1398" s="399"/>
      <c r="AQ1398" s="399"/>
      <c r="AR1398" s="399"/>
      <c r="AS1398" s="399"/>
      <c r="AT1398" s="409" t="s">
        <v>4300</v>
      </c>
      <c r="AU1398" s="399"/>
      <c r="AV1398" s="399"/>
      <c r="AW1398" s="541"/>
      <c r="AX1398" s="541"/>
      <c r="AY1398" s="541"/>
      <c r="AZ1398" s="541"/>
      <c r="BA1398" s="541"/>
      <c r="BB1398" s="399"/>
      <c r="BC1398" s="399" t="e">
        <f t="shared" ca="1" si="2"/>
        <v>#NAME?</v>
      </c>
      <c r="BD1398" s="399"/>
      <c r="BE1398" s="399"/>
      <c r="BF1398" s="399"/>
      <c r="BG1398" s="540"/>
      <c r="BH1398" s="407"/>
      <c r="BI1398" s="407"/>
      <c r="BJ1398" s="543"/>
      <c r="BK1398" s="46">
        <f t="shared" si="1"/>
        <v>1</v>
      </c>
      <c r="BL1398" s="46">
        <f t="shared" si="3"/>
        <v>1</v>
      </c>
      <c r="BM1398" s="46">
        <f t="shared" si="4"/>
        <v>0</v>
      </c>
      <c r="BN1398" s="46">
        <f t="shared" si="5"/>
        <v>0</v>
      </c>
    </row>
    <row r="1399" spans="1:66" ht="12.75" customHeight="1">
      <c r="A1399" s="399">
        <v>1409</v>
      </c>
      <c r="B1399" s="399" t="s">
        <v>4262</v>
      </c>
      <c r="C1399" s="399" t="e">
        <f t="shared" ca="1" si="0"/>
        <v>#NAME?</v>
      </c>
      <c r="D1399" s="400" t="s">
        <v>4264</v>
      </c>
      <c r="E1399" s="399" t="s">
        <v>180</v>
      </c>
      <c r="F1399" s="400" t="s">
        <v>3381</v>
      </c>
      <c r="G1399" s="400"/>
      <c r="H1399" s="400"/>
      <c r="I1399" s="400"/>
      <c r="J1399" s="400"/>
      <c r="K1399" s="400">
        <v>1</v>
      </c>
      <c r="L1399" s="400" t="s">
        <v>3333</v>
      </c>
      <c r="M1399" s="402" t="s">
        <v>3334</v>
      </c>
      <c r="N1399" s="402"/>
      <c r="O1399" s="428" t="s">
        <v>4119</v>
      </c>
      <c r="P1399" s="428"/>
      <c r="Q1399" s="399" t="s">
        <v>4263</v>
      </c>
      <c r="R1399" s="428"/>
      <c r="S1399" s="399"/>
      <c r="T1399" s="399"/>
      <c r="U1399" s="399"/>
      <c r="V1399" s="399"/>
      <c r="W1399" s="399" t="s">
        <v>4264</v>
      </c>
      <c r="X1399" s="399"/>
      <c r="Y1399" s="399" t="s">
        <v>208</v>
      </c>
      <c r="Z1399" s="399"/>
      <c r="AA1399" s="399" t="s">
        <v>113</v>
      </c>
      <c r="AB1399" s="399" t="s">
        <v>3178</v>
      </c>
      <c r="AC1399" s="532" t="s">
        <v>4265</v>
      </c>
      <c r="AD1399" s="517"/>
      <c r="AE1399" s="399"/>
      <c r="AF1399" s="399"/>
      <c r="AG1399" s="399"/>
      <c r="AH1399" s="532"/>
      <c r="AI1399" s="399"/>
      <c r="AJ1399" s="517"/>
      <c r="AK1399" s="399"/>
      <c r="AL1399" s="500"/>
      <c r="AM1399" s="500"/>
      <c r="AN1399" s="500"/>
      <c r="AO1399" s="399"/>
      <c r="AP1399" s="399"/>
      <c r="AQ1399" s="399"/>
      <c r="AR1399" s="399"/>
      <c r="AS1399" s="409" t="s">
        <v>5390</v>
      </c>
      <c r="AT1399" s="399"/>
      <c r="AU1399" s="399"/>
      <c r="AV1399" s="399"/>
      <c r="AW1399" s="541"/>
      <c r="AX1399" s="541"/>
      <c r="AY1399" s="541"/>
      <c r="AZ1399" s="541"/>
      <c r="BA1399" s="541"/>
      <c r="BB1399" s="399"/>
      <c r="BC1399" s="399" t="e">
        <f t="shared" ca="1" si="2"/>
        <v>#NAME?</v>
      </c>
      <c r="BD1399" s="399"/>
      <c r="BE1399" s="399"/>
      <c r="BF1399" s="399"/>
      <c r="BG1399" s="540"/>
      <c r="BH1399" s="407"/>
      <c r="BI1399" s="552"/>
      <c r="BJ1399" s="543"/>
      <c r="BK1399" s="46">
        <f t="shared" si="1"/>
        <v>1</v>
      </c>
      <c r="BL1399" s="46">
        <f t="shared" si="3"/>
        <v>0</v>
      </c>
      <c r="BM1399" s="46">
        <f t="shared" si="4"/>
        <v>1</v>
      </c>
      <c r="BN1399" s="46">
        <f t="shared" si="5"/>
        <v>0</v>
      </c>
    </row>
    <row r="1400" spans="1:66" ht="12.75" customHeight="1">
      <c r="A1400" s="399">
        <v>1410</v>
      </c>
      <c r="B1400" s="399" t="s">
        <v>4164</v>
      </c>
      <c r="C1400" s="399" t="e">
        <f t="shared" ca="1" si="0"/>
        <v>#NAME?</v>
      </c>
      <c r="D1400" s="400" t="s">
        <v>4166</v>
      </c>
      <c r="E1400" s="399" t="s">
        <v>180</v>
      </c>
      <c r="F1400" s="400" t="s">
        <v>3381</v>
      </c>
      <c r="G1400" s="400"/>
      <c r="H1400" s="400"/>
      <c r="I1400" s="400"/>
      <c r="J1400" s="400"/>
      <c r="K1400" s="400">
        <v>1</v>
      </c>
      <c r="L1400" s="400" t="s">
        <v>3333</v>
      </c>
      <c r="M1400" s="402" t="s">
        <v>3334</v>
      </c>
      <c r="N1400" s="402"/>
      <c r="O1400" s="428" t="s">
        <v>4119</v>
      </c>
      <c r="P1400" s="428"/>
      <c r="Q1400" s="399" t="s">
        <v>4165</v>
      </c>
      <c r="R1400" s="428"/>
      <c r="S1400" s="399"/>
      <c r="T1400" s="399"/>
      <c r="U1400" s="399"/>
      <c r="V1400" s="399"/>
      <c r="W1400" s="399" t="s">
        <v>4166</v>
      </c>
      <c r="X1400" s="400"/>
      <c r="Y1400" s="399" t="s">
        <v>208</v>
      </c>
      <c r="Z1400" s="399"/>
      <c r="AA1400" s="399" t="s">
        <v>113</v>
      </c>
      <c r="AB1400" s="399" t="s">
        <v>3178</v>
      </c>
      <c r="AC1400" s="532" t="s">
        <v>5395</v>
      </c>
      <c r="AD1400" s="517"/>
      <c r="AE1400" s="399"/>
      <c r="AF1400" s="399"/>
      <c r="AG1400" s="399"/>
      <c r="AH1400" s="532"/>
      <c r="AI1400" s="399"/>
      <c r="AJ1400" s="517"/>
      <c r="AK1400" s="399"/>
      <c r="AL1400" s="500"/>
      <c r="AM1400" s="500"/>
      <c r="AN1400" s="500"/>
      <c r="AO1400" s="399"/>
      <c r="AP1400" s="399"/>
      <c r="AQ1400" s="399"/>
      <c r="AR1400" s="399"/>
      <c r="AS1400" s="399"/>
      <c r="AT1400" s="409" t="s">
        <v>5396</v>
      </c>
      <c r="AU1400" s="399"/>
      <c r="AV1400" s="553"/>
      <c r="AW1400" s="541"/>
      <c r="AX1400" s="541"/>
      <c r="AY1400" s="541"/>
      <c r="AZ1400" s="541"/>
      <c r="BA1400" s="541"/>
      <c r="BB1400" s="399"/>
      <c r="BC1400" s="399" t="e">
        <f t="shared" ca="1" si="2"/>
        <v>#NAME?</v>
      </c>
      <c r="BD1400" s="553"/>
      <c r="BE1400" s="399"/>
      <c r="BF1400" s="399"/>
      <c r="BG1400" s="540"/>
      <c r="BH1400" s="407"/>
      <c r="BI1400" s="554"/>
      <c r="BJ1400" s="543"/>
      <c r="BK1400" s="46">
        <f t="shared" si="1"/>
        <v>1</v>
      </c>
      <c r="BL1400" s="46">
        <f t="shared" si="3"/>
        <v>1</v>
      </c>
      <c r="BM1400" s="46">
        <f t="shared" si="4"/>
        <v>0</v>
      </c>
      <c r="BN1400" s="46">
        <f t="shared" si="5"/>
        <v>0</v>
      </c>
    </row>
    <row r="1401" spans="1:66" ht="12.75" customHeight="1">
      <c r="A1401" s="399">
        <v>1411</v>
      </c>
      <c r="B1401" s="399" t="s">
        <v>4301</v>
      </c>
      <c r="C1401" s="399" t="e">
        <f t="shared" ca="1" si="0"/>
        <v>#NAME?</v>
      </c>
      <c r="D1401" s="400" t="s">
        <v>4303</v>
      </c>
      <c r="E1401" s="399" t="s">
        <v>180</v>
      </c>
      <c r="F1401" s="400" t="s">
        <v>3381</v>
      </c>
      <c r="G1401" s="400"/>
      <c r="H1401" s="400"/>
      <c r="I1401" s="400"/>
      <c r="J1401" s="400"/>
      <c r="K1401" s="400">
        <v>1</v>
      </c>
      <c r="L1401" s="400" t="s">
        <v>3333</v>
      </c>
      <c r="M1401" s="402" t="s">
        <v>3334</v>
      </c>
      <c r="N1401" s="402"/>
      <c r="O1401" s="428" t="s">
        <v>4119</v>
      </c>
      <c r="P1401" s="428"/>
      <c r="Q1401" s="399" t="s">
        <v>4302</v>
      </c>
      <c r="R1401" s="428"/>
      <c r="S1401" s="399"/>
      <c r="T1401" s="399"/>
      <c r="U1401" s="399"/>
      <c r="V1401" s="399"/>
      <c r="W1401" s="399" t="s">
        <v>4303</v>
      </c>
      <c r="X1401" s="400"/>
      <c r="Y1401" s="399" t="s">
        <v>208</v>
      </c>
      <c r="Z1401" s="399"/>
      <c r="AA1401" s="399" t="s">
        <v>113</v>
      </c>
      <c r="AB1401" s="399" t="s">
        <v>3178</v>
      </c>
      <c r="AC1401" s="532" t="s">
        <v>4194</v>
      </c>
      <c r="AD1401" s="517"/>
      <c r="AE1401" s="399"/>
      <c r="AF1401" s="399"/>
      <c r="AG1401" s="399"/>
      <c r="AH1401" s="532"/>
      <c r="AI1401" s="399"/>
      <c r="AJ1401" s="517"/>
      <c r="AK1401" s="399"/>
      <c r="AL1401" s="500"/>
      <c r="AM1401" s="500"/>
      <c r="AN1401" s="500"/>
      <c r="AO1401" s="399"/>
      <c r="AP1401" s="399"/>
      <c r="AQ1401" s="399"/>
      <c r="AR1401" s="399"/>
      <c r="AS1401" s="399"/>
      <c r="AT1401" s="400" t="s">
        <v>4304</v>
      </c>
      <c r="AU1401" s="400"/>
      <c r="AV1401" s="535">
        <v>11381005</v>
      </c>
      <c r="AW1401" s="541"/>
      <c r="AX1401" s="541"/>
      <c r="AY1401" s="541"/>
      <c r="AZ1401" s="541"/>
      <c r="BA1401" s="541"/>
      <c r="BB1401" s="400"/>
      <c r="BC1401" s="399" t="e">
        <f t="shared" ca="1" si="2"/>
        <v>#NAME?</v>
      </c>
      <c r="BD1401" s="535">
        <v>150144</v>
      </c>
      <c r="BE1401" s="399"/>
      <c r="BF1401" s="399"/>
      <c r="BG1401" s="540"/>
      <c r="BH1401" s="552" t="s">
        <v>4304</v>
      </c>
      <c r="BI1401" s="536">
        <v>11381005</v>
      </c>
      <c r="BJ1401" s="543"/>
      <c r="BK1401" s="46">
        <f t="shared" si="1"/>
        <v>1</v>
      </c>
      <c r="BL1401" s="46">
        <f t="shared" si="3"/>
        <v>1</v>
      </c>
      <c r="BM1401" s="46">
        <f t="shared" si="4"/>
        <v>0</v>
      </c>
      <c r="BN1401" s="46">
        <f t="shared" si="5"/>
        <v>0</v>
      </c>
    </row>
    <row r="1402" spans="1:66" ht="12.75" customHeight="1">
      <c r="A1402" s="399">
        <v>1412</v>
      </c>
      <c r="B1402" s="399" t="s">
        <v>4306</v>
      </c>
      <c r="C1402" s="399" t="e">
        <f t="shared" ca="1" si="0"/>
        <v>#NAME?</v>
      </c>
      <c r="D1402" s="400" t="s">
        <v>4308</v>
      </c>
      <c r="E1402" s="399" t="s">
        <v>180</v>
      </c>
      <c r="F1402" s="400" t="s">
        <v>3381</v>
      </c>
      <c r="G1402" s="400"/>
      <c r="H1402" s="400"/>
      <c r="I1402" s="400"/>
      <c r="J1402" s="400"/>
      <c r="K1402" s="400">
        <v>1</v>
      </c>
      <c r="L1402" s="400" t="s">
        <v>3333</v>
      </c>
      <c r="M1402" s="402" t="s">
        <v>3334</v>
      </c>
      <c r="N1402" s="402"/>
      <c r="O1402" s="428" t="s">
        <v>4119</v>
      </c>
      <c r="P1402" s="428"/>
      <c r="Q1402" s="399" t="s">
        <v>4307</v>
      </c>
      <c r="R1402" s="428"/>
      <c r="S1402" s="399"/>
      <c r="T1402" s="399"/>
      <c r="U1402" s="399"/>
      <c r="V1402" s="399"/>
      <c r="W1402" s="399" t="s">
        <v>4308</v>
      </c>
      <c r="X1402" s="400"/>
      <c r="Y1402" s="399" t="s">
        <v>208</v>
      </c>
      <c r="Z1402" s="399"/>
      <c r="AA1402" s="399" t="s">
        <v>113</v>
      </c>
      <c r="AB1402" s="399" t="s">
        <v>3178</v>
      </c>
      <c r="AC1402" s="566" t="s">
        <v>4309</v>
      </c>
      <c r="AD1402" s="517"/>
      <c r="AE1402" s="399"/>
      <c r="AF1402" s="399"/>
      <c r="AG1402" s="399"/>
      <c r="AH1402" s="532"/>
      <c r="AI1402" s="399"/>
      <c r="AJ1402" s="517"/>
      <c r="AK1402" s="399"/>
      <c r="AL1402" s="500"/>
      <c r="AM1402" s="500"/>
      <c r="AN1402" s="500"/>
      <c r="AO1402" s="399"/>
      <c r="AP1402" s="399"/>
      <c r="AQ1402" s="399"/>
      <c r="AR1402" s="399"/>
      <c r="AS1402" s="399"/>
      <c r="AT1402" s="553"/>
      <c r="AU1402" s="553"/>
      <c r="AV1402" s="535">
        <v>365921005</v>
      </c>
      <c r="AW1402" s="541"/>
      <c r="AX1402" s="541"/>
      <c r="AY1402" s="541"/>
      <c r="AZ1402" s="541"/>
      <c r="BA1402" s="541"/>
      <c r="BB1402" s="400"/>
      <c r="BC1402" s="399" t="e">
        <f t="shared" ca="1" si="2"/>
        <v>#NAME?</v>
      </c>
      <c r="BD1402" s="535">
        <v>983</v>
      </c>
      <c r="BE1402" s="399"/>
      <c r="BF1402" s="399"/>
      <c r="BG1402" s="540"/>
      <c r="BH1402" s="573"/>
      <c r="BI1402" s="536">
        <v>365921005</v>
      </c>
      <c r="BJ1402" s="543"/>
      <c r="BK1402" s="46">
        <f t="shared" si="1"/>
        <v>1</v>
      </c>
      <c r="BL1402" s="46">
        <f t="shared" si="3"/>
        <v>1</v>
      </c>
      <c r="BM1402" s="46">
        <f t="shared" si="4"/>
        <v>0</v>
      </c>
      <c r="BN1402" s="46">
        <f t="shared" si="5"/>
        <v>0</v>
      </c>
    </row>
    <row r="1403" spans="1:66" ht="12.75" customHeight="1">
      <c r="A1403" s="399">
        <v>1413</v>
      </c>
      <c r="B1403" s="409" t="s">
        <v>4311</v>
      </c>
      <c r="C1403" s="399" t="e">
        <f t="shared" ca="1" si="0"/>
        <v>#NAME?</v>
      </c>
      <c r="D1403" s="400" t="s">
        <v>4313</v>
      </c>
      <c r="E1403" s="399" t="s">
        <v>180</v>
      </c>
      <c r="F1403" s="400" t="s">
        <v>3381</v>
      </c>
      <c r="G1403" s="400"/>
      <c r="H1403" s="400"/>
      <c r="I1403" s="400"/>
      <c r="J1403" s="400"/>
      <c r="K1403" s="400">
        <v>1</v>
      </c>
      <c r="L1403" s="400" t="s">
        <v>3333</v>
      </c>
      <c r="M1403" s="402" t="s">
        <v>3334</v>
      </c>
      <c r="N1403" s="402"/>
      <c r="O1403" s="428" t="s">
        <v>4119</v>
      </c>
      <c r="P1403" s="581"/>
      <c r="Q1403" s="399" t="s">
        <v>4312</v>
      </c>
      <c r="R1403" s="428"/>
      <c r="S1403" s="399"/>
      <c r="T1403" s="399"/>
      <c r="U1403" s="399"/>
      <c r="V1403" s="399"/>
      <c r="W1403" s="399" t="s">
        <v>4313</v>
      </c>
      <c r="X1403" s="399"/>
      <c r="Y1403" s="399" t="s">
        <v>208</v>
      </c>
      <c r="Z1403" s="399"/>
      <c r="AA1403" s="399" t="s">
        <v>113</v>
      </c>
      <c r="AB1403" s="399" t="s">
        <v>3178</v>
      </c>
      <c r="AC1403" s="566" t="s">
        <v>4194</v>
      </c>
      <c r="AD1403" s="517"/>
      <c r="AE1403" s="399"/>
      <c r="AF1403" s="399"/>
      <c r="AG1403" s="595"/>
      <c r="AH1403" s="596"/>
      <c r="AI1403" s="399"/>
      <c r="AJ1403" s="517"/>
      <c r="AK1403" s="409"/>
      <c r="AL1403" s="500"/>
      <c r="AM1403" s="500"/>
      <c r="AN1403" s="500"/>
      <c r="AO1403" s="399"/>
      <c r="AP1403" s="399"/>
      <c r="AQ1403" s="399"/>
      <c r="AR1403" s="399"/>
      <c r="AS1403" s="409" t="s">
        <v>3162</v>
      </c>
      <c r="AT1403" s="409" t="s">
        <v>5409</v>
      </c>
      <c r="AU1403" s="399"/>
      <c r="AV1403" s="399"/>
      <c r="AW1403" s="541"/>
      <c r="AX1403" s="541"/>
      <c r="AY1403" s="541"/>
      <c r="AZ1403" s="541"/>
      <c r="BA1403" s="541"/>
      <c r="BB1403" s="399"/>
      <c r="BC1403" s="399" t="e">
        <f t="shared" ca="1" si="2"/>
        <v>#NAME?</v>
      </c>
      <c r="BD1403" s="399"/>
      <c r="BE1403" s="399"/>
      <c r="BF1403" s="399"/>
      <c r="BG1403" s="540"/>
      <c r="BH1403" s="407"/>
      <c r="BI1403" s="407"/>
      <c r="BJ1403" s="543"/>
      <c r="BK1403" s="46">
        <f t="shared" si="1"/>
        <v>1</v>
      </c>
      <c r="BL1403" s="46">
        <f t="shared" si="3"/>
        <v>1</v>
      </c>
      <c r="BM1403" s="46">
        <f t="shared" si="4"/>
        <v>0</v>
      </c>
      <c r="BN1403" s="46">
        <f t="shared" si="5"/>
        <v>0</v>
      </c>
    </row>
    <row r="1404" spans="1:66" ht="12.75" customHeight="1">
      <c r="A1404" s="399">
        <v>1414</v>
      </c>
      <c r="B1404" s="399" t="s">
        <v>4317</v>
      </c>
      <c r="C1404" s="399" t="e">
        <f t="shared" ca="1" si="0"/>
        <v>#NAME?</v>
      </c>
      <c r="D1404" s="400" t="s">
        <v>4319</v>
      </c>
      <c r="E1404" s="399" t="s">
        <v>180</v>
      </c>
      <c r="F1404" s="400" t="s">
        <v>3381</v>
      </c>
      <c r="G1404" s="400"/>
      <c r="H1404" s="400"/>
      <c r="I1404" s="400"/>
      <c r="J1404" s="400"/>
      <c r="K1404" s="400">
        <v>1</v>
      </c>
      <c r="L1404" s="400" t="s">
        <v>3333</v>
      </c>
      <c r="M1404" s="402" t="s">
        <v>3334</v>
      </c>
      <c r="N1404" s="402"/>
      <c r="O1404" s="428" t="s">
        <v>4119</v>
      </c>
      <c r="P1404" s="581"/>
      <c r="Q1404" s="399" t="s">
        <v>4318</v>
      </c>
      <c r="R1404" s="428"/>
      <c r="S1404" s="399"/>
      <c r="T1404" s="399"/>
      <c r="U1404" s="399"/>
      <c r="V1404" s="399"/>
      <c r="W1404" s="399" t="s">
        <v>4319</v>
      </c>
      <c r="X1404" s="399"/>
      <c r="Y1404" s="399" t="s">
        <v>208</v>
      </c>
      <c r="Z1404" s="399"/>
      <c r="AA1404" s="399" t="s">
        <v>113</v>
      </c>
      <c r="AB1404" s="399" t="s">
        <v>3178</v>
      </c>
      <c r="AC1404" s="566" t="s">
        <v>4309</v>
      </c>
      <c r="AD1404" s="517"/>
      <c r="AE1404" s="399"/>
      <c r="AF1404" s="399"/>
      <c r="AG1404" s="595"/>
      <c r="AH1404" s="596"/>
      <c r="AI1404" s="399"/>
      <c r="AJ1404" s="517"/>
      <c r="AK1404" s="399"/>
      <c r="AL1404" s="500"/>
      <c r="AM1404" s="500"/>
      <c r="AN1404" s="500"/>
      <c r="AO1404" s="399"/>
      <c r="AP1404" s="399"/>
      <c r="AQ1404" s="399"/>
      <c r="AR1404" s="399"/>
      <c r="AS1404" s="399"/>
      <c r="AT1404" s="409"/>
      <c r="AU1404" s="399"/>
      <c r="AV1404" s="399"/>
      <c r="AW1404" s="541"/>
      <c r="AX1404" s="541"/>
      <c r="AY1404" s="541"/>
      <c r="AZ1404" s="541"/>
      <c r="BA1404" s="541"/>
      <c r="BB1404" s="399"/>
      <c r="BC1404" s="399" t="e">
        <f t="shared" ca="1" si="2"/>
        <v>#NAME?</v>
      </c>
      <c r="BD1404" s="399"/>
      <c r="BE1404" s="399"/>
      <c r="BF1404" s="399"/>
      <c r="BG1404" s="540"/>
      <c r="BH1404" s="407"/>
      <c r="BI1404" s="407"/>
      <c r="BJ1404" s="543"/>
      <c r="BK1404" s="46">
        <f t="shared" si="1"/>
        <v>1</v>
      </c>
      <c r="BL1404" s="46">
        <f t="shared" si="3"/>
        <v>0</v>
      </c>
      <c r="BM1404" s="46">
        <f t="shared" si="4"/>
        <v>1</v>
      </c>
      <c r="BN1404" s="46">
        <f t="shared" si="5"/>
        <v>0</v>
      </c>
    </row>
    <row r="1405" spans="1:66" ht="12.75" customHeight="1">
      <c r="A1405" s="399">
        <v>1415</v>
      </c>
      <c r="B1405" s="399" t="s">
        <v>4325</v>
      </c>
      <c r="C1405" s="399" t="e">
        <f t="shared" ca="1" si="0"/>
        <v>#NAME?</v>
      </c>
      <c r="D1405" s="400" t="s">
        <v>4327</v>
      </c>
      <c r="E1405" s="399" t="s">
        <v>180</v>
      </c>
      <c r="F1405" s="400" t="s">
        <v>3381</v>
      </c>
      <c r="G1405" s="400"/>
      <c r="H1405" s="400"/>
      <c r="I1405" s="400"/>
      <c r="J1405" s="400"/>
      <c r="K1405" s="400">
        <v>1</v>
      </c>
      <c r="L1405" s="400" t="s">
        <v>3333</v>
      </c>
      <c r="M1405" s="402" t="s">
        <v>3334</v>
      </c>
      <c r="N1405" s="400"/>
      <c r="O1405" s="428" t="s">
        <v>4119</v>
      </c>
      <c r="P1405" s="428"/>
      <c r="Q1405" s="399" t="s">
        <v>4326</v>
      </c>
      <c r="R1405" s="428"/>
      <c r="S1405" s="399"/>
      <c r="T1405" s="399"/>
      <c r="U1405" s="399"/>
      <c r="V1405" s="399"/>
      <c r="W1405" s="399" t="s">
        <v>4327</v>
      </c>
      <c r="X1405" s="400"/>
      <c r="Y1405" s="399" t="s">
        <v>208</v>
      </c>
      <c r="Z1405" s="399"/>
      <c r="AA1405" s="399" t="s">
        <v>113</v>
      </c>
      <c r="AB1405" s="399" t="s">
        <v>3178</v>
      </c>
      <c r="AC1405" s="566" t="s">
        <v>4309</v>
      </c>
      <c r="AD1405" s="517"/>
      <c r="AE1405" s="399"/>
      <c r="AF1405" s="399"/>
      <c r="AG1405" s="399"/>
      <c r="AH1405" s="532"/>
      <c r="AI1405" s="399"/>
      <c r="AJ1405" s="517"/>
      <c r="AK1405" s="399"/>
      <c r="AL1405" s="587"/>
      <c r="AM1405" s="587"/>
      <c r="AN1405" s="587"/>
      <c r="AO1405" s="399"/>
      <c r="AP1405" s="399"/>
      <c r="AQ1405" s="399"/>
      <c r="AR1405" s="399"/>
      <c r="AS1405" s="409" t="s">
        <v>3162</v>
      </c>
      <c r="AT1405" s="409" t="s">
        <v>4328</v>
      </c>
      <c r="AU1405" s="399"/>
      <c r="AV1405" s="400">
        <v>422587007</v>
      </c>
      <c r="AW1405" s="541"/>
      <c r="AX1405" s="541"/>
      <c r="AY1405" s="541"/>
      <c r="AZ1405" s="541"/>
      <c r="BA1405" s="541"/>
      <c r="BB1405" s="400"/>
      <c r="BC1405" s="399" t="e">
        <f t="shared" ca="1" si="2"/>
        <v>#NAME?</v>
      </c>
      <c r="BD1405" s="400">
        <v>5978</v>
      </c>
      <c r="BE1405" s="399"/>
      <c r="BF1405" s="399"/>
      <c r="BG1405" s="540"/>
      <c r="BH1405" s="407"/>
      <c r="BI1405" s="407">
        <v>422587007</v>
      </c>
      <c r="BJ1405" s="543"/>
      <c r="BK1405" s="46">
        <f t="shared" si="1"/>
        <v>1</v>
      </c>
      <c r="BL1405" s="46">
        <f t="shared" si="3"/>
        <v>1</v>
      </c>
      <c r="BM1405" s="46">
        <f t="shared" si="4"/>
        <v>0</v>
      </c>
      <c r="BN1405" s="46">
        <f t="shared" si="5"/>
        <v>0</v>
      </c>
    </row>
    <row r="1406" spans="1:66" ht="12.75" customHeight="1">
      <c r="A1406" s="399">
        <v>1416</v>
      </c>
      <c r="B1406" s="399" t="s">
        <v>347</v>
      </c>
      <c r="C1406" s="399" t="e">
        <f t="shared" ca="1" si="0"/>
        <v>#NAME?</v>
      </c>
      <c r="D1406" s="400" t="s">
        <v>270</v>
      </c>
      <c r="E1406" s="399" t="s">
        <v>180</v>
      </c>
      <c r="F1406" s="400" t="s">
        <v>3381</v>
      </c>
      <c r="G1406" s="400"/>
      <c r="H1406" s="400"/>
      <c r="I1406" s="400"/>
      <c r="J1406" s="400"/>
      <c r="K1406" s="400">
        <v>1</v>
      </c>
      <c r="L1406" s="400" t="s">
        <v>3333</v>
      </c>
      <c r="M1406" s="402" t="s">
        <v>3334</v>
      </c>
      <c r="N1406" s="400"/>
      <c r="O1406" s="428" t="s">
        <v>4119</v>
      </c>
      <c r="P1406" s="428"/>
      <c r="Q1406" s="399" t="s">
        <v>4330</v>
      </c>
      <c r="R1406" s="428"/>
      <c r="S1406" s="399"/>
      <c r="T1406" s="399"/>
      <c r="U1406" s="399"/>
      <c r="V1406" s="399"/>
      <c r="W1406" s="399" t="s">
        <v>270</v>
      </c>
      <c r="X1406" s="400"/>
      <c r="Y1406" s="399" t="s">
        <v>208</v>
      </c>
      <c r="Z1406" s="399"/>
      <c r="AA1406" s="399" t="s">
        <v>113</v>
      </c>
      <c r="AB1406" s="399" t="s">
        <v>3178</v>
      </c>
      <c r="AC1406" s="566" t="s">
        <v>4309</v>
      </c>
      <c r="AD1406" s="517"/>
      <c r="AE1406" s="399"/>
      <c r="AF1406" s="399"/>
      <c r="AG1406" s="399"/>
      <c r="AH1406" s="532"/>
      <c r="AI1406" s="399"/>
      <c r="AJ1406" s="517"/>
      <c r="AK1406" s="399"/>
      <c r="AL1406" s="587"/>
      <c r="AM1406" s="587"/>
      <c r="AN1406" s="587"/>
      <c r="AO1406" s="399"/>
      <c r="AP1406" s="399"/>
      <c r="AQ1406" s="399"/>
      <c r="AR1406" s="399"/>
      <c r="AS1406" s="399"/>
      <c r="AT1406" s="400" t="s">
        <v>271</v>
      </c>
      <c r="AU1406" s="400" t="s">
        <v>4331</v>
      </c>
      <c r="AV1406" s="400">
        <v>404640003</v>
      </c>
      <c r="AW1406" s="541"/>
      <c r="AX1406" s="541"/>
      <c r="AY1406" s="541"/>
      <c r="AZ1406" s="541"/>
      <c r="BA1406" s="541"/>
      <c r="BB1406" s="400"/>
      <c r="BC1406" s="399" t="e">
        <f t="shared" ca="1" si="2"/>
        <v>#NAME?</v>
      </c>
      <c r="BD1406" s="400">
        <v>141831</v>
      </c>
      <c r="BE1406" s="399"/>
      <c r="BF1406" s="517" t="s">
        <v>272</v>
      </c>
      <c r="BG1406" s="542" t="s">
        <v>273</v>
      </c>
      <c r="BH1406" s="407" t="s">
        <v>271</v>
      </c>
      <c r="BI1406" s="407">
        <v>404640003</v>
      </c>
      <c r="BJ1406" s="543"/>
      <c r="BK1406" s="46">
        <f t="shared" si="1"/>
        <v>1</v>
      </c>
      <c r="BL1406" s="46">
        <f t="shared" si="3"/>
        <v>1</v>
      </c>
      <c r="BM1406" s="46">
        <f t="shared" si="4"/>
        <v>0</v>
      </c>
      <c r="BN1406" s="46">
        <f t="shared" si="5"/>
        <v>0</v>
      </c>
    </row>
    <row r="1407" spans="1:66" ht="12.75" customHeight="1">
      <c r="A1407" s="399">
        <v>1417</v>
      </c>
      <c r="B1407" s="399" t="s">
        <v>4336</v>
      </c>
      <c r="C1407" s="399" t="e">
        <f t="shared" ca="1" si="0"/>
        <v>#NAME?</v>
      </c>
      <c r="D1407" s="400" t="s">
        <v>4334</v>
      </c>
      <c r="E1407" s="399" t="s">
        <v>180</v>
      </c>
      <c r="F1407" s="400" t="s">
        <v>3381</v>
      </c>
      <c r="G1407" s="400"/>
      <c r="H1407" s="400"/>
      <c r="I1407" s="400"/>
      <c r="J1407" s="400"/>
      <c r="K1407" s="400">
        <v>1</v>
      </c>
      <c r="L1407" s="400" t="s">
        <v>3333</v>
      </c>
      <c r="M1407" s="402" t="s">
        <v>3334</v>
      </c>
      <c r="N1407" s="402"/>
      <c r="O1407" s="428" t="s">
        <v>4119</v>
      </c>
      <c r="P1407" s="428"/>
      <c r="Q1407" s="399"/>
      <c r="R1407" s="428"/>
      <c r="S1407" s="399"/>
      <c r="T1407" s="399"/>
      <c r="U1407" s="399"/>
      <c r="V1407" s="399"/>
      <c r="W1407" s="399" t="s">
        <v>4334</v>
      </c>
      <c r="X1407" s="400"/>
      <c r="Y1407" s="399" t="s">
        <v>208</v>
      </c>
      <c r="Z1407" s="399"/>
      <c r="AA1407" s="399" t="s">
        <v>113</v>
      </c>
      <c r="AB1407" s="399" t="s">
        <v>3178</v>
      </c>
      <c r="AC1407" s="532"/>
      <c r="AD1407" s="400"/>
      <c r="AE1407" s="399"/>
      <c r="AF1407" s="399"/>
      <c r="AG1407" s="399"/>
      <c r="AH1407" s="532"/>
      <c r="AI1407" s="399"/>
      <c r="AJ1407" s="400"/>
      <c r="AK1407" s="399"/>
      <c r="AL1407" s="500"/>
      <c r="AM1407" s="500"/>
      <c r="AN1407" s="500"/>
      <c r="AO1407" s="399"/>
      <c r="AP1407" s="399"/>
      <c r="AQ1407" s="399"/>
      <c r="AR1407" s="399"/>
      <c r="AS1407" s="399"/>
      <c r="AT1407" s="517"/>
      <c r="AU1407" s="517"/>
      <c r="AV1407" s="517">
        <v>74964007</v>
      </c>
      <c r="AW1407" s="541"/>
      <c r="AX1407" s="541"/>
      <c r="AY1407" s="541"/>
      <c r="AZ1407" s="541"/>
      <c r="BA1407" s="541"/>
      <c r="BB1407" s="517"/>
      <c r="BC1407" s="399" t="e">
        <f t="shared" ca="1" si="2"/>
        <v>#NAME?</v>
      </c>
      <c r="BD1407" s="517"/>
      <c r="BE1407" s="517"/>
      <c r="BF1407" s="517"/>
      <c r="BG1407" s="540"/>
      <c r="BH1407" s="414"/>
      <c r="BI1407" s="546">
        <v>74964007</v>
      </c>
      <c r="BJ1407" s="543"/>
      <c r="BK1407" s="46">
        <f t="shared" si="1"/>
        <v>1</v>
      </c>
      <c r="BL1407" s="46">
        <f t="shared" si="3"/>
        <v>1</v>
      </c>
      <c r="BM1407" s="46">
        <f t="shared" si="4"/>
        <v>0</v>
      </c>
      <c r="BN1407" s="46">
        <f t="shared" si="5"/>
        <v>0</v>
      </c>
    </row>
    <row r="1408" spans="1:66" ht="12.75" customHeight="1">
      <c r="A1408" s="399">
        <v>1418</v>
      </c>
      <c r="B1408" s="399" t="s">
        <v>4128</v>
      </c>
      <c r="C1408" s="399" t="str">
        <f t="shared" si="0"/>
        <v>Missed pills or late injection</v>
      </c>
      <c r="D1408" s="400" t="s">
        <v>4128</v>
      </c>
      <c r="E1408" s="399" t="s">
        <v>96</v>
      </c>
      <c r="F1408" s="400" t="s">
        <v>1787</v>
      </c>
      <c r="G1408" s="400"/>
      <c r="H1408" s="400"/>
      <c r="I1408" s="400"/>
      <c r="J1408" s="400"/>
      <c r="K1408" s="400">
        <v>1</v>
      </c>
      <c r="L1408" s="400" t="s">
        <v>3333</v>
      </c>
      <c r="M1408" s="402" t="s">
        <v>3517</v>
      </c>
      <c r="N1408" s="400"/>
      <c r="O1408" s="428" t="s">
        <v>4119</v>
      </c>
      <c r="P1408" s="581"/>
      <c r="Q1408" s="399" t="s">
        <v>5426</v>
      </c>
      <c r="R1408" s="428" t="s">
        <v>4128</v>
      </c>
      <c r="S1408" s="399"/>
      <c r="T1408" s="399"/>
      <c r="U1408" s="399" t="s">
        <v>5282</v>
      </c>
      <c r="V1408" s="399"/>
      <c r="W1408" s="399"/>
      <c r="X1408" s="399"/>
      <c r="Y1408" s="399" t="s">
        <v>208</v>
      </c>
      <c r="Z1408" s="531"/>
      <c r="AA1408" s="399" t="s">
        <v>113</v>
      </c>
      <c r="AB1408" s="399" t="s">
        <v>3178</v>
      </c>
      <c r="AC1408" s="532" t="s">
        <v>5427</v>
      </c>
      <c r="AD1408" s="517"/>
      <c r="AE1408" s="399"/>
      <c r="AF1408" s="399"/>
      <c r="AG1408" s="399"/>
      <c r="AH1408" s="532"/>
      <c r="AI1408" s="399"/>
      <c r="AJ1408" s="517"/>
      <c r="AK1408" s="399"/>
      <c r="AL1408" s="399"/>
      <c r="AM1408" s="399"/>
      <c r="AN1408" s="399"/>
      <c r="AO1408" s="399"/>
      <c r="AP1408" s="399"/>
      <c r="AQ1408" s="399"/>
      <c r="AR1408" s="399"/>
      <c r="AS1408" s="399"/>
      <c r="AT1408" s="399"/>
      <c r="AU1408" s="399"/>
      <c r="AV1408" s="399"/>
      <c r="AW1408" s="541"/>
      <c r="AX1408" s="541"/>
      <c r="AY1408" s="541"/>
      <c r="AZ1408" s="541"/>
      <c r="BA1408" s="541"/>
      <c r="BB1408" s="399"/>
      <c r="BC1408" s="399" t="str">
        <f t="shared" si="2"/>
        <v/>
      </c>
      <c r="BD1408" s="399"/>
      <c r="BE1408" s="399"/>
      <c r="BF1408" s="399"/>
      <c r="BG1408" s="540"/>
      <c r="BH1408" s="407"/>
      <c r="BI1408" s="407"/>
      <c r="BJ1408" s="543"/>
      <c r="BK1408" s="46">
        <f t="shared" si="1"/>
        <v>1</v>
      </c>
      <c r="BL1408" s="46">
        <f t="shared" si="3"/>
        <v>0</v>
      </c>
      <c r="BM1408" s="46">
        <f t="shared" si="4"/>
        <v>1</v>
      </c>
      <c r="BN1408" s="46">
        <f t="shared" si="5"/>
        <v>0</v>
      </c>
    </row>
    <row r="1409" spans="1:66" ht="12.75" customHeight="1">
      <c r="A1409" s="399">
        <v>1419</v>
      </c>
      <c r="B1409" s="399" t="s">
        <v>4338</v>
      </c>
      <c r="C1409" s="399" t="str">
        <f t="shared" si="0"/>
        <v>Number of missed hormonal pills</v>
      </c>
      <c r="D1409" s="400" t="s">
        <v>4338</v>
      </c>
      <c r="E1409" s="399" t="s">
        <v>96</v>
      </c>
      <c r="F1409" s="400" t="s">
        <v>1787</v>
      </c>
      <c r="G1409" s="400"/>
      <c r="H1409" s="400"/>
      <c r="I1409" s="400"/>
      <c r="J1409" s="400"/>
      <c r="K1409" s="400">
        <v>1</v>
      </c>
      <c r="L1409" s="400" t="s">
        <v>3333</v>
      </c>
      <c r="M1409" s="402" t="s">
        <v>3517</v>
      </c>
      <c r="N1409" s="400"/>
      <c r="O1409" s="428" t="s">
        <v>4119</v>
      </c>
      <c r="P1409" s="581"/>
      <c r="Q1409" s="399" t="s">
        <v>4339</v>
      </c>
      <c r="R1409" s="428" t="s">
        <v>4338</v>
      </c>
      <c r="S1409" s="399"/>
      <c r="T1409" s="399"/>
      <c r="U1409" s="399" t="s">
        <v>168</v>
      </c>
      <c r="V1409" s="565"/>
      <c r="W1409" s="565"/>
      <c r="X1409" s="517"/>
      <c r="Y1409" s="399" t="s">
        <v>208</v>
      </c>
      <c r="Z1409" s="531"/>
      <c r="AA1409" s="399" t="s">
        <v>113</v>
      </c>
      <c r="AB1409" s="399" t="s">
        <v>3178</v>
      </c>
      <c r="AC1409" s="532" t="s">
        <v>5427</v>
      </c>
      <c r="AD1409" s="517"/>
      <c r="AE1409" s="399"/>
      <c r="AF1409" s="399"/>
      <c r="AG1409" s="399"/>
      <c r="AH1409" s="532"/>
      <c r="AI1409" s="399"/>
      <c r="AJ1409" s="517"/>
      <c r="AK1409" s="399"/>
      <c r="AL1409" s="399"/>
      <c r="AM1409" s="399"/>
      <c r="AN1409" s="399"/>
      <c r="AO1409" s="399"/>
      <c r="AP1409" s="399"/>
      <c r="AQ1409" s="399"/>
      <c r="AR1409" s="399"/>
      <c r="AS1409" s="399"/>
      <c r="AT1409" s="399"/>
      <c r="AU1409" s="399"/>
      <c r="AV1409" s="399"/>
      <c r="AW1409" s="541"/>
      <c r="AX1409" s="541"/>
      <c r="AY1409" s="541"/>
      <c r="AZ1409" s="541"/>
      <c r="BA1409" s="541"/>
      <c r="BB1409" s="399"/>
      <c r="BC1409" s="399" t="str">
        <f t="shared" si="2"/>
        <v/>
      </c>
      <c r="BD1409" s="399"/>
      <c r="BE1409" s="399"/>
      <c r="BF1409" s="399"/>
      <c r="BG1409" s="540"/>
      <c r="BH1409" s="407"/>
      <c r="BI1409" s="407"/>
      <c r="BJ1409" s="543"/>
      <c r="BK1409" s="46">
        <f t="shared" si="1"/>
        <v>1</v>
      </c>
      <c r="BL1409" s="46">
        <f t="shared" si="3"/>
        <v>0</v>
      </c>
      <c r="BM1409" s="46">
        <f t="shared" si="4"/>
        <v>1</v>
      </c>
      <c r="BN1409" s="46">
        <f t="shared" si="5"/>
        <v>0</v>
      </c>
    </row>
    <row r="1410" spans="1:66" ht="12.75" customHeight="1">
      <c r="A1410" s="399">
        <v>1420</v>
      </c>
      <c r="B1410" s="399" t="s">
        <v>4343</v>
      </c>
      <c r="C1410" s="399" t="str">
        <f t="shared" si="0"/>
        <v>Hours late in taking pill</v>
      </c>
      <c r="D1410" s="400" t="s">
        <v>4343</v>
      </c>
      <c r="E1410" s="399" t="s">
        <v>96</v>
      </c>
      <c r="F1410" s="400" t="s">
        <v>1787</v>
      </c>
      <c r="G1410" s="400"/>
      <c r="H1410" s="400"/>
      <c r="I1410" s="400"/>
      <c r="J1410" s="400"/>
      <c r="K1410" s="400">
        <v>1</v>
      </c>
      <c r="L1410" s="400" t="s">
        <v>3333</v>
      </c>
      <c r="M1410" s="402" t="s">
        <v>3517</v>
      </c>
      <c r="N1410" s="400"/>
      <c r="O1410" s="428" t="s">
        <v>4119</v>
      </c>
      <c r="P1410" s="581"/>
      <c r="Q1410" s="399" t="s">
        <v>4344</v>
      </c>
      <c r="R1410" s="428" t="s">
        <v>4343</v>
      </c>
      <c r="S1410" s="399"/>
      <c r="T1410" s="399"/>
      <c r="U1410" s="399" t="s">
        <v>168</v>
      </c>
      <c r="V1410" s="565"/>
      <c r="W1410" s="565"/>
      <c r="X1410" s="517"/>
      <c r="Y1410" s="399" t="s">
        <v>208</v>
      </c>
      <c r="Z1410" s="531"/>
      <c r="AA1410" s="399" t="s">
        <v>113</v>
      </c>
      <c r="AB1410" s="399" t="s">
        <v>3178</v>
      </c>
      <c r="AC1410" s="532" t="s">
        <v>4345</v>
      </c>
      <c r="AD1410" s="400"/>
      <c r="AE1410" s="399"/>
      <c r="AF1410" s="399"/>
      <c r="AG1410" s="399"/>
      <c r="AH1410" s="532"/>
      <c r="AI1410" s="399"/>
      <c r="AJ1410" s="400"/>
      <c r="AK1410" s="399"/>
      <c r="AL1410" s="399"/>
      <c r="AM1410" s="399"/>
      <c r="AN1410" s="399"/>
      <c r="AO1410" s="399"/>
      <c r="AP1410" s="399"/>
      <c r="AQ1410" s="399"/>
      <c r="AR1410" s="399"/>
      <c r="AS1410" s="399"/>
      <c r="AT1410" s="399"/>
      <c r="AU1410" s="399"/>
      <c r="AV1410" s="399"/>
      <c r="AW1410" s="541"/>
      <c r="AX1410" s="541"/>
      <c r="AY1410" s="541"/>
      <c r="AZ1410" s="541"/>
      <c r="BA1410" s="541"/>
      <c r="BB1410" s="399"/>
      <c r="BC1410" s="399" t="str">
        <f t="shared" si="2"/>
        <v/>
      </c>
      <c r="BD1410" s="399"/>
      <c r="BE1410" s="399"/>
      <c r="BF1410" s="399"/>
      <c r="BG1410" s="540"/>
      <c r="BH1410" s="407"/>
      <c r="BI1410" s="407"/>
      <c r="BJ1410" s="543"/>
      <c r="BK1410" s="46">
        <f t="shared" si="1"/>
        <v>1</v>
      </c>
      <c r="BL1410" s="46">
        <f t="shared" si="3"/>
        <v>0</v>
      </c>
      <c r="BM1410" s="46">
        <f t="shared" si="4"/>
        <v>1</v>
      </c>
      <c r="BN1410" s="46">
        <f t="shared" si="5"/>
        <v>0</v>
      </c>
    </row>
    <row r="1411" spans="1:66" ht="12.75" customHeight="1">
      <c r="A1411" s="399">
        <v>1421</v>
      </c>
      <c r="B1411" s="399" t="s">
        <v>4347</v>
      </c>
      <c r="C1411" s="399" t="str">
        <f t="shared" si="0"/>
        <v>Week of cycle</v>
      </c>
      <c r="D1411" s="400" t="s">
        <v>4347</v>
      </c>
      <c r="E1411" s="409" t="s">
        <v>65</v>
      </c>
      <c r="F1411" s="400" t="s">
        <v>1787</v>
      </c>
      <c r="G1411" s="400"/>
      <c r="H1411" s="400"/>
      <c r="I1411" s="400"/>
      <c r="J1411" s="400"/>
      <c r="K1411" s="400">
        <v>1</v>
      </c>
      <c r="L1411" s="400" t="s">
        <v>3333</v>
      </c>
      <c r="M1411" s="402" t="s">
        <v>3334</v>
      </c>
      <c r="N1411" s="402"/>
      <c r="O1411" s="428" t="s">
        <v>4119</v>
      </c>
      <c r="P1411" s="581"/>
      <c r="Q1411" s="399" t="s">
        <v>4348</v>
      </c>
      <c r="R1411" s="428" t="s">
        <v>4347</v>
      </c>
      <c r="S1411" s="399"/>
      <c r="T1411" s="399" t="s">
        <v>4349</v>
      </c>
      <c r="U1411" s="399" t="s">
        <v>168</v>
      </c>
      <c r="V1411" s="565"/>
      <c r="W1411" s="565"/>
      <c r="X1411" s="517"/>
      <c r="Y1411" s="531"/>
      <c r="Z1411" s="531"/>
      <c r="AA1411" s="399" t="s">
        <v>113</v>
      </c>
      <c r="AB1411" s="399" t="s">
        <v>3178</v>
      </c>
      <c r="AC1411" s="532" t="s">
        <v>4350</v>
      </c>
      <c r="AD1411" s="400"/>
      <c r="AE1411" s="399"/>
      <c r="AF1411" s="399"/>
      <c r="AG1411" s="399" t="s">
        <v>5438</v>
      </c>
      <c r="AH1411" s="532"/>
      <c r="AI1411" s="399"/>
      <c r="AJ1411" s="400"/>
      <c r="AK1411" s="399"/>
      <c r="AL1411" s="500"/>
      <c r="AM1411" s="500"/>
      <c r="AN1411" s="500"/>
      <c r="AO1411" s="500"/>
      <c r="AP1411" s="399"/>
      <c r="AQ1411" s="399"/>
      <c r="AR1411" s="399"/>
      <c r="AS1411" s="399"/>
      <c r="AT1411" s="399"/>
      <c r="AU1411" s="399"/>
      <c r="AV1411" s="399"/>
      <c r="AW1411" s="541"/>
      <c r="AX1411" s="541"/>
      <c r="AY1411" s="541"/>
      <c r="AZ1411" s="541"/>
      <c r="BA1411" s="541"/>
      <c r="BB1411" s="399"/>
      <c r="BC1411" s="399" t="str">
        <f t="shared" si="2"/>
        <v/>
      </c>
      <c r="BD1411" s="399"/>
      <c r="BE1411" s="399"/>
      <c r="BF1411" s="399"/>
      <c r="BG1411" s="540"/>
      <c r="BH1411" s="407"/>
      <c r="BI1411" s="407"/>
      <c r="BJ1411" s="543"/>
      <c r="BK1411" s="46">
        <f t="shared" si="1"/>
        <v>1</v>
      </c>
      <c r="BL1411" s="46">
        <f t="shared" si="3"/>
        <v>1</v>
      </c>
      <c r="BM1411" s="46">
        <f t="shared" si="4"/>
        <v>0</v>
      </c>
      <c r="BN1411" s="46">
        <f t="shared" si="5"/>
        <v>0</v>
      </c>
    </row>
    <row r="1412" spans="1:66" ht="12.75" customHeight="1">
      <c r="A1412" s="399">
        <v>1422</v>
      </c>
      <c r="B1412" s="399" t="s">
        <v>4353</v>
      </c>
      <c r="C1412" s="399" t="str">
        <f t="shared" si="0"/>
        <v>Late change in patch</v>
      </c>
      <c r="D1412" s="400" t="s">
        <v>4353</v>
      </c>
      <c r="E1412" s="399" t="s">
        <v>96</v>
      </c>
      <c r="F1412" s="400" t="s">
        <v>1787</v>
      </c>
      <c r="G1412" s="400"/>
      <c r="H1412" s="400"/>
      <c r="I1412" s="400"/>
      <c r="J1412" s="400"/>
      <c r="K1412" s="400">
        <v>1</v>
      </c>
      <c r="L1412" s="400" t="s">
        <v>3333</v>
      </c>
      <c r="M1412" s="402" t="s">
        <v>3517</v>
      </c>
      <c r="N1412" s="400"/>
      <c r="O1412" s="428" t="s">
        <v>4119</v>
      </c>
      <c r="P1412" s="581"/>
      <c r="Q1412" s="399" t="s">
        <v>4354</v>
      </c>
      <c r="R1412" s="428" t="s">
        <v>4353</v>
      </c>
      <c r="S1412" s="399"/>
      <c r="T1412" s="399"/>
      <c r="U1412" s="399" t="s">
        <v>3169</v>
      </c>
      <c r="V1412" s="399"/>
      <c r="W1412" s="399" t="s">
        <v>3170</v>
      </c>
      <c r="X1412" s="400"/>
      <c r="Y1412" s="531"/>
      <c r="Z1412" s="531"/>
      <c r="AA1412" s="399" t="s">
        <v>113</v>
      </c>
      <c r="AB1412" s="399" t="s">
        <v>3178</v>
      </c>
      <c r="AC1412" s="532" t="s">
        <v>4355</v>
      </c>
      <c r="AD1412" s="400"/>
      <c r="AE1412" s="399"/>
      <c r="AF1412" s="399"/>
      <c r="AG1412" s="399"/>
      <c r="AH1412" s="532"/>
      <c r="AI1412" s="399"/>
      <c r="AJ1412" s="400"/>
      <c r="AK1412" s="399"/>
      <c r="AL1412" s="399"/>
      <c r="AM1412" s="399"/>
      <c r="AN1412" s="399"/>
      <c r="AO1412" s="399"/>
      <c r="AP1412" s="399"/>
      <c r="AQ1412" s="399"/>
      <c r="AR1412" s="399"/>
      <c r="AS1412" s="399"/>
      <c r="AT1412" s="399"/>
      <c r="AU1412" s="399"/>
      <c r="AV1412" s="399"/>
      <c r="AW1412" s="541"/>
      <c r="AX1412" s="541"/>
      <c r="AY1412" s="541"/>
      <c r="AZ1412" s="541"/>
      <c r="BA1412" s="541"/>
      <c r="BB1412" s="399"/>
      <c r="BC1412" s="399" t="str">
        <f t="shared" si="2"/>
        <v/>
      </c>
      <c r="BD1412" s="399"/>
      <c r="BE1412" s="399"/>
      <c r="BF1412" s="399"/>
      <c r="BG1412" s="540"/>
      <c r="BH1412" s="407"/>
      <c r="BI1412" s="407"/>
      <c r="BJ1412" s="543"/>
      <c r="BK1412" s="46">
        <f t="shared" si="1"/>
        <v>1</v>
      </c>
      <c r="BL1412" s="46">
        <f t="shared" si="3"/>
        <v>0</v>
      </c>
      <c r="BM1412" s="46">
        <f t="shared" si="4"/>
        <v>1</v>
      </c>
      <c r="BN1412" s="46">
        <f t="shared" si="5"/>
        <v>0</v>
      </c>
    </row>
    <row r="1413" spans="1:66" ht="12.75" customHeight="1">
      <c r="A1413" s="399">
        <v>1423</v>
      </c>
      <c r="B1413" s="399" t="s">
        <v>4358</v>
      </c>
      <c r="C1413" s="399" t="str">
        <f t="shared" si="0"/>
        <v>Unscheduled detachment of patch</v>
      </c>
      <c r="D1413" s="400" t="s">
        <v>4358</v>
      </c>
      <c r="E1413" s="399" t="s">
        <v>96</v>
      </c>
      <c r="F1413" s="400" t="s">
        <v>1787</v>
      </c>
      <c r="G1413" s="400"/>
      <c r="H1413" s="400"/>
      <c r="I1413" s="400"/>
      <c r="J1413" s="400"/>
      <c r="K1413" s="400">
        <v>1</v>
      </c>
      <c r="L1413" s="400" t="s">
        <v>3333</v>
      </c>
      <c r="M1413" s="402" t="s">
        <v>3517</v>
      </c>
      <c r="N1413" s="400"/>
      <c r="O1413" s="428" t="s">
        <v>4119</v>
      </c>
      <c r="P1413" s="581"/>
      <c r="Q1413" s="399" t="s">
        <v>4359</v>
      </c>
      <c r="R1413" s="428" t="s">
        <v>4358</v>
      </c>
      <c r="S1413" s="399"/>
      <c r="T1413" s="399"/>
      <c r="U1413" s="399" t="s">
        <v>3169</v>
      </c>
      <c r="V1413" s="399"/>
      <c r="W1413" s="399" t="s">
        <v>3170</v>
      </c>
      <c r="X1413" s="400"/>
      <c r="Y1413" s="531"/>
      <c r="Z1413" s="531"/>
      <c r="AA1413" s="399" t="s">
        <v>113</v>
      </c>
      <c r="AB1413" s="399" t="s">
        <v>3178</v>
      </c>
      <c r="AC1413" s="532" t="s">
        <v>4355</v>
      </c>
      <c r="AD1413" s="400"/>
      <c r="AE1413" s="399"/>
      <c r="AF1413" s="399"/>
      <c r="AG1413" s="399"/>
      <c r="AH1413" s="532"/>
      <c r="AI1413" s="399"/>
      <c r="AJ1413" s="400"/>
      <c r="AK1413" s="399"/>
      <c r="AL1413" s="399"/>
      <c r="AM1413" s="399"/>
      <c r="AN1413" s="399"/>
      <c r="AO1413" s="399"/>
      <c r="AP1413" s="399"/>
      <c r="AQ1413" s="399"/>
      <c r="AR1413" s="399"/>
      <c r="AS1413" s="399"/>
      <c r="AT1413" s="399"/>
      <c r="AU1413" s="399"/>
      <c r="AV1413" s="399"/>
      <c r="AW1413" s="541"/>
      <c r="AX1413" s="541"/>
      <c r="AY1413" s="541"/>
      <c r="AZ1413" s="541"/>
      <c r="BA1413" s="541"/>
      <c r="BB1413" s="399"/>
      <c r="BC1413" s="399" t="str">
        <f t="shared" si="2"/>
        <v/>
      </c>
      <c r="BD1413" s="399"/>
      <c r="BE1413" s="399"/>
      <c r="BF1413" s="399"/>
      <c r="BG1413" s="540"/>
      <c r="BH1413" s="407"/>
      <c r="BI1413" s="407"/>
      <c r="BJ1413" s="543"/>
      <c r="BK1413" s="46">
        <f t="shared" si="1"/>
        <v>1</v>
      </c>
      <c r="BL1413" s="46">
        <f t="shared" si="3"/>
        <v>0</v>
      </c>
      <c r="BM1413" s="46">
        <f t="shared" si="4"/>
        <v>1</v>
      </c>
      <c r="BN1413" s="46">
        <f t="shared" si="5"/>
        <v>0</v>
      </c>
    </row>
    <row r="1414" spans="1:66" ht="12.75" customHeight="1">
      <c r="A1414" s="399">
        <v>1424</v>
      </c>
      <c r="B1414" s="399" t="s">
        <v>4360</v>
      </c>
      <c r="C1414" s="399" t="str">
        <f t="shared" si="0"/>
        <v>Days late in applying patch</v>
      </c>
      <c r="D1414" s="400" t="s">
        <v>4360</v>
      </c>
      <c r="E1414" s="399" t="s">
        <v>96</v>
      </c>
      <c r="F1414" s="400" t="s">
        <v>1787</v>
      </c>
      <c r="G1414" s="400"/>
      <c r="H1414" s="400"/>
      <c r="I1414" s="400"/>
      <c r="J1414" s="400"/>
      <c r="K1414" s="400">
        <v>1</v>
      </c>
      <c r="L1414" s="400" t="s">
        <v>3333</v>
      </c>
      <c r="M1414" s="402" t="s">
        <v>3517</v>
      </c>
      <c r="N1414" s="400"/>
      <c r="O1414" s="428" t="s">
        <v>4119</v>
      </c>
      <c r="P1414" s="581"/>
      <c r="Q1414" s="399" t="s">
        <v>4361</v>
      </c>
      <c r="R1414" s="428" t="s">
        <v>4360</v>
      </c>
      <c r="S1414" s="399"/>
      <c r="T1414" s="399"/>
      <c r="U1414" s="399" t="s">
        <v>168</v>
      </c>
      <c r="V1414" s="565"/>
      <c r="W1414" s="565"/>
      <c r="X1414" s="517"/>
      <c r="Y1414" s="531"/>
      <c r="Z1414" s="531"/>
      <c r="AA1414" s="399" t="s">
        <v>113</v>
      </c>
      <c r="AB1414" s="399" t="s">
        <v>3178</v>
      </c>
      <c r="AC1414" s="532" t="s">
        <v>4362</v>
      </c>
      <c r="AD1414" s="400"/>
      <c r="AE1414" s="399"/>
      <c r="AF1414" s="399"/>
      <c r="AG1414" s="399"/>
      <c r="AH1414" s="532"/>
      <c r="AI1414" s="399"/>
      <c r="AJ1414" s="400"/>
      <c r="AK1414" s="399"/>
      <c r="AL1414" s="399"/>
      <c r="AM1414" s="399"/>
      <c r="AN1414" s="399"/>
      <c r="AO1414" s="399"/>
      <c r="AP1414" s="399"/>
      <c r="AQ1414" s="399"/>
      <c r="AR1414" s="399"/>
      <c r="AS1414" s="399"/>
      <c r="AT1414" s="399"/>
      <c r="AU1414" s="399"/>
      <c r="AV1414" s="399"/>
      <c r="AW1414" s="541"/>
      <c r="AX1414" s="541"/>
      <c r="AY1414" s="541"/>
      <c r="AZ1414" s="541"/>
      <c r="BA1414" s="541"/>
      <c r="BB1414" s="399"/>
      <c r="BC1414" s="399" t="str">
        <f t="shared" si="2"/>
        <v/>
      </c>
      <c r="BD1414" s="399"/>
      <c r="BE1414" s="399"/>
      <c r="BF1414" s="399"/>
      <c r="BG1414" s="540"/>
      <c r="BH1414" s="407"/>
      <c r="BI1414" s="407"/>
      <c r="BJ1414" s="543"/>
      <c r="BK1414" s="46">
        <f t="shared" si="1"/>
        <v>1</v>
      </c>
      <c r="BL1414" s="46">
        <f t="shared" si="3"/>
        <v>0</v>
      </c>
      <c r="BM1414" s="46">
        <f t="shared" si="4"/>
        <v>1</v>
      </c>
      <c r="BN1414" s="46">
        <f t="shared" si="5"/>
        <v>0</v>
      </c>
    </row>
    <row r="1415" spans="1:66" ht="12.75" customHeight="1">
      <c r="A1415" s="399">
        <v>1425</v>
      </c>
      <c r="B1415" s="399" t="s">
        <v>4365</v>
      </c>
      <c r="C1415" s="399" t="str">
        <f t="shared" si="0"/>
        <v>Time since last injection</v>
      </c>
      <c r="D1415" s="400" t="s">
        <v>4365</v>
      </c>
      <c r="E1415" s="399" t="s">
        <v>96</v>
      </c>
      <c r="F1415" s="400" t="s">
        <v>1787</v>
      </c>
      <c r="G1415" s="400"/>
      <c r="H1415" s="400"/>
      <c r="I1415" s="400"/>
      <c r="J1415" s="400"/>
      <c r="K1415" s="400">
        <v>1</v>
      </c>
      <c r="L1415" s="400" t="s">
        <v>3333</v>
      </c>
      <c r="M1415" s="402" t="s">
        <v>3517</v>
      </c>
      <c r="N1415" s="400"/>
      <c r="O1415" s="428" t="s">
        <v>4119</v>
      </c>
      <c r="P1415" s="581"/>
      <c r="Q1415" s="399" t="s">
        <v>4366</v>
      </c>
      <c r="R1415" s="428" t="s">
        <v>4365</v>
      </c>
      <c r="S1415" s="399"/>
      <c r="T1415" s="399" t="s">
        <v>4367</v>
      </c>
      <c r="U1415" s="517" t="s">
        <v>140</v>
      </c>
      <c r="V1415" s="565"/>
      <c r="W1415" s="565"/>
      <c r="X1415" s="517"/>
      <c r="Y1415" s="531"/>
      <c r="Z1415" s="531"/>
      <c r="AA1415" s="400"/>
      <c r="AB1415" s="399" t="s">
        <v>3178</v>
      </c>
      <c r="AC1415" s="532" t="s">
        <v>4368</v>
      </c>
      <c r="AD1415" s="400"/>
      <c r="AE1415" s="399"/>
      <c r="AF1415" s="399"/>
      <c r="AG1415" s="399" t="s">
        <v>5449</v>
      </c>
      <c r="AH1415" s="566"/>
      <c r="AI1415" s="399"/>
      <c r="AJ1415" s="400"/>
      <c r="AK1415" s="399"/>
      <c r="AL1415" s="399"/>
      <c r="AM1415" s="399"/>
      <c r="AN1415" s="399"/>
      <c r="AO1415" s="399"/>
      <c r="AP1415" s="399"/>
      <c r="AQ1415" s="399"/>
      <c r="AR1415" s="399"/>
      <c r="AS1415" s="399"/>
      <c r="AT1415" s="399"/>
      <c r="AU1415" s="399"/>
      <c r="AV1415" s="399"/>
      <c r="AW1415" s="541"/>
      <c r="AX1415" s="541"/>
      <c r="AY1415" s="541"/>
      <c r="AZ1415" s="541"/>
      <c r="BA1415" s="541"/>
      <c r="BB1415" s="399"/>
      <c r="BC1415" s="399" t="str">
        <f t="shared" si="2"/>
        <v/>
      </c>
      <c r="BD1415" s="399"/>
      <c r="BE1415" s="399"/>
      <c r="BF1415" s="399"/>
      <c r="BG1415" s="540"/>
      <c r="BH1415" s="407"/>
      <c r="BI1415" s="407"/>
      <c r="BJ1415" s="543"/>
      <c r="BK1415" s="46">
        <f t="shared" si="1"/>
        <v>1</v>
      </c>
      <c r="BL1415" s="46">
        <f t="shared" si="3"/>
        <v>0</v>
      </c>
      <c r="BM1415" s="46">
        <f t="shared" si="4"/>
        <v>1</v>
      </c>
      <c r="BN1415" s="46">
        <f t="shared" si="5"/>
        <v>0</v>
      </c>
    </row>
    <row r="1416" spans="1:66" ht="12.75" customHeight="1">
      <c r="A1416" s="399">
        <v>1426</v>
      </c>
      <c r="B1416" s="399" t="s">
        <v>4374</v>
      </c>
      <c r="C1416" s="399" t="str">
        <f t="shared" si="0"/>
        <v>Injection cycle</v>
      </c>
      <c r="D1416" s="400" t="s">
        <v>4374</v>
      </c>
      <c r="E1416" s="399" t="s">
        <v>96</v>
      </c>
      <c r="F1416" s="400" t="s">
        <v>1787</v>
      </c>
      <c r="G1416" s="400"/>
      <c r="H1416" s="400"/>
      <c r="I1416" s="400"/>
      <c r="J1416" s="400"/>
      <c r="K1416" s="400">
        <v>1</v>
      </c>
      <c r="L1416" s="400" t="s">
        <v>3333</v>
      </c>
      <c r="M1416" s="402" t="s">
        <v>3517</v>
      </c>
      <c r="N1416" s="400"/>
      <c r="O1416" s="428" t="s">
        <v>4119</v>
      </c>
      <c r="P1416" s="581"/>
      <c r="Q1416" s="399" t="s">
        <v>4373</v>
      </c>
      <c r="R1416" s="428" t="s">
        <v>4374</v>
      </c>
      <c r="S1416" s="399"/>
      <c r="T1416" s="399" t="s">
        <v>5453</v>
      </c>
      <c r="U1416" s="399" t="s">
        <v>3169</v>
      </c>
      <c r="V1416" s="565"/>
      <c r="W1416" s="565" t="s">
        <v>3170</v>
      </c>
      <c r="X1416" s="517"/>
      <c r="Y1416" s="531"/>
      <c r="Z1416" s="531"/>
      <c r="AA1416" s="489" t="s">
        <v>113</v>
      </c>
      <c r="AB1416" s="399" t="s">
        <v>3178</v>
      </c>
      <c r="AC1416" s="532" t="s">
        <v>4376</v>
      </c>
      <c r="AD1416" s="400"/>
      <c r="AE1416" s="399"/>
      <c r="AF1416" s="399"/>
      <c r="AG1416" s="399"/>
      <c r="AH1416" s="532"/>
      <c r="AI1416" s="399"/>
      <c r="AJ1416" s="400"/>
      <c r="AK1416" s="399"/>
      <c r="AL1416" s="399"/>
      <c r="AM1416" s="399"/>
      <c r="AN1416" s="399"/>
      <c r="AO1416" s="399"/>
      <c r="AP1416" s="399"/>
      <c r="AQ1416" s="399"/>
      <c r="AR1416" s="399"/>
      <c r="AS1416" s="399"/>
      <c r="AT1416" s="399"/>
      <c r="AU1416" s="399"/>
      <c r="AV1416" s="399"/>
      <c r="AW1416" s="541"/>
      <c r="AX1416" s="541"/>
      <c r="AY1416" s="541"/>
      <c r="AZ1416" s="541"/>
      <c r="BA1416" s="541"/>
      <c r="BB1416" s="399"/>
      <c r="BC1416" s="399" t="str">
        <f t="shared" si="2"/>
        <v/>
      </c>
      <c r="BD1416" s="399"/>
      <c r="BE1416" s="399"/>
      <c r="BF1416" s="399"/>
      <c r="BG1416" s="540"/>
      <c r="BH1416" s="407"/>
      <c r="BI1416" s="407"/>
      <c r="BJ1416" s="543"/>
      <c r="BK1416" s="46">
        <f t="shared" si="1"/>
        <v>1</v>
      </c>
      <c r="BL1416" s="46">
        <f t="shared" si="3"/>
        <v>0</v>
      </c>
      <c r="BM1416" s="46">
        <f t="shared" si="4"/>
        <v>1</v>
      </c>
      <c r="BN1416" s="46">
        <f t="shared" si="5"/>
        <v>0</v>
      </c>
    </row>
    <row r="1417" spans="1:66" ht="12.75" customHeight="1">
      <c r="A1417" s="399">
        <v>1427</v>
      </c>
      <c r="B1417" s="399" t="s">
        <v>4378</v>
      </c>
      <c r="C1417" s="399" t="str">
        <f t="shared" si="0"/>
        <v>Consider emergency contraception</v>
      </c>
      <c r="D1417" s="400" t="s">
        <v>4378</v>
      </c>
      <c r="E1417" s="399" t="s">
        <v>65</v>
      </c>
      <c r="F1417" s="400" t="s">
        <v>1787</v>
      </c>
      <c r="G1417" s="400"/>
      <c r="H1417" s="400"/>
      <c r="I1417" s="400"/>
      <c r="J1417" s="400"/>
      <c r="K1417" s="400">
        <v>1</v>
      </c>
      <c r="L1417" s="400" t="s">
        <v>3333</v>
      </c>
      <c r="M1417" s="402" t="s">
        <v>3517</v>
      </c>
      <c r="N1417" s="400"/>
      <c r="O1417" s="428" t="s">
        <v>4119</v>
      </c>
      <c r="P1417" s="581"/>
      <c r="Q1417" s="399" t="s">
        <v>4379</v>
      </c>
      <c r="R1417" s="574" t="s">
        <v>4378</v>
      </c>
      <c r="S1417" s="399"/>
      <c r="T1417" s="399" t="s">
        <v>4380</v>
      </c>
      <c r="U1417" s="399"/>
      <c r="V1417" s="565"/>
      <c r="W1417" s="565"/>
      <c r="X1417" s="517"/>
      <c r="Y1417" s="399" t="s">
        <v>208</v>
      </c>
      <c r="Z1417" s="399"/>
      <c r="AA1417" s="399" t="s">
        <v>208</v>
      </c>
      <c r="AB1417" s="399" t="s">
        <v>3178</v>
      </c>
      <c r="AC1417" s="532" t="s">
        <v>4381</v>
      </c>
      <c r="AD1417" s="400"/>
      <c r="AE1417" s="517"/>
      <c r="AF1417" s="517"/>
      <c r="AG1417" s="565"/>
      <c r="AH1417" s="566"/>
      <c r="AI1417" s="517"/>
      <c r="AJ1417" s="400"/>
      <c r="AK1417" s="399"/>
      <c r="AL1417" s="409" t="s">
        <v>65</v>
      </c>
      <c r="AM1417" s="399"/>
      <c r="AN1417" s="399"/>
      <c r="AO1417" s="399"/>
      <c r="AP1417" s="399"/>
      <c r="AQ1417" s="399"/>
      <c r="AR1417" s="399"/>
      <c r="AS1417" s="399"/>
      <c r="AT1417" s="399"/>
      <c r="AU1417" s="400"/>
      <c r="AV1417" s="400"/>
      <c r="AW1417" s="541"/>
      <c r="AX1417" s="541"/>
      <c r="AY1417" s="550" t="s">
        <v>3106</v>
      </c>
      <c r="AZ1417" s="541"/>
      <c r="BA1417" s="541"/>
      <c r="BB1417" s="400"/>
      <c r="BC1417" s="399" t="str">
        <f t="shared" si="2"/>
        <v/>
      </c>
      <c r="BD1417" s="535">
        <v>160570</v>
      </c>
      <c r="BE1417" s="399"/>
      <c r="BF1417" s="399"/>
      <c r="BG1417" s="540"/>
      <c r="BH1417" s="407"/>
      <c r="BI1417" s="407"/>
      <c r="BJ1417" s="543"/>
      <c r="BK1417" s="46">
        <f t="shared" si="1"/>
        <v>1</v>
      </c>
      <c r="BL1417" s="46">
        <f t="shared" si="3"/>
        <v>1</v>
      </c>
      <c r="BM1417" s="46">
        <f t="shared" si="4"/>
        <v>0</v>
      </c>
      <c r="BN1417" s="46">
        <f t="shared" si="5"/>
        <v>0</v>
      </c>
    </row>
    <row r="1418" spans="1:66" ht="12.75" customHeight="1">
      <c r="A1418" s="399">
        <v>1428</v>
      </c>
      <c r="B1418" s="399" t="s">
        <v>4479</v>
      </c>
      <c r="C1418" s="399" t="str">
        <f t="shared" si="0"/>
        <v>Puerperal sepsis</v>
      </c>
      <c r="D1418" s="400" t="s">
        <v>4479</v>
      </c>
      <c r="E1418" s="399" t="s">
        <v>96</v>
      </c>
      <c r="F1418" s="400" t="s">
        <v>1787</v>
      </c>
      <c r="G1418" s="400"/>
      <c r="H1418" s="400"/>
      <c r="I1418" s="400"/>
      <c r="J1418" s="400"/>
      <c r="K1418" s="400">
        <v>1</v>
      </c>
      <c r="L1418" s="400" t="s">
        <v>3333</v>
      </c>
      <c r="M1418" s="402" t="s">
        <v>4081</v>
      </c>
      <c r="N1418" s="400"/>
      <c r="O1418" s="428" t="s">
        <v>4119</v>
      </c>
      <c r="P1418" s="574"/>
      <c r="Q1418" s="399" t="s">
        <v>4480</v>
      </c>
      <c r="R1418" s="428" t="s">
        <v>4479</v>
      </c>
      <c r="S1418" s="399"/>
      <c r="T1418" s="399"/>
      <c r="U1418" s="400" t="s">
        <v>3169</v>
      </c>
      <c r="V1418" s="399"/>
      <c r="W1418" s="399" t="s">
        <v>3170</v>
      </c>
      <c r="X1418" s="400"/>
      <c r="Y1418" s="400"/>
      <c r="Z1418" s="400"/>
      <c r="AA1418" s="400" t="s">
        <v>113</v>
      </c>
      <c r="AB1418" s="400" t="s">
        <v>3178</v>
      </c>
      <c r="AC1418" s="532" t="s">
        <v>5461</v>
      </c>
      <c r="AD1418" s="400"/>
      <c r="AE1418" s="400"/>
      <c r="AF1418" s="400"/>
      <c r="AG1418" s="399"/>
      <c r="AH1418" s="532"/>
      <c r="AI1418" s="400"/>
      <c r="AJ1418" s="400"/>
      <c r="AK1418" s="399"/>
      <c r="AL1418" s="399"/>
      <c r="AM1418" s="399"/>
      <c r="AN1418" s="399"/>
      <c r="AO1418" s="399"/>
      <c r="AP1418" s="399"/>
      <c r="AQ1418" s="399"/>
      <c r="AR1418" s="399"/>
      <c r="AS1418" s="399"/>
      <c r="AT1418" s="517"/>
      <c r="AU1418" s="517"/>
      <c r="AV1418" s="567"/>
      <c r="AW1418" s="541"/>
      <c r="AX1418" s="541"/>
      <c r="AY1418" s="541"/>
      <c r="AZ1418" s="541"/>
      <c r="BA1418" s="541"/>
      <c r="BB1418" s="567"/>
      <c r="BC1418" s="399" t="str">
        <f t="shared" si="2"/>
        <v/>
      </c>
      <c r="BD1418" s="567"/>
      <c r="BE1418" s="517"/>
      <c r="BF1418" s="517"/>
      <c r="BG1418" s="542"/>
      <c r="BH1418" s="414"/>
      <c r="BI1418" s="546"/>
      <c r="BJ1418" s="543"/>
      <c r="BK1418" s="46">
        <f t="shared" si="1"/>
        <v>1</v>
      </c>
      <c r="BL1418" s="46">
        <f t="shared" si="3"/>
        <v>0</v>
      </c>
      <c r="BM1418" s="46">
        <f t="shared" si="4"/>
        <v>1</v>
      </c>
      <c r="BN1418" s="46">
        <f t="shared" si="5"/>
        <v>0</v>
      </c>
    </row>
    <row r="1419" spans="1:66" ht="12.75" customHeight="1">
      <c r="A1419" s="399">
        <v>1429</v>
      </c>
      <c r="B1419" s="399" t="s">
        <v>4484</v>
      </c>
      <c r="C1419" s="399" t="str">
        <f t="shared" si="0"/>
        <v>History of hypertension</v>
      </c>
      <c r="D1419" s="400" t="s">
        <v>4484</v>
      </c>
      <c r="E1419" s="399" t="s">
        <v>96</v>
      </c>
      <c r="F1419" s="400" t="s">
        <v>1787</v>
      </c>
      <c r="G1419" s="400"/>
      <c r="H1419" s="400"/>
      <c r="I1419" s="400"/>
      <c r="J1419" s="400"/>
      <c r="K1419" s="400">
        <v>1</v>
      </c>
      <c r="L1419" s="400" t="s">
        <v>3333</v>
      </c>
      <c r="M1419" s="402" t="s">
        <v>4485</v>
      </c>
      <c r="N1419" s="400"/>
      <c r="O1419" s="428" t="s">
        <v>4119</v>
      </c>
      <c r="P1419" s="574"/>
      <c r="Q1419" s="400" t="s">
        <v>4486</v>
      </c>
      <c r="R1419" s="428" t="s">
        <v>4484</v>
      </c>
      <c r="S1419" s="399"/>
      <c r="T1419" s="399" t="s">
        <v>4487</v>
      </c>
      <c r="U1419" s="400" t="s">
        <v>3169</v>
      </c>
      <c r="V1419" s="399"/>
      <c r="W1419" s="399" t="s">
        <v>3170</v>
      </c>
      <c r="X1419" s="400"/>
      <c r="Y1419" s="400"/>
      <c r="Z1419" s="400"/>
      <c r="AA1419" s="399" t="s">
        <v>113</v>
      </c>
      <c r="AB1419" s="400" t="s">
        <v>3178</v>
      </c>
      <c r="AC1419" s="532" t="s">
        <v>5463</v>
      </c>
      <c r="AD1419" s="400"/>
      <c r="AE1419" s="400"/>
      <c r="AF1419" s="400"/>
      <c r="AG1419" s="399" t="s">
        <v>4489</v>
      </c>
      <c r="AH1419" s="532" t="s">
        <v>3851</v>
      </c>
      <c r="AI1419" s="400"/>
      <c r="AJ1419" s="400"/>
      <c r="AK1419" s="399"/>
      <c r="AL1419" s="399"/>
      <c r="AM1419" s="399"/>
      <c r="AN1419" s="399"/>
      <c r="AO1419" s="399"/>
      <c r="AP1419" s="399"/>
      <c r="AQ1419" s="399"/>
      <c r="AR1419" s="399"/>
      <c r="AS1419" s="399"/>
      <c r="AT1419" s="517" t="s">
        <v>4490</v>
      </c>
      <c r="AU1419" s="517" t="s">
        <v>4088</v>
      </c>
      <c r="AV1419" s="567">
        <v>161501007</v>
      </c>
      <c r="AW1419" s="541"/>
      <c r="AX1419" s="541"/>
      <c r="AY1419" s="541"/>
      <c r="AZ1419" s="541"/>
      <c r="BA1419" s="541"/>
      <c r="BB1419" s="567"/>
      <c r="BC1419" s="399" t="str">
        <f t="shared" si="2"/>
        <v/>
      </c>
      <c r="BD1419" s="567">
        <v>156639</v>
      </c>
      <c r="BE1419" s="517"/>
      <c r="BF1419" s="517"/>
      <c r="BG1419" s="542" t="s">
        <v>4493</v>
      </c>
      <c r="BH1419" s="414" t="s">
        <v>4490</v>
      </c>
      <c r="BI1419" s="546">
        <v>161501007</v>
      </c>
      <c r="BJ1419" s="543"/>
      <c r="BK1419" s="46">
        <f t="shared" si="1"/>
        <v>1</v>
      </c>
      <c r="BL1419" s="46">
        <f t="shared" si="3"/>
        <v>0</v>
      </c>
      <c r="BM1419" s="46">
        <f t="shared" si="4"/>
        <v>1</v>
      </c>
      <c r="BN1419" s="46">
        <f t="shared" si="5"/>
        <v>0</v>
      </c>
    </row>
    <row r="1420" spans="1:66" ht="12.75" customHeight="1">
      <c r="A1420" s="399">
        <v>1430</v>
      </c>
      <c r="B1420" s="399" t="s">
        <v>5467</v>
      </c>
      <c r="C1420" s="399" t="str">
        <f t="shared" si="0"/>
        <v>Unable to measure blood pressure</v>
      </c>
      <c r="D1420" s="400" t="s">
        <v>5467</v>
      </c>
      <c r="E1420" s="399" t="s">
        <v>96</v>
      </c>
      <c r="F1420" s="400" t="s">
        <v>1787</v>
      </c>
      <c r="G1420" s="400"/>
      <c r="H1420" s="400"/>
      <c r="I1420" s="400"/>
      <c r="J1420" s="400"/>
      <c r="K1420" s="400">
        <v>1</v>
      </c>
      <c r="L1420" s="400" t="s">
        <v>3333</v>
      </c>
      <c r="M1420" s="402" t="s">
        <v>4485</v>
      </c>
      <c r="N1420" s="400"/>
      <c r="O1420" s="428" t="s">
        <v>4119</v>
      </c>
      <c r="P1420" s="428"/>
      <c r="Q1420" s="399" t="s">
        <v>5469</v>
      </c>
      <c r="R1420" s="428" t="s">
        <v>5467</v>
      </c>
      <c r="S1420" s="530"/>
      <c r="T1420" s="399" t="s">
        <v>5470</v>
      </c>
      <c r="U1420" s="399" t="s">
        <v>3169</v>
      </c>
      <c r="V1420" s="399"/>
      <c r="W1420" s="399" t="s">
        <v>3170</v>
      </c>
      <c r="X1420" s="400"/>
      <c r="Y1420" s="399"/>
      <c r="Z1420" s="399"/>
      <c r="AA1420" s="399" t="s">
        <v>113</v>
      </c>
      <c r="AB1420" s="531" t="s">
        <v>3178</v>
      </c>
      <c r="AC1420" s="532" t="s">
        <v>5473</v>
      </c>
      <c r="AD1420" s="400"/>
      <c r="AE1420" s="399"/>
      <c r="AF1420" s="399"/>
      <c r="AG1420" s="399"/>
      <c r="AH1420" s="532" t="s">
        <v>5474</v>
      </c>
      <c r="AI1420" s="399"/>
      <c r="AJ1420" s="400"/>
      <c r="AK1420" s="399"/>
      <c r="AL1420" s="530"/>
      <c r="AM1420" s="530"/>
      <c r="AN1420" s="530"/>
      <c r="AO1420" s="399"/>
      <c r="AP1420" s="399"/>
      <c r="AQ1420" s="399"/>
      <c r="AR1420" s="399"/>
      <c r="AS1420" s="399"/>
      <c r="AT1420" s="399"/>
      <c r="AU1420" s="399"/>
      <c r="AV1420" s="490"/>
      <c r="AW1420" s="541" t="s">
        <v>4760</v>
      </c>
      <c r="AX1420" s="541"/>
      <c r="AY1420" s="541"/>
      <c r="AZ1420" s="541"/>
      <c r="BA1420" s="541"/>
      <c r="BB1420" s="517"/>
      <c r="BC1420" s="399" t="str">
        <f t="shared" si="2"/>
        <v/>
      </c>
      <c r="BD1420" s="517"/>
      <c r="BE1420" s="490" t="s">
        <v>115</v>
      </c>
      <c r="BF1420" s="490"/>
      <c r="BG1420" s="495"/>
      <c r="BH1420" s="407"/>
      <c r="BI1420" s="407"/>
      <c r="BJ1420" s="543" t="s">
        <v>4760</v>
      </c>
      <c r="BK1420" s="46">
        <f t="shared" si="1"/>
        <v>1</v>
      </c>
      <c r="BL1420" s="46">
        <f t="shared" si="3"/>
        <v>0</v>
      </c>
      <c r="BM1420" s="46">
        <f t="shared" si="4"/>
        <v>1</v>
      </c>
      <c r="BN1420" s="46">
        <f t="shared" si="5"/>
        <v>0</v>
      </c>
    </row>
    <row r="1421" spans="1:66" ht="12.75" customHeight="1">
      <c r="A1421" s="399">
        <v>1431</v>
      </c>
      <c r="B1421" s="399" t="s">
        <v>5475</v>
      </c>
      <c r="C1421" s="399" t="str">
        <f t="shared" si="0"/>
        <v>Physical Examination</v>
      </c>
      <c r="D1421" s="400" t="s">
        <v>5475</v>
      </c>
      <c r="E1421" s="399" t="s">
        <v>96</v>
      </c>
      <c r="F1421" s="400" t="s">
        <v>1787</v>
      </c>
      <c r="G1421" s="400"/>
      <c r="H1421" s="400"/>
      <c r="I1421" s="400"/>
      <c r="J1421" s="400"/>
      <c r="K1421" s="400">
        <v>1</v>
      </c>
      <c r="L1421" s="400" t="s">
        <v>3333</v>
      </c>
      <c r="M1421" s="402" t="s">
        <v>4485</v>
      </c>
      <c r="N1421" s="400"/>
      <c r="O1421" s="428" t="s">
        <v>4119</v>
      </c>
      <c r="P1421" s="428"/>
      <c r="Q1421" s="399" t="s">
        <v>5477</v>
      </c>
      <c r="R1421" s="428" t="s">
        <v>5475</v>
      </c>
      <c r="S1421" s="399"/>
      <c r="T1421" s="399" t="s">
        <v>5478</v>
      </c>
      <c r="U1421" s="399" t="s">
        <v>3169</v>
      </c>
      <c r="V1421" s="399"/>
      <c r="W1421" s="399" t="s">
        <v>3170</v>
      </c>
      <c r="X1421" s="400"/>
      <c r="Y1421" s="399" t="s">
        <v>208</v>
      </c>
      <c r="Z1421" s="399"/>
      <c r="AA1421" s="399" t="s">
        <v>113</v>
      </c>
      <c r="AB1421" s="399" t="s">
        <v>3178</v>
      </c>
      <c r="AC1421" s="532" t="s">
        <v>5479</v>
      </c>
      <c r="AD1421" s="400"/>
      <c r="AE1421" s="399"/>
      <c r="AF1421" s="399"/>
      <c r="AG1421" s="399"/>
      <c r="AH1421" s="532"/>
      <c r="AI1421" s="399"/>
      <c r="AJ1421" s="400"/>
      <c r="AK1421" s="399"/>
      <c r="AL1421" s="399"/>
      <c r="AM1421" s="399"/>
      <c r="AN1421" s="399"/>
      <c r="AO1421" s="399"/>
      <c r="AP1421" s="399"/>
      <c r="AQ1421" s="399"/>
      <c r="AR1421" s="399"/>
      <c r="AS1421" s="399"/>
      <c r="AT1421" s="399"/>
      <c r="AU1421" s="399"/>
      <c r="AV1421" s="399"/>
      <c r="AW1421" s="541"/>
      <c r="AX1421" s="541"/>
      <c r="AY1421" s="541"/>
      <c r="AZ1421" s="541"/>
      <c r="BA1421" s="541"/>
      <c r="BB1421" s="399"/>
      <c r="BC1421" s="399" t="str">
        <f t="shared" si="2"/>
        <v/>
      </c>
      <c r="BD1421" s="399"/>
      <c r="BE1421" s="399"/>
      <c r="BF1421" s="399"/>
      <c r="BG1421" s="540"/>
      <c r="BH1421" s="407"/>
      <c r="BI1421" s="407"/>
      <c r="BJ1421" s="543"/>
      <c r="BK1421" s="46">
        <f t="shared" si="1"/>
        <v>1</v>
      </c>
      <c r="BL1421" s="46">
        <f t="shared" si="3"/>
        <v>0</v>
      </c>
      <c r="BM1421" s="46">
        <f t="shared" si="4"/>
        <v>1</v>
      </c>
      <c r="BN1421" s="46">
        <f t="shared" si="5"/>
        <v>0</v>
      </c>
    </row>
    <row r="1422" spans="1:66" ht="12.75" customHeight="1">
      <c r="A1422" s="399">
        <v>1432</v>
      </c>
      <c r="B1422" s="399" t="s">
        <v>5483</v>
      </c>
      <c r="C1422" s="399" t="e">
        <f t="shared" ca="1" si="0"/>
        <v>#NAME?</v>
      </c>
      <c r="D1422" s="400" t="s">
        <v>5484</v>
      </c>
      <c r="E1422" s="399" t="s">
        <v>180</v>
      </c>
      <c r="F1422" s="400" t="s">
        <v>5475</v>
      </c>
      <c r="G1422" s="400"/>
      <c r="H1422" s="400"/>
      <c r="I1422" s="400"/>
      <c r="J1422" s="400"/>
      <c r="K1422" s="400">
        <v>1</v>
      </c>
      <c r="L1422" s="400" t="s">
        <v>3333</v>
      </c>
      <c r="M1422" s="402" t="s">
        <v>4485</v>
      </c>
      <c r="N1422" s="400"/>
      <c r="O1422" s="428" t="s">
        <v>4119</v>
      </c>
      <c r="P1422" s="428"/>
      <c r="Q1422" s="399" t="s">
        <v>5485</v>
      </c>
      <c r="R1422" s="428" t="s">
        <v>5484</v>
      </c>
      <c r="S1422" s="399"/>
      <c r="T1422" s="399"/>
      <c r="U1422" s="399"/>
      <c r="V1422" s="399"/>
      <c r="W1422" s="399"/>
      <c r="X1422" s="400"/>
      <c r="Y1422" s="399"/>
      <c r="Z1422" s="399"/>
      <c r="AA1422" s="399" t="s">
        <v>113</v>
      </c>
      <c r="AB1422" s="399" t="s">
        <v>3178</v>
      </c>
      <c r="AC1422" s="532" t="s">
        <v>5486</v>
      </c>
      <c r="AD1422" s="400"/>
      <c r="AE1422" s="399"/>
      <c r="AF1422" s="399"/>
      <c r="AG1422" s="399"/>
      <c r="AH1422" s="532"/>
      <c r="AI1422" s="399"/>
      <c r="AJ1422" s="400"/>
      <c r="AK1422" s="399"/>
      <c r="AL1422" s="399"/>
      <c r="AM1422" s="399"/>
      <c r="AN1422" s="399"/>
      <c r="AO1422" s="399"/>
      <c r="AP1422" s="399"/>
      <c r="AQ1422" s="399"/>
      <c r="AR1422" s="399"/>
      <c r="AS1422" s="399"/>
      <c r="AT1422" s="399"/>
      <c r="AU1422" s="399"/>
      <c r="AV1422" s="399"/>
      <c r="AW1422" s="541"/>
      <c r="AX1422" s="541"/>
      <c r="AY1422" s="541"/>
      <c r="AZ1422" s="541"/>
      <c r="BA1422" s="541"/>
      <c r="BB1422" s="399"/>
      <c r="BC1422" s="399" t="e">
        <f t="shared" ca="1" si="2"/>
        <v>#NAME?</v>
      </c>
      <c r="BD1422" s="399"/>
      <c r="BE1422" s="399"/>
      <c r="BF1422" s="399"/>
      <c r="BG1422" s="540"/>
      <c r="BH1422" s="497"/>
      <c r="BI1422" s="497"/>
      <c r="BJ1422" s="547"/>
      <c r="BK1422" s="46">
        <f t="shared" si="1"/>
        <v>1</v>
      </c>
      <c r="BL1422" s="46">
        <f t="shared" si="3"/>
        <v>0</v>
      </c>
      <c r="BM1422" s="46">
        <f t="shared" si="4"/>
        <v>1</v>
      </c>
      <c r="BN1422" s="46">
        <f t="shared" si="5"/>
        <v>0</v>
      </c>
    </row>
    <row r="1423" spans="1:66" ht="12.75" customHeight="1">
      <c r="A1423" s="399">
        <v>1433</v>
      </c>
      <c r="B1423" s="399" t="s">
        <v>5488</v>
      </c>
      <c r="C1423" s="399" t="str">
        <f t="shared" si="0"/>
        <v>Breast Exam</v>
      </c>
      <c r="D1423" s="400" t="s">
        <v>5488</v>
      </c>
      <c r="E1423" s="399" t="s">
        <v>96</v>
      </c>
      <c r="F1423" s="400" t="s">
        <v>1787</v>
      </c>
      <c r="G1423" s="400"/>
      <c r="H1423" s="400"/>
      <c r="I1423" s="400"/>
      <c r="J1423" s="400"/>
      <c r="K1423" s="400">
        <v>1</v>
      </c>
      <c r="L1423" s="400" t="s">
        <v>3333</v>
      </c>
      <c r="M1423" s="402" t="s">
        <v>4485</v>
      </c>
      <c r="N1423" s="400"/>
      <c r="O1423" s="428" t="s">
        <v>4119</v>
      </c>
      <c r="P1423" s="597"/>
      <c r="Q1423" s="493" t="s">
        <v>5489</v>
      </c>
      <c r="R1423" s="588" t="s">
        <v>5488</v>
      </c>
      <c r="S1423" s="493"/>
      <c r="T1423" s="493" t="s">
        <v>5490</v>
      </c>
      <c r="U1423" s="493" t="s">
        <v>4694</v>
      </c>
      <c r="V1423" s="493"/>
      <c r="W1423" s="493"/>
      <c r="X1423" s="493"/>
      <c r="Y1423" s="493"/>
      <c r="Z1423" s="493"/>
      <c r="AA1423" s="493" t="s">
        <v>113</v>
      </c>
      <c r="AB1423" s="493" t="s">
        <v>1889</v>
      </c>
      <c r="AC1423" s="598"/>
      <c r="AD1423" s="582"/>
      <c r="AE1423" s="493"/>
      <c r="AF1423" s="493"/>
      <c r="AG1423" s="493" t="s">
        <v>5494</v>
      </c>
      <c r="AH1423" s="598"/>
      <c r="AI1423" s="493"/>
      <c r="AJ1423" s="582"/>
      <c r="AK1423" s="399"/>
      <c r="AL1423" s="494" t="s">
        <v>3715</v>
      </c>
      <c r="AM1423" s="493"/>
      <c r="AN1423" s="493"/>
      <c r="AO1423" s="493"/>
      <c r="AP1423" s="493"/>
      <c r="AQ1423" s="493"/>
      <c r="AR1423" s="493"/>
      <c r="AS1423" s="494" t="s">
        <v>5496</v>
      </c>
      <c r="AT1423" s="493"/>
      <c r="AU1423" s="493"/>
      <c r="AV1423" s="599" t="s">
        <v>5497</v>
      </c>
      <c r="AW1423" s="600"/>
      <c r="AX1423" s="541"/>
      <c r="AY1423" s="541"/>
      <c r="AZ1423" s="541"/>
      <c r="BA1423" s="541"/>
      <c r="BB1423" s="517"/>
      <c r="BC1423" s="399" t="str">
        <f t="shared" si="2"/>
        <v/>
      </c>
      <c r="BD1423" s="517"/>
      <c r="BE1423" s="601"/>
      <c r="BF1423" s="601" t="s">
        <v>1556</v>
      </c>
      <c r="BG1423" s="602" t="s">
        <v>1557</v>
      </c>
      <c r="BH1423" s="528"/>
      <c r="BI1423" s="603" t="s">
        <v>5502</v>
      </c>
      <c r="BJ1423" s="604"/>
      <c r="BK1423" s="46">
        <f t="shared" si="1"/>
        <v>1</v>
      </c>
      <c r="BL1423" s="46">
        <f t="shared" si="3"/>
        <v>0</v>
      </c>
      <c r="BM1423" s="46">
        <f t="shared" si="4"/>
        <v>1</v>
      </c>
      <c r="BN1423" s="46">
        <f t="shared" si="5"/>
        <v>0</v>
      </c>
    </row>
    <row r="1424" spans="1:66" ht="12.75" customHeight="1">
      <c r="A1424" s="399">
        <v>1434</v>
      </c>
      <c r="B1424" s="399" t="s">
        <v>2118</v>
      </c>
      <c r="C1424" s="399" t="e">
        <f t="shared" ca="1" si="0"/>
        <v>#NAME?</v>
      </c>
      <c r="D1424" s="400" t="s">
        <v>1468</v>
      </c>
      <c r="E1424" s="399" t="s">
        <v>180</v>
      </c>
      <c r="F1424" s="400" t="s">
        <v>5488</v>
      </c>
      <c r="G1424" s="400"/>
      <c r="H1424" s="400"/>
      <c r="I1424" s="400"/>
      <c r="J1424" s="400"/>
      <c r="K1424" s="400">
        <v>1</v>
      </c>
      <c r="L1424" s="400" t="s">
        <v>3333</v>
      </c>
      <c r="M1424" s="402" t="s">
        <v>4485</v>
      </c>
      <c r="N1424" s="400"/>
      <c r="O1424" s="428" t="s">
        <v>4119</v>
      </c>
      <c r="P1424" s="597"/>
      <c r="Q1424" s="605"/>
      <c r="R1424" s="588"/>
      <c r="S1424" s="493"/>
      <c r="T1424" s="493"/>
      <c r="U1424" s="493"/>
      <c r="V1424" s="493"/>
      <c r="W1424" s="493" t="s">
        <v>1468</v>
      </c>
      <c r="X1424" s="582"/>
      <c r="Y1424" s="493"/>
      <c r="Z1424" s="493"/>
      <c r="AA1424" s="493" t="s">
        <v>113</v>
      </c>
      <c r="AB1424" s="493"/>
      <c r="AC1424" s="564"/>
      <c r="AD1424" s="582"/>
      <c r="AE1424" s="493"/>
      <c r="AF1424" s="493"/>
      <c r="AG1424" s="493"/>
      <c r="AH1424" s="564"/>
      <c r="AI1424" s="493"/>
      <c r="AJ1424" s="582"/>
      <c r="AK1424" s="399"/>
      <c r="AL1424" s="494" t="s">
        <v>3218</v>
      </c>
      <c r="AM1424" s="494" t="s">
        <v>5507</v>
      </c>
      <c r="AN1424" s="493"/>
      <c r="AO1424" s="493"/>
      <c r="AP1424" s="493"/>
      <c r="AQ1424" s="493"/>
      <c r="AR1424" s="493"/>
      <c r="AS1424" s="493"/>
      <c r="AT1424" s="493"/>
      <c r="AU1424" s="493"/>
      <c r="AV1424" s="601" t="s">
        <v>5509</v>
      </c>
      <c r="AW1424" s="600"/>
      <c r="AX1424" s="541"/>
      <c r="AY1424" s="541"/>
      <c r="AZ1424" s="541"/>
      <c r="BA1424" s="541"/>
      <c r="BB1424" s="517"/>
      <c r="BC1424" s="399" t="e">
        <f t="shared" ca="1" si="2"/>
        <v>#NAME?</v>
      </c>
      <c r="BD1424" s="517"/>
      <c r="BE1424" s="601"/>
      <c r="BF1424" s="601" t="s">
        <v>1472</v>
      </c>
      <c r="BG1424" s="602" t="s">
        <v>1473</v>
      </c>
      <c r="BH1424" s="528"/>
      <c r="BI1424" s="603" t="s">
        <v>5509</v>
      </c>
      <c r="BJ1424" s="604"/>
      <c r="BK1424" s="46">
        <f t="shared" si="1"/>
        <v>1</v>
      </c>
      <c r="BL1424" s="46">
        <f t="shared" si="3"/>
        <v>1</v>
      </c>
      <c r="BM1424" s="46">
        <f t="shared" si="4"/>
        <v>0</v>
      </c>
      <c r="BN1424" s="46">
        <f t="shared" si="5"/>
        <v>0</v>
      </c>
    </row>
    <row r="1425" spans="1:66" ht="12.75" customHeight="1">
      <c r="A1425" s="399">
        <v>1435</v>
      </c>
      <c r="B1425" s="399" t="s">
        <v>2130</v>
      </c>
      <c r="C1425" s="399" t="e">
        <f t="shared" ca="1" si="0"/>
        <v>#NAME?</v>
      </c>
      <c r="D1425" s="400" t="s">
        <v>1471</v>
      </c>
      <c r="E1425" s="399" t="s">
        <v>180</v>
      </c>
      <c r="F1425" s="400" t="s">
        <v>5488</v>
      </c>
      <c r="G1425" s="400"/>
      <c r="H1425" s="400"/>
      <c r="I1425" s="400"/>
      <c r="J1425" s="400"/>
      <c r="K1425" s="400">
        <v>1</v>
      </c>
      <c r="L1425" s="400" t="s">
        <v>3333</v>
      </c>
      <c r="M1425" s="402" t="s">
        <v>4485</v>
      </c>
      <c r="N1425" s="400"/>
      <c r="O1425" s="428" t="s">
        <v>4119</v>
      </c>
      <c r="P1425" s="597"/>
      <c r="Q1425" s="605"/>
      <c r="R1425" s="588"/>
      <c r="S1425" s="493"/>
      <c r="T1425" s="493"/>
      <c r="U1425" s="493"/>
      <c r="V1425" s="493"/>
      <c r="W1425" s="493" t="s">
        <v>1471</v>
      </c>
      <c r="X1425" s="582"/>
      <c r="Y1425" s="493"/>
      <c r="Z1425" s="493"/>
      <c r="AA1425" s="493" t="s">
        <v>113</v>
      </c>
      <c r="AB1425" s="493"/>
      <c r="AC1425" s="564"/>
      <c r="AD1425" s="582"/>
      <c r="AE1425" s="493"/>
      <c r="AF1425" s="493"/>
      <c r="AG1425" s="493"/>
      <c r="AH1425" s="564"/>
      <c r="AI1425" s="493"/>
      <c r="AJ1425" s="582"/>
      <c r="AK1425" s="399"/>
      <c r="AL1425" s="493"/>
      <c r="AM1425" s="493"/>
      <c r="AN1425" s="493"/>
      <c r="AO1425" s="493"/>
      <c r="AP1425" s="493"/>
      <c r="AQ1425" s="493"/>
      <c r="AR1425" s="493"/>
      <c r="AS1425" s="493"/>
      <c r="AT1425" s="493"/>
      <c r="AU1425" s="493"/>
      <c r="AV1425" s="601" t="s">
        <v>5512</v>
      </c>
      <c r="AW1425" s="600"/>
      <c r="AX1425" s="541"/>
      <c r="AY1425" s="541"/>
      <c r="AZ1425" s="541"/>
      <c r="BA1425" s="541"/>
      <c r="BB1425" s="517"/>
      <c r="BC1425" s="399" t="e">
        <f t="shared" ca="1" si="2"/>
        <v>#NAME?</v>
      </c>
      <c r="BD1425" s="517"/>
      <c r="BE1425" s="601"/>
      <c r="BF1425" s="601" t="s">
        <v>1469</v>
      </c>
      <c r="BG1425" s="602" t="s">
        <v>1470</v>
      </c>
      <c r="BH1425" s="528"/>
      <c r="BI1425" s="603" t="s">
        <v>5512</v>
      </c>
      <c r="BJ1425" s="604"/>
      <c r="BK1425" s="46">
        <f t="shared" si="1"/>
        <v>1</v>
      </c>
      <c r="BL1425" s="46">
        <f t="shared" si="3"/>
        <v>1</v>
      </c>
      <c r="BM1425" s="46">
        <f t="shared" si="4"/>
        <v>0</v>
      </c>
      <c r="BN1425" s="46">
        <f t="shared" si="5"/>
        <v>0</v>
      </c>
    </row>
    <row r="1426" spans="1:66" ht="12.75" customHeight="1">
      <c r="A1426" s="399">
        <v>1436</v>
      </c>
      <c r="B1426" s="399" t="s">
        <v>2143</v>
      </c>
      <c r="C1426" s="399" t="e">
        <f t="shared" ca="1" si="0"/>
        <v>#NAME?</v>
      </c>
      <c r="D1426" s="400" t="s">
        <v>1474</v>
      </c>
      <c r="E1426" s="399" t="s">
        <v>180</v>
      </c>
      <c r="F1426" s="400" t="s">
        <v>5488</v>
      </c>
      <c r="G1426" s="400"/>
      <c r="H1426" s="400"/>
      <c r="I1426" s="400"/>
      <c r="J1426" s="400"/>
      <c r="K1426" s="400">
        <v>1</v>
      </c>
      <c r="L1426" s="400" t="s">
        <v>3333</v>
      </c>
      <c r="M1426" s="402" t="s">
        <v>4485</v>
      </c>
      <c r="N1426" s="400"/>
      <c r="O1426" s="428" t="s">
        <v>4119</v>
      </c>
      <c r="P1426" s="597"/>
      <c r="Q1426" s="605"/>
      <c r="R1426" s="588"/>
      <c r="S1426" s="493"/>
      <c r="T1426" s="493"/>
      <c r="U1426" s="493"/>
      <c r="V1426" s="493"/>
      <c r="W1426" s="493" t="s">
        <v>1474</v>
      </c>
      <c r="X1426" s="582"/>
      <c r="Y1426" s="493"/>
      <c r="Z1426" s="493"/>
      <c r="AA1426" s="493" t="s">
        <v>113</v>
      </c>
      <c r="AB1426" s="493"/>
      <c r="AC1426" s="564"/>
      <c r="AD1426" s="582"/>
      <c r="AE1426" s="493"/>
      <c r="AF1426" s="493"/>
      <c r="AG1426" s="493"/>
      <c r="AH1426" s="564"/>
      <c r="AI1426" s="493"/>
      <c r="AJ1426" s="582"/>
      <c r="AK1426" s="399"/>
      <c r="AL1426" s="493"/>
      <c r="AM1426" s="493"/>
      <c r="AN1426" s="493"/>
      <c r="AO1426" s="493"/>
      <c r="AP1426" s="493"/>
      <c r="AQ1426" s="493"/>
      <c r="AR1426" s="493"/>
      <c r="AS1426" s="493"/>
      <c r="AT1426" s="493"/>
      <c r="AU1426" s="493"/>
      <c r="AV1426" s="601" t="s">
        <v>5520</v>
      </c>
      <c r="AW1426" s="600"/>
      <c r="AX1426" s="541"/>
      <c r="AY1426" s="541"/>
      <c r="AZ1426" s="541"/>
      <c r="BA1426" s="541"/>
      <c r="BB1426" s="517"/>
      <c r="BC1426" s="399" t="e">
        <f t="shared" ca="1" si="2"/>
        <v>#NAME?</v>
      </c>
      <c r="BD1426" s="517"/>
      <c r="BE1426" s="601"/>
      <c r="BF1426" s="601" t="s">
        <v>1475</v>
      </c>
      <c r="BG1426" s="602" t="s">
        <v>1476</v>
      </c>
      <c r="BH1426" s="528"/>
      <c r="BI1426" s="603" t="s">
        <v>5520</v>
      </c>
      <c r="BJ1426" s="604"/>
      <c r="BK1426" s="46">
        <f t="shared" si="1"/>
        <v>1</v>
      </c>
      <c r="BL1426" s="46">
        <f t="shared" si="3"/>
        <v>1</v>
      </c>
      <c r="BM1426" s="46">
        <f t="shared" si="4"/>
        <v>0</v>
      </c>
      <c r="BN1426" s="46">
        <f t="shared" si="5"/>
        <v>0</v>
      </c>
    </row>
    <row r="1427" spans="1:66" ht="12.75" customHeight="1">
      <c r="A1427" s="399">
        <v>1437</v>
      </c>
      <c r="B1427" s="399" t="s">
        <v>5522</v>
      </c>
      <c r="C1427" s="399" t="str">
        <f t="shared" si="0"/>
        <v>Pelvic/genital examination needed</v>
      </c>
      <c r="D1427" s="400" t="s">
        <v>5522</v>
      </c>
      <c r="E1427" s="399" t="s">
        <v>96</v>
      </c>
      <c r="F1427" s="400" t="s">
        <v>1787</v>
      </c>
      <c r="G1427" s="400"/>
      <c r="H1427" s="400"/>
      <c r="I1427" s="400"/>
      <c r="J1427" s="400"/>
      <c r="K1427" s="400">
        <v>1</v>
      </c>
      <c r="L1427" s="400" t="s">
        <v>3333</v>
      </c>
      <c r="M1427" s="402" t="s">
        <v>4485</v>
      </c>
      <c r="N1427" s="400"/>
      <c r="O1427" s="428" t="s">
        <v>4119</v>
      </c>
      <c r="P1427" s="581"/>
      <c r="Q1427" s="399" t="s">
        <v>5523</v>
      </c>
      <c r="R1427" s="428" t="s">
        <v>5522</v>
      </c>
      <c r="S1427" s="399"/>
      <c r="T1427" s="399" t="s">
        <v>5525</v>
      </c>
      <c r="U1427" s="399" t="s">
        <v>3169</v>
      </c>
      <c r="V1427" s="399"/>
      <c r="W1427" s="399" t="s">
        <v>3170</v>
      </c>
      <c r="X1427" s="399"/>
      <c r="Y1427" s="399" t="s">
        <v>208</v>
      </c>
      <c r="Z1427" s="399"/>
      <c r="AA1427" s="399" t="s">
        <v>208</v>
      </c>
      <c r="AB1427" s="399" t="s">
        <v>3178</v>
      </c>
      <c r="AC1427" s="532" t="s">
        <v>5526</v>
      </c>
      <c r="AD1427" s="400"/>
      <c r="AE1427" s="399"/>
      <c r="AF1427" s="399"/>
      <c r="AG1427" s="399"/>
      <c r="AH1427" s="532"/>
      <c r="AI1427" s="399"/>
      <c r="AJ1427" s="400"/>
      <c r="AK1427" s="399"/>
      <c r="AL1427" s="399"/>
      <c r="AM1427" s="399"/>
      <c r="AN1427" s="399"/>
      <c r="AO1427" s="399"/>
      <c r="AP1427" s="399"/>
      <c r="AQ1427" s="399"/>
      <c r="AR1427" s="399"/>
      <c r="AS1427" s="399"/>
      <c r="AT1427" s="399"/>
      <c r="AU1427" s="399"/>
      <c r="AV1427" s="399"/>
      <c r="AW1427" s="541"/>
      <c r="AX1427" s="541"/>
      <c r="AY1427" s="541"/>
      <c r="AZ1427" s="541"/>
      <c r="BA1427" s="541"/>
      <c r="BB1427" s="517"/>
      <c r="BC1427" s="399" t="str">
        <f t="shared" si="2"/>
        <v/>
      </c>
      <c r="BD1427" s="517"/>
      <c r="BE1427" s="399"/>
      <c r="BF1427" s="517"/>
      <c r="BG1427" s="542"/>
      <c r="BH1427" s="407"/>
      <c r="BI1427" s="407"/>
      <c r="BJ1427" s="543"/>
      <c r="BK1427" s="46">
        <f t="shared" si="1"/>
        <v>1</v>
      </c>
      <c r="BL1427" s="46">
        <f t="shared" si="3"/>
        <v>0</v>
      </c>
      <c r="BM1427" s="46">
        <f t="shared" si="4"/>
        <v>1</v>
      </c>
      <c r="BN1427" s="46">
        <f t="shared" si="5"/>
        <v>0</v>
      </c>
    </row>
    <row r="1428" spans="1:66" ht="12.75" customHeight="1">
      <c r="A1428" s="399">
        <v>1438</v>
      </c>
      <c r="B1428" s="399" t="s">
        <v>5528</v>
      </c>
      <c r="C1428" s="399" t="str">
        <f t="shared" si="0"/>
        <v xml:space="preserve">Pelvic examination </v>
      </c>
      <c r="D1428" s="400" t="s">
        <v>5528</v>
      </c>
      <c r="E1428" s="399" t="s">
        <v>96</v>
      </c>
      <c r="F1428" s="400" t="s">
        <v>1787</v>
      </c>
      <c r="G1428" s="400"/>
      <c r="H1428" s="400"/>
      <c r="I1428" s="400"/>
      <c r="J1428" s="400"/>
      <c r="K1428" s="400">
        <v>1</v>
      </c>
      <c r="L1428" s="400" t="s">
        <v>3333</v>
      </c>
      <c r="M1428" s="402" t="s">
        <v>4485</v>
      </c>
      <c r="N1428" s="400"/>
      <c r="O1428" s="428" t="s">
        <v>4119</v>
      </c>
      <c r="P1428" s="581"/>
      <c r="Q1428" s="399" t="s">
        <v>5529</v>
      </c>
      <c r="R1428" s="428" t="s">
        <v>5528</v>
      </c>
      <c r="S1428" s="399"/>
      <c r="T1428" s="399" t="s">
        <v>5530</v>
      </c>
      <c r="U1428" s="399" t="s">
        <v>4694</v>
      </c>
      <c r="V1428" s="399"/>
      <c r="W1428" s="399"/>
      <c r="X1428" s="399"/>
      <c r="Y1428" s="399" t="s">
        <v>208</v>
      </c>
      <c r="Z1428" s="399"/>
      <c r="AA1428" s="399" t="s">
        <v>113</v>
      </c>
      <c r="AB1428" s="399" t="s">
        <v>3178</v>
      </c>
      <c r="AC1428" s="532" t="s">
        <v>5532</v>
      </c>
      <c r="AD1428" s="400"/>
      <c r="AE1428" s="399"/>
      <c r="AF1428" s="399"/>
      <c r="AG1428" s="399"/>
      <c r="AH1428" s="532"/>
      <c r="AI1428" s="399"/>
      <c r="AJ1428" s="400"/>
      <c r="AK1428" s="399"/>
      <c r="AL1428" s="409" t="s">
        <v>3715</v>
      </c>
      <c r="AM1428" s="399"/>
      <c r="AN1428" s="399"/>
      <c r="AO1428" s="399"/>
      <c r="AP1428" s="399"/>
      <c r="AQ1428" s="409" t="s">
        <v>3218</v>
      </c>
      <c r="AR1428" s="399"/>
      <c r="AS1428" s="399"/>
      <c r="AT1428" s="399"/>
      <c r="AU1428" s="399"/>
      <c r="AV1428" s="399"/>
      <c r="AW1428" s="550" t="s">
        <v>5536</v>
      </c>
      <c r="AX1428" s="541"/>
      <c r="AY1428" s="541"/>
      <c r="AZ1428" s="541"/>
      <c r="BA1428" s="541"/>
      <c r="BB1428" s="517"/>
      <c r="BC1428" s="399" t="str">
        <f t="shared" si="2"/>
        <v/>
      </c>
      <c r="BD1428" s="517"/>
      <c r="BE1428" s="399"/>
      <c r="BF1428" s="517" t="s">
        <v>1618</v>
      </c>
      <c r="BG1428" s="542" t="s">
        <v>1619</v>
      </c>
      <c r="BH1428" s="407"/>
      <c r="BI1428" s="407"/>
      <c r="BJ1428" s="543"/>
      <c r="BK1428" s="46">
        <f t="shared" si="1"/>
        <v>1</v>
      </c>
      <c r="BL1428" s="46">
        <f t="shared" si="3"/>
        <v>0</v>
      </c>
      <c r="BM1428" s="46">
        <f t="shared" si="4"/>
        <v>1</v>
      </c>
      <c r="BN1428" s="46">
        <f t="shared" si="5"/>
        <v>0</v>
      </c>
    </row>
    <row r="1429" spans="1:66" ht="12.75" customHeight="1">
      <c r="A1429" s="399">
        <v>1439</v>
      </c>
      <c r="B1429" s="399" t="s">
        <v>2118</v>
      </c>
      <c r="C1429" s="399" t="e">
        <f t="shared" ca="1" si="0"/>
        <v>#NAME?</v>
      </c>
      <c r="D1429" s="400" t="s">
        <v>1468</v>
      </c>
      <c r="E1429" s="399" t="s">
        <v>180</v>
      </c>
      <c r="F1429" s="400" t="s">
        <v>5528</v>
      </c>
      <c r="G1429" s="400"/>
      <c r="H1429" s="400"/>
      <c r="I1429" s="400"/>
      <c r="J1429" s="400"/>
      <c r="K1429" s="400">
        <v>1</v>
      </c>
      <c r="L1429" s="400" t="s">
        <v>3333</v>
      </c>
      <c r="M1429" s="402" t="s">
        <v>4485</v>
      </c>
      <c r="N1429" s="400"/>
      <c r="O1429" s="428" t="s">
        <v>4119</v>
      </c>
      <c r="P1429" s="581"/>
      <c r="Q1429" s="399" t="s">
        <v>5540</v>
      </c>
      <c r="R1429" s="428"/>
      <c r="S1429" s="399"/>
      <c r="T1429" s="399"/>
      <c r="U1429" s="399"/>
      <c r="V1429" s="399"/>
      <c r="W1429" s="399" t="s">
        <v>1468</v>
      </c>
      <c r="X1429" s="400"/>
      <c r="Y1429" s="399" t="s">
        <v>208</v>
      </c>
      <c r="Z1429" s="399"/>
      <c r="AA1429" s="399" t="s">
        <v>113</v>
      </c>
      <c r="AB1429" s="399" t="s">
        <v>3178</v>
      </c>
      <c r="AC1429" s="532"/>
      <c r="AD1429" s="400"/>
      <c r="AE1429" s="399"/>
      <c r="AF1429" s="399"/>
      <c r="AG1429" s="399"/>
      <c r="AH1429" s="532"/>
      <c r="AI1429" s="399"/>
      <c r="AJ1429" s="400"/>
      <c r="AK1429" s="399"/>
      <c r="AL1429" s="399"/>
      <c r="AM1429" s="494" t="s">
        <v>5507</v>
      </c>
      <c r="AN1429" s="399"/>
      <c r="AO1429" s="399"/>
      <c r="AP1429" s="399"/>
      <c r="AQ1429" s="399"/>
      <c r="AR1429" s="399"/>
      <c r="AS1429" s="399"/>
      <c r="AT1429" s="399"/>
      <c r="AU1429" s="399"/>
      <c r="AV1429" s="517" t="s">
        <v>5509</v>
      </c>
      <c r="AW1429" s="541"/>
      <c r="AX1429" s="541"/>
      <c r="AY1429" s="541"/>
      <c r="AZ1429" s="541"/>
      <c r="BA1429" s="541"/>
      <c r="BB1429" s="517"/>
      <c r="BC1429" s="399" t="e">
        <f t="shared" ca="1" si="2"/>
        <v>#NAME?</v>
      </c>
      <c r="BD1429" s="517"/>
      <c r="BE1429" s="517"/>
      <c r="BF1429" s="517" t="s">
        <v>1472</v>
      </c>
      <c r="BG1429" s="542" t="s">
        <v>1473</v>
      </c>
      <c r="BH1429" s="407"/>
      <c r="BI1429" s="414" t="s">
        <v>5509</v>
      </c>
      <c r="BJ1429" s="543"/>
      <c r="BK1429" s="46">
        <f t="shared" si="1"/>
        <v>1</v>
      </c>
      <c r="BL1429" s="46">
        <f t="shared" si="3"/>
        <v>1</v>
      </c>
      <c r="BM1429" s="46">
        <f t="shared" si="4"/>
        <v>0</v>
      </c>
      <c r="BN1429" s="46">
        <f t="shared" si="5"/>
        <v>0</v>
      </c>
    </row>
    <row r="1430" spans="1:66" ht="12.75" customHeight="1">
      <c r="A1430" s="399">
        <v>1440</v>
      </c>
      <c r="B1430" s="399" t="s">
        <v>2130</v>
      </c>
      <c r="C1430" s="399" t="e">
        <f t="shared" ca="1" si="0"/>
        <v>#NAME?</v>
      </c>
      <c r="D1430" s="400" t="s">
        <v>1471</v>
      </c>
      <c r="E1430" s="399" t="s">
        <v>180</v>
      </c>
      <c r="F1430" s="400" t="s">
        <v>5528</v>
      </c>
      <c r="G1430" s="400"/>
      <c r="H1430" s="400"/>
      <c r="I1430" s="400"/>
      <c r="J1430" s="400"/>
      <c r="K1430" s="400">
        <v>1</v>
      </c>
      <c r="L1430" s="400" t="s">
        <v>3333</v>
      </c>
      <c r="M1430" s="402" t="s">
        <v>4485</v>
      </c>
      <c r="N1430" s="400"/>
      <c r="O1430" s="428" t="s">
        <v>4119</v>
      </c>
      <c r="P1430" s="581"/>
      <c r="Q1430" s="399" t="s">
        <v>5546</v>
      </c>
      <c r="R1430" s="428"/>
      <c r="S1430" s="399"/>
      <c r="T1430" s="399"/>
      <c r="U1430" s="399"/>
      <c r="V1430" s="399"/>
      <c r="W1430" s="399" t="s">
        <v>1471</v>
      </c>
      <c r="X1430" s="400"/>
      <c r="Y1430" s="399" t="s">
        <v>208</v>
      </c>
      <c r="Z1430" s="399"/>
      <c r="AA1430" s="399" t="s">
        <v>113</v>
      </c>
      <c r="AB1430" s="399" t="s">
        <v>3178</v>
      </c>
      <c r="AC1430" s="532"/>
      <c r="AD1430" s="400"/>
      <c r="AE1430" s="399"/>
      <c r="AF1430" s="399"/>
      <c r="AG1430" s="399"/>
      <c r="AH1430" s="532"/>
      <c r="AI1430" s="399"/>
      <c r="AJ1430" s="400"/>
      <c r="AK1430" s="399"/>
      <c r="AL1430" s="399"/>
      <c r="AM1430" s="399"/>
      <c r="AN1430" s="399"/>
      <c r="AO1430" s="399"/>
      <c r="AP1430" s="399"/>
      <c r="AQ1430" s="399"/>
      <c r="AR1430" s="399"/>
      <c r="AS1430" s="399"/>
      <c r="AT1430" s="399"/>
      <c r="AU1430" s="399"/>
      <c r="AV1430" s="517" t="s">
        <v>5512</v>
      </c>
      <c r="AW1430" s="541"/>
      <c r="AX1430" s="541"/>
      <c r="AY1430" s="541"/>
      <c r="AZ1430" s="541"/>
      <c r="BA1430" s="541"/>
      <c r="BB1430" s="517"/>
      <c r="BC1430" s="399" t="e">
        <f t="shared" ca="1" si="2"/>
        <v>#NAME?</v>
      </c>
      <c r="BD1430" s="517"/>
      <c r="BE1430" s="517"/>
      <c r="BF1430" s="517" t="s">
        <v>1469</v>
      </c>
      <c r="BG1430" s="542" t="s">
        <v>1470</v>
      </c>
      <c r="BH1430" s="407"/>
      <c r="BI1430" s="414" t="s">
        <v>5512</v>
      </c>
      <c r="BJ1430" s="543"/>
      <c r="BK1430" s="46">
        <f t="shared" si="1"/>
        <v>1</v>
      </c>
      <c r="BL1430" s="46">
        <f t="shared" si="3"/>
        <v>1</v>
      </c>
      <c r="BM1430" s="46">
        <f t="shared" si="4"/>
        <v>0</v>
      </c>
      <c r="BN1430" s="46">
        <f t="shared" si="5"/>
        <v>0</v>
      </c>
    </row>
    <row r="1431" spans="1:66" ht="12.75" customHeight="1">
      <c r="A1431" s="399">
        <v>1441</v>
      </c>
      <c r="B1431" s="399" t="s">
        <v>2143</v>
      </c>
      <c r="C1431" s="399" t="e">
        <f t="shared" ca="1" si="0"/>
        <v>#NAME?</v>
      </c>
      <c r="D1431" s="400" t="s">
        <v>1474</v>
      </c>
      <c r="E1431" s="399" t="s">
        <v>180</v>
      </c>
      <c r="F1431" s="400" t="s">
        <v>5528</v>
      </c>
      <c r="G1431" s="400"/>
      <c r="H1431" s="400"/>
      <c r="I1431" s="400"/>
      <c r="J1431" s="400"/>
      <c r="K1431" s="400">
        <v>1</v>
      </c>
      <c r="L1431" s="400" t="s">
        <v>3333</v>
      </c>
      <c r="M1431" s="402" t="s">
        <v>4485</v>
      </c>
      <c r="N1431" s="400"/>
      <c r="O1431" s="428" t="s">
        <v>4119</v>
      </c>
      <c r="P1431" s="581"/>
      <c r="Q1431" s="399" t="s">
        <v>5550</v>
      </c>
      <c r="R1431" s="428"/>
      <c r="S1431" s="399"/>
      <c r="T1431" s="399"/>
      <c r="U1431" s="399"/>
      <c r="V1431" s="399"/>
      <c r="W1431" s="399" t="s">
        <v>1474</v>
      </c>
      <c r="X1431" s="400"/>
      <c r="Y1431" s="399" t="s">
        <v>208</v>
      </c>
      <c r="Z1431" s="399"/>
      <c r="AA1431" s="399" t="s">
        <v>113</v>
      </c>
      <c r="AB1431" s="399" t="s">
        <v>3178</v>
      </c>
      <c r="AC1431" s="532"/>
      <c r="AD1431" s="400"/>
      <c r="AE1431" s="399"/>
      <c r="AF1431" s="399"/>
      <c r="AG1431" s="399"/>
      <c r="AH1431" s="532"/>
      <c r="AI1431" s="399"/>
      <c r="AJ1431" s="400"/>
      <c r="AK1431" s="399"/>
      <c r="AL1431" s="399"/>
      <c r="AM1431" s="399"/>
      <c r="AN1431" s="399"/>
      <c r="AO1431" s="399"/>
      <c r="AP1431" s="399"/>
      <c r="AQ1431" s="399"/>
      <c r="AR1431" s="399"/>
      <c r="AS1431" s="399"/>
      <c r="AT1431" s="399"/>
      <c r="AU1431" s="399"/>
      <c r="AV1431" s="517" t="s">
        <v>5520</v>
      </c>
      <c r="AW1431" s="541"/>
      <c r="AX1431" s="541"/>
      <c r="AY1431" s="541"/>
      <c r="AZ1431" s="541"/>
      <c r="BA1431" s="541"/>
      <c r="BB1431" s="517"/>
      <c r="BC1431" s="399" t="e">
        <f t="shared" ca="1" si="2"/>
        <v>#NAME?</v>
      </c>
      <c r="BD1431" s="517"/>
      <c r="BE1431" s="517"/>
      <c r="BF1431" s="517" t="s">
        <v>1475</v>
      </c>
      <c r="BG1431" s="542" t="s">
        <v>1476</v>
      </c>
      <c r="BH1431" s="407"/>
      <c r="BI1431" s="414" t="s">
        <v>5520</v>
      </c>
      <c r="BJ1431" s="543"/>
      <c r="BK1431" s="46">
        <f t="shared" si="1"/>
        <v>1</v>
      </c>
      <c r="BL1431" s="46">
        <f t="shared" si="3"/>
        <v>1</v>
      </c>
      <c r="BM1431" s="46">
        <f t="shared" si="4"/>
        <v>0</v>
      </c>
      <c r="BN1431" s="46">
        <f t="shared" si="5"/>
        <v>0</v>
      </c>
    </row>
    <row r="1432" spans="1:66" ht="12.75" customHeight="1">
      <c r="A1432" s="399">
        <v>1442</v>
      </c>
      <c r="B1432" s="399" t="s">
        <v>1478</v>
      </c>
      <c r="C1432" s="399" t="str">
        <f t="shared" si="0"/>
        <v>Abnormal (specify)</v>
      </c>
      <c r="D1432" s="400" t="s">
        <v>1478</v>
      </c>
      <c r="E1432" s="399" t="s">
        <v>96</v>
      </c>
      <c r="F1432" s="400" t="s">
        <v>1787</v>
      </c>
      <c r="G1432" s="400"/>
      <c r="H1432" s="400"/>
      <c r="I1432" s="400"/>
      <c r="J1432" s="400"/>
      <c r="K1432" s="400">
        <v>1</v>
      </c>
      <c r="L1432" s="400" t="s">
        <v>3333</v>
      </c>
      <c r="M1432" s="402" t="s">
        <v>4485</v>
      </c>
      <c r="N1432" s="400"/>
      <c r="O1432" s="428" t="s">
        <v>4119</v>
      </c>
      <c r="P1432" s="428"/>
      <c r="Q1432" s="399"/>
      <c r="R1432" s="428" t="s">
        <v>1478</v>
      </c>
      <c r="S1432" s="399"/>
      <c r="T1432" s="399"/>
      <c r="U1432" s="399" t="s">
        <v>111</v>
      </c>
      <c r="V1432" s="399"/>
      <c r="W1432" s="399"/>
      <c r="X1432" s="399"/>
      <c r="Y1432" s="399" t="s">
        <v>208</v>
      </c>
      <c r="Z1432" s="399"/>
      <c r="AA1432" s="399" t="s">
        <v>113</v>
      </c>
      <c r="AB1432" s="399" t="s">
        <v>3178</v>
      </c>
      <c r="AC1432" s="532"/>
      <c r="AD1432" s="400"/>
      <c r="AE1432" s="399"/>
      <c r="AF1432" s="399"/>
      <c r="AG1432" s="399"/>
      <c r="AH1432" s="532"/>
      <c r="AI1432" s="399"/>
      <c r="AJ1432" s="400"/>
      <c r="AK1432" s="399"/>
      <c r="AL1432" s="399"/>
      <c r="AM1432" s="399"/>
      <c r="AN1432" s="399"/>
      <c r="AO1432" s="399"/>
      <c r="AP1432" s="399"/>
      <c r="AQ1432" s="399"/>
      <c r="AR1432" s="399"/>
      <c r="AS1432" s="399"/>
      <c r="AT1432" s="399"/>
      <c r="AU1432" s="399"/>
      <c r="AV1432" s="399"/>
      <c r="AW1432" s="541"/>
      <c r="AX1432" s="541"/>
      <c r="AY1432" s="541"/>
      <c r="AZ1432" s="541"/>
      <c r="BA1432" s="541"/>
      <c r="BB1432" s="399"/>
      <c r="BC1432" s="399" t="str">
        <f t="shared" si="2"/>
        <v/>
      </c>
      <c r="BD1432" s="399"/>
      <c r="BE1432" s="399"/>
      <c r="BF1432" s="399"/>
      <c r="BG1432" s="540"/>
      <c r="BH1432" s="407"/>
      <c r="BI1432" s="407"/>
      <c r="BJ1432" s="543"/>
      <c r="BK1432" s="46">
        <f t="shared" si="1"/>
        <v>1</v>
      </c>
      <c r="BL1432" s="46">
        <f t="shared" si="3"/>
        <v>0</v>
      </c>
      <c r="BM1432" s="46">
        <f t="shared" si="4"/>
        <v>1</v>
      </c>
      <c r="BN1432" s="46">
        <f t="shared" si="5"/>
        <v>0</v>
      </c>
    </row>
    <row r="1433" spans="1:66" ht="12.75" customHeight="1">
      <c r="A1433" s="399">
        <v>1443</v>
      </c>
      <c r="B1433" s="399" t="s">
        <v>4383</v>
      </c>
      <c r="C1433" s="399" t="str">
        <f t="shared" si="0"/>
        <v>Keeping method</v>
      </c>
      <c r="D1433" s="400" t="s">
        <v>4383</v>
      </c>
      <c r="E1433" s="399" t="s">
        <v>96</v>
      </c>
      <c r="F1433" s="400" t="s">
        <v>1787</v>
      </c>
      <c r="G1433" s="400"/>
      <c r="H1433" s="400"/>
      <c r="I1433" s="400"/>
      <c r="J1433" s="400"/>
      <c r="K1433" s="400">
        <v>1</v>
      </c>
      <c r="L1433" s="400" t="s">
        <v>3333</v>
      </c>
      <c r="M1433" s="402" t="s">
        <v>3517</v>
      </c>
      <c r="N1433" s="400"/>
      <c r="O1433" s="428" t="s">
        <v>4384</v>
      </c>
      <c r="P1433" s="428"/>
      <c r="Q1433" s="399" t="s">
        <v>4385</v>
      </c>
      <c r="R1433" s="428" t="s">
        <v>4383</v>
      </c>
      <c r="S1433" s="399"/>
      <c r="T1433" s="399" t="s">
        <v>4386</v>
      </c>
      <c r="U1433" s="399" t="s">
        <v>3169</v>
      </c>
      <c r="V1433" s="399"/>
      <c r="W1433" s="399" t="s">
        <v>3170</v>
      </c>
      <c r="X1433" s="399"/>
      <c r="Y1433" s="399" t="s">
        <v>208</v>
      </c>
      <c r="Z1433" s="399"/>
      <c r="AA1433" s="399" t="s">
        <v>113</v>
      </c>
      <c r="AB1433" s="399" t="s">
        <v>3178</v>
      </c>
      <c r="AC1433" s="532" t="s">
        <v>4387</v>
      </c>
      <c r="AD1433" s="400"/>
      <c r="AE1433" s="399"/>
      <c r="AF1433" s="399"/>
      <c r="AG1433" s="399"/>
      <c r="AH1433" s="532"/>
      <c r="AI1433" s="399"/>
      <c r="AJ1433" s="400"/>
      <c r="AK1433" s="399"/>
      <c r="AL1433" s="399"/>
      <c r="AM1433" s="399"/>
      <c r="AN1433" s="399"/>
      <c r="AO1433" s="399"/>
      <c r="AP1433" s="399"/>
      <c r="AQ1433" s="399"/>
      <c r="AR1433" s="399"/>
      <c r="AS1433" s="399"/>
      <c r="AT1433" s="399"/>
      <c r="AU1433" s="399"/>
      <c r="AV1433" s="399"/>
      <c r="AW1433" s="541"/>
      <c r="AX1433" s="541"/>
      <c r="AY1433" s="541"/>
      <c r="AZ1433" s="541"/>
      <c r="BA1433" s="541"/>
      <c r="BB1433" s="399"/>
      <c r="BC1433" s="399" t="str">
        <f t="shared" si="2"/>
        <v/>
      </c>
      <c r="BD1433" s="399"/>
      <c r="BE1433" s="399"/>
      <c r="BF1433" s="399"/>
      <c r="BG1433" s="540"/>
      <c r="BH1433" s="407"/>
      <c r="BI1433" s="407"/>
      <c r="BJ1433" s="543"/>
      <c r="BK1433" s="46">
        <f t="shared" si="1"/>
        <v>1</v>
      </c>
      <c r="BL1433" s="46">
        <f t="shared" si="3"/>
        <v>0</v>
      </c>
      <c r="BM1433" s="46">
        <f t="shared" si="4"/>
        <v>1</v>
      </c>
      <c r="BN1433" s="46">
        <f t="shared" si="5"/>
        <v>0</v>
      </c>
    </row>
    <row r="1434" spans="1:66" ht="12.75" customHeight="1">
      <c r="A1434" s="399">
        <v>1444</v>
      </c>
      <c r="B1434" s="409" t="s">
        <v>4388</v>
      </c>
      <c r="C1434" s="399" t="str">
        <f t="shared" si="0"/>
        <v>Method in mind</v>
      </c>
      <c r="D1434" s="400" t="s">
        <v>4391</v>
      </c>
      <c r="E1434" s="399" t="s">
        <v>96</v>
      </c>
      <c r="F1434" s="400" t="s">
        <v>1787</v>
      </c>
      <c r="G1434" s="400"/>
      <c r="H1434" s="400"/>
      <c r="I1434" s="400"/>
      <c r="J1434" s="400"/>
      <c r="K1434" s="400">
        <v>1</v>
      </c>
      <c r="L1434" s="400" t="s">
        <v>3333</v>
      </c>
      <c r="M1434" s="402" t="s">
        <v>3517</v>
      </c>
      <c r="N1434" s="400"/>
      <c r="O1434" s="428" t="s">
        <v>4389</v>
      </c>
      <c r="P1434" s="428"/>
      <c r="Q1434" s="399" t="s">
        <v>4390</v>
      </c>
      <c r="R1434" s="428" t="s">
        <v>4391</v>
      </c>
      <c r="S1434" s="399"/>
      <c r="T1434" s="399" t="s">
        <v>4392</v>
      </c>
      <c r="U1434" s="399" t="s">
        <v>3169</v>
      </c>
      <c r="V1434" s="399"/>
      <c r="W1434" s="399" t="s">
        <v>3170</v>
      </c>
      <c r="X1434" s="400"/>
      <c r="Y1434" s="399" t="s">
        <v>208</v>
      </c>
      <c r="Z1434" s="399"/>
      <c r="AA1434" s="399" t="s">
        <v>113</v>
      </c>
      <c r="AB1434" s="399" t="s">
        <v>3178</v>
      </c>
      <c r="AC1434" s="532" t="s">
        <v>4393</v>
      </c>
      <c r="AD1434" s="400"/>
      <c r="AE1434" s="399"/>
      <c r="AF1434" s="399"/>
      <c r="AG1434" s="399"/>
      <c r="AH1434" s="532"/>
      <c r="AI1434" s="399"/>
      <c r="AJ1434" s="400"/>
      <c r="AK1434" s="399"/>
      <c r="AL1434" s="399"/>
      <c r="AM1434" s="399"/>
      <c r="AN1434" s="399"/>
      <c r="AO1434" s="399"/>
      <c r="AP1434" s="399"/>
      <c r="AQ1434" s="399"/>
      <c r="AR1434" s="399"/>
      <c r="AS1434" s="409" t="s">
        <v>4394</v>
      </c>
      <c r="AT1434" s="399"/>
      <c r="AU1434" s="399"/>
      <c r="AV1434" s="399"/>
      <c r="AW1434" s="541"/>
      <c r="AX1434" s="541"/>
      <c r="AY1434" s="541"/>
      <c r="AZ1434" s="541"/>
      <c r="BA1434" s="541"/>
      <c r="BB1434" s="399"/>
      <c r="BC1434" s="399" t="str">
        <f t="shared" si="2"/>
        <v>"Method in mind"-&gt;"Contraception Method in mind"</v>
      </c>
      <c r="BD1434" s="399"/>
      <c r="BE1434" s="399"/>
      <c r="BF1434" s="399"/>
      <c r="BG1434" s="540"/>
      <c r="BH1434" s="407"/>
      <c r="BI1434" s="407"/>
      <c r="BJ1434" s="543"/>
      <c r="BK1434" s="46">
        <f t="shared" si="1"/>
        <v>1</v>
      </c>
      <c r="BL1434" s="46">
        <f t="shared" si="3"/>
        <v>0</v>
      </c>
      <c r="BM1434" s="46">
        <f t="shared" si="4"/>
        <v>1</v>
      </c>
      <c r="BN1434" s="46">
        <f t="shared" si="5"/>
        <v>0</v>
      </c>
    </row>
    <row r="1435" spans="1:66" ht="12.75" customHeight="1">
      <c r="A1435" s="399">
        <v>1445</v>
      </c>
      <c r="B1435" s="409" t="s">
        <v>4405</v>
      </c>
      <c r="C1435" s="399" t="str">
        <f t="shared" si="0"/>
        <v>Method requested</v>
      </c>
      <c r="D1435" s="400" t="s">
        <v>4398</v>
      </c>
      <c r="E1435" s="399" t="s">
        <v>96</v>
      </c>
      <c r="F1435" s="400" t="s">
        <v>1787</v>
      </c>
      <c r="G1435" s="400"/>
      <c r="H1435" s="400"/>
      <c r="I1435" s="400"/>
      <c r="J1435" s="400"/>
      <c r="K1435" s="400">
        <v>1</v>
      </c>
      <c r="L1435" s="400" t="s">
        <v>3333</v>
      </c>
      <c r="M1435" s="402" t="s">
        <v>3517</v>
      </c>
      <c r="N1435" s="400"/>
      <c r="O1435" s="428" t="s">
        <v>4396</v>
      </c>
      <c r="P1435" s="428"/>
      <c r="Q1435" s="399" t="s">
        <v>4397</v>
      </c>
      <c r="R1435" s="428" t="s">
        <v>4398</v>
      </c>
      <c r="S1435" s="399"/>
      <c r="T1435" s="399" t="s">
        <v>4399</v>
      </c>
      <c r="U1435" s="399" t="s">
        <v>3169</v>
      </c>
      <c r="V1435" s="399"/>
      <c r="W1435" s="399" t="s">
        <v>3170</v>
      </c>
      <c r="X1435" s="400"/>
      <c r="Y1435" s="399" t="s">
        <v>208</v>
      </c>
      <c r="Z1435" s="399"/>
      <c r="AA1435" s="399" t="s">
        <v>113</v>
      </c>
      <c r="AB1435" s="399" t="s">
        <v>3178</v>
      </c>
      <c r="AC1435" s="532" t="s">
        <v>4400</v>
      </c>
      <c r="AD1435" s="400"/>
      <c r="AE1435" s="490" t="s">
        <v>5560</v>
      </c>
      <c r="AF1435" s="399"/>
      <c r="AG1435" s="399" t="s">
        <v>4402</v>
      </c>
      <c r="AH1435" s="532"/>
      <c r="AI1435" s="399"/>
      <c r="AJ1435" s="400"/>
      <c r="AK1435" s="399"/>
      <c r="AL1435" s="399"/>
      <c r="AM1435" s="399"/>
      <c r="AN1435" s="399"/>
      <c r="AO1435" s="399"/>
      <c r="AP1435" s="399"/>
      <c r="AQ1435" s="399"/>
      <c r="AR1435" s="399"/>
      <c r="AS1435" s="399"/>
      <c r="AT1435" s="399"/>
      <c r="AU1435" s="399"/>
      <c r="AV1435" s="399"/>
      <c r="AW1435" s="541"/>
      <c r="AX1435" s="541"/>
      <c r="AY1435" s="541"/>
      <c r="AZ1435" s="541"/>
      <c r="BA1435" s="541"/>
      <c r="BB1435" s="399"/>
      <c r="BC1435" s="399" t="str">
        <f t="shared" si="2"/>
        <v>"Method requested"-&gt;"Contraception Method requested"</v>
      </c>
      <c r="BD1435" s="399"/>
      <c r="BE1435" s="399"/>
      <c r="BF1435" s="399"/>
      <c r="BG1435" s="540"/>
      <c r="BH1435" s="407"/>
      <c r="BI1435" s="407"/>
      <c r="BJ1435" s="543"/>
      <c r="BK1435" s="46">
        <f t="shared" si="1"/>
        <v>1</v>
      </c>
      <c r="BL1435" s="46">
        <f t="shared" si="3"/>
        <v>0</v>
      </c>
      <c r="BM1435" s="46">
        <f t="shared" si="4"/>
        <v>1</v>
      </c>
      <c r="BN1435" s="46">
        <f t="shared" si="5"/>
        <v>0</v>
      </c>
    </row>
    <row r="1436" spans="1:66" ht="12.75" customHeight="1">
      <c r="A1436" s="399">
        <v>1446</v>
      </c>
      <c r="B1436" s="399" t="s">
        <v>4419</v>
      </c>
      <c r="C1436" s="399" t="str">
        <f t="shared" si="0"/>
        <v>Correct and consistent contraceptive use</v>
      </c>
      <c r="D1436" s="400" t="s">
        <v>4419</v>
      </c>
      <c r="E1436" s="399" t="s">
        <v>96</v>
      </c>
      <c r="F1436" s="400" t="s">
        <v>1787</v>
      </c>
      <c r="G1436" s="400"/>
      <c r="H1436" s="400"/>
      <c r="I1436" s="400"/>
      <c r="J1436" s="400"/>
      <c r="K1436" s="400">
        <v>1</v>
      </c>
      <c r="L1436" s="400" t="s">
        <v>3333</v>
      </c>
      <c r="M1436" s="402" t="s">
        <v>3517</v>
      </c>
      <c r="N1436" s="400"/>
      <c r="O1436" s="428" t="s">
        <v>4417</v>
      </c>
      <c r="P1436" s="428"/>
      <c r="Q1436" s="399" t="s">
        <v>4418</v>
      </c>
      <c r="R1436" s="428" t="s">
        <v>4419</v>
      </c>
      <c r="S1436" s="399"/>
      <c r="T1436" s="399" t="s">
        <v>4420</v>
      </c>
      <c r="U1436" s="399" t="s">
        <v>3169</v>
      </c>
      <c r="V1436" s="399"/>
      <c r="W1436" s="399" t="s">
        <v>3170</v>
      </c>
      <c r="X1436" s="400"/>
      <c r="Y1436" s="399" t="s">
        <v>208</v>
      </c>
      <c r="Z1436" s="531"/>
      <c r="AA1436" s="399" t="s">
        <v>113</v>
      </c>
      <c r="AB1436" s="399" t="s">
        <v>3178</v>
      </c>
      <c r="AC1436" s="532" t="s">
        <v>4421</v>
      </c>
      <c r="AD1436" s="594"/>
      <c r="AE1436" s="531"/>
      <c r="AF1436" s="517"/>
      <c r="AG1436" s="531" t="s">
        <v>4422</v>
      </c>
      <c r="AH1436" s="590"/>
      <c r="AI1436" s="517"/>
      <c r="AJ1436" s="594"/>
      <c r="AK1436" s="399"/>
      <c r="AL1436" s="605"/>
      <c r="AM1436" s="531"/>
      <c r="AN1436" s="531"/>
      <c r="AO1436" s="531"/>
      <c r="AP1436" s="531"/>
      <c r="AQ1436" s="531"/>
      <c r="AR1436" s="531"/>
      <c r="AS1436" s="531"/>
      <c r="AT1436" s="399"/>
      <c r="AU1436" s="399"/>
      <c r="AV1436" s="399">
        <v>169551000</v>
      </c>
      <c r="AW1436" s="541"/>
      <c r="AX1436" s="541"/>
      <c r="AY1436" s="541"/>
      <c r="AZ1436" s="541"/>
      <c r="BA1436" s="541"/>
      <c r="BB1436" s="399"/>
      <c r="BC1436" s="399" t="str">
        <f t="shared" si="2"/>
        <v/>
      </c>
      <c r="BD1436" s="399"/>
      <c r="BE1436" s="399"/>
      <c r="BF1436" s="399"/>
      <c r="BG1436" s="540"/>
      <c r="BH1436" s="407"/>
      <c r="BI1436" s="407">
        <v>169551000</v>
      </c>
      <c r="BJ1436" s="543"/>
      <c r="BK1436" s="46">
        <f t="shared" si="1"/>
        <v>1</v>
      </c>
      <c r="BL1436" s="46">
        <f t="shared" si="3"/>
        <v>0</v>
      </c>
      <c r="BM1436" s="46">
        <f t="shared" si="4"/>
        <v>1</v>
      </c>
      <c r="BN1436" s="46">
        <f t="shared" si="5"/>
        <v>0</v>
      </c>
    </row>
    <row r="1437" spans="1:66" ht="12.75" customHeight="1">
      <c r="A1437" s="399">
        <v>1447</v>
      </c>
      <c r="B1437" s="399" t="s">
        <v>4426</v>
      </c>
      <c r="C1437" s="399" t="str">
        <f t="shared" si="0"/>
        <v>Medical eligibility - number classification</v>
      </c>
      <c r="D1437" s="400" t="s">
        <v>4426</v>
      </c>
      <c r="E1437" s="399" t="s">
        <v>96</v>
      </c>
      <c r="F1437" s="400" t="s">
        <v>1787</v>
      </c>
      <c r="G1437" s="400"/>
      <c r="H1437" s="400"/>
      <c r="I1437" s="400"/>
      <c r="J1437" s="400"/>
      <c r="K1437" s="400">
        <v>1</v>
      </c>
      <c r="L1437" s="400" t="s">
        <v>3333</v>
      </c>
      <c r="M1437" s="402" t="s">
        <v>4081</v>
      </c>
      <c r="N1437" s="400"/>
      <c r="O1437" s="428" t="s">
        <v>4417</v>
      </c>
      <c r="P1437" s="428"/>
      <c r="Q1437" s="399" t="s">
        <v>4427</v>
      </c>
      <c r="R1437" s="428" t="s">
        <v>4426</v>
      </c>
      <c r="S1437" s="399"/>
      <c r="T1437" s="399" t="s">
        <v>4428</v>
      </c>
      <c r="U1437" s="399" t="s">
        <v>4694</v>
      </c>
      <c r="V1437" s="399"/>
      <c r="W1437" s="399"/>
      <c r="X1437" s="400"/>
      <c r="Y1437" s="399" t="s">
        <v>208</v>
      </c>
      <c r="Z1437" s="399"/>
      <c r="AA1437" s="399" t="s">
        <v>208</v>
      </c>
      <c r="AB1437" s="399" t="s">
        <v>3178</v>
      </c>
      <c r="AC1437" s="532" t="s">
        <v>4429</v>
      </c>
      <c r="AD1437" s="400"/>
      <c r="AE1437" s="399"/>
      <c r="AF1437" s="399"/>
      <c r="AG1437" s="399" t="s">
        <v>4430</v>
      </c>
      <c r="AH1437" s="532"/>
      <c r="AI1437" s="399"/>
      <c r="AJ1437" s="400"/>
      <c r="AK1437" s="399"/>
      <c r="AL1437" s="399"/>
      <c r="AM1437" s="399"/>
      <c r="AN1437" s="399"/>
      <c r="AO1437" s="399"/>
      <c r="AP1437" s="399"/>
      <c r="AQ1437" s="399"/>
      <c r="AR1437" s="399"/>
      <c r="AS1437" s="399"/>
      <c r="AT1437" s="399"/>
      <c r="AU1437" s="399"/>
      <c r="AV1437" s="399"/>
      <c r="AW1437" s="541"/>
      <c r="AX1437" s="541"/>
      <c r="AY1437" s="541"/>
      <c r="AZ1437" s="541"/>
      <c r="BA1437" s="541"/>
      <c r="BB1437" s="399"/>
      <c r="BC1437" s="399" t="str">
        <f t="shared" si="2"/>
        <v/>
      </c>
      <c r="BD1437" s="399"/>
      <c r="BE1437" s="399"/>
      <c r="BF1437" s="399"/>
      <c r="BG1437" s="540"/>
      <c r="BH1437" s="407"/>
      <c r="BI1437" s="407"/>
      <c r="BJ1437" s="543"/>
      <c r="BK1437" s="46">
        <f t="shared" si="1"/>
        <v>1</v>
      </c>
      <c r="BL1437" s="46">
        <f t="shared" si="3"/>
        <v>0</v>
      </c>
      <c r="BM1437" s="46">
        <f t="shared" si="4"/>
        <v>1</v>
      </c>
      <c r="BN1437" s="46">
        <f t="shared" si="5"/>
        <v>0</v>
      </c>
    </row>
    <row r="1438" spans="1:66" ht="12.75" customHeight="1">
      <c r="A1438" s="399">
        <v>1448</v>
      </c>
      <c r="B1438" s="399" t="s">
        <v>4434</v>
      </c>
      <c r="C1438" s="399" t="e">
        <f t="shared" ca="1" si="0"/>
        <v>#NAME?</v>
      </c>
      <c r="D1438" s="400">
        <v>1</v>
      </c>
      <c r="E1438" s="399" t="s">
        <v>180</v>
      </c>
      <c r="F1438" s="400" t="s">
        <v>4426</v>
      </c>
      <c r="G1438" s="400"/>
      <c r="H1438" s="400"/>
      <c r="I1438" s="400"/>
      <c r="J1438" s="400"/>
      <c r="K1438" s="400">
        <v>1</v>
      </c>
      <c r="L1438" s="400" t="s">
        <v>3333</v>
      </c>
      <c r="M1438" s="402" t="s">
        <v>4081</v>
      </c>
      <c r="N1438" s="400"/>
      <c r="O1438" s="428" t="s">
        <v>4417</v>
      </c>
      <c r="P1438" s="428"/>
      <c r="Q1438" s="399" t="s">
        <v>4435</v>
      </c>
      <c r="R1438" s="428"/>
      <c r="S1438" s="399"/>
      <c r="T1438" s="399" t="s">
        <v>4436</v>
      </c>
      <c r="U1438" s="517"/>
      <c r="V1438" s="399"/>
      <c r="W1438" s="399">
        <v>1</v>
      </c>
      <c r="X1438" s="399"/>
      <c r="Y1438" s="399" t="s">
        <v>208</v>
      </c>
      <c r="Z1438" s="399"/>
      <c r="AA1438" s="399" t="s">
        <v>208</v>
      </c>
      <c r="AB1438" s="399"/>
      <c r="AC1438" s="532"/>
      <c r="AD1438" s="400"/>
      <c r="AE1438" s="399"/>
      <c r="AF1438" s="399"/>
      <c r="AG1438" s="399"/>
      <c r="AH1438" s="532"/>
      <c r="AI1438" s="399"/>
      <c r="AJ1438" s="400"/>
      <c r="AK1438" s="399"/>
      <c r="AL1438" s="399"/>
      <c r="AM1438" s="399"/>
      <c r="AN1438" s="399"/>
      <c r="AO1438" s="399"/>
      <c r="AP1438" s="399"/>
      <c r="AQ1438" s="399"/>
      <c r="AR1438" s="399"/>
      <c r="AS1438" s="399"/>
      <c r="AT1438" s="399"/>
      <c r="AU1438" s="399"/>
      <c r="AV1438" s="399"/>
      <c r="AW1438" s="541"/>
      <c r="AX1438" s="541"/>
      <c r="AY1438" s="541"/>
      <c r="AZ1438" s="541"/>
      <c r="BA1438" s="541"/>
      <c r="BB1438" s="399"/>
      <c r="BC1438" s="399" t="e">
        <f t="shared" ca="1" si="2"/>
        <v>#NAME?</v>
      </c>
      <c r="BD1438" s="399"/>
      <c r="BE1438" s="399"/>
      <c r="BF1438" s="399"/>
      <c r="BG1438" s="540"/>
      <c r="BH1438" s="407"/>
      <c r="BI1438" s="407"/>
      <c r="BJ1438" s="543"/>
      <c r="BK1438" s="46">
        <f t="shared" si="1"/>
        <v>1</v>
      </c>
      <c r="BL1438" s="46">
        <f t="shared" si="3"/>
        <v>0</v>
      </c>
      <c r="BM1438" s="46">
        <f t="shared" si="4"/>
        <v>1</v>
      </c>
      <c r="BN1438" s="46">
        <f t="shared" si="5"/>
        <v>0</v>
      </c>
    </row>
    <row r="1439" spans="1:66" ht="12.75" customHeight="1">
      <c r="A1439" s="399">
        <v>1449</v>
      </c>
      <c r="B1439" s="399" t="s">
        <v>4438</v>
      </c>
      <c r="C1439" s="399" t="e">
        <f t="shared" ca="1" si="0"/>
        <v>#NAME?</v>
      </c>
      <c r="D1439" s="400">
        <v>2</v>
      </c>
      <c r="E1439" s="399" t="s">
        <v>180</v>
      </c>
      <c r="F1439" s="400" t="s">
        <v>4426</v>
      </c>
      <c r="G1439" s="400"/>
      <c r="H1439" s="400"/>
      <c r="I1439" s="400"/>
      <c r="J1439" s="400"/>
      <c r="K1439" s="400">
        <v>1</v>
      </c>
      <c r="L1439" s="400" t="s">
        <v>3333</v>
      </c>
      <c r="M1439" s="402" t="s">
        <v>4081</v>
      </c>
      <c r="N1439" s="400"/>
      <c r="O1439" s="428" t="s">
        <v>4417</v>
      </c>
      <c r="P1439" s="428"/>
      <c r="Q1439" s="399" t="s">
        <v>4439</v>
      </c>
      <c r="R1439" s="607"/>
      <c r="S1439" s="399"/>
      <c r="T1439" s="399" t="s">
        <v>4440</v>
      </c>
      <c r="U1439" s="517"/>
      <c r="V1439" s="399"/>
      <c r="W1439" s="399">
        <v>2</v>
      </c>
      <c r="X1439" s="399"/>
      <c r="Y1439" s="399" t="s">
        <v>208</v>
      </c>
      <c r="Z1439" s="399"/>
      <c r="AA1439" s="399" t="s">
        <v>208</v>
      </c>
      <c r="AB1439" s="399"/>
      <c r="AC1439" s="532"/>
      <c r="AD1439" s="400"/>
      <c r="AE1439" s="399"/>
      <c r="AF1439" s="399"/>
      <c r="AG1439" s="399"/>
      <c r="AH1439" s="532"/>
      <c r="AI1439" s="399"/>
      <c r="AJ1439" s="400"/>
      <c r="AK1439" s="399"/>
      <c r="AL1439" s="399"/>
      <c r="AM1439" s="399"/>
      <c r="AN1439" s="399"/>
      <c r="AO1439" s="399"/>
      <c r="AP1439" s="399"/>
      <c r="AQ1439" s="399"/>
      <c r="AR1439" s="399"/>
      <c r="AS1439" s="399"/>
      <c r="AT1439" s="399"/>
      <c r="AU1439" s="399"/>
      <c r="AV1439" s="399"/>
      <c r="AW1439" s="541"/>
      <c r="AX1439" s="541"/>
      <c r="AY1439" s="541"/>
      <c r="AZ1439" s="541"/>
      <c r="BA1439" s="541"/>
      <c r="BB1439" s="399"/>
      <c r="BC1439" s="399" t="e">
        <f t="shared" ca="1" si="2"/>
        <v>#NAME?</v>
      </c>
      <c r="BD1439" s="399"/>
      <c r="BE1439" s="399"/>
      <c r="BF1439" s="399"/>
      <c r="BG1439" s="540"/>
      <c r="BH1439" s="407"/>
      <c r="BI1439" s="407"/>
      <c r="BJ1439" s="543"/>
      <c r="BK1439" s="46">
        <f t="shared" si="1"/>
        <v>1</v>
      </c>
      <c r="BL1439" s="46">
        <f t="shared" si="3"/>
        <v>0</v>
      </c>
      <c r="BM1439" s="46">
        <f t="shared" si="4"/>
        <v>1</v>
      </c>
      <c r="BN1439" s="46">
        <f t="shared" si="5"/>
        <v>0</v>
      </c>
    </row>
    <row r="1440" spans="1:66" ht="12.75" customHeight="1">
      <c r="A1440" s="399">
        <v>1450</v>
      </c>
      <c r="B1440" s="399" t="s">
        <v>4441</v>
      </c>
      <c r="C1440" s="399" t="e">
        <f t="shared" ca="1" si="0"/>
        <v>#NAME?</v>
      </c>
      <c r="D1440" s="400">
        <v>3</v>
      </c>
      <c r="E1440" s="399" t="s">
        <v>180</v>
      </c>
      <c r="F1440" s="400" t="s">
        <v>4426</v>
      </c>
      <c r="G1440" s="400"/>
      <c r="H1440" s="400"/>
      <c r="I1440" s="400"/>
      <c r="J1440" s="400"/>
      <c r="K1440" s="400">
        <v>1</v>
      </c>
      <c r="L1440" s="400" t="s">
        <v>3333</v>
      </c>
      <c r="M1440" s="402" t="s">
        <v>4081</v>
      </c>
      <c r="N1440" s="400"/>
      <c r="O1440" s="428" t="s">
        <v>4417</v>
      </c>
      <c r="P1440" s="428"/>
      <c r="Q1440" s="399" t="s">
        <v>4442</v>
      </c>
      <c r="R1440" s="428"/>
      <c r="S1440" s="399"/>
      <c r="T1440" s="399" t="s">
        <v>4443</v>
      </c>
      <c r="U1440" s="517"/>
      <c r="V1440" s="399"/>
      <c r="W1440" s="399">
        <v>3</v>
      </c>
      <c r="X1440" s="399"/>
      <c r="Y1440" s="399" t="s">
        <v>208</v>
      </c>
      <c r="Z1440" s="399"/>
      <c r="AA1440" s="399" t="s">
        <v>208</v>
      </c>
      <c r="AB1440" s="399"/>
      <c r="AC1440" s="532"/>
      <c r="AD1440" s="400"/>
      <c r="AE1440" s="399"/>
      <c r="AF1440" s="399"/>
      <c r="AG1440" s="399"/>
      <c r="AH1440" s="532"/>
      <c r="AI1440" s="399"/>
      <c r="AJ1440" s="400"/>
      <c r="AK1440" s="399"/>
      <c r="AL1440" s="399"/>
      <c r="AM1440" s="399"/>
      <c r="AN1440" s="399"/>
      <c r="AO1440" s="399"/>
      <c r="AP1440" s="399"/>
      <c r="AQ1440" s="399"/>
      <c r="AR1440" s="399"/>
      <c r="AS1440" s="399"/>
      <c r="AT1440" s="399"/>
      <c r="AU1440" s="399"/>
      <c r="AV1440" s="399"/>
      <c r="AW1440" s="541"/>
      <c r="AX1440" s="541"/>
      <c r="AY1440" s="541"/>
      <c r="AZ1440" s="541"/>
      <c r="BA1440" s="541"/>
      <c r="BB1440" s="399"/>
      <c r="BC1440" s="399" t="e">
        <f t="shared" ca="1" si="2"/>
        <v>#NAME?</v>
      </c>
      <c r="BD1440" s="399"/>
      <c r="BE1440" s="399"/>
      <c r="BF1440" s="399"/>
      <c r="BG1440" s="540"/>
      <c r="BH1440" s="407"/>
      <c r="BI1440" s="407"/>
      <c r="BJ1440" s="543"/>
      <c r="BK1440" s="46">
        <f t="shared" si="1"/>
        <v>1</v>
      </c>
      <c r="BL1440" s="46">
        <f t="shared" si="3"/>
        <v>0</v>
      </c>
      <c r="BM1440" s="46">
        <f t="shared" si="4"/>
        <v>1</v>
      </c>
      <c r="BN1440" s="46">
        <f t="shared" si="5"/>
        <v>0</v>
      </c>
    </row>
    <row r="1441" spans="1:66" ht="12.75" customHeight="1">
      <c r="A1441" s="399">
        <v>1451</v>
      </c>
      <c r="B1441" s="399" t="s">
        <v>4444</v>
      </c>
      <c r="C1441" s="399" t="e">
        <f t="shared" ca="1" si="0"/>
        <v>#NAME?</v>
      </c>
      <c r="D1441" s="400">
        <v>4</v>
      </c>
      <c r="E1441" s="399" t="s">
        <v>180</v>
      </c>
      <c r="F1441" s="400" t="s">
        <v>4426</v>
      </c>
      <c r="G1441" s="400"/>
      <c r="H1441" s="400"/>
      <c r="I1441" s="400"/>
      <c r="J1441" s="400"/>
      <c r="K1441" s="400">
        <v>1</v>
      </c>
      <c r="L1441" s="400" t="s">
        <v>3333</v>
      </c>
      <c r="M1441" s="402" t="s">
        <v>4081</v>
      </c>
      <c r="N1441" s="400"/>
      <c r="O1441" s="428" t="s">
        <v>4417</v>
      </c>
      <c r="P1441" s="428"/>
      <c r="Q1441" s="399" t="s">
        <v>4445</v>
      </c>
      <c r="R1441" s="428"/>
      <c r="S1441" s="399"/>
      <c r="T1441" s="608" t="s">
        <v>4446</v>
      </c>
      <c r="U1441" s="517"/>
      <c r="V1441" s="399"/>
      <c r="W1441" s="399">
        <v>4</v>
      </c>
      <c r="X1441" s="399"/>
      <c r="Y1441" s="399" t="s">
        <v>208</v>
      </c>
      <c r="Z1441" s="399"/>
      <c r="AA1441" s="399" t="s">
        <v>208</v>
      </c>
      <c r="AB1441" s="399"/>
      <c r="AC1441" s="532"/>
      <c r="AD1441" s="400"/>
      <c r="AE1441" s="399"/>
      <c r="AF1441" s="399"/>
      <c r="AG1441" s="399"/>
      <c r="AH1441" s="532"/>
      <c r="AI1441" s="399"/>
      <c r="AJ1441" s="400"/>
      <c r="AK1441" s="399"/>
      <c r="AL1441" s="399"/>
      <c r="AM1441" s="399"/>
      <c r="AN1441" s="399"/>
      <c r="AO1441" s="399"/>
      <c r="AP1441" s="399"/>
      <c r="AQ1441" s="399"/>
      <c r="AR1441" s="399"/>
      <c r="AS1441" s="399"/>
      <c r="AT1441" s="399"/>
      <c r="AU1441" s="399"/>
      <c r="AV1441" s="399"/>
      <c r="AW1441" s="541"/>
      <c r="AX1441" s="541"/>
      <c r="AY1441" s="541"/>
      <c r="AZ1441" s="541"/>
      <c r="BA1441" s="541"/>
      <c r="BB1441" s="399"/>
      <c r="BC1441" s="399" t="e">
        <f t="shared" ca="1" si="2"/>
        <v>#NAME?</v>
      </c>
      <c r="BD1441" s="399"/>
      <c r="BE1441" s="399"/>
      <c r="BF1441" s="399"/>
      <c r="BG1441" s="540"/>
      <c r="BH1441" s="407"/>
      <c r="BI1441" s="407"/>
      <c r="BJ1441" s="543"/>
      <c r="BK1441" s="46">
        <f t="shared" si="1"/>
        <v>1</v>
      </c>
      <c r="BL1441" s="46">
        <f t="shared" si="3"/>
        <v>0</v>
      </c>
      <c r="BM1441" s="46">
        <f t="shared" si="4"/>
        <v>1</v>
      </c>
      <c r="BN1441" s="46">
        <f t="shared" si="5"/>
        <v>0</v>
      </c>
    </row>
    <row r="1442" spans="1:66" ht="12.75" customHeight="1">
      <c r="A1442" s="399">
        <v>1452</v>
      </c>
      <c r="B1442" s="399" t="s">
        <v>4447</v>
      </c>
      <c r="C1442" s="399" t="str">
        <f t="shared" si="0"/>
        <v>Medical eligibility - text classification</v>
      </c>
      <c r="D1442" s="400" t="s">
        <v>4447</v>
      </c>
      <c r="E1442" s="399" t="s">
        <v>96</v>
      </c>
      <c r="F1442" s="400" t="s">
        <v>1787</v>
      </c>
      <c r="G1442" s="400"/>
      <c r="H1442" s="400"/>
      <c r="I1442" s="400"/>
      <c r="J1442" s="400"/>
      <c r="K1442" s="400">
        <v>1</v>
      </c>
      <c r="L1442" s="400" t="s">
        <v>3333</v>
      </c>
      <c r="M1442" s="402" t="s">
        <v>4081</v>
      </c>
      <c r="N1442" s="400"/>
      <c r="O1442" s="428" t="s">
        <v>4417</v>
      </c>
      <c r="P1442" s="428"/>
      <c r="Q1442" s="399" t="s">
        <v>4448</v>
      </c>
      <c r="R1442" s="428" t="s">
        <v>4447</v>
      </c>
      <c r="S1442" s="399"/>
      <c r="T1442" s="399" t="s">
        <v>4449</v>
      </c>
      <c r="U1442" s="399" t="s">
        <v>4694</v>
      </c>
      <c r="V1442" s="399"/>
      <c r="W1442" s="399"/>
      <c r="X1442" s="400"/>
      <c r="Y1442" s="399" t="s">
        <v>208</v>
      </c>
      <c r="Z1442" s="399"/>
      <c r="AA1442" s="399" t="s">
        <v>208</v>
      </c>
      <c r="AB1442" s="399" t="s">
        <v>3178</v>
      </c>
      <c r="AC1442" s="532" t="s">
        <v>4450</v>
      </c>
      <c r="AD1442" s="400"/>
      <c r="AE1442" s="399"/>
      <c r="AF1442" s="399"/>
      <c r="AG1442" s="399"/>
      <c r="AH1442" s="532"/>
      <c r="AI1442" s="399"/>
      <c r="AJ1442" s="400"/>
      <c r="AK1442" s="399"/>
      <c r="AL1442" s="399"/>
      <c r="AM1442" s="399"/>
      <c r="AN1442" s="399"/>
      <c r="AO1442" s="399"/>
      <c r="AP1442" s="399"/>
      <c r="AQ1442" s="399"/>
      <c r="AR1442" s="399"/>
      <c r="AS1442" s="399"/>
      <c r="AT1442" s="399"/>
      <c r="AU1442" s="399"/>
      <c r="AV1442" s="399"/>
      <c r="AW1442" s="541"/>
      <c r="AX1442" s="541"/>
      <c r="AY1442" s="541"/>
      <c r="AZ1442" s="541"/>
      <c r="BA1442" s="541"/>
      <c r="BB1442" s="399"/>
      <c r="BC1442" s="399" t="str">
        <f t="shared" si="2"/>
        <v/>
      </c>
      <c r="BD1442" s="399"/>
      <c r="BE1442" s="399"/>
      <c r="BF1442" s="399"/>
      <c r="BG1442" s="540"/>
      <c r="BH1442" s="407"/>
      <c r="BI1442" s="407"/>
      <c r="BJ1442" s="543"/>
      <c r="BK1442" s="46">
        <f t="shared" si="1"/>
        <v>1</v>
      </c>
      <c r="BL1442" s="46">
        <f t="shared" si="3"/>
        <v>0</v>
      </c>
      <c r="BM1442" s="46">
        <f t="shared" si="4"/>
        <v>1</v>
      </c>
      <c r="BN1442" s="46">
        <f t="shared" si="5"/>
        <v>0</v>
      </c>
    </row>
    <row r="1443" spans="1:66" ht="12.75" customHeight="1">
      <c r="A1443" s="399">
        <v>1453</v>
      </c>
      <c r="B1443" s="399" t="s">
        <v>4452</v>
      </c>
      <c r="C1443" s="399" t="e">
        <f t="shared" ca="1" si="0"/>
        <v>#NAME?</v>
      </c>
      <c r="D1443" s="400" t="s">
        <v>4455</v>
      </c>
      <c r="E1443" s="399" t="s">
        <v>180</v>
      </c>
      <c r="F1443" s="400" t="s">
        <v>4447</v>
      </c>
      <c r="G1443" s="400"/>
      <c r="H1443" s="400"/>
      <c r="I1443" s="400"/>
      <c r="J1443" s="400"/>
      <c r="K1443" s="400">
        <v>1</v>
      </c>
      <c r="L1443" s="400" t="s">
        <v>3333</v>
      </c>
      <c r="M1443" s="402" t="s">
        <v>4081</v>
      </c>
      <c r="N1443" s="400"/>
      <c r="O1443" s="428" t="s">
        <v>4417</v>
      </c>
      <c r="P1443" s="428"/>
      <c r="Q1443" s="399" t="s">
        <v>4453</v>
      </c>
      <c r="R1443" s="428"/>
      <c r="S1443" s="399"/>
      <c r="T1443" s="399" t="s">
        <v>4454</v>
      </c>
      <c r="U1443" s="399"/>
      <c r="V1443" s="399"/>
      <c r="W1443" s="399" t="s">
        <v>4455</v>
      </c>
      <c r="X1443" s="400"/>
      <c r="Y1443" s="399" t="s">
        <v>208</v>
      </c>
      <c r="Z1443" s="399"/>
      <c r="AA1443" s="399" t="s">
        <v>208</v>
      </c>
      <c r="AB1443" s="399"/>
      <c r="AC1443" s="532"/>
      <c r="AD1443" s="400"/>
      <c r="AE1443" s="399"/>
      <c r="AF1443" s="399"/>
      <c r="AG1443" s="399"/>
      <c r="AH1443" s="532"/>
      <c r="AI1443" s="399"/>
      <c r="AJ1443" s="400"/>
      <c r="AK1443" s="399"/>
      <c r="AL1443" s="399"/>
      <c r="AM1443" s="399"/>
      <c r="AN1443" s="399"/>
      <c r="AO1443" s="399"/>
      <c r="AP1443" s="399"/>
      <c r="AQ1443" s="399"/>
      <c r="AR1443" s="399"/>
      <c r="AS1443" s="399"/>
      <c r="AT1443" s="399"/>
      <c r="AU1443" s="399"/>
      <c r="AV1443" s="399"/>
      <c r="AW1443" s="541"/>
      <c r="AX1443" s="541"/>
      <c r="AY1443" s="541"/>
      <c r="AZ1443" s="541"/>
      <c r="BA1443" s="541"/>
      <c r="BB1443" s="399"/>
      <c r="BC1443" s="399" t="e">
        <f t="shared" ca="1" si="2"/>
        <v>#NAME?</v>
      </c>
      <c r="BD1443" s="399"/>
      <c r="BE1443" s="399"/>
      <c r="BF1443" s="399"/>
      <c r="BG1443" s="540"/>
      <c r="BH1443" s="407"/>
      <c r="BI1443" s="407"/>
      <c r="BJ1443" s="543"/>
      <c r="BK1443" s="46">
        <f t="shared" si="1"/>
        <v>1</v>
      </c>
      <c r="BL1443" s="46">
        <f t="shared" si="3"/>
        <v>0</v>
      </c>
      <c r="BM1443" s="46">
        <f t="shared" si="4"/>
        <v>1</v>
      </c>
      <c r="BN1443" s="46">
        <f t="shared" si="5"/>
        <v>0</v>
      </c>
    </row>
    <row r="1444" spans="1:66" ht="12.75" customHeight="1">
      <c r="A1444" s="399">
        <v>1454</v>
      </c>
      <c r="B1444" s="399" t="s">
        <v>4456</v>
      </c>
      <c r="C1444" s="399" t="e">
        <f t="shared" ca="1" si="0"/>
        <v>#NAME?</v>
      </c>
      <c r="D1444" s="400" t="s">
        <v>4459</v>
      </c>
      <c r="E1444" s="399" t="s">
        <v>180</v>
      </c>
      <c r="F1444" s="400" t="s">
        <v>4447</v>
      </c>
      <c r="G1444" s="400"/>
      <c r="H1444" s="400"/>
      <c r="I1444" s="400"/>
      <c r="J1444" s="400"/>
      <c r="K1444" s="400">
        <v>1</v>
      </c>
      <c r="L1444" s="400" t="s">
        <v>3333</v>
      </c>
      <c r="M1444" s="402" t="s">
        <v>4081</v>
      </c>
      <c r="N1444" s="400"/>
      <c r="O1444" s="428" t="s">
        <v>4417</v>
      </c>
      <c r="P1444" s="428"/>
      <c r="Q1444" s="399" t="s">
        <v>4457</v>
      </c>
      <c r="R1444" s="428"/>
      <c r="S1444" s="399"/>
      <c r="T1444" s="399" t="s">
        <v>5582</v>
      </c>
      <c r="U1444" s="399"/>
      <c r="V1444" s="399"/>
      <c r="W1444" s="399" t="s">
        <v>4459</v>
      </c>
      <c r="X1444" s="400"/>
      <c r="Y1444" s="399" t="s">
        <v>208</v>
      </c>
      <c r="Z1444" s="399"/>
      <c r="AA1444" s="399" t="s">
        <v>208</v>
      </c>
      <c r="AB1444" s="399"/>
      <c r="AC1444" s="532"/>
      <c r="AD1444" s="400"/>
      <c r="AE1444" s="399"/>
      <c r="AF1444" s="399"/>
      <c r="AG1444" s="399"/>
      <c r="AH1444" s="532"/>
      <c r="AI1444" s="399"/>
      <c r="AJ1444" s="400"/>
      <c r="AK1444" s="399"/>
      <c r="AL1444" s="399"/>
      <c r="AM1444" s="399"/>
      <c r="AN1444" s="399"/>
      <c r="AO1444" s="399"/>
      <c r="AP1444" s="399"/>
      <c r="AQ1444" s="399"/>
      <c r="AR1444" s="399"/>
      <c r="AS1444" s="399"/>
      <c r="AT1444" s="399"/>
      <c r="AU1444" s="399"/>
      <c r="AV1444" s="399"/>
      <c r="AW1444" s="541"/>
      <c r="AX1444" s="541"/>
      <c r="AY1444" s="541"/>
      <c r="AZ1444" s="541"/>
      <c r="BA1444" s="541"/>
      <c r="BB1444" s="399"/>
      <c r="BC1444" s="399" t="e">
        <f t="shared" ca="1" si="2"/>
        <v>#NAME?</v>
      </c>
      <c r="BD1444" s="399"/>
      <c r="BE1444" s="399"/>
      <c r="BF1444" s="399"/>
      <c r="BG1444" s="540"/>
      <c r="BH1444" s="407"/>
      <c r="BI1444" s="407"/>
      <c r="BJ1444" s="543"/>
      <c r="BK1444" s="46">
        <f t="shared" si="1"/>
        <v>1</v>
      </c>
      <c r="BL1444" s="46">
        <f t="shared" si="3"/>
        <v>0</v>
      </c>
      <c r="BM1444" s="46">
        <f t="shared" si="4"/>
        <v>1</v>
      </c>
      <c r="BN1444" s="46">
        <f t="shared" si="5"/>
        <v>0</v>
      </c>
    </row>
    <row r="1445" spans="1:66" ht="12.75" customHeight="1">
      <c r="A1445" s="399">
        <v>1455</v>
      </c>
      <c r="B1445" s="399" t="s">
        <v>4460</v>
      </c>
      <c r="C1445" s="399" t="e">
        <f t="shared" ca="1" si="0"/>
        <v>#NAME?</v>
      </c>
      <c r="D1445" s="400" t="s">
        <v>4463</v>
      </c>
      <c r="E1445" s="399" t="s">
        <v>180</v>
      </c>
      <c r="F1445" s="400" t="s">
        <v>4447</v>
      </c>
      <c r="G1445" s="400"/>
      <c r="H1445" s="400"/>
      <c r="I1445" s="400"/>
      <c r="J1445" s="400"/>
      <c r="K1445" s="400">
        <v>1</v>
      </c>
      <c r="L1445" s="400" t="s">
        <v>3333</v>
      </c>
      <c r="M1445" s="402" t="s">
        <v>4081</v>
      </c>
      <c r="N1445" s="400"/>
      <c r="O1445" s="428" t="s">
        <v>4417</v>
      </c>
      <c r="P1445" s="428"/>
      <c r="Q1445" s="399" t="s">
        <v>4461</v>
      </c>
      <c r="R1445" s="428"/>
      <c r="S1445" s="399"/>
      <c r="T1445" s="399" t="s">
        <v>5587</v>
      </c>
      <c r="U1445" s="399"/>
      <c r="V1445" s="399"/>
      <c r="W1445" s="399" t="s">
        <v>4463</v>
      </c>
      <c r="X1445" s="400"/>
      <c r="Y1445" s="399" t="s">
        <v>208</v>
      </c>
      <c r="Z1445" s="399"/>
      <c r="AA1445" s="399" t="s">
        <v>208</v>
      </c>
      <c r="AB1445" s="399"/>
      <c r="AC1445" s="532"/>
      <c r="AD1445" s="400"/>
      <c r="AE1445" s="399"/>
      <c r="AF1445" s="399"/>
      <c r="AG1445" s="399"/>
      <c r="AH1445" s="532"/>
      <c r="AI1445" s="399"/>
      <c r="AJ1445" s="400"/>
      <c r="AK1445" s="399"/>
      <c r="AL1445" s="399"/>
      <c r="AM1445" s="399"/>
      <c r="AN1445" s="399"/>
      <c r="AO1445" s="399"/>
      <c r="AP1445" s="399"/>
      <c r="AQ1445" s="399"/>
      <c r="AR1445" s="399"/>
      <c r="AS1445" s="399"/>
      <c r="AT1445" s="399"/>
      <c r="AU1445" s="399"/>
      <c r="AV1445" s="399"/>
      <c r="AW1445" s="541"/>
      <c r="AX1445" s="541"/>
      <c r="AY1445" s="541"/>
      <c r="AZ1445" s="541"/>
      <c r="BA1445" s="541"/>
      <c r="BB1445" s="399"/>
      <c r="BC1445" s="399" t="e">
        <f t="shared" ca="1" si="2"/>
        <v>#NAME?</v>
      </c>
      <c r="BD1445" s="399"/>
      <c r="BE1445" s="399"/>
      <c r="BF1445" s="399"/>
      <c r="BG1445" s="540"/>
      <c r="BH1445" s="407"/>
      <c r="BI1445" s="407"/>
      <c r="BJ1445" s="543"/>
      <c r="BK1445" s="46">
        <f t="shared" si="1"/>
        <v>1</v>
      </c>
      <c r="BL1445" s="46">
        <f t="shared" si="3"/>
        <v>0</v>
      </c>
      <c r="BM1445" s="46">
        <f t="shared" si="4"/>
        <v>1</v>
      </c>
      <c r="BN1445" s="46">
        <f t="shared" si="5"/>
        <v>0</v>
      </c>
    </row>
    <row r="1446" spans="1:66" ht="12.75" customHeight="1">
      <c r="A1446" s="399">
        <v>1456</v>
      </c>
      <c r="B1446" s="399" t="s">
        <v>4464</v>
      </c>
      <c r="C1446" s="399" t="e">
        <f t="shared" ca="1" si="0"/>
        <v>#NAME?</v>
      </c>
      <c r="D1446" s="400" t="s">
        <v>4467</v>
      </c>
      <c r="E1446" s="399" t="s">
        <v>180</v>
      </c>
      <c r="F1446" s="400" t="s">
        <v>4447</v>
      </c>
      <c r="G1446" s="400"/>
      <c r="H1446" s="400"/>
      <c r="I1446" s="400"/>
      <c r="J1446" s="400"/>
      <c r="K1446" s="400">
        <v>1</v>
      </c>
      <c r="L1446" s="400" t="s">
        <v>3333</v>
      </c>
      <c r="M1446" s="402" t="s">
        <v>4081</v>
      </c>
      <c r="N1446" s="400"/>
      <c r="O1446" s="428" t="s">
        <v>4417</v>
      </c>
      <c r="P1446" s="428"/>
      <c r="Q1446" s="399" t="s">
        <v>4465</v>
      </c>
      <c r="R1446" s="428"/>
      <c r="S1446" s="399"/>
      <c r="T1446" s="399" t="s">
        <v>4466</v>
      </c>
      <c r="U1446" s="399"/>
      <c r="V1446" s="399"/>
      <c r="W1446" s="399" t="s">
        <v>4467</v>
      </c>
      <c r="X1446" s="400"/>
      <c r="Y1446" s="399" t="s">
        <v>208</v>
      </c>
      <c r="Z1446" s="399"/>
      <c r="AA1446" s="399" t="s">
        <v>208</v>
      </c>
      <c r="AB1446" s="399"/>
      <c r="AC1446" s="532"/>
      <c r="AD1446" s="400"/>
      <c r="AE1446" s="399"/>
      <c r="AF1446" s="399"/>
      <c r="AG1446" s="399"/>
      <c r="AH1446" s="532"/>
      <c r="AI1446" s="399"/>
      <c r="AJ1446" s="400"/>
      <c r="AK1446" s="399"/>
      <c r="AL1446" s="399"/>
      <c r="AM1446" s="399"/>
      <c r="AN1446" s="399"/>
      <c r="AO1446" s="399"/>
      <c r="AP1446" s="399"/>
      <c r="AQ1446" s="399"/>
      <c r="AR1446" s="399"/>
      <c r="AS1446" s="399"/>
      <c r="AT1446" s="399"/>
      <c r="AU1446" s="399"/>
      <c r="AV1446" s="399"/>
      <c r="AW1446" s="541"/>
      <c r="AX1446" s="541"/>
      <c r="AY1446" s="541"/>
      <c r="AZ1446" s="541"/>
      <c r="BA1446" s="541"/>
      <c r="BB1446" s="399"/>
      <c r="BC1446" s="399" t="e">
        <f t="shared" ca="1" si="2"/>
        <v>#NAME?</v>
      </c>
      <c r="BD1446" s="399"/>
      <c r="BE1446" s="399"/>
      <c r="BF1446" s="399"/>
      <c r="BG1446" s="540"/>
      <c r="BH1446" s="407"/>
      <c r="BI1446" s="407"/>
      <c r="BJ1446" s="543"/>
      <c r="BK1446" s="46">
        <f t="shared" si="1"/>
        <v>1</v>
      </c>
      <c r="BL1446" s="46">
        <f t="shared" si="3"/>
        <v>0</v>
      </c>
      <c r="BM1446" s="46">
        <f t="shared" si="4"/>
        <v>1</v>
      </c>
      <c r="BN1446" s="46">
        <f t="shared" si="5"/>
        <v>0</v>
      </c>
    </row>
    <row r="1447" spans="1:66" ht="12.75" customHeight="1">
      <c r="A1447" s="399">
        <v>1457</v>
      </c>
      <c r="B1447" s="399" t="s">
        <v>5598</v>
      </c>
      <c r="C1447" s="399" t="str">
        <f t="shared" si="0"/>
        <v>Past medical eligibility</v>
      </c>
      <c r="D1447" s="400" t="s">
        <v>5598</v>
      </c>
      <c r="E1447" s="399" t="s">
        <v>96</v>
      </c>
      <c r="F1447" s="400" t="s">
        <v>1787</v>
      </c>
      <c r="G1447" s="400"/>
      <c r="H1447" s="400"/>
      <c r="I1447" s="400"/>
      <c r="J1447" s="400"/>
      <c r="K1447" s="400">
        <v>1</v>
      </c>
      <c r="L1447" s="400" t="s">
        <v>3333</v>
      </c>
      <c r="M1447" s="402" t="s">
        <v>4081</v>
      </c>
      <c r="N1447" s="400"/>
      <c r="O1447" s="428" t="s">
        <v>4417</v>
      </c>
      <c r="P1447" s="428"/>
      <c r="Q1447" s="399" t="s">
        <v>4427</v>
      </c>
      <c r="R1447" s="428" t="s">
        <v>5598</v>
      </c>
      <c r="S1447" s="399"/>
      <c r="T1447" s="399" t="s">
        <v>4469</v>
      </c>
      <c r="U1447" s="531"/>
      <c r="V1447" s="399"/>
      <c r="W1447" s="399"/>
      <c r="X1447" s="400"/>
      <c r="Y1447" s="399" t="s">
        <v>208</v>
      </c>
      <c r="Z1447" s="531"/>
      <c r="AA1447" s="399" t="s">
        <v>113</v>
      </c>
      <c r="AB1447" s="399" t="s">
        <v>203</v>
      </c>
      <c r="AC1447" s="532" t="s">
        <v>4470</v>
      </c>
      <c r="AD1447" s="594"/>
      <c r="AE1447" s="531"/>
      <c r="AF1447" s="531"/>
      <c r="AG1447" s="399" t="s">
        <v>4430</v>
      </c>
      <c r="AH1447" s="590"/>
      <c r="AI1447" s="531"/>
      <c r="AJ1447" s="594"/>
      <c r="AK1447" s="399"/>
      <c r="AL1447" s="531"/>
      <c r="AM1447" s="531"/>
      <c r="AN1447" s="531"/>
      <c r="AO1447" s="531"/>
      <c r="AP1447" s="531"/>
      <c r="AQ1447" s="531"/>
      <c r="AR1447" s="531"/>
      <c r="AS1447" s="531"/>
      <c r="AT1447" s="399"/>
      <c r="AU1447" s="399"/>
      <c r="AV1447" s="399"/>
      <c r="AW1447" s="541"/>
      <c r="AX1447" s="541"/>
      <c r="AY1447" s="541"/>
      <c r="AZ1447" s="541"/>
      <c r="BA1447" s="541"/>
      <c r="BB1447" s="399"/>
      <c r="BC1447" s="399" t="str">
        <f t="shared" si="2"/>
        <v/>
      </c>
      <c r="BD1447" s="399"/>
      <c r="BE1447" s="399"/>
      <c r="BF1447" s="399"/>
      <c r="BG1447" s="540"/>
      <c r="BH1447" s="407"/>
      <c r="BI1447" s="407"/>
      <c r="BJ1447" s="543"/>
      <c r="BK1447" s="46">
        <f t="shared" si="1"/>
        <v>1</v>
      </c>
      <c r="BL1447" s="46">
        <f t="shared" si="3"/>
        <v>0</v>
      </c>
      <c r="BM1447" s="46">
        <f t="shared" si="4"/>
        <v>1</v>
      </c>
      <c r="BN1447" s="46">
        <f t="shared" si="5"/>
        <v>0</v>
      </c>
    </row>
    <row r="1448" spans="1:66" ht="12.75" customHeight="1">
      <c r="A1448" s="399">
        <v>1458</v>
      </c>
      <c r="B1448" s="399" t="s">
        <v>4494</v>
      </c>
      <c r="C1448" s="399" t="str">
        <f t="shared" si="0"/>
        <v>No sexual contact since last delivery</v>
      </c>
      <c r="D1448" s="400" t="s">
        <v>4494</v>
      </c>
      <c r="E1448" s="399" t="s">
        <v>96</v>
      </c>
      <c r="F1448" s="400" t="s">
        <v>1787</v>
      </c>
      <c r="G1448" s="400"/>
      <c r="H1448" s="400"/>
      <c r="I1448" s="400"/>
      <c r="J1448" s="400"/>
      <c r="K1448" s="400">
        <v>1</v>
      </c>
      <c r="L1448" s="400" t="s">
        <v>3333</v>
      </c>
      <c r="M1448" s="402" t="s">
        <v>3499</v>
      </c>
      <c r="N1448" s="400"/>
      <c r="O1448" s="428" t="s">
        <v>4417</v>
      </c>
      <c r="P1448" s="428"/>
      <c r="Q1448" s="399" t="s">
        <v>4496</v>
      </c>
      <c r="R1448" s="428" t="s">
        <v>4494</v>
      </c>
      <c r="S1448" s="399"/>
      <c r="T1448" s="399"/>
      <c r="U1448" s="399"/>
      <c r="V1448" s="399"/>
      <c r="W1448" s="399"/>
      <c r="X1448" s="400"/>
      <c r="Y1448" s="399" t="s">
        <v>208</v>
      </c>
      <c r="Z1448" s="399"/>
      <c r="AA1448" s="399" t="s">
        <v>113</v>
      </c>
      <c r="AB1448" s="399" t="s">
        <v>3178</v>
      </c>
      <c r="AC1448" s="532"/>
      <c r="AD1448" s="400"/>
      <c r="AE1448" s="399"/>
      <c r="AF1448" s="399"/>
      <c r="AG1448" s="399"/>
      <c r="AH1448" s="532"/>
      <c r="AI1448" s="399"/>
      <c r="AJ1448" s="400"/>
      <c r="AK1448" s="399"/>
      <c r="AL1448" s="399"/>
      <c r="AM1448" s="399"/>
      <c r="AN1448" s="399"/>
      <c r="AO1448" s="399"/>
      <c r="AP1448" s="399"/>
      <c r="AQ1448" s="399"/>
      <c r="AR1448" s="399"/>
      <c r="AS1448" s="399"/>
      <c r="AT1448" s="399"/>
      <c r="AU1448" s="399"/>
      <c r="AV1448" s="399"/>
      <c r="AW1448" s="541"/>
      <c r="AX1448" s="541"/>
      <c r="AY1448" s="541"/>
      <c r="AZ1448" s="541"/>
      <c r="BA1448" s="541"/>
      <c r="BB1448" s="399"/>
      <c r="BC1448" s="399" t="str">
        <f t="shared" si="2"/>
        <v/>
      </c>
      <c r="BD1448" s="399"/>
      <c r="BE1448" s="399"/>
      <c r="BF1448" s="399"/>
      <c r="BG1448" s="540"/>
      <c r="BH1448" s="407"/>
      <c r="BI1448" s="407"/>
      <c r="BJ1448" s="543"/>
      <c r="BK1448" s="46">
        <f t="shared" si="1"/>
        <v>1</v>
      </c>
      <c r="BL1448" s="46">
        <f t="shared" si="3"/>
        <v>0</v>
      </c>
      <c r="BM1448" s="46">
        <f t="shared" si="4"/>
        <v>1</v>
      </c>
      <c r="BN1448" s="46">
        <f t="shared" si="5"/>
        <v>0</v>
      </c>
    </row>
    <row r="1449" spans="1:66" ht="12.75" customHeight="1">
      <c r="A1449" s="399">
        <v>1459</v>
      </c>
      <c r="B1449" s="399" t="s">
        <v>4501</v>
      </c>
      <c r="C1449" s="399" t="str">
        <f t="shared" si="0"/>
        <v>No sexual contact since last miscarriage or abortion</v>
      </c>
      <c r="D1449" s="400" t="s">
        <v>4501</v>
      </c>
      <c r="E1449" s="399" t="s">
        <v>96</v>
      </c>
      <c r="F1449" s="400" t="s">
        <v>1787</v>
      </c>
      <c r="G1449" s="400"/>
      <c r="H1449" s="400"/>
      <c r="I1449" s="400"/>
      <c r="J1449" s="400"/>
      <c r="K1449" s="400">
        <v>1</v>
      </c>
      <c r="L1449" s="400" t="s">
        <v>3333</v>
      </c>
      <c r="M1449" s="402" t="s">
        <v>3499</v>
      </c>
      <c r="N1449" s="400"/>
      <c r="O1449" s="428" t="s">
        <v>4417</v>
      </c>
      <c r="P1449" s="428"/>
      <c r="Q1449" s="399" t="s">
        <v>4502</v>
      </c>
      <c r="R1449" s="428" t="s">
        <v>4501</v>
      </c>
      <c r="S1449" s="399"/>
      <c r="T1449" s="609"/>
      <c r="U1449" s="399"/>
      <c r="V1449" s="399"/>
      <c r="W1449" s="399"/>
      <c r="X1449" s="400"/>
      <c r="Y1449" s="399" t="s">
        <v>208</v>
      </c>
      <c r="Z1449" s="399"/>
      <c r="AA1449" s="399" t="s">
        <v>113</v>
      </c>
      <c r="AB1449" s="399" t="s">
        <v>3178</v>
      </c>
      <c r="AC1449" s="532"/>
      <c r="AD1449" s="400"/>
      <c r="AE1449" s="399"/>
      <c r="AF1449" s="399"/>
      <c r="AG1449" s="399"/>
      <c r="AH1449" s="532"/>
      <c r="AI1449" s="399"/>
      <c r="AJ1449" s="400"/>
      <c r="AK1449" s="399"/>
      <c r="AL1449" s="399"/>
      <c r="AM1449" s="399"/>
      <c r="AN1449" s="399"/>
      <c r="AO1449" s="399"/>
      <c r="AP1449" s="399"/>
      <c r="AQ1449" s="399"/>
      <c r="AR1449" s="399"/>
      <c r="AS1449" s="399"/>
      <c r="AT1449" s="399"/>
      <c r="AU1449" s="399"/>
      <c r="AV1449" s="399"/>
      <c r="AW1449" s="541"/>
      <c r="AX1449" s="541"/>
      <c r="AY1449" s="541"/>
      <c r="AZ1449" s="541"/>
      <c r="BA1449" s="541"/>
      <c r="BB1449" s="399"/>
      <c r="BC1449" s="399" t="str">
        <f t="shared" si="2"/>
        <v/>
      </c>
      <c r="BD1449" s="399"/>
      <c r="BE1449" s="399"/>
      <c r="BF1449" s="399"/>
      <c r="BG1449" s="540"/>
      <c r="BH1449" s="407"/>
      <c r="BI1449" s="407"/>
      <c r="BJ1449" s="543"/>
      <c r="BK1449" s="46">
        <f t="shared" si="1"/>
        <v>1</v>
      </c>
      <c r="BL1449" s="46">
        <f t="shared" si="3"/>
        <v>0</v>
      </c>
      <c r="BM1449" s="46">
        <f t="shared" si="4"/>
        <v>1</v>
      </c>
      <c r="BN1449" s="46">
        <f t="shared" si="5"/>
        <v>0</v>
      </c>
    </row>
    <row r="1450" spans="1:66" ht="12.75" customHeight="1">
      <c r="A1450" s="399">
        <v>1460</v>
      </c>
      <c r="B1450" s="399" t="s">
        <v>4520</v>
      </c>
      <c r="C1450" s="399" t="str">
        <f t="shared" si="0"/>
        <v>Deep venous thrombosis (DVT)/Pulmonary embolism (PE)</v>
      </c>
      <c r="D1450" s="400" t="s">
        <v>4520</v>
      </c>
      <c r="E1450" s="399" t="s">
        <v>96</v>
      </c>
      <c r="F1450" s="400" t="s">
        <v>1787</v>
      </c>
      <c r="G1450" s="400"/>
      <c r="H1450" s="400"/>
      <c r="I1450" s="400"/>
      <c r="J1450" s="400"/>
      <c r="K1450" s="400">
        <v>1</v>
      </c>
      <c r="L1450" s="400" t="s">
        <v>3333</v>
      </c>
      <c r="M1450" s="402" t="s">
        <v>4518</v>
      </c>
      <c r="N1450" s="400"/>
      <c r="O1450" s="428" t="s">
        <v>4417</v>
      </c>
      <c r="P1450" s="574"/>
      <c r="Q1450" s="399" t="s">
        <v>4519</v>
      </c>
      <c r="R1450" s="428" t="s">
        <v>4520</v>
      </c>
      <c r="S1450" s="399"/>
      <c r="T1450" s="517"/>
      <c r="U1450" s="400" t="s">
        <v>4497</v>
      </c>
      <c r="V1450" s="399"/>
      <c r="W1450" s="399" t="s">
        <v>3170</v>
      </c>
      <c r="X1450" s="400"/>
      <c r="Y1450" s="399" t="s">
        <v>208</v>
      </c>
      <c r="Z1450" s="400"/>
      <c r="AA1450" s="399" t="s">
        <v>113</v>
      </c>
      <c r="AB1450" s="400" t="s">
        <v>3178</v>
      </c>
      <c r="AC1450" s="532" t="s">
        <v>4521</v>
      </c>
      <c r="AD1450" s="400"/>
      <c r="AE1450" s="400"/>
      <c r="AF1450" s="400"/>
      <c r="AG1450" s="399" t="s">
        <v>4489</v>
      </c>
      <c r="AH1450" s="532" t="s">
        <v>3851</v>
      </c>
      <c r="AI1450" s="400"/>
      <c r="AJ1450" s="400"/>
      <c r="AK1450" s="399"/>
      <c r="AL1450" s="399"/>
      <c r="AM1450" s="399"/>
      <c r="AN1450" s="399"/>
      <c r="AO1450" s="399"/>
      <c r="AP1450" s="399"/>
      <c r="AQ1450" s="399"/>
      <c r="AR1450" s="399"/>
      <c r="AS1450" s="399"/>
      <c r="AT1450" s="400" t="s">
        <v>4522</v>
      </c>
      <c r="AU1450" s="400" t="s">
        <v>4523</v>
      </c>
      <c r="AV1450" s="400">
        <v>429098002</v>
      </c>
      <c r="AW1450" s="541"/>
      <c r="AX1450" s="541"/>
      <c r="AY1450" s="541"/>
      <c r="AZ1450" s="541"/>
      <c r="BA1450" s="541"/>
      <c r="BB1450" s="400"/>
      <c r="BC1450" s="399" t="str">
        <f t="shared" si="2"/>
        <v/>
      </c>
      <c r="BD1450" s="400">
        <v>159276</v>
      </c>
      <c r="BE1450" s="400"/>
      <c r="BF1450" s="400"/>
      <c r="BG1450" s="540"/>
      <c r="BH1450" s="407" t="s">
        <v>4522</v>
      </c>
      <c r="BI1450" s="407">
        <v>429098002</v>
      </c>
      <c r="BJ1450" s="543"/>
      <c r="BK1450" s="46">
        <f t="shared" si="1"/>
        <v>1</v>
      </c>
      <c r="BL1450" s="46">
        <f t="shared" si="3"/>
        <v>0</v>
      </c>
      <c r="BM1450" s="46">
        <f t="shared" si="4"/>
        <v>1</v>
      </c>
      <c r="BN1450" s="46">
        <f t="shared" si="5"/>
        <v>0</v>
      </c>
    </row>
    <row r="1451" spans="1:66" ht="12.75" customHeight="1">
      <c r="A1451" s="399">
        <v>1461</v>
      </c>
      <c r="B1451" s="399" t="s">
        <v>4527</v>
      </c>
      <c r="C1451" s="399" t="str">
        <f t="shared" si="0"/>
        <v>History of high blood pressure during pregnancy</v>
      </c>
      <c r="D1451" s="400" t="s">
        <v>4527</v>
      </c>
      <c r="E1451" s="399" t="s">
        <v>96</v>
      </c>
      <c r="F1451" s="400" t="s">
        <v>1787</v>
      </c>
      <c r="G1451" s="400"/>
      <c r="H1451" s="400"/>
      <c r="I1451" s="400"/>
      <c r="J1451" s="400"/>
      <c r="K1451" s="400">
        <v>1</v>
      </c>
      <c r="L1451" s="400" t="s">
        <v>3333</v>
      </c>
      <c r="M1451" s="402" t="s">
        <v>4518</v>
      </c>
      <c r="N1451" s="400"/>
      <c r="O1451" s="428" t="s">
        <v>4417</v>
      </c>
      <c r="P1451" s="517"/>
      <c r="Q1451" s="399" t="s">
        <v>4528</v>
      </c>
      <c r="R1451" s="560" t="s">
        <v>4527</v>
      </c>
      <c r="S1451" s="517"/>
      <c r="T1451" s="517"/>
      <c r="U1451" s="517"/>
      <c r="V1451" s="565"/>
      <c r="W1451" s="565"/>
      <c r="X1451" s="517"/>
      <c r="Y1451" s="399" t="s">
        <v>208</v>
      </c>
      <c r="Z1451" s="517"/>
      <c r="AA1451" s="399" t="s">
        <v>113</v>
      </c>
      <c r="AB1451" s="400" t="s">
        <v>3178</v>
      </c>
      <c r="AC1451" s="566" t="s">
        <v>4529</v>
      </c>
      <c r="AD1451" s="517"/>
      <c r="AE1451" s="517"/>
      <c r="AF1451" s="517"/>
      <c r="AG1451" s="565"/>
      <c r="AH1451" s="532" t="s">
        <v>3851</v>
      </c>
      <c r="AI1451" s="517"/>
      <c r="AJ1451" s="517"/>
      <c r="AK1451" s="399"/>
      <c r="AL1451" s="565"/>
      <c r="AM1451" s="565"/>
      <c r="AN1451" s="565"/>
      <c r="AO1451" s="565"/>
      <c r="AP1451" s="565"/>
      <c r="AQ1451" s="565"/>
      <c r="AR1451" s="565"/>
      <c r="AS1451" s="565"/>
      <c r="AT1451" s="517"/>
      <c r="AU1451" s="517"/>
      <c r="AV1451" s="517"/>
      <c r="AW1451" s="517"/>
      <c r="AX1451" s="517"/>
      <c r="AY1451" s="517"/>
      <c r="AZ1451" s="517"/>
      <c r="BA1451" s="517"/>
      <c r="BB1451" s="517"/>
      <c r="BC1451" s="399" t="str">
        <f t="shared" si="2"/>
        <v/>
      </c>
      <c r="BD1451" s="517"/>
      <c r="BE1451" s="517"/>
      <c r="BF1451" s="517"/>
      <c r="BG1451" s="542"/>
      <c r="BH1451" s="414"/>
      <c r="BI1451" s="414"/>
      <c r="BJ1451" s="414"/>
      <c r="BK1451" s="46">
        <f t="shared" si="1"/>
        <v>1</v>
      </c>
      <c r="BL1451" s="46">
        <f t="shared" si="3"/>
        <v>0</v>
      </c>
      <c r="BM1451" s="46">
        <f t="shared" si="4"/>
        <v>1</v>
      </c>
      <c r="BN1451" s="46">
        <f t="shared" si="5"/>
        <v>0</v>
      </c>
    </row>
    <row r="1452" spans="1:66" ht="12.75" customHeight="1">
      <c r="A1452" s="399">
        <v>1462</v>
      </c>
      <c r="B1452" s="399" t="s">
        <v>4532</v>
      </c>
      <c r="C1452" s="399" t="str">
        <f t="shared" si="0"/>
        <v>Venous thrombo-embolism category</v>
      </c>
      <c r="D1452" s="400" t="s">
        <v>4532</v>
      </c>
      <c r="E1452" s="399" t="s">
        <v>96</v>
      </c>
      <c r="F1452" s="400" t="s">
        <v>1787</v>
      </c>
      <c r="G1452" s="400"/>
      <c r="H1452" s="400"/>
      <c r="I1452" s="400"/>
      <c r="J1452" s="400"/>
      <c r="K1452" s="400">
        <v>1</v>
      </c>
      <c r="L1452" s="400" t="s">
        <v>3333</v>
      </c>
      <c r="M1452" s="402" t="s">
        <v>4518</v>
      </c>
      <c r="N1452" s="400"/>
      <c r="O1452" s="428" t="s">
        <v>4417</v>
      </c>
      <c r="P1452" s="574"/>
      <c r="Q1452" s="399" t="s">
        <v>4533</v>
      </c>
      <c r="R1452" s="428" t="s">
        <v>4532</v>
      </c>
      <c r="S1452" s="399"/>
      <c r="T1452" s="517" t="s">
        <v>4534</v>
      </c>
      <c r="U1452" s="400" t="s">
        <v>5614</v>
      </c>
      <c r="V1452" s="399"/>
      <c r="W1452" s="399"/>
      <c r="X1452" s="400"/>
      <c r="Y1452" s="399" t="s">
        <v>208</v>
      </c>
      <c r="Z1452" s="400"/>
      <c r="AA1452" s="399" t="s">
        <v>113</v>
      </c>
      <c r="AB1452" s="400" t="s">
        <v>3178</v>
      </c>
      <c r="AC1452" s="532" t="s">
        <v>4535</v>
      </c>
      <c r="AD1452" s="400"/>
      <c r="AE1452" s="400"/>
      <c r="AF1452" s="400"/>
      <c r="AG1452" s="399" t="s">
        <v>4489</v>
      </c>
      <c r="AH1452" s="532" t="s">
        <v>3851</v>
      </c>
      <c r="AI1452" s="400"/>
      <c r="AJ1452" s="400"/>
      <c r="AK1452" s="399"/>
      <c r="AL1452" s="399"/>
      <c r="AM1452" s="399"/>
      <c r="AN1452" s="399"/>
      <c r="AO1452" s="399"/>
      <c r="AP1452" s="399"/>
      <c r="AQ1452" s="399"/>
      <c r="AR1452" s="399"/>
      <c r="AS1452" s="399"/>
      <c r="AT1452" s="400"/>
      <c r="AU1452" s="400"/>
      <c r="AV1452" s="400"/>
      <c r="AW1452" s="541"/>
      <c r="AX1452" s="541"/>
      <c r="AY1452" s="541"/>
      <c r="AZ1452" s="541"/>
      <c r="BA1452" s="541"/>
      <c r="BB1452" s="400"/>
      <c r="BC1452" s="399" t="str">
        <f t="shared" si="2"/>
        <v/>
      </c>
      <c r="BD1452" s="400"/>
      <c r="BE1452" s="400"/>
      <c r="BF1452" s="400"/>
      <c r="BG1452" s="540"/>
      <c r="BH1452" s="407"/>
      <c r="BI1452" s="407"/>
      <c r="BJ1452" s="543"/>
      <c r="BK1452" s="46">
        <f t="shared" si="1"/>
        <v>1</v>
      </c>
      <c r="BL1452" s="46">
        <f t="shared" si="3"/>
        <v>0</v>
      </c>
      <c r="BM1452" s="46">
        <f t="shared" si="4"/>
        <v>1</v>
      </c>
      <c r="BN1452" s="46">
        <f t="shared" si="5"/>
        <v>0</v>
      </c>
    </row>
    <row r="1453" spans="1:66" ht="12.75" customHeight="1">
      <c r="A1453" s="399">
        <v>1463</v>
      </c>
      <c r="B1453" s="399" t="s">
        <v>4540</v>
      </c>
      <c r="C1453" s="399" t="e">
        <f t="shared" ca="1" si="0"/>
        <v>#NAME?</v>
      </c>
      <c r="D1453" s="400" t="s">
        <v>4539</v>
      </c>
      <c r="E1453" s="399" t="s">
        <v>180</v>
      </c>
      <c r="F1453" s="400" t="s">
        <v>4532</v>
      </c>
      <c r="G1453" s="400"/>
      <c r="H1453" s="400"/>
      <c r="I1453" s="400"/>
      <c r="J1453" s="400"/>
      <c r="K1453" s="400">
        <v>1</v>
      </c>
      <c r="L1453" s="400" t="s">
        <v>3333</v>
      </c>
      <c r="M1453" s="402" t="s">
        <v>4518</v>
      </c>
      <c r="N1453" s="400"/>
      <c r="O1453" s="428" t="s">
        <v>4417</v>
      </c>
      <c r="P1453" s="574"/>
      <c r="Q1453" s="399" t="s">
        <v>4537</v>
      </c>
      <c r="R1453" s="428"/>
      <c r="S1453" s="399"/>
      <c r="T1453" s="517" t="s">
        <v>4538</v>
      </c>
      <c r="U1453" s="400"/>
      <c r="V1453" s="399"/>
      <c r="W1453" s="399" t="s">
        <v>4539</v>
      </c>
      <c r="X1453" s="400"/>
      <c r="Y1453" s="399" t="s">
        <v>208</v>
      </c>
      <c r="Z1453" s="400"/>
      <c r="AA1453" s="399" t="s">
        <v>113</v>
      </c>
      <c r="AB1453" s="400" t="s">
        <v>3178</v>
      </c>
      <c r="AC1453" s="532"/>
      <c r="AD1453" s="400"/>
      <c r="AE1453" s="400"/>
      <c r="AF1453" s="400"/>
      <c r="AG1453" s="399"/>
      <c r="AH1453" s="532"/>
      <c r="AI1453" s="400"/>
      <c r="AJ1453" s="400"/>
      <c r="AK1453" s="399"/>
      <c r="AL1453" s="399"/>
      <c r="AM1453" s="399"/>
      <c r="AN1453" s="399"/>
      <c r="AO1453" s="399"/>
      <c r="AP1453" s="399"/>
      <c r="AQ1453" s="399"/>
      <c r="AR1453" s="399"/>
      <c r="AS1453" s="399"/>
      <c r="AT1453" s="400"/>
      <c r="AU1453" s="400"/>
      <c r="AV1453" s="400"/>
      <c r="AW1453" s="541"/>
      <c r="AX1453" s="541"/>
      <c r="AY1453" s="541"/>
      <c r="AZ1453" s="541"/>
      <c r="BA1453" s="541"/>
      <c r="BB1453" s="400"/>
      <c r="BC1453" s="399" t="e">
        <f t="shared" ca="1" si="2"/>
        <v>#NAME?</v>
      </c>
      <c r="BD1453" s="400"/>
      <c r="BE1453" s="400"/>
      <c r="BF1453" s="400"/>
      <c r="BG1453" s="540"/>
      <c r="BH1453" s="407"/>
      <c r="BI1453" s="407"/>
      <c r="BJ1453" s="543"/>
      <c r="BK1453" s="46">
        <f t="shared" si="1"/>
        <v>1</v>
      </c>
      <c r="BL1453" s="46">
        <f t="shared" si="3"/>
        <v>0</v>
      </c>
      <c r="BM1453" s="46">
        <f t="shared" si="4"/>
        <v>1</v>
      </c>
      <c r="BN1453" s="46">
        <f t="shared" si="5"/>
        <v>0</v>
      </c>
    </row>
    <row r="1454" spans="1:66" ht="12.75" customHeight="1">
      <c r="A1454" s="399">
        <v>1464</v>
      </c>
      <c r="B1454" s="399" t="s">
        <v>4546</v>
      </c>
      <c r="C1454" s="399" t="e">
        <f t="shared" ca="1" si="0"/>
        <v>#NAME?</v>
      </c>
      <c r="D1454" s="400" t="s">
        <v>4545</v>
      </c>
      <c r="E1454" s="399" t="s">
        <v>180</v>
      </c>
      <c r="F1454" s="400" t="s">
        <v>4532</v>
      </c>
      <c r="G1454" s="400"/>
      <c r="H1454" s="400"/>
      <c r="I1454" s="400"/>
      <c r="J1454" s="400"/>
      <c r="K1454" s="400">
        <v>1</v>
      </c>
      <c r="L1454" s="400" t="s">
        <v>3333</v>
      </c>
      <c r="M1454" s="402" t="s">
        <v>4518</v>
      </c>
      <c r="N1454" s="400"/>
      <c r="O1454" s="428" t="s">
        <v>4417</v>
      </c>
      <c r="P1454" s="574"/>
      <c r="Q1454" s="399" t="s">
        <v>4543</v>
      </c>
      <c r="R1454" s="428"/>
      <c r="S1454" s="399"/>
      <c r="T1454" s="610" t="s">
        <v>4544</v>
      </c>
      <c r="U1454" s="400"/>
      <c r="V1454" s="399"/>
      <c r="W1454" s="399" t="s">
        <v>4545</v>
      </c>
      <c r="X1454" s="400"/>
      <c r="Y1454" s="399" t="s">
        <v>208</v>
      </c>
      <c r="Z1454" s="400"/>
      <c r="AA1454" s="399" t="s">
        <v>113</v>
      </c>
      <c r="AB1454" s="400" t="s">
        <v>3178</v>
      </c>
      <c r="AC1454" s="532"/>
      <c r="AD1454" s="400"/>
      <c r="AE1454" s="400"/>
      <c r="AF1454" s="400"/>
      <c r="AG1454" s="399" t="s">
        <v>4489</v>
      </c>
      <c r="AH1454" s="532" t="s">
        <v>3851</v>
      </c>
      <c r="AI1454" s="400"/>
      <c r="AJ1454" s="400"/>
      <c r="AK1454" s="399"/>
      <c r="AL1454" s="399"/>
      <c r="AM1454" s="399"/>
      <c r="AN1454" s="399"/>
      <c r="AO1454" s="399"/>
      <c r="AP1454" s="399"/>
      <c r="AQ1454" s="399"/>
      <c r="AR1454" s="399"/>
      <c r="AS1454" s="399"/>
      <c r="AT1454" s="400"/>
      <c r="AU1454" s="400"/>
      <c r="AV1454" s="400"/>
      <c r="AW1454" s="541"/>
      <c r="AX1454" s="541"/>
      <c r="AY1454" s="541"/>
      <c r="AZ1454" s="541"/>
      <c r="BA1454" s="541"/>
      <c r="BB1454" s="400"/>
      <c r="BC1454" s="399" t="e">
        <f t="shared" ca="1" si="2"/>
        <v>#NAME?</v>
      </c>
      <c r="BD1454" s="400"/>
      <c r="BE1454" s="400"/>
      <c r="BF1454" s="400"/>
      <c r="BG1454" s="540"/>
      <c r="BH1454" s="407"/>
      <c r="BI1454" s="407"/>
      <c r="BJ1454" s="543"/>
      <c r="BK1454" s="46">
        <f t="shared" si="1"/>
        <v>1</v>
      </c>
      <c r="BL1454" s="46">
        <f t="shared" si="3"/>
        <v>0</v>
      </c>
      <c r="BM1454" s="46">
        <f t="shared" si="4"/>
        <v>1</v>
      </c>
      <c r="BN1454" s="46">
        <f t="shared" si="5"/>
        <v>0</v>
      </c>
    </row>
    <row r="1455" spans="1:66" ht="12.75" customHeight="1">
      <c r="A1455" s="399">
        <v>1465</v>
      </c>
      <c r="B1455" s="399" t="s">
        <v>4553</v>
      </c>
      <c r="C1455" s="399" t="e">
        <f t="shared" ca="1" si="0"/>
        <v>#NAME?</v>
      </c>
      <c r="D1455" s="400" t="s">
        <v>4551</v>
      </c>
      <c r="E1455" s="399" t="s">
        <v>180</v>
      </c>
      <c r="F1455" s="400" t="s">
        <v>4532</v>
      </c>
      <c r="G1455" s="400"/>
      <c r="H1455" s="400"/>
      <c r="I1455" s="400"/>
      <c r="J1455" s="400"/>
      <c r="K1455" s="400">
        <v>1</v>
      </c>
      <c r="L1455" s="400" t="s">
        <v>3333</v>
      </c>
      <c r="M1455" s="402" t="s">
        <v>4518</v>
      </c>
      <c r="N1455" s="400"/>
      <c r="O1455" s="428" t="s">
        <v>4417</v>
      </c>
      <c r="P1455" s="574"/>
      <c r="Q1455" s="399" t="s">
        <v>4552</v>
      </c>
      <c r="R1455" s="428"/>
      <c r="S1455" s="399"/>
      <c r="T1455" s="610" t="s">
        <v>4551</v>
      </c>
      <c r="U1455" s="400"/>
      <c r="V1455" s="612"/>
      <c r="W1455" s="612" t="s">
        <v>4551</v>
      </c>
      <c r="X1455" s="610"/>
      <c r="Y1455" s="399" t="s">
        <v>208</v>
      </c>
      <c r="Z1455" s="400"/>
      <c r="AA1455" s="399" t="s">
        <v>113</v>
      </c>
      <c r="AB1455" s="400" t="s">
        <v>3178</v>
      </c>
      <c r="AC1455" s="532"/>
      <c r="AD1455" s="400"/>
      <c r="AE1455" s="400"/>
      <c r="AF1455" s="400"/>
      <c r="AG1455" s="399" t="s">
        <v>4489</v>
      </c>
      <c r="AH1455" s="532" t="s">
        <v>3851</v>
      </c>
      <c r="AI1455" s="400"/>
      <c r="AJ1455" s="400"/>
      <c r="AK1455" s="399"/>
      <c r="AL1455" s="399"/>
      <c r="AM1455" s="399"/>
      <c r="AN1455" s="399"/>
      <c r="AO1455" s="399"/>
      <c r="AP1455" s="399"/>
      <c r="AQ1455" s="399"/>
      <c r="AR1455" s="399"/>
      <c r="AS1455" s="399"/>
      <c r="AT1455" s="400"/>
      <c r="AU1455" s="400"/>
      <c r="AV1455" s="400"/>
      <c r="AW1455" s="541"/>
      <c r="AX1455" s="541"/>
      <c r="AY1455" s="541"/>
      <c r="AZ1455" s="541"/>
      <c r="BA1455" s="541"/>
      <c r="BB1455" s="400"/>
      <c r="BC1455" s="399" t="e">
        <f t="shared" ca="1" si="2"/>
        <v>#NAME?</v>
      </c>
      <c r="BD1455" s="400"/>
      <c r="BE1455" s="400"/>
      <c r="BF1455" s="400"/>
      <c r="BG1455" s="540"/>
      <c r="BH1455" s="407"/>
      <c r="BI1455" s="407"/>
      <c r="BJ1455" s="543"/>
      <c r="BK1455" s="46">
        <f t="shared" si="1"/>
        <v>1</v>
      </c>
      <c r="BL1455" s="46">
        <f t="shared" si="3"/>
        <v>0</v>
      </c>
      <c r="BM1455" s="46">
        <f t="shared" si="4"/>
        <v>1</v>
      </c>
      <c r="BN1455" s="46">
        <f t="shared" si="5"/>
        <v>0</v>
      </c>
    </row>
    <row r="1456" spans="1:66" ht="12.75" customHeight="1">
      <c r="A1456" s="399">
        <v>1466</v>
      </c>
      <c r="B1456" s="399" t="s">
        <v>4557</v>
      </c>
      <c r="C1456" s="399" t="e">
        <f t="shared" ca="1" si="0"/>
        <v>#NAME?</v>
      </c>
      <c r="D1456" s="400" t="s">
        <v>4555</v>
      </c>
      <c r="E1456" s="399" t="s">
        <v>180</v>
      </c>
      <c r="F1456" s="400" t="s">
        <v>4532</v>
      </c>
      <c r="G1456" s="400"/>
      <c r="H1456" s="400"/>
      <c r="I1456" s="400"/>
      <c r="J1456" s="400"/>
      <c r="K1456" s="400">
        <v>1</v>
      </c>
      <c r="L1456" s="400" t="s">
        <v>3333</v>
      </c>
      <c r="M1456" s="402" t="s">
        <v>4518</v>
      </c>
      <c r="N1456" s="400"/>
      <c r="O1456" s="428" t="s">
        <v>4417</v>
      </c>
      <c r="P1456" s="574"/>
      <c r="Q1456" s="399" t="s">
        <v>4556</v>
      </c>
      <c r="R1456" s="428"/>
      <c r="S1456" s="399"/>
      <c r="T1456" s="399" t="s">
        <v>4555</v>
      </c>
      <c r="U1456" s="400"/>
      <c r="V1456" s="399"/>
      <c r="W1456" s="399" t="s">
        <v>4555</v>
      </c>
      <c r="X1456" s="399"/>
      <c r="Y1456" s="399" t="s">
        <v>208</v>
      </c>
      <c r="Z1456" s="400"/>
      <c r="AA1456" s="399" t="s">
        <v>113</v>
      </c>
      <c r="AB1456" s="400" t="s">
        <v>3178</v>
      </c>
      <c r="AC1456" s="532"/>
      <c r="AD1456" s="400"/>
      <c r="AE1456" s="400"/>
      <c r="AF1456" s="400"/>
      <c r="AG1456" s="399"/>
      <c r="AH1456" s="532"/>
      <c r="AI1456" s="400"/>
      <c r="AJ1456" s="400"/>
      <c r="AK1456" s="399"/>
      <c r="AL1456" s="399"/>
      <c r="AM1456" s="399"/>
      <c r="AN1456" s="399"/>
      <c r="AO1456" s="399"/>
      <c r="AP1456" s="399"/>
      <c r="AQ1456" s="399"/>
      <c r="AR1456" s="399"/>
      <c r="AS1456" s="399"/>
      <c r="AT1456" s="400"/>
      <c r="AU1456" s="400"/>
      <c r="AV1456" s="400"/>
      <c r="AW1456" s="541"/>
      <c r="AX1456" s="541"/>
      <c r="AY1456" s="541"/>
      <c r="AZ1456" s="541"/>
      <c r="BA1456" s="541"/>
      <c r="BB1456" s="400"/>
      <c r="BC1456" s="399" t="e">
        <f t="shared" ca="1" si="2"/>
        <v>#NAME?</v>
      </c>
      <c r="BD1456" s="400"/>
      <c r="BE1456" s="400"/>
      <c r="BF1456" s="400"/>
      <c r="BG1456" s="540"/>
      <c r="BH1456" s="407"/>
      <c r="BI1456" s="407"/>
      <c r="BJ1456" s="543"/>
      <c r="BK1456" s="46">
        <f t="shared" si="1"/>
        <v>1</v>
      </c>
      <c r="BL1456" s="46">
        <f t="shared" si="3"/>
        <v>0</v>
      </c>
      <c r="BM1456" s="46">
        <f t="shared" si="4"/>
        <v>1</v>
      </c>
      <c r="BN1456" s="46">
        <f t="shared" si="5"/>
        <v>0</v>
      </c>
    </row>
    <row r="1457" spans="1:66" ht="12.75" customHeight="1">
      <c r="A1457" s="399">
        <v>1467</v>
      </c>
      <c r="B1457" s="399" t="s">
        <v>4562</v>
      </c>
      <c r="C1457" s="399" t="e">
        <f t="shared" ca="1" si="0"/>
        <v>#NAME?</v>
      </c>
      <c r="D1457" s="400" t="s">
        <v>4560</v>
      </c>
      <c r="E1457" s="399" t="s">
        <v>180</v>
      </c>
      <c r="F1457" s="400" t="s">
        <v>4532</v>
      </c>
      <c r="G1457" s="400"/>
      <c r="H1457" s="400"/>
      <c r="I1457" s="400"/>
      <c r="J1457" s="400"/>
      <c r="K1457" s="400">
        <v>1</v>
      </c>
      <c r="L1457" s="400" t="s">
        <v>3333</v>
      </c>
      <c r="M1457" s="402" t="s">
        <v>4518</v>
      </c>
      <c r="N1457" s="400"/>
      <c r="O1457" s="428" t="s">
        <v>4417</v>
      </c>
      <c r="P1457" s="574"/>
      <c r="Q1457" s="399" t="s">
        <v>4561</v>
      </c>
      <c r="R1457" s="428"/>
      <c r="S1457" s="399"/>
      <c r="T1457" s="399" t="s">
        <v>4560</v>
      </c>
      <c r="U1457" s="400"/>
      <c r="V1457" s="399"/>
      <c r="W1457" s="399" t="s">
        <v>4560</v>
      </c>
      <c r="X1457" s="399"/>
      <c r="Y1457" s="399" t="s">
        <v>208</v>
      </c>
      <c r="Z1457" s="400"/>
      <c r="AA1457" s="399" t="s">
        <v>113</v>
      </c>
      <c r="AB1457" s="400" t="s">
        <v>3178</v>
      </c>
      <c r="AC1457" s="532"/>
      <c r="AD1457" s="400"/>
      <c r="AE1457" s="400"/>
      <c r="AF1457" s="400"/>
      <c r="AG1457" s="399"/>
      <c r="AH1457" s="532"/>
      <c r="AI1457" s="400"/>
      <c r="AJ1457" s="400"/>
      <c r="AK1457" s="399"/>
      <c r="AL1457" s="399"/>
      <c r="AM1457" s="399"/>
      <c r="AN1457" s="399"/>
      <c r="AO1457" s="399"/>
      <c r="AP1457" s="399"/>
      <c r="AQ1457" s="399"/>
      <c r="AR1457" s="399"/>
      <c r="AS1457" s="399"/>
      <c r="AT1457" s="400"/>
      <c r="AU1457" s="400"/>
      <c r="AV1457" s="400"/>
      <c r="AW1457" s="541"/>
      <c r="AX1457" s="541"/>
      <c r="AY1457" s="541"/>
      <c r="AZ1457" s="541"/>
      <c r="BA1457" s="541"/>
      <c r="BB1457" s="400"/>
      <c r="BC1457" s="399" t="e">
        <f t="shared" ca="1" si="2"/>
        <v>#NAME?</v>
      </c>
      <c r="BD1457" s="400"/>
      <c r="BE1457" s="400"/>
      <c r="BF1457" s="400"/>
      <c r="BG1457" s="540"/>
      <c r="BH1457" s="407"/>
      <c r="BI1457" s="407"/>
      <c r="BJ1457" s="543"/>
      <c r="BK1457" s="46">
        <f t="shared" si="1"/>
        <v>1</v>
      </c>
      <c r="BL1457" s="46">
        <f t="shared" si="3"/>
        <v>0</v>
      </c>
      <c r="BM1457" s="46">
        <f t="shared" si="4"/>
        <v>1</v>
      </c>
      <c r="BN1457" s="46">
        <f t="shared" si="5"/>
        <v>0</v>
      </c>
    </row>
    <row r="1458" spans="1:66" ht="12.75" customHeight="1">
      <c r="A1458" s="399">
        <v>1468</v>
      </c>
      <c r="B1458" s="399" t="s">
        <v>4567</v>
      </c>
      <c r="C1458" s="399" t="e">
        <f t="shared" ca="1" si="0"/>
        <v>#NAME?</v>
      </c>
      <c r="D1458" s="400" t="s">
        <v>4565</v>
      </c>
      <c r="E1458" s="399" t="s">
        <v>180</v>
      </c>
      <c r="F1458" s="400" t="s">
        <v>4532</v>
      </c>
      <c r="G1458" s="400"/>
      <c r="H1458" s="400"/>
      <c r="I1458" s="400"/>
      <c r="J1458" s="400"/>
      <c r="K1458" s="400">
        <v>1</v>
      </c>
      <c r="L1458" s="400" t="s">
        <v>3333</v>
      </c>
      <c r="M1458" s="402" t="s">
        <v>4518</v>
      </c>
      <c r="N1458" s="400"/>
      <c r="O1458" s="428" t="s">
        <v>4417</v>
      </c>
      <c r="P1458" s="574"/>
      <c r="Q1458" s="399" t="s">
        <v>4566</v>
      </c>
      <c r="R1458" s="428"/>
      <c r="S1458" s="399"/>
      <c r="T1458" s="399" t="s">
        <v>4565</v>
      </c>
      <c r="U1458" s="400"/>
      <c r="V1458" s="399"/>
      <c r="W1458" s="399" t="s">
        <v>4565</v>
      </c>
      <c r="X1458" s="399"/>
      <c r="Y1458" s="399" t="s">
        <v>208</v>
      </c>
      <c r="Z1458" s="400"/>
      <c r="AA1458" s="399" t="s">
        <v>113</v>
      </c>
      <c r="AB1458" s="400" t="s">
        <v>3178</v>
      </c>
      <c r="AC1458" s="532"/>
      <c r="AD1458" s="400"/>
      <c r="AE1458" s="400"/>
      <c r="AF1458" s="400"/>
      <c r="AG1458" s="399"/>
      <c r="AH1458" s="532"/>
      <c r="AI1458" s="400"/>
      <c r="AJ1458" s="400"/>
      <c r="AK1458" s="399"/>
      <c r="AL1458" s="399"/>
      <c r="AM1458" s="399"/>
      <c r="AN1458" s="399"/>
      <c r="AO1458" s="399"/>
      <c r="AP1458" s="399"/>
      <c r="AQ1458" s="399"/>
      <c r="AR1458" s="399"/>
      <c r="AS1458" s="399"/>
      <c r="AT1458" s="400"/>
      <c r="AU1458" s="400"/>
      <c r="AV1458" s="400"/>
      <c r="AW1458" s="541"/>
      <c r="AX1458" s="541"/>
      <c r="AY1458" s="541"/>
      <c r="AZ1458" s="541"/>
      <c r="BA1458" s="541"/>
      <c r="BB1458" s="400"/>
      <c r="BC1458" s="399" t="e">
        <f t="shared" ca="1" si="2"/>
        <v>#NAME?</v>
      </c>
      <c r="BD1458" s="400"/>
      <c r="BE1458" s="400"/>
      <c r="BF1458" s="400"/>
      <c r="BG1458" s="540"/>
      <c r="BH1458" s="407"/>
      <c r="BI1458" s="407"/>
      <c r="BJ1458" s="543"/>
      <c r="BK1458" s="46">
        <f t="shared" si="1"/>
        <v>1</v>
      </c>
      <c r="BL1458" s="46">
        <f t="shared" si="3"/>
        <v>0</v>
      </c>
      <c r="BM1458" s="46">
        <f t="shared" si="4"/>
        <v>1</v>
      </c>
      <c r="BN1458" s="46">
        <f t="shared" si="5"/>
        <v>0</v>
      </c>
    </row>
    <row r="1459" spans="1:66" ht="12.75" customHeight="1">
      <c r="A1459" s="399">
        <v>1469</v>
      </c>
      <c r="B1459" s="399" t="s">
        <v>1700</v>
      </c>
      <c r="C1459" s="399" t="e">
        <f t="shared" ca="1" si="0"/>
        <v>#NAME?</v>
      </c>
      <c r="D1459" s="400" t="s">
        <v>1229</v>
      </c>
      <c r="E1459" s="399" t="s">
        <v>180</v>
      </c>
      <c r="F1459" s="400" t="s">
        <v>4532</v>
      </c>
      <c r="G1459" s="400"/>
      <c r="H1459" s="400"/>
      <c r="I1459" s="400"/>
      <c r="J1459" s="400"/>
      <c r="K1459" s="400">
        <v>1</v>
      </c>
      <c r="L1459" s="400" t="s">
        <v>3333</v>
      </c>
      <c r="M1459" s="402" t="s">
        <v>4518</v>
      </c>
      <c r="N1459" s="400"/>
      <c r="O1459" s="428" t="s">
        <v>4417</v>
      </c>
      <c r="P1459" s="574"/>
      <c r="Q1459" s="399" t="s">
        <v>4570</v>
      </c>
      <c r="R1459" s="428"/>
      <c r="S1459" s="399"/>
      <c r="T1459" s="399" t="s">
        <v>1229</v>
      </c>
      <c r="U1459" s="400"/>
      <c r="V1459" s="399"/>
      <c r="W1459" s="399" t="s">
        <v>1229</v>
      </c>
      <c r="X1459" s="399"/>
      <c r="Y1459" s="399" t="s">
        <v>208</v>
      </c>
      <c r="Z1459" s="400"/>
      <c r="AA1459" s="399" t="s">
        <v>113</v>
      </c>
      <c r="AB1459" s="400" t="s">
        <v>3178</v>
      </c>
      <c r="AC1459" s="532"/>
      <c r="AD1459" s="400"/>
      <c r="AE1459" s="400"/>
      <c r="AF1459" s="400"/>
      <c r="AG1459" s="399"/>
      <c r="AH1459" s="532"/>
      <c r="AI1459" s="400"/>
      <c r="AJ1459" s="400"/>
      <c r="AK1459" s="399"/>
      <c r="AL1459" s="399"/>
      <c r="AM1459" s="399"/>
      <c r="AN1459" s="399"/>
      <c r="AO1459" s="399"/>
      <c r="AP1459" s="399"/>
      <c r="AQ1459" s="399"/>
      <c r="AR1459" s="399"/>
      <c r="AS1459" s="399"/>
      <c r="AT1459" s="400"/>
      <c r="AU1459" s="400"/>
      <c r="AV1459" s="400"/>
      <c r="AW1459" s="541"/>
      <c r="AX1459" s="541"/>
      <c r="AY1459" s="541"/>
      <c r="AZ1459" s="541"/>
      <c r="BA1459" s="541"/>
      <c r="BB1459" s="400"/>
      <c r="BC1459" s="399" t="e">
        <f t="shared" ca="1" si="2"/>
        <v>#NAME?</v>
      </c>
      <c r="BD1459" s="400"/>
      <c r="BE1459" s="400"/>
      <c r="BF1459" s="400"/>
      <c r="BG1459" s="540"/>
      <c r="BH1459" s="407"/>
      <c r="BI1459" s="407"/>
      <c r="BJ1459" s="543"/>
      <c r="BK1459" s="46">
        <f t="shared" si="1"/>
        <v>1</v>
      </c>
      <c r="BL1459" s="46">
        <f t="shared" si="3"/>
        <v>0</v>
      </c>
      <c r="BM1459" s="46">
        <f t="shared" si="4"/>
        <v>1</v>
      </c>
      <c r="BN1459" s="46">
        <f t="shared" si="5"/>
        <v>0</v>
      </c>
    </row>
    <row r="1460" spans="1:66" ht="12.75" customHeight="1">
      <c r="A1460" s="399">
        <v>1470</v>
      </c>
      <c r="B1460" s="399" t="s">
        <v>4575</v>
      </c>
      <c r="C1460" s="399" t="e">
        <f t="shared" ca="1" si="0"/>
        <v>#NAME?</v>
      </c>
      <c r="D1460" s="400" t="s">
        <v>4573</v>
      </c>
      <c r="E1460" s="399" t="s">
        <v>180</v>
      </c>
      <c r="F1460" s="400" t="s">
        <v>4532</v>
      </c>
      <c r="G1460" s="400"/>
      <c r="H1460" s="400"/>
      <c r="I1460" s="400"/>
      <c r="J1460" s="400"/>
      <c r="K1460" s="400">
        <v>1</v>
      </c>
      <c r="L1460" s="400" t="s">
        <v>3333</v>
      </c>
      <c r="M1460" s="402" t="s">
        <v>4518</v>
      </c>
      <c r="N1460" s="400"/>
      <c r="O1460" s="428" t="s">
        <v>4417</v>
      </c>
      <c r="P1460" s="574"/>
      <c r="Q1460" s="399" t="s">
        <v>4574</v>
      </c>
      <c r="R1460" s="428"/>
      <c r="S1460" s="399"/>
      <c r="T1460" s="399" t="s">
        <v>4573</v>
      </c>
      <c r="U1460" s="400"/>
      <c r="V1460" s="399"/>
      <c r="W1460" s="399" t="s">
        <v>4573</v>
      </c>
      <c r="X1460" s="399"/>
      <c r="Y1460" s="399" t="s">
        <v>208</v>
      </c>
      <c r="Z1460" s="400"/>
      <c r="AA1460" s="399" t="s">
        <v>113</v>
      </c>
      <c r="AB1460" s="400" t="s">
        <v>3178</v>
      </c>
      <c r="AC1460" s="532"/>
      <c r="AD1460" s="400"/>
      <c r="AE1460" s="400"/>
      <c r="AF1460" s="400"/>
      <c r="AG1460" s="399"/>
      <c r="AH1460" s="532"/>
      <c r="AI1460" s="400"/>
      <c r="AJ1460" s="400"/>
      <c r="AK1460" s="399"/>
      <c r="AL1460" s="399"/>
      <c r="AM1460" s="399"/>
      <c r="AN1460" s="399"/>
      <c r="AO1460" s="399"/>
      <c r="AP1460" s="399"/>
      <c r="AQ1460" s="399"/>
      <c r="AR1460" s="399"/>
      <c r="AS1460" s="399"/>
      <c r="AT1460" s="400"/>
      <c r="AU1460" s="400"/>
      <c r="AV1460" s="400"/>
      <c r="AW1460" s="541"/>
      <c r="AX1460" s="541"/>
      <c r="AY1460" s="541"/>
      <c r="AZ1460" s="541"/>
      <c r="BA1460" s="541"/>
      <c r="BB1460" s="400"/>
      <c r="BC1460" s="399" t="e">
        <f t="shared" ca="1" si="2"/>
        <v>#NAME?</v>
      </c>
      <c r="BD1460" s="400"/>
      <c r="BE1460" s="400"/>
      <c r="BF1460" s="400"/>
      <c r="BG1460" s="540"/>
      <c r="BH1460" s="407"/>
      <c r="BI1460" s="407"/>
      <c r="BJ1460" s="543"/>
      <c r="BK1460" s="46">
        <f t="shared" si="1"/>
        <v>1</v>
      </c>
      <c r="BL1460" s="46">
        <f t="shared" si="3"/>
        <v>0</v>
      </c>
      <c r="BM1460" s="46">
        <f t="shared" si="4"/>
        <v>1</v>
      </c>
      <c r="BN1460" s="46">
        <f t="shared" si="5"/>
        <v>0</v>
      </c>
    </row>
    <row r="1461" spans="1:66" ht="12.75" customHeight="1">
      <c r="A1461" s="399">
        <v>1471</v>
      </c>
      <c r="B1461" s="399" t="s">
        <v>4580</v>
      </c>
      <c r="C1461" s="399" t="e">
        <f t="shared" ca="1" si="0"/>
        <v>#NAME?</v>
      </c>
      <c r="D1461" s="400" t="s">
        <v>4577</v>
      </c>
      <c r="E1461" s="399" t="s">
        <v>180</v>
      </c>
      <c r="F1461" s="400" t="s">
        <v>4532</v>
      </c>
      <c r="G1461" s="400"/>
      <c r="H1461" s="400"/>
      <c r="I1461" s="400"/>
      <c r="J1461" s="400"/>
      <c r="K1461" s="400">
        <v>1</v>
      </c>
      <c r="L1461" s="400" t="s">
        <v>3333</v>
      </c>
      <c r="M1461" s="402" t="s">
        <v>4518</v>
      </c>
      <c r="N1461" s="400"/>
      <c r="O1461" s="428" t="s">
        <v>4417</v>
      </c>
      <c r="P1461" s="574"/>
      <c r="Q1461" s="399" t="s">
        <v>4578</v>
      </c>
      <c r="R1461" s="428" t="s">
        <v>4577</v>
      </c>
      <c r="S1461" s="399"/>
      <c r="T1461" s="399"/>
      <c r="U1461" s="400"/>
      <c r="V1461" s="399"/>
      <c r="W1461" s="399"/>
      <c r="X1461" s="400"/>
      <c r="Y1461" s="399" t="s">
        <v>208</v>
      </c>
      <c r="Z1461" s="400"/>
      <c r="AA1461" s="399" t="s">
        <v>113</v>
      </c>
      <c r="AB1461" s="400" t="s">
        <v>3178</v>
      </c>
      <c r="AC1461" s="532" t="s">
        <v>4579</v>
      </c>
      <c r="AD1461" s="400"/>
      <c r="AE1461" s="400"/>
      <c r="AF1461" s="400"/>
      <c r="AG1461" s="399" t="s">
        <v>4489</v>
      </c>
      <c r="AH1461" s="532" t="s">
        <v>3851</v>
      </c>
      <c r="AI1461" s="400"/>
      <c r="AJ1461" s="400"/>
      <c r="AK1461" s="399"/>
      <c r="AL1461" s="399"/>
      <c r="AM1461" s="399"/>
      <c r="AN1461" s="399"/>
      <c r="AO1461" s="399"/>
      <c r="AP1461" s="399"/>
      <c r="AQ1461" s="399"/>
      <c r="AR1461" s="399"/>
      <c r="AS1461" s="399"/>
      <c r="AT1461" s="400" t="s">
        <v>4581</v>
      </c>
      <c r="AU1461" s="400" t="s">
        <v>4582</v>
      </c>
      <c r="AV1461" s="400">
        <v>49601007</v>
      </c>
      <c r="AW1461" s="541"/>
      <c r="AX1461" s="541"/>
      <c r="AY1461" s="541"/>
      <c r="AZ1461" s="541"/>
      <c r="BA1461" s="541"/>
      <c r="BB1461" s="400"/>
      <c r="BC1461" s="399" t="e">
        <f t="shared" ca="1" si="2"/>
        <v>#NAME?</v>
      </c>
      <c r="BD1461" s="400">
        <v>119270</v>
      </c>
      <c r="BE1461" s="400"/>
      <c r="BF1461" s="400"/>
      <c r="BG1461" s="540"/>
      <c r="BH1461" s="407" t="s">
        <v>4581</v>
      </c>
      <c r="BI1461" s="407">
        <v>49601007</v>
      </c>
      <c r="BJ1461" s="543"/>
      <c r="BK1461" s="46">
        <f t="shared" si="1"/>
        <v>1</v>
      </c>
      <c r="BL1461" s="46">
        <f t="shared" si="3"/>
        <v>1</v>
      </c>
      <c r="BM1461" s="46">
        <f t="shared" si="4"/>
        <v>0</v>
      </c>
      <c r="BN1461" s="46">
        <f t="shared" si="5"/>
        <v>0</v>
      </c>
    </row>
    <row r="1462" spans="1:66" ht="12.75" customHeight="1">
      <c r="A1462" s="399">
        <v>1472</v>
      </c>
      <c r="B1462" s="399" t="s">
        <v>4588</v>
      </c>
      <c r="C1462" s="399" t="e">
        <f t="shared" ca="1" si="0"/>
        <v>#NAME?</v>
      </c>
      <c r="D1462" s="400" t="s">
        <v>4584</v>
      </c>
      <c r="E1462" s="399" t="s">
        <v>180</v>
      </c>
      <c r="F1462" s="400" t="s">
        <v>4532</v>
      </c>
      <c r="G1462" s="400"/>
      <c r="H1462" s="400"/>
      <c r="I1462" s="400"/>
      <c r="J1462" s="400"/>
      <c r="K1462" s="400">
        <v>1</v>
      </c>
      <c r="L1462" s="400" t="s">
        <v>3333</v>
      </c>
      <c r="M1462" s="402" t="s">
        <v>4518</v>
      </c>
      <c r="N1462" s="400"/>
      <c r="O1462" s="428" t="s">
        <v>4417</v>
      </c>
      <c r="P1462" s="574"/>
      <c r="Q1462" s="399" t="s">
        <v>4585</v>
      </c>
      <c r="R1462" s="428" t="s">
        <v>4584</v>
      </c>
      <c r="S1462" s="399"/>
      <c r="T1462" s="399" t="s">
        <v>4586</v>
      </c>
      <c r="U1462" s="400"/>
      <c r="V1462" s="399"/>
      <c r="W1462" s="399"/>
      <c r="X1462" s="400"/>
      <c r="Y1462" s="399" t="s">
        <v>208</v>
      </c>
      <c r="Z1462" s="400"/>
      <c r="AA1462" s="399" t="s">
        <v>113</v>
      </c>
      <c r="AB1462" s="400" t="s">
        <v>3178</v>
      </c>
      <c r="AC1462" s="532" t="s">
        <v>4587</v>
      </c>
      <c r="AD1462" s="400"/>
      <c r="AE1462" s="400"/>
      <c r="AF1462" s="400"/>
      <c r="AG1462" s="399" t="s">
        <v>4489</v>
      </c>
      <c r="AH1462" s="532" t="s">
        <v>3851</v>
      </c>
      <c r="AI1462" s="400"/>
      <c r="AJ1462" s="400"/>
      <c r="AK1462" s="399"/>
      <c r="AL1462" s="399"/>
      <c r="AM1462" s="399"/>
      <c r="AN1462" s="399"/>
      <c r="AO1462" s="399"/>
      <c r="AP1462" s="399"/>
      <c r="AQ1462" s="399"/>
      <c r="AR1462" s="399"/>
      <c r="AS1462" s="399"/>
      <c r="AT1462" s="400"/>
      <c r="AU1462" s="400"/>
      <c r="AV1462" s="400"/>
      <c r="AW1462" s="541"/>
      <c r="AX1462" s="541"/>
      <c r="AY1462" s="541"/>
      <c r="AZ1462" s="541"/>
      <c r="BA1462" s="541"/>
      <c r="BB1462" s="400"/>
      <c r="BC1462" s="399" t="e">
        <f t="shared" ca="1" si="2"/>
        <v>#NAME?</v>
      </c>
      <c r="BD1462" s="400"/>
      <c r="BE1462" s="400"/>
      <c r="BF1462" s="400"/>
      <c r="BG1462" s="540"/>
      <c r="BH1462" s="407"/>
      <c r="BI1462" s="407"/>
      <c r="BJ1462" s="543"/>
      <c r="BK1462" s="46">
        <f t="shared" si="1"/>
        <v>1</v>
      </c>
      <c r="BL1462" s="46">
        <f t="shared" si="3"/>
        <v>0</v>
      </c>
      <c r="BM1462" s="46">
        <f t="shared" si="4"/>
        <v>1</v>
      </c>
      <c r="BN1462" s="46">
        <f t="shared" si="5"/>
        <v>0</v>
      </c>
    </row>
    <row r="1463" spans="1:66" ht="12.75" customHeight="1">
      <c r="A1463" s="399">
        <v>1473</v>
      </c>
      <c r="B1463" s="399" t="s">
        <v>4591</v>
      </c>
      <c r="C1463" s="399" t="e">
        <f t="shared" ca="1" si="0"/>
        <v>#NAME?</v>
      </c>
      <c r="D1463" s="400" t="s">
        <v>4589</v>
      </c>
      <c r="E1463" s="399" t="s">
        <v>180</v>
      </c>
      <c r="F1463" s="400" t="s">
        <v>4532</v>
      </c>
      <c r="G1463" s="400"/>
      <c r="H1463" s="400"/>
      <c r="I1463" s="400"/>
      <c r="J1463" s="400"/>
      <c r="K1463" s="400">
        <v>1</v>
      </c>
      <c r="L1463" s="400" t="s">
        <v>3333</v>
      </c>
      <c r="M1463" s="402" t="s">
        <v>4518</v>
      </c>
      <c r="N1463" s="400"/>
      <c r="O1463" s="428" t="s">
        <v>4417</v>
      </c>
      <c r="P1463" s="574"/>
      <c r="Q1463" s="399" t="s">
        <v>4590</v>
      </c>
      <c r="R1463" s="428"/>
      <c r="S1463" s="399"/>
      <c r="T1463" s="399"/>
      <c r="U1463" s="400"/>
      <c r="V1463" s="399"/>
      <c r="W1463" s="399" t="s">
        <v>4589</v>
      </c>
      <c r="X1463" s="400"/>
      <c r="Y1463" s="399" t="s">
        <v>208</v>
      </c>
      <c r="Z1463" s="400"/>
      <c r="AA1463" s="399" t="s">
        <v>113</v>
      </c>
      <c r="AB1463" s="400" t="s">
        <v>3178</v>
      </c>
      <c r="AC1463" s="532"/>
      <c r="AD1463" s="400"/>
      <c r="AE1463" s="400"/>
      <c r="AF1463" s="400"/>
      <c r="AG1463" s="399" t="s">
        <v>4489</v>
      </c>
      <c r="AH1463" s="532" t="s">
        <v>3851</v>
      </c>
      <c r="AI1463" s="400"/>
      <c r="AJ1463" s="400"/>
      <c r="AK1463" s="399"/>
      <c r="AL1463" s="399"/>
      <c r="AM1463" s="399"/>
      <c r="AN1463" s="399"/>
      <c r="AO1463" s="399"/>
      <c r="AP1463" s="399"/>
      <c r="AQ1463" s="399"/>
      <c r="AR1463" s="399"/>
      <c r="AS1463" s="399"/>
      <c r="AT1463" s="400" t="s">
        <v>4592</v>
      </c>
      <c r="AU1463" s="400" t="s">
        <v>4593</v>
      </c>
      <c r="AV1463" s="400">
        <v>25133001</v>
      </c>
      <c r="AW1463" s="541"/>
      <c r="AX1463" s="541"/>
      <c r="AY1463" s="541"/>
      <c r="AZ1463" s="541"/>
      <c r="BA1463" s="541"/>
      <c r="BB1463" s="400"/>
      <c r="BC1463" s="399" t="e">
        <f t="shared" ca="1" si="2"/>
        <v>#NAME?</v>
      </c>
      <c r="BD1463" s="400">
        <v>144475</v>
      </c>
      <c r="BE1463" s="400"/>
      <c r="BF1463" s="400"/>
      <c r="BG1463" s="540"/>
      <c r="BH1463" s="407" t="s">
        <v>4592</v>
      </c>
      <c r="BI1463" s="407">
        <v>25133001</v>
      </c>
      <c r="BJ1463" s="543"/>
      <c r="BK1463" s="46">
        <f t="shared" si="1"/>
        <v>1</v>
      </c>
      <c r="BL1463" s="46">
        <f t="shared" si="3"/>
        <v>1</v>
      </c>
      <c r="BM1463" s="46">
        <f t="shared" si="4"/>
        <v>0</v>
      </c>
      <c r="BN1463" s="46">
        <f t="shared" si="5"/>
        <v>0</v>
      </c>
    </row>
    <row r="1464" spans="1:66" ht="12.75" customHeight="1">
      <c r="A1464" s="399">
        <v>1474</v>
      </c>
      <c r="B1464" s="399" t="s">
        <v>4597</v>
      </c>
      <c r="C1464" s="399" t="e">
        <f t="shared" ca="1" si="0"/>
        <v>#NAME?</v>
      </c>
      <c r="D1464" s="400" t="s">
        <v>4595</v>
      </c>
      <c r="E1464" s="399" t="s">
        <v>180</v>
      </c>
      <c r="F1464" s="400" t="s">
        <v>4532</v>
      </c>
      <c r="G1464" s="400"/>
      <c r="H1464" s="400"/>
      <c r="I1464" s="400"/>
      <c r="J1464" s="400"/>
      <c r="K1464" s="400">
        <v>1</v>
      </c>
      <c r="L1464" s="400" t="s">
        <v>3333</v>
      </c>
      <c r="M1464" s="402" t="s">
        <v>4518</v>
      </c>
      <c r="N1464" s="400"/>
      <c r="O1464" s="428" t="s">
        <v>4417</v>
      </c>
      <c r="P1464" s="574"/>
      <c r="Q1464" s="399" t="s">
        <v>4596</v>
      </c>
      <c r="R1464" s="428"/>
      <c r="S1464" s="399"/>
      <c r="T1464" s="399"/>
      <c r="U1464" s="400"/>
      <c r="V1464" s="399"/>
      <c r="W1464" s="399" t="s">
        <v>4595</v>
      </c>
      <c r="X1464" s="400"/>
      <c r="Y1464" s="399" t="s">
        <v>208</v>
      </c>
      <c r="Z1464" s="400"/>
      <c r="AA1464" s="399" t="s">
        <v>113</v>
      </c>
      <c r="AB1464" s="400" t="s">
        <v>3178</v>
      </c>
      <c r="AC1464" s="532"/>
      <c r="AD1464" s="400"/>
      <c r="AE1464" s="400"/>
      <c r="AF1464" s="400"/>
      <c r="AG1464" s="399" t="s">
        <v>4489</v>
      </c>
      <c r="AH1464" s="532" t="s">
        <v>3851</v>
      </c>
      <c r="AI1464" s="400"/>
      <c r="AJ1464" s="400"/>
      <c r="AK1464" s="399"/>
      <c r="AL1464" s="399"/>
      <c r="AM1464" s="399"/>
      <c r="AN1464" s="399"/>
      <c r="AO1464" s="399"/>
      <c r="AP1464" s="399"/>
      <c r="AQ1464" s="399"/>
      <c r="AR1464" s="399"/>
      <c r="AS1464" s="399"/>
      <c r="AT1464" s="400" t="s">
        <v>4598</v>
      </c>
      <c r="AU1464" s="400" t="s">
        <v>4599</v>
      </c>
      <c r="AV1464" s="400">
        <v>413439005</v>
      </c>
      <c r="AW1464" s="541"/>
      <c r="AX1464" s="541"/>
      <c r="AY1464" s="541"/>
      <c r="AZ1464" s="541"/>
      <c r="BA1464" s="541"/>
      <c r="BB1464" s="400"/>
      <c r="BC1464" s="399" t="e">
        <f t="shared" ca="1" si="2"/>
        <v>#NAME?</v>
      </c>
      <c r="BD1464" s="400">
        <v>122009</v>
      </c>
      <c r="BE1464" s="400"/>
      <c r="BF1464" s="400"/>
      <c r="BG1464" s="540"/>
      <c r="BH1464" s="407" t="s">
        <v>4598</v>
      </c>
      <c r="BI1464" s="407">
        <v>413439005</v>
      </c>
      <c r="BJ1464" s="543"/>
      <c r="BK1464" s="46">
        <f t="shared" si="1"/>
        <v>1</v>
      </c>
      <c r="BL1464" s="46">
        <f t="shared" si="3"/>
        <v>1</v>
      </c>
      <c r="BM1464" s="46">
        <f t="shared" si="4"/>
        <v>0</v>
      </c>
      <c r="BN1464" s="46">
        <f t="shared" si="5"/>
        <v>0</v>
      </c>
    </row>
    <row r="1465" spans="1:66" ht="12.75" customHeight="1">
      <c r="A1465" s="399">
        <v>1475</v>
      </c>
      <c r="B1465" s="399" t="s">
        <v>4608</v>
      </c>
      <c r="C1465" s="399" t="str">
        <f t="shared" si="0"/>
        <v>Cardiovascular risk factor</v>
      </c>
      <c r="D1465" s="400" t="s">
        <v>4608</v>
      </c>
      <c r="E1465" s="399" t="s">
        <v>96</v>
      </c>
      <c r="F1465" s="400" t="s">
        <v>1787</v>
      </c>
      <c r="G1465" s="400"/>
      <c r="H1465" s="400"/>
      <c r="I1465" s="400"/>
      <c r="J1465" s="400"/>
      <c r="K1465" s="400">
        <v>1</v>
      </c>
      <c r="L1465" s="400" t="s">
        <v>3333</v>
      </c>
      <c r="M1465" s="402" t="s">
        <v>4518</v>
      </c>
      <c r="N1465" s="400"/>
      <c r="O1465" s="428" t="s">
        <v>4417</v>
      </c>
      <c r="P1465" s="574"/>
      <c r="Q1465" s="399" t="s">
        <v>4609</v>
      </c>
      <c r="R1465" s="428" t="s">
        <v>4608</v>
      </c>
      <c r="S1465" s="399"/>
      <c r="T1465" s="399" t="s">
        <v>4610</v>
      </c>
      <c r="U1465" s="400" t="s">
        <v>4823</v>
      </c>
      <c r="V1465" s="399"/>
      <c r="W1465" s="399"/>
      <c r="X1465" s="400"/>
      <c r="Y1465" s="399" t="s">
        <v>208</v>
      </c>
      <c r="Z1465" s="400"/>
      <c r="AA1465" s="399" t="s">
        <v>113</v>
      </c>
      <c r="AB1465" s="400" t="s">
        <v>3178</v>
      </c>
      <c r="AC1465" s="532" t="s">
        <v>4579</v>
      </c>
      <c r="AD1465" s="400"/>
      <c r="AE1465" s="400"/>
      <c r="AF1465" s="400"/>
      <c r="AG1465" s="399" t="s">
        <v>4489</v>
      </c>
      <c r="AH1465" s="532" t="s">
        <v>3851</v>
      </c>
      <c r="AI1465" s="400"/>
      <c r="AJ1465" s="400"/>
      <c r="AK1465" s="399"/>
      <c r="AL1465" s="399"/>
      <c r="AM1465" s="399"/>
      <c r="AN1465" s="399"/>
      <c r="AO1465" s="399"/>
      <c r="AP1465" s="399"/>
      <c r="AQ1465" s="399"/>
      <c r="AR1465" s="399"/>
      <c r="AS1465" s="399"/>
      <c r="AT1465" s="400"/>
      <c r="AU1465" s="400"/>
      <c r="AV1465" s="400"/>
      <c r="AW1465" s="541"/>
      <c r="AX1465" s="541"/>
      <c r="AY1465" s="541"/>
      <c r="AZ1465" s="541"/>
      <c r="BA1465" s="541"/>
      <c r="BB1465" s="400"/>
      <c r="BC1465" s="399" t="str">
        <f t="shared" si="2"/>
        <v/>
      </c>
      <c r="BD1465" s="400"/>
      <c r="BE1465" s="400"/>
      <c r="BF1465" s="400"/>
      <c r="BG1465" s="540"/>
      <c r="BH1465" s="407"/>
      <c r="BI1465" s="407"/>
      <c r="BJ1465" s="543"/>
      <c r="BK1465" s="46">
        <f t="shared" si="1"/>
        <v>1</v>
      </c>
      <c r="BL1465" s="46">
        <f t="shared" si="3"/>
        <v>0</v>
      </c>
      <c r="BM1465" s="46">
        <f t="shared" si="4"/>
        <v>1</v>
      </c>
      <c r="BN1465" s="46">
        <f t="shared" si="5"/>
        <v>0</v>
      </c>
    </row>
    <row r="1466" spans="1:66" ht="12.75" customHeight="1">
      <c r="A1466" s="399">
        <v>1476</v>
      </c>
      <c r="B1466" s="399" t="s">
        <v>4617</v>
      </c>
      <c r="C1466" s="399" t="e">
        <f t="shared" ca="1" si="0"/>
        <v>#NAME?</v>
      </c>
      <c r="D1466" s="400" t="s">
        <v>5672</v>
      </c>
      <c r="E1466" s="399" t="s">
        <v>180</v>
      </c>
      <c r="F1466" s="400" t="s">
        <v>4608</v>
      </c>
      <c r="G1466" s="400"/>
      <c r="H1466" s="400"/>
      <c r="I1466" s="400"/>
      <c r="J1466" s="400"/>
      <c r="K1466" s="400">
        <v>1</v>
      </c>
      <c r="L1466" s="400" t="s">
        <v>3333</v>
      </c>
      <c r="M1466" s="402" t="s">
        <v>4518</v>
      </c>
      <c r="N1466" s="400"/>
      <c r="O1466" s="428" t="s">
        <v>4417</v>
      </c>
      <c r="P1466" s="574"/>
      <c r="Q1466" s="399" t="s">
        <v>4614</v>
      </c>
      <c r="R1466" s="428"/>
      <c r="S1466" s="399"/>
      <c r="T1466" s="399"/>
      <c r="U1466" s="400"/>
      <c r="V1466" s="399"/>
      <c r="W1466" s="399" t="s">
        <v>5672</v>
      </c>
      <c r="X1466" s="400"/>
      <c r="Y1466" s="399" t="s">
        <v>208</v>
      </c>
      <c r="Z1466" s="400"/>
      <c r="AA1466" s="399" t="s">
        <v>113</v>
      </c>
      <c r="AB1466" s="400" t="s">
        <v>3178</v>
      </c>
      <c r="AC1466" s="532" t="s">
        <v>5675</v>
      </c>
      <c r="AD1466" s="400"/>
      <c r="AE1466" s="400"/>
      <c r="AF1466" s="400"/>
      <c r="AG1466" s="399" t="s">
        <v>4489</v>
      </c>
      <c r="AH1466" s="532" t="s">
        <v>3851</v>
      </c>
      <c r="AI1466" s="400"/>
      <c r="AJ1466" s="400"/>
      <c r="AK1466" s="399"/>
      <c r="AL1466" s="399"/>
      <c r="AM1466" s="399"/>
      <c r="AN1466" s="399"/>
      <c r="AO1466" s="399"/>
      <c r="AP1466" s="399"/>
      <c r="AQ1466" s="399"/>
      <c r="AR1466" s="399"/>
      <c r="AS1466" s="399"/>
      <c r="AT1466" s="400"/>
      <c r="AU1466" s="400"/>
      <c r="AV1466" s="400"/>
      <c r="AW1466" s="541"/>
      <c r="AX1466" s="541"/>
      <c r="AY1466" s="541"/>
      <c r="AZ1466" s="541"/>
      <c r="BA1466" s="541"/>
      <c r="BB1466" s="400"/>
      <c r="BC1466" s="399" t="e">
        <f t="shared" ca="1" si="2"/>
        <v>#NAME?</v>
      </c>
      <c r="BD1466" s="400"/>
      <c r="BE1466" s="400"/>
      <c r="BF1466" s="400"/>
      <c r="BG1466" s="540"/>
      <c r="BH1466" s="407"/>
      <c r="BI1466" s="407"/>
      <c r="BJ1466" s="543"/>
      <c r="BK1466" s="46">
        <f t="shared" si="1"/>
        <v>1</v>
      </c>
      <c r="BL1466" s="46">
        <f t="shared" si="3"/>
        <v>0</v>
      </c>
      <c r="BM1466" s="46">
        <f t="shared" si="4"/>
        <v>1</v>
      </c>
      <c r="BN1466" s="46">
        <f t="shared" si="5"/>
        <v>0</v>
      </c>
    </row>
    <row r="1467" spans="1:66" ht="12.75" customHeight="1">
      <c r="A1467" s="399">
        <v>1477</v>
      </c>
      <c r="B1467" s="399" t="s">
        <v>4621</v>
      </c>
      <c r="C1467" s="399" t="e">
        <f t="shared" ca="1" si="0"/>
        <v>#NAME?</v>
      </c>
      <c r="D1467" s="400" t="s">
        <v>4623</v>
      </c>
      <c r="E1467" s="399" t="s">
        <v>180</v>
      </c>
      <c r="F1467" s="400" t="s">
        <v>4608</v>
      </c>
      <c r="G1467" s="400"/>
      <c r="H1467" s="400"/>
      <c r="I1467" s="400"/>
      <c r="J1467" s="400"/>
      <c r="K1467" s="400">
        <v>1</v>
      </c>
      <c r="L1467" s="400" t="s">
        <v>3333</v>
      </c>
      <c r="M1467" s="402" t="s">
        <v>4518</v>
      </c>
      <c r="N1467" s="400"/>
      <c r="O1467" s="428" t="s">
        <v>4417</v>
      </c>
      <c r="P1467" s="574"/>
      <c r="Q1467" s="399" t="s">
        <v>4622</v>
      </c>
      <c r="R1467" s="428"/>
      <c r="S1467" s="399"/>
      <c r="T1467" s="399"/>
      <c r="U1467" s="400"/>
      <c r="V1467" s="399"/>
      <c r="W1467" s="399" t="s">
        <v>4623</v>
      </c>
      <c r="X1467" s="400"/>
      <c r="Y1467" s="399" t="s">
        <v>208</v>
      </c>
      <c r="Z1467" s="400"/>
      <c r="AA1467" s="399" t="s">
        <v>113</v>
      </c>
      <c r="AB1467" s="400" t="s">
        <v>3178</v>
      </c>
      <c r="AC1467" s="532"/>
      <c r="AD1467" s="400"/>
      <c r="AE1467" s="400"/>
      <c r="AF1467" s="400"/>
      <c r="AG1467" s="399" t="s">
        <v>4489</v>
      </c>
      <c r="AH1467" s="532" t="s">
        <v>3851</v>
      </c>
      <c r="AI1467" s="400"/>
      <c r="AJ1467" s="400"/>
      <c r="AK1467" s="399"/>
      <c r="AL1467" s="399"/>
      <c r="AM1467" s="399"/>
      <c r="AN1467" s="399"/>
      <c r="AO1467" s="399"/>
      <c r="AP1467" s="399"/>
      <c r="AQ1467" s="399"/>
      <c r="AR1467" s="399"/>
      <c r="AS1467" s="399"/>
      <c r="AT1467" s="400" t="s">
        <v>717</v>
      </c>
      <c r="AU1467" s="400" t="s">
        <v>4624</v>
      </c>
      <c r="AV1467" s="400">
        <v>365981007</v>
      </c>
      <c r="AW1467" s="541"/>
      <c r="AX1467" s="541"/>
      <c r="AY1467" s="541"/>
      <c r="AZ1467" s="541"/>
      <c r="BA1467" s="541"/>
      <c r="BB1467" s="400"/>
      <c r="BC1467" s="399" t="e">
        <f t="shared" ca="1" si="2"/>
        <v>#NAME?</v>
      </c>
      <c r="BD1467" s="400"/>
      <c r="BE1467" s="400"/>
      <c r="BF1467" s="400"/>
      <c r="BG1467" s="540"/>
      <c r="BH1467" s="407" t="s">
        <v>717</v>
      </c>
      <c r="BI1467" s="407">
        <v>365981007</v>
      </c>
      <c r="BJ1467" s="543"/>
      <c r="BK1467" s="46">
        <f t="shared" si="1"/>
        <v>1</v>
      </c>
      <c r="BL1467" s="46">
        <f t="shared" si="3"/>
        <v>1</v>
      </c>
      <c r="BM1467" s="46">
        <f t="shared" si="4"/>
        <v>0</v>
      </c>
      <c r="BN1467" s="46">
        <f t="shared" si="5"/>
        <v>0</v>
      </c>
    </row>
    <row r="1468" spans="1:66" ht="12.75" customHeight="1">
      <c r="A1468" s="399">
        <v>1478</v>
      </c>
      <c r="B1468" s="399" t="s">
        <v>1144</v>
      </c>
      <c r="C1468" s="399" t="e">
        <f t="shared" ca="1" si="0"/>
        <v>#NAME?</v>
      </c>
      <c r="D1468" s="400" t="s">
        <v>879</v>
      </c>
      <c r="E1468" s="399" t="s">
        <v>180</v>
      </c>
      <c r="F1468" s="400" t="s">
        <v>4608</v>
      </c>
      <c r="G1468" s="400"/>
      <c r="H1468" s="400"/>
      <c r="I1468" s="400"/>
      <c r="J1468" s="400"/>
      <c r="K1468" s="400">
        <v>1</v>
      </c>
      <c r="L1468" s="400" t="s">
        <v>3333</v>
      </c>
      <c r="M1468" s="402" t="s">
        <v>4518</v>
      </c>
      <c r="N1468" s="400"/>
      <c r="O1468" s="428" t="s">
        <v>4417</v>
      </c>
      <c r="P1468" s="574"/>
      <c r="Q1468" s="400" t="s">
        <v>4626</v>
      </c>
      <c r="R1468" s="428"/>
      <c r="S1468" s="399"/>
      <c r="T1468" s="399"/>
      <c r="U1468" s="400"/>
      <c r="V1468" s="399"/>
      <c r="W1468" s="399" t="s">
        <v>879</v>
      </c>
      <c r="X1468" s="400"/>
      <c r="Y1468" s="399" t="s">
        <v>208</v>
      </c>
      <c r="Z1468" s="400"/>
      <c r="AA1468" s="399" t="s">
        <v>113</v>
      </c>
      <c r="AB1468" s="400" t="s">
        <v>3178</v>
      </c>
      <c r="AC1468" s="532"/>
      <c r="AD1468" s="400"/>
      <c r="AE1468" s="400"/>
      <c r="AF1468" s="400"/>
      <c r="AG1468" s="399" t="s">
        <v>4489</v>
      </c>
      <c r="AH1468" s="532" t="s">
        <v>3851</v>
      </c>
      <c r="AI1468" s="400"/>
      <c r="AJ1468" s="400"/>
      <c r="AK1468" s="399"/>
      <c r="AL1468" s="399"/>
      <c r="AM1468" s="399"/>
      <c r="AN1468" s="399"/>
      <c r="AO1468" s="399"/>
      <c r="AP1468" s="399"/>
      <c r="AQ1468" s="399"/>
      <c r="AR1468" s="399"/>
      <c r="AS1468" s="399"/>
      <c r="AT1468" s="400"/>
      <c r="AU1468" s="400"/>
      <c r="AV1468" s="400"/>
      <c r="AW1468" s="541"/>
      <c r="AX1468" s="541"/>
      <c r="AY1468" s="541"/>
      <c r="AZ1468" s="541"/>
      <c r="BA1468" s="541"/>
      <c r="BB1468" s="400"/>
      <c r="BC1468" s="399" t="e">
        <f t="shared" ca="1" si="2"/>
        <v>#NAME?</v>
      </c>
      <c r="BD1468" s="400"/>
      <c r="BE1468" s="400"/>
      <c r="BF1468" s="400"/>
      <c r="BG1468" s="540"/>
      <c r="BH1468" s="407"/>
      <c r="BI1468" s="407"/>
      <c r="BJ1468" s="543"/>
      <c r="BK1468" s="46">
        <f t="shared" si="1"/>
        <v>1</v>
      </c>
      <c r="BL1468" s="46">
        <f t="shared" si="3"/>
        <v>0</v>
      </c>
      <c r="BM1468" s="46">
        <f t="shared" si="4"/>
        <v>1</v>
      </c>
      <c r="BN1468" s="46">
        <f t="shared" si="5"/>
        <v>0</v>
      </c>
    </row>
    <row r="1469" spans="1:66" ht="12.75" customHeight="1">
      <c r="A1469" s="399">
        <v>1479</v>
      </c>
      <c r="B1469" s="399" t="s">
        <v>1147</v>
      </c>
      <c r="C1469" s="399" t="e">
        <f t="shared" ca="1" si="0"/>
        <v>#NAME?</v>
      </c>
      <c r="D1469" s="400" t="s">
        <v>890</v>
      </c>
      <c r="E1469" s="399" t="s">
        <v>180</v>
      </c>
      <c r="F1469" s="400" t="s">
        <v>4608</v>
      </c>
      <c r="G1469" s="400"/>
      <c r="H1469" s="400"/>
      <c r="I1469" s="400"/>
      <c r="J1469" s="400"/>
      <c r="K1469" s="400">
        <v>1</v>
      </c>
      <c r="L1469" s="400" t="s">
        <v>3333</v>
      </c>
      <c r="M1469" s="402" t="s">
        <v>4518</v>
      </c>
      <c r="N1469" s="400"/>
      <c r="O1469" s="428" t="s">
        <v>4417</v>
      </c>
      <c r="P1469" s="574"/>
      <c r="Q1469" s="400" t="s">
        <v>4630</v>
      </c>
      <c r="R1469" s="428"/>
      <c r="S1469" s="399"/>
      <c r="T1469" s="399"/>
      <c r="U1469" s="400"/>
      <c r="V1469" s="399"/>
      <c r="W1469" s="399" t="s">
        <v>890</v>
      </c>
      <c r="X1469" s="400"/>
      <c r="Y1469" s="399" t="s">
        <v>208</v>
      </c>
      <c r="Z1469" s="400"/>
      <c r="AA1469" s="399" t="s">
        <v>113</v>
      </c>
      <c r="AB1469" s="400" t="s">
        <v>3178</v>
      </c>
      <c r="AC1469" s="532"/>
      <c r="AD1469" s="400"/>
      <c r="AE1469" s="400"/>
      <c r="AF1469" s="400"/>
      <c r="AG1469" s="399" t="s">
        <v>4489</v>
      </c>
      <c r="AH1469" s="532" t="s">
        <v>3851</v>
      </c>
      <c r="AI1469" s="400"/>
      <c r="AJ1469" s="400"/>
      <c r="AK1469" s="399"/>
      <c r="AL1469" s="399"/>
      <c r="AM1469" s="399"/>
      <c r="AN1469" s="399"/>
      <c r="AO1469" s="399"/>
      <c r="AP1469" s="399"/>
      <c r="AQ1469" s="399"/>
      <c r="AR1469" s="399"/>
      <c r="AS1469" s="399"/>
      <c r="AT1469" s="400" t="s">
        <v>891</v>
      </c>
      <c r="AU1469" s="400" t="s">
        <v>4631</v>
      </c>
      <c r="AV1469" s="400">
        <v>38341003</v>
      </c>
      <c r="AW1469" s="541"/>
      <c r="AX1469" s="541"/>
      <c r="AY1469" s="541"/>
      <c r="AZ1469" s="541"/>
      <c r="BA1469" s="541"/>
      <c r="BB1469" s="400"/>
      <c r="BC1469" s="399" t="e">
        <f t="shared" ca="1" si="2"/>
        <v>#NAME?</v>
      </c>
      <c r="BD1469" s="400">
        <v>117399</v>
      </c>
      <c r="BE1469" s="400"/>
      <c r="BF1469" s="400"/>
      <c r="BG1469" s="540"/>
      <c r="BH1469" s="407" t="s">
        <v>891</v>
      </c>
      <c r="BI1469" s="407">
        <v>38341003</v>
      </c>
      <c r="BJ1469" s="543"/>
      <c r="BK1469" s="46">
        <f t="shared" si="1"/>
        <v>1</v>
      </c>
      <c r="BL1469" s="46">
        <f t="shared" si="3"/>
        <v>1</v>
      </c>
      <c r="BM1469" s="46">
        <f t="shared" si="4"/>
        <v>0</v>
      </c>
      <c r="BN1469" s="46">
        <f t="shared" si="5"/>
        <v>0</v>
      </c>
    </row>
    <row r="1470" spans="1:66" ht="12.75" customHeight="1">
      <c r="A1470" s="399">
        <v>1480</v>
      </c>
      <c r="B1470" s="399" t="s">
        <v>4638</v>
      </c>
      <c r="C1470" s="399" t="e">
        <f t="shared" ca="1" si="0"/>
        <v>#NAME?</v>
      </c>
      <c r="D1470" s="400" t="s">
        <v>4669</v>
      </c>
      <c r="E1470" s="399" t="s">
        <v>180</v>
      </c>
      <c r="F1470" s="400" t="s">
        <v>4608</v>
      </c>
      <c r="G1470" s="400"/>
      <c r="H1470" s="400"/>
      <c r="I1470" s="400"/>
      <c r="J1470" s="400"/>
      <c r="K1470" s="400">
        <v>1</v>
      </c>
      <c r="L1470" s="400" t="s">
        <v>3333</v>
      </c>
      <c r="M1470" s="402" t="s">
        <v>4518</v>
      </c>
      <c r="N1470" s="400"/>
      <c r="O1470" s="428" t="s">
        <v>4417</v>
      </c>
      <c r="P1470" s="574"/>
      <c r="Q1470" s="400" t="s">
        <v>4634</v>
      </c>
      <c r="R1470" s="428"/>
      <c r="S1470" s="399"/>
      <c r="T1470" s="399"/>
      <c r="U1470" s="400"/>
      <c r="V1470" s="399"/>
      <c r="W1470" s="399" t="s">
        <v>4669</v>
      </c>
      <c r="X1470" s="400"/>
      <c r="Y1470" s="399" t="s">
        <v>208</v>
      </c>
      <c r="Z1470" s="400" t="s">
        <v>4636</v>
      </c>
      <c r="AA1470" s="399" t="s">
        <v>113</v>
      </c>
      <c r="AB1470" s="400" t="s">
        <v>3178</v>
      </c>
      <c r="AC1470" s="532" t="s">
        <v>4637</v>
      </c>
      <c r="AD1470" s="400"/>
      <c r="AE1470" s="400"/>
      <c r="AF1470" s="400"/>
      <c r="AG1470" s="399" t="s">
        <v>4489</v>
      </c>
      <c r="AH1470" s="532" t="s">
        <v>3851</v>
      </c>
      <c r="AI1470" s="400"/>
      <c r="AJ1470" s="400"/>
      <c r="AK1470" s="399"/>
      <c r="AL1470" s="399"/>
      <c r="AM1470" s="399"/>
      <c r="AN1470" s="399"/>
      <c r="AO1470" s="399"/>
      <c r="AP1470" s="399"/>
      <c r="AQ1470" s="399"/>
      <c r="AR1470" s="399"/>
      <c r="AS1470" s="399"/>
      <c r="AT1470" s="400"/>
      <c r="AU1470" s="400"/>
      <c r="AV1470" s="400"/>
      <c r="AW1470" s="541"/>
      <c r="AX1470" s="541"/>
      <c r="AY1470" s="541"/>
      <c r="AZ1470" s="541"/>
      <c r="BA1470" s="541"/>
      <c r="BB1470" s="400"/>
      <c r="BC1470" s="399" t="e">
        <f t="shared" ca="1" si="2"/>
        <v>#NAME?</v>
      </c>
      <c r="BD1470" s="400"/>
      <c r="BE1470" s="400"/>
      <c r="BF1470" s="400"/>
      <c r="BG1470" s="540"/>
      <c r="BH1470" s="407"/>
      <c r="BI1470" s="407"/>
      <c r="BJ1470" s="543"/>
      <c r="BK1470" s="46">
        <f t="shared" si="1"/>
        <v>1</v>
      </c>
      <c r="BL1470" s="46">
        <f t="shared" si="3"/>
        <v>0</v>
      </c>
      <c r="BM1470" s="46">
        <f t="shared" si="4"/>
        <v>1</v>
      </c>
      <c r="BN1470" s="46">
        <f t="shared" si="5"/>
        <v>0</v>
      </c>
    </row>
    <row r="1471" spans="1:66" ht="12.75" customHeight="1">
      <c r="A1471" s="399">
        <v>1481</v>
      </c>
      <c r="B1471" s="399" t="s">
        <v>4641</v>
      </c>
      <c r="C1471" s="399" t="e">
        <f t="shared" ca="1" si="0"/>
        <v>#NAME?</v>
      </c>
      <c r="D1471" s="400" t="s">
        <v>4643</v>
      </c>
      <c r="E1471" s="399" t="s">
        <v>180</v>
      </c>
      <c r="F1471" s="400" t="s">
        <v>4608</v>
      </c>
      <c r="G1471" s="400"/>
      <c r="H1471" s="400"/>
      <c r="I1471" s="400"/>
      <c r="J1471" s="400"/>
      <c r="K1471" s="400">
        <v>1</v>
      </c>
      <c r="L1471" s="400" t="s">
        <v>3333</v>
      </c>
      <c r="M1471" s="402" t="s">
        <v>4518</v>
      </c>
      <c r="N1471" s="400"/>
      <c r="O1471" s="428" t="s">
        <v>4417</v>
      </c>
      <c r="P1471" s="574"/>
      <c r="Q1471" s="400" t="s">
        <v>4642</v>
      </c>
      <c r="R1471" s="428"/>
      <c r="S1471" s="399"/>
      <c r="T1471" s="399"/>
      <c r="U1471" s="400"/>
      <c r="V1471" s="399"/>
      <c r="W1471" s="399" t="s">
        <v>4643</v>
      </c>
      <c r="X1471" s="400"/>
      <c r="Y1471" s="399" t="s">
        <v>208</v>
      </c>
      <c r="Z1471" s="400"/>
      <c r="AA1471" s="399" t="s">
        <v>113</v>
      </c>
      <c r="AB1471" s="400" t="s">
        <v>3178</v>
      </c>
      <c r="AC1471" s="532"/>
      <c r="AD1471" s="400"/>
      <c r="AE1471" s="400"/>
      <c r="AF1471" s="400"/>
      <c r="AG1471" s="399" t="s">
        <v>4489</v>
      </c>
      <c r="AH1471" s="532" t="s">
        <v>3851</v>
      </c>
      <c r="AI1471" s="400"/>
      <c r="AJ1471" s="400"/>
      <c r="AK1471" s="399"/>
      <c r="AL1471" s="399"/>
      <c r="AM1471" s="399"/>
      <c r="AN1471" s="399"/>
      <c r="AO1471" s="399"/>
      <c r="AP1471" s="399"/>
      <c r="AQ1471" s="399"/>
      <c r="AR1471" s="399"/>
      <c r="AS1471" s="399"/>
      <c r="AT1471" s="400"/>
      <c r="AU1471" s="400"/>
      <c r="AV1471" s="400"/>
      <c r="AW1471" s="541"/>
      <c r="AX1471" s="541"/>
      <c r="AY1471" s="541"/>
      <c r="AZ1471" s="541"/>
      <c r="BA1471" s="541"/>
      <c r="BB1471" s="400"/>
      <c r="BC1471" s="399" t="e">
        <f t="shared" ca="1" si="2"/>
        <v>#NAME?</v>
      </c>
      <c r="BD1471" s="400"/>
      <c r="BE1471" s="400"/>
      <c r="BF1471" s="400"/>
      <c r="BG1471" s="540"/>
      <c r="BH1471" s="407"/>
      <c r="BI1471" s="407"/>
      <c r="BJ1471" s="543"/>
      <c r="BK1471" s="46">
        <f t="shared" si="1"/>
        <v>1</v>
      </c>
      <c r="BL1471" s="46">
        <f t="shared" si="3"/>
        <v>0</v>
      </c>
      <c r="BM1471" s="46">
        <f t="shared" si="4"/>
        <v>1</v>
      </c>
      <c r="BN1471" s="46">
        <f t="shared" si="5"/>
        <v>0</v>
      </c>
    </row>
    <row r="1472" spans="1:66" ht="12.75" customHeight="1">
      <c r="A1472" s="399">
        <v>1482</v>
      </c>
      <c r="B1472" s="399" t="s">
        <v>890</v>
      </c>
      <c r="C1472" s="399" t="str">
        <f t="shared" si="0"/>
        <v>Hypertension</v>
      </c>
      <c r="D1472" s="400" t="s">
        <v>890</v>
      </c>
      <c r="E1472" s="399" t="s">
        <v>96</v>
      </c>
      <c r="F1472" s="400" t="s">
        <v>1787</v>
      </c>
      <c r="G1472" s="400"/>
      <c r="H1472" s="400"/>
      <c r="I1472" s="400"/>
      <c r="J1472" s="400"/>
      <c r="K1472" s="400">
        <v>1</v>
      </c>
      <c r="L1472" s="400" t="s">
        <v>3333</v>
      </c>
      <c r="M1472" s="402" t="s">
        <v>4518</v>
      </c>
      <c r="N1472" s="400"/>
      <c r="O1472" s="428" t="s">
        <v>4417</v>
      </c>
      <c r="P1472" s="574"/>
      <c r="Q1472" s="400" t="s">
        <v>4630</v>
      </c>
      <c r="R1472" s="428" t="s">
        <v>890</v>
      </c>
      <c r="S1472" s="399"/>
      <c r="T1472" s="399" t="s">
        <v>4652</v>
      </c>
      <c r="U1472" s="400"/>
      <c r="V1472" s="399"/>
      <c r="W1472" s="399"/>
      <c r="X1472" s="400"/>
      <c r="Y1472" s="400" t="s">
        <v>113</v>
      </c>
      <c r="Z1472" s="400" t="s">
        <v>4653</v>
      </c>
      <c r="AA1472" s="399" t="s">
        <v>113</v>
      </c>
      <c r="AB1472" s="400" t="s">
        <v>3178</v>
      </c>
      <c r="AC1472" s="532" t="s">
        <v>4654</v>
      </c>
      <c r="AD1472" s="400"/>
      <c r="AE1472" s="400"/>
      <c r="AF1472" s="400"/>
      <c r="AG1472" s="399" t="s">
        <v>4655</v>
      </c>
      <c r="AH1472" s="532" t="s">
        <v>3851</v>
      </c>
      <c r="AI1472" s="400"/>
      <c r="AJ1472" s="400"/>
      <c r="AK1472" s="399"/>
      <c r="AL1472" s="399"/>
      <c r="AM1472" s="399"/>
      <c r="AN1472" s="399"/>
      <c r="AO1472" s="399"/>
      <c r="AP1472" s="399"/>
      <c r="AQ1472" s="399"/>
      <c r="AR1472" s="399"/>
      <c r="AS1472" s="399"/>
      <c r="AT1472" s="400" t="s">
        <v>891</v>
      </c>
      <c r="AU1472" s="400" t="s">
        <v>4631</v>
      </c>
      <c r="AV1472" s="400">
        <v>38341003</v>
      </c>
      <c r="AW1472" s="541"/>
      <c r="AX1472" s="541"/>
      <c r="AY1472" s="541"/>
      <c r="AZ1472" s="541"/>
      <c r="BA1472" s="541"/>
      <c r="BB1472" s="400"/>
      <c r="BC1472" s="399" t="str">
        <f t="shared" si="2"/>
        <v/>
      </c>
      <c r="BD1472" s="400">
        <v>117399</v>
      </c>
      <c r="BE1472" s="400"/>
      <c r="BF1472" s="400"/>
      <c r="BG1472" s="540"/>
      <c r="BH1472" s="407" t="s">
        <v>891</v>
      </c>
      <c r="BI1472" s="407">
        <v>38341003</v>
      </c>
      <c r="BJ1472" s="543"/>
      <c r="BK1472" s="46">
        <f t="shared" si="1"/>
        <v>1</v>
      </c>
      <c r="BL1472" s="46">
        <f t="shared" si="3"/>
        <v>0</v>
      </c>
      <c r="BM1472" s="46">
        <f t="shared" si="4"/>
        <v>1</v>
      </c>
      <c r="BN1472" s="46">
        <f t="shared" si="5"/>
        <v>0</v>
      </c>
    </row>
    <row r="1473" spans="1:66" ht="12.75" customHeight="1">
      <c r="A1473" s="399">
        <v>1483</v>
      </c>
      <c r="B1473" s="399" t="s">
        <v>4659</v>
      </c>
      <c r="C1473" s="399" t="str">
        <f t="shared" si="0"/>
        <v>Hypertension status</v>
      </c>
      <c r="D1473" s="400" t="s">
        <v>4659</v>
      </c>
      <c r="E1473" s="399" t="s">
        <v>96</v>
      </c>
      <c r="F1473" s="400" t="s">
        <v>1787</v>
      </c>
      <c r="G1473" s="400"/>
      <c r="H1473" s="400"/>
      <c r="I1473" s="400"/>
      <c r="J1473" s="400"/>
      <c r="K1473" s="400">
        <v>1</v>
      </c>
      <c r="L1473" s="400" t="s">
        <v>3333</v>
      </c>
      <c r="M1473" s="402" t="s">
        <v>4518</v>
      </c>
      <c r="N1473" s="400"/>
      <c r="O1473" s="428" t="s">
        <v>4417</v>
      </c>
      <c r="P1473" s="574"/>
      <c r="Q1473" s="399" t="s">
        <v>4660</v>
      </c>
      <c r="R1473" s="428" t="s">
        <v>4659</v>
      </c>
      <c r="S1473" s="399"/>
      <c r="T1473" s="399"/>
      <c r="U1473" s="400"/>
      <c r="V1473" s="399"/>
      <c r="W1473" s="399"/>
      <c r="X1473" s="400"/>
      <c r="Y1473" s="399" t="s">
        <v>208</v>
      </c>
      <c r="Z1473" s="400"/>
      <c r="AA1473" s="399" t="s">
        <v>113</v>
      </c>
      <c r="AB1473" s="531" t="s">
        <v>3178</v>
      </c>
      <c r="AC1473" s="590" t="s">
        <v>4661</v>
      </c>
      <c r="AD1473" s="400"/>
      <c r="AE1473" s="400"/>
      <c r="AF1473" s="400"/>
      <c r="AG1473" s="399" t="s">
        <v>4489</v>
      </c>
      <c r="AH1473" s="532" t="s">
        <v>3851</v>
      </c>
      <c r="AI1473" s="400"/>
      <c r="AJ1473" s="400"/>
      <c r="AK1473" s="399"/>
      <c r="AL1473" s="399"/>
      <c r="AM1473" s="399"/>
      <c r="AN1473" s="399"/>
      <c r="AO1473" s="399"/>
      <c r="AP1473" s="399"/>
      <c r="AQ1473" s="399"/>
      <c r="AR1473" s="399"/>
      <c r="AS1473" s="399"/>
      <c r="AT1473" s="400"/>
      <c r="AU1473" s="400"/>
      <c r="AV1473" s="400"/>
      <c r="AW1473" s="541"/>
      <c r="AX1473" s="541"/>
      <c r="AY1473" s="541"/>
      <c r="AZ1473" s="541"/>
      <c r="BA1473" s="541"/>
      <c r="BB1473" s="400"/>
      <c r="BC1473" s="399" t="str">
        <f t="shared" si="2"/>
        <v/>
      </c>
      <c r="BD1473" s="400"/>
      <c r="BE1473" s="400"/>
      <c r="BF1473" s="400"/>
      <c r="BG1473" s="540"/>
      <c r="BH1473" s="407"/>
      <c r="BI1473" s="407"/>
      <c r="BJ1473" s="543"/>
      <c r="BK1473" s="46">
        <f t="shared" si="1"/>
        <v>1</v>
      </c>
      <c r="BL1473" s="46">
        <f t="shared" si="3"/>
        <v>0</v>
      </c>
      <c r="BM1473" s="46">
        <f t="shared" si="4"/>
        <v>1</v>
      </c>
      <c r="BN1473" s="46">
        <f t="shared" si="5"/>
        <v>0</v>
      </c>
    </row>
    <row r="1474" spans="1:66" ht="12.75" customHeight="1">
      <c r="A1474" s="399">
        <v>1484</v>
      </c>
      <c r="B1474" s="399" t="s">
        <v>4665</v>
      </c>
      <c r="C1474" s="399" t="str">
        <f t="shared" si="0"/>
        <v>adequately controlled hypertension</v>
      </c>
      <c r="D1474" s="400" t="s">
        <v>4665</v>
      </c>
      <c r="E1474" s="399" t="s">
        <v>96</v>
      </c>
      <c r="F1474" s="400" t="s">
        <v>1787</v>
      </c>
      <c r="G1474" s="400"/>
      <c r="H1474" s="400"/>
      <c r="I1474" s="400"/>
      <c r="J1474" s="400"/>
      <c r="K1474" s="400">
        <v>1</v>
      </c>
      <c r="L1474" s="400" t="s">
        <v>3333</v>
      </c>
      <c r="M1474" s="402" t="s">
        <v>4518</v>
      </c>
      <c r="N1474" s="400"/>
      <c r="O1474" s="428" t="s">
        <v>4417</v>
      </c>
      <c r="P1474" s="574"/>
      <c r="Q1474" s="399" t="s">
        <v>4664</v>
      </c>
      <c r="R1474" s="428"/>
      <c r="S1474" s="399"/>
      <c r="T1474" s="399"/>
      <c r="U1474" s="400"/>
      <c r="V1474" s="399"/>
      <c r="W1474" s="399" t="s">
        <v>4665</v>
      </c>
      <c r="X1474" s="400"/>
      <c r="Y1474" s="399" t="s">
        <v>208</v>
      </c>
      <c r="Z1474" s="400"/>
      <c r="AA1474" s="399" t="s">
        <v>113</v>
      </c>
      <c r="AB1474" s="400"/>
      <c r="AC1474" s="532"/>
      <c r="AD1474" s="400"/>
      <c r="AE1474" s="400"/>
      <c r="AF1474" s="400"/>
      <c r="AG1474" s="399" t="s">
        <v>4489</v>
      </c>
      <c r="AH1474" s="532" t="s">
        <v>3851</v>
      </c>
      <c r="AI1474" s="400"/>
      <c r="AJ1474" s="400"/>
      <c r="AK1474" s="399"/>
      <c r="AL1474" s="399"/>
      <c r="AM1474" s="399"/>
      <c r="AN1474" s="399"/>
      <c r="AO1474" s="399"/>
      <c r="AP1474" s="399"/>
      <c r="AQ1474" s="399"/>
      <c r="AR1474" s="399"/>
      <c r="AS1474" s="399"/>
      <c r="AT1474" s="400"/>
      <c r="AU1474" s="400"/>
      <c r="AV1474" s="400"/>
      <c r="AW1474" s="541"/>
      <c r="AX1474" s="541"/>
      <c r="AY1474" s="541"/>
      <c r="AZ1474" s="541"/>
      <c r="BA1474" s="541"/>
      <c r="BB1474" s="400"/>
      <c r="BC1474" s="399" t="str">
        <f t="shared" si="2"/>
        <v/>
      </c>
      <c r="BD1474" s="400"/>
      <c r="BE1474" s="400"/>
      <c r="BF1474" s="400"/>
      <c r="BG1474" s="540"/>
      <c r="BH1474" s="407"/>
      <c r="BI1474" s="407"/>
      <c r="BJ1474" s="543"/>
      <c r="BK1474" s="46">
        <f t="shared" si="1"/>
        <v>1</v>
      </c>
      <c r="BL1474" s="46">
        <f t="shared" si="3"/>
        <v>0</v>
      </c>
      <c r="BM1474" s="46">
        <f t="shared" si="4"/>
        <v>1</v>
      </c>
      <c r="BN1474" s="46">
        <f t="shared" si="5"/>
        <v>0</v>
      </c>
    </row>
    <row r="1475" spans="1:66" ht="12.75" customHeight="1">
      <c r="A1475" s="399">
        <v>1485</v>
      </c>
      <c r="B1475" s="399" t="s">
        <v>4669</v>
      </c>
      <c r="C1475" s="399" t="str">
        <f t="shared" si="0"/>
        <v>Obesity</v>
      </c>
      <c r="D1475" s="400" t="s">
        <v>4669</v>
      </c>
      <c r="E1475" s="399" t="s">
        <v>96</v>
      </c>
      <c r="F1475" s="400" t="s">
        <v>1787</v>
      </c>
      <c r="G1475" s="400"/>
      <c r="H1475" s="400"/>
      <c r="I1475" s="400"/>
      <c r="J1475" s="400"/>
      <c r="K1475" s="400">
        <v>1</v>
      </c>
      <c r="L1475" s="400" t="s">
        <v>3333</v>
      </c>
      <c r="M1475" s="402" t="s">
        <v>4518</v>
      </c>
      <c r="N1475" s="400"/>
      <c r="O1475" s="428" t="s">
        <v>4417</v>
      </c>
      <c r="P1475" s="574"/>
      <c r="Q1475" s="400" t="s">
        <v>4634</v>
      </c>
      <c r="R1475" s="428" t="s">
        <v>4669</v>
      </c>
      <c r="S1475" s="399"/>
      <c r="T1475" s="399"/>
      <c r="U1475" s="400"/>
      <c r="V1475" s="399"/>
      <c r="W1475" s="399"/>
      <c r="X1475" s="400"/>
      <c r="Y1475" s="399" t="s">
        <v>208</v>
      </c>
      <c r="Z1475" s="400"/>
      <c r="AA1475" s="399" t="s">
        <v>113</v>
      </c>
      <c r="AB1475" s="400" t="s">
        <v>3178</v>
      </c>
      <c r="AC1475" s="532" t="s">
        <v>4668</v>
      </c>
      <c r="AD1475" s="400"/>
      <c r="AE1475" s="400"/>
      <c r="AF1475" s="400"/>
      <c r="AG1475" s="399" t="s">
        <v>4489</v>
      </c>
      <c r="AH1475" s="532" t="s">
        <v>3851</v>
      </c>
      <c r="AI1475" s="400"/>
      <c r="AJ1475" s="400"/>
      <c r="AK1475" s="399"/>
      <c r="AL1475" s="399"/>
      <c r="AM1475" s="399"/>
      <c r="AN1475" s="399"/>
      <c r="AO1475" s="399"/>
      <c r="AP1475" s="399"/>
      <c r="AQ1475" s="399"/>
      <c r="AR1475" s="399"/>
      <c r="AS1475" s="399"/>
      <c r="AT1475" s="400" t="s">
        <v>4639</v>
      </c>
      <c r="AU1475" s="400" t="s">
        <v>4670</v>
      </c>
      <c r="AV1475" s="400">
        <v>414916001</v>
      </c>
      <c r="AW1475" s="541"/>
      <c r="AX1475" s="541"/>
      <c r="AY1475" s="541"/>
      <c r="AZ1475" s="541"/>
      <c r="BA1475" s="541"/>
      <c r="BB1475" s="400"/>
      <c r="BC1475" s="399" t="str">
        <f t="shared" si="2"/>
        <v/>
      </c>
      <c r="BD1475" s="400">
        <v>115115</v>
      </c>
      <c r="BE1475" s="400"/>
      <c r="BF1475" s="400"/>
      <c r="BG1475" s="540"/>
      <c r="BH1475" s="407" t="s">
        <v>4639</v>
      </c>
      <c r="BI1475" s="407">
        <v>414916001</v>
      </c>
      <c r="BJ1475" s="543"/>
      <c r="BK1475" s="46">
        <f t="shared" si="1"/>
        <v>1</v>
      </c>
      <c r="BL1475" s="46">
        <f t="shared" si="3"/>
        <v>0</v>
      </c>
      <c r="BM1475" s="46">
        <f t="shared" si="4"/>
        <v>1</v>
      </c>
      <c r="BN1475" s="46">
        <f t="shared" si="5"/>
        <v>0</v>
      </c>
    </row>
    <row r="1476" spans="1:66" ht="12.75" customHeight="1">
      <c r="A1476" s="399">
        <v>1486</v>
      </c>
      <c r="B1476" s="399" t="s">
        <v>879</v>
      </c>
      <c r="C1476" s="399" t="str">
        <f t="shared" si="0"/>
        <v>Diabetes</v>
      </c>
      <c r="D1476" s="400" t="s">
        <v>879</v>
      </c>
      <c r="E1476" s="399" t="s">
        <v>96</v>
      </c>
      <c r="F1476" s="400" t="s">
        <v>1787</v>
      </c>
      <c r="G1476" s="400"/>
      <c r="H1476" s="400"/>
      <c r="I1476" s="400"/>
      <c r="J1476" s="400"/>
      <c r="K1476" s="400">
        <v>1</v>
      </c>
      <c r="L1476" s="400" t="s">
        <v>3333</v>
      </c>
      <c r="M1476" s="402" t="s">
        <v>4518</v>
      </c>
      <c r="N1476" s="400"/>
      <c r="O1476" s="428" t="s">
        <v>4417</v>
      </c>
      <c r="P1476" s="574"/>
      <c r="Q1476" s="400" t="s">
        <v>4626</v>
      </c>
      <c r="R1476" s="428" t="s">
        <v>879</v>
      </c>
      <c r="S1476" s="399"/>
      <c r="T1476" s="399" t="s">
        <v>4677</v>
      </c>
      <c r="U1476" s="400" t="s">
        <v>3169</v>
      </c>
      <c r="V1476" s="399"/>
      <c r="W1476" s="399" t="s">
        <v>3170</v>
      </c>
      <c r="X1476" s="400"/>
      <c r="Y1476" s="399" t="s">
        <v>208</v>
      </c>
      <c r="Z1476" s="400"/>
      <c r="AA1476" s="399" t="s">
        <v>113</v>
      </c>
      <c r="AB1476" s="400" t="s">
        <v>3178</v>
      </c>
      <c r="AC1476" s="532" t="s">
        <v>4668</v>
      </c>
      <c r="AD1476" s="400"/>
      <c r="AE1476" s="400"/>
      <c r="AF1476" s="400"/>
      <c r="AG1476" s="399" t="s">
        <v>4489</v>
      </c>
      <c r="AH1476" s="532" t="s">
        <v>3851</v>
      </c>
      <c r="AI1476" s="400"/>
      <c r="AJ1476" s="400"/>
      <c r="AK1476" s="399"/>
      <c r="AL1476" s="399"/>
      <c r="AM1476" s="399"/>
      <c r="AN1476" s="399"/>
      <c r="AO1476" s="399"/>
      <c r="AP1476" s="399"/>
      <c r="AQ1476" s="399"/>
      <c r="AR1476" s="399"/>
      <c r="AS1476" s="399"/>
      <c r="AT1476" s="490" t="s">
        <v>880</v>
      </c>
      <c r="AU1476" s="490" t="s">
        <v>4679</v>
      </c>
      <c r="AV1476" s="516">
        <v>73211009</v>
      </c>
      <c r="AW1476" s="512"/>
      <c r="AX1476" s="512"/>
      <c r="AY1476" s="512"/>
      <c r="AZ1476" s="512"/>
      <c r="BA1476" s="512"/>
      <c r="BB1476" s="400"/>
      <c r="BC1476" s="399" t="str">
        <f t="shared" si="2"/>
        <v/>
      </c>
      <c r="BD1476" s="400"/>
      <c r="BE1476" s="517"/>
      <c r="BF1476" s="400"/>
      <c r="BG1476" s="540"/>
      <c r="BH1476" s="407" t="s">
        <v>880</v>
      </c>
      <c r="BI1476" s="519">
        <v>73211009</v>
      </c>
      <c r="BJ1476" s="412"/>
      <c r="BK1476" s="46">
        <f t="shared" si="1"/>
        <v>1</v>
      </c>
      <c r="BL1476" s="46">
        <f t="shared" si="3"/>
        <v>0</v>
      </c>
      <c r="BM1476" s="46">
        <f t="shared" si="4"/>
        <v>1</v>
      </c>
      <c r="BN1476" s="46">
        <f t="shared" si="5"/>
        <v>0</v>
      </c>
    </row>
    <row r="1477" spans="1:66" ht="12.75" customHeight="1">
      <c r="A1477" s="399">
        <v>1487</v>
      </c>
      <c r="B1477" s="399" t="s">
        <v>4682</v>
      </c>
      <c r="C1477" s="399" t="str">
        <f t="shared" si="0"/>
        <v>Diabetes category</v>
      </c>
      <c r="D1477" s="400" t="s">
        <v>4682</v>
      </c>
      <c r="E1477" s="399" t="s">
        <v>96</v>
      </c>
      <c r="F1477" s="400" t="s">
        <v>1787</v>
      </c>
      <c r="G1477" s="400"/>
      <c r="H1477" s="400"/>
      <c r="I1477" s="400"/>
      <c r="J1477" s="400"/>
      <c r="K1477" s="400">
        <v>1</v>
      </c>
      <c r="L1477" s="400" t="s">
        <v>3333</v>
      </c>
      <c r="M1477" s="402" t="s">
        <v>4518</v>
      </c>
      <c r="N1477" s="400"/>
      <c r="O1477" s="428" t="s">
        <v>4417</v>
      </c>
      <c r="P1477" s="574"/>
      <c r="Q1477" s="400" t="s">
        <v>4683</v>
      </c>
      <c r="R1477" s="428" t="s">
        <v>879</v>
      </c>
      <c r="S1477" s="399"/>
      <c r="T1477" s="399" t="s">
        <v>4684</v>
      </c>
      <c r="U1477" s="400"/>
      <c r="V1477" s="399"/>
      <c r="W1477" s="399"/>
      <c r="X1477" s="400"/>
      <c r="Y1477" s="399" t="s">
        <v>208</v>
      </c>
      <c r="Z1477" s="400"/>
      <c r="AA1477" s="399" t="s">
        <v>113</v>
      </c>
      <c r="AB1477" s="531" t="s">
        <v>3178</v>
      </c>
      <c r="AC1477" s="532" t="s">
        <v>4685</v>
      </c>
      <c r="AD1477" s="400"/>
      <c r="AE1477" s="400"/>
      <c r="AF1477" s="400"/>
      <c r="AG1477" s="399" t="s">
        <v>4686</v>
      </c>
      <c r="AH1477" s="532" t="s">
        <v>3851</v>
      </c>
      <c r="AI1477" s="400"/>
      <c r="AJ1477" s="400"/>
      <c r="AK1477" s="399"/>
      <c r="AL1477" s="399"/>
      <c r="AM1477" s="399"/>
      <c r="AN1477" s="399"/>
      <c r="AO1477" s="399"/>
      <c r="AP1477" s="399"/>
      <c r="AQ1477" s="399"/>
      <c r="AR1477" s="399"/>
      <c r="AS1477" s="399"/>
      <c r="AT1477" s="400"/>
      <c r="AU1477" s="400"/>
      <c r="AV1477" s="400"/>
      <c r="AW1477" s="541"/>
      <c r="AX1477" s="541"/>
      <c r="AY1477" s="541"/>
      <c r="AZ1477" s="541"/>
      <c r="BA1477" s="541"/>
      <c r="BB1477" s="400"/>
      <c r="BC1477" s="399" t="str">
        <f t="shared" si="2"/>
        <v/>
      </c>
      <c r="BD1477" s="400"/>
      <c r="BE1477" s="400"/>
      <c r="BF1477" s="400"/>
      <c r="BG1477" s="540"/>
      <c r="BH1477" s="407"/>
      <c r="BI1477" s="407"/>
      <c r="BJ1477" s="543"/>
      <c r="BK1477" s="46">
        <f t="shared" si="1"/>
        <v>1</v>
      </c>
      <c r="BL1477" s="46">
        <f t="shared" si="3"/>
        <v>0</v>
      </c>
      <c r="BM1477" s="46">
        <f t="shared" si="4"/>
        <v>1</v>
      </c>
      <c r="BN1477" s="46">
        <f t="shared" si="5"/>
        <v>0</v>
      </c>
    </row>
    <row r="1478" spans="1:66" ht="12.75" customHeight="1">
      <c r="A1478" s="399">
        <v>1488</v>
      </c>
      <c r="B1478" s="399" t="s">
        <v>4690</v>
      </c>
      <c r="C1478" s="399" t="e">
        <f t="shared" ca="1" si="0"/>
        <v>#NAME?</v>
      </c>
      <c r="D1478" s="400" t="s">
        <v>4689</v>
      </c>
      <c r="E1478" s="399" t="s">
        <v>180</v>
      </c>
      <c r="F1478" s="400" t="s">
        <v>4682</v>
      </c>
      <c r="G1478" s="400"/>
      <c r="H1478" s="400"/>
      <c r="I1478" s="400"/>
      <c r="J1478" s="400"/>
      <c r="K1478" s="400">
        <v>1</v>
      </c>
      <c r="L1478" s="400" t="s">
        <v>3333</v>
      </c>
      <c r="M1478" s="402" t="s">
        <v>4518</v>
      </c>
      <c r="N1478" s="400"/>
      <c r="O1478" s="428" t="s">
        <v>4417</v>
      </c>
      <c r="P1478" s="574"/>
      <c r="Q1478" s="400" t="s">
        <v>4688</v>
      </c>
      <c r="R1478" s="428"/>
      <c r="S1478" s="399"/>
      <c r="T1478" s="399"/>
      <c r="U1478" s="400"/>
      <c r="V1478" s="399"/>
      <c r="W1478" s="399" t="s">
        <v>4689</v>
      </c>
      <c r="X1478" s="400"/>
      <c r="Y1478" s="399" t="s">
        <v>208</v>
      </c>
      <c r="Z1478" s="400"/>
      <c r="AA1478" s="399" t="s">
        <v>113</v>
      </c>
      <c r="AB1478" s="531" t="s">
        <v>3178</v>
      </c>
      <c r="AC1478" s="532" t="s">
        <v>4668</v>
      </c>
      <c r="AD1478" s="400"/>
      <c r="AE1478" s="400"/>
      <c r="AF1478" s="400"/>
      <c r="AG1478" s="399" t="s">
        <v>4489</v>
      </c>
      <c r="AH1478" s="532" t="s">
        <v>3851</v>
      </c>
      <c r="AI1478" s="400"/>
      <c r="AJ1478" s="400"/>
      <c r="AK1478" s="399"/>
      <c r="AL1478" s="399"/>
      <c r="AM1478" s="399"/>
      <c r="AN1478" s="399"/>
      <c r="AO1478" s="399"/>
      <c r="AP1478" s="399"/>
      <c r="AQ1478" s="399"/>
      <c r="AR1478" s="399"/>
      <c r="AS1478" s="399"/>
      <c r="AT1478" s="400" t="s">
        <v>4691</v>
      </c>
      <c r="AU1478" s="400" t="s">
        <v>4692</v>
      </c>
      <c r="AV1478" s="400">
        <v>199229001</v>
      </c>
      <c r="AW1478" s="541"/>
      <c r="AX1478" s="541"/>
      <c r="AY1478" s="541"/>
      <c r="AZ1478" s="541"/>
      <c r="BA1478" s="541"/>
      <c r="BB1478" s="400"/>
      <c r="BC1478" s="399" t="e">
        <f t="shared" ca="1" si="2"/>
        <v>#NAME?</v>
      </c>
      <c r="BD1478" s="400">
        <v>158473</v>
      </c>
      <c r="BE1478" s="400"/>
      <c r="BF1478" s="400"/>
      <c r="BG1478" s="540"/>
      <c r="BH1478" s="407" t="s">
        <v>4691</v>
      </c>
      <c r="BI1478" s="407">
        <v>199229001</v>
      </c>
      <c r="BJ1478" s="543"/>
      <c r="BK1478" s="46">
        <f t="shared" si="1"/>
        <v>1</v>
      </c>
      <c r="BL1478" s="46">
        <f t="shared" si="3"/>
        <v>1</v>
      </c>
      <c r="BM1478" s="46">
        <f t="shared" si="4"/>
        <v>0</v>
      </c>
      <c r="BN1478" s="46">
        <f t="shared" si="5"/>
        <v>0</v>
      </c>
    </row>
    <row r="1479" spans="1:66" ht="12.75" customHeight="1">
      <c r="A1479" s="399">
        <v>1489</v>
      </c>
      <c r="B1479" s="399" t="s">
        <v>4702</v>
      </c>
      <c r="C1479" s="399" t="e">
        <f t="shared" ca="1" si="0"/>
        <v>#NAME?</v>
      </c>
      <c r="D1479" s="400" t="s">
        <v>4700</v>
      </c>
      <c r="E1479" s="399" t="s">
        <v>180</v>
      </c>
      <c r="F1479" s="400" t="s">
        <v>4682</v>
      </c>
      <c r="G1479" s="400"/>
      <c r="H1479" s="400"/>
      <c r="I1479" s="400"/>
      <c r="J1479" s="400"/>
      <c r="K1479" s="400">
        <v>1</v>
      </c>
      <c r="L1479" s="400" t="s">
        <v>3333</v>
      </c>
      <c r="M1479" s="402" t="s">
        <v>4518</v>
      </c>
      <c r="N1479" s="400"/>
      <c r="O1479" s="428" t="s">
        <v>4417</v>
      </c>
      <c r="P1479" s="574"/>
      <c r="Q1479" s="400" t="s">
        <v>4699</v>
      </c>
      <c r="R1479" s="428"/>
      <c r="S1479" s="399"/>
      <c r="T1479" s="399"/>
      <c r="U1479" s="400"/>
      <c r="V1479" s="399"/>
      <c r="W1479" s="399" t="s">
        <v>4700</v>
      </c>
      <c r="X1479" s="400"/>
      <c r="Y1479" s="399" t="s">
        <v>208</v>
      </c>
      <c r="Z1479" s="400"/>
      <c r="AA1479" s="399" t="s">
        <v>113</v>
      </c>
      <c r="AB1479" s="531" t="s">
        <v>3178</v>
      </c>
      <c r="AC1479" s="532" t="s">
        <v>4701</v>
      </c>
      <c r="AD1479" s="400"/>
      <c r="AE1479" s="400"/>
      <c r="AF1479" s="400"/>
      <c r="AG1479" s="399" t="s">
        <v>4489</v>
      </c>
      <c r="AH1479" s="532" t="s">
        <v>3851</v>
      </c>
      <c r="AI1479" s="400"/>
      <c r="AJ1479" s="400"/>
      <c r="AK1479" s="399"/>
      <c r="AL1479" s="399"/>
      <c r="AM1479" s="399"/>
      <c r="AN1479" s="399"/>
      <c r="AO1479" s="399"/>
      <c r="AP1479" s="399"/>
      <c r="AQ1479" s="399"/>
      <c r="AR1479" s="399"/>
      <c r="AS1479" s="399"/>
      <c r="AT1479" s="400" t="s">
        <v>4703</v>
      </c>
      <c r="AU1479" s="400" t="s">
        <v>4704</v>
      </c>
      <c r="AV1479" s="400">
        <v>199230006</v>
      </c>
      <c r="AW1479" s="541"/>
      <c r="AX1479" s="541"/>
      <c r="AY1479" s="541"/>
      <c r="AZ1479" s="541"/>
      <c r="BA1479" s="541"/>
      <c r="BB1479" s="400"/>
      <c r="BC1479" s="399" t="e">
        <f t="shared" ca="1" si="2"/>
        <v>#NAME?</v>
      </c>
      <c r="BD1479" s="400">
        <v>158474</v>
      </c>
      <c r="BE1479" s="400"/>
      <c r="BF1479" s="400"/>
      <c r="BG1479" s="540"/>
      <c r="BH1479" s="407" t="s">
        <v>4703</v>
      </c>
      <c r="BI1479" s="407">
        <v>199230006</v>
      </c>
      <c r="BJ1479" s="543"/>
      <c r="BK1479" s="46">
        <f t="shared" si="1"/>
        <v>1</v>
      </c>
      <c r="BL1479" s="46">
        <f t="shared" si="3"/>
        <v>1</v>
      </c>
      <c r="BM1479" s="46">
        <f t="shared" si="4"/>
        <v>0</v>
      </c>
      <c r="BN1479" s="46">
        <f t="shared" si="5"/>
        <v>0</v>
      </c>
    </row>
    <row r="1480" spans="1:66" ht="12.75" customHeight="1">
      <c r="A1480" s="399">
        <v>1490</v>
      </c>
      <c r="B1480" s="399" t="s">
        <v>4708</v>
      </c>
      <c r="C1480" s="399" t="e">
        <f t="shared" ca="1" si="0"/>
        <v>#NAME?</v>
      </c>
      <c r="D1480" s="400" t="s">
        <v>4706</v>
      </c>
      <c r="E1480" s="399" t="s">
        <v>180</v>
      </c>
      <c r="F1480" s="400" t="s">
        <v>4682</v>
      </c>
      <c r="G1480" s="400"/>
      <c r="H1480" s="400"/>
      <c r="I1480" s="400"/>
      <c r="J1480" s="400"/>
      <c r="K1480" s="400">
        <v>1</v>
      </c>
      <c r="L1480" s="400" t="s">
        <v>3333</v>
      </c>
      <c r="M1480" s="402" t="s">
        <v>4518</v>
      </c>
      <c r="N1480" s="400"/>
      <c r="O1480" s="428" t="s">
        <v>4417</v>
      </c>
      <c r="P1480" s="574"/>
      <c r="Q1480" s="400" t="s">
        <v>4707</v>
      </c>
      <c r="R1480" s="428"/>
      <c r="S1480" s="399"/>
      <c r="T1480" s="399"/>
      <c r="U1480" s="400"/>
      <c r="V1480" s="399"/>
      <c r="W1480" s="399" t="s">
        <v>4706</v>
      </c>
      <c r="X1480" s="400"/>
      <c r="Y1480" s="399" t="s">
        <v>208</v>
      </c>
      <c r="Z1480" s="400"/>
      <c r="AA1480" s="399" t="s">
        <v>113</v>
      </c>
      <c r="AB1480" s="531" t="s">
        <v>3178</v>
      </c>
      <c r="AC1480" s="532" t="s">
        <v>4701</v>
      </c>
      <c r="AD1480" s="400"/>
      <c r="AE1480" s="400"/>
      <c r="AF1480" s="400"/>
      <c r="AG1480" s="399" t="s">
        <v>4489</v>
      </c>
      <c r="AH1480" s="532" t="s">
        <v>3851</v>
      </c>
      <c r="AI1480" s="400"/>
      <c r="AJ1480" s="400"/>
      <c r="AK1480" s="399"/>
      <c r="AL1480" s="399"/>
      <c r="AM1480" s="399"/>
      <c r="AN1480" s="399"/>
      <c r="AO1480" s="399"/>
      <c r="AP1480" s="399"/>
      <c r="AQ1480" s="399"/>
      <c r="AR1480" s="399"/>
      <c r="AS1480" s="399"/>
      <c r="AT1480" s="400"/>
      <c r="AU1480" s="400"/>
      <c r="AV1480" s="400">
        <v>11687002</v>
      </c>
      <c r="AW1480" s="541"/>
      <c r="AX1480" s="541"/>
      <c r="AY1480" s="541"/>
      <c r="AZ1480" s="541"/>
      <c r="BA1480" s="541"/>
      <c r="BB1480" s="400"/>
      <c r="BC1480" s="399" t="e">
        <f t="shared" ca="1" si="2"/>
        <v>#NAME?</v>
      </c>
      <c r="BD1480" s="400"/>
      <c r="BE1480" s="400"/>
      <c r="BF1480" s="400"/>
      <c r="BG1480" s="540"/>
      <c r="BH1480" s="407"/>
      <c r="BI1480" s="407">
        <v>11687002</v>
      </c>
      <c r="BJ1480" s="543"/>
      <c r="BK1480" s="46">
        <f t="shared" si="1"/>
        <v>1</v>
      </c>
      <c r="BL1480" s="46">
        <f t="shared" si="3"/>
        <v>1</v>
      </c>
      <c r="BM1480" s="46">
        <f t="shared" si="4"/>
        <v>0</v>
      </c>
      <c r="BN1480" s="46">
        <f t="shared" si="5"/>
        <v>0</v>
      </c>
    </row>
    <row r="1481" spans="1:66" ht="12.75" customHeight="1">
      <c r="A1481" s="399">
        <v>1491</v>
      </c>
      <c r="B1481" s="399" t="s">
        <v>4713</v>
      </c>
      <c r="C1481" s="399" t="e">
        <f t="shared" ca="1" si="0"/>
        <v>#NAME?</v>
      </c>
      <c r="D1481" s="400" t="s">
        <v>4711</v>
      </c>
      <c r="E1481" s="399" t="s">
        <v>180</v>
      </c>
      <c r="F1481" s="400" t="s">
        <v>4682</v>
      </c>
      <c r="G1481" s="400"/>
      <c r="H1481" s="400"/>
      <c r="I1481" s="400"/>
      <c r="J1481" s="400"/>
      <c r="K1481" s="400">
        <v>1</v>
      </c>
      <c r="L1481" s="400" t="s">
        <v>3333</v>
      </c>
      <c r="M1481" s="402" t="s">
        <v>4518</v>
      </c>
      <c r="N1481" s="400"/>
      <c r="O1481" s="428" t="s">
        <v>4417</v>
      </c>
      <c r="P1481" s="574"/>
      <c r="Q1481" s="400" t="s">
        <v>4712</v>
      </c>
      <c r="R1481" s="428"/>
      <c r="S1481" s="399"/>
      <c r="T1481" s="399"/>
      <c r="U1481" s="400"/>
      <c r="V1481" s="399"/>
      <c r="W1481" s="399" t="s">
        <v>4711</v>
      </c>
      <c r="X1481" s="400"/>
      <c r="Y1481" s="399" t="s">
        <v>208</v>
      </c>
      <c r="Z1481" s="400"/>
      <c r="AA1481" s="399" t="s">
        <v>113</v>
      </c>
      <c r="AB1481" s="531" t="s">
        <v>3178</v>
      </c>
      <c r="AC1481" s="532" t="s">
        <v>4701</v>
      </c>
      <c r="AD1481" s="400"/>
      <c r="AE1481" s="400"/>
      <c r="AF1481" s="400"/>
      <c r="AG1481" s="399" t="s">
        <v>4489</v>
      </c>
      <c r="AH1481" s="532" t="s">
        <v>3851</v>
      </c>
      <c r="AI1481" s="400"/>
      <c r="AJ1481" s="400"/>
      <c r="AK1481" s="399"/>
      <c r="AL1481" s="399"/>
      <c r="AM1481" s="399"/>
      <c r="AN1481" s="399"/>
      <c r="AO1481" s="399"/>
      <c r="AP1481" s="399"/>
      <c r="AQ1481" s="399"/>
      <c r="AR1481" s="399"/>
      <c r="AS1481" s="399"/>
      <c r="AT1481" s="400"/>
      <c r="AU1481" s="400"/>
      <c r="AV1481" s="400"/>
      <c r="AW1481" s="541"/>
      <c r="AX1481" s="541"/>
      <c r="AY1481" s="541"/>
      <c r="AZ1481" s="541"/>
      <c r="BA1481" s="541"/>
      <c r="BB1481" s="400"/>
      <c r="BC1481" s="399" t="e">
        <f t="shared" ca="1" si="2"/>
        <v>#NAME?</v>
      </c>
      <c r="BD1481" s="400"/>
      <c r="BE1481" s="400"/>
      <c r="BF1481" s="400"/>
      <c r="BG1481" s="540"/>
      <c r="BH1481" s="407"/>
      <c r="BI1481" s="407"/>
      <c r="BJ1481" s="543"/>
      <c r="BK1481" s="46">
        <f t="shared" si="1"/>
        <v>1</v>
      </c>
      <c r="BL1481" s="46">
        <f t="shared" si="3"/>
        <v>0</v>
      </c>
      <c r="BM1481" s="46">
        <f t="shared" si="4"/>
        <v>1</v>
      </c>
      <c r="BN1481" s="46">
        <f t="shared" si="5"/>
        <v>0</v>
      </c>
    </row>
    <row r="1482" spans="1:66" ht="12.75" customHeight="1">
      <c r="A1482" s="399">
        <v>1492</v>
      </c>
      <c r="B1482" s="399" t="s">
        <v>4718</v>
      </c>
      <c r="C1482" s="399" t="e">
        <f t="shared" ca="1" si="0"/>
        <v>#NAME?</v>
      </c>
      <c r="D1482" s="400" t="s">
        <v>4715</v>
      </c>
      <c r="E1482" s="399" t="s">
        <v>180</v>
      </c>
      <c r="F1482" s="400" t="s">
        <v>4682</v>
      </c>
      <c r="G1482" s="400"/>
      <c r="H1482" s="400"/>
      <c r="I1482" s="400"/>
      <c r="J1482" s="400"/>
      <c r="K1482" s="400">
        <v>1</v>
      </c>
      <c r="L1482" s="400" t="s">
        <v>3333</v>
      </c>
      <c r="M1482" s="402" t="s">
        <v>4518</v>
      </c>
      <c r="N1482" s="400"/>
      <c r="O1482" s="428" t="s">
        <v>4417</v>
      </c>
      <c r="P1482" s="574"/>
      <c r="Q1482" s="400" t="s">
        <v>4716</v>
      </c>
      <c r="R1482" s="428"/>
      <c r="S1482" s="399"/>
      <c r="T1482" s="399"/>
      <c r="U1482" s="400"/>
      <c r="V1482" s="399"/>
      <c r="W1482" s="399" t="s">
        <v>4715</v>
      </c>
      <c r="X1482" s="400"/>
      <c r="Y1482" s="399" t="s">
        <v>208</v>
      </c>
      <c r="Z1482" s="400"/>
      <c r="AA1482" s="399" t="s">
        <v>113</v>
      </c>
      <c r="AB1482" s="531" t="s">
        <v>3178</v>
      </c>
      <c r="AC1482" s="532" t="s">
        <v>4701</v>
      </c>
      <c r="AD1482" s="400"/>
      <c r="AE1482" s="400"/>
      <c r="AF1482" s="400"/>
      <c r="AG1482" s="399" t="s">
        <v>4489</v>
      </c>
      <c r="AH1482" s="532" t="s">
        <v>3851</v>
      </c>
      <c r="AI1482" s="400"/>
      <c r="AJ1482" s="400"/>
      <c r="AK1482" s="399"/>
      <c r="AL1482" s="399"/>
      <c r="AM1482" s="399"/>
      <c r="AN1482" s="399"/>
      <c r="AO1482" s="399"/>
      <c r="AP1482" s="399"/>
      <c r="AQ1482" s="399"/>
      <c r="AR1482" s="399"/>
      <c r="AS1482" s="399"/>
      <c r="AT1482" s="400"/>
      <c r="AU1482" s="400"/>
      <c r="AV1482" s="400"/>
      <c r="AW1482" s="541"/>
      <c r="AX1482" s="541"/>
      <c r="AY1482" s="541"/>
      <c r="AZ1482" s="541"/>
      <c r="BA1482" s="541"/>
      <c r="BB1482" s="400"/>
      <c r="BC1482" s="399" t="e">
        <f t="shared" ca="1" si="2"/>
        <v>#NAME?</v>
      </c>
      <c r="BD1482" s="400"/>
      <c r="BE1482" s="400"/>
      <c r="BF1482" s="400"/>
      <c r="BG1482" s="540"/>
      <c r="BH1482" s="407"/>
      <c r="BI1482" s="407"/>
      <c r="BJ1482" s="543"/>
      <c r="BK1482" s="46">
        <f t="shared" si="1"/>
        <v>1</v>
      </c>
      <c r="BL1482" s="46">
        <f t="shared" si="3"/>
        <v>0</v>
      </c>
      <c r="BM1482" s="46">
        <f t="shared" si="4"/>
        <v>1</v>
      </c>
      <c r="BN1482" s="46">
        <f t="shared" si="5"/>
        <v>0</v>
      </c>
    </row>
    <row r="1483" spans="1:66" ht="12.75" customHeight="1">
      <c r="A1483" s="399">
        <v>1493</v>
      </c>
      <c r="B1483" s="399" t="s">
        <v>4721</v>
      </c>
      <c r="C1483" s="399" t="e">
        <f t="shared" ca="1" si="0"/>
        <v>#NAME?</v>
      </c>
      <c r="D1483" s="400" t="s">
        <v>4719</v>
      </c>
      <c r="E1483" s="399" t="s">
        <v>180</v>
      </c>
      <c r="F1483" s="400" t="s">
        <v>4682</v>
      </c>
      <c r="G1483" s="400"/>
      <c r="H1483" s="400"/>
      <c r="I1483" s="400"/>
      <c r="J1483" s="400"/>
      <c r="K1483" s="400">
        <v>1</v>
      </c>
      <c r="L1483" s="400" t="s">
        <v>3333</v>
      </c>
      <c r="M1483" s="402" t="s">
        <v>4518</v>
      </c>
      <c r="N1483" s="400"/>
      <c r="O1483" s="428" t="s">
        <v>4417</v>
      </c>
      <c r="P1483" s="574"/>
      <c r="Q1483" s="400" t="s">
        <v>4720</v>
      </c>
      <c r="R1483" s="428"/>
      <c r="S1483" s="399"/>
      <c r="T1483" s="399"/>
      <c r="U1483" s="400"/>
      <c r="V1483" s="399"/>
      <c r="W1483" s="399" t="s">
        <v>4719</v>
      </c>
      <c r="X1483" s="400"/>
      <c r="Y1483" s="399" t="s">
        <v>208</v>
      </c>
      <c r="Z1483" s="400"/>
      <c r="AA1483" s="399" t="s">
        <v>113</v>
      </c>
      <c r="AB1483" s="531" t="s">
        <v>3178</v>
      </c>
      <c r="AC1483" s="532" t="s">
        <v>4701</v>
      </c>
      <c r="AD1483" s="400"/>
      <c r="AE1483" s="400"/>
      <c r="AF1483" s="400"/>
      <c r="AG1483" s="399" t="s">
        <v>4489</v>
      </c>
      <c r="AH1483" s="532" t="s">
        <v>3851</v>
      </c>
      <c r="AI1483" s="400"/>
      <c r="AJ1483" s="400"/>
      <c r="AK1483" s="399"/>
      <c r="AL1483" s="399"/>
      <c r="AM1483" s="399"/>
      <c r="AN1483" s="399"/>
      <c r="AO1483" s="399"/>
      <c r="AP1483" s="399"/>
      <c r="AQ1483" s="399"/>
      <c r="AR1483" s="399"/>
      <c r="AS1483" s="399"/>
      <c r="AT1483" s="400" t="s">
        <v>4722</v>
      </c>
      <c r="AU1483" s="400" t="s">
        <v>4679</v>
      </c>
      <c r="AV1483" s="400">
        <v>127013003</v>
      </c>
      <c r="AW1483" s="541"/>
      <c r="AX1483" s="541"/>
      <c r="AY1483" s="541"/>
      <c r="AZ1483" s="541"/>
      <c r="BA1483" s="541"/>
      <c r="BB1483" s="400"/>
      <c r="BC1483" s="399" t="e">
        <f t="shared" ca="1" si="2"/>
        <v>#NAME?</v>
      </c>
      <c r="BD1483" s="400">
        <v>142431</v>
      </c>
      <c r="BE1483" s="400"/>
      <c r="BF1483" s="400"/>
      <c r="BG1483" s="540"/>
      <c r="BH1483" s="407" t="s">
        <v>4722</v>
      </c>
      <c r="BI1483" s="407">
        <v>127013003</v>
      </c>
      <c r="BJ1483" s="543"/>
      <c r="BK1483" s="46">
        <f t="shared" si="1"/>
        <v>1</v>
      </c>
      <c r="BL1483" s="46">
        <f t="shared" si="3"/>
        <v>1</v>
      </c>
      <c r="BM1483" s="46">
        <f t="shared" si="4"/>
        <v>0</v>
      </c>
      <c r="BN1483" s="46">
        <f t="shared" si="5"/>
        <v>0</v>
      </c>
    </row>
    <row r="1484" spans="1:66" ht="12.75" customHeight="1">
      <c r="A1484" s="399">
        <v>1494</v>
      </c>
      <c r="B1484" s="399" t="s">
        <v>4726</v>
      </c>
      <c r="C1484" s="399" t="e">
        <f t="shared" ca="1" si="0"/>
        <v>#NAME?</v>
      </c>
      <c r="D1484" s="400" t="s">
        <v>4724</v>
      </c>
      <c r="E1484" s="399" t="s">
        <v>180</v>
      </c>
      <c r="F1484" s="400" t="s">
        <v>4682</v>
      </c>
      <c r="G1484" s="400"/>
      <c r="H1484" s="400"/>
      <c r="I1484" s="400"/>
      <c r="J1484" s="400"/>
      <c r="K1484" s="400">
        <v>1</v>
      </c>
      <c r="L1484" s="400" t="s">
        <v>3333</v>
      </c>
      <c r="M1484" s="402" t="s">
        <v>4518</v>
      </c>
      <c r="N1484" s="400"/>
      <c r="O1484" s="428" t="s">
        <v>4417</v>
      </c>
      <c r="P1484" s="574"/>
      <c r="Q1484" s="400" t="s">
        <v>4725</v>
      </c>
      <c r="R1484" s="428"/>
      <c r="S1484" s="399"/>
      <c r="T1484" s="399"/>
      <c r="U1484" s="400"/>
      <c r="V1484" s="399"/>
      <c r="W1484" s="399" t="s">
        <v>4724</v>
      </c>
      <c r="X1484" s="400"/>
      <c r="Y1484" s="399" t="s">
        <v>208</v>
      </c>
      <c r="Z1484" s="400"/>
      <c r="AA1484" s="399" t="s">
        <v>113</v>
      </c>
      <c r="AB1484" s="531" t="s">
        <v>3178</v>
      </c>
      <c r="AC1484" s="532" t="s">
        <v>4701</v>
      </c>
      <c r="AD1484" s="400"/>
      <c r="AE1484" s="400"/>
      <c r="AF1484" s="400"/>
      <c r="AG1484" s="399" t="s">
        <v>4489</v>
      </c>
      <c r="AH1484" s="532" t="s">
        <v>3851</v>
      </c>
      <c r="AI1484" s="400"/>
      <c r="AJ1484" s="400"/>
      <c r="AK1484" s="399"/>
      <c r="AL1484" s="399"/>
      <c r="AM1484" s="399"/>
      <c r="AN1484" s="399"/>
      <c r="AO1484" s="399"/>
      <c r="AP1484" s="399"/>
      <c r="AQ1484" s="399"/>
      <c r="AR1484" s="399"/>
      <c r="AS1484" s="399"/>
      <c r="AT1484" s="400" t="s">
        <v>4727</v>
      </c>
      <c r="AU1484" s="400" t="s">
        <v>4679</v>
      </c>
      <c r="AV1484" s="400">
        <v>4855003</v>
      </c>
      <c r="AW1484" s="541"/>
      <c r="AX1484" s="541"/>
      <c r="AY1484" s="541"/>
      <c r="AZ1484" s="541"/>
      <c r="BA1484" s="541"/>
      <c r="BB1484" s="400"/>
      <c r="BC1484" s="399" t="e">
        <f t="shared" ca="1" si="2"/>
        <v>#NAME?</v>
      </c>
      <c r="BD1484" s="400">
        <v>142429</v>
      </c>
      <c r="BE1484" s="400"/>
      <c r="BF1484" s="400"/>
      <c r="BG1484" s="540"/>
      <c r="BH1484" s="407" t="s">
        <v>4727</v>
      </c>
      <c r="BI1484" s="407">
        <v>4855003</v>
      </c>
      <c r="BJ1484" s="543"/>
      <c r="BK1484" s="46">
        <f t="shared" si="1"/>
        <v>1</v>
      </c>
      <c r="BL1484" s="46">
        <f t="shared" si="3"/>
        <v>1</v>
      </c>
      <c r="BM1484" s="46">
        <f t="shared" si="4"/>
        <v>0</v>
      </c>
      <c r="BN1484" s="46">
        <f t="shared" si="5"/>
        <v>0</v>
      </c>
    </row>
    <row r="1485" spans="1:66" ht="12.75" customHeight="1">
      <c r="A1485" s="399">
        <v>1495</v>
      </c>
      <c r="B1485" s="399" t="s">
        <v>4731</v>
      </c>
      <c r="C1485" s="399" t="e">
        <f t="shared" ca="1" si="0"/>
        <v>#NAME?</v>
      </c>
      <c r="D1485" s="400" t="s">
        <v>4729</v>
      </c>
      <c r="E1485" s="399" t="s">
        <v>180</v>
      </c>
      <c r="F1485" s="400" t="s">
        <v>4682</v>
      </c>
      <c r="G1485" s="400"/>
      <c r="H1485" s="400"/>
      <c r="I1485" s="400"/>
      <c r="J1485" s="400"/>
      <c r="K1485" s="400">
        <v>1</v>
      </c>
      <c r="L1485" s="400" t="s">
        <v>3333</v>
      </c>
      <c r="M1485" s="402" t="s">
        <v>4518</v>
      </c>
      <c r="N1485" s="400"/>
      <c r="O1485" s="428" t="s">
        <v>4417</v>
      </c>
      <c r="P1485" s="574"/>
      <c r="Q1485" s="400" t="s">
        <v>4730</v>
      </c>
      <c r="R1485" s="428"/>
      <c r="S1485" s="399"/>
      <c r="T1485" s="399"/>
      <c r="U1485" s="400"/>
      <c r="V1485" s="399"/>
      <c r="W1485" s="399" t="s">
        <v>4729</v>
      </c>
      <c r="X1485" s="400"/>
      <c r="Y1485" s="399" t="s">
        <v>208</v>
      </c>
      <c r="Z1485" s="400"/>
      <c r="AA1485" s="399" t="s">
        <v>113</v>
      </c>
      <c r="AB1485" s="531" t="s">
        <v>3178</v>
      </c>
      <c r="AC1485" s="532" t="s">
        <v>4701</v>
      </c>
      <c r="AD1485" s="400"/>
      <c r="AE1485" s="400"/>
      <c r="AF1485" s="400"/>
      <c r="AG1485" s="399" t="s">
        <v>4489</v>
      </c>
      <c r="AH1485" s="532" t="s">
        <v>3851</v>
      </c>
      <c r="AI1485" s="400"/>
      <c r="AJ1485" s="400"/>
      <c r="AK1485" s="399"/>
      <c r="AL1485" s="399"/>
      <c r="AM1485" s="399"/>
      <c r="AN1485" s="399"/>
      <c r="AO1485" s="399"/>
      <c r="AP1485" s="399"/>
      <c r="AQ1485" s="399"/>
      <c r="AR1485" s="399"/>
      <c r="AS1485" s="399"/>
      <c r="AT1485" s="400"/>
      <c r="AU1485" s="400"/>
      <c r="AV1485" s="400"/>
      <c r="AW1485" s="541"/>
      <c r="AX1485" s="541"/>
      <c r="AY1485" s="541"/>
      <c r="AZ1485" s="541"/>
      <c r="BA1485" s="541"/>
      <c r="BB1485" s="400"/>
      <c r="BC1485" s="399" t="e">
        <f t="shared" ca="1" si="2"/>
        <v>#NAME?</v>
      </c>
      <c r="BD1485" s="400"/>
      <c r="BE1485" s="400"/>
      <c r="BF1485" s="400"/>
      <c r="BG1485" s="540"/>
      <c r="BH1485" s="407"/>
      <c r="BI1485" s="407"/>
      <c r="BJ1485" s="543"/>
      <c r="BK1485" s="46">
        <f t="shared" si="1"/>
        <v>1</v>
      </c>
      <c r="BL1485" s="46">
        <f t="shared" si="3"/>
        <v>0</v>
      </c>
      <c r="BM1485" s="46">
        <f t="shared" si="4"/>
        <v>1</v>
      </c>
      <c r="BN1485" s="46">
        <f t="shared" si="5"/>
        <v>0</v>
      </c>
    </row>
    <row r="1486" spans="1:66" ht="12.75" customHeight="1">
      <c r="A1486" s="399">
        <v>1496</v>
      </c>
      <c r="B1486" s="399" t="s">
        <v>4623</v>
      </c>
      <c r="C1486" s="399" t="str">
        <f t="shared" si="0"/>
        <v>Smoker</v>
      </c>
      <c r="D1486" s="400" t="s">
        <v>4623</v>
      </c>
      <c r="E1486" s="399" t="s">
        <v>96</v>
      </c>
      <c r="F1486" s="400" t="s">
        <v>1787</v>
      </c>
      <c r="G1486" s="400"/>
      <c r="H1486" s="400"/>
      <c r="I1486" s="400"/>
      <c r="J1486" s="400"/>
      <c r="K1486" s="400">
        <v>1</v>
      </c>
      <c r="L1486" s="400" t="s">
        <v>3333</v>
      </c>
      <c r="M1486" s="402" t="s">
        <v>4518</v>
      </c>
      <c r="N1486" s="400"/>
      <c r="O1486" s="428" t="s">
        <v>4417</v>
      </c>
      <c r="P1486" s="428"/>
      <c r="Q1486" s="399" t="s">
        <v>4622</v>
      </c>
      <c r="R1486" s="428" t="s">
        <v>4623</v>
      </c>
      <c r="S1486" s="399"/>
      <c r="T1486" s="399" t="s">
        <v>4733</v>
      </c>
      <c r="U1486" s="399" t="s">
        <v>3169</v>
      </c>
      <c r="V1486" s="399"/>
      <c r="W1486" s="399" t="s">
        <v>3170</v>
      </c>
      <c r="X1486" s="400"/>
      <c r="Y1486" s="399" t="s">
        <v>208</v>
      </c>
      <c r="Z1486" s="399"/>
      <c r="AA1486" s="399" t="s">
        <v>113</v>
      </c>
      <c r="AB1486" s="399" t="s">
        <v>3178</v>
      </c>
      <c r="AC1486" s="532" t="s">
        <v>4734</v>
      </c>
      <c r="AD1486" s="400"/>
      <c r="AE1486" s="399"/>
      <c r="AF1486" s="399"/>
      <c r="AG1486" s="399" t="s">
        <v>4686</v>
      </c>
      <c r="AH1486" s="532" t="s">
        <v>3851</v>
      </c>
      <c r="AI1486" s="399"/>
      <c r="AJ1486" s="400"/>
      <c r="AK1486" s="399"/>
      <c r="AL1486" s="399"/>
      <c r="AM1486" s="399"/>
      <c r="AN1486" s="399"/>
      <c r="AO1486" s="399"/>
      <c r="AP1486" s="399"/>
      <c r="AQ1486" s="399"/>
      <c r="AR1486" s="399"/>
      <c r="AS1486" s="399"/>
      <c r="AT1486" s="399"/>
      <c r="AU1486" s="399"/>
      <c r="AV1486" s="399"/>
      <c r="AW1486" s="541"/>
      <c r="AX1486" s="541"/>
      <c r="AY1486" s="541"/>
      <c r="AZ1486" s="541"/>
      <c r="BA1486" s="541"/>
      <c r="BB1486" s="399"/>
      <c r="BC1486" s="399" t="str">
        <f t="shared" si="2"/>
        <v/>
      </c>
      <c r="BD1486" s="399"/>
      <c r="BE1486" s="399"/>
      <c r="BF1486" s="399"/>
      <c r="BG1486" s="540"/>
      <c r="BH1486" s="407"/>
      <c r="BI1486" s="407"/>
      <c r="BJ1486" s="543"/>
      <c r="BK1486" s="46">
        <f t="shared" si="1"/>
        <v>1</v>
      </c>
      <c r="BL1486" s="46">
        <f t="shared" si="3"/>
        <v>0</v>
      </c>
      <c r="BM1486" s="46">
        <f t="shared" si="4"/>
        <v>1</v>
      </c>
      <c r="BN1486" s="46">
        <f t="shared" si="5"/>
        <v>0</v>
      </c>
    </row>
    <row r="1487" spans="1:66" ht="12.75" customHeight="1">
      <c r="A1487" s="399">
        <v>1497</v>
      </c>
      <c r="B1487" s="399" t="s">
        <v>4741</v>
      </c>
      <c r="C1487" s="399" t="str">
        <f t="shared" si="0"/>
        <v>Smoking category</v>
      </c>
      <c r="D1487" s="400" t="s">
        <v>4741</v>
      </c>
      <c r="E1487" s="399" t="s">
        <v>96</v>
      </c>
      <c r="F1487" s="400" t="s">
        <v>1787</v>
      </c>
      <c r="G1487" s="400"/>
      <c r="H1487" s="400"/>
      <c r="I1487" s="400"/>
      <c r="J1487" s="400"/>
      <c r="K1487" s="400">
        <v>1</v>
      </c>
      <c r="L1487" s="400" t="s">
        <v>3333</v>
      </c>
      <c r="M1487" s="402" t="s">
        <v>4518</v>
      </c>
      <c r="N1487" s="400"/>
      <c r="O1487" s="428" t="s">
        <v>4417</v>
      </c>
      <c r="P1487" s="428"/>
      <c r="Q1487" s="399" t="s">
        <v>4740</v>
      </c>
      <c r="R1487" s="428" t="s">
        <v>4741</v>
      </c>
      <c r="S1487" s="399"/>
      <c r="T1487" s="399" t="s">
        <v>4742</v>
      </c>
      <c r="U1487" s="399" t="s">
        <v>4694</v>
      </c>
      <c r="V1487" s="399"/>
      <c r="W1487" s="399"/>
      <c r="X1487" s="399"/>
      <c r="Y1487" s="399" t="s">
        <v>208</v>
      </c>
      <c r="Z1487" s="399"/>
      <c r="AA1487" s="399" t="s">
        <v>113</v>
      </c>
      <c r="AB1487" s="399" t="s">
        <v>3178</v>
      </c>
      <c r="AC1487" s="532" t="s">
        <v>4743</v>
      </c>
      <c r="AD1487" s="400"/>
      <c r="AE1487" s="399"/>
      <c r="AF1487" s="399"/>
      <c r="AG1487" s="399" t="s">
        <v>4686</v>
      </c>
      <c r="AH1487" s="532" t="s">
        <v>3851</v>
      </c>
      <c r="AI1487" s="399"/>
      <c r="AJ1487" s="400"/>
      <c r="AK1487" s="399"/>
      <c r="AL1487" s="399"/>
      <c r="AM1487" s="399"/>
      <c r="AN1487" s="399"/>
      <c r="AO1487" s="399"/>
      <c r="AP1487" s="399"/>
      <c r="AQ1487" s="399"/>
      <c r="AR1487" s="399"/>
      <c r="AS1487" s="399"/>
      <c r="AT1487" s="399"/>
      <c r="AU1487" s="399"/>
      <c r="AV1487" s="399"/>
      <c r="AW1487" s="541"/>
      <c r="AX1487" s="541"/>
      <c r="AY1487" s="541"/>
      <c r="AZ1487" s="541"/>
      <c r="BA1487" s="541"/>
      <c r="BB1487" s="399"/>
      <c r="BC1487" s="399" t="str">
        <f t="shared" si="2"/>
        <v/>
      </c>
      <c r="BD1487" s="399"/>
      <c r="BE1487" s="399"/>
      <c r="BF1487" s="399"/>
      <c r="BG1487" s="540"/>
      <c r="BH1487" s="552"/>
      <c r="BI1487" s="552"/>
      <c r="BJ1487" s="543"/>
      <c r="BK1487" s="46">
        <f t="shared" si="1"/>
        <v>1</v>
      </c>
      <c r="BL1487" s="46">
        <f t="shared" si="3"/>
        <v>0</v>
      </c>
      <c r="BM1487" s="46">
        <f t="shared" si="4"/>
        <v>1</v>
      </c>
      <c r="BN1487" s="46">
        <f t="shared" si="5"/>
        <v>0</v>
      </c>
    </row>
    <row r="1488" spans="1:66" ht="12.75" customHeight="1">
      <c r="A1488" s="399">
        <v>1498</v>
      </c>
      <c r="B1488" s="399" t="s">
        <v>4747</v>
      </c>
      <c r="C1488" s="399" t="e">
        <f t="shared" ca="1" si="0"/>
        <v>#NAME?</v>
      </c>
      <c r="D1488" s="400" t="s">
        <v>4750</v>
      </c>
      <c r="E1488" s="399" t="s">
        <v>180</v>
      </c>
      <c r="F1488" s="400" t="s">
        <v>4741</v>
      </c>
      <c r="G1488" s="400"/>
      <c r="H1488" s="400"/>
      <c r="I1488" s="400"/>
      <c r="J1488" s="400"/>
      <c r="K1488" s="400">
        <v>1</v>
      </c>
      <c r="L1488" s="400" t="s">
        <v>3333</v>
      </c>
      <c r="M1488" s="402" t="s">
        <v>4518</v>
      </c>
      <c r="N1488" s="400"/>
      <c r="O1488" s="428" t="s">
        <v>4417</v>
      </c>
      <c r="P1488" s="428"/>
      <c r="Q1488" s="399" t="s">
        <v>4749</v>
      </c>
      <c r="R1488" s="428"/>
      <c r="S1488" s="399"/>
      <c r="T1488" s="399"/>
      <c r="U1488" s="399"/>
      <c r="V1488" s="399"/>
      <c r="W1488" s="399" t="s">
        <v>4750</v>
      </c>
      <c r="X1488" s="400"/>
      <c r="Y1488" s="399" t="s">
        <v>208</v>
      </c>
      <c r="Z1488" s="399"/>
      <c r="AA1488" s="399" t="s">
        <v>113</v>
      </c>
      <c r="AB1488" s="399" t="s">
        <v>3178</v>
      </c>
      <c r="AC1488" s="532" t="s">
        <v>4701</v>
      </c>
      <c r="AD1488" s="400"/>
      <c r="AE1488" s="399"/>
      <c r="AF1488" s="399"/>
      <c r="AG1488" s="399" t="s">
        <v>4489</v>
      </c>
      <c r="AH1488" s="532" t="s">
        <v>3851</v>
      </c>
      <c r="AI1488" s="399"/>
      <c r="AJ1488" s="400"/>
      <c r="AK1488" s="399"/>
      <c r="AL1488" s="399"/>
      <c r="AM1488" s="399"/>
      <c r="AN1488" s="399"/>
      <c r="AO1488" s="399"/>
      <c r="AP1488" s="399"/>
      <c r="AQ1488" s="399"/>
      <c r="AR1488" s="399"/>
      <c r="AS1488" s="399"/>
      <c r="AT1488" s="553"/>
      <c r="AU1488" s="553"/>
      <c r="AV1488" s="553"/>
      <c r="AW1488" s="541"/>
      <c r="AX1488" s="541"/>
      <c r="AY1488" s="541"/>
      <c r="AZ1488" s="541"/>
      <c r="BA1488" s="541"/>
      <c r="BB1488" s="399"/>
      <c r="BC1488" s="399" t="e">
        <f t="shared" ca="1" si="2"/>
        <v>#NAME?</v>
      </c>
      <c r="BD1488" s="553"/>
      <c r="BE1488" s="399"/>
      <c r="BF1488" s="399"/>
      <c r="BG1488" s="540"/>
      <c r="BH1488" s="573"/>
      <c r="BI1488" s="554"/>
      <c r="BJ1488" s="543"/>
      <c r="BK1488" s="46">
        <f t="shared" si="1"/>
        <v>1</v>
      </c>
      <c r="BL1488" s="46">
        <f t="shared" si="3"/>
        <v>0</v>
      </c>
      <c r="BM1488" s="46">
        <f t="shared" si="4"/>
        <v>1</v>
      </c>
      <c r="BN1488" s="46">
        <f t="shared" si="5"/>
        <v>0</v>
      </c>
    </row>
    <row r="1489" spans="1:66" ht="12.75" customHeight="1">
      <c r="A1489" s="399">
        <v>1499</v>
      </c>
      <c r="B1489" s="399" t="s">
        <v>4753</v>
      </c>
      <c r="C1489" s="399" t="e">
        <f t="shared" ca="1" si="0"/>
        <v>#NAME?</v>
      </c>
      <c r="D1489" s="400" t="s">
        <v>4756</v>
      </c>
      <c r="E1489" s="399" t="s">
        <v>180</v>
      </c>
      <c r="F1489" s="400" t="s">
        <v>4741</v>
      </c>
      <c r="G1489" s="400"/>
      <c r="H1489" s="400"/>
      <c r="I1489" s="400"/>
      <c r="J1489" s="400"/>
      <c r="K1489" s="400">
        <v>1</v>
      </c>
      <c r="L1489" s="400" t="s">
        <v>3333</v>
      </c>
      <c r="M1489" s="402" t="s">
        <v>4518</v>
      </c>
      <c r="N1489" s="400"/>
      <c r="O1489" s="428" t="s">
        <v>4417</v>
      </c>
      <c r="P1489" s="428"/>
      <c r="Q1489" s="399" t="s">
        <v>4755</v>
      </c>
      <c r="R1489" s="428"/>
      <c r="S1489" s="399"/>
      <c r="T1489" s="399"/>
      <c r="U1489" s="399"/>
      <c r="V1489" s="399"/>
      <c r="W1489" s="399" t="s">
        <v>4756</v>
      </c>
      <c r="X1489" s="400"/>
      <c r="Y1489" s="399" t="s">
        <v>208</v>
      </c>
      <c r="Z1489" s="399"/>
      <c r="AA1489" s="399" t="s">
        <v>113</v>
      </c>
      <c r="AB1489" s="399" t="s">
        <v>3178</v>
      </c>
      <c r="AC1489" s="532" t="s">
        <v>4701</v>
      </c>
      <c r="AD1489" s="400"/>
      <c r="AE1489" s="399"/>
      <c r="AF1489" s="399"/>
      <c r="AG1489" s="399" t="s">
        <v>4489</v>
      </c>
      <c r="AH1489" s="532" t="s">
        <v>3851</v>
      </c>
      <c r="AI1489" s="399"/>
      <c r="AJ1489" s="400"/>
      <c r="AK1489" s="399"/>
      <c r="AL1489" s="399"/>
      <c r="AM1489" s="399"/>
      <c r="AN1489" s="399"/>
      <c r="AO1489" s="399"/>
      <c r="AP1489" s="399"/>
      <c r="AQ1489" s="399"/>
      <c r="AR1489" s="399"/>
      <c r="AS1489" s="399"/>
      <c r="AT1489" s="399"/>
      <c r="AU1489" s="399"/>
      <c r="AV1489" s="399"/>
      <c r="AW1489" s="541"/>
      <c r="AX1489" s="541"/>
      <c r="AY1489" s="541"/>
      <c r="AZ1489" s="541"/>
      <c r="BA1489" s="541"/>
      <c r="BB1489" s="399"/>
      <c r="BC1489" s="399" t="e">
        <f t="shared" ca="1" si="2"/>
        <v>#NAME?</v>
      </c>
      <c r="BD1489" s="399"/>
      <c r="BE1489" s="399"/>
      <c r="BF1489" s="399"/>
      <c r="BG1489" s="540"/>
      <c r="BH1489" s="407"/>
      <c r="BI1489" s="407"/>
      <c r="BJ1489" s="543"/>
      <c r="BK1489" s="46">
        <f t="shared" si="1"/>
        <v>1</v>
      </c>
      <c r="BL1489" s="46">
        <f t="shared" si="3"/>
        <v>0</v>
      </c>
      <c r="BM1489" s="46">
        <f t="shared" si="4"/>
        <v>1</v>
      </c>
      <c r="BN1489" s="46">
        <f t="shared" si="5"/>
        <v>0</v>
      </c>
    </row>
    <row r="1490" spans="1:66" ht="12.75" customHeight="1">
      <c r="A1490" s="399">
        <v>1500</v>
      </c>
      <c r="B1490" s="399" t="s">
        <v>4313</v>
      </c>
      <c r="C1490" s="399" t="str">
        <f t="shared" si="0"/>
        <v>Headaches</v>
      </c>
      <c r="D1490" s="400" t="s">
        <v>4313</v>
      </c>
      <c r="E1490" s="399" t="s">
        <v>96</v>
      </c>
      <c r="F1490" s="400" t="s">
        <v>1787</v>
      </c>
      <c r="G1490" s="400"/>
      <c r="H1490" s="400"/>
      <c r="I1490" s="400"/>
      <c r="J1490" s="400"/>
      <c r="K1490" s="400">
        <v>1</v>
      </c>
      <c r="L1490" s="400" t="s">
        <v>3333</v>
      </c>
      <c r="M1490" s="402" t="s">
        <v>4518</v>
      </c>
      <c r="N1490" s="400"/>
      <c r="O1490" s="428" t="s">
        <v>4417</v>
      </c>
      <c r="P1490" s="574"/>
      <c r="Q1490" s="399" t="s">
        <v>4312</v>
      </c>
      <c r="R1490" s="428" t="s">
        <v>4313</v>
      </c>
      <c r="S1490" s="400"/>
      <c r="T1490" s="400" t="s">
        <v>4761</v>
      </c>
      <c r="U1490" s="400" t="s">
        <v>3169</v>
      </c>
      <c r="V1490" s="399"/>
      <c r="W1490" s="399" t="s">
        <v>3170</v>
      </c>
      <c r="X1490" s="400"/>
      <c r="Y1490" s="399" t="s">
        <v>208</v>
      </c>
      <c r="Z1490" s="400"/>
      <c r="AA1490" s="399" t="s">
        <v>113</v>
      </c>
      <c r="AB1490" s="400" t="s">
        <v>3178</v>
      </c>
      <c r="AC1490" s="532" t="s">
        <v>4701</v>
      </c>
      <c r="AD1490" s="400"/>
      <c r="AE1490" s="400"/>
      <c r="AF1490" s="400"/>
      <c r="AG1490" s="399" t="s">
        <v>4489</v>
      </c>
      <c r="AH1490" s="532" t="s">
        <v>3851</v>
      </c>
      <c r="AI1490" s="400"/>
      <c r="AJ1490" s="400"/>
      <c r="AK1490" s="399"/>
      <c r="AL1490" s="399"/>
      <c r="AM1490" s="399"/>
      <c r="AN1490" s="399"/>
      <c r="AO1490" s="399"/>
      <c r="AP1490" s="399"/>
      <c r="AQ1490" s="399"/>
      <c r="AR1490" s="399"/>
      <c r="AS1490" s="399"/>
      <c r="AT1490" s="400"/>
      <c r="AU1490" s="400"/>
      <c r="AV1490" s="400">
        <v>230461009</v>
      </c>
      <c r="AW1490" s="541"/>
      <c r="AX1490" s="541"/>
      <c r="AY1490" s="541"/>
      <c r="AZ1490" s="541"/>
      <c r="BA1490" s="541"/>
      <c r="BB1490" s="400"/>
      <c r="BC1490" s="399" t="str">
        <f t="shared" si="2"/>
        <v/>
      </c>
      <c r="BD1490" s="400"/>
      <c r="BE1490" s="400"/>
      <c r="BF1490" s="400"/>
      <c r="BG1490" s="540"/>
      <c r="BH1490" s="407"/>
      <c r="BI1490" s="407">
        <v>230461009</v>
      </c>
      <c r="BJ1490" s="543"/>
      <c r="BK1490" s="46">
        <f t="shared" si="1"/>
        <v>1</v>
      </c>
      <c r="BL1490" s="46">
        <f t="shared" si="3"/>
        <v>0</v>
      </c>
      <c r="BM1490" s="46">
        <f t="shared" si="4"/>
        <v>1</v>
      </c>
      <c r="BN1490" s="46">
        <f t="shared" si="5"/>
        <v>0</v>
      </c>
    </row>
    <row r="1491" spans="1:66" ht="12.75" customHeight="1">
      <c r="A1491" s="399">
        <v>1501</v>
      </c>
      <c r="B1491" s="399" t="s">
        <v>4771</v>
      </c>
      <c r="C1491" s="399" t="str">
        <f t="shared" si="0"/>
        <v>Headache category</v>
      </c>
      <c r="D1491" s="400" t="s">
        <v>4771</v>
      </c>
      <c r="E1491" s="399" t="s">
        <v>96</v>
      </c>
      <c r="F1491" s="400" t="s">
        <v>1787</v>
      </c>
      <c r="G1491" s="400"/>
      <c r="H1491" s="400"/>
      <c r="I1491" s="400"/>
      <c r="J1491" s="400"/>
      <c r="K1491" s="400">
        <v>1</v>
      </c>
      <c r="L1491" s="400" t="s">
        <v>3333</v>
      </c>
      <c r="M1491" s="402" t="s">
        <v>4518</v>
      </c>
      <c r="N1491" s="400"/>
      <c r="O1491" s="428" t="s">
        <v>4417</v>
      </c>
      <c r="P1491" s="574"/>
      <c r="Q1491" s="517" t="s">
        <v>4775</v>
      </c>
      <c r="R1491" s="428" t="s">
        <v>4771</v>
      </c>
      <c r="S1491" s="400"/>
      <c r="T1491" s="400" t="s">
        <v>4776</v>
      </c>
      <c r="U1491" s="400"/>
      <c r="V1491" s="399"/>
      <c r="W1491" s="399"/>
      <c r="X1491" s="400"/>
      <c r="Y1491" s="399" t="s">
        <v>208</v>
      </c>
      <c r="Z1491" s="400"/>
      <c r="AA1491" s="399" t="s">
        <v>113</v>
      </c>
      <c r="AB1491" s="399" t="s">
        <v>3178</v>
      </c>
      <c r="AC1491" s="532" t="s">
        <v>4778</v>
      </c>
      <c r="AD1491" s="400"/>
      <c r="AE1491" s="400"/>
      <c r="AF1491" s="400"/>
      <c r="AG1491" s="399" t="s">
        <v>4686</v>
      </c>
      <c r="AH1491" s="532" t="s">
        <v>3851</v>
      </c>
      <c r="AI1491" s="400"/>
      <c r="AJ1491" s="400"/>
      <c r="AK1491" s="399"/>
      <c r="AL1491" s="399"/>
      <c r="AM1491" s="399"/>
      <c r="AN1491" s="399"/>
      <c r="AO1491" s="399"/>
      <c r="AP1491" s="399"/>
      <c r="AQ1491" s="399"/>
      <c r="AR1491" s="399"/>
      <c r="AS1491" s="399"/>
      <c r="AT1491" s="400"/>
      <c r="AU1491" s="400"/>
      <c r="AV1491" s="400"/>
      <c r="AW1491" s="541"/>
      <c r="AX1491" s="541"/>
      <c r="AY1491" s="541"/>
      <c r="AZ1491" s="541"/>
      <c r="BA1491" s="541"/>
      <c r="BB1491" s="400"/>
      <c r="BC1491" s="399" t="str">
        <f t="shared" si="2"/>
        <v/>
      </c>
      <c r="BD1491" s="400"/>
      <c r="BE1491" s="400"/>
      <c r="BF1491" s="400"/>
      <c r="BG1491" s="540"/>
      <c r="BH1491" s="407"/>
      <c r="BI1491" s="407"/>
      <c r="BJ1491" s="543"/>
      <c r="BK1491" s="46">
        <f t="shared" si="1"/>
        <v>1</v>
      </c>
      <c r="BL1491" s="46">
        <f t="shared" si="3"/>
        <v>0</v>
      </c>
      <c r="BM1491" s="46">
        <f t="shared" si="4"/>
        <v>1</v>
      </c>
      <c r="BN1491" s="46">
        <f t="shared" si="5"/>
        <v>0</v>
      </c>
    </row>
    <row r="1492" spans="1:66" ht="12.75" customHeight="1">
      <c r="A1492" s="399">
        <v>1502</v>
      </c>
      <c r="B1492" s="399" t="s">
        <v>4786</v>
      </c>
      <c r="C1492" s="399" t="e">
        <f t="shared" ca="1" si="0"/>
        <v>#NAME?</v>
      </c>
      <c r="D1492" s="400" t="s">
        <v>4785</v>
      </c>
      <c r="E1492" s="399" t="s">
        <v>180</v>
      </c>
      <c r="F1492" s="400" t="s">
        <v>4771</v>
      </c>
      <c r="G1492" s="400"/>
      <c r="H1492" s="400"/>
      <c r="I1492" s="400"/>
      <c r="J1492" s="400"/>
      <c r="K1492" s="400">
        <v>1</v>
      </c>
      <c r="L1492" s="400" t="s">
        <v>3333</v>
      </c>
      <c r="M1492" s="402" t="s">
        <v>4518</v>
      </c>
      <c r="N1492" s="400"/>
      <c r="O1492" s="428" t="s">
        <v>4417</v>
      </c>
      <c r="P1492" s="574"/>
      <c r="Q1492" s="399" t="s">
        <v>4784</v>
      </c>
      <c r="R1492" s="428"/>
      <c r="S1492" s="400"/>
      <c r="T1492" s="400"/>
      <c r="U1492" s="400"/>
      <c r="V1492" s="399"/>
      <c r="W1492" s="399" t="s">
        <v>4785</v>
      </c>
      <c r="X1492" s="400"/>
      <c r="Y1492" s="399" t="s">
        <v>208</v>
      </c>
      <c r="Z1492" s="400"/>
      <c r="AA1492" s="399" t="s">
        <v>113</v>
      </c>
      <c r="AB1492" s="399" t="s">
        <v>3178</v>
      </c>
      <c r="AC1492" s="532" t="s">
        <v>4701</v>
      </c>
      <c r="AD1492" s="400"/>
      <c r="AE1492" s="400"/>
      <c r="AF1492" s="400"/>
      <c r="AG1492" s="399" t="s">
        <v>4489</v>
      </c>
      <c r="AH1492" s="532" t="s">
        <v>3851</v>
      </c>
      <c r="AI1492" s="400"/>
      <c r="AJ1492" s="400"/>
      <c r="AK1492" s="399"/>
      <c r="AL1492" s="399"/>
      <c r="AM1492" s="399"/>
      <c r="AN1492" s="399"/>
      <c r="AO1492" s="399"/>
      <c r="AP1492" s="399"/>
      <c r="AQ1492" s="399"/>
      <c r="AR1492" s="399"/>
      <c r="AS1492" s="399"/>
      <c r="AT1492" s="400"/>
      <c r="AU1492" s="400"/>
      <c r="AV1492" s="400"/>
      <c r="AW1492" s="541"/>
      <c r="AX1492" s="541"/>
      <c r="AY1492" s="541"/>
      <c r="AZ1492" s="541"/>
      <c r="BA1492" s="541"/>
      <c r="BB1492" s="400"/>
      <c r="BC1492" s="399" t="e">
        <f t="shared" ca="1" si="2"/>
        <v>#NAME?</v>
      </c>
      <c r="BD1492" s="400"/>
      <c r="BE1492" s="400"/>
      <c r="BF1492" s="400"/>
      <c r="BG1492" s="540"/>
      <c r="BH1492" s="407"/>
      <c r="BI1492" s="407"/>
      <c r="BJ1492" s="543"/>
      <c r="BK1492" s="46">
        <f t="shared" si="1"/>
        <v>1</v>
      </c>
      <c r="BL1492" s="46">
        <f t="shared" si="3"/>
        <v>0</v>
      </c>
      <c r="BM1492" s="46">
        <f t="shared" si="4"/>
        <v>1</v>
      </c>
      <c r="BN1492" s="46">
        <f t="shared" si="5"/>
        <v>0</v>
      </c>
    </row>
    <row r="1493" spans="1:66" ht="12.75" customHeight="1">
      <c r="A1493" s="399">
        <v>1503</v>
      </c>
      <c r="B1493" s="399" t="s">
        <v>4793</v>
      </c>
      <c r="C1493" s="399" t="e">
        <f t="shared" ca="1" si="0"/>
        <v>#NAME?</v>
      </c>
      <c r="D1493" s="400" t="s">
        <v>4791</v>
      </c>
      <c r="E1493" s="399" t="s">
        <v>180</v>
      </c>
      <c r="F1493" s="400" t="s">
        <v>4771</v>
      </c>
      <c r="G1493" s="400"/>
      <c r="H1493" s="400"/>
      <c r="I1493" s="400"/>
      <c r="J1493" s="400"/>
      <c r="K1493" s="400">
        <v>1</v>
      </c>
      <c r="L1493" s="400" t="s">
        <v>3333</v>
      </c>
      <c r="M1493" s="402" t="s">
        <v>4518</v>
      </c>
      <c r="N1493" s="400"/>
      <c r="O1493" s="428" t="s">
        <v>4417</v>
      </c>
      <c r="P1493" s="574"/>
      <c r="Q1493" s="399" t="s">
        <v>4789</v>
      </c>
      <c r="R1493" s="428"/>
      <c r="S1493" s="400"/>
      <c r="T1493" s="400"/>
      <c r="U1493" s="400"/>
      <c r="V1493" s="399"/>
      <c r="W1493" s="399" t="s">
        <v>4791</v>
      </c>
      <c r="X1493" s="400"/>
      <c r="Y1493" s="399" t="s">
        <v>208</v>
      </c>
      <c r="Z1493" s="400"/>
      <c r="AA1493" s="399" t="s">
        <v>113</v>
      </c>
      <c r="AB1493" s="399" t="s">
        <v>3178</v>
      </c>
      <c r="AC1493" s="532" t="s">
        <v>4701</v>
      </c>
      <c r="AD1493" s="400"/>
      <c r="AE1493" s="400"/>
      <c r="AF1493" s="400"/>
      <c r="AG1493" s="399" t="s">
        <v>4489</v>
      </c>
      <c r="AH1493" s="532" t="s">
        <v>3851</v>
      </c>
      <c r="AI1493" s="400"/>
      <c r="AJ1493" s="400"/>
      <c r="AK1493" s="399"/>
      <c r="AL1493" s="399"/>
      <c r="AM1493" s="399"/>
      <c r="AN1493" s="399"/>
      <c r="AO1493" s="399"/>
      <c r="AP1493" s="399"/>
      <c r="AQ1493" s="399"/>
      <c r="AR1493" s="399"/>
      <c r="AS1493" s="399"/>
      <c r="AT1493" s="400"/>
      <c r="AU1493" s="400"/>
      <c r="AV1493" s="400">
        <v>56097005</v>
      </c>
      <c r="AW1493" s="541"/>
      <c r="AX1493" s="541"/>
      <c r="AY1493" s="541"/>
      <c r="AZ1493" s="541"/>
      <c r="BA1493" s="541"/>
      <c r="BB1493" s="400"/>
      <c r="BC1493" s="399" t="e">
        <f t="shared" ca="1" si="2"/>
        <v>#NAME?</v>
      </c>
      <c r="BD1493" s="400"/>
      <c r="BE1493" s="400"/>
      <c r="BF1493" s="400"/>
      <c r="BG1493" s="540"/>
      <c r="BH1493" s="407"/>
      <c r="BI1493" s="407">
        <v>56097005</v>
      </c>
      <c r="BJ1493" s="543"/>
      <c r="BK1493" s="46">
        <f t="shared" si="1"/>
        <v>1</v>
      </c>
      <c r="BL1493" s="46">
        <f t="shared" si="3"/>
        <v>1</v>
      </c>
      <c r="BM1493" s="46">
        <f t="shared" si="4"/>
        <v>0</v>
      </c>
      <c r="BN1493" s="46">
        <f t="shared" si="5"/>
        <v>0</v>
      </c>
    </row>
    <row r="1494" spans="1:66" ht="12.75" customHeight="1">
      <c r="A1494" s="399">
        <v>1504</v>
      </c>
      <c r="B1494" s="399" t="s">
        <v>4803</v>
      </c>
      <c r="C1494" s="399" t="e">
        <f t="shared" ca="1" si="0"/>
        <v>#NAME?</v>
      </c>
      <c r="D1494" s="400" t="s">
        <v>4802</v>
      </c>
      <c r="E1494" s="399" t="s">
        <v>180</v>
      </c>
      <c r="F1494" s="400" t="s">
        <v>4771</v>
      </c>
      <c r="G1494" s="400"/>
      <c r="H1494" s="400"/>
      <c r="I1494" s="400"/>
      <c r="J1494" s="400"/>
      <c r="K1494" s="400">
        <v>1</v>
      </c>
      <c r="L1494" s="400" t="s">
        <v>3333</v>
      </c>
      <c r="M1494" s="402" t="s">
        <v>4518</v>
      </c>
      <c r="N1494" s="400"/>
      <c r="O1494" s="428" t="s">
        <v>4417</v>
      </c>
      <c r="P1494" s="574"/>
      <c r="Q1494" s="399" t="s">
        <v>4801</v>
      </c>
      <c r="R1494" s="428"/>
      <c r="S1494" s="400"/>
      <c r="T1494" s="400"/>
      <c r="U1494" s="400"/>
      <c r="V1494" s="399"/>
      <c r="W1494" s="399" t="s">
        <v>4802</v>
      </c>
      <c r="X1494" s="400"/>
      <c r="Y1494" s="399" t="s">
        <v>208</v>
      </c>
      <c r="Z1494" s="400"/>
      <c r="AA1494" s="399" t="s">
        <v>113</v>
      </c>
      <c r="AB1494" s="399" t="s">
        <v>3178</v>
      </c>
      <c r="AC1494" s="532" t="s">
        <v>4701</v>
      </c>
      <c r="AD1494" s="400"/>
      <c r="AE1494" s="400"/>
      <c r="AF1494" s="400"/>
      <c r="AG1494" s="399" t="s">
        <v>4489</v>
      </c>
      <c r="AH1494" s="532" t="s">
        <v>3851</v>
      </c>
      <c r="AI1494" s="400"/>
      <c r="AJ1494" s="400"/>
      <c r="AK1494" s="399"/>
      <c r="AL1494" s="399"/>
      <c r="AM1494" s="399"/>
      <c r="AN1494" s="399"/>
      <c r="AO1494" s="399"/>
      <c r="AP1494" s="399"/>
      <c r="AQ1494" s="399"/>
      <c r="AR1494" s="399"/>
      <c r="AS1494" s="399"/>
      <c r="AT1494" s="400"/>
      <c r="AU1494" s="400"/>
      <c r="AV1494" s="400">
        <v>4473006</v>
      </c>
      <c r="AW1494" s="541"/>
      <c r="AX1494" s="541"/>
      <c r="AY1494" s="541"/>
      <c r="AZ1494" s="541"/>
      <c r="BA1494" s="541"/>
      <c r="BB1494" s="400"/>
      <c r="BC1494" s="399" t="e">
        <f t="shared" ca="1" si="2"/>
        <v>#NAME?</v>
      </c>
      <c r="BD1494" s="400"/>
      <c r="BE1494" s="400"/>
      <c r="BF1494" s="400"/>
      <c r="BG1494" s="540"/>
      <c r="BH1494" s="407"/>
      <c r="BI1494" s="407">
        <v>4473006</v>
      </c>
      <c r="BJ1494" s="543"/>
      <c r="BK1494" s="46">
        <f t="shared" si="1"/>
        <v>1</v>
      </c>
      <c r="BL1494" s="46">
        <f t="shared" si="3"/>
        <v>1</v>
      </c>
      <c r="BM1494" s="46">
        <f t="shared" si="4"/>
        <v>0</v>
      </c>
      <c r="BN1494" s="46">
        <f t="shared" si="5"/>
        <v>0</v>
      </c>
    </row>
    <row r="1495" spans="1:66" ht="12.75" customHeight="1">
      <c r="A1495" s="399">
        <v>1505</v>
      </c>
      <c r="B1495" s="399" t="s">
        <v>4806</v>
      </c>
      <c r="C1495" s="399" t="str">
        <f t="shared" si="0"/>
        <v>HIV Status</v>
      </c>
      <c r="D1495" s="400" t="s">
        <v>4806</v>
      </c>
      <c r="E1495" s="399" t="s">
        <v>96</v>
      </c>
      <c r="F1495" s="400" t="s">
        <v>1787</v>
      </c>
      <c r="G1495" s="400"/>
      <c r="H1495" s="400"/>
      <c r="I1495" s="400"/>
      <c r="J1495" s="400"/>
      <c r="K1495" s="400">
        <v>1</v>
      </c>
      <c r="L1495" s="400" t="s">
        <v>3333</v>
      </c>
      <c r="M1495" s="402" t="s">
        <v>887</v>
      </c>
      <c r="N1495" s="400"/>
      <c r="O1495" s="428" t="s">
        <v>4417</v>
      </c>
      <c r="P1495" s="574"/>
      <c r="Q1495" s="400" t="s">
        <v>4809</v>
      </c>
      <c r="R1495" s="428" t="s">
        <v>4806</v>
      </c>
      <c r="S1495" s="400"/>
      <c r="T1495" s="400" t="s">
        <v>4810</v>
      </c>
      <c r="U1495" s="400"/>
      <c r="V1495" s="399"/>
      <c r="W1495" s="399"/>
      <c r="X1495" s="400"/>
      <c r="Y1495" s="399" t="s">
        <v>208</v>
      </c>
      <c r="Z1495" s="400"/>
      <c r="AA1495" s="399" t="s">
        <v>113</v>
      </c>
      <c r="AB1495" s="400" t="s">
        <v>3178</v>
      </c>
      <c r="AC1495" s="532" t="s">
        <v>4701</v>
      </c>
      <c r="AD1495" s="400"/>
      <c r="AE1495" s="400"/>
      <c r="AF1495" s="400"/>
      <c r="AG1495" s="399" t="s">
        <v>4489</v>
      </c>
      <c r="AH1495" s="532" t="s">
        <v>3851</v>
      </c>
      <c r="AI1495" s="400"/>
      <c r="AJ1495" s="400"/>
      <c r="AK1495" s="399"/>
      <c r="AL1495" s="399"/>
      <c r="AM1495" s="399"/>
      <c r="AN1495" s="399"/>
      <c r="AO1495" s="399"/>
      <c r="AP1495" s="399"/>
      <c r="AQ1495" s="399"/>
      <c r="AR1495" s="399"/>
      <c r="AS1495" s="399"/>
      <c r="AT1495" s="400"/>
      <c r="AU1495" s="400"/>
      <c r="AV1495" s="400">
        <v>278977008</v>
      </c>
      <c r="AW1495" s="541"/>
      <c r="AX1495" s="541"/>
      <c r="AY1495" s="541"/>
      <c r="AZ1495" s="541"/>
      <c r="BA1495" s="541"/>
      <c r="BB1495" s="400"/>
      <c r="BC1495" s="399" t="str">
        <f t="shared" si="2"/>
        <v/>
      </c>
      <c r="BD1495" s="400"/>
      <c r="BE1495" s="400"/>
      <c r="BF1495" s="400"/>
      <c r="BG1495" s="540"/>
      <c r="BH1495" s="407"/>
      <c r="BI1495" s="407">
        <v>278977008</v>
      </c>
      <c r="BJ1495" s="543"/>
      <c r="BK1495" s="46">
        <f t="shared" si="1"/>
        <v>1</v>
      </c>
      <c r="BL1495" s="46">
        <f t="shared" si="3"/>
        <v>0</v>
      </c>
      <c r="BM1495" s="46">
        <f t="shared" si="4"/>
        <v>1</v>
      </c>
      <c r="BN1495" s="46">
        <f t="shared" si="5"/>
        <v>0</v>
      </c>
    </row>
    <row r="1496" spans="1:66" ht="12.75" customHeight="1">
      <c r="A1496" s="399">
        <v>1506</v>
      </c>
      <c r="B1496" s="399" t="s">
        <v>4815</v>
      </c>
      <c r="C1496" s="399" t="str">
        <f t="shared" si="0"/>
        <v>HIV Stage</v>
      </c>
      <c r="D1496" s="400" t="s">
        <v>4815</v>
      </c>
      <c r="E1496" s="399" t="s">
        <v>96</v>
      </c>
      <c r="F1496" s="400" t="s">
        <v>1787</v>
      </c>
      <c r="G1496" s="400"/>
      <c r="H1496" s="400"/>
      <c r="I1496" s="400"/>
      <c r="J1496" s="400"/>
      <c r="K1496" s="400">
        <v>1</v>
      </c>
      <c r="L1496" s="400" t="s">
        <v>3333</v>
      </c>
      <c r="M1496" s="402" t="s">
        <v>887</v>
      </c>
      <c r="N1496" s="400"/>
      <c r="O1496" s="428" t="s">
        <v>4417</v>
      </c>
      <c r="P1496" s="574"/>
      <c r="Q1496" s="400" t="s">
        <v>4818</v>
      </c>
      <c r="R1496" s="428" t="s">
        <v>4815</v>
      </c>
      <c r="S1496" s="400"/>
      <c r="T1496" s="400" t="s">
        <v>4819</v>
      </c>
      <c r="U1496" s="400"/>
      <c r="V1496" s="399"/>
      <c r="W1496" s="399"/>
      <c r="X1496" s="400"/>
      <c r="Y1496" s="399" t="s">
        <v>208</v>
      </c>
      <c r="Z1496" s="400"/>
      <c r="AA1496" s="399" t="s">
        <v>113</v>
      </c>
      <c r="AB1496" s="400" t="s">
        <v>3178</v>
      </c>
      <c r="AC1496" s="532" t="s">
        <v>5774</v>
      </c>
      <c r="AD1496" s="400"/>
      <c r="AE1496" s="400"/>
      <c r="AF1496" s="400"/>
      <c r="AG1496" s="399" t="s">
        <v>4489</v>
      </c>
      <c r="AH1496" s="532" t="s">
        <v>3851</v>
      </c>
      <c r="AI1496" s="400"/>
      <c r="AJ1496" s="400"/>
      <c r="AK1496" s="399"/>
      <c r="AL1496" s="399"/>
      <c r="AM1496" s="399"/>
      <c r="AN1496" s="399"/>
      <c r="AO1496" s="399"/>
      <c r="AP1496" s="399"/>
      <c r="AQ1496" s="399"/>
      <c r="AR1496" s="399"/>
      <c r="AS1496" s="399"/>
      <c r="AT1496" s="400"/>
      <c r="AU1496" s="400"/>
      <c r="AV1496" s="400">
        <v>385354005</v>
      </c>
      <c r="AW1496" s="541" t="s">
        <v>4827</v>
      </c>
      <c r="AX1496" s="541"/>
      <c r="AY1496" s="541"/>
      <c r="AZ1496" s="541"/>
      <c r="BA1496" s="541"/>
      <c r="BB1496" s="400"/>
      <c r="BC1496" s="399" t="str">
        <f t="shared" si="2"/>
        <v/>
      </c>
      <c r="BD1496" s="400">
        <v>5356</v>
      </c>
      <c r="BE1496" s="400"/>
      <c r="BF1496" s="400"/>
      <c r="BG1496" s="540"/>
      <c r="BH1496" s="407"/>
      <c r="BI1496" s="407">
        <v>385354005</v>
      </c>
      <c r="BJ1496" s="543" t="s">
        <v>4827</v>
      </c>
      <c r="BK1496" s="46">
        <f t="shared" si="1"/>
        <v>1</v>
      </c>
      <c r="BL1496" s="46">
        <f t="shared" si="3"/>
        <v>0</v>
      </c>
      <c r="BM1496" s="46">
        <f t="shared" si="4"/>
        <v>1</v>
      </c>
      <c r="BN1496" s="46">
        <f t="shared" si="5"/>
        <v>0</v>
      </c>
    </row>
    <row r="1497" spans="1:66" ht="12.75" customHeight="1">
      <c r="A1497" s="399">
        <v>1507</v>
      </c>
      <c r="B1497" s="399" t="s">
        <v>4434</v>
      </c>
      <c r="C1497" s="399" t="e">
        <f t="shared" ca="1" si="0"/>
        <v>#NAME?</v>
      </c>
      <c r="D1497" s="400">
        <v>1</v>
      </c>
      <c r="E1497" s="399" t="s">
        <v>180</v>
      </c>
      <c r="F1497" s="400" t="s">
        <v>4815</v>
      </c>
      <c r="G1497" s="400"/>
      <c r="H1497" s="400"/>
      <c r="I1497" s="400"/>
      <c r="J1497" s="400"/>
      <c r="K1497" s="400">
        <v>1</v>
      </c>
      <c r="L1497" s="400" t="s">
        <v>3333</v>
      </c>
      <c r="M1497" s="402" t="s">
        <v>887</v>
      </c>
      <c r="N1497" s="400"/>
      <c r="O1497" s="428" t="s">
        <v>4417</v>
      </c>
      <c r="P1497" s="574"/>
      <c r="Q1497" s="400" t="s">
        <v>4834</v>
      </c>
      <c r="R1497" s="428"/>
      <c r="S1497" s="400"/>
      <c r="T1497" s="400" t="s">
        <v>4836</v>
      </c>
      <c r="U1497" s="400"/>
      <c r="V1497" s="399"/>
      <c r="W1497" s="399">
        <v>1</v>
      </c>
      <c r="X1497" s="400"/>
      <c r="Y1497" s="399" t="s">
        <v>208</v>
      </c>
      <c r="Z1497" s="400"/>
      <c r="AA1497" s="399" t="s">
        <v>113</v>
      </c>
      <c r="AB1497" s="400" t="s">
        <v>3178</v>
      </c>
      <c r="AC1497" s="532" t="s">
        <v>5779</v>
      </c>
      <c r="AD1497" s="400"/>
      <c r="AE1497" s="400"/>
      <c r="AF1497" s="400"/>
      <c r="AG1497" s="399"/>
      <c r="AH1497" s="532"/>
      <c r="AI1497" s="400"/>
      <c r="AJ1497" s="400"/>
      <c r="AK1497" s="399"/>
      <c r="AL1497" s="399"/>
      <c r="AM1497" s="399"/>
      <c r="AN1497" s="399"/>
      <c r="AO1497" s="399"/>
      <c r="AP1497" s="399"/>
      <c r="AQ1497" s="399"/>
      <c r="AR1497" s="399"/>
      <c r="AS1497" s="399"/>
      <c r="AT1497" s="400"/>
      <c r="AU1497" s="400"/>
      <c r="AV1497" s="400"/>
      <c r="AW1497" s="541"/>
      <c r="AX1497" s="541"/>
      <c r="AY1497" s="541"/>
      <c r="AZ1497" s="541"/>
      <c r="BA1497" s="541"/>
      <c r="BB1497" s="400"/>
      <c r="BC1497" s="399" t="e">
        <f t="shared" ca="1" si="2"/>
        <v>#NAME?</v>
      </c>
      <c r="BD1497" s="400"/>
      <c r="BE1497" s="400"/>
      <c r="BF1497" s="400"/>
      <c r="BG1497" s="540"/>
      <c r="BH1497" s="407"/>
      <c r="BI1497" s="407"/>
      <c r="BJ1497" s="543"/>
      <c r="BK1497" s="46">
        <f t="shared" si="1"/>
        <v>1</v>
      </c>
      <c r="BL1497" s="46">
        <f t="shared" si="3"/>
        <v>0</v>
      </c>
      <c r="BM1497" s="46">
        <f t="shared" si="4"/>
        <v>1</v>
      </c>
      <c r="BN1497" s="46">
        <f t="shared" si="5"/>
        <v>0</v>
      </c>
    </row>
    <row r="1498" spans="1:66" ht="12.75" customHeight="1">
      <c r="A1498" s="399">
        <v>1508</v>
      </c>
      <c r="B1498" s="399" t="s">
        <v>4438</v>
      </c>
      <c r="C1498" s="399" t="e">
        <f t="shared" ca="1" si="0"/>
        <v>#NAME?</v>
      </c>
      <c r="D1498" s="400">
        <v>2</v>
      </c>
      <c r="E1498" s="399" t="s">
        <v>180</v>
      </c>
      <c r="F1498" s="400" t="s">
        <v>4815</v>
      </c>
      <c r="G1498" s="400"/>
      <c r="H1498" s="400"/>
      <c r="I1498" s="400"/>
      <c r="J1498" s="400"/>
      <c r="K1498" s="400">
        <v>1</v>
      </c>
      <c r="L1498" s="400" t="s">
        <v>3333</v>
      </c>
      <c r="M1498" s="402" t="s">
        <v>887</v>
      </c>
      <c r="N1498" s="400"/>
      <c r="O1498" s="428" t="s">
        <v>4417</v>
      </c>
      <c r="P1498" s="574"/>
      <c r="Q1498" s="400" t="s">
        <v>4856</v>
      </c>
      <c r="R1498" s="428"/>
      <c r="S1498" s="400"/>
      <c r="T1498" s="400" t="s">
        <v>4857</v>
      </c>
      <c r="U1498" s="400"/>
      <c r="V1498" s="399"/>
      <c r="W1498" s="399">
        <v>2</v>
      </c>
      <c r="X1498" s="400"/>
      <c r="Y1498" s="399" t="s">
        <v>208</v>
      </c>
      <c r="Z1498" s="400"/>
      <c r="AA1498" s="399" t="s">
        <v>113</v>
      </c>
      <c r="AB1498" s="400" t="s">
        <v>3178</v>
      </c>
      <c r="AC1498" s="532" t="s">
        <v>5779</v>
      </c>
      <c r="AD1498" s="400"/>
      <c r="AE1498" s="400"/>
      <c r="AF1498" s="400"/>
      <c r="AG1498" s="399"/>
      <c r="AH1498" s="532"/>
      <c r="AI1498" s="400"/>
      <c r="AJ1498" s="400"/>
      <c r="AK1498" s="399"/>
      <c r="AL1498" s="399"/>
      <c r="AM1498" s="399"/>
      <c r="AN1498" s="399"/>
      <c r="AO1498" s="399"/>
      <c r="AP1498" s="399"/>
      <c r="AQ1498" s="399"/>
      <c r="AR1498" s="399"/>
      <c r="AS1498" s="399"/>
      <c r="AT1498" s="400"/>
      <c r="AU1498" s="400"/>
      <c r="AV1498" s="400"/>
      <c r="AW1498" s="541"/>
      <c r="AX1498" s="541"/>
      <c r="AY1498" s="541"/>
      <c r="AZ1498" s="541"/>
      <c r="BA1498" s="541"/>
      <c r="BB1498" s="400"/>
      <c r="BC1498" s="399" t="e">
        <f t="shared" ca="1" si="2"/>
        <v>#NAME?</v>
      </c>
      <c r="BD1498" s="400"/>
      <c r="BE1498" s="400"/>
      <c r="BF1498" s="400"/>
      <c r="BG1498" s="540"/>
      <c r="BH1498" s="407"/>
      <c r="BI1498" s="407"/>
      <c r="BJ1498" s="543"/>
      <c r="BK1498" s="46">
        <f t="shared" si="1"/>
        <v>1</v>
      </c>
      <c r="BL1498" s="46">
        <f t="shared" si="3"/>
        <v>0</v>
      </c>
      <c r="BM1498" s="46">
        <f t="shared" si="4"/>
        <v>1</v>
      </c>
      <c r="BN1498" s="46">
        <f t="shared" si="5"/>
        <v>0</v>
      </c>
    </row>
    <row r="1499" spans="1:66" ht="12.75" customHeight="1">
      <c r="A1499" s="399">
        <v>1509</v>
      </c>
      <c r="B1499" s="399" t="s">
        <v>4441</v>
      </c>
      <c r="C1499" s="399" t="e">
        <f t="shared" ca="1" si="0"/>
        <v>#NAME?</v>
      </c>
      <c r="D1499" s="400">
        <v>3</v>
      </c>
      <c r="E1499" s="399" t="s">
        <v>180</v>
      </c>
      <c r="F1499" s="400" t="s">
        <v>4815</v>
      </c>
      <c r="G1499" s="400"/>
      <c r="H1499" s="400"/>
      <c r="I1499" s="400"/>
      <c r="J1499" s="400"/>
      <c r="K1499" s="400">
        <v>1</v>
      </c>
      <c r="L1499" s="400" t="s">
        <v>3333</v>
      </c>
      <c r="M1499" s="402" t="s">
        <v>887</v>
      </c>
      <c r="N1499" s="400"/>
      <c r="O1499" s="428" t="s">
        <v>4417</v>
      </c>
      <c r="P1499" s="574"/>
      <c r="Q1499" s="400" t="s">
        <v>4866</v>
      </c>
      <c r="R1499" s="428"/>
      <c r="S1499" s="400"/>
      <c r="T1499" s="400" t="s">
        <v>4867</v>
      </c>
      <c r="U1499" s="400"/>
      <c r="V1499" s="399"/>
      <c r="W1499" s="399">
        <v>3</v>
      </c>
      <c r="X1499" s="400"/>
      <c r="Y1499" s="399" t="s">
        <v>208</v>
      </c>
      <c r="Z1499" s="400"/>
      <c r="AA1499" s="399" t="s">
        <v>113</v>
      </c>
      <c r="AB1499" s="400" t="s">
        <v>3178</v>
      </c>
      <c r="AC1499" s="532" t="s">
        <v>5779</v>
      </c>
      <c r="AD1499" s="400"/>
      <c r="AE1499" s="400"/>
      <c r="AF1499" s="400"/>
      <c r="AG1499" s="399" t="s">
        <v>4489</v>
      </c>
      <c r="AH1499" s="532" t="s">
        <v>3851</v>
      </c>
      <c r="AI1499" s="400"/>
      <c r="AJ1499" s="400"/>
      <c r="AK1499" s="399"/>
      <c r="AL1499" s="399"/>
      <c r="AM1499" s="399"/>
      <c r="AN1499" s="399"/>
      <c r="AO1499" s="399"/>
      <c r="AP1499" s="399"/>
      <c r="AQ1499" s="399"/>
      <c r="AR1499" s="399"/>
      <c r="AS1499" s="399"/>
      <c r="AT1499" s="400"/>
      <c r="AU1499" s="400"/>
      <c r="AV1499" s="400">
        <v>103417004</v>
      </c>
      <c r="AW1499" s="541"/>
      <c r="AX1499" s="541"/>
      <c r="AY1499" s="541"/>
      <c r="AZ1499" s="541"/>
      <c r="BA1499" s="541"/>
      <c r="BB1499" s="400"/>
      <c r="BC1499" s="399" t="e">
        <f t="shared" ca="1" si="2"/>
        <v>#NAME?</v>
      </c>
      <c r="BD1499" s="400"/>
      <c r="BE1499" s="400"/>
      <c r="BF1499" s="400"/>
      <c r="BG1499" s="540"/>
      <c r="BH1499" s="407"/>
      <c r="BI1499" s="407">
        <v>103417004</v>
      </c>
      <c r="BJ1499" s="543"/>
      <c r="BK1499" s="46">
        <f t="shared" si="1"/>
        <v>1</v>
      </c>
      <c r="BL1499" s="46">
        <f t="shared" si="3"/>
        <v>1</v>
      </c>
      <c r="BM1499" s="46">
        <f t="shared" si="4"/>
        <v>0</v>
      </c>
      <c r="BN1499" s="46">
        <f t="shared" si="5"/>
        <v>0</v>
      </c>
    </row>
    <row r="1500" spans="1:66" ht="12.75" customHeight="1">
      <c r="A1500" s="399">
        <v>1510</v>
      </c>
      <c r="B1500" s="399" t="s">
        <v>4444</v>
      </c>
      <c r="C1500" s="399" t="e">
        <f t="shared" ca="1" si="0"/>
        <v>#NAME?</v>
      </c>
      <c r="D1500" s="400">
        <v>4</v>
      </c>
      <c r="E1500" s="399" t="s">
        <v>180</v>
      </c>
      <c r="F1500" s="400" t="s">
        <v>4815</v>
      </c>
      <c r="G1500" s="400"/>
      <c r="H1500" s="400"/>
      <c r="I1500" s="400"/>
      <c r="J1500" s="400"/>
      <c r="K1500" s="400">
        <v>1</v>
      </c>
      <c r="L1500" s="400" t="s">
        <v>3333</v>
      </c>
      <c r="M1500" s="402" t="s">
        <v>887</v>
      </c>
      <c r="N1500" s="400"/>
      <c r="O1500" s="428" t="s">
        <v>4417</v>
      </c>
      <c r="P1500" s="574"/>
      <c r="Q1500" s="400" t="s">
        <v>4871</v>
      </c>
      <c r="R1500" s="428"/>
      <c r="S1500" s="400"/>
      <c r="T1500" s="400" t="s">
        <v>4872</v>
      </c>
      <c r="U1500" s="400"/>
      <c r="V1500" s="399"/>
      <c r="W1500" s="399">
        <v>4</v>
      </c>
      <c r="X1500" s="400"/>
      <c r="Y1500" s="399" t="s">
        <v>208</v>
      </c>
      <c r="Z1500" s="400"/>
      <c r="AA1500" s="399" t="s">
        <v>113</v>
      </c>
      <c r="AB1500" s="400" t="s">
        <v>3178</v>
      </c>
      <c r="AC1500" s="532" t="s">
        <v>5779</v>
      </c>
      <c r="AD1500" s="400"/>
      <c r="AE1500" s="400"/>
      <c r="AF1500" s="400"/>
      <c r="AG1500" s="399" t="s">
        <v>4489</v>
      </c>
      <c r="AH1500" s="532" t="s">
        <v>3851</v>
      </c>
      <c r="AI1500" s="400"/>
      <c r="AJ1500" s="400"/>
      <c r="AK1500" s="399"/>
      <c r="AL1500" s="399"/>
      <c r="AM1500" s="399"/>
      <c r="AN1500" s="399"/>
      <c r="AO1500" s="399"/>
      <c r="AP1500" s="399"/>
      <c r="AQ1500" s="399"/>
      <c r="AR1500" s="399"/>
      <c r="AS1500" s="399"/>
      <c r="AT1500" s="400"/>
      <c r="AU1500" s="400"/>
      <c r="AV1500" s="400">
        <v>103418009</v>
      </c>
      <c r="AW1500" s="541"/>
      <c r="AX1500" s="541"/>
      <c r="AY1500" s="541"/>
      <c r="AZ1500" s="541"/>
      <c r="BA1500" s="541"/>
      <c r="BB1500" s="400"/>
      <c r="BC1500" s="399" t="e">
        <f t="shared" ca="1" si="2"/>
        <v>#NAME?</v>
      </c>
      <c r="BD1500" s="400"/>
      <c r="BE1500" s="400"/>
      <c r="BF1500" s="400"/>
      <c r="BG1500" s="540"/>
      <c r="BH1500" s="407"/>
      <c r="BI1500" s="407">
        <v>103418009</v>
      </c>
      <c r="BJ1500" s="543"/>
      <c r="BK1500" s="46">
        <f t="shared" si="1"/>
        <v>1</v>
      </c>
      <c r="BL1500" s="46">
        <f t="shared" si="3"/>
        <v>1</v>
      </c>
      <c r="BM1500" s="46">
        <f t="shared" si="4"/>
        <v>0</v>
      </c>
      <c r="BN1500" s="46">
        <f t="shared" si="5"/>
        <v>0</v>
      </c>
    </row>
    <row r="1501" spans="1:66" ht="12.75" customHeight="1">
      <c r="A1501" s="399">
        <v>1511</v>
      </c>
      <c r="B1501" s="399" t="s">
        <v>4878</v>
      </c>
      <c r="C1501" s="399" t="str">
        <f t="shared" si="0"/>
        <v>Current ischemic heart disease</v>
      </c>
      <c r="D1501" s="400" t="s">
        <v>4878</v>
      </c>
      <c r="E1501" s="399" t="s">
        <v>96</v>
      </c>
      <c r="F1501" s="400" t="s">
        <v>1787</v>
      </c>
      <c r="G1501" s="400"/>
      <c r="H1501" s="400"/>
      <c r="I1501" s="400"/>
      <c r="J1501" s="400"/>
      <c r="K1501" s="400">
        <v>1</v>
      </c>
      <c r="L1501" s="400" t="s">
        <v>3333</v>
      </c>
      <c r="M1501" s="402" t="s">
        <v>4518</v>
      </c>
      <c r="N1501" s="400"/>
      <c r="O1501" s="428" t="s">
        <v>4417</v>
      </c>
      <c r="P1501" s="581"/>
      <c r="Q1501" s="399" t="s">
        <v>4879</v>
      </c>
      <c r="R1501" s="428" t="s">
        <v>4878</v>
      </c>
      <c r="S1501" s="399"/>
      <c r="T1501" s="399"/>
      <c r="U1501" s="399" t="s">
        <v>3169</v>
      </c>
      <c r="V1501" s="399"/>
      <c r="W1501" s="399" t="s">
        <v>3170</v>
      </c>
      <c r="X1501" s="400"/>
      <c r="Y1501" s="399" t="s">
        <v>208</v>
      </c>
      <c r="Z1501" s="399"/>
      <c r="AA1501" s="399" t="s">
        <v>113</v>
      </c>
      <c r="AB1501" s="399" t="s">
        <v>3178</v>
      </c>
      <c r="AC1501" s="532" t="s">
        <v>5779</v>
      </c>
      <c r="AD1501" s="400"/>
      <c r="AE1501" s="399"/>
      <c r="AF1501" s="399"/>
      <c r="AG1501" s="531"/>
      <c r="AH1501" s="532" t="s">
        <v>3851</v>
      </c>
      <c r="AI1501" s="399"/>
      <c r="AJ1501" s="400"/>
      <c r="AK1501" s="399"/>
      <c r="AL1501" s="399"/>
      <c r="AM1501" s="399"/>
      <c r="AN1501" s="399"/>
      <c r="AO1501" s="399"/>
      <c r="AP1501" s="399"/>
      <c r="AQ1501" s="399"/>
      <c r="AR1501" s="399"/>
      <c r="AS1501" s="399"/>
      <c r="AT1501" s="400" t="s">
        <v>4882</v>
      </c>
      <c r="AU1501" s="400" t="s">
        <v>4884</v>
      </c>
      <c r="AV1501" s="400">
        <v>414545008</v>
      </c>
      <c r="AW1501" s="541"/>
      <c r="AX1501" s="541"/>
      <c r="AY1501" s="541"/>
      <c r="AZ1501" s="541"/>
      <c r="BA1501" s="541"/>
      <c r="BB1501" s="400"/>
      <c r="BC1501" s="399" t="str">
        <f t="shared" si="2"/>
        <v/>
      </c>
      <c r="BD1501" s="400">
        <v>116608</v>
      </c>
      <c r="BE1501" s="399"/>
      <c r="BF1501" s="399"/>
      <c r="BG1501" s="540"/>
      <c r="BH1501" s="552" t="s">
        <v>4882</v>
      </c>
      <c r="BI1501" s="552">
        <v>414545008</v>
      </c>
      <c r="BJ1501" s="543"/>
      <c r="BK1501" s="46">
        <f t="shared" si="1"/>
        <v>1</v>
      </c>
      <c r="BL1501" s="46">
        <f t="shared" si="3"/>
        <v>0</v>
      </c>
      <c r="BM1501" s="46">
        <f t="shared" si="4"/>
        <v>1</v>
      </c>
      <c r="BN1501" s="46">
        <f t="shared" si="5"/>
        <v>0</v>
      </c>
    </row>
    <row r="1502" spans="1:66" ht="12.75" customHeight="1">
      <c r="A1502" s="399">
        <v>1512</v>
      </c>
      <c r="B1502" s="399" t="s">
        <v>4886</v>
      </c>
      <c r="C1502" s="399" t="str">
        <f t="shared" si="0"/>
        <v>History of ischemic heart disease</v>
      </c>
      <c r="D1502" s="400" t="s">
        <v>4886</v>
      </c>
      <c r="E1502" s="399" t="s">
        <v>96</v>
      </c>
      <c r="F1502" s="400" t="s">
        <v>1787</v>
      </c>
      <c r="G1502" s="400"/>
      <c r="H1502" s="400"/>
      <c r="I1502" s="400"/>
      <c r="J1502" s="400"/>
      <c r="K1502" s="400">
        <v>1</v>
      </c>
      <c r="L1502" s="400" t="s">
        <v>3333</v>
      </c>
      <c r="M1502" s="402" t="s">
        <v>4518</v>
      </c>
      <c r="N1502" s="400"/>
      <c r="O1502" s="428" t="s">
        <v>4417</v>
      </c>
      <c r="P1502" s="581"/>
      <c r="Q1502" s="399" t="s">
        <v>4888</v>
      </c>
      <c r="R1502" s="428" t="s">
        <v>4886</v>
      </c>
      <c r="S1502" s="399"/>
      <c r="T1502" s="399"/>
      <c r="U1502" s="399" t="s">
        <v>3169</v>
      </c>
      <c r="V1502" s="399"/>
      <c r="W1502" s="399" t="s">
        <v>3170</v>
      </c>
      <c r="X1502" s="400"/>
      <c r="Y1502" s="399" t="s">
        <v>208</v>
      </c>
      <c r="Z1502" s="399"/>
      <c r="AA1502" s="399" t="s">
        <v>113</v>
      </c>
      <c r="AB1502" s="399" t="s">
        <v>3178</v>
      </c>
      <c r="AC1502" s="532" t="s">
        <v>5779</v>
      </c>
      <c r="AD1502" s="400"/>
      <c r="AE1502" s="399"/>
      <c r="AF1502" s="399"/>
      <c r="AG1502" s="531"/>
      <c r="AH1502" s="532" t="s">
        <v>3851</v>
      </c>
      <c r="AI1502" s="399"/>
      <c r="AJ1502" s="400"/>
      <c r="AK1502" s="399"/>
      <c r="AL1502" s="399"/>
      <c r="AM1502" s="399"/>
      <c r="AN1502" s="399"/>
      <c r="AO1502" s="399"/>
      <c r="AP1502" s="399"/>
      <c r="AQ1502" s="399"/>
      <c r="AR1502" s="399"/>
      <c r="AS1502" s="399"/>
      <c r="AT1502" s="553"/>
      <c r="AU1502" s="553"/>
      <c r="AV1502" s="553"/>
      <c r="AW1502" s="541"/>
      <c r="AX1502" s="541"/>
      <c r="AY1502" s="541"/>
      <c r="AZ1502" s="541"/>
      <c r="BA1502" s="541"/>
      <c r="BB1502" s="399"/>
      <c r="BC1502" s="399" t="str">
        <f t="shared" si="2"/>
        <v/>
      </c>
      <c r="BD1502" s="553"/>
      <c r="BE1502" s="399"/>
      <c r="BF1502" s="399"/>
      <c r="BG1502" s="540"/>
      <c r="BH1502" s="573"/>
      <c r="BI1502" s="554"/>
      <c r="BJ1502" s="543"/>
      <c r="BK1502" s="46">
        <f t="shared" si="1"/>
        <v>1</v>
      </c>
      <c r="BL1502" s="46">
        <f t="shared" si="3"/>
        <v>0</v>
      </c>
      <c r="BM1502" s="46">
        <f t="shared" si="4"/>
        <v>1</v>
      </c>
      <c r="BN1502" s="46">
        <f t="shared" si="5"/>
        <v>0</v>
      </c>
    </row>
    <row r="1503" spans="1:66" ht="12.75" customHeight="1">
      <c r="A1503" s="399">
        <v>1513</v>
      </c>
      <c r="B1503" s="399" t="s">
        <v>4891</v>
      </c>
      <c r="C1503" s="399" t="str">
        <f t="shared" si="0"/>
        <v>Stroke (history of cerebrovascular accident)</v>
      </c>
      <c r="D1503" s="400" t="s">
        <v>4891</v>
      </c>
      <c r="E1503" s="399" t="s">
        <v>96</v>
      </c>
      <c r="F1503" s="400" t="s">
        <v>1787</v>
      </c>
      <c r="G1503" s="400"/>
      <c r="H1503" s="400"/>
      <c r="I1503" s="400"/>
      <c r="J1503" s="400"/>
      <c r="K1503" s="400">
        <v>1</v>
      </c>
      <c r="L1503" s="400" t="s">
        <v>3333</v>
      </c>
      <c r="M1503" s="402" t="s">
        <v>4518</v>
      </c>
      <c r="N1503" s="400"/>
      <c r="O1503" s="428" t="s">
        <v>4417</v>
      </c>
      <c r="P1503" s="581"/>
      <c r="Q1503" s="399" t="s">
        <v>4590</v>
      </c>
      <c r="R1503" s="428" t="s">
        <v>4891</v>
      </c>
      <c r="S1503" s="399"/>
      <c r="T1503" s="399"/>
      <c r="U1503" s="399" t="s">
        <v>3169</v>
      </c>
      <c r="V1503" s="399"/>
      <c r="W1503" s="399" t="s">
        <v>3170</v>
      </c>
      <c r="X1503" s="400"/>
      <c r="Y1503" s="399" t="s">
        <v>208</v>
      </c>
      <c r="Z1503" s="399"/>
      <c r="AA1503" s="399" t="s">
        <v>113</v>
      </c>
      <c r="AB1503" s="399" t="s">
        <v>3178</v>
      </c>
      <c r="AC1503" s="532" t="s">
        <v>5779</v>
      </c>
      <c r="AD1503" s="400"/>
      <c r="AE1503" s="399"/>
      <c r="AF1503" s="399"/>
      <c r="AG1503" s="531"/>
      <c r="AH1503" s="532" t="s">
        <v>3851</v>
      </c>
      <c r="AI1503" s="399"/>
      <c r="AJ1503" s="400"/>
      <c r="AK1503" s="399"/>
      <c r="AL1503" s="399"/>
      <c r="AM1503" s="399"/>
      <c r="AN1503" s="399"/>
      <c r="AO1503" s="399"/>
      <c r="AP1503" s="399"/>
      <c r="AQ1503" s="399"/>
      <c r="AR1503" s="399"/>
      <c r="AS1503" s="399"/>
      <c r="AT1503" s="400" t="s">
        <v>4592</v>
      </c>
      <c r="AU1503" s="400" t="s">
        <v>4593</v>
      </c>
      <c r="AV1503" s="400">
        <v>25133001</v>
      </c>
      <c r="AW1503" s="541"/>
      <c r="AX1503" s="541"/>
      <c r="AY1503" s="541"/>
      <c r="AZ1503" s="541"/>
      <c r="BA1503" s="541"/>
      <c r="BB1503" s="400"/>
      <c r="BC1503" s="399" t="str">
        <f t="shared" si="2"/>
        <v/>
      </c>
      <c r="BD1503" s="400">
        <v>144475</v>
      </c>
      <c r="BE1503" s="400"/>
      <c r="BF1503" s="400"/>
      <c r="BG1503" s="540"/>
      <c r="BH1503" s="407" t="s">
        <v>4592</v>
      </c>
      <c r="BI1503" s="407">
        <v>25133001</v>
      </c>
      <c r="BJ1503" s="543"/>
      <c r="BK1503" s="46">
        <f t="shared" si="1"/>
        <v>1</v>
      </c>
      <c r="BL1503" s="46">
        <f t="shared" si="3"/>
        <v>0</v>
      </c>
      <c r="BM1503" s="46">
        <f t="shared" si="4"/>
        <v>1</v>
      </c>
      <c r="BN1503" s="46">
        <f t="shared" si="5"/>
        <v>0</v>
      </c>
    </row>
    <row r="1504" spans="1:66" ht="12.75" customHeight="1">
      <c r="A1504" s="399">
        <v>1514</v>
      </c>
      <c r="B1504" s="399" t="s">
        <v>4895</v>
      </c>
      <c r="C1504" s="399" t="str">
        <f t="shared" si="0"/>
        <v>Dyslipidemias</v>
      </c>
      <c r="D1504" s="400" t="s">
        <v>4895</v>
      </c>
      <c r="E1504" s="399" t="s">
        <v>96</v>
      </c>
      <c r="F1504" s="400" t="s">
        <v>1787</v>
      </c>
      <c r="G1504" s="400"/>
      <c r="H1504" s="400"/>
      <c r="I1504" s="400"/>
      <c r="J1504" s="400"/>
      <c r="K1504" s="400">
        <v>1</v>
      </c>
      <c r="L1504" s="400" t="s">
        <v>3333</v>
      </c>
      <c r="M1504" s="402" t="s">
        <v>4518</v>
      </c>
      <c r="N1504" s="400"/>
      <c r="O1504" s="428" t="s">
        <v>4417</v>
      </c>
      <c r="P1504" s="581"/>
      <c r="Q1504" s="399" t="s">
        <v>4897</v>
      </c>
      <c r="R1504" s="428" t="s">
        <v>4895</v>
      </c>
      <c r="S1504" s="399"/>
      <c r="T1504" s="399" t="s">
        <v>4898</v>
      </c>
      <c r="U1504" s="399" t="s">
        <v>3169</v>
      </c>
      <c r="V1504" s="399"/>
      <c r="W1504" s="399" t="s">
        <v>3170</v>
      </c>
      <c r="X1504" s="400"/>
      <c r="Y1504" s="399" t="s">
        <v>208</v>
      </c>
      <c r="Z1504" s="399"/>
      <c r="AA1504" s="399" t="s">
        <v>113</v>
      </c>
      <c r="AB1504" s="399" t="s">
        <v>3178</v>
      </c>
      <c r="AC1504" s="532" t="s">
        <v>5779</v>
      </c>
      <c r="AD1504" s="400"/>
      <c r="AE1504" s="399"/>
      <c r="AF1504" s="399"/>
      <c r="AG1504" s="531"/>
      <c r="AH1504" s="532" t="s">
        <v>3851</v>
      </c>
      <c r="AI1504" s="399"/>
      <c r="AJ1504" s="400"/>
      <c r="AK1504" s="399"/>
      <c r="AL1504" s="399"/>
      <c r="AM1504" s="399"/>
      <c r="AN1504" s="399"/>
      <c r="AO1504" s="399"/>
      <c r="AP1504" s="399"/>
      <c r="AQ1504" s="399"/>
      <c r="AR1504" s="399"/>
      <c r="AS1504" s="399"/>
      <c r="AT1504" s="400" t="s">
        <v>4900</v>
      </c>
      <c r="AU1504" s="400" t="s">
        <v>4901</v>
      </c>
      <c r="AV1504" s="400">
        <v>370992007</v>
      </c>
      <c r="AW1504" s="541"/>
      <c r="AX1504" s="541"/>
      <c r="AY1504" s="541"/>
      <c r="AZ1504" s="541"/>
      <c r="BA1504" s="541"/>
      <c r="BB1504" s="400"/>
      <c r="BC1504" s="399" t="str">
        <f t="shared" si="2"/>
        <v/>
      </c>
      <c r="BD1504" s="400">
        <v>141623</v>
      </c>
      <c r="BE1504" s="399"/>
      <c r="BF1504" s="399"/>
      <c r="BG1504" s="540"/>
      <c r="BH1504" s="407" t="s">
        <v>4900</v>
      </c>
      <c r="BI1504" s="407">
        <v>370992007</v>
      </c>
      <c r="BJ1504" s="543"/>
      <c r="BK1504" s="46">
        <f t="shared" si="1"/>
        <v>1</v>
      </c>
      <c r="BL1504" s="46">
        <f t="shared" si="3"/>
        <v>0</v>
      </c>
      <c r="BM1504" s="46">
        <f t="shared" si="4"/>
        <v>1</v>
      </c>
      <c r="BN1504" s="46">
        <f t="shared" si="5"/>
        <v>0</v>
      </c>
    </row>
    <row r="1505" spans="1:66" ht="12.75" customHeight="1">
      <c r="A1505" s="399">
        <v>1515</v>
      </c>
      <c r="B1505" s="399" t="s">
        <v>4905</v>
      </c>
      <c r="C1505" s="399" t="str">
        <f t="shared" si="0"/>
        <v>Valvular heart disease</v>
      </c>
      <c r="D1505" s="400" t="s">
        <v>4905</v>
      </c>
      <c r="E1505" s="399" t="s">
        <v>96</v>
      </c>
      <c r="F1505" s="400" t="s">
        <v>1787</v>
      </c>
      <c r="G1505" s="400"/>
      <c r="H1505" s="400"/>
      <c r="I1505" s="400"/>
      <c r="J1505" s="400"/>
      <c r="K1505" s="400">
        <v>1</v>
      </c>
      <c r="L1505" s="400" t="s">
        <v>3333</v>
      </c>
      <c r="M1505" s="402" t="s">
        <v>4518</v>
      </c>
      <c r="N1505" s="400"/>
      <c r="O1505" s="428" t="s">
        <v>4417</v>
      </c>
      <c r="P1505" s="581"/>
      <c r="Q1505" s="399" t="s">
        <v>4906</v>
      </c>
      <c r="R1505" s="428" t="s">
        <v>4905</v>
      </c>
      <c r="S1505" s="399"/>
      <c r="T1505" s="399"/>
      <c r="U1505" s="399" t="s">
        <v>3169</v>
      </c>
      <c r="V1505" s="399"/>
      <c r="W1505" s="399" t="s">
        <v>3170</v>
      </c>
      <c r="X1505" s="400"/>
      <c r="Y1505" s="399" t="s">
        <v>208</v>
      </c>
      <c r="Z1505" s="399"/>
      <c r="AA1505" s="399" t="s">
        <v>113</v>
      </c>
      <c r="AB1505" s="399" t="s">
        <v>3178</v>
      </c>
      <c r="AC1505" s="532" t="s">
        <v>5779</v>
      </c>
      <c r="AD1505" s="400"/>
      <c r="AE1505" s="399"/>
      <c r="AF1505" s="399"/>
      <c r="AG1505" s="531"/>
      <c r="AH1505" s="532" t="s">
        <v>3851</v>
      </c>
      <c r="AI1505" s="399"/>
      <c r="AJ1505" s="400"/>
      <c r="AK1505" s="399"/>
      <c r="AL1505" s="399"/>
      <c r="AM1505" s="399"/>
      <c r="AN1505" s="399"/>
      <c r="AO1505" s="399"/>
      <c r="AP1505" s="399"/>
      <c r="AQ1505" s="399"/>
      <c r="AR1505" s="399"/>
      <c r="AS1505" s="399"/>
      <c r="AT1505" s="399"/>
      <c r="AU1505" s="399"/>
      <c r="AV1505" s="399"/>
      <c r="AW1505" s="541"/>
      <c r="AX1505" s="541"/>
      <c r="AY1505" s="541"/>
      <c r="AZ1505" s="541"/>
      <c r="BA1505" s="541"/>
      <c r="BB1505" s="399"/>
      <c r="BC1505" s="399" t="str">
        <f t="shared" si="2"/>
        <v/>
      </c>
      <c r="BD1505" s="399"/>
      <c r="BE1505" s="399"/>
      <c r="BF1505" s="399"/>
      <c r="BG1505" s="540"/>
      <c r="BH1505" s="407"/>
      <c r="BI1505" s="407"/>
      <c r="BJ1505" s="543"/>
      <c r="BK1505" s="46">
        <f t="shared" si="1"/>
        <v>1</v>
      </c>
      <c r="BL1505" s="46">
        <f t="shared" si="3"/>
        <v>0</v>
      </c>
      <c r="BM1505" s="46">
        <f t="shared" si="4"/>
        <v>1</v>
      </c>
      <c r="BN1505" s="46">
        <f t="shared" si="5"/>
        <v>0</v>
      </c>
    </row>
    <row r="1506" spans="1:66" ht="12.75" customHeight="1">
      <c r="A1506" s="399">
        <v>1516</v>
      </c>
      <c r="B1506" s="399" t="s">
        <v>4910</v>
      </c>
      <c r="C1506" s="399" t="str">
        <f t="shared" si="0"/>
        <v>Valvular heart disease category</v>
      </c>
      <c r="D1506" s="400" t="s">
        <v>4910</v>
      </c>
      <c r="E1506" s="399" t="s">
        <v>96</v>
      </c>
      <c r="F1506" s="400" t="s">
        <v>1787</v>
      </c>
      <c r="G1506" s="400"/>
      <c r="H1506" s="400"/>
      <c r="I1506" s="400"/>
      <c r="J1506" s="400"/>
      <c r="K1506" s="400">
        <v>1</v>
      </c>
      <c r="L1506" s="400" t="s">
        <v>3333</v>
      </c>
      <c r="M1506" s="402" t="s">
        <v>4518</v>
      </c>
      <c r="N1506" s="400"/>
      <c r="O1506" s="428" t="s">
        <v>4417</v>
      </c>
      <c r="P1506" s="581"/>
      <c r="Q1506" s="399" t="s">
        <v>4912</v>
      </c>
      <c r="R1506" s="428" t="s">
        <v>4910</v>
      </c>
      <c r="S1506" s="399"/>
      <c r="T1506" s="399"/>
      <c r="U1506" s="399" t="s">
        <v>5812</v>
      </c>
      <c r="V1506" s="399"/>
      <c r="W1506" s="399"/>
      <c r="X1506" s="400"/>
      <c r="Y1506" s="399" t="s">
        <v>208</v>
      </c>
      <c r="Z1506" s="399"/>
      <c r="AA1506" s="399" t="s">
        <v>113</v>
      </c>
      <c r="AB1506" s="399" t="s">
        <v>3178</v>
      </c>
      <c r="AC1506" s="532" t="s">
        <v>5779</v>
      </c>
      <c r="AD1506" s="400"/>
      <c r="AE1506" s="399"/>
      <c r="AF1506" s="399"/>
      <c r="AG1506" s="531"/>
      <c r="AH1506" s="532" t="s">
        <v>3851</v>
      </c>
      <c r="AI1506" s="399"/>
      <c r="AJ1506" s="400"/>
      <c r="AK1506" s="399"/>
      <c r="AL1506" s="399"/>
      <c r="AM1506" s="399"/>
      <c r="AN1506" s="399"/>
      <c r="AO1506" s="399"/>
      <c r="AP1506" s="399"/>
      <c r="AQ1506" s="399"/>
      <c r="AR1506" s="399"/>
      <c r="AS1506" s="399"/>
      <c r="AT1506" s="399"/>
      <c r="AU1506" s="399"/>
      <c r="AV1506" s="399"/>
      <c r="AW1506" s="541"/>
      <c r="AX1506" s="541"/>
      <c r="AY1506" s="541"/>
      <c r="AZ1506" s="541"/>
      <c r="BA1506" s="541"/>
      <c r="BB1506" s="399"/>
      <c r="BC1506" s="399" t="str">
        <f t="shared" si="2"/>
        <v/>
      </c>
      <c r="BD1506" s="399"/>
      <c r="BE1506" s="399"/>
      <c r="BF1506" s="399"/>
      <c r="BG1506" s="540"/>
      <c r="BH1506" s="407"/>
      <c r="BI1506" s="407"/>
      <c r="BJ1506" s="543"/>
      <c r="BK1506" s="46">
        <f t="shared" si="1"/>
        <v>1</v>
      </c>
      <c r="BL1506" s="46">
        <f t="shared" si="3"/>
        <v>0</v>
      </c>
      <c r="BM1506" s="46">
        <f t="shared" si="4"/>
        <v>1</v>
      </c>
      <c r="BN1506" s="46">
        <f t="shared" si="5"/>
        <v>0</v>
      </c>
    </row>
    <row r="1507" spans="1:66" ht="12.75" customHeight="1">
      <c r="A1507" s="399">
        <v>1517</v>
      </c>
      <c r="B1507" s="399" t="s">
        <v>4919</v>
      </c>
      <c r="C1507" s="399" t="e">
        <f t="shared" ca="1" si="0"/>
        <v>#NAME?</v>
      </c>
      <c r="D1507" s="400" t="s">
        <v>4917</v>
      </c>
      <c r="E1507" s="399" t="s">
        <v>180</v>
      </c>
      <c r="F1507" s="400" t="s">
        <v>4910</v>
      </c>
      <c r="G1507" s="400"/>
      <c r="H1507" s="400"/>
      <c r="I1507" s="400"/>
      <c r="J1507" s="400"/>
      <c r="K1507" s="400">
        <v>1</v>
      </c>
      <c r="L1507" s="400" t="s">
        <v>3333</v>
      </c>
      <c r="M1507" s="402" t="s">
        <v>4518</v>
      </c>
      <c r="N1507" s="400"/>
      <c r="O1507" s="428" t="s">
        <v>4417</v>
      </c>
      <c r="P1507" s="581"/>
      <c r="Q1507" s="399" t="s">
        <v>4915</v>
      </c>
      <c r="R1507" s="428"/>
      <c r="S1507" s="399"/>
      <c r="T1507" s="399" t="s">
        <v>4916</v>
      </c>
      <c r="U1507" s="399"/>
      <c r="V1507" s="399"/>
      <c r="W1507" s="399" t="s">
        <v>4917</v>
      </c>
      <c r="X1507" s="400"/>
      <c r="Y1507" s="399" t="s">
        <v>208</v>
      </c>
      <c r="Z1507" s="399"/>
      <c r="AA1507" s="399" t="s">
        <v>113</v>
      </c>
      <c r="AB1507" s="399" t="s">
        <v>3178</v>
      </c>
      <c r="AC1507" s="532" t="s">
        <v>5779</v>
      </c>
      <c r="AD1507" s="400"/>
      <c r="AE1507" s="399"/>
      <c r="AF1507" s="399"/>
      <c r="AG1507" s="531"/>
      <c r="AH1507" s="532" t="s">
        <v>3851</v>
      </c>
      <c r="AI1507" s="399"/>
      <c r="AJ1507" s="400"/>
      <c r="AK1507" s="399"/>
      <c r="AL1507" s="399"/>
      <c r="AM1507" s="399"/>
      <c r="AN1507" s="399"/>
      <c r="AO1507" s="399"/>
      <c r="AP1507" s="399"/>
      <c r="AQ1507" s="399"/>
      <c r="AR1507" s="399"/>
      <c r="AS1507" s="399"/>
      <c r="AT1507" s="399"/>
      <c r="AU1507" s="399"/>
      <c r="AV1507" s="399"/>
      <c r="AW1507" s="541"/>
      <c r="AX1507" s="541"/>
      <c r="AY1507" s="541"/>
      <c r="AZ1507" s="541"/>
      <c r="BA1507" s="541"/>
      <c r="BB1507" s="399"/>
      <c r="BC1507" s="399" t="e">
        <f t="shared" ca="1" si="2"/>
        <v>#NAME?</v>
      </c>
      <c r="BD1507" s="399"/>
      <c r="BE1507" s="399"/>
      <c r="BF1507" s="399"/>
      <c r="BG1507" s="540"/>
      <c r="BH1507" s="407"/>
      <c r="BI1507" s="407"/>
      <c r="BJ1507" s="543"/>
      <c r="BK1507" s="46">
        <f t="shared" si="1"/>
        <v>1</v>
      </c>
      <c r="BL1507" s="46">
        <f t="shared" si="3"/>
        <v>0</v>
      </c>
      <c r="BM1507" s="46">
        <f t="shared" si="4"/>
        <v>1</v>
      </c>
      <c r="BN1507" s="46">
        <f t="shared" si="5"/>
        <v>0</v>
      </c>
    </row>
    <row r="1508" spans="1:66" ht="12.75" customHeight="1">
      <c r="A1508" s="399">
        <v>1518</v>
      </c>
      <c r="B1508" s="399" t="s">
        <v>4932</v>
      </c>
      <c r="C1508" s="399" t="e">
        <f t="shared" ca="1" si="0"/>
        <v>#NAME?</v>
      </c>
      <c r="D1508" s="400" t="s">
        <v>4930</v>
      </c>
      <c r="E1508" s="399" t="s">
        <v>180</v>
      </c>
      <c r="F1508" s="400" t="s">
        <v>4910</v>
      </c>
      <c r="G1508" s="400"/>
      <c r="H1508" s="400"/>
      <c r="I1508" s="400"/>
      <c r="J1508" s="400"/>
      <c r="K1508" s="400">
        <v>1</v>
      </c>
      <c r="L1508" s="400" t="s">
        <v>3333</v>
      </c>
      <c r="M1508" s="402" t="s">
        <v>4518</v>
      </c>
      <c r="N1508" s="400"/>
      <c r="O1508" s="428" t="s">
        <v>4417</v>
      </c>
      <c r="P1508" s="581"/>
      <c r="Q1508" s="399" t="s">
        <v>4928</v>
      </c>
      <c r="R1508" s="428"/>
      <c r="S1508" s="399"/>
      <c r="T1508" s="399"/>
      <c r="U1508" s="399"/>
      <c r="V1508" s="399"/>
      <c r="W1508" s="399" t="s">
        <v>4930</v>
      </c>
      <c r="X1508" s="400"/>
      <c r="Y1508" s="399" t="s">
        <v>208</v>
      </c>
      <c r="Z1508" s="399"/>
      <c r="AA1508" s="399" t="s">
        <v>113</v>
      </c>
      <c r="AB1508" s="399"/>
      <c r="AC1508" s="532" t="s">
        <v>5779</v>
      </c>
      <c r="AD1508" s="400"/>
      <c r="AE1508" s="399"/>
      <c r="AF1508" s="399"/>
      <c r="AG1508" s="531"/>
      <c r="AH1508" s="590"/>
      <c r="AI1508" s="399"/>
      <c r="AJ1508" s="400"/>
      <c r="AK1508" s="399"/>
      <c r="AL1508" s="399"/>
      <c r="AM1508" s="399"/>
      <c r="AN1508" s="399"/>
      <c r="AO1508" s="399"/>
      <c r="AP1508" s="399"/>
      <c r="AQ1508" s="399"/>
      <c r="AR1508" s="399"/>
      <c r="AS1508" s="399"/>
      <c r="AT1508" s="399"/>
      <c r="AU1508" s="399"/>
      <c r="AV1508" s="399"/>
      <c r="AW1508" s="541"/>
      <c r="AX1508" s="541"/>
      <c r="AY1508" s="541"/>
      <c r="AZ1508" s="541"/>
      <c r="BA1508" s="541"/>
      <c r="BB1508" s="399"/>
      <c r="BC1508" s="399" t="e">
        <f t="shared" ca="1" si="2"/>
        <v>#NAME?</v>
      </c>
      <c r="BD1508" s="399"/>
      <c r="BE1508" s="399"/>
      <c r="BF1508" s="399"/>
      <c r="BG1508" s="540"/>
      <c r="BH1508" s="407"/>
      <c r="BI1508" s="407"/>
      <c r="BJ1508" s="543"/>
      <c r="BK1508" s="46">
        <f t="shared" si="1"/>
        <v>1</v>
      </c>
      <c r="BL1508" s="46">
        <f t="shared" si="3"/>
        <v>0</v>
      </c>
      <c r="BM1508" s="46">
        <f t="shared" si="4"/>
        <v>1</v>
      </c>
      <c r="BN1508" s="46">
        <f t="shared" si="5"/>
        <v>0</v>
      </c>
    </row>
    <row r="1509" spans="1:66" ht="12.75" customHeight="1">
      <c r="A1509" s="399">
        <v>1519</v>
      </c>
      <c r="B1509" s="399" t="s">
        <v>4938</v>
      </c>
      <c r="C1509" s="399" t="e">
        <f t="shared" ca="1" si="0"/>
        <v>#NAME?</v>
      </c>
      <c r="D1509" s="400" t="s">
        <v>4936</v>
      </c>
      <c r="E1509" s="399" t="s">
        <v>180</v>
      </c>
      <c r="F1509" s="400" t="s">
        <v>4910</v>
      </c>
      <c r="G1509" s="400"/>
      <c r="H1509" s="400"/>
      <c r="I1509" s="400"/>
      <c r="J1509" s="400"/>
      <c r="K1509" s="400">
        <v>1</v>
      </c>
      <c r="L1509" s="400" t="s">
        <v>3333</v>
      </c>
      <c r="M1509" s="402" t="s">
        <v>4518</v>
      </c>
      <c r="N1509" s="400"/>
      <c r="O1509" s="428" t="s">
        <v>4417</v>
      </c>
      <c r="P1509" s="581"/>
      <c r="Q1509" s="399" t="s">
        <v>4937</v>
      </c>
      <c r="R1509" s="428"/>
      <c r="S1509" s="399"/>
      <c r="T1509" s="399"/>
      <c r="U1509" s="399"/>
      <c r="V1509" s="399"/>
      <c r="W1509" s="399" t="s">
        <v>4936</v>
      </c>
      <c r="X1509" s="400"/>
      <c r="Y1509" s="399" t="s">
        <v>208</v>
      </c>
      <c r="Z1509" s="399"/>
      <c r="AA1509" s="399" t="s">
        <v>113</v>
      </c>
      <c r="AB1509" s="399"/>
      <c r="AC1509" s="532" t="s">
        <v>5779</v>
      </c>
      <c r="AD1509" s="400"/>
      <c r="AE1509" s="399"/>
      <c r="AF1509" s="399"/>
      <c r="AG1509" s="531"/>
      <c r="AH1509" s="590"/>
      <c r="AI1509" s="399"/>
      <c r="AJ1509" s="400"/>
      <c r="AK1509" s="399"/>
      <c r="AL1509" s="399"/>
      <c r="AM1509" s="399"/>
      <c r="AN1509" s="399"/>
      <c r="AO1509" s="399"/>
      <c r="AP1509" s="399"/>
      <c r="AQ1509" s="399"/>
      <c r="AR1509" s="399"/>
      <c r="AS1509" s="399"/>
      <c r="AT1509" s="399"/>
      <c r="AU1509" s="399"/>
      <c r="AV1509" s="399"/>
      <c r="AW1509" s="541"/>
      <c r="AX1509" s="541"/>
      <c r="AY1509" s="541"/>
      <c r="AZ1509" s="541"/>
      <c r="BA1509" s="541"/>
      <c r="BB1509" s="399"/>
      <c r="BC1509" s="399" t="e">
        <f t="shared" ca="1" si="2"/>
        <v>#NAME?</v>
      </c>
      <c r="BD1509" s="399"/>
      <c r="BE1509" s="399"/>
      <c r="BF1509" s="399"/>
      <c r="BG1509" s="540"/>
      <c r="BH1509" s="407"/>
      <c r="BI1509" s="407"/>
      <c r="BJ1509" s="543"/>
      <c r="BK1509" s="46">
        <f t="shared" si="1"/>
        <v>1</v>
      </c>
      <c r="BL1509" s="46">
        <f t="shared" si="3"/>
        <v>0</v>
      </c>
      <c r="BM1509" s="46">
        <f t="shared" si="4"/>
        <v>1</v>
      </c>
      <c r="BN1509" s="46">
        <f t="shared" si="5"/>
        <v>0</v>
      </c>
    </row>
    <row r="1510" spans="1:66" ht="12.75" customHeight="1">
      <c r="A1510" s="399">
        <v>1520</v>
      </c>
      <c r="B1510" s="399" t="s">
        <v>4943</v>
      </c>
      <c r="C1510" s="399" t="str">
        <f t="shared" si="0"/>
        <v>Neurological category</v>
      </c>
      <c r="D1510" s="400" t="s">
        <v>4943</v>
      </c>
      <c r="E1510" s="399" t="s">
        <v>96</v>
      </c>
      <c r="F1510" s="400" t="s">
        <v>1787</v>
      </c>
      <c r="G1510" s="400"/>
      <c r="H1510" s="400"/>
      <c r="I1510" s="400"/>
      <c r="J1510" s="400"/>
      <c r="K1510" s="400">
        <v>1</v>
      </c>
      <c r="L1510" s="400" t="s">
        <v>3333</v>
      </c>
      <c r="M1510" s="402" t="s">
        <v>4518</v>
      </c>
      <c r="N1510" s="400"/>
      <c r="O1510" s="428" t="s">
        <v>4417</v>
      </c>
      <c r="P1510" s="581"/>
      <c r="Q1510" s="399" t="s">
        <v>4945</v>
      </c>
      <c r="R1510" s="428" t="s">
        <v>4943</v>
      </c>
      <c r="S1510" s="428"/>
      <c r="T1510" s="399" t="s">
        <v>4946</v>
      </c>
      <c r="U1510" s="399"/>
      <c r="V1510" s="428"/>
      <c r="W1510" s="428"/>
      <c r="X1510" s="574"/>
      <c r="Y1510" s="399" t="s">
        <v>208</v>
      </c>
      <c r="Z1510" s="428"/>
      <c r="AA1510" s="399" t="s">
        <v>113</v>
      </c>
      <c r="AB1510" s="399" t="s">
        <v>3178</v>
      </c>
      <c r="AC1510" s="532" t="s">
        <v>5825</v>
      </c>
      <c r="AD1510" s="574"/>
      <c r="AE1510" s="428"/>
      <c r="AF1510" s="428"/>
      <c r="AG1510" s="581"/>
      <c r="AH1510" s="615"/>
      <c r="AI1510" s="428"/>
      <c r="AJ1510" s="574"/>
      <c r="AK1510" s="399"/>
      <c r="AL1510" s="428"/>
      <c r="AM1510" s="428"/>
      <c r="AN1510" s="428"/>
      <c r="AO1510" s="428"/>
      <c r="AP1510" s="428"/>
      <c r="AQ1510" s="428"/>
      <c r="AR1510" s="428"/>
      <c r="AS1510" s="428"/>
      <c r="AT1510" s="428"/>
      <c r="AU1510" s="428"/>
      <c r="AV1510" s="428"/>
      <c r="AW1510" s="541"/>
      <c r="AX1510" s="541"/>
      <c r="AY1510" s="541"/>
      <c r="AZ1510" s="541"/>
      <c r="BA1510" s="541"/>
      <c r="BB1510" s="428"/>
      <c r="BC1510" s="399" t="str">
        <f t="shared" si="2"/>
        <v/>
      </c>
      <c r="BD1510" s="428"/>
      <c r="BE1510" s="428"/>
      <c r="BF1510" s="428"/>
      <c r="BG1510" s="616"/>
      <c r="BH1510" s="407"/>
      <c r="BI1510" s="407"/>
      <c r="BJ1510" s="543"/>
      <c r="BK1510" s="46">
        <f t="shared" si="1"/>
        <v>1</v>
      </c>
      <c r="BL1510" s="46">
        <f t="shared" si="3"/>
        <v>0</v>
      </c>
      <c r="BM1510" s="46">
        <f t="shared" si="4"/>
        <v>1</v>
      </c>
      <c r="BN1510" s="46">
        <f t="shared" si="5"/>
        <v>0</v>
      </c>
    </row>
    <row r="1511" spans="1:66" ht="12.75" customHeight="1">
      <c r="A1511" s="399">
        <v>1521</v>
      </c>
      <c r="B1511" s="399" t="s">
        <v>4951</v>
      </c>
      <c r="C1511" s="399" t="e">
        <f t="shared" ca="1" si="0"/>
        <v>#NAME?</v>
      </c>
      <c r="D1511" s="400" t="s">
        <v>4949</v>
      </c>
      <c r="E1511" s="399" t="s">
        <v>180</v>
      </c>
      <c r="F1511" s="400" t="s">
        <v>4943</v>
      </c>
      <c r="G1511" s="400"/>
      <c r="H1511" s="400"/>
      <c r="I1511" s="400"/>
      <c r="J1511" s="400"/>
      <c r="K1511" s="400">
        <v>1</v>
      </c>
      <c r="L1511" s="400" t="s">
        <v>3333</v>
      </c>
      <c r="M1511" s="402" t="s">
        <v>4518</v>
      </c>
      <c r="N1511" s="400"/>
      <c r="O1511" s="428" t="s">
        <v>4417</v>
      </c>
      <c r="P1511" s="581"/>
      <c r="Q1511" s="399" t="s">
        <v>4950</v>
      </c>
      <c r="R1511" s="428"/>
      <c r="S1511" s="428"/>
      <c r="T1511" s="428"/>
      <c r="U1511" s="399" t="s">
        <v>4949</v>
      </c>
      <c r="V1511" s="428"/>
      <c r="W1511" s="428"/>
      <c r="X1511" s="574"/>
      <c r="Y1511" s="399" t="s">
        <v>208</v>
      </c>
      <c r="Z1511" s="428"/>
      <c r="AA1511" s="399" t="s">
        <v>113</v>
      </c>
      <c r="AB1511" s="399" t="s">
        <v>3178</v>
      </c>
      <c r="AC1511" s="532" t="s">
        <v>5825</v>
      </c>
      <c r="AD1511" s="574"/>
      <c r="AE1511" s="428"/>
      <c r="AF1511" s="428"/>
      <c r="AG1511" s="581"/>
      <c r="AH1511" s="615"/>
      <c r="AI1511" s="428"/>
      <c r="AJ1511" s="574"/>
      <c r="AK1511" s="399"/>
      <c r="AL1511" s="428"/>
      <c r="AM1511" s="428"/>
      <c r="AN1511" s="428"/>
      <c r="AO1511" s="428"/>
      <c r="AP1511" s="428"/>
      <c r="AQ1511" s="428"/>
      <c r="AR1511" s="428"/>
      <c r="AS1511" s="428"/>
      <c r="AT1511" s="428"/>
      <c r="AU1511" s="428"/>
      <c r="AV1511" s="428"/>
      <c r="AW1511" s="541"/>
      <c r="AX1511" s="541"/>
      <c r="AY1511" s="541"/>
      <c r="AZ1511" s="541"/>
      <c r="BA1511" s="541"/>
      <c r="BB1511" s="428"/>
      <c r="BC1511" s="399" t="e">
        <f t="shared" ca="1" si="2"/>
        <v>#NAME?</v>
      </c>
      <c r="BD1511" s="428"/>
      <c r="BE1511" s="428"/>
      <c r="BF1511" s="428"/>
      <c r="BG1511" s="616"/>
      <c r="BH1511" s="407"/>
      <c r="BI1511" s="407"/>
      <c r="BJ1511" s="543"/>
      <c r="BK1511" s="46">
        <f t="shared" si="1"/>
        <v>1</v>
      </c>
      <c r="BL1511" s="46">
        <f t="shared" si="3"/>
        <v>0</v>
      </c>
      <c r="BM1511" s="46">
        <f t="shared" si="4"/>
        <v>1</v>
      </c>
      <c r="BN1511" s="46">
        <f t="shared" si="5"/>
        <v>0</v>
      </c>
    </row>
    <row r="1512" spans="1:66" ht="12.75" customHeight="1">
      <c r="A1512" s="399">
        <v>1522</v>
      </c>
      <c r="B1512" s="399" t="s">
        <v>1145</v>
      </c>
      <c r="C1512" s="399" t="e">
        <f t="shared" ca="1" si="0"/>
        <v>#NAME?</v>
      </c>
      <c r="D1512" s="400" t="s">
        <v>883</v>
      </c>
      <c r="E1512" s="399" t="s">
        <v>180</v>
      </c>
      <c r="F1512" s="400" t="s">
        <v>4943</v>
      </c>
      <c r="G1512" s="400"/>
      <c r="H1512" s="400"/>
      <c r="I1512" s="400"/>
      <c r="J1512" s="400"/>
      <c r="K1512" s="400">
        <v>1</v>
      </c>
      <c r="L1512" s="400" t="s">
        <v>3333</v>
      </c>
      <c r="M1512" s="402" t="s">
        <v>4518</v>
      </c>
      <c r="N1512" s="400"/>
      <c r="O1512" s="428" t="s">
        <v>4417</v>
      </c>
      <c r="P1512" s="581"/>
      <c r="Q1512" s="399" t="s">
        <v>4957</v>
      </c>
      <c r="R1512" s="428"/>
      <c r="S1512" s="399"/>
      <c r="T1512" s="399"/>
      <c r="U1512" s="399" t="s">
        <v>883</v>
      </c>
      <c r="V1512" s="399"/>
      <c r="W1512" s="399"/>
      <c r="X1512" s="400"/>
      <c r="Y1512" s="399" t="s">
        <v>208</v>
      </c>
      <c r="Z1512" s="399"/>
      <c r="AA1512" s="399" t="s">
        <v>113</v>
      </c>
      <c r="AB1512" s="399" t="s">
        <v>3178</v>
      </c>
      <c r="AC1512" s="532" t="s">
        <v>5825</v>
      </c>
      <c r="AD1512" s="400"/>
      <c r="AE1512" s="399"/>
      <c r="AF1512" s="399"/>
      <c r="AG1512" s="531"/>
      <c r="AH1512" s="590"/>
      <c r="AI1512" s="399"/>
      <c r="AJ1512" s="400"/>
      <c r="AK1512" s="399"/>
      <c r="AL1512" s="399"/>
      <c r="AM1512" s="399"/>
      <c r="AN1512" s="399"/>
      <c r="AO1512" s="399"/>
      <c r="AP1512" s="399"/>
      <c r="AQ1512" s="399"/>
      <c r="AR1512" s="399"/>
      <c r="AS1512" s="399"/>
      <c r="AT1512" s="399"/>
      <c r="AU1512" s="399"/>
      <c r="AV1512" s="399"/>
      <c r="AW1512" s="541"/>
      <c r="AX1512" s="541"/>
      <c r="AY1512" s="541"/>
      <c r="AZ1512" s="541"/>
      <c r="BA1512" s="541"/>
      <c r="BB1512" s="399"/>
      <c r="BC1512" s="399" t="e">
        <f t="shared" ca="1" si="2"/>
        <v>#NAME?</v>
      </c>
      <c r="BD1512" s="399"/>
      <c r="BE1512" s="399"/>
      <c r="BF1512" s="399"/>
      <c r="BG1512" s="540"/>
      <c r="BH1512" s="407"/>
      <c r="BI1512" s="407"/>
      <c r="BJ1512" s="543"/>
      <c r="BK1512" s="46">
        <f t="shared" si="1"/>
        <v>1</v>
      </c>
      <c r="BL1512" s="46">
        <f t="shared" si="3"/>
        <v>0</v>
      </c>
      <c r="BM1512" s="46">
        <f t="shared" si="4"/>
        <v>1</v>
      </c>
      <c r="BN1512" s="46">
        <f t="shared" si="5"/>
        <v>0</v>
      </c>
    </row>
    <row r="1513" spans="1:66" ht="12.75" customHeight="1">
      <c r="A1513" s="399">
        <v>1523</v>
      </c>
      <c r="B1513" s="399" t="s">
        <v>4961</v>
      </c>
      <c r="C1513" s="399" t="str">
        <f t="shared" si="0"/>
        <v>Depressive disorders</v>
      </c>
      <c r="D1513" s="400" t="s">
        <v>4961</v>
      </c>
      <c r="E1513" s="399" t="s">
        <v>96</v>
      </c>
      <c r="F1513" s="400" t="s">
        <v>1787</v>
      </c>
      <c r="G1513" s="400"/>
      <c r="H1513" s="400"/>
      <c r="I1513" s="400"/>
      <c r="J1513" s="400"/>
      <c r="K1513" s="400">
        <v>1</v>
      </c>
      <c r="L1513" s="400" t="s">
        <v>3333</v>
      </c>
      <c r="M1513" s="402" t="s">
        <v>4518</v>
      </c>
      <c r="N1513" s="400"/>
      <c r="O1513" s="428" t="s">
        <v>4417</v>
      </c>
      <c r="P1513" s="581"/>
      <c r="Q1513" s="399" t="s">
        <v>4962</v>
      </c>
      <c r="R1513" s="428"/>
      <c r="S1513" s="399"/>
      <c r="T1513" s="399"/>
      <c r="U1513" s="399" t="s">
        <v>4961</v>
      </c>
      <c r="V1513" s="399"/>
      <c r="W1513" s="399"/>
      <c r="X1513" s="400"/>
      <c r="Y1513" s="399" t="s">
        <v>208</v>
      </c>
      <c r="Z1513" s="399"/>
      <c r="AA1513" s="399" t="s">
        <v>113</v>
      </c>
      <c r="AB1513" s="399" t="s">
        <v>3178</v>
      </c>
      <c r="AC1513" s="532" t="s">
        <v>5825</v>
      </c>
      <c r="AD1513" s="400"/>
      <c r="AE1513" s="399"/>
      <c r="AF1513" s="399"/>
      <c r="AG1513" s="531"/>
      <c r="AH1513" s="590"/>
      <c r="AI1513" s="399"/>
      <c r="AJ1513" s="400"/>
      <c r="AK1513" s="399"/>
      <c r="AL1513" s="399"/>
      <c r="AM1513" s="399"/>
      <c r="AN1513" s="399"/>
      <c r="AO1513" s="399"/>
      <c r="AP1513" s="399"/>
      <c r="AQ1513" s="399"/>
      <c r="AR1513" s="399"/>
      <c r="AS1513" s="399"/>
      <c r="AT1513" s="399"/>
      <c r="AU1513" s="399"/>
      <c r="AV1513" s="399"/>
      <c r="AW1513" s="541"/>
      <c r="AX1513" s="541"/>
      <c r="AY1513" s="541"/>
      <c r="AZ1513" s="541"/>
      <c r="BA1513" s="541"/>
      <c r="BB1513" s="399"/>
      <c r="BC1513" s="399" t="str">
        <f t="shared" si="2"/>
        <v/>
      </c>
      <c r="BD1513" s="399"/>
      <c r="BE1513" s="399"/>
      <c r="BF1513" s="399"/>
      <c r="BG1513" s="540"/>
      <c r="BH1513" s="407"/>
      <c r="BI1513" s="407"/>
      <c r="BJ1513" s="543"/>
      <c r="BK1513" s="46">
        <f t="shared" si="1"/>
        <v>1</v>
      </c>
      <c r="BL1513" s="46">
        <f t="shared" si="3"/>
        <v>0</v>
      </c>
      <c r="BM1513" s="46">
        <f t="shared" si="4"/>
        <v>1</v>
      </c>
      <c r="BN1513" s="46">
        <f t="shared" si="5"/>
        <v>0</v>
      </c>
    </row>
    <row r="1514" spans="1:66" ht="12.75" customHeight="1">
      <c r="A1514" s="399">
        <v>1524</v>
      </c>
      <c r="B1514" s="399" t="s">
        <v>4771</v>
      </c>
      <c r="C1514" s="399" t="str">
        <f t="shared" si="0"/>
        <v>Headache category</v>
      </c>
      <c r="D1514" s="400" t="s">
        <v>4771</v>
      </c>
      <c r="E1514" s="399" t="s">
        <v>96</v>
      </c>
      <c r="F1514" s="400" t="s">
        <v>1787</v>
      </c>
      <c r="G1514" s="400"/>
      <c r="H1514" s="400"/>
      <c r="I1514" s="400"/>
      <c r="J1514" s="400"/>
      <c r="K1514" s="400">
        <v>1</v>
      </c>
      <c r="L1514" s="400" t="s">
        <v>3333</v>
      </c>
      <c r="M1514" s="402" t="s">
        <v>4518</v>
      </c>
      <c r="N1514" s="400"/>
      <c r="O1514" s="428" t="s">
        <v>4417</v>
      </c>
      <c r="P1514" s="581"/>
      <c r="Q1514" s="399" t="s">
        <v>4312</v>
      </c>
      <c r="R1514" s="428" t="s">
        <v>4771</v>
      </c>
      <c r="S1514" s="399"/>
      <c r="T1514" s="399" t="s">
        <v>5836</v>
      </c>
      <c r="U1514" s="399"/>
      <c r="V1514" s="399"/>
      <c r="W1514" s="399"/>
      <c r="X1514" s="399"/>
      <c r="Y1514" s="399" t="s">
        <v>208</v>
      </c>
      <c r="Z1514" s="399"/>
      <c r="AA1514" s="399" t="s">
        <v>113</v>
      </c>
      <c r="AB1514" s="399" t="s">
        <v>3178</v>
      </c>
      <c r="AC1514" s="532" t="s">
        <v>5825</v>
      </c>
      <c r="AD1514" s="400"/>
      <c r="AE1514" s="399"/>
      <c r="AF1514" s="399"/>
      <c r="AG1514" s="531"/>
      <c r="AH1514" s="590"/>
      <c r="AI1514" s="399"/>
      <c r="AJ1514" s="400"/>
      <c r="AK1514" s="399"/>
      <c r="AL1514" s="399"/>
      <c r="AM1514" s="399"/>
      <c r="AN1514" s="399"/>
      <c r="AO1514" s="399"/>
      <c r="AP1514" s="399"/>
      <c r="AQ1514" s="399"/>
      <c r="AR1514" s="399"/>
      <c r="AS1514" s="399"/>
      <c r="AT1514" s="399"/>
      <c r="AU1514" s="399"/>
      <c r="AV1514" s="399"/>
      <c r="AW1514" s="541"/>
      <c r="AX1514" s="541"/>
      <c r="AY1514" s="541"/>
      <c r="AZ1514" s="541"/>
      <c r="BA1514" s="541"/>
      <c r="BB1514" s="399"/>
      <c r="BC1514" s="399" t="str">
        <f t="shared" si="2"/>
        <v/>
      </c>
      <c r="BD1514" s="399"/>
      <c r="BE1514" s="399"/>
      <c r="BF1514" s="399"/>
      <c r="BG1514" s="540"/>
      <c r="BH1514" s="407"/>
      <c r="BI1514" s="407"/>
      <c r="BJ1514" s="543"/>
      <c r="BK1514" s="46">
        <f t="shared" si="1"/>
        <v>1</v>
      </c>
      <c r="BL1514" s="46">
        <f t="shared" si="3"/>
        <v>0</v>
      </c>
      <c r="BM1514" s="46">
        <f t="shared" si="4"/>
        <v>1</v>
      </c>
      <c r="BN1514" s="46">
        <f t="shared" si="5"/>
        <v>0</v>
      </c>
    </row>
    <row r="1515" spans="1:66" ht="12.75" customHeight="1">
      <c r="A1515" s="399">
        <v>1525</v>
      </c>
      <c r="B1515" s="399" t="s">
        <v>5839</v>
      </c>
      <c r="C1515" s="399" t="e">
        <f t="shared" ca="1" si="0"/>
        <v>#NAME?</v>
      </c>
      <c r="D1515" s="400" t="s">
        <v>5840</v>
      </c>
      <c r="E1515" s="399" t="s">
        <v>180</v>
      </c>
      <c r="F1515" s="400" t="s">
        <v>4771</v>
      </c>
      <c r="G1515" s="400"/>
      <c r="H1515" s="400"/>
      <c r="I1515" s="400"/>
      <c r="J1515" s="400"/>
      <c r="K1515" s="400">
        <v>1</v>
      </c>
      <c r="L1515" s="400" t="s">
        <v>3333</v>
      </c>
      <c r="M1515" s="402" t="s">
        <v>4518</v>
      </c>
      <c r="N1515" s="400"/>
      <c r="O1515" s="428" t="s">
        <v>4417</v>
      </c>
      <c r="P1515" s="581"/>
      <c r="Q1515" s="399" t="s">
        <v>4784</v>
      </c>
      <c r="R1515" s="428"/>
      <c r="S1515" s="399"/>
      <c r="T1515" s="399"/>
      <c r="U1515" s="399"/>
      <c r="V1515" s="399"/>
      <c r="W1515" s="399" t="s">
        <v>5840</v>
      </c>
      <c r="X1515" s="400"/>
      <c r="Y1515" s="399" t="s">
        <v>208</v>
      </c>
      <c r="Z1515" s="399"/>
      <c r="AA1515" s="399" t="s">
        <v>113</v>
      </c>
      <c r="AB1515" s="399" t="s">
        <v>3178</v>
      </c>
      <c r="AC1515" s="532" t="s">
        <v>5825</v>
      </c>
      <c r="AD1515" s="400"/>
      <c r="AE1515" s="399"/>
      <c r="AF1515" s="399"/>
      <c r="AG1515" s="531"/>
      <c r="AH1515" s="590"/>
      <c r="AI1515" s="399"/>
      <c r="AJ1515" s="400"/>
      <c r="AK1515" s="399"/>
      <c r="AL1515" s="399"/>
      <c r="AM1515" s="399"/>
      <c r="AN1515" s="399"/>
      <c r="AO1515" s="399"/>
      <c r="AP1515" s="399"/>
      <c r="AQ1515" s="399"/>
      <c r="AR1515" s="399"/>
      <c r="AS1515" s="399"/>
      <c r="AT1515" s="399"/>
      <c r="AU1515" s="399"/>
      <c r="AV1515" s="399"/>
      <c r="AW1515" s="541"/>
      <c r="AX1515" s="541"/>
      <c r="AY1515" s="541"/>
      <c r="AZ1515" s="541"/>
      <c r="BA1515" s="541"/>
      <c r="BB1515" s="399"/>
      <c r="BC1515" s="399" t="e">
        <f t="shared" ca="1" si="2"/>
        <v>#NAME?</v>
      </c>
      <c r="BD1515" s="399"/>
      <c r="BE1515" s="399"/>
      <c r="BF1515" s="399"/>
      <c r="BG1515" s="540"/>
      <c r="BH1515" s="407"/>
      <c r="BI1515" s="407"/>
      <c r="BJ1515" s="543"/>
      <c r="BK1515" s="46">
        <f t="shared" si="1"/>
        <v>1</v>
      </c>
      <c r="BL1515" s="46">
        <f t="shared" si="3"/>
        <v>0</v>
      </c>
      <c r="BM1515" s="46">
        <f t="shared" si="4"/>
        <v>1</v>
      </c>
      <c r="BN1515" s="46">
        <f t="shared" si="5"/>
        <v>0</v>
      </c>
    </row>
    <row r="1516" spans="1:66" ht="12.75" customHeight="1">
      <c r="A1516" s="399">
        <v>1526</v>
      </c>
      <c r="B1516" s="399" t="s">
        <v>4793</v>
      </c>
      <c r="C1516" s="399" t="e">
        <f t="shared" ca="1" si="0"/>
        <v>#NAME?</v>
      </c>
      <c r="D1516" s="400" t="s">
        <v>4791</v>
      </c>
      <c r="E1516" s="399" t="s">
        <v>180</v>
      </c>
      <c r="F1516" s="400" t="s">
        <v>4771</v>
      </c>
      <c r="G1516" s="400"/>
      <c r="H1516" s="400"/>
      <c r="I1516" s="400"/>
      <c r="J1516" s="400"/>
      <c r="K1516" s="400">
        <v>1</v>
      </c>
      <c r="L1516" s="400" t="s">
        <v>3333</v>
      </c>
      <c r="M1516" s="402" t="s">
        <v>4518</v>
      </c>
      <c r="N1516" s="400"/>
      <c r="O1516" s="428" t="s">
        <v>4417</v>
      </c>
      <c r="P1516" s="581"/>
      <c r="Q1516" s="399" t="s">
        <v>4789</v>
      </c>
      <c r="R1516" s="428"/>
      <c r="S1516" s="399"/>
      <c r="T1516" s="399"/>
      <c r="U1516" s="399"/>
      <c r="V1516" s="399"/>
      <c r="W1516" s="399" t="s">
        <v>4791</v>
      </c>
      <c r="X1516" s="400"/>
      <c r="Y1516" s="399" t="s">
        <v>208</v>
      </c>
      <c r="Z1516" s="399"/>
      <c r="AA1516" s="399" t="s">
        <v>113</v>
      </c>
      <c r="AB1516" s="399" t="s">
        <v>3178</v>
      </c>
      <c r="AC1516" s="532" t="s">
        <v>5825</v>
      </c>
      <c r="AD1516" s="400"/>
      <c r="AE1516" s="399"/>
      <c r="AF1516" s="399"/>
      <c r="AG1516" s="531" t="s">
        <v>5844</v>
      </c>
      <c r="AH1516" s="590"/>
      <c r="AI1516" s="399"/>
      <c r="AJ1516" s="400"/>
      <c r="AK1516" s="399"/>
      <c r="AL1516" s="399"/>
      <c r="AM1516" s="399"/>
      <c r="AN1516" s="399"/>
      <c r="AO1516" s="399"/>
      <c r="AP1516" s="399"/>
      <c r="AQ1516" s="399"/>
      <c r="AR1516" s="399"/>
      <c r="AS1516" s="399"/>
      <c r="AT1516" s="399"/>
      <c r="AU1516" s="399"/>
      <c r="AV1516" s="399"/>
      <c r="AW1516" s="541"/>
      <c r="AX1516" s="541"/>
      <c r="AY1516" s="541"/>
      <c r="AZ1516" s="541"/>
      <c r="BA1516" s="541"/>
      <c r="BB1516" s="399"/>
      <c r="BC1516" s="399" t="e">
        <f t="shared" ca="1" si="2"/>
        <v>#NAME?</v>
      </c>
      <c r="BD1516" s="399"/>
      <c r="BE1516" s="399"/>
      <c r="BF1516" s="399"/>
      <c r="BG1516" s="540"/>
      <c r="BH1516" s="407"/>
      <c r="BI1516" s="407"/>
      <c r="BJ1516" s="543"/>
      <c r="BK1516" s="46">
        <f t="shared" si="1"/>
        <v>1</v>
      </c>
      <c r="BL1516" s="46">
        <f t="shared" si="3"/>
        <v>0</v>
      </c>
      <c r="BM1516" s="46">
        <f t="shared" si="4"/>
        <v>1</v>
      </c>
      <c r="BN1516" s="46">
        <f t="shared" si="5"/>
        <v>0</v>
      </c>
    </row>
    <row r="1517" spans="1:66" ht="12.75" customHeight="1">
      <c r="A1517" s="399">
        <v>1527</v>
      </c>
      <c r="B1517" s="399" t="s">
        <v>4803</v>
      </c>
      <c r="C1517" s="399" t="e">
        <f t="shared" ca="1" si="0"/>
        <v>#NAME?</v>
      </c>
      <c r="D1517" s="400" t="s">
        <v>4802</v>
      </c>
      <c r="E1517" s="399" t="s">
        <v>180</v>
      </c>
      <c r="F1517" s="400" t="s">
        <v>4771</v>
      </c>
      <c r="G1517" s="400"/>
      <c r="H1517" s="400"/>
      <c r="I1517" s="400"/>
      <c r="J1517" s="400"/>
      <c r="K1517" s="400">
        <v>1</v>
      </c>
      <c r="L1517" s="400" t="s">
        <v>3333</v>
      </c>
      <c r="M1517" s="402" t="s">
        <v>4518</v>
      </c>
      <c r="N1517" s="400"/>
      <c r="O1517" s="428" t="s">
        <v>4417</v>
      </c>
      <c r="P1517" s="581"/>
      <c r="Q1517" s="399" t="s">
        <v>4801</v>
      </c>
      <c r="R1517" s="428"/>
      <c r="S1517" s="399"/>
      <c r="T1517" s="399"/>
      <c r="U1517" s="399"/>
      <c r="V1517" s="399"/>
      <c r="W1517" s="399" t="s">
        <v>4802</v>
      </c>
      <c r="X1517" s="400"/>
      <c r="Y1517" s="399" t="s">
        <v>208</v>
      </c>
      <c r="Z1517" s="399"/>
      <c r="AA1517" s="399" t="s">
        <v>113</v>
      </c>
      <c r="AB1517" s="399" t="s">
        <v>3178</v>
      </c>
      <c r="AC1517" s="532" t="s">
        <v>5825</v>
      </c>
      <c r="AD1517" s="400"/>
      <c r="AE1517" s="399"/>
      <c r="AF1517" s="399"/>
      <c r="AG1517" s="531"/>
      <c r="AH1517" s="590"/>
      <c r="AI1517" s="399"/>
      <c r="AJ1517" s="400"/>
      <c r="AK1517" s="399"/>
      <c r="AL1517" s="399"/>
      <c r="AM1517" s="399"/>
      <c r="AN1517" s="399"/>
      <c r="AO1517" s="399"/>
      <c r="AP1517" s="399"/>
      <c r="AQ1517" s="399"/>
      <c r="AR1517" s="399"/>
      <c r="AS1517" s="399"/>
      <c r="AT1517" s="399"/>
      <c r="AU1517" s="399"/>
      <c r="AV1517" s="399"/>
      <c r="AW1517" s="541"/>
      <c r="AX1517" s="541"/>
      <c r="AY1517" s="541"/>
      <c r="AZ1517" s="541"/>
      <c r="BA1517" s="541"/>
      <c r="BB1517" s="399"/>
      <c r="BC1517" s="399" t="e">
        <f t="shared" ca="1" si="2"/>
        <v>#NAME?</v>
      </c>
      <c r="BD1517" s="399"/>
      <c r="BE1517" s="399"/>
      <c r="BF1517" s="399"/>
      <c r="BG1517" s="540"/>
      <c r="BH1517" s="407"/>
      <c r="BI1517" s="407"/>
      <c r="BJ1517" s="543"/>
      <c r="BK1517" s="46">
        <f t="shared" si="1"/>
        <v>1</v>
      </c>
      <c r="BL1517" s="46">
        <f t="shared" si="3"/>
        <v>0</v>
      </c>
      <c r="BM1517" s="46">
        <f t="shared" si="4"/>
        <v>1</v>
      </c>
      <c r="BN1517" s="46">
        <f t="shared" si="5"/>
        <v>0</v>
      </c>
    </row>
    <row r="1518" spans="1:66" ht="12.75" customHeight="1">
      <c r="A1518" s="399">
        <v>1528</v>
      </c>
      <c r="B1518" s="399" t="s">
        <v>4966</v>
      </c>
      <c r="C1518" s="399" t="str">
        <f t="shared" si="0"/>
        <v>Reproductive and tract infections or disorders</v>
      </c>
      <c r="D1518" s="400" t="s">
        <v>4966</v>
      </c>
      <c r="E1518" s="399" t="s">
        <v>96</v>
      </c>
      <c r="F1518" s="400" t="s">
        <v>1787</v>
      </c>
      <c r="G1518" s="400"/>
      <c r="H1518" s="400"/>
      <c r="I1518" s="400"/>
      <c r="J1518" s="400"/>
      <c r="K1518" s="400">
        <v>1</v>
      </c>
      <c r="L1518" s="400" t="s">
        <v>3333</v>
      </c>
      <c r="M1518" s="402" t="s">
        <v>3476</v>
      </c>
      <c r="N1518" s="400"/>
      <c r="O1518" s="428" t="s">
        <v>4417</v>
      </c>
      <c r="P1518" s="581"/>
      <c r="Q1518" s="399" t="s">
        <v>4967</v>
      </c>
      <c r="R1518" s="428" t="s">
        <v>4966</v>
      </c>
      <c r="S1518" s="428"/>
      <c r="T1518" s="428"/>
      <c r="U1518" s="399" t="s">
        <v>3169</v>
      </c>
      <c r="V1518" s="399"/>
      <c r="W1518" s="399" t="s">
        <v>3170</v>
      </c>
      <c r="X1518" s="400"/>
      <c r="Y1518" s="399" t="s">
        <v>208</v>
      </c>
      <c r="Z1518" s="428"/>
      <c r="AA1518" s="399" t="s">
        <v>113</v>
      </c>
      <c r="AB1518" s="399" t="s">
        <v>3178</v>
      </c>
      <c r="AC1518" s="617" t="s">
        <v>5851</v>
      </c>
      <c r="AD1518" s="574"/>
      <c r="AE1518" s="428"/>
      <c r="AF1518" s="428"/>
      <c r="AG1518" s="581"/>
      <c r="AH1518" s="615"/>
      <c r="AI1518" s="428"/>
      <c r="AJ1518" s="574"/>
      <c r="AK1518" s="399"/>
      <c r="AL1518" s="41" t="s">
        <v>5218</v>
      </c>
      <c r="AM1518" s="41" t="s">
        <v>5852</v>
      </c>
      <c r="AN1518" s="428"/>
      <c r="AO1518" s="41" t="s">
        <v>3100</v>
      </c>
      <c r="AP1518" s="41" t="s">
        <v>3101</v>
      </c>
      <c r="AQ1518" s="428"/>
      <c r="AR1518" s="428"/>
      <c r="AS1518" s="428"/>
      <c r="AT1518" s="428"/>
      <c r="AU1518" s="428"/>
      <c r="AV1518" s="428"/>
      <c r="AW1518" s="541"/>
      <c r="AX1518" s="541"/>
      <c r="AY1518" s="541"/>
      <c r="AZ1518" s="541"/>
      <c r="BA1518" s="550"/>
      <c r="BB1518" s="428"/>
      <c r="BC1518" s="399" t="str">
        <f t="shared" si="2"/>
        <v/>
      </c>
      <c r="BD1518" s="428"/>
      <c r="BE1518" s="428"/>
      <c r="BF1518" s="428"/>
      <c r="BG1518" s="616"/>
      <c r="BH1518" s="407"/>
      <c r="BI1518" s="407"/>
      <c r="BJ1518" s="543"/>
      <c r="BK1518" s="46">
        <f t="shared" si="1"/>
        <v>1</v>
      </c>
      <c r="BL1518" s="46">
        <f t="shared" si="3"/>
        <v>1</v>
      </c>
      <c r="BM1518" s="46">
        <f t="shared" si="4"/>
        <v>0</v>
      </c>
      <c r="BN1518" s="46">
        <f t="shared" si="5"/>
        <v>0</v>
      </c>
    </row>
    <row r="1519" spans="1:66" ht="12.75" customHeight="1">
      <c r="A1519" s="399">
        <v>1529</v>
      </c>
      <c r="B1519" s="399" t="s">
        <v>4976</v>
      </c>
      <c r="C1519" s="399" t="str">
        <f t="shared" si="0"/>
        <v>Gynaecologic problem identified</v>
      </c>
      <c r="D1519" s="400" t="s">
        <v>4976</v>
      </c>
      <c r="E1519" s="399" t="s">
        <v>96</v>
      </c>
      <c r="F1519" s="400" t="s">
        <v>1787</v>
      </c>
      <c r="G1519" s="400"/>
      <c r="H1519" s="400"/>
      <c r="I1519" s="400"/>
      <c r="J1519" s="400"/>
      <c r="K1519" s="400">
        <v>1</v>
      </c>
      <c r="L1519" s="400" t="s">
        <v>3333</v>
      </c>
      <c r="M1519" s="402" t="s">
        <v>3476</v>
      </c>
      <c r="N1519" s="400"/>
      <c r="O1519" s="428" t="s">
        <v>4417</v>
      </c>
      <c r="P1519" s="581"/>
      <c r="Q1519" s="399" t="s">
        <v>4977</v>
      </c>
      <c r="R1519" s="574" t="s">
        <v>4976</v>
      </c>
      <c r="S1519" s="399"/>
      <c r="T1519" s="399" t="s">
        <v>4978</v>
      </c>
      <c r="U1519" s="399" t="s">
        <v>3169</v>
      </c>
      <c r="V1519" s="399"/>
      <c r="W1519" s="399" t="s">
        <v>3170</v>
      </c>
      <c r="X1519" s="400"/>
      <c r="Y1519" s="399" t="s">
        <v>208</v>
      </c>
      <c r="Z1519" s="428"/>
      <c r="AA1519" s="399" t="s">
        <v>113</v>
      </c>
      <c r="AB1519" s="399" t="s">
        <v>3178</v>
      </c>
      <c r="AC1519" s="566" t="s">
        <v>5851</v>
      </c>
      <c r="AD1519" s="574"/>
      <c r="AE1519" s="428"/>
      <c r="AF1519" s="428"/>
      <c r="AG1519" s="581"/>
      <c r="AH1519" s="590" t="s">
        <v>4979</v>
      </c>
      <c r="AI1519" s="428"/>
      <c r="AJ1519" s="574"/>
      <c r="AK1519" s="399"/>
      <c r="AL1519" s="41" t="s">
        <v>5218</v>
      </c>
      <c r="AM1519" s="41" t="s">
        <v>5852</v>
      </c>
      <c r="AN1519" s="41"/>
      <c r="AO1519" s="41" t="s">
        <v>3100</v>
      </c>
      <c r="AP1519" s="441" t="s">
        <v>3101</v>
      </c>
      <c r="AQ1519" s="428"/>
      <c r="AR1519" s="428"/>
      <c r="AS1519" s="428"/>
      <c r="AT1519" s="428"/>
      <c r="AU1519" s="428"/>
      <c r="AV1519" s="428"/>
      <c r="AW1519" s="541"/>
      <c r="AX1519" s="541"/>
      <c r="AY1519" s="541"/>
      <c r="AZ1519" s="541"/>
      <c r="BA1519" s="550"/>
      <c r="BB1519" s="428"/>
      <c r="BC1519" s="399" t="str">
        <f t="shared" si="2"/>
        <v/>
      </c>
      <c r="BD1519" s="428"/>
      <c r="BE1519" s="428"/>
      <c r="BF1519" s="428"/>
      <c r="BG1519" s="616"/>
      <c r="BH1519" s="407"/>
      <c r="BI1519" s="407"/>
      <c r="BJ1519" s="543"/>
      <c r="BK1519" s="46">
        <f t="shared" si="1"/>
        <v>1</v>
      </c>
      <c r="BL1519" s="46">
        <f t="shared" si="3"/>
        <v>1</v>
      </c>
      <c r="BM1519" s="46">
        <f t="shared" si="4"/>
        <v>0</v>
      </c>
      <c r="BN1519" s="46">
        <f t="shared" si="5"/>
        <v>0</v>
      </c>
    </row>
    <row r="1520" spans="1:66" ht="12.75" customHeight="1">
      <c r="A1520" s="399">
        <v>1530</v>
      </c>
      <c r="B1520" s="399" t="s">
        <v>4988</v>
      </c>
      <c r="C1520" s="399" t="str">
        <f t="shared" si="0"/>
        <v>Bleeding or blood clots after the procedure</v>
      </c>
      <c r="D1520" s="400" t="s">
        <v>4988</v>
      </c>
      <c r="E1520" s="399" t="s">
        <v>96</v>
      </c>
      <c r="F1520" s="400" t="s">
        <v>1787</v>
      </c>
      <c r="G1520" s="400"/>
      <c r="H1520" s="400"/>
      <c r="I1520" s="400"/>
      <c r="J1520" s="400"/>
      <c r="K1520" s="400">
        <v>1</v>
      </c>
      <c r="L1520" s="400" t="s">
        <v>3333</v>
      </c>
      <c r="M1520" s="402" t="s">
        <v>3476</v>
      </c>
      <c r="N1520" s="400"/>
      <c r="O1520" s="428" t="s">
        <v>4417</v>
      </c>
      <c r="P1520" s="581"/>
      <c r="Q1520" s="399" t="s">
        <v>4991</v>
      </c>
      <c r="R1520" s="428"/>
      <c r="S1520" s="399"/>
      <c r="T1520" s="399"/>
      <c r="U1520" s="399"/>
      <c r="V1520" s="399"/>
      <c r="W1520" s="399" t="s">
        <v>4988</v>
      </c>
      <c r="X1520" s="399"/>
      <c r="Y1520" s="399" t="s">
        <v>208</v>
      </c>
      <c r="Z1520" s="399"/>
      <c r="AA1520" s="399" t="s">
        <v>113</v>
      </c>
      <c r="AB1520" s="399" t="s">
        <v>3178</v>
      </c>
      <c r="AC1520" s="566" t="s">
        <v>5851</v>
      </c>
      <c r="AD1520" s="400"/>
      <c r="AE1520" s="399"/>
      <c r="AF1520" s="399"/>
      <c r="AG1520" s="531"/>
      <c r="AH1520" s="590"/>
      <c r="AI1520" s="399"/>
      <c r="AJ1520" s="400"/>
      <c r="AK1520" s="399"/>
      <c r="AL1520" s="409" t="s">
        <v>5859</v>
      </c>
      <c r="AM1520" s="409" t="s">
        <v>5860</v>
      </c>
      <c r="AN1520" s="399"/>
      <c r="AO1520" s="409" t="s">
        <v>3100</v>
      </c>
      <c r="AP1520" s="409" t="s">
        <v>3101</v>
      </c>
      <c r="AQ1520" s="399"/>
      <c r="AR1520" s="399"/>
      <c r="AS1520" s="399"/>
      <c r="AT1520" s="399"/>
      <c r="AU1520" s="399"/>
      <c r="AV1520" s="399"/>
      <c r="AW1520" s="541"/>
      <c r="AX1520" s="541"/>
      <c r="AY1520" s="541"/>
      <c r="AZ1520" s="541"/>
      <c r="BA1520" s="550"/>
      <c r="BB1520" s="399"/>
      <c r="BC1520" s="399" t="str">
        <f t="shared" si="2"/>
        <v/>
      </c>
      <c r="BD1520" s="399"/>
      <c r="BE1520" s="399"/>
      <c r="BF1520" s="399"/>
      <c r="BG1520" s="540"/>
      <c r="BH1520" s="407"/>
      <c r="BI1520" s="407"/>
      <c r="BJ1520" s="543"/>
      <c r="BK1520" s="46">
        <f t="shared" si="1"/>
        <v>1</v>
      </c>
      <c r="BL1520" s="46">
        <f t="shared" si="3"/>
        <v>1</v>
      </c>
      <c r="BM1520" s="46">
        <f t="shared" si="4"/>
        <v>0</v>
      </c>
      <c r="BN1520" s="46">
        <f t="shared" si="5"/>
        <v>0</v>
      </c>
    </row>
    <row r="1521" spans="1:66" ht="12.75" customHeight="1">
      <c r="A1521" s="399">
        <v>1531</v>
      </c>
      <c r="B1521" s="399" t="s">
        <v>5000</v>
      </c>
      <c r="C1521" s="399" t="str">
        <f t="shared" si="0"/>
        <v xml:space="preserve">Vaginal bleeding patterns </v>
      </c>
      <c r="D1521" s="400" t="s">
        <v>5000</v>
      </c>
      <c r="E1521" s="399" t="s">
        <v>96</v>
      </c>
      <c r="F1521" s="400" t="s">
        <v>1787</v>
      </c>
      <c r="G1521" s="400"/>
      <c r="H1521" s="400"/>
      <c r="I1521" s="400"/>
      <c r="J1521" s="400"/>
      <c r="K1521" s="400">
        <v>1</v>
      </c>
      <c r="L1521" s="400" t="s">
        <v>3333</v>
      </c>
      <c r="M1521" s="402" t="s">
        <v>3476</v>
      </c>
      <c r="N1521" s="400"/>
      <c r="O1521" s="428" t="s">
        <v>4417</v>
      </c>
      <c r="P1521" s="581"/>
      <c r="Q1521" s="399" t="s">
        <v>5001</v>
      </c>
      <c r="R1521" s="428" t="s">
        <v>5000</v>
      </c>
      <c r="S1521" s="399"/>
      <c r="T1521" s="399"/>
      <c r="U1521" s="399" t="s">
        <v>5076</v>
      </c>
      <c r="V1521" s="399"/>
      <c r="W1521" s="399"/>
      <c r="X1521" s="399"/>
      <c r="Y1521" s="399" t="s">
        <v>208</v>
      </c>
      <c r="Z1521" s="399"/>
      <c r="AA1521" s="399" t="s">
        <v>113</v>
      </c>
      <c r="AB1521" s="399" t="s">
        <v>3178</v>
      </c>
      <c r="AC1521" s="566" t="s">
        <v>5851</v>
      </c>
      <c r="AD1521" s="400"/>
      <c r="AE1521" s="399"/>
      <c r="AF1521" s="399"/>
      <c r="AG1521" s="531"/>
      <c r="AH1521" s="590"/>
      <c r="AI1521" s="399"/>
      <c r="AJ1521" s="400"/>
      <c r="AK1521" s="399"/>
      <c r="AL1521" s="409" t="s">
        <v>5859</v>
      </c>
      <c r="AM1521" s="409" t="s">
        <v>5860</v>
      </c>
      <c r="AN1521" s="399"/>
      <c r="AO1521" s="409" t="s">
        <v>3100</v>
      </c>
      <c r="AP1521" s="409" t="s">
        <v>3101</v>
      </c>
      <c r="AQ1521" s="399"/>
      <c r="AR1521" s="399"/>
      <c r="AS1521" s="399"/>
      <c r="AT1521" s="399"/>
      <c r="AU1521" s="399"/>
      <c r="AV1521" s="399"/>
      <c r="AW1521" s="541"/>
      <c r="AX1521" s="541"/>
      <c r="AY1521" s="541"/>
      <c r="AZ1521" s="541"/>
      <c r="BA1521" s="541"/>
      <c r="BB1521" s="399"/>
      <c r="BC1521" s="399" t="str">
        <f t="shared" si="2"/>
        <v/>
      </c>
      <c r="BD1521" s="399"/>
      <c r="BE1521" s="399"/>
      <c r="BF1521" s="399"/>
      <c r="BG1521" s="540"/>
      <c r="BH1521" s="407"/>
      <c r="BI1521" s="407"/>
      <c r="BJ1521" s="543"/>
      <c r="BK1521" s="46">
        <f t="shared" si="1"/>
        <v>1</v>
      </c>
      <c r="BL1521" s="46">
        <f t="shared" si="3"/>
        <v>1</v>
      </c>
      <c r="BM1521" s="46">
        <f t="shared" si="4"/>
        <v>0</v>
      </c>
      <c r="BN1521" s="46">
        <f t="shared" si="5"/>
        <v>0</v>
      </c>
    </row>
    <row r="1522" spans="1:66" ht="12.75" customHeight="1">
      <c r="A1522" s="399">
        <v>1532</v>
      </c>
      <c r="B1522" s="399" t="s">
        <v>5005</v>
      </c>
      <c r="C1522" s="399" t="e">
        <f t="shared" ca="1" si="0"/>
        <v>#NAME?</v>
      </c>
      <c r="D1522" s="400" t="s">
        <v>5004</v>
      </c>
      <c r="E1522" s="399" t="s">
        <v>180</v>
      </c>
      <c r="F1522" s="400" t="s">
        <v>5000</v>
      </c>
      <c r="G1522" s="400"/>
      <c r="H1522" s="400"/>
      <c r="I1522" s="400"/>
      <c r="J1522" s="400"/>
      <c r="K1522" s="400">
        <v>1</v>
      </c>
      <c r="L1522" s="400" t="s">
        <v>3333</v>
      </c>
      <c r="M1522" s="402" t="s">
        <v>3476</v>
      </c>
      <c r="N1522" s="400"/>
      <c r="O1522" s="428" t="s">
        <v>4417</v>
      </c>
      <c r="P1522" s="581"/>
      <c r="Q1522" s="399" t="s">
        <v>4159</v>
      </c>
      <c r="R1522" s="428"/>
      <c r="S1522" s="399"/>
      <c r="T1522" s="399"/>
      <c r="U1522" s="399"/>
      <c r="V1522" s="399"/>
      <c r="W1522" s="399" t="s">
        <v>5004</v>
      </c>
      <c r="X1522" s="400"/>
      <c r="Y1522" s="399" t="s">
        <v>208</v>
      </c>
      <c r="Z1522" s="399"/>
      <c r="AA1522" s="399" t="s">
        <v>113</v>
      </c>
      <c r="AB1522" s="399" t="s">
        <v>3178</v>
      </c>
      <c r="AC1522" s="566" t="s">
        <v>5851</v>
      </c>
      <c r="AD1522" s="400"/>
      <c r="AE1522" s="399"/>
      <c r="AF1522" s="399"/>
      <c r="AG1522" s="531"/>
      <c r="AH1522" s="590"/>
      <c r="AI1522" s="399"/>
      <c r="AJ1522" s="400"/>
      <c r="AK1522" s="399"/>
      <c r="AL1522" s="399"/>
      <c r="AM1522" s="399"/>
      <c r="AN1522" s="399"/>
      <c r="AO1522" s="399"/>
      <c r="AP1522" s="399"/>
      <c r="AQ1522" s="399"/>
      <c r="AR1522" s="399"/>
      <c r="AS1522" s="399"/>
      <c r="AT1522" s="399"/>
      <c r="AU1522" s="399"/>
      <c r="AV1522" s="399"/>
      <c r="AW1522" s="541"/>
      <c r="AX1522" s="541"/>
      <c r="AY1522" s="541"/>
      <c r="AZ1522" s="541"/>
      <c r="BA1522" s="541"/>
      <c r="BB1522" s="399"/>
      <c r="BC1522" s="399" t="e">
        <f t="shared" ca="1" si="2"/>
        <v>#NAME?</v>
      </c>
      <c r="BD1522" s="399"/>
      <c r="BE1522" s="399"/>
      <c r="BF1522" s="399"/>
      <c r="BG1522" s="540"/>
      <c r="BH1522" s="407"/>
      <c r="BI1522" s="407"/>
      <c r="BJ1522" s="543"/>
      <c r="BK1522" s="46">
        <f t="shared" si="1"/>
        <v>1</v>
      </c>
      <c r="BL1522" s="46">
        <f t="shared" si="3"/>
        <v>0</v>
      </c>
      <c r="BM1522" s="46">
        <f t="shared" si="4"/>
        <v>1</v>
      </c>
      <c r="BN1522" s="46">
        <f t="shared" si="5"/>
        <v>0</v>
      </c>
    </row>
    <row r="1523" spans="1:66" ht="12.75" customHeight="1">
      <c r="A1523" s="399">
        <v>1533</v>
      </c>
      <c r="B1523" s="399" t="s">
        <v>5012</v>
      </c>
      <c r="C1523" s="399" t="e">
        <f t="shared" ca="1" si="0"/>
        <v>#NAME?</v>
      </c>
      <c r="D1523" s="400" t="s">
        <v>5010</v>
      </c>
      <c r="E1523" s="399" t="s">
        <v>180</v>
      </c>
      <c r="F1523" s="400" t="s">
        <v>5000</v>
      </c>
      <c r="G1523" s="400"/>
      <c r="H1523" s="400"/>
      <c r="I1523" s="400"/>
      <c r="J1523" s="400"/>
      <c r="K1523" s="400">
        <v>1</v>
      </c>
      <c r="L1523" s="400" t="s">
        <v>3333</v>
      </c>
      <c r="M1523" s="402" t="s">
        <v>3476</v>
      </c>
      <c r="N1523" s="400"/>
      <c r="O1523" s="428" t="s">
        <v>4417</v>
      </c>
      <c r="P1523" s="581"/>
      <c r="Q1523" s="399" t="s">
        <v>4191</v>
      </c>
      <c r="R1523" s="428"/>
      <c r="S1523" s="399"/>
      <c r="T1523" s="399"/>
      <c r="U1523" s="531"/>
      <c r="V1523" s="399"/>
      <c r="W1523" s="399" t="s">
        <v>5010</v>
      </c>
      <c r="X1523" s="400"/>
      <c r="Y1523" s="399" t="s">
        <v>208</v>
      </c>
      <c r="Z1523" s="399"/>
      <c r="AA1523" s="399" t="s">
        <v>113</v>
      </c>
      <c r="AB1523" s="399" t="s">
        <v>3178</v>
      </c>
      <c r="AC1523" s="566" t="s">
        <v>5851</v>
      </c>
      <c r="AD1523" s="594"/>
      <c r="AE1523" s="531"/>
      <c r="AF1523" s="531"/>
      <c r="AG1523" s="531"/>
      <c r="AH1523" s="590"/>
      <c r="AI1523" s="531"/>
      <c r="AJ1523" s="594"/>
      <c r="AK1523" s="399"/>
      <c r="AL1523" s="531"/>
      <c r="AM1523" s="531"/>
      <c r="AN1523" s="531"/>
      <c r="AO1523" s="531"/>
      <c r="AP1523" s="531"/>
      <c r="AQ1523" s="531"/>
      <c r="AR1523" s="531"/>
      <c r="AS1523" s="531"/>
      <c r="AT1523" s="399"/>
      <c r="AU1523" s="399"/>
      <c r="AV1523" s="399"/>
      <c r="AW1523" s="541"/>
      <c r="AX1523" s="541"/>
      <c r="AY1523" s="541"/>
      <c r="AZ1523" s="541"/>
      <c r="BA1523" s="541"/>
      <c r="BB1523" s="399"/>
      <c r="BC1523" s="399" t="e">
        <f t="shared" ca="1" si="2"/>
        <v>#NAME?</v>
      </c>
      <c r="BD1523" s="399"/>
      <c r="BE1523" s="399"/>
      <c r="BF1523" s="399"/>
      <c r="BG1523" s="540"/>
      <c r="BH1523" s="407"/>
      <c r="BI1523" s="407"/>
      <c r="BJ1523" s="543"/>
      <c r="BK1523" s="46">
        <f t="shared" si="1"/>
        <v>1</v>
      </c>
      <c r="BL1523" s="46">
        <f t="shared" si="3"/>
        <v>0</v>
      </c>
      <c r="BM1523" s="46">
        <f t="shared" si="4"/>
        <v>1</v>
      </c>
      <c r="BN1523" s="46">
        <f t="shared" si="5"/>
        <v>0</v>
      </c>
    </row>
    <row r="1524" spans="1:66" ht="12.75" customHeight="1">
      <c r="A1524" s="399">
        <v>1534</v>
      </c>
      <c r="B1524" s="399" t="s">
        <v>5015</v>
      </c>
      <c r="C1524" s="399" t="str">
        <f t="shared" si="0"/>
        <v>Endometriosis</v>
      </c>
      <c r="D1524" s="400" t="s">
        <v>5015</v>
      </c>
      <c r="E1524" s="399" t="s">
        <v>96</v>
      </c>
      <c r="F1524" s="400" t="s">
        <v>1787</v>
      </c>
      <c r="G1524" s="400"/>
      <c r="H1524" s="400"/>
      <c r="I1524" s="400"/>
      <c r="J1524" s="400"/>
      <c r="K1524" s="400">
        <v>1</v>
      </c>
      <c r="L1524" s="400" t="s">
        <v>3333</v>
      </c>
      <c r="M1524" s="402" t="s">
        <v>3476</v>
      </c>
      <c r="N1524" s="400"/>
      <c r="O1524" s="428" t="s">
        <v>4417</v>
      </c>
      <c r="P1524" s="581"/>
      <c r="Q1524" s="399" t="s">
        <v>5016</v>
      </c>
      <c r="R1524" s="428" t="s">
        <v>5015</v>
      </c>
      <c r="S1524" s="399"/>
      <c r="T1524" s="399"/>
      <c r="U1524" s="399" t="s">
        <v>3169</v>
      </c>
      <c r="V1524" s="399"/>
      <c r="W1524" s="399" t="s">
        <v>3170</v>
      </c>
      <c r="X1524" s="399"/>
      <c r="Y1524" s="399" t="s">
        <v>208</v>
      </c>
      <c r="Z1524" s="399"/>
      <c r="AA1524" s="399" t="s">
        <v>113</v>
      </c>
      <c r="AB1524" s="399" t="s">
        <v>3178</v>
      </c>
      <c r="AC1524" s="566" t="s">
        <v>5871</v>
      </c>
      <c r="AD1524" s="594"/>
      <c r="AE1524" s="531"/>
      <c r="AF1524" s="531"/>
      <c r="AG1524" s="531"/>
      <c r="AH1524" s="590"/>
      <c r="AI1524" s="531"/>
      <c r="AJ1524" s="594"/>
      <c r="AK1524" s="399"/>
      <c r="AL1524" s="41" t="s">
        <v>5218</v>
      </c>
      <c r="AM1524" s="41" t="s">
        <v>5852</v>
      </c>
      <c r="AN1524" s="531"/>
      <c r="AO1524" s="41" t="s">
        <v>3100</v>
      </c>
      <c r="AP1524" s="441" t="s">
        <v>3101</v>
      </c>
      <c r="AQ1524" s="531"/>
      <c r="AR1524" s="531"/>
      <c r="AS1524" s="531"/>
      <c r="AT1524" s="400" t="s">
        <v>5873</v>
      </c>
      <c r="AU1524" s="400" t="s">
        <v>5020</v>
      </c>
      <c r="AV1524" s="400">
        <v>129103003</v>
      </c>
      <c r="AW1524" s="541"/>
      <c r="AX1524" s="541"/>
      <c r="AY1524" s="541"/>
      <c r="AZ1524" s="541"/>
      <c r="BA1524" s="541"/>
      <c r="BB1524" s="400"/>
      <c r="BC1524" s="399" t="str">
        <f t="shared" si="2"/>
        <v/>
      </c>
      <c r="BD1524" s="400">
        <v>118631</v>
      </c>
      <c r="BE1524" s="399"/>
      <c r="BF1524" s="399"/>
      <c r="BG1524" s="540"/>
      <c r="BH1524" s="407" t="s">
        <v>5873</v>
      </c>
      <c r="BI1524" s="407">
        <v>129103003</v>
      </c>
      <c r="BJ1524" s="543"/>
      <c r="BK1524" s="46">
        <f t="shared" si="1"/>
        <v>1</v>
      </c>
      <c r="BL1524" s="46">
        <f t="shared" si="3"/>
        <v>1</v>
      </c>
      <c r="BM1524" s="46">
        <f t="shared" si="4"/>
        <v>0</v>
      </c>
      <c r="BN1524" s="46">
        <f t="shared" si="5"/>
        <v>0</v>
      </c>
    </row>
    <row r="1525" spans="1:66" ht="12.75" customHeight="1">
      <c r="A1525" s="399">
        <v>1535</v>
      </c>
      <c r="B1525" s="399" t="s">
        <v>5023</v>
      </c>
      <c r="C1525" s="399" t="str">
        <f t="shared" si="0"/>
        <v>Benign ovarian tumors (including cysts)</v>
      </c>
      <c r="D1525" s="400" t="s">
        <v>5023</v>
      </c>
      <c r="E1525" s="399" t="s">
        <v>96</v>
      </c>
      <c r="F1525" s="400" t="s">
        <v>1787</v>
      </c>
      <c r="G1525" s="400"/>
      <c r="H1525" s="400"/>
      <c r="I1525" s="400"/>
      <c r="J1525" s="400"/>
      <c r="K1525" s="400">
        <v>1</v>
      </c>
      <c r="L1525" s="400" t="s">
        <v>3333</v>
      </c>
      <c r="M1525" s="402" t="s">
        <v>3476</v>
      </c>
      <c r="N1525" s="400"/>
      <c r="O1525" s="428" t="s">
        <v>4417</v>
      </c>
      <c r="P1525" s="581"/>
      <c r="Q1525" s="399" t="s">
        <v>5024</v>
      </c>
      <c r="R1525" s="428" t="s">
        <v>5023</v>
      </c>
      <c r="S1525" s="399"/>
      <c r="T1525" s="399"/>
      <c r="U1525" s="399" t="s">
        <v>3169</v>
      </c>
      <c r="V1525" s="399"/>
      <c r="W1525" s="399" t="s">
        <v>3170</v>
      </c>
      <c r="X1525" s="399"/>
      <c r="Y1525" s="399" t="s">
        <v>208</v>
      </c>
      <c r="Z1525" s="399"/>
      <c r="AA1525" s="399" t="s">
        <v>113</v>
      </c>
      <c r="AB1525" s="399" t="s">
        <v>3178</v>
      </c>
      <c r="AC1525" s="617" t="s">
        <v>5877</v>
      </c>
      <c r="AD1525" s="594"/>
      <c r="AE1525" s="531"/>
      <c r="AF1525" s="531"/>
      <c r="AG1525" s="531"/>
      <c r="AH1525" s="590"/>
      <c r="AI1525" s="531"/>
      <c r="AJ1525" s="594"/>
      <c r="AK1525" s="399"/>
      <c r="AL1525" s="41" t="s">
        <v>5218</v>
      </c>
      <c r="AM1525" s="41" t="s">
        <v>5852</v>
      </c>
      <c r="AN1525" s="531"/>
      <c r="AO1525" s="41" t="s">
        <v>3100</v>
      </c>
      <c r="AP1525" s="441" t="s">
        <v>3101</v>
      </c>
      <c r="AQ1525" s="531"/>
      <c r="AR1525" s="531"/>
      <c r="AS1525" s="531"/>
      <c r="AT1525" s="399"/>
      <c r="AU1525" s="399"/>
      <c r="AV1525" s="399"/>
      <c r="AW1525" s="541"/>
      <c r="AX1525" s="541"/>
      <c r="AY1525" s="541"/>
      <c r="AZ1525" s="541"/>
      <c r="BA1525" s="541"/>
      <c r="BB1525" s="399"/>
      <c r="BC1525" s="399" t="str">
        <f t="shared" si="2"/>
        <v/>
      </c>
      <c r="BD1525" s="399"/>
      <c r="BE1525" s="399"/>
      <c r="BF1525" s="399"/>
      <c r="BG1525" s="540"/>
      <c r="BH1525" s="407"/>
      <c r="BI1525" s="407"/>
      <c r="BJ1525" s="543"/>
      <c r="BK1525" s="46">
        <f t="shared" si="1"/>
        <v>1</v>
      </c>
      <c r="BL1525" s="46">
        <f t="shared" si="3"/>
        <v>1</v>
      </c>
      <c r="BM1525" s="46">
        <f t="shared" si="4"/>
        <v>0</v>
      </c>
      <c r="BN1525" s="46">
        <f t="shared" si="5"/>
        <v>0</v>
      </c>
    </row>
    <row r="1526" spans="1:66" ht="12.75" customHeight="1">
      <c r="A1526" s="399">
        <v>1536</v>
      </c>
      <c r="B1526" s="399" t="s">
        <v>5028</v>
      </c>
      <c r="C1526" s="399" t="str">
        <f t="shared" si="0"/>
        <v>Severe dysmenorrhea</v>
      </c>
      <c r="D1526" s="400" t="s">
        <v>5028</v>
      </c>
      <c r="E1526" s="399" t="s">
        <v>96</v>
      </c>
      <c r="F1526" s="400" t="s">
        <v>1787</v>
      </c>
      <c r="G1526" s="400"/>
      <c r="H1526" s="400"/>
      <c r="I1526" s="400"/>
      <c r="J1526" s="400"/>
      <c r="K1526" s="400">
        <v>1</v>
      </c>
      <c r="L1526" s="400" t="s">
        <v>3333</v>
      </c>
      <c r="M1526" s="402" t="s">
        <v>3476</v>
      </c>
      <c r="N1526" s="400"/>
      <c r="O1526" s="428" t="s">
        <v>4417</v>
      </c>
      <c r="P1526" s="581"/>
      <c r="Q1526" s="399" t="s">
        <v>5030</v>
      </c>
      <c r="R1526" s="428" t="s">
        <v>5028</v>
      </c>
      <c r="S1526" s="399"/>
      <c r="T1526" s="399"/>
      <c r="U1526" s="399" t="s">
        <v>3169</v>
      </c>
      <c r="V1526" s="399"/>
      <c r="W1526" s="399" t="s">
        <v>3170</v>
      </c>
      <c r="X1526" s="399"/>
      <c r="Y1526" s="399" t="s">
        <v>208</v>
      </c>
      <c r="Z1526" s="399"/>
      <c r="AA1526" s="399" t="s">
        <v>113</v>
      </c>
      <c r="AB1526" s="399" t="s">
        <v>3178</v>
      </c>
      <c r="AC1526" s="617" t="s">
        <v>5877</v>
      </c>
      <c r="AD1526" s="594"/>
      <c r="AE1526" s="531"/>
      <c r="AF1526" s="531"/>
      <c r="AG1526" s="531"/>
      <c r="AH1526" s="590"/>
      <c r="AI1526" s="531"/>
      <c r="AJ1526" s="594"/>
      <c r="AK1526" s="399"/>
      <c r="AL1526" s="41" t="s">
        <v>5218</v>
      </c>
      <c r="AM1526" s="41" t="s">
        <v>5852</v>
      </c>
      <c r="AN1526" s="531"/>
      <c r="AO1526" s="41" t="s">
        <v>3100</v>
      </c>
      <c r="AP1526" s="441" t="s">
        <v>3101</v>
      </c>
      <c r="AQ1526" s="531"/>
      <c r="AR1526" s="531"/>
      <c r="AS1526" s="531"/>
      <c r="AT1526" s="400" t="s">
        <v>5032</v>
      </c>
      <c r="AU1526" s="400" t="s">
        <v>5033</v>
      </c>
      <c r="AV1526" s="400">
        <v>266599000</v>
      </c>
      <c r="AW1526" s="541"/>
      <c r="AX1526" s="541"/>
      <c r="AY1526" s="541"/>
      <c r="AZ1526" s="541"/>
      <c r="BA1526" s="541"/>
      <c r="BB1526" s="400"/>
      <c r="BC1526" s="399" t="str">
        <f t="shared" si="2"/>
        <v/>
      </c>
      <c r="BD1526" s="400">
        <v>118794</v>
      </c>
      <c r="BE1526" s="399"/>
      <c r="BF1526" s="399"/>
      <c r="BG1526" s="540"/>
      <c r="BH1526" s="407" t="s">
        <v>5032</v>
      </c>
      <c r="BI1526" s="407">
        <v>266599000</v>
      </c>
      <c r="BJ1526" s="543"/>
      <c r="BK1526" s="46">
        <f t="shared" si="1"/>
        <v>1</v>
      </c>
      <c r="BL1526" s="46">
        <f t="shared" si="3"/>
        <v>1</v>
      </c>
      <c r="BM1526" s="46">
        <f t="shared" si="4"/>
        <v>0</v>
      </c>
      <c r="BN1526" s="46">
        <f t="shared" si="5"/>
        <v>0</v>
      </c>
    </row>
    <row r="1527" spans="1:66" ht="12.75" customHeight="1">
      <c r="A1527" s="399">
        <v>1537</v>
      </c>
      <c r="B1527" s="399" t="s">
        <v>5036</v>
      </c>
      <c r="C1527" s="399" t="str">
        <f t="shared" si="0"/>
        <v>Gestational trophoblastic disease</v>
      </c>
      <c r="D1527" s="400" t="s">
        <v>5036</v>
      </c>
      <c r="E1527" s="399" t="s">
        <v>96</v>
      </c>
      <c r="F1527" s="400" t="s">
        <v>1787</v>
      </c>
      <c r="G1527" s="400"/>
      <c r="H1527" s="400"/>
      <c r="I1527" s="400"/>
      <c r="J1527" s="400"/>
      <c r="K1527" s="400">
        <v>1</v>
      </c>
      <c r="L1527" s="400" t="s">
        <v>3333</v>
      </c>
      <c r="M1527" s="402" t="s">
        <v>3476</v>
      </c>
      <c r="N1527" s="400"/>
      <c r="O1527" s="428" t="s">
        <v>4417</v>
      </c>
      <c r="P1527" s="581"/>
      <c r="Q1527" s="399" t="s">
        <v>5037</v>
      </c>
      <c r="R1527" s="428" t="s">
        <v>5036</v>
      </c>
      <c r="S1527" s="399"/>
      <c r="T1527" s="399"/>
      <c r="U1527" s="399" t="s">
        <v>3169</v>
      </c>
      <c r="V1527" s="399"/>
      <c r="W1527" s="399" t="s">
        <v>3170</v>
      </c>
      <c r="X1527" s="399"/>
      <c r="Y1527" s="399" t="s">
        <v>208</v>
      </c>
      <c r="Z1527" s="399"/>
      <c r="AA1527" s="399" t="s">
        <v>113</v>
      </c>
      <c r="AB1527" s="399" t="s">
        <v>3178</v>
      </c>
      <c r="AC1527" s="617" t="s">
        <v>5878</v>
      </c>
      <c r="AD1527" s="594"/>
      <c r="AE1527" s="531"/>
      <c r="AF1527" s="531"/>
      <c r="AG1527" s="531"/>
      <c r="AH1527" s="590"/>
      <c r="AI1527" s="531"/>
      <c r="AJ1527" s="594"/>
      <c r="AK1527" s="399"/>
      <c r="AL1527" s="41" t="s">
        <v>5218</v>
      </c>
      <c r="AM1527" s="41" t="s">
        <v>5852</v>
      </c>
      <c r="AN1527" s="531"/>
      <c r="AO1527" s="41" t="s">
        <v>3100</v>
      </c>
      <c r="AP1527" s="441" t="s">
        <v>3101</v>
      </c>
      <c r="AQ1527" s="531"/>
      <c r="AR1527" s="531"/>
      <c r="AS1527" s="531"/>
      <c r="AT1527" s="400" t="s">
        <v>5039</v>
      </c>
      <c r="AU1527" s="400" t="s">
        <v>5040</v>
      </c>
      <c r="AV1527" s="400">
        <v>416402001</v>
      </c>
      <c r="AW1527" s="541"/>
      <c r="AX1527" s="541"/>
      <c r="AY1527" s="541"/>
      <c r="AZ1527" s="541"/>
      <c r="BA1527" s="541"/>
      <c r="BB1527" s="400"/>
      <c r="BC1527" s="399" t="str">
        <f t="shared" si="2"/>
        <v/>
      </c>
      <c r="BD1527" s="400">
        <v>139478</v>
      </c>
      <c r="BE1527" s="399"/>
      <c r="BF1527" s="399"/>
      <c r="BG1527" s="540"/>
      <c r="BH1527" s="407" t="s">
        <v>5039</v>
      </c>
      <c r="BI1527" s="407">
        <v>416402001</v>
      </c>
      <c r="BJ1527" s="543"/>
      <c r="BK1527" s="46">
        <f t="shared" si="1"/>
        <v>1</v>
      </c>
      <c r="BL1527" s="46">
        <f t="shared" si="3"/>
        <v>1</v>
      </c>
      <c r="BM1527" s="46">
        <f t="shared" si="4"/>
        <v>0</v>
      </c>
      <c r="BN1527" s="46">
        <f t="shared" si="5"/>
        <v>0</v>
      </c>
    </row>
    <row r="1528" spans="1:66" ht="12.75" customHeight="1">
      <c r="A1528" s="399">
        <v>1538</v>
      </c>
      <c r="B1528" s="399" t="s">
        <v>5042</v>
      </c>
      <c r="C1528" s="399" t="str">
        <f t="shared" si="0"/>
        <v>Gestational trophoblastic disease category</v>
      </c>
      <c r="D1528" s="400" t="s">
        <v>5042</v>
      </c>
      <c r="E1528" s="399" t="s">
        <v>96</v>
      </c>
      <c r="F1528" s="400" t="s">
        <v>1787</v>
      </c>
      <c r="G1528" s="400"/>
      <c r="H1528" s="400"/>
      <c r="I1528" s="400"/>
      <c r="J1528" s="400"/>
      <c r="K1528" s="400">
        <v>1</v>
      </c>
      <c r="L1528" s="400" t="s">
        <v>3333</v>
      </c>
      <c r="M1528" s="402" t="s">
        <v>3476</v>
      </c>
      <c r="N1528" s="400"/>
      <c r="O1528" s="428" t="s">
        <v>4417</v>
      </c>
      <c r="P1528" s="581"/>
      <c r="Q1528" s="399" t="s">
        <v>5043</v>
      </c>
      <c r="R1528" s="428" t="s">
        <v>5042</v>
      </c>
      <c r="S1528" s="399"/>
      <c r="T1528" s="399"/>
      <c r="U1528" s="399" t="s">
        <v>4694</v>
      </c>
      <c r="V1528" s="399"/>
      <c r="W1528" s="399"/>
      <c r="X1528" s="399"/>
      <c r="Y1528" s="399" t="s">
        <v>208</v>
      </c>
      <c r="Z1528" s="399"/>
      <c r="AA1528" s="399" t="s">
        <v>113</v>
      </c>
      <c r="AB1528" s="399" t="s">
        <v>3178</v>
      </c>
      <c r="AC1528" s="617" t="s">
        <v>5879</v>
      </c>
      <c r="AD1528" s="594"/>
      <c r="AE1528" s="531"/>
      <c r="AF1528" s="531"/>
      <c r="AG1528" s="531"/>
      <c r="AH1528" s="590"/>
      <c r="AI1528" s="531"/>
      <c r="AJ1528" s="594"/>
      <c r="AK1528" s="399"/>
      <c r="AL1528" s="41" t="s">
        <v>5218</v>
      </c>
      <c r="AM1528" s="41" t="s">
        <v>5852</v>
      </c>
      <c r="AN1528" s="531"/>
      <c r="AO1528" s="41" t="s">
        <v>3100</v>
      </c>
      <c r="AP1528" s="441" t="s">
        <v>3101</v>
      </c>
      <c r="AQ1528" s="531"/>
      <c r="AR1528" s="531"/>
      <c r="AS1528" s="531"/>
      <c r="AT1528" s="400" t="s">
        <v>5039</v>
      </c>
      <c r="AU1528" s="400" t="s">
        <v>5040</v>
      </c>
      <c r="AV1528" s="400">
        <v>416402001</v>
      </c>
      <c r="AW1528" s="541"/>
      <c r="AX1528" s="541"/>
      <c r="AY1528" s="541"/>
      <c r="AZ1528" s="541"/>
      <c r="BA1528" s="541"/>
      <c r="BB1528" s="400"/>
      <c r="BC1528" s="399" t="str">
        <f t="shared" si="2"/>
        <v/>
      </c>
      <c r="BD1528" s="400">
        <v>139478</v>
      </c>
      <c r="BE1528" s="399"/>
      <c r="BF1528" s="399"/>
      <c r="BG1528" s="540"/>
      <c r="BH1528" s="407" t="s">
        <v>5039</v>
      </c>
      <c r="BI1528" s="407">
        <v>416402001</v>
      </c>
      <c r="BJ1528" s="543"/>
      <c r="BK1528" s="46">
        <f t="shared" si="1"/>
        <v>1</v>
      </c>
      <c r="BL1528" s="46">
        <f t="shared" si="3"/>
        <v>1</v>
      </c>
      <c r="BM1528" s="46">
        <f t="shared" si="4"/>
        <v>0</v>
      </c>
      <c r="BN1528" s="46">
        <f t="shared" si="5"/>
        <v>0</v>
      </c>
    </row>
    <row r="1529" spans="1:66" ht="12.75" customHeight="1">
      <c r="A1529" s="399">
        <v>1539</v>
      </c>
      <c r="B1529" s="399" t="s">
        <v>5050</v>
      </c>
      <c r="C1529" s="399" t="e">
        <f t="shared" ca="1" si="0"/>
        <v>#NAME?</v>
      </c>
      <c r="D1529" s="400" t="s">
        <v>5048</v>
      </c>
      <c r="E1529" s="399" t="s">
        <v>180</v>
      </c>
      <c r="F1529" s="400" t="s">
        <v>5042</v>
      </c>
      <c r="G1529" s="400"/>
      <c r="H1529" s="400"/>
      <c r="I1529" s="400"/>
      <c r="J1529" s="400"/>
      <c r="K1529" s="400">
        <v>1</v>
      </c>
      <c r="L1529" s="400" t="s">
        <v>3333</v>
      </c>
      <c r="M1529" s="402" t="s">
        <v>3476</v>
      </c>
      <c r="N1529" s="400"/>
      <c r="O1529" s="428" t="s">
        <v>4417</v>
      </c>
      <c r="P1529" s="581"/>
      <c r="Q1529" s="399" t="s">
        <v>5047</v>
      </c>
      <c r="R1529" s="428"/>
      <c r="S1529" s="399"/>
      <c r="T1529" s="399"/>
      <c r="U1529" s="531"/>
      <c r="V1529" s="399"/>
      <c r="W1529" s="399" t="s">
        <v>5048</v>
      </c>
      <c r="X1529" s="400"/>
      <c r="Y1529" s="399" t="s">
        <v>208</v>
      </c>
      <c r="Z1529" s="399"/>
      <c r="AA1529" s="399" t="s">
        <v>113</v>
      </c>
      <c r="AB1529" s="399" t="s">
        <v>3178</v>
      </c>
      <c r="AC1529" s="532" t="s">
        <v>5882</v>
      </c>
      <c r="AD1529" s="594"/>
      <c r="AE1529" s="531"/>
      <c r="AF1529" s="531"/>
      <c r="AG1529" s="531"/>
      <c r="AH1529" s="590"/>
      <c r="AI1529" s="531"/>
      <c r="AJ1529" s="594"/>
      <c r="AK1529" s="399"/>
      <c r="AL1529" s="605"/>
      <c r="AM1529" s="531"/>
      <c r="AN1529" s="531"/>
      <c r="AO1529" s="531"/>
      <c r="AP1529" s="531"/>
      <c r="AQ1529" s="531"/>
      <c r="AR1529" s="531"/>
      <c r="AS1529" s="531"/>
      <c r="AT1529" s="399"/>
      <c r="AU1529" s="399"/>
      <c r="AV1529" s="399"/>
      <c r="AW1529" s="541"/>
      <c r="AX1529" s="541"/>
      <c r="AY1529" s="541"/>
      <c r="AZ1529" s="541"/>
      <c r="BA1529" s="541"/>
      <c r="BB1529" s="399"/>
      <c r="BC1529" s="399" t="e">
        <f t="shared" ca="1" si="2"/>
        <v>#NAME?</v>
      </c>
      <c r="BD1529" s="399"/>
      <c r="BE1529" s="399"/>
      <c r="BF1529" s="399"/>
      <c r="BG1529" s="540"/>
      <c r="BH1529" s="407"/>
      <c r="BI1529" s="407"/>
      <c r="BJ1529" s="543"/>
      <c r="BK1529" s="46">
        <f t="shared" si="1"/>
        <v>1</v>
      </c>
      <c r="BL1529" s="46">
        <f t="shared" si="3"/>
        <v>0</v>
      </c>
      <c r="BM1529" s="46">
        <f t="shared" si="4"/>
        <v>1</v>
      </c>
      <c r="BN1529" s="46">
        <f t="shared" si="5"/>
        <v>0</v>
      </c>
    </row>
    <row r="1530" spans="1:66" ht="12.75" customHeight="1">
      <c r="A1530" s="399">
        <v>1540</v>
      </c>
      <c r="B1530" s="399" t="s">
        <v>5057</v>
      </c>
      <c r="C1530" s="399" t="e">
        <f t="shared" ca="1" si="0"/>
        <v>#NAME?</v>
      </c>
      <c r="D1530" s="400" t="s">
        <v>5056</v>
      </c>
      <c r="E1530" s="399" t="s">
        <v>180</v>
      </c>
      <c r="F1530" s="400" t="s">
        <v>5042</v>
      </c>
      <c r="G1530" s="400"/>
      <c r="H1530" s="400"/>
      <c r="I1530" s="400"/>
      <c r="J1530" s="400"/>
      <c r="K1530" s="400">
        <v>1</v>
      </c>
      <c r="L1530" s="400" t="s">
        <v>3333</v>
      </c>
      <c r="M1530" s="402" t="s">
        <v>3476</v>
      </c>
      <c r="N1530" s="400"/>
      <c r="O1530" s="428" t="s">
        <v>4417</v>
      </c>
      <c r="P1530" s="581"/>
      <c r="Q1530" s="399" t="s">
        <v>5055</v>
      </c>
      <c r="R1530" s="428"/>
      <c r="S1530" s="399"/>
      <c r="T1530" s="399"/>
      <c r="U1530" s="531"/>
      <c r="V1530" s="399"/>
      <c r="W1530" s="399" t="s">
        <v>5056</v>
      </c>
      <c r="X1530" s="400"/>
      <c r="Y1530" s="399" t="s">
        <v>208</v>
      </c>
      <c r="Z1530" s="399"/>
      <c r="AA1530" s="399" t="s">
        <v>113</v>
      </c>
      <c r="AB1530" s="399" t="s">
        <v>3178</v>
      </c>
      <c r="AC1530" s="532" t="s">
        <v>5882</v>
      </c>
      <c r="AD1530" s="594"/>
      <c r="AE1530" s="531"/>
      <c r="AF1530" s="531"/>
      <c r="AG1530" s="531"/>
      <c r="AH1530" s="590"/>
      <c r="AI1530" s="531"/>
      <c r="AJ1530" s="594"/>
      <c r="AK1530" s="399"/>
      <c r="AL1530" s="605"/>
      <c r="AM1530" s="531"/>
      <c r="AN1530" s="531"/>
      <c r="AO1530" s="531"/>
      <c r="AP1530" s="531"/>
      <c r="AQ1530" s="531"/>
      <c r="AR1530" s="531"/>
      <c r="AS1530" s="531"/>
      <c r="AT1530" s="399"/>
      <c r="AU1530" s="399"/>
      <c r="AV1530" s="399"/>
      <c r="AW1530" s="541"/>
      <c r="AX1530" s="541"/>
      <c r="AY1530" s="541"/>
      <c r="AZ1530" s="541"/>
      <c r="BA1530" s="541"/>
      <c r="BB1530" s="399"/>
      <c r="BC1530" s="399" t="e">
        <f t="shared" ca="1" si="2"/>
        <v>#NAME?</v>
      </c>
      <c r="BD1530" s="399"/>
      <c r="BE1530" s="399"/>
      <c r="BF1530" s="399"/>
      <c r="BG1530" s="540"/>
      <c r="BH1530" s="407"/>
      <c r="BI1530" s="407"/>
      <c r="BJ1530" s="543"/>
      <c r="BK1530" s="46">
        <f t="shared" si="1"/>
        <v>1</v>
      </c>
      <c r="BL1530" s="46">
        <f t="shared" si="3"/>
        <v>0</v>
      </c>
      <c r="BM1530" s="46">
        <f t="shared" si="4"/>
        <v>1</v>
      </c>
      <c r="BN1530" s="46">
        <f t="shared" si="5"/>
        <v>0</v>
      </c>
    </row>
    <row r="1531" spans="1:66" ht="12.75" customHeight="1">
      <c r="A1531" s="399">
        <v>1541</v>
      </c>
      <c r="B1531" s="399" t="s">
        <v>5061</v>
      </c>
      <c r="C1531" s="399" t="str">
        <f t="shared" si="0"/>
        <v>Cervical ectropion</v>
      </c>
      <c r="D1531" s="400" t="s">
        <v>5061</v>
      </c>
      <c r="E1531" s="399" t="s">
        <v>96</v>
      </c>
      <c r="F1531" s="400" t="s">
        <v>1787</v>
      </c>
      <c r="G1531" s="400"/>
      <c r="H1531" s="400"/>
      <c r="I1531" s="400"/>
      <c r="J1531" s="400"/>
      <c r="K1531" s="400">
        <v>1</v>
      </c>
      <c r="L1531" s="400" t="s">
        <v>3333</v>
      </c>
      <c r="M1531" s="402" t="s">
        <v>3476</v>
      </c>
      <c r="N1531" s="400"/>
      <c r="O1531" s="428" t="s">
        <v>4417</v>
      </c>
      <c r="P1531" s="581"/>
      <c r="Q1531" s="399" t="s">
        <v>5062</v>
      </c>
      <c r="R1531" s="428" t="s">
        <v>5061</v>
      </c>
      <c r="S1531" s="399"/>
      <c r="T1531" s="399"/>
      <c r="U1531" s="399" t="s">
        <v>3169</v>
      </c>
      <c r="V1531" s="399"/>
      <c r="W1531" s="399" t="s">
        <v>3170</v>
      </c>
      <c r="X1531" s="399"/>
      <c r="Y1531" s="399" t="s">
        <v>208</v>
      </c>
      <c r="Z1531" s="399"/>
      <c r="AA1531" s="399" t="s">
        <v>113</v>
      </c>
      <c r="AB1531" s="399" t="s">
        <v>3178</v>
      </c>
      <c r="AC1531" s="532" t="s">
        <v>5882</v>
      </c>
      <c r="AD1531" s="594"/>
      <c r="AE1531" s="531"/>
      <c r="AF1531" s="531"/>
      <c r="AG1531" s="531"/>
      <c r="AH1531" s="590"/>
      <c r="AI1531" s="531"/>
      <c r="AJ1531" s="594"/>
      <c r="AK1531" s="399"/>
      <c r="AL1531" s="41" t="s">
        <v>5218</v>
      </c>
      <c r="AM1531" s="41" t="s">
        <v>5852</v>
      </c>
      <c r="AN1531" s="531"/>
      <c r="AO1531" s="41" t="s">
        <v>3100</v>
      </c>
      <c r="AP1531" s="441" t="s">
        <v>3101</v>
      </c>
      <c r="AQ1531" s="531"/>
      <c r="AR1531" s="531"/>
      <c r="AS1531" s="531"/>
      <c r="AT1531" s="399"/>
      <c r="AU1531" s="399"/>
      <c r="AV1531" s="399"/>
      <c r="AW1531" s="541"/>
      <c r="AX1531" s="541"/>
      <c r="AY1531" s="541"/>
      <c r="AZ1531" s="541"/>
      <c r="BA1531" s="541"/>
      <c r="BB1531" s="399"/>
      <c r="BC1531" s="399" t="str">
        <f t="shared" si="2"/>
        <v/>
      </c>
      <c r="BD1531" s="399"/>
      <c r="BE1531" s="399"/>
      <c r="BF1531" s="399"/>
      <c r="BG1531" s="540"/>
      <c r="BH1531" s="407"/>
      <c r="BI1531" s="407"/>
      <c r="BJ1531" s="543"/>
      <c r="BK1531" s="46">
        <f t="shared" si="1"/>
        <v>1</v>
      </c>
      <c r="BL1531" s="46">
        <f t="shared" si="3"/>
        <v>1</v>
      </c>
      <c r="BM1531" s="46">
        <f t="shared" si="4"/>
        <v>0</v>
      </c>
      <c r="BN1531" s="46">
        <f t="shared" si="5"/>
        <v>0</v>
      </c>
    </row>
    <row r="1532" spans="1:66" ht="12.75" customHeight="1">
      <c r="A1532" s="399">
        <v>1542</v>
      </c>
      <c r="B1532" s="399" t="s">
        <v>5064</v>
      </c>
      <c r="C1532" s="399" t="str">
        <f t="shared" si="0"/>
        <v>Cervical neoplasia</v>
      </c>
      <c r="D1532" s="400" t="s">
        <v>5064</v>
      </c>
      <c r="E1532" s="399" t="s">
        <v>96</v>
      </c>
      <c r="F1532" s="400" t="s">
        <v>1787</v>
      </c>
      <c r="G1532" s="400"/>
      <c r="H1532" s="400"/>
      <c r="I1532" s="400"/>
      <c r="J1532" s="400"/>
      <c r="K1532" s="400">
        <v>1</v>
      </c>
      <c r="L1532" s="400" t="s">
        <v>3333</v>
      </c>
      <c r="M1532" s="402" t="s">
        <v>3476</v>
      </c>
      <c r="N1532" s="400"/>
      <c r="O1532" s="428" t="s">
        <v>4417</v>
      </c>
      <c r="P1532" s="581"/>
      <c r="Q1532" s="399" t="s">
        <v>5066</v>
      </c>
      <c r="R1532" s="428" t="s">
        <v>5064</v>
      </c>
      <c r="S1532" s="399" t="s">
        <v>5067</v>
      </c>
      <c r="T1532" s="399"/>
      <c r="U1532" s="399" t="s">
        <v>3169</v>
      </c>
      <c r="V1532" s="399"/>
      <c r="W1532" s="399" t="s">
        <v>3170</v>
      </c>
      <c r="X1532" s="399"/>
      <c r="Y1532" s="399" t="s">
        <v>208</v>
      </c>
      <c r="Z1532" s="399"/>
      <c r="AA1532" s="399" t="s">
        <v>113</v>
      </c>
      <c r="AB1532" s="399" t="s">
        <v>3178</v>
      </c>
      <c r="AC1532" s="532" t="s">
        <v>5882</v>
      </c>
      <c r="AD1532" s="594"/>
      <c r="AE1532" s="531"/>
      <c r="AF1532" s="531"/>
      <c r="AG1532" s="531"/>
      <c r="AH1532" s="590"/>
      <c r="AI1532" s="531"/>
      <c r="AJ1532" s="594"/>
      <c r="AK1532" s="399"/>
      <c r="AL1532" s="41" t="s">
        <v>5218</v>
      </c>
      <c r="AM1532" s="41" t="s">
        <v>5852</v>
      </c>
      <c r="AN1532" s="531"/>
      <c r="AO1532" s="41" t="s">
        <v>3100</v>
      </c>
      <c r="AP1532" s="441" t="s">
        <v>3101</v>
      </c>
      <c r="AQ1532" s="531"/>
      <c r="AR1532" s="531"/>
      <c r="AS1532" s="531"/>
      <c r="AT1532" s="400" t="s">
        <v>5889</v>
      </c>
      <c r="AU1532" s="400" t="s">
        <v>5069</v>
      </c>
      <c r="AV1532" s="400">
        <v>285636001</v>
      </c>
      <c r="AW1532" s="541"/>
      <c r="AX1532" s="541"/>
      <c r="AY1532" s="541"/>
      <c r="AZ1532" s="541"/>
      <c r="BA1532" s="541"/>
      <c r="BB1532" s="400"/>
      <c r="BC1532" s="399" t="str">
        <f t="shared" si="2"/>
        <v/>
      </c>
      <c r="BD1532" s="400">
        <v>120780</v>
      </c>
      <c r="BE1532" s="399"/>
      <c r="BF1532" s="399"/>
      <c r="BG1532" s="540"/>
      <c r="BH1532" s="407" t="s">
        <v>5889</v>
      </c>
      <c r="BI1532" s="407">
        <v>285636001</v>
      </c>
      <c r="BJ1532" s="543"/>
      <c r="BK1532" s="46">
        <f t="shared" si="1"/>
        <v>1</v>
      </c>
      <c r="BL1532" s="46">
        <f t="shared" si="3"/>
        <v>1</v>
      </c>
      <c r="BM1532" s="46">
        <f t="shared" si="4"/>
        <v>0</v>
      </c>
      <c r="BN1532" s="46">
        <f t="shared" si="5"/>
        <v>0</v>
      </c>
    </row>
    <row r="1533" spans="1:66" ht="12.75" customHeight="1">
      <c r="A1533" s="399">
        <v>1543</v>
      </c>
      <c r="B1533" s="399" t="s">
        <v>5071</v>
      </c>
      <c r="C1533" s="399" t="str">
        <f t="shared" si="0"/>
        <v>Cervical cancer awaiting treatment</v>
      </c>
      <c r="D1533" s="400" t="s">
        <v>5071</v>
      </c>
      <c r="E1533" s="399" t="s">
        <v>96</v>
      </c>
      <c r="F1533" s="400" t="s">
        <v>1787</v>
      </c>
      <c r="G1533" s="400"/>
      <c r="H1533" s="400"/>
      <c r="I1533" s="400"/>
      <c r="J1533" s="400"/>
      <c r="K1533" s="400">
        <v>1</v>
      </c>
      <c r="L1533" s="400" t="s">
        <v>3333</v>
      </c>
      <c r="M1533" s="402" t="s">
        <v>3476</v>
      </c>
      <c r="N1533" s="400"/>
      <c r="O1533" s="428" t="s">
        <v>4417</v>
      </c>
      <c r="P1533" s="574"/>
      <c r="Q1533" s="399" t="s">
        <v>5072</v>
      </c>
      <c r="R1533" s="428" t="s">
        <v>5071</v>
      </c>
      <c r="S1533" s="399"/>
      <c r="T1533" s="399"/>
      <c r="U1533" s="399" t="s">
        <v>3169</v>
      </c>
      <c r="V1533" s="399"/>
      <c r="W1533" s="399" t="s">
        <v>3170</v>
      </c>
      <c r="X1533" s="399"/>
      <c r="Y1533" s="399" t="s">
        <v>208</v>
      </c>
      <c r="Z1533" s="399"/>
      <c r="AA1533" s="399" t="s">
        <v>113</v>
      </c>
      <c r="AB1533" s="399" t="s">
        <v>3178</v>
      </c>
      <c r="AC1533" s="532" t="s">
        <v>5882</v>
      </c>
      <c r="AD1533" s="400"/>
      <c r="AE1533" s="400"/>
      <c r="AF1533" s="400"/>
      <c r="AG1533" s="399"/>
      <c r="AH1533" s="532" t="s">
        <v>4489</v>
      </c>
      <c r="AI1533" s="400"/>
      <c r="AJ1533" s="400"/>
      <c r="AK1533" s="399"/>
      <c r="AL1533" s="41" t="s">
        <v>5218</v>
      </c>
      <c r="AM1533" s="41" t="s">
        <v>5852</v>
      </c>
      <c r="AN1533" s="531"/>
      <c r="AO1533" s="41" t="s">
        <v>3100</v>
      </c>
      <c r="AP1533" s="441" t="s">
        <v>3101</v>
      </c>
      <c r="AQ1533" s="399"/>
      <c r="AR1533" s="399"/>
      <c r="AS1533" s="399"/>
      <c r="AT1533" s="400" t="s">
        <v>5073</v>
      </c>
      <c r="AU1533" s="400" t="s">
        <v>5074</v>
      </c>
      <c r="AV1533" s="400">
        <v>315266007</v>
      </c>
      <c r="AW1533" s="541"/>
      <c r="AX1533" s="541"/>
      <c r="AY1533" s="541"/>
      <c r="AZ1533" s="541"/>
      <c r="BA1533" s="541"/>
      <c r="BB1533" s="400"/>
      <c r="BC1533" s="399" t="str">
        <f t="shared" si="2"/>
        <v/>
      </c>
      <c r="BD1533" s="400">
        <v>159008</v>
      </c>
      <c r="BE1533" s="400"/>
      <c r="BF1533" s="400"/>
      <c r="BG1533" s="540"/>
      <c r="BH1533" s="407" t="s">
        <v>5073</v>
      </c>
      <c r="BI1533" s="407">
        <v>315266007</v>
      </c>
      <c r="BJ1533" s="543"/>
      <c r="BK1533" s="46">
        <f t="shared" si="1"/>
        <v>1</v>
      </c>
      <c r="BL1533" s="46">
        <f t="shared" si="3"/>
        <v>1</v>
      </c>
      <c r="BM1533" s="46">
        <f t="shared" si="4"/>
        <v>0</v>
      </c>
      <c r="BN1533" s="46">
        <f t="shared" si="5"/>
        <v>0</v>
      </c>
    </row>
    <row r="1534" spans="1:66" ht="12.75" customHeight="1">
      <c r="A1534" s="399">
        <v>1544</v>
      </c>
      <c r="B1534" s="399" t="s">
        <v>5077</v>
      </c>
      <c r="C1534" s="399" t="str">
        <f t="shared" si="0"/>
        <v>Breast disease</v>
      </c>
      <c r="D1534" s="400" t="s">
        <v>5077</v>
      </c>
      <c r="E1534" s="399" t="s">
        <v>96</v>
      </c>
      <c r="F1534" s="400" t="s">
        <v>1787</v>
      </c>
      <c r="G1534" s="400"/>
      <c r="H1534" s="400"/>
      <c r="I1534" s="400"/>
      <c r="J1534" s="400"/>
      <c r="K1534" s="400">
        <v>1</v>
      </c>
      <c r="L1534" s="400" t="s">
        <v>3333</v>
      </c>
      <c r="M1534" s="402" t="s">
        <v>3476</v>
      </c>
      <c r="N1534" s="400"/>
      <c r="O1534" s="428" t="s">
        <v>4417</v>
      </c>
      <c r="P1534" s="581"/>
      <c r="Q1534" s="399" t="s">
        <v>5078</v>
      </c>
      <c r="R1534" s="428" t="s">
        <v>5077</v>
      </c>
      <c r="S1534" s="399"/>
      <c r="T1534" s="399"/>
      <c r="U1534" s="399" t="s">
        <v>4823</v>
      </c>
      <c r="V1534" s="399"/>
      <c r="W1534" s="399"/>
      <c r="X1534" s="399"/>
      <c r="Y1534" s="399" t="s">
        <v>208</v>
      </c>
      <c r="Z1534" s="531"/>
      <c r="AA1534" s="399" t="s">
        <v>113</v>
      </c>
      <c r="AB1534" s="399" t="s">
        <v>3178</v>
      </c>
      <c r="AC1534" s="617" t="s">
        <v>5851</v>
      </c>
      <c r="AD1534" s="594"/>
      <c r="AE1534" s="531"/>
      <c r="AF1534" s="531"/>
      <c r="AG1534" s="531"/>
      <c r="AH1534" s="590"/>
      <c r="AI1534" s="531"/>
      <c r="AJ1534" s="594"/>
      <c r="AK1534" s="399"/>
      <c r="AL1534" s="41" t="s">
        <v>5218</v>
      </c>
      <c r="AM1534" s="41" t="s">
        <v>5852</v>
      </c>
      <c r="AN1534" s="531"/>
      <c r="AO1534" s="41" t="s">
        <v>3100</v>
      </c>
      <c r="AP1534" s="441" t="s">
        <v>3101</v>
      </c>
      <c r="AQ1534" s="531"/>
      <c r="AR1534" s="531"/>
      <c r="AS1534" s="531"/>
      <c r="AT1534" s="399"/>
      <c r="AU1534" s="399"/>
      <c r="AV1534" s="399"/>
      <c r="AW1534" s="541"/>
      <c r="AX1534" s="541"/>
      <c r="AY1534" s="541"/>
      <c r="AZ1534" s="541"/>
      <c r="BA1534" s="541"/>
      <c r="BB1534" s="399"/>
      <c r="BC1534" s="399" t="str">
        <f t="shared" si="2"/>
        <v/>
      </c>
      <c r="BD1534" s="399"/>
      <c r="BE1534" s="399"/>
      <c r="BF1534" s="399"/>
      <c r="BG1534" s="540"/>
      <c r="BH1534" s="407"/>
      <c r="BI1534" s="407"/>
      <c r="BJ1534" s="543"/>
      <c r="BK1534" s="46">
        <f t="shared" si="1"/>
        <v>1</v>
      </c>
      <c r="BL1534" s="46">
        <f t="shared" si="3"/>
        <v>1</v>
      </c>
      <c r="BM1534" s="46">
        <f t="shared" si="4"/>
        <v>0</v>
      </c>
      <c r="BN1534" s="46">
        <f t="shared" si="5"/>
        <v>0</v>
      </c>
    </row>
    <row r="1535" spans="1:66" ht="12.75" customHeight="1">
      <c r="A1535" s="399">
        <v>1545</v>
      </c>
      <c r="B1535" s="399" t="s">
        <v>5087</v>
      </c>
      <c r="C1535" s="399" t="e">
        <f t="shared" ca="1" si="0"/>
        <v>#NAME?</v>
      </c>
      <c r="D1535" s="400" t="s">
        <v>5086</v>
      </c>
      <c r="E1535" s="399" t="s">
        <v>180</v>
      </c>
      <c r="F1535" s="400" t="s">
        <v>5077</v>
      </c>
      <c r="G1535" s="400"/>
      <c r="H1535" s="400"/>
      <c r="I1535" s="400"/>
      <c r="J1535" s="400"/>
      <c r="K1535" s="400">
        <v>1</v>
      </c>
      <c r="L1535" s="400" t="s">
        <v>3333</v>
      </c>
      <c r="M1535" s="402" t="s">
        <v>3476</v>
      </c>
      <c r="N1535" s="400"/>
      <c r="O1535" s="428" t="s">
        <v>4417</v>
      </c>
      <c r="P1535" s="581"/>
      <c r="Q1535" s="399" t="s">
        <v>5085</v>
      </c>
      <c r="R1535" s="428"/>
      <c r="S1535" s="399"/>
      <c r="T1535" s="399"/>
      <c r="U1535" s="531"/>
      <c r="V1535" s="399"/>
      <c r="W1535" s="399" t="s">
        <v>5086</v>
      </c>
      <c r="X1535" s="400"/>
      <c r="Y1535" s="399" t="s">
        <v>208</v>
      </c>
      <c r="Z1535" s="531"/>
      <c r="AA1535" s="399" t="s">
        <v>113</v>
      </c>
      <c r="AB1535" s="399" t="s">
        <v>3178</v>
      </c>
      <c r="AC1535" s="617" t="s">
        <v>5851</v>
      </c>
      <c r="AD1535" s="594"/>
      <c r="AE1535" s="531"/>
      <c r="AF1535" s="531"/>
      <c r="AG1535" s="531"/>
      <c r="AH1535" s="590"/>
      <c r="AI1535" s="531"/>
      <c r="AJ1535" s="594"/>
      <c r="AK1535" s="399"/>
      <c r="AL1535" s="605"/>
      <c r="AM1535" s="531"/>
      <c r="AN1535" s="531"/>
      <c r="AO1535" s="531"/>
      <c r="AP1535" s="531"/>
      <c r="AQ1535" s="531"/>
      <c r="AR1535" s="531"/>
      <c r="AS1535" s="531"/>
      <c r="AT1535" s="399"/>
      <c r="AU1535" s="399"/>
      <c r="AV1535" s="399"/>
      <c r="AW1535" s="541"/>
      <c r="AX1535" s="541"/>
      <c r="AY1535" s="541"/>
      <c r="AZ1535" s="541"/>
      <c r="BA1535" s="541"/>
      <c r="BB1535" s="399"/>
      <c r="BC1535" s="399" t="e">
        <f t="shared" ca="1" si="2"/>
        <v>#NAME?</v>
      </c>
      <c r="BD1535" s="399"/>
      <c r="BE1535" s="399"/>
      <c r="BF1535" s="399"/>
      <c r="BG1535" s="540"/>
      <c r="BH1535" s="407"/>
      <c r="BI1535" s="407"/>
      <c r="BJ1535" s="543"/>
      <c r="BK1535" s="46">
        <f t="shared" si="1"/>
        <v>1</v>
      </c>
      <c r="BL1535" s="46">
        <f t="shared" si="3"/>
        <v>0</v>
      </c>
      <c r="BM1535" s="46">
        <f t="shared" si="4"/>
        <v>1</v>
      </c>
      <c r="BN1535" s="46">
        <f t="shared" si="5"/>
        <v>0</v>
      </c>
    </row>
    <row r="1536" spans="1:66" ht="12.75" customHeight="1">
      <c r="A1536" s="399">
        <v>1546</v>
      </c>
      <c r="B1536" s="399" t="s">
        <v>5093</v>
      </c>
      <c r="C1536" s="399" t="e">
        <f t="shared" ca="1" si="0"/>
        <v>#NAME?</v>
      </c>
      <c r="D1536" s="400" t="s">
        <v>5092</v>
      </c>
      <c r="E1536" s="399" t="s">
        <v>180</v>
      </c>
      <c r="F1536" s="400" t="s">
        <v>5077</v>
      </c>
      <c r="G1536" s="400"/>
      <c r="H1536" s="400"/>
      <c r="I1536" s="400"/>
      <c r="J1536" s="400"/>
      <c r="K1536" s="400">
        <v>1</v>
      </c>
      <c r="L1536" s="400" t="s">
        <v>3333</v>
      </c>
      <c r="M1536" s="402" t="s">
        <v>3476</v>
      </c>
      <c r="N1536" s="400"/>
      <c r="O1536" s="428" t="s">
        <v>4417</v>
      </c>
      <c r="P1536" s="581"/>
      <c r="Q1536" s="399" t="s">
        <v>5091</v>
      </c>
      <c r="R1536" s="428"/>
      <c r="S1536" s="399"/>
      <c r="T1536" s="399"/>
      <c r="U1536" s="531"/>
      <c r="V1536" s="399"/>
      <c r="W1536" s="399" t="s">
        <v>5092</v>
      </c>
      <c r="X1536" s="400"/>
      <c r="Y1536" s="399" t="s">
        <v>208</v>
      </c>
      <c r="Z1536" s="531"/>
      <c r="AA1536" s="399" t="s">
        <v>113</v>
      </c>
      <c r="AB1536" s="399" t="s">
        <v>3178</v>
      </c>
      <c r="AC1536" s="617" t="s">
        <v>5851</v>
      </c>
      <c r="AD1536" s="594"/>
      <c r="AE1536" s="531"/>
      <c r="AF1536" s="531"/>
      <c r="AG1536" s="531"/>
      <c r="AH1536" s="590"/>
      <c r="AI1536" s="531"/>
      <c r="AJ1536" s="594"/>
      <c r="AK1536" s="399"/>
      <c r="AL1536" s="605"/>
      <c r="AM1536" s="531"/>
      <c r="AN1536" s="531"/>
      <c r="AO1536" s="531"/>
      <c r="AP1536" s="531"/>
      <c r="AQ1536" s="531"/>
      <c r="AR1536" s="531"/>
      <c r="AS1536" s="531"/>
      <c r="AT1536" s="399"/>
      <c r="AU1536" s="399"/>
      <c r="AV1536" s="399"/>
      <c r="AW1536" s="541"/>
      <c r="AX1536" s="541"/>
      <c r="AY1536" s="541"/>
      <c r="AZ1536" s="541"/>
      <c r="BA1536" s="541"/>
      <c r="BB1536" s="399"/>
      <c r="BC1536" s="399" t="e">
        <f t="shared" ca="1" si="2"/>
        <v>#NAME?</v>
      </c>
      <c r="BD1536" s="399"/>
      <c r="BE1536" s="399"/>
      <c r="BF1536" s="399"/>
      <c r="BG1536" s="540"/>
      <c r="BH1536" s="407"/>
      <c r="BI1536" s="407"/>
      <c r="BJ1536" s="543"/>
      <c r="BK1536" s="46">
        <f t="shared" si="1"/>
        <v>1</v>
      </c>
      <c r="BL1536" s="46">
        <f t="shared" si="3"/>
        <v>0</v>
      </c>
      <c r="BM1536" s="46">
        <f t="shared" si="4"/>
        <v>1</v>
      </c>
      <c r="BN1536" s="46">
        <f t="shared" si="5"/>
        <v>0</v>
      </c>
    </row>
    <row r="1537" spans="1:66" ht="12.75" customHeight="1">
      <c r="A1537" s="399">
        <v>1547</v>
      </c>
      <c r="B1537" s="399" t="s">
        <v>5895</v>
      </c>
      <c r="C1537" s="399" t="e">
        <f t="shared" ca="1" si="0"/>
        <v>#NAME?</v>
      </c>
      <c r="D1537" s="400" t="s">
        <v>5100</v>
      </c>
      <c r="E1537" s="399" t="s">
        <v>180</v>
      </c>
      <c r="F1537" s="400" t="s">
        <v>5077</v>
      </c>
      <c r="G1537" s="400"/>
      <c r="H1537" s="400"/>
      <c r="I1537" s="400"/>
      <c r="J1537" s="400"/>
      <c r="K1537" s="400">
        <v>1</v>
      </c>
      <c r="L1537" s="400" t="s">
        <v>3333</v>
      </c>
      <c r="M1537" s="402" t="s">
        <v>3476</v>
      </c>
      <c r="N1537" s="400"/>
      <c r="O1537" s="428" t="s">
        <v>4417</v>
      </c>
      <c r="P1537" s="581"/>
      <c r="Q1537" s="399" t="s">
        <v>5896</v>
      </c>
      <c r="R1537" s="428"/>
      <c r="S1537" s="399" t="s">
        <v>5897</v>
      </c>
      <c r="T1537" s="399"/>
      <c r="U1537" s="531"/>
      <c r="V1537" s="399"/>
      <c r="W1537" s="399" t="s">
        <v>5100</v>
      </c>
      <c r="X1537" s="399"/>
      <c r="Y1537" s="399" t="s">
        <v>208</v>
      </c>
      <c r="Z1537" s="531"/>
      <c r="AA1537" s="399" t="s">
        <v>113</v>
      </c>
      <c r="AB1537" s="399" t="s">
        <v>3178</v>
      </c>
      <c r="AC1537" s="617" t="s">
        <v>5851</v>
      </c>
      <c r="AD1537" s="594"/>
      <c r="AE1537" s="531"/>
      <c r="AF1537" s="531"/>
      <c r="AG1537" s="531"/>
      <c r="AH1537" s="590"/>
      <c r="AI1537" s="531"/>
      <c r="AJ1537" s="594"/>
      <c r="AK1537" s="399"/>
      <c r="AL1537" s="493"/>
      <c r="AM1537" s="399"/>
      <c r="AN1537" s="399"/>
      <c r="AO1537" s="531"/>
      <c r="AP1537" s="531"/>
      <c r="AQ1537" s="531"/>
      <c r="AR1537" s="531"/>
      <c r="AS1537" s="531"/>
      <c r="AT1537" s="399"/>
      <c r="AU1537" s="399"/>
      <c r="AV1537" s="399"/>
      <c r="AW1537" s="541"/>
      <c r="AX1537" s="541"/>
      <c r="AY1537" s="541"/>
      <c r="AZ1537" s="541"/>
      <c r="BA1537" s="541"/>
      <c r="BB1537" s="399"/>
      <c r="BC1537" s="399" t="e">
        <f t="shared" ca="1" si="2"/>
        <v>#NAME?</v>
      </c>
      <c r="BD1537" s="399"/>
      <c r="BE1537" s="399"/>
      <c r="BF1537" s="399"/>
      <c r="BG1537" s="540"/>
      <c r="BH1537" s="407"/>
      <c r="BI1537" s="407"/>
      <c r="BJ1537" s="543"/>
      <c r="BK1537" s="46">
        <f t="shared" si="1"/>
        <v>1</v>
      </c>
      <c r="BL1537" s="46">
        <f t="shared" si="3"/>
        <v>0</v>
      </c>
      <c r="BM1537" s="46">
        <f t="shared" si="4"/>
        <v>1</v>
      </c>
      <c r="BN1537" s="46">
        <f t="shared" si="5"/>
        <v>0</v>
      </c>
    </row>
    <row r="1538" spans="1:66" ht="12.75" customHeight="1">
      <c r="A1538" s="399">
        <v>1548</v>
      </c>
      <c r="B1538" s="399" t="s">
        <v>5097</v>
      </c>
      <c r="C1538" s="399" t="e">
        <f t="shared" ca="1" si="0"/>
        <v>#NAME?</v>
      </c>
      <c r="D1538" s="400" t="s">
        <v>5095</v>
      </c>
      <c r="E1538" s="399" t="s">
        <v>180</v>
      </c>
      <c r="F1538" s="400" t="s">
        <v>5077</v>
      </c>
      <c r="G1538" s="400"/>
      <c r="H1538" s="400"/>
      <c r="I1538" s="400"/>
      <c r="J1538" s="400"/>
      <c r="K1538" s="400">
        <v>1</v>
      </c>
      <c r="L1538" s="400" t="s">
        <v>3333</v>
      </c>
      <c r="M1538" s="402" t="s">
        <v>3476</v>
      </c>
      <c r="N1538" s="400"/>
      <c r="O1538" s="428" t="s">
        <v>4417</v>
      </c>
      <c r="P1538" s="581"/>
      <c r="Q1538" s="399" t="s">
        <v>5096</v>
      </c>
      <c r="R1538" s="428"/>
      <c r="S1538" s="399"/>
      <c r="T1538" s="399"/>
      <c r="U1538" s="531"/>
      <c r="V1538" s="399"/>
      <c r="W1538" s="399" t="s">
        <v>5095</v>
      </c>
      <c r="X1538" s="400"/>
      <c r="Y1538" s="399" t="s">
        <v>208</v>
      </c>
      <c r="Z1538" s="531"/>
      <c r="AA1538" s="399" t="s">
        <v>113</v>
      </c>
      <c r="AB1538" s="399" t="s">
        <v>3178</v>
      </c>
      <c r="AC1538" s="617" t="s">
        <v>5851</v>
      </c>
      <c r="AD1538" s="594"/>
      <c r="AE1538" s="531"/>
      <c r="AF1538" s="531"/>
      <c r="AG1538" s="531"/>
      <c r="AH1538" s="590"/>
      <c r="AI1538" s="531"/>
      <c r="AJ1538" s="594"/>
      <c r="AK1538" s="399"/>
      <c r="AL1538" s="493"/>
      <c r="AM1538" s="399"/>
      <c r="AN1538" s="399"/>
      <c r="AO1538" s="531"/>
      <c r="AP1538" s="531"/>
      <c r="AQ1538" s="531"/>
      <c r="AR1538" s="531"/>
      <c r="AS1538" s="531"/>
      <c r="AT1538" s="399"/>
      <c r="AU1538" s="399"/>
      <c r="AV1538" s="399"/>
      <c r="AW1538" s="541"/>
      <c r="AX1538" s="541"/>
      <c r="AY1538" s="541"/>
      <c r="AZ1538" s="541"/>
      <c r="BA1538" s="541"/>
      <c r="BB1538" s="399"/>
      <c r="BC1538" s="399" t="e">
        <f t="shared" ca="1" si="2"/>
        <v>#NAME?</v>
      </c>
      <c r="BD1538" s="399"/>
      <c r="BE1538" s="399"/>
      <c r="BF1538" s="399"/>
      <c r="BG1538" s="540"/>
      <c r="BH1538" s="407"/>
      <c r="BI1538" s="407"/>
      <c r="BJ1538" s="543"/>
      <c r="BK1538" s="46">
        <f t="shared" si="1"/>
        <v>1</v>
      </c>
      <c r="BL1538" s="46">
        <f t="shared" si="3"/>
        <v>0</v>
      </c>
      <c r="BM1538" s="46">
        <f t="shared" si="4"/>
        <v>1</v>
      </c>
      <c r="BN1538" s="46">
        <f t="shared" si="5"/>
        <v>0</v>
      </c>
    </row>
    <row r="1539" spans="1:66" ht="12.75" customHeight="1">
      <c r="A1539" s="399">
        <v>1549</v>
      </c>
      <c r="B1539" s="399" t="s">
        <v>5100</v>
      </c>
      <c r="C1539" s="399" t="str">
        <f t="shared" si="0"/>
        <v>Breast cancer</v>
      </c>
      <c r="D1539" s="400" t="s">
        <v>5100</v>
      </c>
      <c r="E1539" s="399" t="s">
        <v>96</v>
      </c>
      <c r="F1539" s="400" t="s">
        <v>1787</v>
      </c>
      <c r="G1539" s="400"/>
      <c r="H1539" s="400"/>
      <c r="I1539" s="400"/>
      <c r="J1539" s="400"/>
      <c r="K1539" s="400">
        <v>1</v>
      </c>
      <c r="L1539" s="400" t="s">
        <v>3333</v>
      </c>
      <c r="M1539" s="402" t="s">
        <v>3476</v>
      </c>
      <c r="N1539" s="400"/>
      <c r="O1539" s="428" t="s">
        <v>4417</v>
      </c>
      <c r="P1539" s="581"/>
      <c r="Q1539" s="399" t="s">
        <v>5101</v>
      </c>
      <c r="R1539" s="428" t="s">
        <v>5100</v>
      </c>
      <c r="S1539" s="399"/>
      <c r="T1539" s="399"/>
      <c r="U1539" s="399" t="s">
        <v>4823</v>
      </c>
      <c r="V1539" s="399"/>
      <c r="W1539" s="399"/>
      <c r="X1539" s="399"/>
      <c r="Y1539" s="399" t="s">
        <v>208</v>
      </c>
      <c r="Z1539" s="531"/>
      <c r="AA1539" s="399" t="s">
        <v>113</v>
      </c>
      <c r="AB1539" s="399" t="s">
        <v>3178</v>
      </c>
      <c r="AC1539" s="532" t="s">
        <v>5898</v>
      </c>
      <c r="AD1539" s="594"/>
      <c r="AE1539" s="531"/>
      <c r="AF1539" s="531"/>
      <c r="AG1539" s="531"/>
      <c r="AH1539" s="590"/>
      <c r="AI1539" s="531"/>
      <c r="AJ1539" s="594"/>
      <c r="AK1539" s="399"/>
      <c r="AL1539" s="41" t="s">
        <v>5218</v>
      </c>
      <c r="AM1539" s="41" t="s">
        <v>5852</v>
      </c>
      <c r="AN1539" s="531"/>
      <c r="AO1539" s="41" t="s">
        <v>3100</v>
      </c>
      <c r="AP1539" s="441" t="s">
        <v>3101</v>
      </c>
      <c r="AQ1539" s="531"/>
      <c r="AR1539" s="531"/>
      <c r="AS1539" s="531"/>
      <c r="AT1539" s="400" t="s">
        <v>5103</v>
      </c>
      <c r="AU1539" s="618">
        <v>2E+65</v>
      </c>
      <c r="AV1539" s="400">
        <v>254837009</v>
      </c>
      <c r="AW1539" s="541"/>
      <c r="AX1539" s="541"/>
      <c r="AY1539" s="541"/>
      <c r="AZ1539" s="541"/>
      <c r="BA1539" s="541"/>
      <c r="BB1539" s="400"/>
      <c r="BC1539" s="399" t="str">
        <f t="shared" si="2"/>
        <v/>
      </c>
      <c r="BD1539" s="400">
        <v>116025</v>
      </c>
      <c r="BE1539" s="399"/>
      <c r="BF1539" s="399"/>
      <c r="BG1539" s="540"/>
      <c r="BH1539" s="407" t="s">
        <v>5103</v>
      </c>
      <c r="BI1539" s="407">
        <v>254837009</v>
      </c>
      <c r="BJ1539" s="543"/>
      <c r="BK1539" s="46">
        <f t="shared" si="1"/>
        <v>1</v>
      </c>
      <c r="BL1539" s="46">
        <f t="shared" si="3"/>
        <v>1</v>
      </c>
      <c r="BM1539" s="46">
        <f t="shared" si="4"/>
        <v>0</v>
      </c>
      <c r="BN1539" s="46">
        <f t="shared" si="5"/>
        <v>0</v>
      </c>
    </row>
    <row r="1540" spans="1:66" ht="12.75" customHeight="1">
      <c r="A1540" s="399">
        <v>1550</v>
      </c>
      <c r="B1540" s="399" t="s">
        <v>5110</v>
      </c>
      <c r="C1540" s="399" t="e">
        <f t="shared" ca="1" si="0"/>
        <v>#NAME?</v>
      </c>
      <c r="D1540" s="400" t="s">
        <v>5109</v>
      </c>
      <c r="E1540" s="399" t="s">
        <v>180</v>
      </c>
      <c r="F1540" s="400" t="s">
        <v>5100</v>
      </c>
      <c r="G1540" s="400"/>
      <c r="H1540" s="400"/>
      <c r="I1540" s="400"/>
      <c r="J1540" s="400"/>
      <c r="K1540" s="400">
        <v>1</v>
      </c>
      <c r="L1540" s="400" t="s">
        <v>3333</v>
      </c>
      <c r="M1540" s="402" t="s">
        <v>3476</v>
      </c>
      <c r="N1540" s="400"/>
      <c r="O1540" s="428" t="s">
        <v>4417</v>
      </c>
      <c r="P1540" s="581"/>
      <c r="Q1540" s="399" t="s">
        <v>5108</v>
      </c>
      <c r="R1540" s="428"/>
      <c r="S1540" s="399"/>
      <c r="T1540" s="399"/>
      <c r="U1540" s="531"/>
      <c r="V1540" s="399"/>
      <c r="W1540" s="399" t="s">
        <v>5109</v>
      </c>
      <c r="X1540" s="400"/>
      <c r="Y1540" s="399" t="s">
        <v>208</v>
      </c>
      <c r="Z1540" s="531"/>
      <c r="AA1540" s="399" t="s">
        <v>113</v>
      </c>
      <c r="AB1540" s="399" t="s">
        <v>3178</v>
      </c>
      <c r="AC1540" s="617" t="s">
        <v>5851</v>
      </c>
      <c r="AD1540" s="594"/>
      <c r="AE1540" s="531"/>
      <c r="AF1540" s="531"/>
      <c r="AG1540" s="531"/>
      <c r="AH1540" s="590"/>
      <c r="AI1540" s="531"/>
      <c r="AJ1540" s="594"/>
      <c r="AK1540" s="399"/>
      <c r="AL1540" s="605"/>
      <c r="AM1540" s="531"/>
      <c r="AN1540" s="531"/>
      <c r="AO1540" s="531"/>
      <c r="AP1540" s="531"/>
      <c r="AQ1540" s="531"/>
      <c r="AR1540" s="531"/>
      <c r="AS1540" s="531"/>
      <c r="AT1540" s="399"/>
      <c r="AU1540" s="399"/>
      <c r="AV1540" s="399"/>
      <c r="AW1540" s="541"/>
      <c r="AX1540" s="541"/>
      <c r="AY1540" s="541"/>
      <c r="AZ1540" s="541"/>
      <c r="BA1540" s="541"/>
      <c r="BB1540" s="399"/>
      <c r="BC1540" s="399" t="e">
        <f t="shared" ca="1" si="2"/>
        <v>#NAME?</v>
      </c>
      <c r="BD1540" s="399"/>
      <c r="BE1540" s="399"/>
      <c r="BF1540" s="399"/>
      <c r="BG1540" s="540"/>
      <c r="BH1540" s="407"/>
      <c r="BI1540" s="407"/>
      <c r="BJ1540" s="543"/>
      <c r="BK1540" s="46">
        <f t="shared" si="1"/>
        <v>1</v>
      </c>
      <c r="BL1540" s="46">
        <f t="shared" si="3"/>
        <v>0</v>
      </c>
      <c r="BM1540" s="46">
        <f t="shared" si="4"/>
        <v>1</v>
      </c>
      <c r="BN1540" s="46">
        <f t="shared" si="5"/>
        <v>0</v>
      </c>
    </row>
    <row r="1541" spans="1:66" ht="12.75" customHeight="1">
      <c r="A1541" s="399">
        <v>1551</v>
      </c>
      <c r="B1541" s="399" t="s">
        <v>5118</v>
      </c>
      <c r="C1541" s="399" t="e">
        <f t="shared" ca="1" si="0"/>
        <v>#NAME?</v>
      </c>
      <c r="D1541" s="400" t="s">
        <v>5117</v>
      </c>
      <c r="E1541" s="399" t="s">
        <v>180</v>
      </c>
      <c r="F1541" s="400" t="s">
        <v>5100</v>
      </c>
      <c r="G1541" s="400"/>
      <c r="H1541" s="400"/>
      <c r="I1541" s="400"/>
      <c r="J1541" s="400"/>
      <c r="K1541" s="400">
        <v>1</v>
      </c>
      <c r="L1541" s="400" t="s">
        <v>3333</v>
      </c>
      <c r="M1541" s="402" t="s">
        <v>3476</v>
      </c>
      <c r="N1541" s="400"/>
      <c r="O1541" s="428" t="s">
        <v>4417</v>
      </c>
      <c r="P1541" s="581"/>
      <c r="Q1541" s="399" t="s">
        <v>5116</v>
      </c>
      <c r="R1541" s="428"/>
      <c r="S1541" s="399"/>
      <c r="T1541" s="399"/>
      <c r="U1541" s="531"/>
      <c r="V1541" s="399"/>
      <c r="W1541" s="399" t="s">
        <v>5117</v>
      </c>
      <c r="X1541" s="400"/>
      <c r="Y1541" s="399" t="s">
        <v>208</v>
      </c>
      <c r="Z1541" s="531"/>
      <c r="AA1541" s="399" t="s">
        <v>113</v>
      </c>
      <c r="AB1541" s="399" t="s">
        <v>3178</v>
      </c>
      <c r="AC1541" s="617" t="s">
        <v>5851</v>
      </c>
      <c r="AD1541" s="594"/>
      <c r="AE1541" s="531"/>
      <c r="AF1541" s="531"/>
      <c r="AG1541" s="531"/>
      <c r="AH1541" s="590"/>
      <c r="AI1541" s="531"/>
      <c r="AJ1541" s="594"/>
      <c r="AK1541" s="399"/>
      <c r="AL1541" s="605"/>
      <c r="AM1541" s="531"/>
      <c r="AN1541" s="531"/>
      <c r="AO1541" s="531"/>
      <c r="AP1541" s="531"/>
      <c r="AQ1541" s="531"/>
      <c r="AR1541" s="531"/>
      <c r="AS1541" s="531"/>
      <c r="AT1541" s="399"/>
      <c r="AU1541" s="399"/>
      <c r="AV1541" s="399"/>
      <c r="AW1541" s="541"/>
      <c r="AX1541" s="541"/>
      <c r="AY1541" s="541"/>
      <c r="AZ1541" s="541"/>
      <c r="BA1541" s="541"/>
      <c r="BB1541" s="399"/>
      <c r="BC1541" s="399" t="e">
        <f t="shared" ca="1" si="2"/>
        <v>#NAME?</v>
      </c>
      <c r="BD1541" s="399"/>
      <c r="BE1541" s="399"/>
      <c r="BF1541" s="399"/>
      <c r="BG1541" s="540"/>
      <c r="BH1541" s="407"/>
      <c r="BI1541" s="407"/>
      <c r="BJ1541" s="543"/>
      <c r="BK1541" s="46">
        <f t="shared" si="1"/>
        <v>1</v>
      </c>
      <c r="BL1541" s="46">
        <f t="shared" si="3"/>
        <v>0</v>
      </c>
      <c r="BM1541" s="46">
        <f t="shared" si="4"/>
        <v>1</v>
      </c>
      <c r="BN1541" s="46">
        <f t="shared" si="5"/>
        <v>0</v>
      </c>
    </row>
    <row r="1542" spans="1:66" ht="12.75" customHeight="1">
      <c r="A1542" s="399">
        <v>1552</v>
      </c>
      <c r="B1542" s="399" t="s">
        <v>5121</v>
      </c>
      <c r="C1542" s="399" t="str">
        <f t="shared" si="0"/>
        <v>Endometrial cancer</v>
      </c>
      <c r="D1542" s="400" t="s">
        <v>5121</v>
      </c>
      <c r="E1542" s="399" t="s">
        <v>96</v>
      </c>
      <c r="F1542" s="400" t="s">
        <v>1787</v>
      </c>
      <c r="G1542" s="400"/>
      <c r="H1542" s="400"/>
      <c r="I1542" s="400"/>
      <c r="J1542" s="400"/>
      <c r="K1542" s="400">
        <v>1</v>
      </c>
      <c r="L1542" s="400" t="s">
        <v>3333</v>
      </c>
      <c r="M1542" s="402" t="s">
        <v>3476</v>
      </c>
      <c r="N1542" s="400"/>
      <c r="O1542" s="428" t="s">
        <v>4417</v>
      </c>
      <c r="P1542" s="581"/>
      <c r="Q1542" s="399" t="s">
        <v>5122</v>
      </c>
      <c r="R1542" s="428" t="s">
        <v>5121</v>
      </c>
      <c r="S1542" s="399"/>
      <c r="T1542" s="399"/>
      <c r="U1542" s="399" t="s">
        <v>3169</v>
      </c>
      <c r="V1542" s="399"/>
      <c r="W1542" s="399" t="s">
        <v>3170</v>
      </c>
      <c r="X1542" s="400"/>
      <c r="Y1542" s="399" t="s">
        <v>208</v>
      </c>
      <c r="Z1542" s="531"/>
      <c r="AA1542" s="399" t="s">
        <v>113</v>
      </c>
      <c r="AB1542" s="399" t="s">
        <v>3178</v>
      </c>
      <c r="AC1542" s="532" t="s">
        <v>5882</v>
      </c>
      <c r="AD1542" s="400"/>
      <c r="AE1542" s="531"/>
      <c r="AF1542" s="531"/>
      <c r="AG1542" s="531"/>
      <c r="AH1542" s="590"/>
      <c r="AI1542" s="531"/>
      <c r="AJ1542" s="400"/>
      <c r="AK1542" s="399"/>
      <c r="AL1542" s="41" t="s">
        <v>5218</v>
      </c>
      <c r="AM1542" s="41" t="s">
        <v>5852</v>
      </c>
      <c r="AN1542" s="531"/>
      <c r="AO1542" s="41" t="s">
        <v>3100</v>
      </c>
      <c r="AP1542" s="441" t="s">
        <v>3101</v>
      </c>
      <c r="AQ1542" s="531"/>
      <c r="AR1542" s="531"/>
      <c r="AS1542" s="531"/>
      <c r="AT1542" s="399"/>
      <c r="AU1542" s="399"/>
      <c r="AV1542" s="399"/>
      <c r="AW1542" s="541"/>
      <c r="AX1542" s="541"/>
      <c r="AY1542" s="541"/>
      <c r="AZ1542" s="541"/>
      <c r="BA1542" s="541"/>
      <c r="BB1542" s="399"/>
      <c r="BC1542" s="399" t="str">
        <f t="shared" si="2"/>
        <v/>
      </c>
      <c r="BD1542" s="399"/>
      <c r="BE1542" s="399"/>
      <c r="BF1542" s="399"/>
      <c r="BG1542" s="540"/>
      <c r="BH1542" s="407"/>
      <c r="BI1542" s="407"/>
      <c r="BJ1542" s="543"/>
      <c r="BK1542" s="46">
        <f t="shared" si="1"/>
        <v>1</v>
      </c>
      <c r="BL1542" s="46">
        <f t="shared" si="3"/>
        <v>1</v>
      </c>
      <c r="BM1542" s="46">
        <f t="shared" si="4"/>
        <v>0</v>
      </c>
      <c r="BN1542" s="46">
        <f t="shared" si="5"/>
        <v>0</v>
      </c>
    </row>
    <row r="1543" spans="1:66" ht="12.75" customHeight="1">
      <c r="A1543" s="399">
        <v>1553</v>
      </c>
      <c r="B1543" s="399" t="s">
        <v>5126</v>
      </c>
      <c r="C1543" s="399" t="str">
        <f t="shared" si="0"/>
        <v>Ovarian cancer</v>
      </c>
      <c r="D1543" s="400" t="s">
        <v>5126</v>
      </c>
      <c r="E1543" s="399" t="s">
        <v>96</v>
      </c>
      <c r="F1543" s="400" t="s">
        <v>1787</v>
      </c>
      <c r="G1543" s="400"/>
      <c r="H1543" s="400"/>
      <c r="I1543" s="400"/>
      <c r="J1543" s="400"/>
      <c r="K1543" s="400">
        <v>1</v>
      </c>
      <c r="L1543" s="400" t="s">
        <v>3333</v>
      </c>
      <c r="M1543" s="402" t="s">
        <v>3476</v>
      </c>
      <c r="N1543" s="400"/>
      <c r="O1543" s="428" t="s">
        <v>4417</v>
      </c>
      <c r="P1543" s="581"/>
      <c r="Q1543" s="399" t="s">
        <v>5127</v>
      </c>
      <c r="R1543" s="428" t="s">
        <v>5126</v>
      </c>
      <c r="S1543" s="399"/>
      <c r="T1543" s="399"/>
      <c r="U1543" s="399" t="s">
        <v>3169</v>
      </c>
      <c r="V1543" s="399"/>
      <c r="W1543" s="399" t="s">
        <v>3170</v>
      </c>
      <c r="X1543" s="400"/>
      <c r="Y1543" s="399" t="s">
        <v>208</v>
      </c>
      <c r="Z1543" s="531"/>
      <c r="AA1543" s="399" t="s">
        <v>113</v>
      </c>
      <c r="AB1543" s="399" t="s">
        <v>3178</v>
      </c>
      <c r="AC1543" s="532" t="s">
        <v>5882</v>
      </c>
      <c r="AD1543" s="400"/>
      <c r="AE1543" s="531"/>
      <c r="AF1543" s="531"/>
      <c r="AG1543" s="531"/>
      <c r="AH1543" s="590"/>
      <c r="AI1543" s="531"/>
      <c r="AJ1543" s="400"/>
      <c r="AK1543" s="399"/>
      <c r="AL1543" s="41" t="s">
        <v>5218</v>
      </c>
      <c r="AM1543" s="41" t="s">
        <v>5852</v>
      </c>
      <c r="AN1543" s="531"/>
      <c r="AO1543" s="41" t="s">
        <v>3100</v>
      </c>
      <c r="AP1543" s="441" t="s">
        <v>3101</v>
      </c>
      <c r="AQ1543" s="531"/>
      <c r="AR1543" s="531"/>
      <c r="AS1543" s="531"/>
      <c r="AT1543" s="399"/>
      <c r="AU1543" s="399"/>
      <c r="AV1543" s="399"/>
      <c r="AW1543" s="541"/>
      <c r="AX1543" s="541"/>
      <c r="AY1543" s="541"/>
      <c r="AZ1543" s="541"/>
      <c r="BA1543" s="541"/>
      <c r="BB1543" s="399"/>
      <c r="BC1543" s="399" t="str">
        <f t="shared" si="2"/>
        <v/>
      </c>
      <c r="BD1543" s="399"/>
      <c r="BE1543" s="399"/>
      <c r="BF1543" s="399"/>
      <c r="BG1543" s="540"/>
      <c r="BH1543" s="407"/>
      <c r="BI1543" s="407"/>
      <c r="BJ1543" s="543"/>
      <c r="BK1543" s="46">
        <f t="shared" si="1"/>
        <v>1</v>
      </c>
      <c r="BL1543" s="46">
        <f t="shared" si="3"/>
        <v>1</v>
      </c>
      <c r="BM1543" s="46">
        <f t="shared" si="4"/>
        <v>0</v>
      </c>
      <c r="BN1543" s="46">
        <f t="shared" si="5"/>
        <v>0</v>
      </c>
    </row>
    <row r="1544" spans="1:66" ht="12.75" customHeight="1">
      <c r="A1544" s="399">
        <v>1554</v>
      </c>
      <c r="B1544" s="399" t="s">
        <v>5135</v>
      </c>
      <c r="C1544" s="399" t="e">
        <f t="shared" ca="1" si="0"/>
        <v>#NAME?</v>
      </c>
      <c r="D1544" s="400" t="s">
        <v>5131</v>
      </c>
      <c r="E1544" s="399" t="s">
        <v>180</v>
      </c>
      <c r="F1544" s="400" t="s">
        <v>5126</v>
      </c>
      <c r="G1544" s="400"/>
      <c r="H1544" s="400"/>
      <c r="I1544" s="400"/>
      <c r="J1544" s="400"/>
      <c r="K1544" s="400">
        <v>1</v>
      </c>
      <c r="L1544" s="400" t="s">
        <v>3333</v>
      </c>
      <c r="M1544" s="402" t="s">
        <v>3476</v>
      </c>
      <c r="N1544" s="400"/>
      <c r="O1544" s="428" t="s">
        <v>4417</v>
      </c>
      <c r="P1544" s="581"/>
      <c r="Q1544" s="399" t="s">
        <v>5133</v>
      </c>
      <c r="R1544" s="428" t="s">
        <v>5131</v>
      </c>
      <c r="S1544" s="399"/>
      <c r="T1544" s="399"/>
      <c r="U1544" s="531"/>
      <c r="V1544" s="399"/>
      <c r="W1544" s="399"/>
      <c r="X1544" s="399"/>
      <c r="Y1544" s="399" t="s">
        <v>208</v>
      </c>
      <c r="Z1544" s="531"/>
      <c r="AA1544" s="399" t="s">
        <v>113</v>
      </c>
      <c r="AB1544" s="399" t="s">
        <v>3178</v>
      </c>
      <c r="AC1544" s="532" t="s">
        <v>5882</v>
      </c>
      <c r="AD1544" s="400"/>
      <c r="AE1544" s="531"/>
      <c r="AF1544" s="531"/>
      <c r="AG1544" s="531"/>
      <c r="AH1544" s="590"/>
      <c r="AI1544" s="531"/>
      <c r="AJ1544" s="400"/>
      <c r="AK1544" s="399"/>
      <c r="AL1544" s="605"/>
      <c r="AM1544" s="531"/>
      <c r="AN1544" s="531"/>
      <c r="AO1544" s="531"/>
      <c r="AP1544" s="531"/>
      <c r="AQ1544" s="531"/>
      <c r="AR1544" s="531"/>
      <c r="AS1544" s="531"/>
      <c r="AT1544" s="400" t="s">
        <v>5902</v>
      </c>
      <c r="AU1544" s="400" t="s">
        <v>5137</v>
      </c>
      <c r="AV1544" s="400">
        <v>35746009</v>
      </c>
      <c r="AW1544" s="541"/>
      <c r="AX1544" s="541"/>
      <c r="AY1544" s="541"/>
      <c r="AZ1544" s="541"/>
      <c r="BA1544" s="541"/>
      <c r="BB1544" s="400"/>
      <c r="BC1544" s="399" t="e">
        <f t="shared" ca="1" si="2"/>
        <v>#NAME?</v>
      </c>
      <c r="BD1544" s="400">
        <v>123456</v>
      </c>
      <c r="BE1544" s="399"/>
      <c r="BF1544" s="399"/>
      <c r="BG1544" s="540"/>
      <c r="BH1544" s="407" t="s">
        <v>5902</v>
      </c>
      <c r="BI1544" s="407">
        <v>35746009</v>
      </c>
      <c r="BJ1544" s="543"/>
      <c r="BK1544" s="46">
        <f t="shared" si="1"/>
        <v>1</v>
      </c>
      <c r="BL1544" s="46">
        <f t="shared" si="3"/>
        <v>1</v>
      </c>
      <c r="BM1544" s="46">
        <f t="shared" si="4"/>
        <v>0</v>
      </c>
      <c r="BN1544" s="46">
        <f t="shared" si="5"/>
        <v>0</v>
      </c>
    </row>
    <row r="1545" spans="1:66" ht="12.75" customHeight="1">
      <c r="A1545" s="399">
        <v>1555</v>
      </c>
      <c r="B1545" s="399" t="s">
        <v>5143</v>
      </c>
      <c r="C1545" s="399" t="e">
        <f t="shared" ca="1" si="0"/>
        <v>#NAME?</v>
      </c>
      <c r="D1545" s="400" t="s">
        <v>5141</v>
      </c>
      <c r="E1545" s="399" t="s">
        <v>180</v>
      </c>
      <c r="F1545" s="400" t="s">
        <v>5126</v>
      </c>
      <c r="G1545" s="400"/>
      <c r="H1545" s="400"/>
      <c r="I1545" s="400"/>
      <c r="J1545" s="400"/>
      <c r="K1545" s="400">
        <v>1</v>
      </c>
      <c r="L1545" s="400" t="s">
        <v>3333</v>
      </c>
      <c r="M1545" s="402" t="s">
        <v>3476</v>
      </c>
      <c r="N1545" s="400"/>
      <c r="O1545" s="428" t="s">
        <v>4417</v>
      </c>
      <c r="P1545" s="581"/>
      <c r="Q1545" s="399" t="s">
        <v>5140</v>
      </c>
      <c r="R1545" s="428"/>
      <c r="S1545" s="399"/>
      <c r="T1545" s="399"/>
      <c r="U1545" s="531"/>
      <c r="V1545" s="399"/>
      <c r="W1545" s="399" t="s">
        <v>5141</v>
      </c>
      <c r="X1545" s="400"/>
      <c r="Y1545" s="399" t="s">
        <v>208</v>
      </c>
      <c r="Z1545" s="531"/>
      <c r="AA1545" s="399" t="s">
        <v>113</v>
      </c>
      <c r="AB1545" s="399" t="s">
        <v>3178</v>
      </c>
      <c r="AC1545" s="532" t="s">
        <v>5882</v>
      </c>
      <c r="AD1545" s="400"/>
      <c r="AE1545" s="531"/>
      <c r="AF1545" s="531"/>
      <c r="AG1545" s="531"/>
      <c r="AH1545" s="590"/>
      <c r="AI1545" s="531"/>
      <c r="AJ1545" s="400"/>
      <c r="AK1545" s="399"/>
      <c r="AL1545" s="605"/>
      <c r="AM1545" s="531"/>
      <c r="AN1545" s="531"/>
      <c r="AO1545" s="531"/>
      <c r="AP1545" s="531"/>
      <c r="AQ1545" s="531"/>
      <c r="AR1545" s="531"/>
      <c r="AS1545" s="531"/>
      <c r="AT1545" s="399"/>
      <c r="AU1545" s="399"/>
      <c r="AV1545" s="399"/>
      <c r="AW1545" s="541"/>
      <c r="AX1545" s="541"/>
      <c r="AY1545" s="541"/>
      <c r="AZ1545" s="541"/>
      <c r="BA1545" s="541"/>
      <c r="BB1545" s="399"/>
      <c r="BC1545" s="399" t="e">
        <f t="shared" ca="1" si="2"/>
        <v>#NAME?</v>
      </c>
      <c r="BD1545" s="399"/>
      <c r="BE1545" s="399"/>
      <c r="BF1545" s="399"/>
      <c r="BG1545" s="540"/>
      <c r="BH1545" s="407"/>
      <c r="BI1545" s="407"/>
      <c r="BJ1545" s="543"/>
      <c r="BK1545" s="46">
        <f t="shared" si="1"/>
        <v>1</v>
      </c>
      <c r="BL1545" s="46">
        <f t="shared" si="3"/>
        <v>0</v>
      </c>
      <c r="BM1545" s="46">
        <f t="shared" si="4"/>
        <v>1</v>
      </c>
      <c r="BN1545" s="46">
        <f t="shared" si="5"/>
        <v>0</v>
      </c>
    </row>
    <row r="1546" spans="1:66" ht="12.75" customHeight="1">
      <c r="A1546" s="399">
        <v>1556</v>
      </c>
      <c r="B1546" s="399" t="s">
        <v>5148</v>
      </c>
      <c r="C1546" s="399" t="e">
        <f t="shared" ca="1" si="0"/>
        <v>#NAME?</v>
      </c>
      <c r="D1546" s="400" t="s">
        <v>5147</v>
      </c>
      <c r="E1546" s="399" t="s">
        <v>180</v>
      </c>
      <c r="F1546" s="400" t="s">
        <v>5126</v>
      </c>
      <c r="G1546" s="400"/>
      <c r="H1546" s="400"/>
      <c r="I1546" s="400"/>
      <c r="J1546" s="400"/>
      <c r="K1546" s="400">
        <v>1</v>
      </c>
      <c r="L1546" s="400" t="s">
        <v>3333</v>
      </c>
      <c r="M1546" s="402" t="s">
        <v>3476</v>
      </c>
      <c r="N1546" s="400"/>
      <c r="O1546" s="428" t="s">
        <v>4417</v>
      </c>
      <c r="P1546" s="581"/>
      <c r="Q1546" s="399" t="s">
        <v>5146</v>
      </c>
      <c r="R1546" s="428"/>
      <c r="S1546" s="399"/>
      <c r="T1546" s="399"/>
      <c r="U1546" s="531"/>
      <c r="V1546" s="399"/>
      <c r="W1546" s="399" t="s">
        <v>5147</v>
      </c>
      <c r="X1546" s="400"/>
      <c r="Y1546" s="399" t="s">
        <v>208</v>
      </c>
      <c r="Z1546" s="531"/>
      <c r="AA1546" s="399" t="s">
        <v>113</v>
      </c>
      <c r="AB1546" s="399" t="s">
        <v>3178</v>
      </c>
      <c r="AC1546" s="532" t="s">
        <v>5882</v>
      </c>
      <c r="AD1546" s="400"/>
      <c r="AE1546" s="531"/>
      <c r="AF1546" s="531"/>
      <c r="AG1546" s="531"/>
      <c r="AH1546" s="590"/>
      <c r="AI1546" s="531"/>
      <c r="AJ1546" s="400"/>
      <c r="AK1546" s="399"/>
      <c r="AL1546" s="605"/>
      <c r="AM1546" s="531"/>
      <c r="AN1546" s="531"/>
      <c r="AO1546" s="531"/>
      <c r="AP1546" s="531"/>
      <c r="AQ1546" s="531"/>
      <c r="AR1546" s="531"/>
      <c r="AS1546" s="531"/>
      <c r="AT1546" s="399"/>
      <c r="AU1546" s="399"/>
      <c r="AV1546" s="399"/>
      <c r="AW1546" s="541"/>
      <c r="AX1546" s="541"/>
      <c r="AY1546" s="541"/>
      <c r="AZ1546" s="541"/>
      <c r="BA1546" s="541"/>
      <c r="BB1546" s="399"/>
      <c r="BC1546" s="399" t="e">
        <f t="shared" ca="1" si="2"/>
        <v>#NAME?</v>
      </c>
      <c r="BD1546" s="399"/>
      <c r="BE1546" s="399"/>
      <c r="BF1546" s="399"/>
      <c r="BG1546" s="540"/>
      <c r="BH1546" s="407"/>
      <c r="BI1546" s="407"/>
      <c r="BJ1546" s="543"/>
      <c r="BK1546" s="46">
        <f t="shared" si="1"/>
        <v>1</v>
      </c>
      <c r="BL1546" s="46">
        <f t="shared" si="3"/>
        <v>0</v>
      </c>
      <c r="BM1546" s="46">
        <f t="shared" si="4"/>
        <v>1</v>
      </c>
      <c r="BN1546" s="46">
        <f t="shared" si="5"/>
        <v>0</v>
      </c>
    </row>
    <row r="1547" spans="1:66" ht="12.75" customHeight="1">
      <c r="A1547" s="399">
        <v>1557</v>
      </c>
      <c r="B1547" s="399" t="s">
        <v>5151</v>
      </c>
      <c r="C1547" s="399" t="str">
        <f t="shared" si="0"/>
        <v>Anatomical abnormalities</v>
      </c>
      <c r="D1547" s="400" t="s">
        <v>5151</v>
      </c>
      <c r="E1547" s="399" t="s">
        <v>96</v>
      </c>
      <c r="F1547" s="400" t="s">
        <v>1787</v>
      </c>
      <c r="G1547" s="400"/>
      <c r="H1547" s="400"/>
      <c r="I1547" s="400"/>
      <c r="J1547" s="400"/>
      <c r="K1547" s="400">
        <v>1</v>
      </c>
      <c r="L1547" s="400" t="s">
        <v>3333</v>
      </c>
      <c r="M1547" s="402" t="s">
        <v>3476</v>
      </c>
      <c r="N1547" s="400"/>
      <c r="O1547" s="428" t="s">
        <v>4417</v>
      </c>
      <c r="P1547" s="581"/>
      <c r="Q1547" s="399" t="s">
        <v>5152</v>
      </c>
      <c r="R1547" s="428" t="s">
        <v>5151</v>
      </c>
      <c r="S1547" s="399"/>
      <c r="T1547" s="399"/>
      <c r="U1547" s="531"/>
      <c r="V1547" s="399"/>
      <c r="W1547" s="399"/>
      <c r="X1547" s="399"/>
      <c r="Y1547" s="399" t="s">
        <v>208</v>
      </c>
      <c r="Z1547" s="531"/>
      <c r="AA1547" s="399" t="s">
        <v>113</v>
      </c>
      <c r="AB1547" s="399" t="s">
        <v>3178</v>
      </c>
      <c r="AC1547" s="532" t="s">
        <v>5882</v>
      </c>
      <c r="AD1547" s="400"/>
      <c r="AE1547" s="531"/>
      <c r="AF1547" s="531"/>
      <c r="AG1547" s="531" t="s">
        <v>5153</v>
      </c>
      <c r="AH1547" s="590"/>
      <c r="AI1547" s="531"/>
      <c r="AJ1547" s="400"/>
      <c r="AK1547" s="399"/>
      <c r="AL1547" s="41" t="s">
        <v>5218</v>
      </c>
      <c r="AM1547" s="41" t="s">
        <v>5852</v>
      </c>
      <c r="AN1547" s="531"/>
      <c r="AO1547" s="41" t="s">
        <v>3100</v>
      </c>
      <c r="AP1547" s="441" t="s">
        <v>3101</v>
      </c>
      <c r="AQ1547" s="531"/>
      <c r="AR1547" s="531"/>
      <c r="AS1547" s="531"/>
      <c r="AT1547" s="399"/>
      <c r="AU1547" s="399"/>
      <c r="AV1547" s="399"/>
      <c r="AW1547" s="541"/>
      <c r="AX1547" s="541"/>
      <c r="AY1547" s="541"/>
      <c r="AZ1547" s="541"/>
      <c r="BA1547" s="541"/>
      <c r="BB1547" s="399"/>
      <c r="BC1547" s="399" t="str">
        <f t="shared" si="2"/>
        <v/>
      </c>
      <c r="BD1547" s="399"/>
      <c r="BE1547" s="399"/>
      <c r="BF1547" s="399"/>
      <c r="BG1547" s="540"/>
      <c r="BH1547" s="407"/>
      <c r="BI1547" s="407"/>
      <c r="BJ1547" s="543"/>
      <c r="BK1547" s="46">
        <f t="shared" si="1"/>
        <v>1</v>
      </c>
      <c r="BL1547" s="46">
        <f t="shared" si="3"/>
        <v>1</v>
      </c>
      <c r="BM1547" s="46">
        <f t="shared" si="4"/>
        <v>0</v>
      </c>
      <c r="BN1547" s="46">
        <f t="shared" si="5"/>
        <v>0</v>
      </c>
    </row>
    <row r="1548" spans="1:66" ht="12.75" customHeight="1">
      <c r="A1548" s="399">
        <v>1558</v>
      </c>
      <c r="B1548" s="399" t="s">
        <v>5155</v>
      </c>
      <c r="C1548" s="399" t="e">
        <f t="shared" ca="1" si="0"/>
        <v>#NAME?</v>
      </c>
      <c r="D1548" s="400" t="s">
        <v>5159</v>
      </c>
      <c r="E1548" s="399" t="s">
        <v>180</v>
      </c>
      <c r="F1548" s="400" t="s">
        <v>5151</v>
      </c>
      <c r="G1548" s="400"/>
      <c r="H1548" s="400"/>
      <c r="I1548" s="400"/>
      <c r="J1548" s="400"/>
      <c r="K1548" s="400">
        <v>1</v>
      </c>
      <c r="L1548" s="400" t="s">
        <v>3333</v>
      </c>
      <c r="M1548" s="402" t="s">
        <v>3476</v>
      </c>
      <c r="N1548" s="400"/>
      <c r="O1548" s="428" t="s">
        <v>4417</v>
      </c>
      <c r="P1548" s="581"/>
      <c r="Q1548" s="399" t="s">
        <v>5157</v>
      </c>
      <c r="R1548" s="428"/>
      <c r="S1548" s="399"/>
      <c r="T1548" s="399"/>
      <c r="U1548" s="531"/>
      <c r="V1548" s="399"/>
      <c r="W1548" s="493" t="s">
        <v>5159</v>
      </c>
      <c r="X1548" s="582"/>
      <c r="Y1548" s="399" t="s">
        <v>208</v>
      </c>
      <c r="Z1548" s="531"/>
      <c r="AA1548" s="399" t="s">
        <v>113</v>
      </c>
      <c r="AB1548" s="399" t="s">
        <v>3178</v>
      </c>
      <c r="AC1548" s="532" t="s">
        <v>5882</v>
      </c>
      <c r="AD1548" s="400"/>
      <c r="AE1548" s="531"/>
      <c r="AF1548" s="531"/>
      <c r="AG1548" s="531"/>
      <c r="AH1548" s="590"/>
      <c r="AI1548" s="531"/>
      <c r="AJ1548" s="400"/>
      <c r="AK1548" s="399"/>
      <c r="AL1548" s="605"/>
      <c r="AM1548" s="531"/>
      <c r="AN1548" s="531"/>
      <c r="AO1548" s="531"/>
      <c r="AP1548" s="531"/>
      <c r="AQ1548" s="531"/>
      <c r="AR1548" s="531"/>
      <c r="AS1548" s="531"/>
      <c r="AT1548" s="399"/>
      <c r="AU1548" s="399"/>
      <c r="AV1548" s="399"/>
      <c r="AW1548" s="541"/>
      <c r="AX1548" s="541"/>
      <c r="AY1548" s="541"/>
      <c r="AZ1548" s="541"/>
      <c r="BA1548" s="541"/>
      <c r="BB1548" s="399"/>
      <c r="BC1548" s="399" t="e">
        <f t="shared" ca="1" si="2"/>
        <v>#NAME?</v>
      </c>
      <c r="BD1548" s="399"/>
      <c r="BE1548" s="399"/>
      <c r="BF1548" s="399"/>
      <c r="BG1548" s="540"/>
      <c r="BH1548" s="407"/>
      <c r="BI1548" s="407"/>
      <c r="BJ1548" s="543"/>
      <c r="BK1548" s="46">
        <f t="shared" si="1"/>
        <v>1</v>
      </c>
      <c r="BL1548" s="46">
        <f t="shared" si="3"/>
        <v>0</v>
      </c>
      <c r="BM1548" s="46">
        <f t="shared" si="4"/>
        <v>1</v>
      </c>
      <c r="BN1548" s="46">
        <f t="shared" si="5"/>
        <v>0</v>
      </c>
    </row>
    <row r="1549" spans="1:66" ht="12.75" customHeight="1">
      <c r="A1549" s="399">
        <v>1559</v>
      </c>
      <c r="B1549" s="399" t="s">
        <v>5165</v>
      </c>
      <c r="C1549" s="399" t="e">
        <f t="shared" ca="1" si="0"/>
        <v>#NAME?</v>
      </c>
      <c r="D1549" s="400" t="s">
        <v>5164</v>
      </c>
      <c r="E1549" s="399" t="s">
        <v>180</v>
      </c>
      <c r="F1549" s="400" t="s">
        <v>5151</v>
      </c>
      <c r="G1549" s="400"/>
      <c r="H1549" s="400"/>
      <c r="I1549" s="400"/>
      <c r="J1549" s="400"/>
      <c r="K1549" s="400">
        <v>1</v>
      </c>
      <c r="L1549" s="400" t="s">
        <v>3333</v>
      </c>
      <c r="M1549" s="402" t="s">
        <v>3476</v>
      </c>
      <c r="N1549" s="400"/>
      <c r="O1549" s="428" t="s">
        <v>4417</v>
      </c>
      <c r="P1549" s="581"/>
      <c r="Q1549" s="399" t="s">
        <v>5163</v>
      </c>
      <c r="R1549" s="428"/>
      <c r="S1549" s="399"/>
      <c r="T1549" s="399"/>
      <c r="U1549" s="531"/>
      <c r="V1549" s="399"/>
      <c r="W1549" s="399" t="s">
        <v>5164</v>
      </c>
      <c r="X1549" s="400"/>
      <c r="Y1549" s="399" t="s">
        <v>208</v>
      </c>
      <c r="Z1549" s="531"/>
      <c r="AA1549" s="399" t="s">
        <v>113</v>
      </c>
      <c r="AB1549" s="399" t="s">
        <v>3178</v>
      </c>
      <c r="AC1549" s="532" t="s">
        <v>5882</v>
      </c>
      <c r="AD1549" s="400"/>
      <c r="AE1549" s="531"/>
      <c r="AF1549" s="531"/>
      <c r="AG1549" s="531"/>
      <c r="AH1549" s="590"/>
      <c r="AI1549" s="531"/>
      <c r="AJ1549" s="400"/>
      <c r="AK1549" s="399"/>
      <c r="AL1549" s="605"/>
      <c r="AM1549" s="531"/>
      <c r="AN1549" s="531"/>
      <c r="AO1549" s="531"/>
      <c r="AP1549" s="531"/>
      <c r="AQ1549" s="531"/>
      <c r="AR1549" s="531"/>
      <c r="AS1549" s="531"/>
      <c r="AT1549" s="399"/>
      <c r="AU1549" s="399"/>
      <c r="AV1549" s="399"/>
      <c r="AW1549" s="541"/>
      <c r="AX1549" s="541"/>
      <c r="AY1549" s="541"/>
      <c r="AZ1549" s="541"/>
      <c r="BA1549" s="541"/>
      <c r="BB1549" s="399"/>
      <c r="BC1549" s="399" t="e">
        <f t="shared" ca="1" si="2"/>
        <v>#NAME?</v>
      </c>
      <c r="BD1549" s="399"/>
      <c r="BE1549" s="399"/>
      <c r="BF1549" s="399"/>
      <c r="BG1549" s="540"/>
      <c r="BH1549" s="407"/>
      <c r="BI1549" s="407"/>
      <c r="BJ1549" s="543"/>
      <c r="BK1549" s="46">
        <f t="shared" si="1"/>
        <v>1</v>
      </c>
      <c r="BL1549" s="46">
        <f t="shared" si="3"/>
        <v>0</v>
      </c>
      <c r="BM1549" s="46">
        <f t="shared" si="4"/>
        <v>1</v>
      </c>
      <c r="BN1549" s="46">
        <f t="shared" si="5"/>
        <v>0</v>
      </c>
    </row>
    <row r="1550" spans="1:66" ht="12.75" customHeight="1">
      <c r="A1550" s="399">
        <v>1560</v>
      </c>
      <c r="B1550" s="399" t="s">
        <v>5170</v>
      </c>
      <c r="C1550" s="399" t="str">
        <f t="shared" si="0"/>
        <v>Pelvic inflammatory disease (PID)</v>
      </c>
      <c r="D1550" s="400" t="s">
        <v>5170</v>
      </c>
      <c r="E1550" s="399" t="s">
        <v>96</v>
      </c>
      <c r="F1550" s="400" t="s">
        <v>1787</v>
      </c>
      <c r="G1550" s="400"/>
      <c r="H1550" s="400"/>
      <c r="I1550" s="400"/>
      <c r="J1550" s="400"/>
      <c r="K1550" s="400">
        <v>1</v>
      </c>
      <c r="L1550" s="400" t="s">
        <v>3333</v>
      </c>
      <c r="M1550" s="402" t="s">
        <v>3476</v>
      </c>
      <c r="N1550" s="400"/>
      <c r="O1550" s="428" t="s">
        <v>4417</v>
      </c>
      <c r="P1550" s="581"/>
      <c r="Q1550" s="399" t="s">
        <v>5173</v>
      </c>
      <c r="R1550" s="428" t="s">
        <v>5170</v>
      </c>
      <c r="S1550" s="399"/>
      <c r="T1550" s="399"/>
      <c r="U1550" s="399" t="s">
        <v>4823</v>
      </c>
      <c r="V1550" s="399"/>
      <c r="W1550" s="399"/>
      <c r="X1550" s="399"/>
      <c r="Y1550" s="399" t="s">
        <v>208</v>
      </c>
      <c r="Z1550" s="531"/>
      <c r="AA1550" s="399" t="s">
        <v>113</v>
      </c>
      <c r="AB1550" s="399" t="s">
        <v>3178</v>
      </c>
      <c r="AC1550" s="532" t="s">
        <v>5882</v>
      </c>
      <c r="AD1550" s="400"/>
      <c r="AE1550" s="531"/>
      <c r="AF1550" s="531"/>
      <c r="AG1550" s="531" t="s">
        <v>5174</v>
      </c>
      <c r="AH1550" s="590"/>
      <c r="AI1550" s="531"/>
      <c r="AJ1550" s="400"/>
      <c r="AK1550" s="399"/>
      <c r="AL1550" s="41" t="s">
        <v>5218</v>
      </c>
      <c r="AM1550" s="41" t="s">
        <v>5852</v>
      </c>
      <c r="AN1550" s="531"/>
      <c r="AO1550" s="41" t="s">
        <v>3100</v>
      </c>
      <c r="AP1550" s="441" t="s">
        <v>3101</v>
      </c>
      <c r="AQ1550" s="531"/>
      <c r="AR1550" s="531"/>
      <c r="AS1550" s="531"/>
      <c r="AT1550" s="400" t="s">
        <v>5178</v>
      </c>
      <c r="AU1550" s="400" t="s">
        <v>5179</v>
      </c>
      <c r="AV1550" s="400">
        <v>198130006</v>
      </c>
      <c r="AW1550" s="541"/>
      <c r="AX1550" s="541"/>
      <c r="AY1550" s="541"/>
      <c r="AZ1550" s="541"/>
      <c r="BA1550" s="541"/>
      <c r="BB1550" s="400"/>
      <c r="BC1550" s="399" t="str">
        <f t="shared" si="2"/>
        <v/>
      </c>
      <c r="BD1550" s="400">
        <v>902</v>
      </c>
      <c r="BE1550" s="399"/>
      <c r="BF1550" s="399"/>
      <c r="BG1550" s="540"/>
      <c r="BH1550" s="407" t="s">
        <v>5178</v>
      </c>
      <c r="BI1550" s="407">
        <v>198130006</v>
      </c>
      <c r="BJ1550" s="543"/>
      <c r="BK1550" s="46">
        <f t="shared" si="1"/>
        <v>1</v>
      </c>
      <c r="BL1550" s="46">
        <f t="shared" si="3"/>
        <v>1</v>
      </c>
      <c r="BM1550" s="46">
        <f t="shared" si="4"/>
        <v>0</v>
      </c>
      <c r="BN1550" s="46">
        <f t="shared" si="5"/>
        <v>0</v>
      </c>
    </row>
    <row r="1551" spans="1:66" ht="12.75" customHeight="1">
      <c r="A1551" s="399">
        <v>1561</v>
      </c>
      <c r="B1551" s="399" t="s">
        <v>5187</v>
      </c>
      <c r="C1551" s="399" t="e">
        <f t="shared" ca="1" si="0"/>
        <v>#NAME?</v>
      </c>
      <c r="D1551" s="400" t="s">
        <v>5185</v>
      </c>
      <c r="E1551" s="399" t="s">
        <v>180</v>
      </c>
      <c r="F1551" s="400" t="s">
        <v>5170</v>
      </c>
      <c r="G1551" s="400"/>
      <c r="H1551" s="400"/>
      <c r="I1551" s="400"/>
      <c r="J1551" s="400"/>
      <c r="K1551" s="400">
        <v>1</v>
      </c>
      <c r="L1551" s="400" t="s">
        <v>3333</v>
      </c>
      <c r="M1551" s="402" t="s">
        <v>3476</v>
      </c>
      <c r="N1551" s="400"/>
      <c r="O1551" s="428" t="s">
        <v>4417</v>
      </c>
      <c r="P1551" s="581"/>
      <c r="Q1551" s="399" t="s">
        <v>5184</v>
      </c>
      <c r="R1551" s="428"/>
      <c r="S1551" s="399"/>
      <c r="T1551" s="399"/>
      <c r="U1551" s="531"/>
      <c r="V1551" s="399"/>
      <c r="W1551" s="399" t="s">
        <v>5185</v>
      </c>
      <c r="X1551" s="400"/>
      <c r="Y1551" s="399" t="s">
        <v>208</v>
      </c>
      <c r="Z1551" s="531"/>
      <c r="AA1551" s="399" t="s">
        <v>113</v>
      </c>
      <c r="AB1551" s="399" t="s">
        <v>3178</v>
      </c>
      <c r="AC1551" s="532" t="s">
        <v>5915</v>
      </c>
      <c r="AD1551" s="400"/>
      <c r="AE1551" s="531"/>
      <c r="AF1551" s="531"/>
      <c r="AG1551" s="531"/>
      <c r="AH1551" s="590"/>
      <c r="AI1551" s="531"/>
      <c r="AJ1551" s="400"/>
      <c r="AK1551" s="399"/>
      <c r="AL1551" s="605"/>
      <c r="AM1551" s="531"/>
      <c r="AN1551" s="531"/>
      <c r="AO1551" s="531"/>
      <c r="AP1551" s="531"/>
      <c r="AQ1551" s="531"/>
      <c r="AR1551" s="531"/>
      <c r="AS1551" s="531"/>
      <c r="AT1551" s="399"/>
      <c r="AU1551" s="399"/>
      <c r="AV1551" s="399"/>
      <c r="AW1551" s="541"/>
      <c r="AX1551" s="541"/>
      <c r="AY1551" s="541"/>
      <c r="AZ1551" s="541"/>
      <c r="BA1551" s="541"/>
      <c r="BB1551" s="399"/>
      <c r="BC1551" s="399" t="e">
        <f t="shared" ca="1" si="2"/>
        <v>#NAME?</v>
      </c>
      <c r="BD1551" s="399"/>
      <c r="BE1551" s="399"/>
      <c r="BF1551" s="399"/>
      <c r="BG1551" s="540"/>
      <c r="BH1551" s="407"/>
      <c r="BI1551" s="407"/>
      <c r="BJ1551" s="543"/>
      <c r="BK1551" s="46">
        <f t="shared" si="1"/>
        <v>1</v>
      </c>
      <c r="BL1551" s="46">
        <f t="shared" si="3"/>
        <v>0</v>
      </c>
      <c r="BM1551" s="46">
        <f t="shared" si="4"/>
        <v>1</v>
      </c>
      <c r="BN1551" s="46">
        <f t="shared" si="5"/>
        <v>0</v>
      </c>
    </row>
    <row r="1552" spans="1:66" ht="12.75" customHeight="1">
      <c r="A1552" s="399">
        <v>1562</v>
      </c>
      <c r="B1552" s="399" t="s">
        <v>5191</v>
      </c>
      <c r="C1552" s="399" t="e">
        <f t="shared" ca="1" si="0"/>
        <v>#NAME?</v>
      </c>
      <c r="D1552" s="400" t="s">
        <v>5190</v>
      </c>
      <c r="E1552" s="399" t="s">
        <v>180</v>
      </c>
      <c r="F1552" s="400" t="s">
        <v>5170</v>
      </c>
      <c r="G1552" s="400"/>
      <c r="H1552" s="400"/>
      <c r="I1552" s="400"/>
      <c r="J1552" s="400"/>
      <c r="K1552" s="400">
        <v>1</v>
      </c>
      <c r="L1552" s="400" t="s">
        <v>3333</v>
      </c>
      <c r="M1552" s="402" t="s">
        <v>3476</v>
      </c>
      <c r="N1552" s="400"/>
      <c r="O1552" s="428" t="s">
        <v>4417</v>
      </c>
      <c r="P1552" s="581"/>
      <c r="Q1552" s="399" t="s">
        <v>5189</v>
      </c>
      <c r="R1552" s="428"/>
      <c r="S1552" s="399"/>
      <c r="T1552" s="399"/>
      <c r="U1552" s="531"/>
      <c r="V1552" s="399"/>
      <c r="W1552" s="399" t="s">
        <v>5190</v>
      </c>
      <c r="X1552" s="400"/>
      <c r="Y1552" s="399" t="s">
        <v>208</v>
      </c>
      <c r="Z1552" s="531"/>
      <c r="AA1552" s="399" t="s">
        <v>113</v>
      </c>
      <c r="AB1552" s="399" t="s">
        <v>3178</v>
      </c>
      <c r="AC1552" s="532" t="s">
        <v>5915</v>
      </c>
      <c r="AD1552" s="400"/>
      <c r="AE1552" s="531"/>
      <c r="AF1552" s="531"/>
      <c r="AG1552" s="531"/>
      <c r="AH1552" s="590"/>
      <c r="AI1552" s="531"/>
      <c r="AJ1552" s="400"/>
      <c r="AK1552" s="399"/>
      <c r="AL1552" s="605"/>
      <c r="AM1552" s="531"/>
      <c r="AN1552" s="531"/>
      <c r="AO1552" s="531"/>
      <c r="AP1552" s="531"/>
      <c r="AQ1552" s="531"/>
      <c r="AR1552" s="531"/>
      <c r="AS1552" s="531"/>
      <c r="AT1552" s="399"/>
      <c r="AU1552" s="399"/>
      <c r="AV1552" s="399"/>
      <c r="AW1552" s="541"/>
      <c r="AX1552" s="541"/>
      <c r="AY1552" s="541"/>
      <c r="AZ1552" s="541"/>
      <c r="BA1552" s="541"/>
      <c r="BB1552" s="399"/>
      <c r="BC1552" s="399" t="e">
        <f t="shared" ca="1" si="2"/>
        <v>#NAME?</v>
      </c>
      <c r="BD1552" s="399"/>
      <c r="BE1552" s="399"/>
      <c r="BF1552" s="399"/>
      <c r="BG1552" s="540"/>
      <c r="BH1552" s="407"/>
      <c r="BI1552" s="407"/>
      <c r="BJ1552" s="543"/>
      <c r="BK1552" s="46">
        <f t="shared" si="1"/>
        <v>1</v>
      </c>
      <c r="BL1552" s="46">
        <f t="shared" si="3"/>
        <v>0</v>
      </c>
      <c r="BM1552" s="46">
        <f t="shared" si="4"/>
        <v>1</v>
      </c>
      <c r="BN1552" s="46">
        <f t="shared" si="5"/>
        <v>0</v>
      </c>
    </row>
    <row r="1553" spans="1:66" ht="12.75" customHeight="1">
      <c r="A1553" s="399">
        <v>1563</v>
      </c>
      <c r="B1553" s="399" t="s">
        <v>5192</v>
      </c>
      <c r="C1553" s="399" t="str">
        <f t="shared" si="0"/>
        <v>Sexually transmitted infections (STIs)</v>
      </c>
      <c r="D1553" s="400" t="s">
        <v>5192</v>
      </c>
      <c r="E1553" s="399" t="s">
        <v>96</v>
      </c>
      <c r="F1553" s="400" t="s">
        <v>1787</v>
      </c>
      <c r="G1553" s="400"/>
      <c r="H1553" s="400"/>
      <c r="I1553" s="400"/>
      <c r="J1553" s="400"/>
      <c r="K1553" s="400">
        <v>1</v>
      </c>
      <c r="L1553" s="400" t="s">
        <v>3333</v>
      </c>
      <c r="M1553" s="402" t="s">
        <v>3499</v>
      </c>
      <c r="N1553" s="400"/>
      <c r="O1553" s="428" t="s">
        <v>4417</v>
      </c>
      <c r="P1553" s="581"/>
      <c r="Q1553" s="399" t="s">
        <v>5193</v>
      </c>
      <c r="R1553" s="428" t="s">
        <v>5192</v>
      </c>
      <c r="S1553" s="399" t="s">
        <v>5194</v>
      </c>
      <c r="T1553" s="399" t="s">
        <v>5924</v>
      </c>
      <c r="U1553" s="399" t="s">
        <v>4823</v>
      </c>
      <c r="V1553" s="399"/>
      <c r="W1553" s="399"/>
      <c r="X1553" s="399"/>
      <c r="Y1553" s="399" t="s">
        <v>208</v>
      </c>
      <c r="Z1553" s="531"/>
      <c r="AA1553" s="399" t="s">
        <v>113</v>
      </c>
      <c r="AB1553" s="399" t="s">
        <v>3178</v>
      </c>
      <c r="AC1553" s="617" t="s">
        <v>5851</v>
      </c>
      <c r="AD1553" s="594"/>
      <c r="AE1553" s="531"/>
      <c r="AF1553" s="531"/>
      <c r="AG1553" s="531"/>
      <c r="AH1553" s="590"/>
      <c r="AI1553" s="531"/>
      <c r="AJ1553" s="594"/>
      <c r="AK1553" s="399"/>
      <c r="AL1553" s="605"/>
      <c r="AM1553" s="531"/>
      <c r="AN1553" s="531"/>
      <c r="AO1553" s="531"/>
      <c r="AP1553" s="531"/>
      <c r="AQ1553" s="531"/>
      <c r="AR1553" s="531"/>
      <c r="AS1553" s="531"/>
      <c r="AT1553" s="399"/>
      <c r="AU1553" s="399"/>
      <c r="AV1553" s="399"/>
      <c r="AW1553" s="541"/>
      <c r="AX1553" s="541"/>
      <c r="AY1553" s="541"/>
      <c r="AZ1553" s="541"/>
      <c r="BA1553" s="541"/>
      <c r="BB1553" s="399"/>
      <c r="BC1553" s="399" t="str">
        <f t="shared" si="2"/>
        <v/>
      </c>
      <c r="BD1553" s="399"/>
      <c r="BE1553" s="399"/>
      <c r="BF1553" s="399"/>
      <c r="BG1553" s="540"/>
      <c r="BH1553" s="407"/>
      <c r="BI1553" s="407"/>
      <c r="BJ1553" s="543"/>
      <c r="BK1553" s="46">
        <f t="shared" si="1"/>
        <v>1</v>
      </c>
      <c r="BL1553" s="46">
        <f t="shared" si="3"/>
        <v>0</v>
      </c>
      <c r="BM1553" s="46">
        <f t="shared" si="4"/>
        <v>1</v>
      </c>
      <c r="BN1553" s="46">
        <f t="shared" si="5"/>
        <v>0</v>
      </c>
    </row>
    <row r="1554" spans="1:66" ht="12.75" customHeight="1">
      <c r="A1554" s="399">
        <v>1564</v>
      </c>
      <c r="B1554" s="399" t="s">
        <v>5206</v>
      </c>
      <c r="C1554" s="399" t="e">
        <f t="shared" ca="1" si="0"/>
        <v>#NAME?</v>
      </c>
      <c r="D1554" s="400" t="s">
        <v>5201</v>
      </c>
      <c r="E1554" s="399" t="s">
        <v>180</v>
      </c>
      <c r="F1554" s="400" t="s">
        <v>5192</v>
      </c>
      <c r="G1554" s="400"/>
      <c r="H1554" s="400"/>
      <c r="I1554" s="400"/>
      <c r="J1554" s="400"/>
      <c r="K1554" s="400">
        <v>1</v>
      </c>
      <c r="L1554" s="400" t="s">
        <v>3333</v>
      </c>
      <c r="M1554" s="402" t="s">
        <v>3499</v>
      </c>
      <c r="N1554" s="400"/>
      <c r="O1554" s="428" t="s">
        <v>4417</v>
      </c>
      <c r="P1554" s="574"/>
      <c r="Q1554" s="399" t="s">
        <v>5202</v>
      </c>
      <c r="R1554" s="428"/>
      <c r="S1554" s="399"/>
      <c r="T1554" s="399"/>
      <c r="U1554" s="400"/>
      <c r="V1554" s="399"/>
      <c r="W1554" s="399" t="s">
        <v>5201</v>
      </c>
      <c r="X1554" s="400"/>
      <c r="Y1554" s="399" t="s">
        <v>208</v>
      </c>
      <c r="Z1554" s="400"/>
      <c r="AA1554" s="399" t="s">
        <v>113</v>
      </c>
      <c r="AB1554" s="399" t="s">
        <v>3178</v>
      </c>
      <c r="AC1554" s="617" t="s">
        <v>5851</v>
      </c>
      <c r="AD1554" s="400"/>
      <c r="AE1554" s="400"/>
      <c r="AF1554" s="400"/>
      <c r="AG1554" s="399" t="s">
        <v>4489</v>
      </c>
      <c r="AH1554" s="532" t="s">
        <v>3851</v>
      </c>
      <c r="AI1554" s="400"/>
      <c r="AJ1554" s="400"/>
      <c r="AK1554" s="399"/>
      <c r="AL1554" s="399"/>
      <c r="AM1554" s="399"/>
      <c r="AN1554" s="399"/>
      <c r="AO1554" s="399"/>
      <c r="AP1554" s="399"/>
      <c r="AQ1554" s="399"/>
      <c r="AR1554" s="399"/>
      <c r="AS1554" s="399"/>
      <c r="AT1554" s="400" t="s">
        <v>5208</v>
      </c>
      <c r="AU1554" s="400" t="s">
        <v>5209</v>
      </c>
      <c r="AV1554" s="400">
        <v>15628003</v>
      </c>
      <c r="AW1554" s="541"/>
      <c r="AX1554" s="541"/>
      <c r="AY1554" s="541"/>
      <c r="AZ1554" s="541"/>
      <c r="BA1554" s="541"/>
      <c r="BB1554" s="400"/>
      <c r="BC1554" s="399" t="e">
        <f t="shared" ca="1" si="2"/>
        <v>#NAME?</v>
      </c>
      <c r="BD1554" s="400">
        <v>117767</v>
      </c>
      <c r="BE1554" s="400"/>
      <c r="BF1554" s="400"/>
      <c r="BG1554" s="540"/>
      <c r="BH1554" s="407" t="s">
        <v>5208</v>
      </c>
      <c r="BI1554" s="407">
        <v>15628003</v>
      </c>
      <c r="BJ1554" s="543"/>
      <c r="BK1554" s="46">
        <f t="shared" si="1"/>
        <v>1</v>
      </c>
      <c r="BL1554" s="46">
        <f t="shared" si="3"/>
        <v>1</v>
      </c>
      <c r="BM1554" s="46">
        <f t="shared" si="4"/>
        <v>0</v>
      </c>
      <c r="BN1554" s="46">
        <f t="shared" si="5"/>
        <v>0</v>
      </c>
    </row>
    <row r="1555" spans="1:66" ht="12.75" customHeight="1">
      <c r="A1555" s="399">
        <v>1565</v>
      </c>
      <c r="B1555" s="399" t="s">
        <v>5214</v>
      </c>
      <c r="C1555" s="399" t="e">
        <f t="shared" ca="1" si="0"/>
        <v>#NAME?</v>
      </c>
      <c r="D1555" s="400" t="s">
        <v>5212</v>
      </c>
      <c r="E1555" s="399" t="s">
        <v>180</v>
      </c>
      <c r="F1555" s="400" t="s">
        <v>5192</v>
      </c>
      <c r="G1555" s="400"/>
      <c r="H1555" s="400"/>
      <c r="I1555" s="400"/>
      <c r="J1555" s="400"/>
      <c r="K1555" s="400">
        <v>1</v>
      </c>
      <c r="L1555" s="400" t="s">
        <v>3333</v>
      </c>
      <c r="M1555" s="402" t="s">
        <v>3499</v>
      </c>
      <c r="N1555" s="400"/>
      <c r="O1555" s="428" t="s">
        <v>4417</v>
      </c>
      <c r="P1555" s="574"/>
      <c r="Q1555" s="399" t="s">
        <v>5213</v>
      </c>
      <c r="R1555" s="428"/>
      <c r="S1555" s="399"/>
      <c r="T1555" s="399"/>
      <c r="U1555" s="400"/>
      <c r="V1555" s="399"/>
      <c r="W1555" s="399" t="s">
        <v>5212</v>
      </c>
      <c r="X1555" s="400"/>
      <c r="Y1555" s="399" t="s">
        <v>208</v>
      </c>
      <c r="Z1555" s="400"/>
      <c r="AA1555" s="399" t="s">
        <v>113</v>
      </c>
      <c r="AB1555" s="399" t="s">
        <v>3178</v>
      </c>
      <c r="AC1555" s="617" t="s">
        <v>5851</v>
      </c>
      <c r="AD1555" s="400"/>
      <c r="AE1555" s="400"/>
      <c r="AF1555" s="400"/>
      <c r="AG1555" s="399" t="s">
        <v>4489</v>
      </c>
      <c r="AH1555" s="532" t="s">
        <v>3851</v>
      </c>
      <c r="AI1555" s="400"/>
      <c r="AJ1555" s="400"/>
      <c r="AK1555" s="399"/>
      <c r="AL1555" s="399"/>
      <c r="AM1555" s="399"/>
      <c r="AN1555" s="399"/>
      <c r="AO1555" s="399"/>
      <c r="AP1555" s="399"/>
      <c r="AQ1555" s="399"/>
      <c r="AR1555" s="399"/>
      <c r="AS1555" s="399"/>
      <c r="AT1555" s="400" t="s">
        <v>5215</v>
      </c>
      <c r="AU1555" s="400" t="s">
        <v>5216</v>
      </c>
      <c r="AV1555" s="400">
        <v>16241000</v>
      </c>
      <c r="AW1555" s="541"/>
      <c r="AX1555" s="541"/>
      <c r="AY1555" s="541"/>
      <c r="AZ1555" s="541"/>
      <c r="BA1555" s="541"/>
      <c r="BB1555" s="400"/>
      <c r="BC1555" s="399" t="e">
        <f t="shared" ca="1" si="2"/>
        <v>#NAME?</v>
      </c>
      <c r="BD1555" s="400">
        <v>120733</v>
      </c>
      <c r="BE1555" s="400"/>
      <c r="BF1555" s="400"/>
      <c r="BG1555" s="540"/>
      <c r="BH1555" s="407" t="s">
        <v>5215</v>
      </c>
      <c r="BI1555" s="407">
        <v>16241000</v>
      </c>
      <c r="BJ1555" s="543"/>
      <c r="BK1555" s="46">
        <f t="shared" si="1"/>
        <v>1</v>
      </c>
      <c r="BL1555" s="46">
        <f t="shared" si="3"/>
        <v>1</v>
      </c>
      <c r="BM1555" s="46">
        <f t="shared" si="4"/>
        <v>0</v>
      </c>
      <c r="BN1555" s="46">
        <f t="shared" si="5"/>
        <v>0</v>
      </c>
    </row>
    <row r="1556" spans="1:66" ht="12.75" customHeight="1">
      <c r="A1556" s="399">
        <v>1566</v>
      </c>
      <c r="B1556" s="399" t="s">
        <v>5223</v>
      </c>
      <c r="C1556" s="399" t="e">
        <f t="shared" ca="1" si="0"/>
        <v>#NAME?</v>
      </c>
      <c r="D1556" s="400" t="s">
        <v>5221</v>
      </c>
      <c r="E1556" s="399" t="s">
        <v>180</v>
      </c>
      <c r="F1556" s="400" t="s">
        <v>5192</v>
      </c>
      <c r="G1556" s="400"/>
      <c r="H1556" s="400"/>
      <c r="I1556" s="400"/>
      <c r="J1556" s="400"/>
      <c r="K1556" s="400">
        <v>1</v>
      </c>
      <c r="L1556" s="400" t="s">
        <v>3333</v>
      </c>
      <c r="M1556" s="402" t="s">
        <v>3499</v>
      </c>
      <c r="N1556" s="400"/>
      <c r="O1556" s="428" t="s">
        <v>4417</v>
      </c>
      <c r="P1556" s="581"/>
      <c r="Q1556" s="399" t="s">
        <v>5222</v>
      </c>
      <c r="R1556" s="428"/>
      <c r="S1556" s="399"/>
      <c r="T1556" s="399"/>
      <c r="U1556" s="531"/>
      <c r="V1556" s="399"/>
      <c r="W1556" s="399" t="s">
        <v>5221</v>
      </c>
      <c r="X1556" s="400"/>
      <c r="Y1556" s="399" t="s">
        <v>208</v>
      </c>
      <c r="Z1556" s="531"/>
      <c r="AA1556" s="399" t="s">
        <v>113</v>
      </c>
      <c r="AB1556" s="399" t="s">
        <v>3178</v>
      </c>
      <c r="AC1556" s="617" t="s">
        <v>5851</v>
      </c>
      <c r="AD1556" s="594"/>
      <c r="AE1556" s="531"/>
      <c r="AF1556" s="531"/>
      <c r="AG1556" s="531"/>
      <c r="AH1556" s="590"/>
      <c r="AI1556" s="531"/>
      <c r="AJ1556" s="594"/>
      <c r="AK1556" s="399"/>
      <c r="AL1556" s="605"/>
      <c r="AM1556" s="531"/>
      <c r="AN1556" s="531"/>
      <c r="AO1556" s="531"/>
      <c r="AP1556" s="531"/>
      <c r="AQ1556" s="531"/>
      <c r="AR1556" s="531"/>
      <c r="AS1556" s="531"/>
      <c r="AT1556" s="399"/>
      <c r="AU1556" s="399"/>
      <c r="AV1556" s="399"/>
      <c r="AW1556" s="541"/>
      <c r="AX1556" s="541"/>
      <c r="AY1556" s="541"/>
      <c r="AZ1556" s="541"/>
      <c r="BA1556" s="541"/>
      <c r="BB1556" s="399"/>
      <c r="BC1556" s="399" t="e">
        <f t="shared" ca="1" si="2"/>
        <v>#NAME?</v>
      </c>
      <c r="BD1556" s="399"/>
      <c r="BE1556" s="399"/>
      <c r="BF1556" s="399"/>
      <c r="BG1556" s="540"/>
      <c r="BH1556" s="407"/>
      <c r="BI1556" s="407"/>
      <c r="BJ1556" s="543"/>
      <c r="BK1556" s="46">
        <f t="shared" si="1"/>
        <v>1</v>
      </c>
      <c r="BL1556" s="46">
        <f t="shared" si="3"/>
        <v>0</v>
      </c>
      <c r="BM1556" s="46">
        <f t="shared" si="4"/>
        <v>1</v>
      </c>
      <c r="BN1556" s="46">
        <f t="shared" si="5"/>
        <v>0</v>
      </c>
    </row>
    <row r="1557" spans="1:66" ht="12.75" customHeight="1">
      <c r="A1557" s="399">
        <v>1567</v>
      </c>
      <c r="B1557" s="399" t="s">
        <v>5228</v>
      </c>
      <c r="C1557" s="399" t="e">
        <f t="shared" ca="1" si="0"/>
        <v>#NAME?</v>
      </c>
      <c r="D1557" s="400" t="s">
        <v>5226</v>
      </c>
      <c r="E1557" s="399" t="s">
        <v>180</v>
      </c>
      <c r="F1557" s="400" t="s">
        <v>5192</v>
      </c>
      <c r="G1557" s="400"/>
      <c r="H1557" s="400"/>
      <c r="I1557" s="400"/>
      <c r="J1557" s="400"/>
      <c r="K1557" s="400">
        <v>1</v>
      </c>
      <c r="L1557" s="400" t="s">
        <v>3333</v>
      </c>
      <c r="M1557" s="402" t="s">
        <v>3499</v>
      </c>
      <c r="N1557" s="400"/>
      <c r="O1557" s="428" t="s">
        <v>4417</v>
      </c>
      <c r="P1557" s="581"/>
      <c r="Q1557" s="399" t="s">
        <v>5227</v>
      </c>
      <c r="R1557" s="428"/>
      <c r="S1557" s="399"/>
      <c r="T1557" s="399"/>
      <c r="U1557" s="531"/>
      <c r="V1557" s="399"/>
      <c r="W1557" s="493" t="s">
        <v>5226</v>
      </c>
      <c r="X1557" s="582"/>
      <c r="Y1557" s="399" t="s">
        <v>208</v>
      </c>
      <c r="Z1557" s="531"/>
      <c r="AA1557" s="399" t="s">
        <v>113</v>
      </c>
      <c r="AB1557" s="399" t="s">
        <v>3178</v>
      </c>
      <c r="AC1557" s="617" t="s">
        <v>5851</v>
      </c>
      <c r="AD1557" s="594"/>
      <c r="AE1557" s="531"/>
      <c r="AF1557" s="531"/>
      <c r="AG1557" s="531"/>
      <c r="AH1557" s="590"/>
      <c r="AI1557" s="531"/>
      <c r="AJ1557" s="594"/>
      <c r="AK1557" s="399"/>
      <c r="AL1557" s="605"/>
      <c r="AM1557" s="531"/>
      <c r="AN1557" s="531"/>
      <c r="AO1557" s="531"/>
      <c r="AP1557" s="531"/>
      <c r="AQ1557" s="531"/>
      <c r="AR1557" s="531"/>
      <c r="AS1557" s="531"/>
      <c r="AT1557" s="399"/>
      <c r="AU1557" s="399"/>
      <c r="AV1557" s="399"/>
      <c r="AW1557" s="541"/>
      <c r="AX1557" s="541"/>
      <c r="AY1557" s="541"/>
      <c r="AZ1557" s="541"/>
      <c r="BA1557" s="541"/>
      <c r="BB1557" s="399"/>
      <c r="BC1557" s="399" t="e">
        <f t="shared" ca="1" si="2"/>
        <v>#NAME?</v>
      </c>
      <c r="BD1557" s="399"/>
      <c r="BE1557" s="399"/>
      <c r="BF1557" s="399"/>
      <c r="BG1557" s="540"/>
      <c r="BH1557" s="407"/>
      <c r="BI1557" s="407"/>
      <c r="BJ1557" s="543"/>
      <c r="BK1557" s="46">
        <f t="shared" si="1"/>
        <v>1</v>
      </c>
      <c r="BL1557" s="46">
        <f t="shared" si="3"/>
        <v>0</v>
      </c>
      <c r="BM1557" s="46">
        <f t="shared" si="4"/>
        <v>1</v>
      </c>
      <c r="BN1557" s="46">
        <f t="shared" si="5"/>
        <v>0</v>
      </c>
    </row>
    <row r="1558" spans="1:66" ht="12.75" customHeight="1">
      <c r="A1558" s="399">
        <v>1568</v>
      </c>
      <c r="B1558" s="399" t="s">
        <v>5235</v>
      </c>
      <c r="C1558" s="399" t="e">
        <f t="shared" ca="1" si="0"/>
        <v>#NAME?</v>
      </c>
      <c r="D1558" s="400" t="s">
        <v>5232</v>
      </c>
      <c r="E1558" s="399" t="s">
        <v>180</v>
      </c>
      <c r="F1558" s="400" t="s">
        <v>5192</v>
      </c>
      <c r="G1558" s="400"/>
      <c r="H1558" s="400"/>
      <c r="I1558" s="400"/>
      <c r="J1558" s="400"/>
      <c r="K1558" s="400">
        <v>1</v>
      </c>
      <c r="L1558" s="400" t="s">
        <v>3333</v>
      </c>
      <c r="M1558" s="402" t="s">
        <v>3499</v>
      </c>
      <c r="N1558" s="400"/>
      <c r="O1558" s="428" t="s">
        <v>4417</v>
      </c>
      <c r="P1558" s="581"/>
      <c r="Q1558" s="399" t="s">
        <v>4245</v>
      </c>
      <c r="R1558" s="428"/>
      <c r="S1558" s="399"/>
      <c r="T1558" s="399"/>
      <c r="U1558" s="531"/>
      <c r="V1558" s="399"/>
      <c r="W1558" s="399" t="s">
        <v>5232</v>
      </c>
      <c r="X1558" s="400"/>
      <c r="Y1558" s="399" t="s">
        <v>113</v>
      </c>
      <c r="Z1558" s="399" t="s">
        <v>5233</v>
      </c>
      <c r="AA1558" s="399" t="s">
        <v>113</v>
      </c>
      <c r="AB1558" s="399" t="s">
        <v>3178</v>
      </c>
      <c r="AC1558" s="532" t="s">
        <v>5938</v>
      </c>
      <c r="AD1558" s="594"/>
      <c r="AE1558" s="531"/>
      <c r="AF1558" s="531"/>
      <c r="AG1558" s="399" t="s">
        <v>4489</v>
      </c>
      <c r="AH1558" s="532" t="s">
        <v>3851</v>
      </c>
      <c r="AI1558" s="531"/>
      <c r="AJ1558" s="594"/>
      <c r="AK1558" s="399"/>
      <c r="AL1558" s="605"/>
      <c r="AM1558" s="531"/>
      <c r="AN1558" s="531"/>
      <c r="AO1558" s="531"/>
      <c r="AP1558" s="531"/>
      <c r="AQ1558" s="531"/>
      <c r="AR1558" s="531"/>
      <c r="AS1558" s="531"/>
      <c r="AT1558" s="399"/>
      <c r="AU1558" s="399"/>
      <c r="AV1558" s="399">
        <v>30800001</v>
      </c>
      <c r="AW1558" s="541"/>
      <c r="AX1558" s="541"/>
      <c r="AY1558" s="541"/>
      <c r="AZ1558" s="541"/>
      <c r="BA1558" s="541"/>
      <c r="BB1558" s="399"/>
      <c r="BC1558" s="399" t="e">
        <f t="shared" ca="1" si="2"/>
        <v>#NAME?</v>
      </c>
      <c r="BD1558" s="399"/>
      <c r="BE1558" s="399"/>
      <c r="BF1558" s="399"/>
      <c r="BG1558" s="540"/>
      <c r="BH1558" s="407"/>
      <c r="BI1558" s="407">
        <v>30800001</v>
      </c>
      <c r="BJ1558" s="543"/>
      <c r="BK1558" s="46">
        <f t="shared" si="1"/>
        <v>1</v>
      </c>
      <c r="BL1558" s="46">
        <f t="shared" si="3"/>
        <v>1</v>
      </c>
      <c r="BM1558" s="46">
        <f t="shared" si="4"/>
        <v>0</v>
      </c>
      <c r="BN1558" s="46">
        <f t="shared" si="5"/>
        <v>0</v>
      </c>
    </row>
    <row r="1559" spans="1:66" ht="12.75" customHeight="1">
      <c r="A1559" s="399">
        <v>1569</v>
      </c>
      <c r="B1559" s="399" t="s">
        <v>5244</v>
      </c>
      <c r="C1559" s="399" t="str">
        <f t="shared" si="0"/>
        <v>Increased risk of STIs</v>
      </c>
      <c r="D1559" s="400" t="s">
        <v>5244</v>
      </c>
      <c r="E1559" s="399" t="s">
        <v>96</v>
      </c>
      <c r="F1559" s="400" t="s">
        <v>1787</v>
      </c>
      <c r="G1559" s="400"/>
      <c r="H1559" s="400"/>
      <c r="I1559" s="400"/>
      <c r="J1559" s="400"/>
      <c r="K1559" s="400">
        <v>1</v>
      </c>
      <c r="L1559" s="400" t="s">
        <v>3333</v>
      </c>
      <c r="M1559" s="402" t="s">
        <v>3499</v>
      </c>
      <c r="N1559" s="400"/>
      <c r="O1559" s="428" t="s">
        <v>4417</v>
      </c>
      <c r="P1559" s="581"/>
      <c r="Q1559" s="399" t="s">
        <v>5243</v>
      </c>
      <c r="R1559" s="428" t="s">
        <v>5244</v>
      </c>
      <c r="S1559" s="399" t="s">
        <v>5244</v>
      </c>
      <c r="T1559" s="399" t="s">
        <v>5245</v>
      </c>
      <c r="U1559" s="399" t="s">
        <v>4823</v>
      </c>
      <c r="V1559" s="399"/>
      <c r="W1559" s="399" t="s">
        <v>5244</v>
      </c>
      <c r="X1559" s="400"/>
      <c r="Y1559" s="399" t="s">
        <v>208</v>
      </c>
      <c r="Z1559" s="531"/>
      <c r="AA1559" s="399" t="s">
        <v>113</v>
      </c>
      <c r="AB1559" s="399" t="s">
        <v>3178</v>
      </c>
      <c r="AC1559" s="532" t="s">
        <v>5915</v>
      </c>
      <c r="AD1559" s="594"/>
      <c r="AE1559" s="531"/>
      <c r="AF1559" s="531"/>
      <c r="AG1559" s="399" t="s">
        <v>4489</v>
      </c>
      <c r="AH1559" s="532" t="s">
        <v>3851</v>
      </c>
      <c r="AI1559" s="531"/>
      <c r="AJ1559" s="594"/>
      <c r="AK1559" s="399"/>
      <c r="AL1559" s="605"/>
      <c r="AM1559" s="531"/>
      <c r="AN1559" s="531"/>
      <c r="AO1559" s="531"/>
      <c r="AP1559" s="531"/>
      <c r="AQ1559" s="531"/>
      <c r="AR1559" s="531"/>
      <c r="AS1559" s="531"/>
      <c r="AT1559" s="399"/>
      <c r="AU1559" s="399"/>
      <c r="AV1559" s="399"/>
      <c r="AW1559" s="541"/>
      <c r="AX1559" s="541"/>
      <c r="AY1559" s="541"/>
      <c r="AZ1559" s="541"/>
      <c r="BA1559" s="541"/>
      <c r="BB1559" s="399"/>
      <c r="BC1559" s="399" t="str">
        <f t="shared" si="2"/>
        <v/>
      </c>
      <c r="BD1559" s="399"/>
      <c r="BE1559" s="399"/>
      <c r="BF1559" s="399"/>
      <c r="BG1559" s="540"/>
      <c r="BH1559" s="407"/>
      <c r="BI1559" s="407"/>
      <c r="BJ1559" s="543"/>
      <c r="BK1559" s="46">
        <f t="shared" si="1"/>
        <v>1</v>
      </c>
      <c r="BL1559" s="46">
        <f t="shared" si="3"/>
        <v>0</v>
      </c>
      <c r="BM1559" s="46">
        <f t="shared" si="4"/>
        <v>1</v>
      </c>
      <c r="BN1559" s="46">
        <f t="shared" si="5"/>
        <v>0</v>
      </c>
    </row>
    <row r="1560" spans="1:66" ht="12.75" customHeight="1">
      <c r="A1560" s="399">
        <v>1570</v>
      </c>
      <c r="B1560" s="399" t="s">
        <v>5251</v>
      </c>
      <c r="C1560" s="399" t="e">
        <f t="shared" ca="1" si="0"/>
        <v>#NAME?</v>
      </c>
      <c r="D1560" s="400" t="s">
        <v>5249</v>
      </c>
      <c r="E1560" s="399" t="s">
        <v>180</v>
      </c>
      <c r="F1560" s="400" t="s">
        <v>5244</v>
      </c>
      <c r="G1560" s="400"/>
      <c r="H1560" s="400"/>
      <c r="I1560" s="400"/>
      <c r="J1560" s="400"/>
      <c r="K1560" s="400">
        <v>1</v>
      </c>
      <c r="L1560" s="400" t="s">
        <v>3333</v>
      </c>
      <c r="M1560" s="402" t="s">
        <v>3499</v>
      </c>
      <c r="N1560" s="400"/>
      <c r="O1560" s="428" t="s">
        <v>4417</v>
      </c>
      <c r="P1560" s="581"/>
      <c r="Q1560" s="399" t="s">
        <v>5250</v>
      </c>
      <c r="R1560" s="428"/>
      <c r="S1560" s="399"/>
      <c r="T1560" s="399"/>
      <c r="U1560" s="531"/>
      <c r="V1560" s="399"/>
      <c r="W1560" s="399" t="s">
        <v>5249</v>
      </c>
      <c r="X1560" s="400"/>
      <c r="Y1560" s="399" t="s">
        <v>208</v>
      </c>
      <c r="Z1560" s="531"/>
      <c r="AA1560" s="399" t="s">
        <v>113</v>
      </c>
      <c r="AB1560" s="399" t="s">
        <v>3178</v>
      </c>
      <c r="AC1560" s="617" t="s">
        <v>5851</v>
      </c>
      <c r="AD1560" s="594"/>
      <c r="AE1560" s="531"/>
      <c r="AF1560" s="531"/>
      <c r="AG1560" s="399" t="s">
        <v>4489</v>
      </c>
      <c r="AH1560" s="532" t="s">
        <v>3851</v>
      </c>
      <c r="AI1560" s="531"/>
      <c r="AJ1560" s="594"/>
      <c r="AK1560" s="399"/>
      <c r="AL1560" s="605"/>
      <c r="AM1560" s="531"/>
      <c r="AN1560" s="531"/>
      <c r="AO1560" s="531"/>
      <c r="AP1560" s="531"/>
      <c r="AQ1560" s="531"/>
      <c r="AR1560" s="531"/>
      <c r="AS1560" s="531"/>
      <c r="AT1560" s="399"/>
      <c r="AU1560" s="399"/>
      <c r="AV1560" s="399"/>
      <c r="AW1560" s="541"/>
      <c r="AX1560" s="541"/>
      <c r="AY1560" s="541"/>
      <c r="AZ1560" s="541"/>
      <c r="BA1560" s="541"/>
      <c r="BB1560" s="399"/>
      <c r="BC1560" s="399" t="e">
        <f t="shared" ca="1" si="2"/>
        <v>#NAME?</v>
      </c>
      <c r="BD1560" s="399"/>
      <c r="BE1560" s="399"/>
      <c r="BF1560" s="399"/>
      <c r="BG1560" s="540"/>
      <c r="BH1560" s="407"/>
      <c r="BI1560" s="407"/>
      <c r="BJ1560" s="543"/>
      <c r="BK1560" s="46">
        <f t="shared" si="1"/>
        <v>1</v>
      </c>
      <c r="BL1560" s="46">
        <f t="shared" si="3"/>
        <v>0</v>
      </c>
      <c r="BM1560" s="46">
        <f t="shared" si="4"/>
        <v>1</v>
      </c>
      <c r="BN1560" s="46">
        <f t="shared" si="5"/>
        <v>0</v>
      </c>
    </row>
    <row r="1561" spans="1:66" ht="12.75" customHeight="1">
      <c r="A1561" s="399">
        <v>1571</v>
      </c>
      <c r="B1561" s="399" t="s">
        <v>5256</v>
      </c>
      <c r="C1561" s="399" t="e">
        <f t="shared" ca="1" si="0"/>
        <v>#NAME?</v>
      </c>
      <c r="D1561" s="400" t="s">
        <v>5253</v>
      </c>
      <c r="E1561" s="399" t="s">
        <v>180</v>
      </c>
      <c r="F1561" s="400" t="s">
        <v>5244</v>
      </c>
      <c r="G1561" s="400"/>
      <c r="H1561" s="400"/>
      <c r="I1561" s="400"/>
      <c r="J1561" s="400"/>
      <c r="K1561" s="400">
        <v>1</v>
      </c>
      <c r="L1561" s="400" t="s">
        <v>3333</v>
      </c>
      <c r="M1561" s="402" t="s">
        <v>3499</v>
      </c>
      <c r="N1561" s="400"/>
      <c r="O1561" s="428" t="s">
        <v>4417</v>
      </c>
      <c r="P1561" s="581"/>
      <c r="Q1561" s="399" t="s">
        <v>5255</v>
      </c>
      <c r="R1561" s="428"/>
      <c r="S1561" s="399"/>
      <c r="T1561" s="399"/>
      <c r="U1561" s="531"/>
      <c r="V1561" s="399"/>
      <c r="W1561" s="399" t="s">
        <v>5253</v>
      </c>
      <c r="X1561" s="400"/>
      <c r="Y1561" s="399" t="s">
        <v>208</v>
      </c>
      <c r="Z1561" s="531"/>
      <c r="AA1561" s="399" t="s">
        <v>113</v>
      </c>
      <c r="AB1561" s="399" t="s">
        <v>3178</v>
      </c>
      <c r="AC1561" s="617" t="s">
        <v>5851</v>
      </c>
      <c r="AD1561" s="594"/>
      <c r="AE1561" s="531"/>
      <c r="AF1561" s="531"/>
      <c r="AG1561" s="531"/>
      <c r="AH1561" s="532" t="s">
        <v>3851</v>
      </c>
      <c r="AI1561" s="531"/>
      <c r="AJ1561" s="594"/>
      <c r="AK1561" s="399"/>
      <c r="AL1561" s="605"/>
      <c r="AM1561" s="531"/>
      <c r="AN1561" s="531"/>
      <c r="AO1561" s="531"/>
      <c r="AP1561" s="531"/>
      <c r="AQ1561" s="531"/>
      <c r="AR1561" s="531"/>
      <c r="AS1561" s="531"/>
      <c r="AT1561" s="399"/>
      <c r="AU1561" s="399"/>
      <c r="AV1561" s="399"/>
      <c r="AW1561" s="541"/>
      <c r="AX1561" s="541"/>
      <c r="AY1561" s="541"/>
      <c r="AZ1561" s="541"/>
      <c r="BA1561" s="541"/>
      <c r="BB1561" s="399"/>
      <c r="BC1561" s="399" t="e">
        <f t="shared" ca="1" si="2"/>
        <v>#NAME?</v>
      </c>
      <c r="BD1561" s="399"/>
      <c r="BE1561" s="399"/>
      <c r="BF1561" s="399"/>
      <c r="BG1561" s="540"/>
      <c r="BH1561" s="407"/>
      <c r="BI1561" s="407"/>
      <c r="BJ1561" s="543"/>
      <c r="BK1561" s="46">
        <f t="shared" si="1"/>
        <v>1</v>
      </c>
      <c r="BL1561" s="46">
        <f t="shared" si="3"/>
        <v>0</v>
      </c>
      <c r="BM1561" s="46">
        <f t="shared" si="4"/>
        <v>1</v>
      </c>
      <c r="BN1561" s="46">
        <f t="shared" si="5"/>
        <v>0</v>
      </c>
    </row>
    <row r="1562" spans="1:66" ht="12.75" customHeight="1">
      <c r="A1562" s="399">
        <v>1573</v>
      </c>
      <c r="B1562" s="399" t="s">
        <v>5272</v>
      </c>
      <c r="C1562" s="399" t="e">
        <f t="shared" ca="1" si="0"/>
        <v>#NAME?</v>
      </c>
      <c r="D1562" s="400" t="s">
        <v>5267</v>
      </c>
      <c r="E1562" s="399" t="s">
        <v>180</v>
      </c>
      <c r="F1562" s="400" t="s">
        <v>5244</v>
      </c>
      <c r="G1562" s="400"/>
      <c r="H1562" s="400"/>
      <c r="I1562" s="400"/>
      <c r="J1562" s="400"/>
      <c r="K1562" s="400">
        <v>1</v>
      </c>
      <c r="L1562" s="400" t="s">
        <v>3333</v>
      </c>
      <c r="M1562" s="402" t="s">
        <v>3499</v>
      </c>
      <c r="N1562" s="400"/>
      <c r="O1562" s="428" t="s">
        <v>4417</v>
      </c>
      <c r="P1562" s="581"/>
      <c r="Q1562" s="399" t="s">
        <v>5269</v>
      </c>
      <c r="R1562" s="428"/>
      <c r="S1562" s="399"/>
      <c r="T1562" s="399"/>
      <c r="U1562" s="531"/>
      <c r="V1562" s="399"/>
      <c r="W1562" s="399" t="s">
        <v>5267</v>
      </c>
      <c r="X1562" s="400"/>
      <c r="Y1562" s="399" t="s">
        <v>208</v>
      </c>
      <c r="Z1562" s="531"/>
      <c r="AA1562" s="399" t="s">
        <v>113</v>
      </c>
      <c r="AB1562" s="399" t="s">
        <v>3178</v>
      </c>
      <c r="AC1562" s="617" t="s">
        <v>5851</v>
      </c>
      <c r="AD1562" s="594"/>
      <c r="AE1562" s="531"/>
      <c r="AF1562" s="531"/>
      <c r="AG1562" s="531"/>
      <c r="AH1562" s="532" t="s">
        <v>3851</v>
      </c>
      <c r="AI1562" s="531"/>
      <c r="AJ1562" s="594"/>
      <c r="AK1562" s="399"/>
      <c r="AL1562" s="605"/>
      <c r="AM1562" s="531"/>
      <c r="AN1562" s="531"/>
      <c r="AO1562" s="531"/>
      <c r="AP1562" s="531"/>
      <c r="AQ1562" s="531"/>
      <c r="AR1562" s="531"/>
      <c r="AS1562" s="531"/>
      <c r="AT1562" s="399"/>
      <c r="AU1562" s="399"/>
      <c r="AV1562" s="399"/>
      <c r="AW1562" s="541"/>
      <c r="AX1562" s="541"/>
      <c r="AY1562" s="541"/>
      <c r="AZ1562" s="541"/>
      <c r="BA1562" s="541"/>
      <c r="BB1562" s="399"/>
      <c r="BC1562" s="399" t="e">
        <f t="shared" ca="1" si="2"/>
        <v>#NAME?</v>
      </c>
      <c r="BD1562" s="399"/>
      <c r="BE1562" s="399"/>
      <c r="BF1562" s="399"/>
      <c r="BG1562" s="540"/>
      <c r="BH1562" s="407"/>
      <c r="BI1562" s="407"/>
      <c r="BJ1562" s="543"/>
      <c r="BK1562" s="46">
        <f t="shared" si="1"/>
        <v>1</v>
      </c>
      <c r="BL1562" s="46">
        <f t="shared" si="3"/>
        <v>0</v>
      </c>
      <c r="BM1562" s="46">
        <f t="shared" si="4"/>
        <v>1</v>
      </c>
      <c r="BN1562" s="46">
        <f t="shared" si="5"/>
        <v>0</v>
      </c>
    </row>
    <row r="1563" spans="1:66" ht="12.75" customHeight="1">
      <c r="A1563" s="399">
        <v>1574</v>
      </c>
      <c r="B1563" s="399" t="s">
        <v>5277</v>
      </c>
      <c r="C1563" s="399" t="str">
        <f t="shared" si="0"/>
        <v>Other Reproductive Tract Infection</v>
      </c>
      <c r="D1563" s="400" t="s">
        <v>5277</v>
      </c>
      <c r="E1563" s="399" t="s">
        <v>96</v>
      </c>
      <c r="F1563" s="400" t="s">
        <v>1787</v>
      </c>
      <c r="G1563" s="400"/>
      <c r="H1563" s="400"/>
      <c r="I1563" s="400"/>
      <c r="J1563" s="400"/>
      <c r="K1563" s="400">
        <v>1</v>
      </c>
      <c r="L1563" s="400" t="s">
        <v>3333</v>
      </c>
      <c r="M1563" s="402" t="s">
        <v>3476</v>
      </c>
      <c r="N1563" s="400"/>
      <c r="O1563" s="428" t="s">
        <v>4417</v>
      </c>
      <c r="P1563" s="581"/>
      <c r="Q1563" s="399" t="s">
        <v>5278</v>
      </c>
      <c r="R1563" s="428" t="s">
        <v>5277</v>
      </c>
      <c r="S1563" s="399"/>
      <c r="T1563" s="399"/>
      <c r="U1563" s="399" t="s">
        <v>3169</v>
      </c>
      <c r="V1563" s="399"/>
      <c r="W1563" s="399" t="s">
        <v>3170</v>
      </c>
      <c r="X1563" s="400"/>
      <c r="Y1563" s="399" t="s">
        <v>208</v>
      </c>
      <c r="Z1563" s="531"/>
      <c r="AA1563" s="399" t="s">
        <v>113</v>
      </c>
      <c r="AB1563" s="399" t="s">
        <v>3178</v>
      </c>
      <c r="AC1563" s="617" t="s">
        <v>5851</v>
      </c>
      <c r="AD1563" s="594"/>
      <c r="AE1563" s="531"/>
      <c r="AF1563" s="531"/>
      <c r="AG1563" s="531"/>
      <c r="AH1563" s="532" t="s">
        <v>3851</v>
      </c>
      <c r="AI1563" s="531"/>
      <c r="AJ1563" s="594"/>
      <c r="AK1563" s="399"/>
      <c r="AL1563" s="41" t="s">
        <v>5218</v>
      </c>
      <c r="AM1563" s="41" t="s">
        <v>5852</v>
      </c>
      <c r="AN1563" s="531"/>
      <c r="AO1563" s="41" t="s">
        <v>3100</v>
      </c>
      <c r="AP1563" s="441" t="s">
        <v>3101</v>
      </c>
      <c r="AQ1563" s="399"/>
      <c r="AR1563" s="399"/>
      <c r="AS1563" s="399"/>
      <c r="AT1563" s="399"/>
      <c r="AU1563" s="399"/>
      <c r="AV1563" s="399"/>
      <c r="AW1563" s="541"/>
      <c r="AX1563" s="541"/>
      <c r="AY1563" s="541"/>
      <c r="AZ1563" s="541"/>
      <c r="BA1563" s="541"/>
      <c r="BB1563" s="399"/>
      <c r="BC1563" s="399" t="str">
        <f t="shared" si="2"/>
        <v/>
      </c>
      <c r="BD1563" s="399"/>
      <c r="BE1563" s="620"/>
      <c r="BF1563" s="621"/>
      <c r="BG1563" s="622"/>
      <c r="BH1563" s="412"/>
      <c r="BI1563" s="412"/>
      <c r="BJ1563" s="543"/>
      <c r="BK1563" s="46">
        <f t="shared" si="1"/>
        <v>1</v>
      </c>
      <c r="BL1563" s="46">
        <f t="shared" si="3"/>
        <v>1</v>
      </c>
      <c r="BM1563" s="46">
        <f t="shared" si="4"/>
        <v>0</v>
      </c>
      <c r="BN1563" s="46">
        <f t="shared" si="5"/>
        <v>0</v>
      </c>
    </row>
    <row r="1564" spans="1:66" ht="12.75" customHeight="1">
      <c r="A1564" s="399">
        <v>1575</v>
      </c>
      <c r="B1564" s="399" t="s">
        <v>4250</v>
      </c>
      <c r="C1564" s="399" t="e">
        <f t="shared" ca="1" si="0"/>
        <v>#NAME?</v>
      </c>
      <c r="D1564" s="400" t="s">
        <v>4252</v>
      </c>
      <c r="E1564" s="399" t="s">
        <v>180</v>
      </c>
      <c r="F1564" s="400" t="s">
        <v>5277</v>
      </c>
      <c r="G1564" s="400"/>
      <c r="H1564" s="400"/>
      <c r="I1564" s="400"/>
      <c r="J1564" s="400"/>
      <c r="K1564" s="400">
        <v>1</v>
      </c>
      <c r="L1564" s="400" t="s">
        <v>3333</v>
      </c>
      <c r="M1564" s="402" t="s">
        <v>3476</v>
      </c>
      <c r="N1564" s="400"/>
      <c r="O1564" s="428" t="s">
        <v>4417</v>
      </c>
      <c r="P1564" s="581"/>
      <c r="Q1564" s="399" t="s">
        <v>4251</v>
      </c>
      <c r="R1564" s="428"/>
      <c r="S1564" s="399"/>
      <c r="T1564" s="399"/>
      <c r="U1564" s="531"/>
      <c r="V1564" s="399"/>
      <c r="W1564" s="399" t="s">
        <v>4252</v>
      </c>
      <c r="X1564" s="400"/>
      <c r="Y1564" s="399" t="s">
        <v>113</v>
      </c>
      <c r="Z1564" s="399"/>
      <c r="AA1564" s="399" t="s">
        <v>113</v>
      </c>
      <c r="AB1564" s="399" t="s">
        <v>3178</v>
      </c>
      <c r="AC1564" s="617" t="s">
        <v>5851</v>
      </c>
      <c r="AD1564" s="594"/>
      <c r="AE1564" s="531"/>
      <c r="AF1564" s="531"/>
      <c r="AG1564" s="531"/>
      <c r="AH1564" s="532" t="s">
        <v>3851</v>
      </c>
      <c r="AI1564" s="531"/>
      <c r="AJ1564" s="594"/>
      <c r="AK1564" s="399"/>
      <c r="AL1564" s="531"/>
      <c r="AM1564" s="531"/>
      <c r="AN1564" s="531"/>
      <c r="AO1564" s="531"/>
      <c r="AP1564" s="531"/>
      <c r="AQ1564" s="399"/>
      <c r="AR1564" s="399"/>
      <c r="AS1564" s="399"/>
      <c r="AT1564" s="399"/>
      <c r="AU1564" s="399"/>
      <c r="AV1564" s="399"/>
      <c r="AW1564" s="541"/>
      <c r="AX1564" s="541"/>
      <c r="AY1564" s="541"/>
      <c r="AZ1564" s="541"/>
      <c r="BA1564" s="541"/>
      <c r="BB1564" s="399"/>
      <c r="BC1564" s="399" t="e">
        <f t="shared" ca="1" si="2"/>
        <v>#NAME?</v>
      </c>
      <c r="BD1564" s="399"/>
      <c r="BE1564" s="620"/>
      <c r="BF1564" s="621"/>
      <c r="BG1564" s="622"/>
      <c r="BH1564" s="412"/>
      <c r="BI1564" s="412"/>
      <c r="BJ1564" s="543"/>
      <c r="BK1564" s="46">
        <f t="shared" si="1"/>
        <v>1</v>
      </c>
      <c r="BL1564" s="46">
        <f t="shared" si="3"/>
        <v>0</v>
      </c>
      <c r="BM1564" s="46">
        <f t="shared" si="4"/>
        <v>1</v>
      </c>
      <c r="BN1564" s="46">
        <f t="shared" si="5"/>
        <v>0</v>
      </c>
    </row>
    <row r="1565" spans="1:66" ht="12.75" customHeight="1">
      <c r="A1565" s="399">
        <v>1576</v>
      </c>
      <c r="B1565" s="399" t="s">
        <v>4235</v>
      </c>
      <c r="C1565" s="399" t="e">
        <f t="shared" ca="1" si="0"/>
        <v>#NAME?</v>
      </c>
      <c r="D1565" s="400" t="s">
        <v>4237</v>
      </c>
      <c r="E1565" s="399" t="s">
        <v>180</v>
      </c>
      <c r="F1565" s="400" t="s">
        <v>5277</v>
      </c>
      <c r="G1565" s="400"/>
      <c r="H1565" s="400"/>
      <c r="I1565" s="400"/>
      <c r="J1565" s="400"/>
      <c r="K1565" s="400">
        <v>1</v>
      </c>
      <c r="L1565" s="400" t="s">
        <v>3333</v>
      </c>
      <c r="M1565" s="402" t="s">
        <v>3476</v>
      </c>
      <c r="N1565" s="400"/>
      <c r="O1565" s="428" t="s">
        <v>4417</v>
      </c>
      <c r="P1565" s="581"/>
      <c r="Q1565" s="399" t="s">
        <v>4236</v>
      </c>
      <c r="R1565" s="428"/>
      <c r="S1565" s="399"/>
      <c r="T1565" s="399"/>
      <c r="U1565" s="531"/>
      <c r="V1565" s="399"/>
      <c r="W1565" s="399" t="s">
        <v>4237</v>
      </c>
      <c r="X1565" s="400"/>
      <c r="Y1565" s="399" t="s">
        <v>208</v>
      </c>
      <c r="Z1565" s="531"/>
      <c r="AA1565" s="399" t="s">
        <v>113</v>
      </c>
      <c r="AB1565" s="399" t="s">
        <v>3178</v>
      </c>
      <c r="AC1565" s="617" t="s">
        <v>5851</v>
      </c>
      <c r="AD1565" s="594"/>
      <c r="AE1565" s="531"/>
      <c r="AF1565" s="531"/>
      <c r="AG1565" s="531"/>
      <c r="AH1565" s="532" t="s">
        <v>3851</v>
      </c>
      <c r="AI1565" s="531"/>
      <c r="AJ1565" s="594"/>
      <c r="AK1565" s="399"/>
      <c r="AL1565" s="531"/>
      <c r="AM1565" s="531"/>
      <c r="AN1565" s="531"/>
      <c r="AO1565" s="531"/>
      <c r="AP1565" s="531"/>
      <c r="AQ1565" s="399"/>
      <c r="AR1565" s="399"/>
      <c r="AS1565" s="399"/>
      <c r="AT1565" s="399"/>
      <c r="AU1565" s="399"/>
      <c r="AV1565" s="399"/>
      <c r="AW1565" s="541"/>
      <c r="AX1565" s="541"/>
      <c r="AY1565" s="541"/>
      <c r="AZ1565" s="541"/>
      <c r="BA1565" s="541"/>
      <c r="BB1565" s="399"/>
      <c r="BC1565" s="399" t="e">
        <f t="shared" ca="1" si="2"/>
        <v>#NAME?</v>
      </c>
      <c r="BD1565" s="399"/>
      <c r="BE1565" s="620"/>
      <c r="BF1565" s="621"/>
      <c r="BG1565" s="622"/>
      <c r="BH1565" s="412"/>
      <c r="BI1565" s="412"/>
      <c r="BJ1565" s="543"/>
      <c r="BK1565" s="46">
        <f t="shared" si="1"/>
        <v>1</v>
      </c>
      <c r="BL1565" s="46">
        <f t="shared" si="3"/>
        <v>0</v>
      </c>
      <c r="BM1565" s="46">
        <f t="shared" si="4"/>
        <v>1</v>
      </c>
      <c r="BN1565" s="46">
        <f t="shared" si="5"/>
        <v>0</v>
      </c>
    </row>
    <row r="1566" spans="1:66" ht="12.75" customHeight="1">
      <c r="A1566" s="399">
        <v>1577</v>
      </c>
      <c r="B1566" s="399" t="s">
        <v>4256</v>
      </c>
      <c r="C1566" s="399" t="e">
        <f t="shared" ca="1" si="0"/>
        <v>#NAME?</v>
      </c>
      <c r="D1566" s="400" t="s">
        <v>4258</v>
      </c>
      <c r="E1566" s="399" t="s">
        <v>180</v>
      </c>
      <c r="F1566" s="400" t="s">
        <v>5277</v>
      </c>
      <c r="G1566" s="400"/>
      <c r="H1566" s="400"/>
      <c r="I1566" s="400"/>
      <c r="J1566" s="400"/>
      <c r="K1566" s="400">
        <v>1</v>
      </c>
      <c r="L1566" s="400" t="s">
        <v>3333</v>
      </c>
      <c r="M1566" s="402" t="s">
        <v>3476</v>
      </c>
      <c r="N1566" s="400"/>
      <c r="O1566" s="428" t="s">
        <v>4417</v>
      </c>
      <c r="P1566" s="581"/>
      <c r="Q1566" s="399" t="s">
        <v>4257</v>
      </c>
      <c r="R1566" s="428"/>
      <c r="S1566" s="399"/>
      <c r="T1566" s="399"/>
      <c r="U1566" s="531"/>
      <c r="V1566" s="399"/>
      <c r="W1566" s="399" t="s">
        <v>4258</v>
      </c>
      <c r="X1566" s="400"/>
      <c r="Y1566" s="399" t="s">
        <v>208</v>
      </c>
      <c r="Z1566" s="531"/>
      <c r="AA1566" s="399" t="s">
        <v>113</v>
      </c>
      <c r="AB1566" s="399" t="s">
        <v>3178</v>
      </c>
      <c r="AC1566" s="617" t="s">
        <v>5851</v>
      </c>
      <c r="AD1566" s="594"/>
      <c r="AE1566" s="531"/>
      <c r="AF1566" s="531"/>
      <c r="AG1566" s="531"/>
      <c r="AH1566" s="532" t="s">
        <v>3851</v>
      </c>
      <c r="AI1566" s="531"/>
      <c r="AJ1566" s="594"/>
      <c r="AK1566" s="399"/>
      <c r="AL1566" s="531"/>
      <c r="AM1566" s="531"/>
      <c r="AN1566" s="531"/>
      <c r="AO1566" s="531"/>
      <c r="AP1566" s="531"/>
      <c r="AQ1566" s="399"/>
      <c r="AR1566" s="399"/>
      <c r="AS1566" s="399"/>
      <c r="AT1566" s="399"/>
      <c r="AU1566" s="399"/>
      <c r="AV1566" s="399"/>
      <c r="AW1566" s="541"/>
      <c r="AX1566" s="541"/>
      <c r="AY1566" s="541"/>
      <c r="AZ1566" s="541"/>
      <c r="BA1566" s="541"/>
      <c r="BB1566" s="399"/>
      <c r="BC1566" s="399" t="e">
        <f t="shared" ca="1" si="2"/>
        <v>#NAME?</v>
      </c>
      <c r="BD1566" s="399"/>
      <c r="BE1566" s="620"/>
      <c r="BF1566" s="621"/>
      <c r="BG1566" s="622"/>
      <c r="BH1566" s="412"/>
      <c r="BI1566" s="412"/>
      <c r="BJ1566" s="543"/>
      <c r="BK1566" s="46">
        <f t="shared" si="1"/>
        <v>1</v>
      </c>
      <c r="BL1566" s="46">
        <f t="shared" si="3"/>
        <v>0</v>
      </c>
      <c r="BM1566" s="46">
        <f t="shared" si="4"/>
        <v>1</v>
      </c>
      <c r="BN1566" s="46">
        <f t="shared" si="5"/>
        <v>0</v>
      </c>
    </row>
    <row r="1567" spans="1:66" ht="12.75" customHeight="1">
      <c r="A1567" s="399">
        <v>1578</v>
      </c>
      <c r="B1567" s="399" t="s">
        <v>5284</v>
      </c>
      <c r="C1567" s="399" t="str">
        <f t="shared" si="0"/>
        <v>Schistosomiasis</v>
      </c>
      <c r="D1567" s="400" t="s">
        <v>5284</v>
      </c>
      <c r="E1567" s="399" t="s">
        <v>96</v>
      </c>
      <c r="F1567" s="400" t="s">
        <v>1787</v>
      </c>
      <c r="G1567" s="400"/>
      <c r="H1567" s="400"/>
      <c r="I1567" s="400"/>
      <c r="J1567" s="400"/>
      <c r="K1567" s="400">
        <v>1</v>
      </c>
      <c r="L1567" s="400" t="s">
        <v>3333</v>
      </c>
      <c r="M1567" s="402" t="s">
        <v>4081</v>
      </c>
      <c r="N1567" s="400"/>
      <c r="O1567" s="428" t="s">
        <v>4417</v>
      </c>
      <c r="P1567" s="581"/>
      <c r="Q1567" s="399" t="s">
        <v>5285</v>
      </c>
      <c r="R1567" s="428" t="s">
        <v>5284</v>
      </c>
      <c r="S1567" s="399"/>
      <c r="T1567" s="399"/>
      <c r="U1567" s="399" t="s">
        <v>3169</v>
      </c>
      <c r="V1567" s="399"/>
      <c r="W1567" s="399" t="s">
        <v>3170</v>
      </c>
      <c r="X1567" s="400"/>
      <c r="Y1567" s="399" t="s">
        <v>208</v>
      </c>
      <c r="Z1567" s="531"/>
      <c r="AA1567" s="399" t="s">
        <v>113</v>
      </c>
      <c r="AB1567" s="399" t="s">
        <v>3178</v>
      </c>
      <c r="AC1567" s="617" t="s">
        <v>5851</v>
      </c>
      <c r="AD1567" s="594"/>
      <c r="AE1567" s="531"/>
      <c r="AF1567" s="531"/>
      <c r="AG1567" s="531"/>
      <c r="AH1567" s="532" t="s">
        <v>3851</v>
      </c>
      <c r="AI1567" s="531"/>
      <c r="AJ1567" s="594"/>
      <c r="AK1567" s="399"/>
      <c r="AL1567" s="605"/>
      <c r="AM1567" s="531"/>
      <c r="AN1567" s="531"/>
      <c r="AO1567" s="531"/>
      <c r="AP1567" s="531"/>
      <c r="AQ1567" s="531"/>
      <c r="AR1567" s="531"/>
      <c r="AS1567" s="531"/>
      <c r="AT1567" s="400" t="s">
        <v>5286</v>
      </c>
      <c r="AU1567" s="400" t="s">
        <v>5287</v>
      </c>
      <c r="AV1567" s="400">
        <v>10087007</v>
      </c>
      <c r="AW1567" s="541"/>
      <c r="AX1567" s="541"/>
      <c r="AY1567" s="541"/>
      <c r="AZ1567" s="541"/>
      <c r="BA1567" s="541"/>
      <c r="BB1567" s="400"/>
      <c r="BC1567" s="399" t="str">
        <f t="shared" si="2"/>
        <v/>
      </c>
      <c r="BD1567" s="400">
        <v>117152</v>
      </c>
      <c r="BE1567" s="399"/>
      <c r="BF1567" s="399"/>
      <c r="BG1567" s="540"/>
      <c r="BH1567" s="407" t="s">
        <v>5286</v>
      </c>
      <c r="BI1567" s="407">
        <v>10087007</v>
      </c>
      <c r="BJ1567" s="543"/>
      <c r="BK1567" s="46">
        <f t="shared" si="1"/>
        <v>1</v>
      </c>
      <c r="BL1567" s="46">
        <f t="shared" si="3"/>
        <v>0</v>
      </c>
      <c r="BM1567" s="46">
        <f t="shared" si="4"/>
        <v>1</v>
      </c>
      <c r="BN1567" s="46">
        <f t="shared" si="5"/>
        <v>0</v>
      </c>
    </row>
    <row r="1568" spans="1:66" ht="12.75" customHeight="1">
      <c r="A1568" s="399">
        <v>1579</v>
      </c>
      <c r="B1568" s="399" t="s">
        <v>4932</v>
      </c>
      <c r="C1568" s="399" t="e">
        <f t="shared" ca="1" si="0"/>
        <v>#NAME?</v>
      </c>
      <c r="D1568" s="400" t="s">
        <v>4930</v>
      </c>
      <c r="E1568" s="399" t="s">
        <v>180</v>
      </c>
      <c r="F1568" s="400" t="s">
        <v>5284</v>
      </c>
      <c r="G1568" s="400"/>
      <c r="H1568" s="400"/>
      <c r="I1568" s="400"/>
      <c r="J1568" s="400"/>
      <c r="K1568" s="400">
        <v>1</v>
      </c>
      <c r="L1568" s="400" t="s">
        <v>3333</v>
      </c>
      <c r="M1568" s="402" t="s">
        <v>4081</v>
      </c>
      <c r="N1568" s="400"/>
      <c r="O1568" s="428" t="s">
        <v>4417</v>
      </c>
      <c r="P1568" s="581"/>
      <c r="Q1568" s="399" t="s">
        <v>5290</v>
      </c>
      <c r="R1568" s="428"/>
      <c r="S1568" s="399"/>
      <c r="T1568" s="399"/>
      <c r="U1568" s="531"/>
      <c r="V1568" s="399"/>
      <c r="W1568" s="399" t="s">
        <v>4930</v>
      </c>
      <c r="X1568" s="400"/>
      <c r="Y1568" s="399" t="s">
        <v>208</v>
      </c>
      <c r="Z1568" s="531"/>
      <c r="AA1568" s="399" t="s">
        <v>113</v>
      </c>
      <c r="AB1568" s="399" t="s">
        <v>3178</v>
      </c>
      <c r="AC1568" s="617" t="s">
        <v>5851</v>
      </c>
      <c r="AD1568" s="594"/>
      <c r="AE1568" s="531"/>
      <c r="AF1568" s="531"/>
      <c r="AG1568" s="531"/>
      <c r="AH1568" s="532" t="s">
        <v>3851</v>
      </c>
      <c r="AI1568" s="531"/>
      <c r="AJ1568" s="594"/>
      <c r="AK1568" s="399"/>
      <c r="AL1568" s="605"/>
      <c r="AM1568" s="531"/>
      <c r="AN1568" s="531"/>
      <c r="AO1568" s="531"/>
      <c r="AP1568" s="531"/>
      <c r="AQ1568" s="531"/>
      <c r="AR1568" s="531"/>
      <c r="AS1568" s="531"/>
      <c r="AT1568" s="399"/>
      <c r="AU1568" s="399"/>
      <c r="AV1568" s="399"/>
      <c r="AW1568" s="541"/>
      <c r="AX1568" s="541"/>
      <c r="AY1568" s="541"/>
      <c r="AZ1568" s="541"/>
      <c r="BA1568" s="541"/>
      <c r="BB1568" s="399"/>
      <c r="BC1568" s="399" t="e">
        <f t="shared" ca="1" si="2"/>
        <v>#NAME?</v>
      </c>
      <c r="BD1568" s="399"/>
      <c r="BE1568" s="399"/>
      <c r="BF1568" s="399"/>
      <c r="BG1568" s="540"/>
      <c r="BH1568" s="407"/>
      <c r="BI1568" s="407"/>
      <c r="BJ1568" s="543"/>
      <c r="BK1568" s="46">
        <f t="shared" si="1"/>
        <v>1</v>
      </c>
      <c r="BL1568" s="46">
        <f t="shared" si="3"/>
        <v>0</v>
      </c>
      <c r="BM1568" s="46">
        <f t="shared" si="4"/>
        <v>1</v>
      </c>
      <c r="BN1568" s="46">
        <f t="shared" si="5"/>
        <v>0</v>
      </c>
    </row>
    <row r="1569" spans="1:66" ht="12.75" customHeight="1">
      <c r="A1569" s="399">
        <v>1580</v>
      </c>
      <c r="B1569" s="399" t="s">
        <v>5295</v>
      </c>
      <c r="C1569" s="399" t="e">
        <f t="shared" ca="1" si="0"/>
        <v>#NAME?</v>
      </c>
      <c r="D1569" s="400" t="s">
        <v>5294</v>
      </c>
      <c r="E1569" s="399" t="s">
        <v>180</v>
      </c>
      <c r="F1569" s="400" t="s">
        <v>5284</v>
      </c>
      <c r="G1569" s="400"/>
      <c r="H1569" s="400"/>
      <c r="I1569" s="400"/>
      <c r="J1569" s="400"/>
      <c r="K1569" s="400">
        <v>1</v>
      </c>
      <c r="L1569" s="400" t="s">
        <v>3333</v>
      </c>
      <c r="M1569" s="402" t="s">
        <v>4518</v>
      </c>
      <c r="N1569" s="400"/>
      <c r="O1569" s="428" t="s">
        <v>4417</v>
      </c>
      <c r="P1569" s="581"/>
      <c r="Q1569" s="399" t="s">
        <v>5293</v>
      </c>
      <c r="R1569" s="428"/>
      <c r="S1569" s="399"/>
      <c r="T1569" s="399"/>
      <c r="U1569" s="531"/>
      <c r="V1569" s="399"/>
      <c r="W1569" s="399" t="s">
        <v>5294</v>
      </c>
      <c r="X1569" s="400"/>
      <c r="Y1569" s="399" t="s">
        <v>208</v>
      </c>
      <c r="Z1569" s="531"/>
      <c r="AA1569" s="399" t="s">
        <v>113</v>
      </c>
      <c r="AB1569" s="399" t="s">
        <v>3178</v>
      </c>
      <c r="AC1569" s="617" t="s">
        <v>5851</v>
      </c>
      <c r="AD1569" s="594"/>
      <c r="AE1569" s="531"/>
      <c r="AF1569" s="531"/>
      <c r="AG1569" s="531"/>
      <c r="AH1569" s="532" t="s">
        <v>3851</v>
      </c>
      <c r="AI1569" s="531"/>
      <c r="AJ1569" s="594"/>
      <c r="AK1569" s="399"/>
      <c r="AL1569" s="605"/>
      <c r="AM1569" s="531"/>
      <c r="AN1569" s="531"/>
      <c r="AO1569" s="531"/>
      <c r="AP1569" s="531"/>
      <c r="AQ1569" s="531"/>
      <c r="AR1569" s="531"/>
      <c r="AS1569" s="531"/>
      <c r="AT1569" s="399"/>
      <c r="AU1569" s="399"/>
      <c r="AV1569" s="399"/>
      <c r="AW1569" s="541"/>
      <c r="AX1569" s="541"/>
      <c r="AY1569" s="541"/>
      <c r="AZ1569" s="541"/>
      <c r="BA1569" s="541"/>
      <c r="BB1569" s="399"/>
      <c r="BC1569" s="399" t="e">
        <f t="shared" ca="1" si="2"/>
        <v>#NAME?</v>
      </c>
      <c r="BD1569" s="399"/>
      <c r="BE1569" s="399"/>
      <c r="BF1569" s="399"/>
      <c r="BG1569" s="540"/>
      <c r="BH1569" s="407"/>
      <c r="BI1569" s="407"/>
      <c r="BJ1569" s="543"/>
      <c r="BK1569" s="46">
        <f t="shared" si="1"/>
        <v>1</v>
      </c>
      <c r="BL1569" s="46">
        <f t="shared" si="3"/>
        <v>0</v>
      </c>
      <c r="BM1569" s="46">
        <f t="shared" si="4"/>
        <v>1</v>
      </c>
      <c r="BN1569" s="46">
        <f t="shared" si="5"/>
        <v>0</v>
      </c>
    </row>
    <row r="1570" spans="1:66" ht="12.75" customHeight="1">
      <c r="A1570" s="399">
        <v>1581</v>
      </c>
      <c r="B1570" s="399" t="s">
        <v>5298</v>
      </c>
      <c r="C1570" s="399" t="str">
        <f t="shared" si="0"/>
        <v>Tuberculosis</v>
      </c>
      <c r="D1570" s="400" t="s">
        <v>5298</v>
      </c>
      <c r="E1570" s="399" t="s">
        <v>96</v>
      </c>
      <c r="F1570" s="400" t="s">
        <v>1787</v>
      </c>
      <c r="G1570" s="400"/>
      <c r="H1570" s="400"/>
      <c r="I1570" s="400"/>
      <c r="J1570" s="400"/>
      <c r="K1570" s="400">
        <v>1</v>
      </c>
      <c r="L1570" s="400" t="s">
        <v>3333</v>
      </c>
      <c r="M1570" s="402" t="s">
        <v>4518</v>
      </c>
      <c r="N1570" s="400"/>
      <c r="O1570" s="428" t="s">
        <v>4417</v>
      </c>
      <c r="P1570" s="581"/>
      <c r="Q1570" s="399" t="s">
        <v>5299</v>
      </c>
      <c r="R1570" s="428" t="s">
        <v>5298</v>
      </c>
      <c r="S1570" s="399"/>
      <c r="T1570" s="399"/>
      <c r="U1570" s="399" t="s">
        <v>3169</v>
      </c>
      <c r="V1570" s="399"/>
      <c r="W1570" s="399" t="s">
        <v>3170</v>
      </c>
      <c r="X1570" s="400"/>
      <c r="Y1570" s="399" t="s">
        <v>208</v>
      </c>
      <c r="Z1570" s="531"/>
      <c r="AA1570" s="399" t="s">
        <v>113</v>
      </c>
      <c r="AB1570" s="399" t="s">
        <v>3178</v>
      </c>
      <c r="AC1570" s="617" t="s">
        <v>5851</v>
      </c>
      <c r="AD1570" s="594"/>
      <c r="AE1570" s="531"/>
      <c r="AF1570" s="531"/>
      <c r="AG1570" s="531"/>
      <c r="AH1570" s="532" t="s">
        <v>3851</v>
      </c>
      <c r="AI1570" s="531"/>
      <c r="AJ1570" s="594"/>
      <c r="AK1570" s="399"/>
      <c r="AL1570" s="605"/>
      <c r="AM1570" s="531"/>
      <c r="AN1570" s="531"/>
      <c r="AO1570" s="531"/>
      <c r="AP1570" s="531"/>
      <c r="AQ1570" s="531"/>
      <c r="AR1570" s="531"/>
      <c r="AS1570" s="531"/>
      <c r="AT1570" s="399"/>
      <c r="AU1570" s="399"/>
      <c r="AV1570" s="399">
        <v>56717001</v>
      </c>
      <c r="AW1570" s="541"/>
      <c r="AX1570" s="541"/>
      <c r="AY1570" s="541"/>
      <c r="AZ1570" s="541"/>
      <c r="BA1570" s="541"/>
      <c r="BB1570" s="399"/>
      <c r="BC1570" s="399" t="str">
        <f t="shared" si="2"/>
        <v/>
      </c>
      <c r="BD1570" s="399"/>
      <c r="BE1570" s="399"/>
      <c r="BF1570" s="399"/>
      <c r="BG1570" s="540"/>
      <c r="BH1570" s="407"/>
      <c r="BI1570" s="407">
        <v>56717001</v>
      </c>
      <c r="BJ1570" s="543"/>
      <c r="BK1570" s="46">
        <f t="shared" si="1"/>
        <v>1</v>
      </c>
      <c r="BL1570" s="46">
        <f t="shared" si="3"/>
        <v>0</v>
      </c>
      <c r="BM1570" s="46">
        <f t="shared" si="4"/>
        <v>1</v>
      </c>
      <c r="BN1570" s="46">
        <f t="shared" si="5"/>
        <v>0</v>
      </c>
    </row>
    <row r="1571" spans="1:66" ht="12.75" customHeight="1">
      <c r="A1571" s="399">
        <v>1582</v>
      </c>
      <c r="B1571" s="399" t="s">
        <v>5306</v>
      </c>
      <c r="C1571" s="399" t="e">
        <f t="shared" ca="1" si="0"/>
        <v>#NAME?</v>
      </c>
      <c r="D1571" s="400" t="s">
        <v>5305</v>
      </c>
      <c r="E1571" s="399" t="s">
        <v>180</v>
      </c>
      <c r="F1571" s="400" t="s">
        <v>5298</v>
      </c>
      <c r="G1571" s="400"/>
      <c r="H1571" s="400"/>
      <c r="I1571" s="400"/>
      <c r="J1571" s="400"/>
      <c r="K1571" s="400">
        <v>1</v>
      </c>
      <c r="L1571" s="400" t="s">
        <v>3333</v>
      </c>
      <c r="M1571" s="402" t="s">
        <v>4518</v>
      </c>
      <c r="N1571" s="400"/>
      <c r="O1571" s="428" t="s">
        <v>4417</v>
      </c>
      <c r="P1571" s="581"/>
      <c r="Q1571" s="399" t="s">
        <v>5304</v>
      </c>
      <c r="R1571" s="428"/>
      <c r="S1571" s="399"/>
      <c r="T1571" s="399"/>
      <c r="U1571" s="531"/>
      <c r="V1571" s="399"/>
      <c r="W1571" s="399" t="s">
        <v>5305</v>
      </c>
      <c r="X1571" s="400"/>
      <c r="Y1571" s="399" t="s">
        <v>208</v>
      </c>
      <c r="Z1571" s="531"/>
      <c r="AA1571" s="399" t="s">
        <v>113</v>
      </c>
      <c r="AB1571" s="399" t="s">
        <v>3178</v>
      </c>
      <c r="AC1571" s="617" t="s">
        <v>5851</v>
      </c>
      <c r="AD1571" s="594"/>
      <c r="AE1571" s="531"/>
      <c r="AF1571" s="531"/>
      <c r="AG1571" s="531"/>
      <c r="AH1571" s="532" t="s">
        <v>3851</v>
      </c>
      <c r="AI1571" s="531"/>
      <c r="AJ1571" s="594"/>
      <c r="AK1571" s="399"/>
      <c r="AL1571" s="605"/>
      <c r="AM1571" s="531"/>
      <c r="AN1571" s="531"/>
      <c r="AO1571" s="531"/>
      <c r="AP1571" s="531"/>
      <c r="AQ1571" s="531"/>
      <c r="AR1571" s="531"/>
      <c r="AS1571" s="531"/>
      <c r="AT1571" s="399"/>
      <c r="AU1571" s="399"/>
      <c r="AV1571" s="399"/>
      <c r="AW1571" s="541"/>
      <c r="AX1571" s="541"/>
      <c r="AY1571" s="541"/>
      <c r="AZ1571" s="541"/>
      <c r="BA1571" s="541"/>
      <c r="BB1571" s="399"/>
      <c r="BC1571" s="399" t="e">
        <f t="shared" ca="1" si="2"/>
        <v>#NAME?</v>
      </c>
      <c r="BD1571" s="399"/>
      <c r="BE1571" s="399"/>
      <c r="BF1571" s="399"/>
      <c r="BG1571" s="540"/>
      <c r="BH1571" s="407"/>
      <c r="BI1571" s="407"/>
      <c r="BJ1571" s="543"/>
      <c r="BK1571" s="46">
        <f t="shared" si="1"/>
        <v>1</v>
      </c>
      <c r="BL1571" s="46">
        <f t="shared" si="3"/>
        <v>0</v>
      </c>
      <c r="BM1571" s="46">
        <f t="shared" si="4"/>
        <v>1</v>
      </c>
      <c r="BN1571" s="46">
        <f t="shared" si="5"/>
        <v>0</v>
      </c>
    </row>
    <row r="1572" spans="1:66" ht="12.75" customHeight="1">
      <c r="A1572" s="399">
        <v>1583</v>
      </c>
      <c r="B1572" s="399" t="s">
        <v>5313</v>
      </c>
      <c r="C1572" s="399" t="e">
        <f t="shared" ca="1" si="0"/>
        <v>#NAME?</v>
      </c>
      <c r="D1572" s="400" t="s">
        <v>5311</v>
      </c>
      <c r="E1572" s="399" t="s">
        <v>180</v>
      </c>
      <c r="F1572" s="400" t="s">
        <v>5298</v>
      </c>
      <c r="G1572" s="400"/>
      <c r="H1572" s="400"/>
      <c r="I1572" s="400"/>
      <c r="J1572" s="400"/>
      <c r="K1572" s="400">
        <v>1</v>
      </c>
      <c r="L1572" s="400" t="s">
        <v>3333</v>
      </c>
      <c r="M1572" s="402" t="s">
        <v>4518</v>
      </c>
      <c r="N1572" s="400"/>
      <c r="O1572" s="428" t="s">
        <v>4417</v>
      </c>
      <c r="P1572" s="581"/>
      <c r="Q1572" s="399" t="s">
        <v>5309</v>
      </c>
      <c r="R1572" s="428"/>
      <c r="S1572" s="399"/>
      <c r="T1572" s="399" t="s">
        <v>5310</v>
      </c>
      <c r="U1572" s="531"/>
      <c r="V1572" s="399"/>
      <c r="W1572" s="399" t="s">
        <v>5311</v>
      </c>
      <c r="X1572" s="400"/>
      <c r="Y1572" s="399" t="s">
        <v>113</v>
      </c>
      <c r="Z1572" s="399"/>
      <c r="AA1572" s="399" t="s">
        <v>113</v>
      </c>
      <c r="AB1572" s="399" t="s">
        <v>3178</v>
      </c>
      <c r="AC1572" s="617" t="s">
        <v>5851</v>
      </c>
      <c r="AD1572" s="594"/>
      <c r="AE1572" s="531"/>
      <c r="AF1572" s="531"/>
      <c r="AG1572" s="531"/>
      <c r="AH1572" s="532" t="s">
        <v>3851</v>
      </c>
      <c r="AI1572" s="531"/>
      <c r="AJ1572" s="594"/>
      <c r="AK1572" s="399"/>
      <c r="AL1572" s="605"/>
      <c r="AM1572" s="531"/>
      <c r="AN1572" s="531"/>
      <c r="AO1572" s="531"/>
      <c r="AP1572" s="531"/>
      <c r="AQ1572" s="531"/>
      <c r="AR1572" s="531"/>
      <c r="AS1572" s="531"/>
      <c r="AT1572" s="399"/>
      <c r="AU1572" s="399"/>
      <c r="AV1572" s="399">
        <v>198241002</v>
      </c>
      <c r="AW1572" s="541"/>
      <c r="AX1572" s="541"/>
      <c r="AY1572" s="541"/>
      <c r="AZ1572" s="541"/>
      <c r="BA1572" s="541"/>
      <c r="BB1572" s="399"/>
      <c r="BC1572" s="399" t="e">
        <f t="shared" ca="1" si="2"/>
        <v>#NAME?</v>
      </c>
      <c r="BD1572" s="399"/>
      <c r="BE1572" s="399"/>
      <c r="BF1572" s="399"/>
      <c r="BG1572" s="540"/>
      <c r="BH1572" s="407"/>
      <c r="BI1572" s="407">
        <v>198241002</v>
      </c>
      <c r="BJ1572" s="543"/>
      <c r="BK1572" s="46">
        <f t="shared" si="1"/>
        <v>1</v>
      </c>
      <c r="BL1572" s="46">
        <f t="shared" si="3"/>
        <v>1</v>
      </c>
      <c r="BM1572" s="46">
        <f t="shared" si="4"/>
        <v>0</v>
      </c>
      <c r="BN1572" s="46">
        <f t="shared" si="5"/>
        <v>0</v>
      </c>
    </row>
    <row r="1573" spans="1:66" ht="12.75" customHeight="1">
      <c r="A1573" s="399">
        <v>1584</v>
      </c>
      <c r="B1573" s="399" t="s">
        <v>5315</v>
      </c>
      <c r="C1573" s="399" t="str">
        <f t="shared" si="0"/>
        <v>Malaria</v>
      </c>
      <c r="D1573" s="400" t="s">
        <v>5315</v>
      </c>
      <c r="E1573" s="399" t="s">
        <v>96</v>
      </c>
      <c r="F1573" s="400" t="s">
        <v>1787</v>
      </c>
      <c r="G1573" s="400"/>
      <c r="H1573" s="400"/>
      <c r="I1573" s="400"/>
      <c r="J1573" s="400"/>
      <c r="K1573" s="400">
        <v>1</v>
      </c>
      <c r="L1573" s="400" t="s">
        <v>3333</v>
      </c>
      <c r="M1573" s="402" t="s">
        <v>4518</v>
      </c>
      <c r="N1573" s="400"/>
      <c r="O1573" s="428" t="s">
        <v>4417</v>
      </c>
      <c r="P1573" s="581"/>
      <c r="Q1573" s="399" t="s">
        <v>5316</v>
      </c>
      <c r="R1573" s="428" t="s">
        <v>5315</v>
      </c>
      <c r="S1573" s="399"/>
      <c r="T1573" s="399"/>
      <c r="U1573" s="399" t="s">
        <v>3169</v>
      </c>
      <c r="V1573" s="399"/>
      <c r="W1573" s="399" t="s">
        <v>3170</v>
      </c>
      <c r="X1573" s="400"/>
      <c r="Y1573" s="490" t="s">
        <v>208</v>
      </c>
      <c r="Z1573" s="531"/>
      <c r="AA1573" s="399" t="s">
        <v>113</v>
      </c>
      <c r="AB1573" s="399" t="s">
        <v>3178</v>
      </c>
      <c r="AC1573" s="566" t="s">
        <v>5851</v>
      </c>
      <c r="AD1573" s="594"/>
      <c r="AE1573" s="531"/>
      <c r="AF1573" s="531"/>
      <c r="AG1573" s="531"/>
      <c r="AH1573" s="532" t="s">
        <v>3851</v>
      </c>
      <c r="AI1573" s="531"/>
      <c r="AJ1573" s="594"/>
      <c r="AK1573" s="399"/>
      <c r="AL1573" s="531"/>
      <c r="AM1573" s="531"/>
      <c r="AN1573" s="531"/>
      <c r="AO1573" s="531"/>
      <c r="AP1573" s="531"/>
      <c r="AQ1573" s="531"/>
      <c r="AR1573" s="531"/>
      <c r="AS1573" s="531"/>
      <c r="AT1573" s="400" t="s">
        <v>5317</v>
      </c>
      <c r="AU1573" s="400" t="s">
        <v>5318</v>
      </c>
      <c r="AV1573" s="400">
        <v>61462000</v>
      </c>
      <c r="AW1573" s="541"/>
      <c r="AX1573" s="541"/>
      <c r="AY1573" s="541"/>
      <c r="AZ1573" s="541"/>
      <c r="BA1573" s="541"/>
      <c r="BB1573" s="400"/>
      <c r="BC1573" s="399" t="str">
        <f t="shared" si="2"/>
        <v/>
      </c>
      <c r="BD1573" s="400">
        <v>116128</v>
      </c>
      <c r="BE1573" s="399"/>
      <c r="BF1573" s="399"/>
      <c r="BG1573" s="540"/>
      <c r="BH1573" s="407" t="s">
        <v>5317</v>
      </c>
      <c r="BI1573" s="407">
        <v>61462000</v>
      </c>
      <c r="BJ1573" s="543"/>
      <c r="BK1573" s="46">
        <f t="shared" si="1"/>
        <v>1</v>
      </c>
      <c r="BL1573" s="46">
        <f t="shared" si="3"/>
        <v>0</v>
      </c>
      <c r="BM1573" s="46">
        <f t="shared" si="4"/>
        <v>1</v>
      </c>
      <c r="BN1573" s="46">
        <f t="shared" si="5"/>
        <v>0</v>
      </c>
    </row>
    <row r="1574" spans="1:66" ht="12.75" customHeight="1">
      <c r="A1574" s="399">
        <v>1585</v>
      </c>
      <c r="B1574" s="399" t="s">
        <v>5322</v>
      </c>
      <c r="C1574" s="399" t="e">
        <f t="shared" ca="1" si="0"/>
        <v>#NAME?</v>
      </c>
      <c r="D1574" s="400" t="s">
        <v>5320</v>
      </c>
      <c r="E1574" s="399" t="s">
        <v>180</v>
      </c>
      <c r="F1574" s="400" t="s">
        <v>5315</v>
      </c>
      <c r="G1574" s="400"/>
      <c r="H1574" s="400"/>
      <c r="I1574" s="400"/>
      <c r="J1574" s="400"/>
      <c r="K1574" s="400">
        <v>1</v>
      </c>
      <c r="L1574" s="400" t="s">
        <v>3333</v>
      </c>
      <c r="M1574" s="402" t="s">
        <v>4518</v>
      </c>
      <c r="N1574" s="400"/>
      <c r="O1574" s="428" t="s">
        <v>4417</v>
      </c>
      <c r="P1574" s="581"/>
      <c r="Q1574" s="399" t="s">
        <v>5321</v>
      </c>
      <c r="R1574" s="428"/>
      <c r="S1574" s="399"/>
      <c r="T1574" s="399"/>
      <c r="U1574" s="531"/>
      <c r="V1574" s="399"/>
      <c r="W1574" s="399" t="s">
        <v>5320</v>
      </c>
      <c r="X1574" s="400"/>
      <c r="Y1574" s="490" t="s">
        <v>208</v>
      </c>
      <c r="Z1574" s="531"/>
      <c r="AA1574" s="399" t="s">
        <v>113</v>
      </c>
      <c r="AB1574" s="399" t="s">
        <v>3178</v>
      </c>
      <c r="AC1574" s="566" t="s">
        <v>5851</v>
      </c>
      <c r="AD1574" s="594"/>
      <c r="AE1574" s="531"/>
      <c r="AF1574" s="531"/>
      <c r="AG1574" s="531"/>
      <c r="AH1574" s="532" t="s">
        <v>3851</v>
      </c>
      <c r="AI1574" s="531"/>
      <c r="AJ1574" s="594"/>
      <c r="AK1574" s="399"/>
      <c r="AL1574" s="531"/>
      <c r="AM1574" s="531"/>
      <c r="AN1574" s="531"/>
      <c r="AO1574" s="531"/>
      <c r="AP1574" s="531"/>
      <c r="AQ1574" s="531"/>
      <c r="AR1574" s="531"/>
      <c r="AS1574" s="531"/>
      <c r="AT1574" s="399"/>
      <c r="AU1574" s="399"/>
      <c r="AV1574" s="399"/>
      <c r="AW1574" s="541"/>
      <c r="AX1574" s="541"/>
      <c r="AY1574" s="541"/>
      <c r="AZ1574" s="541"/>
      <c r="BA1574" s="541"/>
      <c r="BB1574" s="399"/>
      <c r="BC1574" s="399" t="e">
        <f t="shared" ca="1" si="2"/>
        <v>#NAME?</v>
      </c>
      <c r="BD1574" s="399"/>
      <c r="BE1574" s="399"/>
      <c r="BF1574" s="399"/>
      <c r="BG1574" s="540"/>
      <c r="BH1574" s="407"/>
      <c r="BI1574" s="407"/>
      <c r="BJ1574" s="543"/>
      <c r="BK1574" s="46">
        <f t="shared" si="1"/>
        <v>1</v>
      </c>
      <c r="BL1574" s="46">
        <f t="shared" si="3"/>
        <v>0</v>
      </c>
      <c r="BM1574" s="46">
        <f t="shared" si="4"/>
        <v>1</v>
      </c>
      <c r="BN1574" s="46">
        <f t="shared" si="5"/>
        <v>0</v>
      </c>
    </row>
    <row r="1575" spans="1:66" ht="12.75" customHeight="1">
      <c r="A1575" s="399">
        <v>1586</v>
      </c>
      <c r="B1575" s="399" t="s">
        <v>5326</v>
      </c>
      <c r="C1575" s="399" t="e">
        <f t="shared" ca="1" si="0"/>
        <v>#NAME?</v>
      </c>
      <c r="D1575" s="400" t="s">
        <v>5324</v>
      </c>
      <c r="E1575" s="399" t="s">
        <v>180</v>
      </c>
      <c r="F1575" s="400" t="s">
        <v>5315</v>
      </c>
      <c r="G1575" s="400"/>
      <c r="H1575" s="400"/>
      <c r="I1575" s="400"/>
      <c r="J1575" s="400"/>
      <c r="K1575" s="400">
        <v>1</v>
      </c>
      <c r="L1575" s="400" t="s">
        <v>3333</v>
      </c>
      <c r="M1575" s="402" t="s">
        <v>4518</v>
      </c>
      <c r="N1575" s="400"/>
      <c r="O1575" s="428" t="s">
        <v>4417</v>
      </c>
      <c r="P1575" s="581"/>
      <c r="Q1575" s="399" t="s">
        <v>5325</v>
      </c>
      <c r="R1575" s="428"/>
      <c r="S1575" s="399"/>
      <c r="T1575" s="399"/>
      <c r="U1575" s="531"/>
      <c r="V1575" s="399"/>
      <c r="W1575" s="399" t="s">
        <v>5324</v>
      </c>
      <c r="X1575" s="400"/>
      <c r="Y1575" s="490" t="s">
        <v>208</v>
      </c>
      <c r="Z1575" s="531"/>
      <c r="AA1575" s="399" t="s">
        <v>113</v>
      </c>
      <c r="AB1575" s="399" t="s">
        <v>3178</v>
      </c>
      <c r="AC1575" s="566" t="s">
        <v>5851</v>
      </c>
      <c r="AD1575" s="594"/>
      <c r="AE1575" s="531"/>
      <c r="AF1575" s="531"/>
      <c r="AG1575" s="531"/>
      <c r="AH1575" s="532" t="s">
        <v>3851</v>
      </c>
      <c r="AI1575" s="531"/>
      <c r="AJ1575" s="594"/>
      <c r="AK1575" s="399"/>
      <c r="AL1575" s="531"/>
      <c r="AM1575" s="531"/>
      <c r="AN1575" s="531"/>
      <c r="AO1575" s="531"/>
      <c r="AP1575" s="531"/>
      <c r="AQ1575" s="531"/>
      <c r="AR1575" s="531"/>
      <c r="AS1575" s="531"/>
      <c r="AT1575" s="399"/>
      <c r="AU1575" s="399"/>
      <c r="AV1575" s="399"/>
      <c r="AW1575" s="541"/>
      <c r="AX1575" s="541"/>
      <c r="AY1575" s="541"/>
      <c r="AZ1575" s="541"/>
      <c r="BA1575" s="541"/>
      <c r="BB1575" s="399"/>
      <c r="BC1575" s="399" t="e">
        <f t="shared" ca="1" si="2"/>
        <v>#NAME?</v>
      </c>
      <c r="BD1575" s="399"/>
      <c r="BE1575" s="399"/>
      <c r="BF1575" s="399"/>
      <c r="BG1575" s="540"/>
      <c r="BH1575" s="407"/>
      <c r="BI1575" s="407"/>
      <c r="BJ1575" s="543"/>
      <c r="BK1575" s="46">
        <f t="shared" si="1"/>
        <v>1</v>
      </c>
      <c r="BL1575" s="46">
        <f t="shared" si="3"/>
        <v>0</v>
      </c>
      <c r="BM1575" s="46">
        <f t="shared" si="4"/>
        <v>1</v>
      </c>
      <c r="BN1575" s="46">
        <f t="shared" si="5"/>
        <v>0</v>
      </c>
    </row>
    <row r="1576" spans="1:66" ht="12.75" customHeight="1">
      <c r="A1576" s="399">
        <v>1587</v>
      </c>
      <c r="B1576" s="399" t="s">
        <v>5332</v>
      </c>
      <c r="C1576" s="399" t="e">
        <f t="shared" ca="1" si="0"/>
        <v>#NAME?</v>
      </c>
      <c r="D1576" s="400" t="s">
        <v>5330</v>
      </c>
      <c r="E1576" s="399" t="s">
        <v>180</v>
      </c>
      <c r="F1576" s="400" t="s">
        <v>5315</v>
      </c>
      <c r="G1576" s="400"/>
      <c r="H1576" s="400"/>
      <c r="I1576" s="400"/>
      <c r="J1576" s="400"/>
      <c r="K1576" s="400">
        <v>1</v>
      </c>
      <c r="L1576" s="400" t="s">
        <v>3333</v>
      </c>
      <c r="M1576" s="402" t="s">
        <v>4518</v>
      </c>
      <c r="N1576" s="400"/>
      <c r="O1576" s="428" t="s">
        <v>4417</v>
      </c>
      <c r="P1576" s="581"/>
      <c r="Q1576" s="399" t="s">
        <v>5329</v>
      </c>
      <c r="R1576" s="428"/>
      <c r="S1576" s="399"/>
      <c r="T1576" s="399"/>
      <c r="U1576" s="531"/>
      <c r="V1576" s="399"/>
      <c r="W1576" s="399" t="s">
        <v>5330</v>
      </c>
      <c r="X1576" s="400"/>
      <c r="Y1576" s="490" t="s">
        <v>208</v>
      </c>
      <c r="Z1576" s="531"/>
      <c r="AA1576" s="399" t="s">
        <v>113</v>
      </c>
      <c r="AB1576" s="399" t="s">
        <v>3178</v>
      </c>
      <c r="AC1576" s="566" t="s">
        <v>5851</v>
      </c>
      <c r="AD1576" s="594"/>
      <c r="AE1576" s="531"/>
      <c r="AF1576" s="531"/>
      <c r="AG1576" s="531"/>
      <c r="AH1576" s="532" t="s">
        <v>3851</v>
      </c>
      <c r="AI1576" s="531"/>
      <c r="AJ1576" s="594"/>
      <c r="AK1576" s="399"/>
      <c r="AL1576" s="531"/>
      <c r="AM1576" s="531"/>
      <c r="AN1576" s="531"/>
      <c r="AO1576" s="531"/>
      <c r="AP1576" s="531"/>
      <c r="AQ1576" s="531"/>
      <c r="AR1576" s="531"/>
      <c r="AS1576" s="531"/>
      <c r="AT1576" s="399"/>
      <c r="AU1576" s="399"/>
      <c r="AV1576" s="399"/>
      <c r="AW1576" s="541"/>
      <c r="AX1576" s="541"/>
      <c r="AY1576" s="541"/>
      <c r="AZ1576" s="541"/>
      <c r="BA1576" s="541"/>
      <c r="BB1576" s="399"/>
      <c r="BC1576" s="399" t="e">
        <f t="shared" ca="1" si="2"/>
        <v>#NAME?</v>
      </c>
      <c r="BD1576" s="399"/>
      <c r="BE1576" s="399"/>
      <c r="BF1576" s="399"/>
      <c r="BG1576" s="540"/>
      <c r="BH1576" s="407"/>
      <c r="BI1576" s="407"/>
      <c r="BJ1576" s="543"/>
      <c r="BK1576" s="46">
        <f t="shared" si="1"/>
        <v>1</v>
      </c>
      <c r="BL1576" s="46">
        <f t="shared" si="3"/>
        <v>0</v>
      </c>
      <c r="BM1576" s="46">
        <f t="shared" si="4"/>
        <v>1</v>
      </c>
      <c r="BN1576" s="46">
        <f t="shared" si="5"/>
        <v>0</v>
      </c>
    </row>
    <row r="1577" spans="1:66" ht="12.75" customHeight="1">
      <c r="A1577" s="399">
        <v>1588</v>
      </c>
      <c r="B1577" s="399" t="s">
        <v>1144</v>
      </c>
      <c r="C1577" s="399" t="e">
        <f t="shared" ca="1" si="0"/>
        <v>#NAME?</v>
      </c>
      <c r="D1577" s="400" t="s">
        <v>879</v>
      </c>
      <c r="E1577" s="399" t="s">
        <v>180</v>
      </c>
      <c r="F1577" s="400" t="s">
        <v>5315</v>
      </c>
      <c r="G1577" s="400"/>
      <c r="H1577" s="400"/>
      <c r="I1577" s="400"/>
      <c r="J1577" s="400"/>
      <c r="K1577" s="400">
        <v>1</v>
      </c>
      <c r="L1577" s="400" t="s">
        <v>3333</v>
      </c>
      <c r="M1577" s="402" t="s">
        <v>4518</v>
      </c>
      <c r="N1577" s="400"/>
      <c r="O1577" s="428" t="s">
        <v>4417</v>
      </c>
      <c r="P1577" s="581"/>
      <c r="Q1577" s="399" t="s">
        <v>5987</v>
      </c>
      <c r="R1577" s="428"/>
      <c r="S1577" s="399"/>
      <c r="T1577" s="399"/>
      <c r="U1577" s="531"/>
      <c r="V1577" s="399"/>
      <c r="W1577" s="399" t="s">
        <v>879</v>
      </c>
      <c r="X1577" s="400"/>
      <c r="Y1577" s="490" t="s">
        <v>208</v>
      </c>
      <c r="Z1577" s="531"/>
      <c r="AA1577" s="399" t="s">
        <v>113</v>
      </c>
      <c r="AB1577" s="399" t="s">
        <v>3178</v>
      </c>
      <c r="AC1577" s="566" t="s">
        <v>5851</v>
      </c>
      <c r="AD1577" s="594"/>
      <c r="AE1577" s="531"/>
      <c r="AF1577" s="531"/>
      <c r="AG1577" s="531"/>
      <c r="AH1577" s="532" t="s">
        <v>3851</v>
      </c>
      <c r="AI1577" s="531"/>
      <c r="AJ1577" s="594"/>
      <c r="AK1577" s="399"/>
      <c r="AL1577" s="531"/>
      <c r="AM1577" s="531"/>
      <c r="AN1577" s="531"/>
      <c r="AO1577" s="531"/>
      <c r="AP1577" s="531"/>
      <c r="AQ1577" s="531"/>
      <c r="AR1577" s="531"/>
      <c r="AS1577" s="531"/>
      <c r="AT1577" s="399"/>
      <c r="AU1577" s="399"/>
      <c r="AV1577" s="399"/>
      <c r="AW1577" s="541"/>
      <c r="AX1577" s="541"/>
      <c r="AY1577" s="541"/>
      <c r="AZ1577" s="541"/>
      <c r="BA1577" s="541"/>
      <c r="BB1577" s="399"/>
      <c r="BC1577" s="399" t="e">
        <f t="shared" ca="1" si="2"/>
        <v>#NAME?</v>
      </c>
      <c r="BD1577" s="399"/>
      <c r="BE1577" s="399"/>
      <c r="BF1577" s="399"/>
      <c r="BG1577" s="540"/>
      <c r="BH1577" s="407"/>
      <c r="BI1577" s="407"/>
      <c r="BJ1577" s="543"/>
      <c r="BK1577" s="46">
        <f t="shared" si="1"/>
        <v>1</v>
      </c>
      <c r="BL1577" s="46">
        <f t="shared" si="3"/>
        <v>0</v>
      </c>
      <c r="BM1577" s="46">
        <f t="shared" si="4"/>
        <v>1</v>
      </c>
      <c r="BN1577" s="46">
        <f t="shared" si="5"/>
        <v>0</v>
      </c>
    </row>
    <row r="1578" spans="1:66" ht="12.75" customHeight="1">
      <c r="A1578" s="399">
        <v>1589</v>
      </c>
      <c r="B1578" s="399" t="s">
        <v>5340</v>
      </c>
      <c r="C1578" s="399" t="e">
        <f t="shared" ca="1" si="0"/>
        <v>#NAME?</v>
      </c>
      <c r="D1578" s="400" t="s">
        <v>5337</v>
      </c>
      <c r="E1578" s="399" t="s">
        <v>180</v>
      </c>
      <c r="F1578" s="400" t="s">
        <v>5315</v>
      </c>
      <c r="G1578" s="400"/>
      <c r="H1578" s="400"/>
      <c r="I1578" s="400"/>
      <c r="J1578" s="400"/>
      <c r="K1578" s="400">
        <v>1</v>
      </c>
      <c r="L1578" s="400" t="s">
        <v>3333</v>
      </c>
      <c r="M1578" s="402" t="s">
        <v>4518</v>
      </c>
      <c r="N1578" s="400"/>
      <c r="O1578" s="428" t="s">
        <v>4417</v>
      </c>
      <c r="P1578" s="581"/>
      <c r="Q1578" s="399" t="s">
        <v>5338</v>
      </c>
      <c r="R1578" s="428"/>
      <c r="S1578" s="399"/>
      <c r="T1578" s="399" t="s">
        <v>5339</v>
      </c>
      <c r="U1578" s="531"/>
      <c r="V1578" s="399"/>
      <c r="W1578" s="399" t="s">
        <v>5337</v>
      </c>
      <c r="X1578" s="400"/>
      <c r="Y1578" s="490" t="s">
        <v>208</v>
      </c>
      <c r="Z1578" s="531"/>
      <c r="AA1578" s="399" t="s">
        <v>113</v>
      </c>
      <c r="AB1578" s="399" t="s">
        <v>3178</v>
      </c>
      <c r="AC1578" s="566" t="s">
        <v>5851</v>
      </c>
      <c r="AD1578" s="594"/>
      <c r="AE1578" s="531"/>
      <c r="AF1578" s="531"/>
      <c r="AG1578" s="531"/>
      <c r="AH1578" s="532" t="s">
        <v>3851</v>
      </c>
      <c r="AI1578" s="531"/>
      <c r="AJ1578" s="594"/>
      <c r="AK1578" s="399"/>
      <c r="AL1578" s="531"/>
      <c r="AM1578" s="531"/>
      <c r="AN1578" s="531"/>
      <c r="AO1578" s="531"/>
      <c r="AP1578" s="531"/>
      <c r="AQ1578" s="531"/>
      <c r="AR1578" s="531"/>
      <c r="AS1578" s="531"/>
      <c r="AT1578" s="399"/>
      <c r="AU1578" s="399"/>
      <c r="AV1578" s="399">
        <v>14304000</v>
      </c>
      <c r="AW1578" s="541" t="s">
        <v>5343</v>
      </c>
      <c r="AX1578" s="541"/>
      <c r="AY1578" s="541"/>
      <c r="AZ1578" s="541"/>
      <c r="BA1578" s="541"/>
      <c r="BB1578" s="399"/>
      <c r="BC1578" s="399" t="e">
        <f t="shared" ca="1" si="2"/>
        <v>#NAME?</v>
      </c>
      <c r="BD1578" s="399"/>
      <c r="BE1578" s="399"/>
      <c r="BF1578" s="399"/>
      <c r="BG1578" s="540"/>
      <c r="BH1578" s="407"/>
      <c r="BI1578" s="407">
        <v>14304000</v>
      </c>
      <c r="BJ1578" s="543" t="s">
        <v>5343</v>
      </c>
      <c r="BK1578" s="46">
        <f t="shared" si="1"/>
        <v>1</v>
      </c>
      <c r="BL1578" s="46">
        <f t="shared" si="3"/>
        <v>1</v>
      </c>
      <c r="BM1578" s="46">
        <f t="shared" si="4"/>
        <v>0</v>
      </c>
      <c r="BN1578" s="46">
        <f t="shared" si="5"/>
        <v>0</v>
      </c>
    </row>
    <row r="1579" spans="1:66" ht="12.75" customHeight="1">
      <c r="A1579" s="399">
        <v>1590</v>
      </c>
      <c r="B1579" s="399" t="s">
        <v>5344</v>
      </c>
      <c r="C1579" s="399" t="str">
        <f t="shared" si="0"/>
        <v>Thyroid disorder category</v>
      </c>
      <c r="D1579" s="400" t="s">
        <v>5344</v>
      </c>
      <c r="E1579" s="399" t="s">
        <v>96</v>
      </c>
      <c r="F1579" s="400" t="s">
        <v>1787</v>
      </c>
      <c r="G1579" s="400"/>
      <c r="H1579" s="400"/>
      <c r="I1579" s="400"/>
      <c r="J1579" s="400"/>
      <c r="K1579" s="400">
        <v>1</v>
      </c>
      <c r="L1579" s="400" t="s">
        <v>3333</v>
      </c>
      <c r="M1579" s="402" t="s">
        <v>4518</v>
      </c>
      <c r="N1579" s="400"/>
      <c r="O1579" s="428" t="s">
        <v>4417</v>
      </c>
      <c r="P1579" s="581"/>
      <c r="Q1579" s="400" t="s">
        <v>5345</v>
      </c>
      <c r="R1579" s="428" t="s">
        <v>5344</v>
      </c>
      <c r="S1579" s="399"/>
      <c r="T1579" s="399" t="s">
        <v>5347</v>
      </c>
      <c r="U1579" s="399" t="s">
        <v>4694</v>
      </c>
      <c r="V1579" s="399"/>
      <c r="W1579" s="399"/>
      <c r="X1579" s="399"/>
      <c r="Y1579" s="490" t="s">
        <v>208</v>
      </c>
      <c r="Z1579" s="531"/>
      <c r="AA1579" s="399" t="s">
        <v>113</v>
      </c>
      <c r="AB1579" s="399" t="s">
        <v>3178</v>
      </c>
      <c r="AC1579" s="532" t="s">
        <v>5348</v>
      </c>
      <c r="AD1579" s="594"/>
      <c r="AE1579" s="531"/>
      <c r="AF1579" s="531"/>
      <c r="AG1579" s="531"/>
      <c r="AH1579" s="532" t="s">
        <v>3851</v>
      </c>
      <c r="AI1579" s="531"/>
      <c r="AJ1579" s="594"/>
      <c r="AK1579" s="399"/>
      <c r="AL1579" s="531"/>
      <c r="AM1579" s="531"/>
      <c r="AN1579" s="531"/>
      <c r="AO1579" s="531"/>
      <c r="AP1579" s="531"/>
      <c r="AQ1579" s="531"/>
      <c r="AR1579" s="531"/>
      <c r="AS1579" s="531"/>
      <c r="AT1579" s="399"/>
      <c r="AU1579" s="399"/>
      <c r="AV1579" s="399"/>
      <c r="AW1579" s="541"/>
      <c r="AX1579" s="541"/>
      <c r="AY1579" s="541"/>
      <c r="AZ1579" s="541"/>
      <c r="BA1579" s="541"/>
      <c r="BB1579" s="399"/>
      <c r="BC1579" s="399" t="str">
        <f t="shared" si="2"/>
        <v/>
      </c>
      <c r="BD1579" s="399"/>
      <c r="BE1579" s="399"/>
      <c r="BF1579" s="399"/>
      <c r="BG1579" s="540"/>
      <c r="BH1579" s="407"/>
      <c r="BI1579" s="407"/>
      <c r="BJ1579" s="543"/>
      <c r="BK1579" s="46">
        <f t="shared" si="1"/>
        <v>1</v>
      </c>
      <c r="BL1579" s="46">
        <f t="shared" si="3"/>
        <v>0</v>
      </c>
      <c r="BM1579" s="46">
        <f t="shared" si="4"/>
        <v>1</v>
      </c>
      <c r="BN1579" s="46">
        <f t="shared" si="5"/>
        <v>0</v>
      </c>
    </row>
    <row r="1580" spans="1:66" ht="12.75" customHeight="1">
      <c r="A1580" s="399">
        <v>1591</v>
      </c>
      <c r="B1580" s="399" t="s">
        <v>5353</v>
      </c>
      <c r="C1580" s="399" t="e">
        <f t="shared" ca="1" si="0"/>
        <v>#NAME?</v>
      </c>
      <c r="D1580" s="400" t="s">
        <v>5350</v>
      </c>
      <c r="E1580" s="399" t="s">
        <v>180</v>
      </c>
      <c r="F1580" s="400" t="s">
        <v>5344</v>
      </c>
      <c r="G1580" s="400"/>
      <c r="H1580" s="400"/>
      <c r="I1580" s="400"/>
      <c r="J1580" s="400"/>
      <c r="K1580" s="400">
        <v>1</v>
      </c>
      <c r="L1580" s="400" t="s">
        <v>3333</v>
      </c>
      <c r="M1580" s="402" t="s">
        <v>4518</v>
      </c>
      <c r="N1580" s="400"/>
      <c r="O1580" s="428" t="s">
        <v>4417</v>
      </c>
      <c r="P1580" s="581"/>
      <c r="Q1580" s="400" t="s">
        <v>5351</v>
      </c>
      <c r="R1580" s="428"/>
      <c r="S1580" s="399"/>
      <c r="T1580" s="399" t="s">
        <v>5352</v>
      </c>
      <c r="U1580" s="531"/>
      <c r="V1580" s="399"/>
      <c r="W1580" s="399" t="s">
        <v>5350</v>
      </c>
      <c r="X1580" s="400"/>
      <c r="Y1580" s="490" t="s">
        <v>208</v>
      </c>
      <c r="Z1580" s="531"/>
      <c r="AA1580" s="399" t="s">
        <v>113</v>
      </c>
      <c r="AB1580" s="399" t="s">
        <v>3178</v>
      </c>
      <c r="AC1580" s="566" t="s">
        <v>5851</v>
      </c>
      <c r="AD1580" s="594"/>
      <c r="AE1580" s="531"/>
      <c r="AF1580" s="531"/>
      <c r="AG1580" s="531"/>
      <c r="AH1580" s="532" t="s">
        <v>3851</v>
      </c>
      <c r="AI1580" s="531"/>
      <c r="AJ1580" s="594"/>
      <c r="AK1580" s="399"/>
      <c r="AL1580" s="531"/>
      <c r="AM1580" s="531"/>
      <c r="AN1580" s="531"/>
      <c r="AO1580" s="531"/>
      <c r="AP1580" s="531"/>
      <c r="AQ1580" s="531"/>
      <c r="AR1580" s="531"/>
      <c r="AS1580" s="531"/>
      <c r="AT1580" s="399"/>
      <c r="AU1580" s="399"/>
      <c r="AV1580" s="399">
        <v>267369002</v>
      </c>
      <c r="AW1580" s="541"/>
      <c r="AX1580" s="541"/>
      <c r="AY1580" s="541"/>
      <c r="AZ1580" s="541"/>
      <c r="BA1580" s="541"/>
      <c r="BB1580" s="399"/>
      <c r="BC1580" s="399" t="e">
        <f t="shared" ca="1" si="2"/>
        <v>#NAME?</v>
      </c>
      <c r="BD1580" s="399"/>
      <c r="BE1580" s="399"/>
      <c r="BF1580" s="399"/>
      <c r="BG1580" s="540"/>
      <c r="BH1580" s="407"/>
      <c r="BI1580" s="407">
        <v>267369002</v>
      </c>
      <c r="BJ1580" s="543"/>
      <c r="BK1580" s="46">
        <f t="shared" si="1"/>
        <v>1</v>
      </c>
      <c r="BL1580" s="46">
        <f t="shared" si="3"/>
        <v>1</v>
      </c>
      <c r="BM1580" s="46">
        <f t="shared" si="4"/>
        <v>0</v>
      </c>
      <c r="BN1580" s="46">
        <f t="shared" si="5"/>
        <v>0</v>
      </c>
    </row>
    <row r="1581" spans="1:66" ht="12.75" customHeight="1">
      <c r="A1581" s="399">
        <v>1592</v>
      </c>
      <c r="B1581" s="399" t="s">
        <v>5358</v>
      </c>
      <c r="C1581" s="399" t="e">
        <f t="shared" ca="1" si="0"/>
        <v>#NAME?</v>
      </c>
      <c r="D1581" s="400" t="s">
        <v>5355</v>
      </c>
      <c r="E1581" s="399" t="s">
        <v>180</v>
      </c>
      <c r="F1581" s="400" t="s">
        <v>5344</v>
      </c>
      <c r="G1581" s="400"/>
      <c r="H1581" s="400"/>
      <c r="I1581" s="400"/>
      <c r="J1581" s="400"/>
      <c r="K1581" s="400">
        <v>1</v>
      </c>
      <c r="L1581" s="400" t="s">
        <v>3333</v>
      </c>
      <c r="M1581" s="402" t="s">
        <v>4518</v>
      </c>
      <c r="N1581" s="400"/>
      <c r="O1581" s="428" t="s">
        <v>4417</v>
      </c>
      <c r="P1581" s="581"/>
      <c r="Q1581" s="400" t="s">
        <v>5356</v>
      </c>
      <c r="R1581" s="428"/>
      <c r="S1581" s="399"/>
      <c r="T1581" s="399" t="s">
        <v>5357</v>
      </c>
      <c r="U1581" s="531"/>
      <c r="V1581" s="399"/>
      <c r="W1581" s="399" t="s">
        <v>5355</v>
      </c>
      <c r="X1581" s="400"/>
      <c r="Y1581" s="490" t="s">
        <v>208</v>
      </c>
      <c r="Z1581" s="531"/>
      <c r="AA1581" s="399" t="s">
        <v>113</v>
      </c>
      <c r="AB1581" s="399" t="s">
        <v>3178</v>
      </c>
      <c r="AC1581" s="566" t="s">
        <v>5851</v>
      </c>
      <c r="AD1581" s="594"/>
      <c r="AE1581" s="531"/>
      <c r="AF1581" s="531"/>
      <c r="AG1581" s="531"/>
      <c r="AH1581" s="532" t="s">
        <v>3851</v>
      </c>
      <c r="AI1581" s="531"/>
      <c r="AJ1581" s="594"/>
      <c r="AK1581" s="399"/>
      <c r="AL1581" s="531"/>
      <c r="AM1581" s="531"/>
      <c r="AN1581" s="531"/>
      <c r="AO1581" s="531"/>
      <c r="AP1581" s="531"/>
      <c r="AQ1581" s="531"/>
      <c r="AR1581" s="531"/>
      <c r="AS1581" s="531"/>
      <c r="AT1581" s="400" t="s">
        <v>5359</v>
      </c>
      <c r="AU1581" s="400" t="s">
        <v>5360</v>
      </c>
      <c r="AV1581" s="400">
        <v>34486009</v>
      </c>
      <c r="AW1581" s="541"/>
      <c r="AX1581" s="541"/>
      <c r="AY1581" s="541"/>
      <c r="AZ1581" s="541"/>
      <c r="BA1581" s="541"/>
      <c r="BB1581" s="400"/>
      <c r="BC1581" s="399" t="e">
        <f t="shared" ca="1" si="2"/>
        <v>#NAME?</v>
      </c>
      <c r="BD1581" s="400">
        <v>138176</v>
      </c>
      <c r="BE1581" s="399"/>
      <c r="BF1581" s="399"/>
      <c r="BG1581" s="540"/>
      <c r="BH1581" s="407" t="s">
        <v>5359</v>
      </c>
      <c r="BI1581" s="407">
        <v>34486009</v>
      </c>
      <c r="BJ1581" s="543"/>
      <c r="BK1581" s="46">
        <f t="shared" si="1"/>
        <v>1</v>
      </c>
      <c r="BL1581" s="46">
        <f t="shared" si="3"/>
        <v>1</v>
      </c>
      <c r="BM1581" s="46">
        <f t="shared" si="4"/>
        <v>0</v>
      </c>
      <c r="BN1581" s="46">
        <f t="shared" si="5"/>
        <v>0</v>
      </c>
    </row>
    <row r="1582" spans="1:66" ht="12.75" customHeight="1">
      <c r="A1582" s="399">
        <v>1593</v>
      </c>
      <c r="B1582" s="399" t="s">
        <v>5365</v>
      </c>
      <c r="C1582" s="399" t="e">
        <f t="shared" ca="1" si="0"/>
        <v>#NAME?</v>
      </c>
      <c r="D1582" s="400" t="s">
        <v>5362</v>
      </c>
      <c r="E1582" s="399" t="s">
        <v>180</v>
      </c>
      <c r="F1582" s="400" t="s">
        <v>5344</v>
      </c>
      <c r="G1582" s="400"/>
      <c r="H1582" s="400"/>
      <c r="I1582" s="400"/>
      <c r="J1582" s="400"/>
      <c r="K1582" s="400">
        <v>1</v>
      </c>
      <c r="L1582" s="400" t="s">
        <v>3333</v>
      </c>
      <c r="M1582" s="402" t="s">
        <v>4518</v>
      </c>
      <c r="N1582" s="400"/>
      <c r="O1582" s="428" t="s">
        <v>4417</v>
      </c>
      <c r="P1582" s="581"/>
      <c r="Q1582" s="400" t="s">
        <v>5363</v>
      </c>
      <c r="R1582" s="428"/>
      <c r="S1582" s="399"/>
      <c r="T1582" s="399" t="s">
        <v>5364</v>
      </c>
      <c r="U1582" s="531"/>
      <c r="V1582" s="399"/>
      <c r="W1582" s="399" t="s">
        <v>5362</v>
      </c>
      <c r="X1582" s="400"/>
      <c r="Y1582" s="490" t="s">
        <v>208</v>
      </c>
      <c r="Z1582" s="531"/>
      <c r="AA1582" s="399" t="s">
        <v>113</v>
      </c>
      <c r="AB1582" s="399" t="s">
        <v>3178</v>
      </c>
      <c r="AC1582" s="566" t="s">
        <v>5851</v>
      </c>
      <c r="AD1582" s="594"/>
      <c r="AE1582" s="531"/>
      <c r="AF1582" s="531"/>
      <c r="AG1582" s="531"/>
      <c r="AH1582" s="532" t="s">
        <v>3851</v>
      </c>
      <c r="AI1582" s="531"/>
      <c r="AJ1582" s="594"/>
      <c r="AK1582" s="399"/>
      <c r="AL1582" s="531"/>
      <c r="AM1582" s="531"/>
      <c r="AN1582" s="531"/>
      <c r="AO1582" s="531"/>
      <c r="AP1582" s="531"/>
      <c r="AQ1582" s="531"/>
      <c r="AR1582" s="531"/>
      <c r="AS1582" s="531"/>
      <c r="AT1582" s="400" t="s">
        <v>5366</v>
      </c>
      <c r="AU1582" s="400" t="s">
        <v>5367</v>
      </c>
      <c r="AV1582" s="400">
        <v>40930008</v>
      </c>
      <c r="AW1582" s="541"/>
      <c r="AX1582" s="541"/>
      <c r="AY1582" s="541"/>
      <c r="AZ1582" s="541"/>
      <c r="BA1582" s="541"/>
      <c r="BB1582" s="400"/>
      <c r="BC1582" s="399" t="e">
        <f t="shared" ca="1" si="2"/>
        <v>#NAME?</v>
      </c>
      <c r="BD1582" s="400">
        <v>117321</v>
      </c>
      <c r="BE1582" s="399"/>
      <c r="BF1582" s="399"/>
      <c r="BG1582" s="540"/>
      <c r="BH1582" s="407" t="s">
        <v>5366</v>
      </c>
      <c r="BI1582" s="407">
        <v>40930008</v>
      </c>
      <c r="BJ1582" s="543"/>
      <c r="BK1582" s="46">
        <f t="shared" si="1"/>
        <v>1</v>
      </c>
      <c r="BL1582" s="46">
        <f t="shared" si="3"/>
        <v>1</v>
      </c>
      <c r="BM1582" s="46">
        <f t="shared" si="4"/>
        <v>0</v>
      </c>
      <c r="BN1582" s="46">
        <f t="shared" si="5"/>
        <v>0</v>
      </c>
    </row>
    <row r="1583" spans="1:66" ht="12.75" customHeight="1">
      <c r="A1583" s="399">
        <v>1594</v>
      </c>
      <c r="B1583" s="399" t="s">
        <v>5369</v>
      </c>
      <c r="C1583" s="399" t="str">
        <f t="shared" si="0"/>
        <v>Gastrointestinal conditions</v>
      </c>
      <c r="D1583" s="400" t="s">
        <v>5369</v>
      </c>
      <c r="E1583" s="399" t="s">
        <v>96</v>
      </c>
      <c r="F1583" s="400" t="s">
        <v>1787</v>
      </c>
      <c r="G1583" s="400"/>
      <c r="H1583" s="400"/>
      <c r="I1583" s="400"/>
      <c r="J1583" s="400"/>
      <c r="K1583" s="400">
        <v>1</v>
      </c>
      <c r="L1583" s="400" t="s">
        <v>3333</v>
      </c>
      <c r="M1583" s="402" t="s">
        <v>4518</v>
      </c>
      <c r="N1583" s="400"/>
      <c r="O1583" s="428" t="s">
        <v>4417</v>
      </c>
      <c r="P1583" s="581"/>
      <c r="Q1583" s="400" t="s">
        <v>5370</v>
      </c>
      <c r="R1583" s="428" t="s">
        <v>5369</v>
      </c>
      <c r="S1583" s="531"/>
      <c r="T1583" s="399" t="s">
        <v>5371</v>
      </c>
      <c r="U1583" s="399" t="s">
        <v>238</v>
      </c>
      <c r="V1583" s="399"/>
      <c r="W1583" s="399"/>
      <c r="X1583" s="399"/>
      <c r="Y1583" s="490" t="s">
        <v>208</v>
      </c>
      <c r="Z1583" s="581"/>
      <c r="AA1583" s="399" t="s">
        <v>113</v>
      </c>
      <c r="AB1583" s="399" t="s">
        <v>3178</v>
      </c>
      <c r="AC1583" s="566" t="s">
        <v>5851</v>
      </c>
      <c r="AD1583" s="626"/>
      <c r="AE1583" s="581"/>
      <c r="AF1583" s="581"/>
      <c r="AG1583" s="581"/>
      <c r="AH1583" s="532" t="s">
        <v>3851</v>
      </c>
      <c r="AI1583" s="581"/>
      <c r="AJ1583" s="626"/>
      <c r="AK1583" s="399"/>
      <c r="AL1583" s="581"/>
      <c r="AM1583" s="581"/>
      <c r="AN1583" s="581"/>
      <c r="AO1583" s="581"/>
      <c r="AP1583" s="581"/>
      <c r="AQ1583" s="581"/>
      <c r="AR1583" s="581"/>
      <c r="AS1583" s="581"/>
      <c r="AT1583" s="428"/>
      <c r="AU1583" s="428"/>
      <c r="AV1583" s="428"/>
      <c r="AW1583" s="541"/>
      <c r="AX1583" s="541"/>
      <c r="AY1583" s="541"/>
      <c r="AZ1583" s="541"/>
      <c r="BA1583" s="541"/>
      <c r="BB1583" s="428"/>
      <c r="BC1583" s="399" t="str">
        <f t="shared" si="2"/>
        <v/>
      </c>
      <c r="BD1583" s="428"/>
      <c r="BE1583" s="428"/>
      <c r="BF1583" s="428"/>
      <c r="BG1583" s="616"/>
      <c r="BH1583" s="407"/>
      <c r="BI1583" s="407"/>
      <c r="BJ1583" s="543"/>
      <c r="BK1583" s="46">
        <f t="shared" si="1"/>
        <v>1</v>
      </c>
      <c r="BL1583" s="46">
        <f t="shared" si="3"/>
        <v>0</v>
      </c>
      <c r="BM1583" s="46">
        <f t="shared" si="4"/>
        <v>1</v>
      </c>
      <c r="BN1583" s="46">
        <f t="shared" si="5"/>
        <v>0</v>
      </c>
    </row>
    <row r="1584" spans="1:66" ht="12.75" customHeight="1">
      <c r="A1584" s="399">
        <v>1595</v>
      </c>
      <c r="B1584" s="399" t="s">
        <v>5377</v>
      </c>
      <c r="C1584" s="399" t="e">
        <f t="shared" ca="1" si="0"/>
        <v>#NAME?</v>
      </c>
      <c r="D1584" s="400" t="s">
        <v>5373</v>
      </c>
      <c r="E1584" s="399" t="s">
        <v>180</v>
      </c>
      <c r="F1584" s="400" t="s">
        <v>5369</v>
      </c>
      <c r="G1584" s="400"/>
      <c r="H1584" s="400"/>
      <c r="I1584" s="400"/>
      <c r="J1584" s="400"/>
      <c r="K1584" s="400">
        <v>1</v>
      </c>
      <c r="L1584" s="400" t="s">
        <v>3333</v>
      </c>
      <c r="M1584" s="402" t="s">
        <v>4518</v>
      </c>
      <c r="N1584" s="400"/>
      <c r="O1584" s="428" t="s">
        <v>4417</v>
      </c>
      <c r="P1584" s="581"/>
      <c r="Q1584" s="400" t="s">
        <v>5374</v>
      </c>
      <c r="R1584" s="428"/>
      <c r="S1584" s="531"/>
      <c r="T1584" s="399" t="s">
        <v>5375</v>
      </c>
      <c r="U1584" s="399"/>
      <c r="V1584" s="399"/>
      <c r="W1584" s="399" t="s">
        <v>5373</v>
      </c>
      <c r="X1584" s="400"/>
      <c r="Y1584" s="490" t="s">
        <v>208</v>
      </c>
      <c r="Z1584" s="581"/>
      <c r="AA1584" s="399" t="s">
        <v>113</v>
      </c>
      <c r="AB1584" s="399" t="s">
        <v>3178</v>
      </c>
      <c r="AC1584" s="566" t="s">
        <v>5999</v>
      </c>
      <c r="AD1584" s="626"/>
      <c r="AE1584" s="581"/>
      <c r="AF1584" s="581"/>
      <c r="AG1584" s="581"/>
      <c r="AH1584" s="532" t="s">
        <v>3851</v>
      </c>
      <c r="AI1584" s="581"/>
      <c r="AJ1584" s="626"/>
      <c r="AK1584" s="399"/>
      <c r="AL1584" s="581"/>
      <c r="AM1584" s="581"/>
      <c r="AN1584" s="581"/>
      <c r="AO1584" s="581"/>
      <c r="AP1584" s="581"/>
      <c r="AQ1584" s="581"/>
      <c r="AR1584" s="581"/>
      <c r="AS1584" s="581"/>
      <c r="AT1584" s="428"/>
      <c r="AU1584" s="428"/>
      <c r="AV1584" s="399">
        <v>275550008</v>
      </c>
      <c r="AW1584" s="541"/>
      <c r="AX1584" s="541"/>
      <c r="AY1584" s="541"/>
      <c r="AZ1584" s="541"/>
      <c r="BA1584" s="541"/>
      <c r="BB1584" s="428"/>
      <c r="BC1584" s="399" t="e">
        <f t="shared" ca="1" si="2"/>
        <v>#NAME?</v>
      </c>
      <c r="BD1584" s="428"/>
      <c r="BE1584" s="428"/>
      <c r="BF1584" s="428"/>
      <c r="BG1584" s="616"/>
      <c r="BH1584" s="407"/>
      <c r="BI1584" s="407">
        <v>275550008</v>
      </c>
      <c r="BJ1584" s="543"/>
      <c r="BK1584" s="46">
        <f t="shared" si="1"/>
        <v>1</v>
      </c>
      <c r="BL1584" s="46">
        <f t="shared" si="3"/>
        <v>1</v>
      </c>
      <c r="BM1584" s="46">
        <f t="shared" si="4"/>
        <v>0</v>
      </c>
      <c r="BN1584" s="46">
        <f t="shared" si="5"/>
        <v>0</v>
      </c>
    </row>
    <row r="1585" spans="1:66" ht="12.75" customHeight="1">
      <c r="A1585" s="399">
        <v>1596</v>
      </c>
      <c r="B1585" s="399" t="s">
        <v>5383</v>
      </c>
      <c r="C1585" s="399" t="e">
        <f t="shared" ca="1" si="0"/>
        <v>#NAME?</v>
      </c>
      <c r="D1585" s="400" t="s">
        <v>5379</v>
      </c>
      <c r="E1585" s="399" t="s">
        <v>180</v>
      </c>
      <c r="F1585" s="400" t="s">
        <v>5369</v>
      </c>
      <c r="G1585" s="400"/>
      <c r="H1585" s="400"/>
      <c r="I1585" s="400"/>
      <c r="J1585" s="400"/>
      <c r="K1585" s="400">
        <v>1</v>
      </c>
      <c r="L1585" s="400" t="s">
        <v>3333</v>
      </c>
      <c r="M1585" s="402" t="s">
        <v>4518</v>
      </c>
      <c r="N1585" s="400"/>
      <c r="O1585" s="428" t="s">
        <v>4417</v>
      </c>
      <c r="P1585" s="581"/>
      <c r="Q1585" s="400" t="s">
        <v>5381</v>
      </c>
      <c r="R1585" s="428"/>
      <c r="S1585" s="399"/>
      <c r="T1585" s="399" t="s">
        <v>5382</v>
      </c>
      <c r="U1585" s="531"/>
      <c r="V1585" s="399"/>
      <c r="W1585" s="399" t="s">
        <v>5379</v>
      </c>
      <c r="X1585" s="400"/>
      <c r="Y1585" s="490" t="s">
        <v>208</v>
      </c>
      <c r="Z1585" s="531"/>
      <c r="AA1585" s="399" t="s">
        <v>113</v>
      </c>
      <c r="AB1585" s="399" t="s">
        <v>3178</v>
      </c>
      <c r="AC1585" s="617" t="s">
        <v>5851</v>
      </c>
      <c r="AD1585" s="594"/>
      <c r="AE1585" s="531"/>
      <c r="AF1585" s="531"/>
      <c r="AG1585" s="531"/>
      <c r="AH1585" s="532" t="s">
        <v>3851</v>
      </c>
      <c r="AI1585" s="531"/>
      <c r="AJ1585" s="594"/>
      <c r="AK1585" s="399"/>
      <c r="AL1585" s="605"/>
      <c r="AM1585" s="531"/>
      <c r="AN1585" s="531"/>
      <c r="AO1585" s="531"/>
      <c r="AP1585" s="531"/>
      <c r="AQ1585" s="531"/>
      <c r="AR1585" s="531"/>
      <c r="AS1585" s="531"/>
      <c r="AT1585" s="400" t="s">
        <v>5384</v>
      </c>
      <c r="AU1585" s="400" t="s">
        <v>5385</v>
      </c>
      <c r="AV1585" s="400">
        <v>33688009</v>
      </c>
      <c r="AW1585" s="541"/>
      <c r="AX1585" s="541"/>
      <c r="AY1585" s="541"/>
      <c r="AZ1585" s="541"/>
      <c r="BA1585" s="541"/>
      <c r="BB1585" s="400"/>
      <c r="BC1585" s="399" t="e">
        <f t="shared" ca="1" si="2"/>
        <v>#NAME?</v>
      </c>
      <c r="BD1585" s="400">
        <v>145618</v>
      </c>
      <c r="BE1585" s="399"/>
      <c r="BF1585" s="399"/>
      <c r="BG1585" s="540"/>
      <c r="BH1585" s="407" t="s">
        <v>5384</v>
      </c>
      <c r="BI1585" s="407">
        <v>33688009</v>
      </c>
      <c r="BJ1585" s="543"/>
      <c r="BK1585" s="46">
        <f t="shared" si="1"/>
        <v>1</v>
      </c>
      <c r="BL1585" s="46">
        <f t="shared" si="3"/>
        <v>1</v>
      </c>
      <c r="BM1585" s="46">
        <f t="shared" si="4"/>
        <v>0</v>
      </c>
      <c r="BN1585" s="46">
        <f t="shared" si="5"/>
        <v>0</v>
      </c>
    </row>
    <row r="1586" spans="1:66" ht="12.75" customHeight="1">
      <c r="A1586" s="399">
        <v>1597</v>
      </c>
      <c r="B1586" s="399" t="s">
        <v>5391</v>
      </c>
      <c r="C1586" s="399" t="e">
        <f t="shared" ca="1" si="0"/>
        <v>#NAME?</v>
      </c>
      <c r="D1586" s="400" t="s">
        <v>5387</v>
      </c>
      <c r="E1586" s="399" t="s">
        <v>180</v>
      </c>
      <c r="F1586" s="400" t="s">
        <v>5369</v>
      </c>
      <c r="G1586" s="400"/>
      <c r="H1586" s="400"/>
      <c r="I1586" s="400"/>
      <c r="J1586" s="400"/>
      <c r="K1586" s="400">
        <v>1</v>
      </c>
      <c r="L1586" s="400" t="s">
        <v>3333</v>
      </c>
      <c r="M1586" s="402" t="s">
        <v>4518</v>
      </c>
      <c r="N1586" s="400"/>
      <c r="O1586" s="428" t="s">
        <v>4417</v>
      </c>
      <c r="P1586" s="581"/>
      <c r="Q1586" s="400" t="s">
        <v>5388</v>
      </c>
      <c r="R1586" s="428"/>
      <c r="S1586" s="399"/>
      <c r="T1586" s="399" t="s">
        <v>5389</v>
      </c>
      <c r="U1586" s="531"/>
      <c r="V1586" s="399"/>
      <c r="W1586" s="399" t="s">
        <v>5387</v>
      </c>
      <c r="X1586" s="400"/>
      <c r="Y1586" s="490" t="s">
        <v>208</v>
      </c>
      <c r="Z1586" s="531"/>
      <c r="AA1586" s="399" t="s">
        <v>113</v>
      </c>
      <c r="AB1586" s="399" t="s">
        <v>3178</v>
      </c>
      <c r="AC1586" s="617" t="s">
        <v>5851</v>
      </c>
      <c r="AD1586" s="594"/>
      <c r="AE1586" s="531"/>
      <c r="AF1586" s="531"/>
      <c r="AG1586" s="531"/>
      <c r="AH1586" s="532" t="s">
        <v>3851</v>
      </c>
      <c r="AI1586" s="531"/>
      <c r="AJ1586" s="594"/>
      <c r="AK1586" s="399"/>
      <c r="AL1586" s="605"/>
      <c r="AM1586" s="531"/>
      <c r="AN1586" s="531"/>
      <c r="AO1586" s="531"/>
      <c r="AP1586" s="531"/>
      <c r="AQ1586" s="531"/>
      <c r="AR1586" s="531"/>
      <c r="AS1586" s="531"/>
      <c r="AT1586" s="400" t="s">
        <v>5392</v>
      </c>
      <c r="AU1586" s="400" t="s">
        <v>5393</v>
      </c>
      <c r="AV1586" s="400">
        <v>111896003</v>
      </c>
      <c r="AW1586" s="541"/>
      <c r="AX1586" s="541"/>
      <c r="AY1586" s="541"/>
      <c r="AZ1586" s="541"/>
      <c r="BA1586" s="541"/>
      <c r="BB1586" s="400"/>
      <c r="BC1586" s="399" t="e">
        <f t="shared" ca="1" si="2"/>
        <v>#NAME?</v>
      </c>
      <c r="BD1586" s="400">
        <v>111479</v>
      </c>
      <c r="BE1586" s="399"/>
      <c r="BF1586" s="399"/>
      <c r="BG1586" s="540"/>
      <c r="BH1586" s="407" t="s">
        <v>5392</v>
      </c>
      <c r="BI1586" s="407">
        <v>111896003</v>
      </c>
      <c r="BJ1586" s="543"/>
      <c r="BK1586" s="46">
        <f t="shared" si="1"/>
        <v>1</v>
      </c>
      <c r="BL1586" s="46">
        <f t="shared" si="3"/>
        <v>1</v>
      </c>
      <c r="BM1586" s="46">
        <f t="shared" si="4"/>
        <v>0</v>
      </c>
      <c r="BN1586" s="46">
        <f t="shared" si="5"/>
        <v>0</v>
      </c>
    </row>
    <row r="1587" spans="1:66" ht="12.75" customHeight="1">
      <c r="A1587" s="399">
        <v>1598</v>
      </c>
      <c r="B1587" s="399" t="s">
        <v>5400</v>
      </c>
      <c r="C1587" s="399" t="e">
        <f t="shared" ca="1" si="0"/>
        <v>#NAME?</v>
      </c>
      <c r="D1587" s="400" t="s">
        <v>5397</v>
      </c>
      <c r="E1587" s="399" t="s">
        <v>180</v>
      </c>
      <c r="F1587" s="400" t="s">
        <v>5369</v>
      </c>
      <c r="G1587" s="400"/>
      <c r="H1587" s="400"/>
      <c r="I1587" s="400"/>
      <c r="J1587" s="400"/>
      <c r="K1587" s="400">
        <v>1</v>
      </c>
      <c r="L1587" s="400" t="s">
        <v>3333</v>
      </c>
      <c r="M1587" s="402" t="s">
        <v>4518</v>
      </c>
      <c r="N1587" s="400"/>
      <c r="O1587" s="428" t="s">
        <v>4417</v>
      </c>
      <c r="P1587" s="581"/>
      <c r="Q1587" s="400" t="s">
        <v>5398</v>
      </c>
      <c r="R1587" s="428"/>
      <c r="S1587" s="399"/>
      <c r="T1587" s="399" t="s">
        <v>5399</v>
      </c>
      <c r="U1587" s="531"/>
      <c r="V1587" s="399"/>
      <c r="W1587" s="399" t="s">
        <v>5397</v>
      </c>
      <c r="X1587" s="400"/>
      <c r="Y1587" s="490" t="s">
        <v>208</v>
      </c>
      <c r="Z1587" s="531"/>
      <c r="AA1587" s="399" t="s">
        <v>113</v>
      </c>
      <c r="AB1587" s="399" t="s">
        <v>3178</v>
      </c>
      <c r="AC1587" s="617" t="s">
        <v>5851</v>
      </c>
      <c r="AD1587" s="594"/>
      <c r="AE1587" s="531"/>
      <c r="AF1587" s="531"/>
      <c r="AG1587" s="531"/>
      <c r="AH1587" s="532" t="s">
        <v>3851</v>
      </c>
      <c r="AI1587" s="531"/>
      <c r="AJ1587" s="594"/>
      <c r="AK1587" s="399"/>
      <c r="AL1587" s="605"/>
      <c r="AM1587" s="531"/>
      <c r="AN1587" s="531"/>
      <c r="AO1587" s="531"/>
      <c r="AP1587" s="531"/>
      <c r="AQ1587" s="531"/>
      <c r="AR1587" s="531"/>
      <c r="AS1587" s="531"/>
      <c r="AT1587" s="399"/>
      <c r="AU1587" s="399"/>
      <c r="AV1587" s="399">
        <v>19943007</v>
      </c>
      <c r="AW1587" s="541"/>
      <c r="AX1587" s="541"/>
      <c r="AY1587" s="541"/>
      <c r="AZ1587" s="541"/>
      <c r="BA1587" s="541"/>
      <c r="BB1587" s="399"/>
      <c r="BC1587" s="399" t="e">
        <f t="shared" ca="1" si="2"/>
        <v>#NAME?</v>
      </c>
      <c r="BD1587" s="399"/>
      <c r="BE1587" s="399"/>
      <c r="BF1587" s="399"/>
      <c r="BG1587" s="540"/>
      <c r="BH1587" s="407"/>
      <c r="BI1587" s="407">
        <v>19943007</v>
      </c>
      <c r="BJ1587" s="543"/>
      <c r="BK1587" s="46">
        <f t="shared" si="1"/>
        <v>1</v>
      </c>
      <c r="BL1587" s="46">
        <f t="shared" si="3"/>
        <v>1</v>
      </c>
      <c r="BM1587" s="46">
        <f t="shared" si="4"/>
        <v>0</v>
      </c>
      <c r="BN1587" s="46">
        <f t="shared" si="5"/>
        <v>0</v>
      </c>
    </row>
    <row r="1588" spans="1:66" ht="12.75" customHeight="1">
      <c r="A1588" s="399">
        <v>1599</v>
      </c>
      <c r="B1588" s="399" t="s">
        <v>5405</v>
      </c>
      <c r="C1588" s="399" t="e">
        <f t="shared" ca="1" si="0"/>
        <v>#NAME?</v>
      </c>
      <c r="D1588" s="400" t="s">
        <v>5402</v>
      </c>
      <c r="E1588" s="399" t="s">
        <v>180</v>
      </c>
      <c r="F1588" s="400" t="s">
        <v>5369</v>
      </c>
      <c r="G1588" s="400"/>
      <c r="H1588" s="400"/>
      <c r="I1588" s="400"/>
      <c r="J1588" s="400"/>
      <c r="K1588" s="400">
        <v>1</v>
      </c>
      <c r="L1588" s="400" t="s">
        <v>3333</v>
      </c>
      <c r="M1588" s="402" t="s">
        <v>4518</v>
      </c>
      <c r="N1588" s="400"/>
      <c r="O1588" s="428" t="s">
        <v>4417</v>
      </c>
      <c r="P1588" s="581"/>
      <c r="Q1588" s="400" t="s">
        <v>5403</v>
      </c>
      <c r="R1588" s="428"/>
      <c r="S1588" s="399"/>
      <c r="T1588" s="399" t="s">
        <v>5404</v>
      </c>
      <c r="U1588" s="531"/>
      <c r="V1588" s="399"/>
      <c r="W1588" s="399" t="s">
        <v>5402</v>
      </c>
      <c r="X1588" s="400"/>
      <c r="Y1588" s="490" t="s">
        <v>208</v>
      </c>
      <c r="Z1588" s="531"/>
      <c r="AA1588" s="399" t="s">
        <v>113</v>
      </c>
      <c r="AB1588" s="399" t="s">
        <v>3178</v>
      </c>
      <c r="AC1588" s="617" t="s">
        <v>5851</v>
      </c>
      <c r="AD1588" s="594"/>
      <c r="AE1588" s="531"/>
      <c r="AF1588" s="531"/>
      <c r="AG1588" s="531"/>
      <c r="AH1588" s="532" t="s">
        <v>3851</v>
      </c>
      <c r="AI1588" s="531"/>
      <c r="AJ1588" s="594"/>
      <c r="AK1588" s="399"/>
      <c r="AL1588" s="605"/>
      <c r="AM1588" s="531"/>
      <c r="AN1588" s="531"/>
      <c r="AO1588" s="531"/>
      <c r="AP1588" s="531"/>
      <c r="AQ1588" s="531"/>
      <c r="AR1588" s="531"/>
      <c r="AS1588" s="531"/>
      <c r="AT1588" s="399"/>
      <c r="AU1588" s="399"/>
      <c r="AV1588" s="399"/>
      <c r="AW1588" s="541"/>
      <c r="AX1588" s="541"/>
      <c r="AY1588" s="541"/>
      <c r="AZ1588" s="541"/>
      <c r="BA1588" s="541"/>
      <c r="BB1588" s="399"/>
      <c r="BC1588" s="399" t="e">
        <f t="shared" ca="1" si="2"/>
        <v>#NAME?</v>
      </c>
      <c r="BD1588" s="399"/>
      <c r="BE1588" s="399"/>
      <c r="BF1588" s="399"/>
      <c r="BG1588" s="540"/>
      <c r="BH1588" s="407"/>
      <c r="BI1588" s="407"/>
      <c r="BJ1588" s="543"/>
      <c r="BK1588" s="46">
        <f t="shared" si="1"/>
        <v>1</v>
      </c>
      <c r="BL1588" s="46">
        <f t="shared" si="3"/>
        <v>0</v>
      </c>
      <c r="BM1588" s="46">
        <f t="shared" si="4"/>
        <v>1</v>
      </c>
      <c r="BN1588" s="46">
        <f t="shared" si="5"/>
        <v>0</v>
      </c>
    </row>
    <row r="1589" spans="1:66" ht="12.75" customHeight="1">
      <c r="A1589" s="399">
        <v>1600</v>
      </c>
      <c r="B1589" s="399" t="s">
        <v>5373</v>
      </c>
      <c r="C1589" s="399" t="str">
        <f t="shared" si="0"/>
        <v>Gallbladder disease</v>
      </c>
      <c r="D1589" s="400" t="s">
        <v>5373</v>
      </c>
      <c r="E1589" s="399" t="s">
        <v>96</v>
      </c>
      <c r="F1589" s="400" t="s">
        <v>1787</v>
      </c>
      <c r="G1589" s="400"/>
      <c r="H1589" s="400"/>
      <c r="I1589" s="400"/>
      <c r="J1589" s="400"/>
      <c r="K1589" s="400">
        <v>1</v>
      </c>
      <c r="L1589" s="400" t="s">
        <v>3333</v>
      </c>
      <c r="M1589" s="402" t="s">
        <v>4518</v>
      </c>
      <c r="N1589" s="400"/>
      <c r="O1589" s="428" t="s">
        <v>4417</v>
      </c>
      <c r="P1589" s="581"/>
      <c r="Q1589" s="400" t="s">
        <v>5408</v>
      </c>
      <c r="R1589" s="428" t="s">
        <v>5373</v>
      </c>
      <c r="S1589" s="399"/>
      <c r="T1589" s="399"/>
      <c r="U1589" s="531" t="s">
        <v>238</v>
      </c>
      <c r="V1589" s="399"/>
      <c r="W1589" s="399"/>
      <c r="X1589" s="399"/>
      <c r="Y1589" s="490" t="s">
        <v>208</v>
      </c>
      <c r="Z1589" s="531"/>
      <c r="AA1589" s="399" t="s">
        <v>113</v>
      </c>
      <c r="AB1589" s="399" t="s">
        <v>3178</v>
      </c>
      <c r="AC1589" s="590" t="s">
        <v>5410</v>
      </c>
      <c r="AD1589" s="594"/>
      <c r="AE1589" s="531"/>
      <c r="AF1589" s="531"/>
      <c r="AG1589" s="531"/>
      <c r="AH1589" s="532" t="s">
        <v>3851</v>
      </c>
      <c r="AI1589" s="531"/>
      <c r="AJ1589" s="594"/>
      <c r="AK1589" s="399"/>
      <c r="AL1589" s="531"/>
      <c r="AM1589" s="531"/>
      <c r="AN1589" s="531"/>
      <c r="AO1589" s="531"/>
      <c r="AP1589" s="531"/>
      <c r="AQ1589" s="531"/>
      <c r="AR1589" s="531"/>
      <c r="AS1589" s="531"/>
      <c r="AT1589" s="399"/>
      <c r="AU1589" s="399"/>
      <c r="AV1589" s="399">
        <v>39621005</v>
      </c>
      <c r="AW1589" s="541"/>
      <c r="AX1589" s="541"/>
      <c r="AY1589" s="541"/>
      <c r="AZ1589" s="541"/>
      <c r="BA1589" s="541"/>
      <c r="BB1589" s="399"/>
      <c r="BC1589" s="399" t="str">
        <f t="shared" si="2"/>
        <v/>
      </c>
      <c r="BD1589" s="399"/>
      <c r="BE1589" s="399"/>
      <c r="BF1589" s="399"/>
      <c r="BG1589" s="540"/>
      <c r="BH1589" s="407"/>
      <c r="BI1589" s="407">
        <v>39621005</v>
      </c>
      <c r="BJ1589" s="543"/>
      <c r="BK1589" s="46">
        <f t="shared" si="1"/>
        <v>1</v>
      </c>
      <c r="BL1589" s="46">
        <f t="shared" si="3"/>
        <v>0</v>
      </c>
      <c r="BM1589" s="46">
        <f t="shared" si="4"/>
        <v>1</v>
      </c>
      <c r="BN1589" s="46">
        <f t="shared" si="5"/>
        <v>0</v>
      </c>
    </row>
    <row r="1590" spans="1:66" ht="12.75" customHeight="1">
      <c r="A1590" s="399">
        <v>1601</v>
      </c>
      <c r="B1590" s="399" t="s">
        <v>5415</v>
      </c>
      <c r="C1590" s="399" t="e">
        <f t="shared" ca="1" si="0"/>
        <v>#NAME?</v>
      </c>
      <c r="D1590" s="400" t="s">
        <v>5414</v>
      </c>
      <c r="E1590" s="399" t="s">
        <v>180</v>
      </c>
      <c r="F1590" s="400" t="s">
        <v>5373</v>
      </c>
      <c r="G1590" s="400"/>
      <c r="H1590" s="400"/>
      <c r="I1590" s="400"/>
      <c r="J1590" s="400"/>
      <c r="K1590" s="400">
        <v>1</v>
      </c>
      <c r="L1590" s="400" t="s">
        <v>3333</v>
      </c>
      <c r="M1590" s="402" t="s">
        <v>4518</v>
      </c>
      <c r="N1590" s="400"/>
      <c r="O1590" s="428" t="s">
        <v>4417</v>
      </c>
      <c r="P1590" s="581"/>
      <c r="Q1590" s="400" t="s">
        <v>5412</v>
      </c>
      <c r="R1590" s="428"/>
      <c r="S1590" s="399"/>
      <c r="T1590" s="399" t="s">
        <v>5413</v>
      </c>
      <c r="U1590" s="531"/>
      <c r="V1590" s="399"/>
      <c r="W1590" s="399" t="s">
        <v>5414</v>
      </c>
      <c r="X1590" s="400"/>
      <c r="Y1590" s="490" t="s">
        <v>208</v>
      </c>
      <c r="Z1590" s="531"/>
      <c r="AA1590" s="399" t="s">
        <v>113</v>
      </c>
      <c r="AB1590" s="399" t="s">
        <v>3178</v>
      </c>
      <c r="AC1590" s="566" t="s">
        <v>5851</v>
      </c>
      <c r="AD1590" s="594"/>
      <c r="AE1590" s="531"/>
      <c r="AF1590" s="531"/>
      <c r="AG1590" s="531"/>
      <c r="AH1590" s="532" t="s">
        <v>3851</v>
      </c>
      <c r="AI1590" s="531"/>
      <c r="AJ1590" s="594"/>
      <c r="AK1590" s="399"/>
      <c r="AL1590" s="531"/>
      <c r="AM1590" s="531"/>
      <c r="AN1590" s="531"/>
      <c r="AO1590" s="531"/>
      <c r="AP1590" s="531"/>
      <c r="AQ1590" s="531"/>
      <c r="AR1590" s="531"/>
      <c r="AS1590" s="531"/>
      <c r="AT1590" s="399"/>
      <c r="AU1590" s="399"/>
      <c r="AV1590" s="399">
        <v>38102005</v>
      </c>
      <c r="AW1590" s="541"/>
      <c r="AX1590" s="541"/>
      <c r="AY1590" s="541"/>
      <c r="AZ1590" s="541"/>
      <c r="BA1590" s="541"/>
      <c r="BB1590" s="399"/>
      <c r="BC1590" s="399" t="e">
        <f t="shared" ca="1" si="2"/>
        <v>#NAME?</v>
      </c>
      <c r="BD1590" s="399"/>
      <c r="BE1590" s="399"/>
      <c r="BF1590" s="399"/>
      <c r="BG1590" s="540"/>
      <c r="BH1590" s="407"/>
      <c r="BI1590" s="407">
        <v>38102005</v>
      </c>
      <c r="BJ1590" s="543"/>
      <c r="BK1590" s="46">
        <f t="shared" si="1"/>
        <v>1</v>
      </c>
      <c r="BL1590" s="46">
        <f t="shared" si="3"/>
        <v>1</v>
      </c>
      <c r="BM1590" s="46">
        <f t="shared" si="4"/>
        <v>0</v>
      </c>
      <c r="BN1590" s="46">
        <f t="shared" si="5"/>
        <v>0</v>
      </c>
    </row>
    <row r="1591" spans="1:66" ht="12.75" customHeight="1">
      <c r="A1591" s="399">
        <v>1602</v>
      </c>
      <c r="B1591" s="399" t="s">
        <v>5423</v>
      </c>
      <c r="C1591" s="399" t="e">
        <f t="shared" ca="1" si="0"/>
        <v>#NAME?</v>
      </c>
      <c r="D1591" s="400" t="s">
        <v>5422</v>
      </c>
      <c r="E1591" s="399" t="s">
        <v>180</v>
      </c>
      <c r="F1591" s="400" t="s">
        <v>5373</v>
      </c>
      <c r="G1591" s="400"/>
      <c r="H1591" s="400"/>
      <c r="I1591" s="400"/>
      <c r="J1591" s="400"/>
      <c r="K1591" s="400">
        <v>1</v>
      </c>
      <c r="L1591" s="400" t="s">
        <v>3333</v>
      </c>
      <c r="M1591" s="402" t="s">
        <v>4518</v>
      </c>
      <c r="N1591" s="400"/>
      <c r="O1591" s="428" t="s">
        <v>4417</v>
      </c>
      <c r="P1591" s="581"/>
      <c r="Q1591" s="400" t="s">
        <v>5420</v>
      </c>
      <c r="R1591" s="428"/>
      <c r="S1591" s="399"/>
      <c r="T1591" s="399" t="s">
        <v>5421</v>
      </c>
      <c r="U1591" s="531"/>
      <c r="V1591" s="399"/>
      <c r="W1591" s="399" t="s">
        <v>5422</v>
      </c>
      <c r="X1591" s="400"/>
      <c r="Y1591" s="490" t="s">
        <v>208</v>
      </c>
      <c r="Z1591" s="531"/>
      <c r="AA1591" s="399" t="s">
        <v>113</v>
      </c>
      <c r="AB1591" s="399" t="s">
        <v>3178</v>
      </c>
      <c r="AC1591" s="566" t="s">
        <v>5851</v>
      </c>
      <c r="AD1591" s="594"/>
      <c r="AE1591" s="531"/>
      <c r="AF1591" s="531"/>
      <c r="AG1591" s="531"/>
      <c r="AH1591" s="532" t="s">
        <v>3851</v>
      </c>
      <c r="AI1591" s="531"/>
      <c r="AJ1591" s="594"/>
      <c r="AK1591" s="399"/>
      <c r="AL1591" s="531"/>
      <c r="AM1591" s="531"/>
      <c r="AN1591" s="531"/>
      <c r="AO1591" s="531"/>
      <c r="AP1591" s="531"/>
      <c r="AQ1591" s="531"/>
      <c r="AR1591" s="531"/>
      <c r="AS1591" s="531"/>
      <c r="AT1591" s="399"/>
      <c r="AU1591" s="399"/>
      <c r="AV1591" s="399"/>
      <c r="AW1591" s="541"/>
      <c r="AX1591" s="541"/>
      <c r="AY1591" s="541"/>
      <c r="AZ1591" s="541"/>
      <c r="BA1591" s="541"/>
      <c r="BB1591" s="399"/>
      <c r="BC1591" s="399" t="e">
        <f t="shared" ca="1" si="2"/>
        <v>#NAME?</v>
      </c>
      <c r="BD1591" s="399"/>
      <c r="BE1591" s="399"/>
      <c r="BF1591" s="399"/>
      <c r="BG1591" s="540"/>
      <c r="BH1591" s="407"/>
      <c r="BI1591" s="407"/>
      <c r="BJ1591" s="543"/>
      <c r="BK1591" s="46">
        <f t="shared" si="1"/>
        <v>1</v>
      </c>
      <c r="BL1591" s="46">
        <f t="shared" si="3"/>
        <v>0</v>
      </c>
      <c r="BM1591" s="46">
        <f t="shared" si="4"/>
        <v>1</v>
      </c>
      <c r="BN1591" s="46">
        <f t="shared" si="5"/>
        <v>0</v>
      </c>
    </row>
    <row r="1592" spans="1:66" ht="12.75" customHeight="1">
      <c r="A1592" s="399">
        <v>1603</v>
      </c>
      <c r="B1592" s="399" t="s">
        <v>5432</v>
      </c>
      <c r="C1592" s="399" t="e">
        <f t="shared" ca="1" si="0"/>
        <v>#NAME?</v>
      </c>
      <c r="D1592" s="400" t="s">
        <v>5431</v>
      </c>
      <c r="E1592" s="399" t="s">
        <v>180</v>
      </c>
      <c r="F1592" s="400" t="s">
        <v>5373</v>
      </c>
      <c r="G1592" s="400"/>
      <c r="H1592" s="400"/>
      <c r="I1592" s="400"/>
      <c r="J1592" s="400"/>
      <c r="K1592" s="400">
        <v>1</v>
      </c>
      <c r="L1592" s="400" t="s">
        <v>3333</v>
      </c>
      <c r="M1592" s="402" t="s">
        <v>4518</v>
      </c>
      <c r="N1592" s="400"/>
      <c r="O1592" s="428" t="s">
        <v>4417</v>
      </c>
      <c r="P1592" s="581"/>
      <c r="Q1592" s="400" t="s">
        <v>5429</v>
      </c>
      <c r="R1592" s="428"/>
      <c r="S1592" s="399"/>
      <c r="T1592" s="399" t="s">
        <v>5430</v>
      </c>
      <c r="U1592" s="399"/>
      <c r="V1592" s="399"/>
      <c r="W1592" s="399" t="s">
        <v>5431</v>
      </c>
      <c r="X1592" s="400"/>
      <c r="Y1592" s="490" t="s">
        <v>208</v>
      </c>
      <c r="Z1592" s="531"/>
      <c r="AA1592" s="399" t="s">
        <v>113</v>
      </c>
      <c r="AB1592" s="399" t="s">
        <v>3178</v>
      </c>
      <c r="AC1592" s="566" t="s">
        <v>5851</v>
      </c>
      <c r="AD1592" s="594"/>
      <c r="AE1592" s="531"/>
      <c r="AF1592" s="531"/>
      <c r="AG1592" s="531"/>
      <c r="AH1592" s="532" t="s">
        <v>3851</v>
      </c>
      <c r="AI1592" s="531"/>
      <c r="AJ1592" s="594"/>
      <c r="AK1592" s="399"/>
      <c r="AL1592" s="531"/>
      <c r="AM1592" s="531"/>
      <c r="AN1592" s="531"/>
      <c r="AO1592" s="531"/>
      <c r="AP1592" s="531"/>
      <c r="AQ1592" s="531"/>
      <c r="AR1592" s="531"/>
      <c r="AS1592" s="531"/>
      <c r="AT1592" s="399"/>
      <c r="AU1592" s="399"/>
      <c r="AV1592" s="399"/>
      <c r="AW1592" s="541"/>
      <c r="AX1592" s="541"/>
      <c r="AY1592" s="541"/>
      <c r="AZ1592" s="541"/>
      <c r="BA1592" s="541"/>
      <c r="BB1592" s="399"/>
      <c r="BC1592" s="399" t="e">
        <f t="shared" ca="1" si="2"/>
        <v>#NAME?</v>
      </c>
      <c r="BD1592" s="399"/>
      <c r="BE1592" s="399"/>
      <c r="BF1592" s="399"/>
      <c r="BG1592" s="540"/>
      <c r="BH1592" s="407"/>
      <c r="BI1592" s="407"/>
      <c r="BJ1592" s="543"/>
      <c r="BK1592" s="46">
        <f t="shared" si="1"/>
        <v>1</v>
      </c>
      <c r="BL1592" s="46">
        <f t="shared" si="3"/>
        <v>0</v>
      </c>
      <c r="BM1592" s="46">
        <f t="shared" si="4"/>
        <v>1</v>
      </c>
      <c r="BN1592" s="46">
        <f t="shared" si="5"/>
        <v>0</v>
      </c>
    </row>
    <row r="1593" spans="1:66" ht="12.75" customHeight="1">
      <c r="A1593" s="399">
        <v>1604</v>
      </c>
      <c r="B1593" s="399" t="s">
        <v>5439</v>
      </c>
      <c r="C1593" s="399" t="e">
        <f t="shared" ca="1" si="0"/>
        <v>#NAME?</v>
      </c>
      <c r="D1593" s="400" t="s">
        <v>5437</v>
      </c>
      <c r="E1593" s="399" t="s">
        <v>180</v>
      </c>
      <c r="F1593" s="400" t="s">
        <v>5373</v>
      </c>
      <c r="G1593" s="400"/>
      <c r="H1593" s="400"/>
      <c r="I1593" s="400"/>
      <c r="J1593" s="400"/>
      <c r="K1593" s="400">
        <v>1</v>
      </c>
      <c r="L1593" s="400" t="s">
        <v>3333</v>
      </c>
      <c r="M1593" s="402" t="s">
        <v>4518</v>
      </c>
      <c r="N1593" s="400"/>
      <c r="O1593" s="428" t="s">
        <v>4417</v>
      </c>
      <c r="P1593" s="581"/>
      <c r="Q1593" s="400" t="s">
        <v>5435</v>
      </c>
      <c r="R1593" s="428"/>
      <c r="S1593" s="399"/>
      <c r="T1593" s="399" t="s">
        <v>5436</v>
      </c>
      <c r="U1593" s="399"/>
      <c r="V1593" s="399"/>
      <c r="W1593" s="399" t="s">
        <v>5437</v>
      </c>
      <c r="X1593" s="400"/>
      <c r="Y1593" s="490" t="s">
        <v>208</v>
      </c>
      <c r="Z1593" s="531"/>
      <c r="AA1593" s="399" t="s">
        <v>113</v>
      </c>
      <c r="AB1593" s="399" t="s">
        <v>3178</v>
      </c>
      <c r="AC1593" s="566" t="s">
        <v>5851</v>
      </c>
      <c r="AD1593" s="594"/>
      <c r="AE1593" s="531"/>
      <c r="AF1593" s="517"/>
      <c r="AG1593" s="565"/>
      <c r="AH1593" s="532" t="s">
        <v>3851</v>
      </c>
      <c r="AI1593" s="517"/>
      <c r="AJ1593" s="594"/>
      <c r="AK1593" s="399"/>
      <c r="AL1593" s="565"/>
      <c r="AM1593" s="565"/>
      <c r="AN1593" s="565"/>
      <c r="AO1593" s="531"/>
      <c r="AP1593" s="531"/>
      <c r="AQ1593" s="531"/>
      <c r="AR1593" s="531"/>
      <c r="AS1593" s="531"/>
      <c r="AT1593" s="399"/>
      <c r="AU1593" s="399"/>
      <c r="AV1593" s="399"/>
      <c r="AW1593" s="541"/>
      <c r="AX1593" s="541"/>
      <c r="AY1593" s="541"/>
      <c r="AZ1593" s="541"/>
      <c r="BA1593" s="541"/>
      <c r="BB1593" s="399"/>
      <c r="BC1593" s="399" t="e">
        <f t="shared" ca="1" si="2"/>
        <v>#NAME?</v>
      </c>
      <c r="BD1593" s="399"/>
      <c r="BE1593" s="399"/>
      <c r="BF1593" s="399"/>
      <c r="BG1593" s="540"/>
      <c r="BH1593" s="407"/>
      <c r="BI1593" s="407"/>
      <c r="BJ1593" s="543"/>
      <c r="BK1593" s="46">
        <f t="shared" si="1"/>
        <v>1</v>
      </c>
      <c r="BL1593" s="46">
        <f t="shared" si="3"/>
        <v>0</v>
      </c>
      <c r="BM1593" s="46">
        <f t="shared" si="4"/>
        <v>1</v>
      </c>
      <c r="BN1593" s="46">
        <f t="shared" si="5"/>
        <v>0</v>
      </c>
    </row>
    <row r="1594" spans="1:66" ht="12.75" customHeight="1">
      <c r="A1594" s="399">
        <v>1605</v>
      </c>
      <c r="B1594" s="399" t="s">
        <v>5445</v>
      </c>
      <c r="C1594" s="399" t="e">
        <f t="shared" ca="1" si="0"/>
        <v>#NAME?</v>
      </c>
      <c r="D1594" s="400" t="s">
        <v>5444</v>
      </c>
      <c r="E1594" s="399" t="s">
        <v>180</v>
      </c>
      <c r="F1594" s="400" t="s">
        <v>5373</v>
      </c>
      <c r="G1594" s="400"/>
      <c r="H1594" s="400"/>
      <c r="I1594" s="400"/>
      <c r="J1594" s="400"/>
      <c r="K1594" s="400">
        <v>1</v>
      </c>
      <c r="L1594" s="400" t="s">
        <v>3333</v>
      </c>
      <c r="M1594" s="402" t="s">
        <v>4518</v>
      </c>
      <c r="N1594" s="400"/>
      <c r="O1594" s="428" t="s">
        <v>4417</v>
      </c>
      <c r="P1594" s="581"/>
      <c r="Q1594" s="399" t="s">
        <v>5442</v>
      </c>
      <c r="R1594" s="428"/>
      <c r="S1594" s="399"/>
      <c r="T1594" s="399" t="s">
        <v>5443</v>
      </c>
      <c r="U1594" s="399"/>
      <c r="V1594" s="399"/>
      <c r="W1594" s="399" t="s">
        <v>5444</v>
      </c>
      <c r="X1594" s="399"/>
      <c r="Y1594" s="490" t="s">
        <v>208</v>
      </c>
      <c r="Z1594" s="531"/>
      <c r="AA1594" s="400" t="s">
        <v>113</v>
      </c>
      <c r="AB1594" s="399" t="s">
        <v>3178</v>
      </c>
      <c r="AC1594" s="566" t="s">
        <v>5851</v>
      </c>
      <c r="AD1594" s="594"/>
      <c r="AE1594" s="531"/>
      <c r="AF1594" s="531"/>
      <c r="AG1594" s="531"/>
      <c r="AH1594" s="532" t="s">
        <v>3851</v>
      </c>
      <c r="AI1594" s="531"/>
      <c r="AJ1594" s="594"/>
      <c r="AK1594" s="399"/>
      <c r="AL1594" s="531"/>
      <c r="AM1594" s="531"/>
      <c r="AN1594" s="531"/>
      <c r="AO1594" s="531"/>
      <c r="AP1594" s="531"/>
      <c r="AQ1594" s="531"/>
      <c r="AR1594" s="531"/>
      <c r="AS1594" s="531"/>
      <c r="AT1594" s="517"/>
      <c r="AU1594" s="517"/>
      <c r="AV1594" s="567">
        <v>264931009</v>
      </c>
      <c r="AW1594" s="541"/>
      <c r="AX1594" s="541"/>
      <c r="AY1594" s="541"/>
      <c r="AZ1594" s="541"/>
      <c r="BA1594" s="541"/>
      <c r="BB1594" s="567"/>
      <c r="BC1594" s="399" t="e">
        <f t="shared" ca="1" si="2"/>
        <v>#NAME?</v>
      </c>
      <c r="BD1594" s="567">
        <v>1068</v>
      </c>
      <c r="BE1594" s="517"/>
      <c r="BF1594" s="517"/>
      <c r="BG1594" s="542" t="s">
        <v>5447</v>
      </c>
      <c r="BH1594" s="414"/>
      <c r="BI1594" s="546">
        <v>264931009</v>
      </c>
      <c r="BJ1594" s="543"/>
      <c r="BK1594" s="46">
        <f t="shared" si="1"/>
        <v>1</v>
      </c>
      <c r="BL1594" s="46">
        <f t="shared" si="3"/>
        <v>1</v>
      </c>
      <c r="BM1594" s="46">
        <f t="shared" si="4"/>
        <v>0</v>
      </c>
      <c r="BN1594" s="46">
        <f t="shared" si="5"/>
        <v>0</v>
      </c>
    </row>
    <row r="1595" spans="1:66" ht="12.75" customHeight="1">
      <c r="A1595" s="399">
        <v>1606</v>
      </c>
      <c r="B1595" s="399" t="s">
        <v>5448</v>
      </c>
      <c r="C1595" s="399" t="str">
        <f t="shared" si="0"/>
        <v xml:space="preserve">History of cholestasis </v>
      </c>
      <c r="D1595" s="400" t="s">
        <v>5448</v>
      </c>
      <c r="E1595" s="399" t="s">
        <v>96</v>
      </c>
      <c r="F1595" s="400" t="s">
        <v>1787</v>
      </c>
      <c r="G1595" s="400"/>
      <c r="H1595" s="400"/>
      <c r="I1595" s="400"/>
      <c r="J1595" s="400"/>
      <c r="K1595" s="400">
        <v>1</v>
      </c>
      <c r="L1595" s="400" t="s">
        <v>3333</v>
      </c>
      <c r="M1595" s="402" t="s">
        <v>4081</v>
      </c>
      <c r="N1595" s="400"/>
      <c r="O1595" s="428" t="s">
        <v>4417</v>
      </c>
      <c r="P1595" s="581"/>
      <c r="Q1595" s="400" t="s">
        <v>5450</v>
      </c>
      <c r="R1595" s="428" t="s">
        <v>5448</v>
      </c>
      <c r="S1595" s="399"/>
      <c r="T1595" s="399" t="s">
        <v>5451</v>
      </c>
      <c r="U1595" s="399" t="s">
        <v>238</v>
      </c>
      <c r="V1595" s="399"/>
      <c r="W1595" s="399"/>
      <c r="X1595" s="399"/>
      <c r="Y1595" s="490" t="s">
        <v>208</v>
      </c>
      <c r="Z1595" s="531"/>
      <c r="AA1595" s="399" t="s">
        <v>113</v>
      </c>
      <c r="AB1595" s="399" t="s">
        <v>3178</v>
      </c>
      <c r="AC1595" s="590" t="s">
        <v>6019</v>
      </c>
      <c r="AD1595" s="594"/>
      <c r="AE1595" s="531"/>
      <c r="AF1595" s="531"/>
      <c r="AG1595" s="531"/>
      <c r="AH1595" s="532" t="s">
        <v>3851</v>
      </c>
      <c r="AI1595" s="531"/>
      <c r="AJ1595" s="594"/>
      <c r="AK1595" s="399"/>
      <c r="AL1595" s="605"/>
      <c r="AM1595" s="531"/>
      <c r="AN1595" s="531"/>
      <c r="AO1595" s="531"/>
      <c r="AP1595" s="531"/>
      <c r="AQ1595" s="531"/>
      <c r="AR1595" s="531"/>
      <c r="AS1595" s="531"/>
      <c r="AT1595" s="517" t="s">
        <v>5384</v>
      </c>
      <c r="AU1595" s="517" t="s">
        <v>5385</v>
      </c>
      <c r="AV1595" s="399">
        <v>33688009</v>
      </c>
      <c r="AW1595" s="541"/>
      <c r="AX1595" s="541"/>
      <c r="AY1595" s="541"/>
      <c r="AZ1595" s="541"/>
      <c r="BA1595" s="541"/>
      <c r="BB1595" s="567"/>
      <c r="BC1595" s="399" t="str">
        <f t="shared" si="2"/>
        <v/>
      </c>
      <c r="BD1595" s="567">
        <v>145618</v>
      </c>
      <c r="BE1595" s="517"/>
      <c r="BF1595" s="517"/>
      <c r="BG1595" s="542" t="s">
        <v>5454</v>
      </c>
      <c r="BH1595" s="414" t="s">
        <v>5384</v>
      </c>
      <c r="BI1595" s="407">
        <v>33688009</v>
      </c>
      <c r="BJ1595" s="543"/>
      <c r="BK1595" s="46">
        <f t="shared" si="1"/>
        <v>1</v>
      </c>
      <c r="BL1595" s="46">
        <f t="shared" si="3"/>
        <v>0</v>
      </c>
      <c r="BM1595" s="46">
        <f t="shared" si="4"/>
        <v>1</v>
      </c>
      <c r="BN1595" s="46">
        <f t="shared" si="5"/>
        <v>0</v>
      </c>
    </row>
    <row r="1596" spans="1:66" ht="12.75" customHeight="1">
      <c r="A1596" s="399">
        <v>1607</v>
      </c>
      <c r="B1596" s="399" t="s">
        <v>5459</v>
      </c>
      <c r="C1596" s="399" t="e">
        <f t="shared" ca="1" si="0"/>
        <v>#NAME?</v>
      </c>
      <c r="D1596" s="400" t="s">
        <v>5458</v>
      </c>
      <c r="E1596" s="399" t="s">
        <v>180</v>
      </c>
      <c r="F1596" s="400" t="s">
        <v>5448</v>
      </c>
      <c r="G1596" s="400"/>
      <c r="H1596" s="400"/>
      <c r="I1596" s="400"/>
      <c r="J1596" s="400"/>
      <c r="K1596" s="400">
        <v>1</v>
      </c>
      <c r="L1596" s="400" t="s">
        <v>3333</v>
      </c>
      <c r="M1596" s="402" t="s">
        <v>4081</v>
      </c>
      <c r="N1596" s="400"/>
      <c r="O1596" s="428" t="s">
        <v>4417</v>
      </c>
      <c r="P1596" s="581"/>
      <c r="Q1596" s="400" t="s">
        <v>5456</v>
      </c>
      <c r="R1596" s="428"/>
      <c r="S1596" s="399"/>
      <c r="T1596" s="399" t="s">
        <v>5457</v>
      </c>
      <c r="U1596" s="399"/>
      <c r="V1596" s="399"/>
      <c r="W1596" s="399" t="s">
        <v>5458</v>
      </c>
      <c r="X1596" s="400"/>
      <c r="Y1596" s="490" t="s">
        <v>208</v>
      </c>
      <c r="Z1596" s="531"/>
      <c r="AA1596" s="399" t="s">
        <v>113</v>
      </c>
      <c r="AB1596" s="399" t="s">
        <v>3178</v>
      </c>
      <c r="AC1596" s="617" t="s">
        <v>5878</v>
      </c>
      <c r="AD1596" s="594"/>
      <c r="AE1596" s="531"/>
      <c r="AF1596" s="531"/>
      <c r="AG1596" s="531"/>
      <c r="AH1596" s="532" t="s">
        <v>3851</v>
      </c>
      <c r="AI1596" s="531"/>
      <c r="AJ1596" s="594"/>
      <c r="AK1596" s="399"/>
      <c r="AL1596" s="605"/>
      <c r="AM1596" s="531"/>
      <c r="AN1596" s="531"/>
      <c r="AO1596" s="531"/>
      <c r="AP1596" s="531"/>
      <c r="AQ1596" s="531"/>
      <c r="AR1596" s="531"/>
      <c r="AS1596" s="531"/>
      <c r="AT1596" s="399"/>
      <c r="AU1596" s="399"/>
      <c r="AV1596" s="399">
        <v>235888006</v>
      </c>
      <c r="AW1596" s="541"/>
      <c r="AX1596" s="541"/>
      <c r="AY1596" s="541"/>
      <c r="AZ1596" s="541"/>
      <c r="BA1596" s="541"/>
      <c r="BB1596" s="399"/>
      <c r="BC1596" s="399" t="e">
        <f t="shared" ca="1" si="2"/>
        <v>#NAME?</v>
      </c>
      <c r="BD1596" s="399"/>
      <c r="BE1596" s="399"/>
      <c r="BF1596" s="399"/>
      <c r="BG1596" s="540"/>
      <c r="BH1596" s="407"/>
      <c r="BI1596" s="407">
        <v>235888006</v>
      </c>
      <c r="BJ1596" s="543"/>
      <c r="BK1596" s="46">
        <f t="shared" si="1"/>
        <v>1</v>
      </c>
      <c r="BL1596" s="46">
        <f t="shared" si="3"/>
        <v>1</v>
      </c>
      <c r="BM1596" s="46">
        <f t="shared" si="4"/>
        <v>0</v>
      </c>
      <c r="BN1596" s="46">
        <f t="shared" si="5"/>
        <v>0</v>
      </c>
    </row>
    <row r="1597" spans="1:66" ht="12.75" customHeight="1">
      <c r="A1597" s="399">
        <v>1608</v>
      </c>
      <c r="B1597" s="399" t="s">
        <v>5468</v>
      </c>
      <c r="C1597" s="399" t="e">
        <f t="shared" ca="1" si="0"/>
        <v>#NAME?</v>
      </c>
      <c r="D1597" s="400" t="s">
        <v>5466</v>
      </c>
      <c r="E1597" s="399" t="s">
        <v>180</v>
      </c>
      <c r="F1597" s="400" t="s">
        <v>5448</v>
      </c>
      <c r="G1597" s="400"/>
      <c r="H1597" s="400"/>
      <c r="I1597" s="400"/>
      <c r="J1597" s="400"/>
      <c r="K1597" s="400">
        <v>1</v>
      </c>
      <c r="L1597" s="400" t="s">
        <v>3333</v>
      </c>
      <c r="M1597" s="402" t="s">
        <v>4081</v>
      </c>
      <c r="N1597" s="400"/>
      <c r="O1597" s="428" t="s">
        <v>4417</v>
      </c>
      <c r="P1597" s="581"/>
      <c r="Q1597" s="400" t="s">
        <v>5464</v>
      </c>
      <c r="R1597" s="428"/>
      <c r="S1597" s="399"/>
      <c r="T1597" s="399" t="s">
        <v>5465</v>
      </c>
      <c r="U1597" s="399"/>
      <c r="V1597" s="399"/>
      <c r="W1597" s="399" t="s">
        <v>5466</v>
      </c>
      <c r="X1597" s="400"/>
      <c r="Y1597" s="490" t="s">
        <v>208</v>
      </c>
      <c r="Z1597" s="531"/>
      <c r="AA1597" s="399" t="s">
        <v>113</v>
      </c>
      <c r="AB1597" s="399" t="s">
        <v>3178</v>
      </c>
      <c r="AC1597" s="617" t="s">
        <v>5851</v>
      </c>
      <c r="AD1597" s="594"/>
      <c r="AE1597" s="531"/>
      <c r="AF1597" s="531"/>
      <c r="AG1597" s="531"/>
      <c r="AH1597" s="532" t="s">
        <v>3851</v>
      </c>
      <c r="AI1597" s="531"/>
      <c r="AJ1597" s="594"/>
      <c r="AK1597" s="399"/>
      <c r="AL1597" s="605"/>
      <c r="AM1597" s="531"/>
      <c r="AN1597" s="531"/>
      <c r="AO1597" s="531"/>
      <c r="AP1597" s="531"/>
      <c r="AQ1597" s="531"/>
      <c r="AR1597" s="531"/>
      <c r="AS1597" s="531"/>
      <c r="AT1597" s="399" t="s">
        <v>6029</v>
      </c>
      <c r="AU1597" s="399"/>
      <c r="AV1597" s="399">
        <v>83864008</v>
      </c>
      <c r="AW1597" s="541"/>
      <c r="AX1597" s="541"/>
      <c r="AY1597" s="541"/>
      <c r="AZ1597" s="541"/>
      <c r="BA1597" s="541"/>
      <c r="BB1597" s="399"/>
      <c r="BC1597" s="399" t="e">
        <f t="shared" ca="1" si="2"/>
        <v>#NAME?</v>
      </c>
      <c r="BD1597" s="399"/>
      <c r="BE1597" s="399"/>
      <c r="BF1597" s="399"/>
      <c r="BG1597" s="540"/>
      <c r="BH1597" s="407" t="s">
        <v>6029</v>
      </c>
      <c r="BI1597" s="407">
        <v>83864008</v>
      </c>
      <c r="BJ1597" s="543"/>
      <c r="BK1597" s="46">
        <f t="shared" si="1"/>
        <v>1</v>
      </c>
      <c r="BL1597" s="46">
        <f t="shared" si="3"/>
        <v>1</v>
      </c>
      <c r="BM1597" s="46">
        <f t="shared" si="4"/>
        <v>0</v>
      </c>
      <c r="BN1597" s="46">
        <f t="shared" si="5"/>
        <v>0</v>
      </c>
    </row>
    <row r="1598" spans="1:66" ht="12.75" customHeight="1">
      <c r="A1598" s="399">
        <v>1609</v>
      </c>
      <c r="B1598" s="399" t="s">
        <v>5387</v>
      </c>
      <c r="C1598" s="399" t="str">
        <f t="shared" si="0"/>
        <v>Viral hepatitis</v>
      </c>
      <c r="D1598" s="400" t="s">
        <v>5387</v>
      </c>
      <c r="E1598" s="399" t="s">
        <v>96</v>
      </c>
      <c r="F1598" s="400" t="s">
        <v>1787</v>
      </c>
      <c r="G1598" s="400"/>
      <c r="H1598" s="400"/>
      <c r="I1598" s="400"/>
      <c r="J1598" s="400"/>
      <c r="K1598" s="400">
        <v>1</v>
      </c>
      <c r="L1598" s="400" t="s">
        <v>3333</v>
      </c>
      <c r="M1598" s="402" t="s">
        <v>4518</v>
      </c>
      <c r="N1598" s="400"/>
      <c r="O1598" s="428" t="s">
        <v>4417</v>
      </c>
      <c r="P1598" s="581"/>
      <c r="Q1598" s="400" t="s">
        <v>5480</v>
      </c>
      <c r="R1598" s="428" t="s">
        <v>5387</v>
      </c>
      <c r="S1598" s="399"/>
      <c r="T1598" s="399" t="s">
        <v>5481</v>
      </c>
      <c r="U1598" s="399" t="s">
        <v>238</v>
      </c>
      <c r="V1598" s="399"/>
      <c r="W1598" s="399"/>
      <c r="X1598" s="399"/>
      <c r="Y1598" s="490" t="s">
        <v>208</v>
      </c>
      <c r="Z1598" s="531"/>
      <c r="AA1598" s="399" t="s">
        <v>113</v>
      </c>
      <c r="AB1598" s="399" t="s">
        <v>3178</v>
      </c>
      <c r="AC1598" s="590" t="s">
        <v>5482</v>
      </c>
      <c r="AD1598" s="594"/>
      <c r="AE1598" s="531"/>
      <c r="AF1598" s="531"/>
      <c r="AG1598" s="531"/>
      <c r="AH1598" s="532" t="s">
        <v>3851</v>
      </c>
      <c r="AI1598" s="531"/>
      <c r="AJ1598" s="594"/>
      <c r="AK1598" s="399"/>
      <c r="AL1598" s="605"/>
      <c r="AM1598" s="531"/>
      <c r="AN1598" s="531"/>
      <c r="AO1598" s="531"/>
      <c r="AP1598" s="531"/>
      <c r="AQ1598" s="531"/>
      <c r="AR1598" s="531"/>
      <c r="AS1598" s="531"/>
      <c r="AT1598" s="399"/>
      <c r="AU1598" s="399"/>
      <c r="AV1598" s="399"/>
      <c r="AW1598" s="541"/>
      <c r="AX1598" s="541"/>
      <c r="AY1598" s="541"/>
      <c r="AZ1598" s="541"/>
      <c r="BA1598" s="541"/>
      <c r="BB1598" s="399"/>
      <c r="BC1598" s="399" t="str">
        <f t="shared" si="2"/>
        <v/>
      </c>
      <c r="BD1598" s="399"/>
      <c r="BE1598" s="399"/>
      <c r="BF1598" s="399"/>
      <c r="BG1598" s="540"/>
      <c r="BH1598" s="407"/>
      <c r="BI1598" s="407"/>
      <c r="BJ1598" s="543"/>
      <c r="BK1598" s="46">
        <f t="shared" si="1"/>
        <v>1</v>
      </c>
      <c r="BL1598" s="46">
        <f t="shared" si="3"/>
        <v>0</v>
      </c>
      <c r="BM1598" s="46">
        <f t="shared" si="4"/>
        <v>1</v>
      </c>
      <c r="BN1598" s="46">
        <f t="shared" si="5"/>
        <v>0</v>
      </c>
    </row>
    <row r="1599" spans="1:66" ht="12.75" customHeight="1">
      <c r="A1599" s="399">
        <v>1610</v>
      </c>
      <c r="B1599" s="399" t="s">
        <v>5498</v>
      </c>
      <c r="C1599" s="399" t="e">
        <f t="shared" ca="1" si="0"/>
        <v>#NAME?</v>
      </c>
      <c r="D1599" s="400" t="s">
        <v>5495</v>
      </c>
      <c r="E1599" s="399" t="s">
        <v>180</v>
      </c>
      <c r="F1599" s="400" t="s">
        <v>5387</v>
      </c>
      <c r="G1599" s="400"/>
      <c r="H1599" s="400"/>
      <c r="I1599" s="400"/>
      <c r="J1599" s="400"/>
      <c r="K1599" s="400">
        <v>1</v>
      </c>
      <c r="L1599" s="400" t="s">
        <v>3333</v>
      </c>
      <c r="M1599" s="402" t="s">
        <v>4518</v>
      </c>
      <c r="N1599" s="400"/>
      <c r="O1599" s="428" t="s">
        <v>4417</v>
      </c>
      <c r="P1599" s="581"/>
      <c r="Q1599" s="400" t="s">
        <v>5492</v>
      </c>
      <c r="R1599" s="428"/>
      <c r="S1599" s="399"/>
      <c r="T1599" s="399" t="s">
        <v>5493</v>
      </c>
      <c r="U1599" s="399"/>
      <c r="V1599" s="399"/>
      <c r="W1599" s="399" t="s">
        <v>5495</v>
      </c>
      <c r="X1599" s="400"/>
      <c r="Y1599" s="490" t="s">
        <v>208</v>
      </c>
      <c r="Z1599" s="531"/>
      <c r="AA1599" s="399" t="s">
        <v>113</v>
      </c>
      <c r="AB1599" s="399" t="s">
        <v>3178</v>
      </c>
      <c r="AC1599" s="617" t="s">
        <v>5851</v>
      </c>
      <c r="AD1599" s="594"/>
      <c r="AE1599" s="531"/>
      <c r="AF1599" s="531"/>
      <c r="AG1599" s="531"/>
      <c r="AH1599" s="532" t="s">
        <v>3851</v>
      </c>
      <c r="AI1599" s="531"/>
      <c r="AJ1599" s="594"/>
      <c r="AK1599" s="399"/>
      <c r="AL1599" s="605"/>
      <c r="AM1599" s="531"/>
      <c r="AN1599" s="531"/>
      <c r="AO1599" s="531"/>
      <c r="AP1599" s="531"/>
      <c r="AQ1599" s="531"/>
      <c r="AR1599" s="531"/>
      <c r="AS1599" s="531"/>
      <c r="AT1599" s="400" t="s">
        <v>5499</v>
      </c>
      <c r="AU1599" s="618">
        <v>1.0000000000000001E+50</v>
      </c>
      <c r="AV1599" s="400">
        <v>57412004</v>
      </c>
      <c r="AW1599" s="541"/>
      <c r="AX1599" s="541"/>
      <c r="AY1599" s="541"/>
      <c r="AZ1599" s="541"/>
      <c r="BA1599" s="541"/>
      <c r="BB1599" s="400"/>
      <c r="BC1599" s="399" t="e">
        <f t="shared" ca="1" si="2"/>
        <v>#NAME?</v>
      </c>
      <c r="BD1599" s="400">
        <v>149471</v>
      </c>
      <c r="BE1599" s="399"/>
      <c r="BF1599" s="399"/>
      <c r="BG1599" s="540"/>
      <c r="BH1599" s="407" t="s">
        <v>5499</v>
      </c>
      <c r="BI1599" s="407">
        <v>57412004</v>
      </c>
      <c r="BJ1599" s="543"/>
      <c r="BK1599" s="46">
        <f t="shared" si="1"/>
        <v>1</v>
      </c>
      <c r="BL1599" s="46">
        <f t="shared" si="3"/>
        <v>1</v>
      </c>
      <c r="BM1599" s="46">
        <f t="shared" si="4"/>
        <v>0</v>
      </c>
      <c r="BN1599" s="46">
        <f t="shared" si="5"/>
        <v>0</v>
      </c>
    </row>
    <row r="1600" spans="1:66" ht="12.75" customHeight="1">
      <c r="A1600" s="399">
        <v>1611</v>
      </c>
      <c r="B1600" s="399" t="s">
        <v>5508</v>
      </c>
      <c r="C1600" s="399" t="e">
        <f t="shared" ca="1" si="0"/>
        <v>#NAME?</v>
      </c>
      <c r="D1600" s="400" t="s">
        <v>5506</v>
      </c>
      <c r="E1600" s="399" t="s">
        <v>180</v>
      </c>
      <c r="F1600" s="400" t="s">
        <v>5387</v>
      </c>
      <c r="G1600" s="400"/>
      <c r="H1600" s="400"/>
      <c r="I1600" s="400"/>
      <c r="J1600" s="400"/>
      <c r="K1600" s="400">
        <v>1</v>
      </c>
      <c r="L1600" s="400" t="s">
        <v>3333</v>
      </c>
      <c r="M1600" s="402" t="s">
        <v>4518</v>
      </c>
      <c r="N1600" s="400"/>
      <c r="O1600" s="428" t="s">
        <v>4417</v>
      </c>
      <c r="P1600" s="581"/>
      <c r="Q1600" s="400" t="s">
        <v>5504</v>
      </c>
      <c r="R1600" s="428"/>
      <c r="S1600" s="399"/>
      <c r="T1600" s="399" t="s">
        <v>5505</v>
      </c>
      <c r="U1600" s="399"/>
      <c r="V1600" s="399"/>
      <c r="W1600" s="399" t="s">
        <v>5506</v>
      </c>
      <c r="X1600" s="400"/>
      <c r="Y1600" s="490" t="s">
        <v>208</v>
      </c>
      <c r="Z1600" s="531"/>
      <c r="AA1600" s="399" t="s">
        <v>113</v>
      </c>
      <c r="AB1600" s="399" t="s">
        <v>3178</v>
      </c>
      <c r="AC1600" s="617" t="s">
        <v>5851</v>
      </c>
      <c r="AD1600" s="594"/>
      <c r="AE1600" s="531"/>
      <c r="AF1600" s="531"/>
      <c r="AG1600" s="531"/>
      <c r="AH1600" s="532" t="s">
        <v>3851</v>
      </c>
      <c r="AI1600" s="531"/>
      <c r="AJ1600" s="594"/>
      <c r="AK1600" s="399"/>
      <c r="AL1600" s="605"/>
      <c r="AM1600" s="531"/>
      <c r="AN1600" s="531"/>
      <c r="AO1600" s="531"/>
      <c r="AP1600" s="531"/>
      <c r="AQ1600" s="531"/>
      <c r="AR1600" s="531"/>
      <c r="AS1600" s="531"/>
      <c r="AT1600" s="399"/>
      <c r="AU1600" s="399"/>
      <c r="AV1600" s="399"/>
      <c r="AW1600" s="541"/>
      <c r="AX1600" s="541"/>
      <c r="AY1600" s="541"/>
      <c r="AZ1600" s="541"/>
      <c r="BA1600" s="541"/>
      <c r="BB1600" s="399"/>
      <c r="BC1600" s="399" t="e">
        <f t="shared" ca="1" si="2"/>
        <v>#NAME?</v>
      </c>
      <c r="BD1600" s="399"/>
      <c r="BE1600" s="399"/>
      <c r="BF1600" s="399"/>
      <c r="BG1600" s="540"/>
      <c r="BH1600" s="407"/>
      <c r="BI1600" s="407"/>
      <c r="BJ1600" s="543"/>
      <c r="BK1600" s="46">
        <f t="shared" si="1"/>
        <v>1</v>
      </c>
      <c r="BL1600" s="46">
        <f t="shared" si="3"/>
        <v>0</v>
      </c>
      <c r="BM1600" s="46">
        <f t="shared" si="4"/>
        <v>1</v>
      </c>
      <c r="BN1600" s="46">
        <f t="shared" si="5"/>
        <v>0</v>
      </c>
    </row>
    <row r="1601" spans="1:66" ht="12.75" customHeight="1">
      <c r="A1601" s="399">
        <v>1612</v>
      </c>
      <c r="B1601" s="399" t="s">
        <v>5516</v>
      </c>
      <c r="C1601" s="399" t="e">
        <f t="shared" ca="1" si="0"/>
        <v>#NAME?</v>
      </c>
      <c r="D1601" s="400" t="s">
        <v>5515</v>
      </c>
      <c r="E1601" s="399" t="s">
        <v>180</v>
      </c>
      <c r="F1601" s="400" t="s">
        <v>5387</v>
      </c>
      <c r="G1601" s="400"/>
      <c r="H1601" s="400"/>
      <c r="I1601" s="400"/>
      <c r="J1601" s="400"/>
      <c r="K1601" s="400">
        <v>1</v>
      </c>
      <c r="L1601" s="400" t="s">
        <v>3333</v>
      </c>
      <c r="M1601" s="402" t="s">
        <v>4518</v>
      </c>
      <c r="N1601" s="400"/>
      <c r="O1601" s="428" t="s">
        <v>4417</v>
      </c>
      <c r="P1601" s="581"/>
      <c r="Q1601" s="400" t="s">
        <v>5513</v>
      </c>
      <c r="R1601" s="428"/>
      <c r="S1601" s="399"/>
      <c r="T1601" s="399" t="s">
        <v>5514</v>
      </c>
      <c r="U1601" s="399"/>
      <c r="V1601" s="399"/>
      <c r="W1601" s="399" t="s">
        <v>5515</v>
      </c>
      <c r="X1601" s="400"/>
      <c r="Y1601" s="490" t="s">
        <v>208</v>
      </c>
      <c r="Z1601" s="531"/>
      <c r="AA1601" s="399" t="s">
        <v>113</v>
      </c>
      <c r="AB1601" s="399" t="s">
        <v>3178</v>
      </c>
      <c r="AC1601" s="617" t="s">
        <v>5851</v>
      </c>
      <c r="AD1601" s="594"/>
      <c r="AE1601" s="531"/>
      <c r="AF1601" s="531"/>
      <c r="AG1601" s="531"/>
      <c r="AH1601" s="532" t="s">
        <v>3851</v>
      </c>
      <c r="AI1601" s="531"/>
      <c r="AJ1601" s="594"/>
      <c r="AK1601" s="399"/>
      <c r="AL1601" s="605"/>
      <c r="AM1601" s="531"/>
      <c r="AN1601" s="531"/>
      <c r="AO1601" s="531"/>
      <c r="AP1601" s="531"/>
      <c r="AQ1601" s="531"/>
      <c r="AR1601" s="531"/>
      <c r="AS1601" s="531"/>
      <c r="AT1601" s="400" t="s">
        <v>5517</v>
      </c>
      <c r="AU1601" s="618">
        <v>9.9999999999999999E+50</v>
      </c>
      <c r="AV1601" s="400">
        <v>10295004</v>
      </c>
      <c r="AW1601" s="541"/>
      <c r="AX1601" s="541"/>
      <c r="AY1601" s="541"/>
      <c r="AZ1601" s="541"/>
      <c r="BA1601" s="541"/>
      <c r="BB1601" s="400"/>
      <c r="BC1601" s="399" t="e">
        <f t="shared" ca="1" si="2"/>
        <v>#NAME?</v>
      </c>
      <c r="BD1601" s="400">
        <v>145131</v>
      </c>
      <c r="BE1601" s="399"/>
      <c r="BF1601" s="399"/>
      <c r="BG1601" s="540"/>
      <c r="BH1601" s="407" t="s">
        <v>5517</v>
      </c>
      <c r="BI1601" s="407">
        <v>10295004</v>
      </c>
      <c r="BJ1601" s="543"/>
      <c r="BK1601" s="46">
        <f t="shared" si="1"/>
        <v>1</v>
      </c>
      <c r="BL1601" s="46">
        <f t="shared" si="3"/>
        <v>1</v>
      </c>
      <c r="BM1601" s="46">
        <f t="shared" si="4"/>
        <v>0</v>
      </c>
      <c r="BN1601" s="46">
        <f t="shared" si="5"/>
        <v>0</v>
      </c>
    </row>
    <row r="1602" spans="1:66" ht="12.75" customHeight="1">
      <c r="A1602" s="399">
        <v>1613</v>
      </c>
      <c r="B1602" s="399" t="s">
        <v>5397</v>
      </c>
      <c r="C1602" s="399" t="str">
        <f t="shared" si="0"/>
        <v>Cirrhosis</v>
      </c>
      <c r="D1602" s="400" t="s">
        <v>5397</v>
      </c>
      <c r="E1602" s="399" t="s">
        <v>96</v>
      </c>
      <c r="F1602" s="400" t="s">
        <v>1787</v>
      </c>
      <c r="G1602" s="400"/>
      <c r="H1602" s="400"/>
      <c r="I1602" s="400"/>
      <c r="J1602" s="400"/>
      <c r="K1602" s="400">
        <v>1</v>
      </c>
      <c r="L1602" s="400" t="s">
        <v>3333</v>
      </c>
      <c r="M1602" s="402" t="s">
        <v>4518</v>
      </c>
      <c r="N1602" s="400"/>
      <c r="O1602" s="428" t="s">
        <v>4417</v>
      </c>
      <c r="P1602" s="581"/>
      <c r="Q1602" s="400" t="s">
        <v>5524</v>
      </c>
      <c r="R1602" s="428" t="s">
        <v>5397</v>
      </c>
      <c r="S1602" s="399"/>
      <c r="T1602" s="399" t="s">
        <v>5399</v>
      </c>
      <c r="U1602" s="399" t="s">
        <v>238</v>
      </c>
      <c r="V1602" s="399"/>
      <c r="W1602" s="399"/>
      <c r="X1602" s="399"/>
      <c r="Y1602" s="490" t="s">
        <v>208</v>
      </c>
      <c r="Z1602" s="531"/>
      <c r="AA1602" s="399" t="s">
        <v>113</v>
      </c>
      <c r="AB1602" s="399" t="s">
        <v>3178</v>
      </c>
      <c r="AC1602" s="617" t="s">
        <v>6043</v>
      </c>
      <c r="AD1602" s="594"/>
      <c r="AE1602" s="531"/>
      <c r="AF1602" s="531"/>
      <c r="AG1602" s="531"/>
      <c r="AH1602" s="532" t="s">
        <v>3851</v>
      </c>
      <c r="AI1602" s="531"/>
      <c r="AJ1602" s="594"/>
      <c r="AK1602" s="399"/>
      <c r="AL1602" s="605"/>
      <c r="AM1602" s="531"/>
      <c r="AN1602" s="531"/>
      <c r="AO1602" s="531"/>
      <c r="AP1602" s="531"/>
      <c r="AQ1602" s="531"/>
      <c r="AR1602" s="531"/>
      <c r="AS1602" s="531"/>
      <c r="AT1602" s="399"/>
      <c r="AU1602" s="399"/>
      <c r="AV1602" s="399">
        <v>19943007</v>
      </c>
      <c r="AW1602" s="541"/>
      <c r="AX1602" s="541"/>
      <c r="AY1602" s="541"/>
      <c r="AZ1602" s="541"/>
      <c r="BA1602" s="541"/>
      <c r="BB1602" s="399"/>
      <c r="BC1602" s="399" t="str">
        <f t="shared" si="2"/>
        <v/>
      </c>
      <c r="BD1602" s="399"/>
      <c r="BE1602" s="399"/>
      <c r="BF1602" s="399"/>
      <c r="BG1602" s="540"/>
      <c r="BH1602" s="407"/>
      <c r="BI1602" s="407">
        <v>19943007</v>
      </c>
      <c r="BJ1602" s="543"/>
      <c r="BK1602" s="46">
        <f t="shared" si="1"/>
        <v>1</v>
      </c>
      <c r="BL1602" s="46">
        <f t="shared" si="3"/>
        <v>0</v>
      </c>
      <c r="BM1602" s="46">
        <f t="shared" si="4"/>
        <v>1</v>
      </c>
      <c r="BN1602" s="46">
        <f t="shared" si="5"/>
        <v>0</v>
      </c>
    </row>
    <row r="1603" spans="1:66" ht="12.75" customHeight="1">
      <c r="A1603" s="399">
        <v>1614</v>
      </c>
      <c r="B1603" s="399" t="s">
        <v>5537</v>
      </c>
      <c r="C1603" s="399" t="e">
        <f t="shared" ca="1" si="0"/>
        <v>#NAME?</v>
      </c>
      <c r="D1603" s="400" t="s">
        <v>5535</v>
      </c>
      <c r="E1603" s="399" t="s">
        <v>180</v>
      </c>
      <c r="F1603" s="400" t="s">
        <v>5397</v>
      </c>
      <c r="G1603" s="400"/>
      <c r="H1603" s="400"/>
      <c r="I1603" s="400"/>
      <c r="J1603" s="400"/>
      <c r="K1603" s="400">
        <v>1</v>
      </c>
      <c r="L1603" s="400" t="s">
        <v>3333</v>
      </c>
      <c r="M1603" s="402" t="s">
        <v>4518</v>
      </c>
      <c r="N1603" s="400"/>
      <c r="O1603" s="428" t="s">
        <v>4417</v>
      </c>
      <c r="P1603" s="581"/>
      <c r="Q1603" s="400" t="s">
        <v>5533</v>
      </c>
      <c r="R1603" s="428"/>
      <c r="S1603" s="399"/>
      <c r="T1603" s="399" t="s">
        <v>5534</v>
      </c>
      <c r="U1603" s="399"/>
      <c r="V1603" s="399"/>
      <c r="W1603" s="399" t="s">
        <v>5535</v>
      </c>
      <c r="X1603" s="400"/>
      <c r="Y1603" s="490" t="s">
        <v>208</v>
      </c>
      <c r="Z1603" s="531"/>
      <c r="AA1603" s="399" t="s">
        <v>113</v>
      </c>
      <c r="AB1603" s="399" t="s">
        <v>3178</v>
      </c>
      <c r="AC1603" s="566" t="s">
        <v>5851</v>
      </c>
      <c r="AD1603" s="594"/>
      <c r="AE1603" s="531"/>
      <c r="AF1603" s="531"/>
      <c r="AG1603" s="531"/>
      <c r="AH1603" s="532" t="s">
        <v>3851</v>
      </c>
      <c r="AI1603" s="531"/>
      <c r="AJ1603" s="594"/>
      <c r="AK1603" s="399"/>
      <c r="AL1603" s="531"/>
      <c r="AM1603" s="531"/>
      <c r="AN1603" s="531"/>
      <c r="AO1603" s="531"/>
      <c r="AP1603" s="531"/>
      <c r="AQ1603" s="531"/>
      <c r="AR1603" s="531"/>
      <c r="AS1603" s="531"/>
      <c r="AT1603" s="399"/>
      <c r="AU1603" s="399"/>
      <c r="AV1603" s="399"/>
      <c r="AW1603" s="541"/>
      <c r="AX1603" s="541"/>
      <c r="AY1603" s="541"/>
      <c r="AZ1603" s="541"/>
      <c r="BA1603" s="541"/>
      <c r="BB1603" s="399"/>
      <c r="BC1603" s="399" t="e">
        <f t="shared" ca="1" si="2"/>
        <v>#NAME?</v>
      </c>
      <c r="BD1603" s="399"/>
      <c r="BE1603" s="399"/>
      <c r="BF1603" s="399"/>
      <c r="BG1603" s="540"/>
      <c r="BH1603" s="407"/>
      <c r="BI1603" s="407"/>
      <c r="BJ1603" s="543"/>
      <c r="BK1603" s="46">
        <f t="shared" si="1"/>
        <v>1</v>
      </c>
      <c r="BL1603" s="46">
        <f t="shared" si="3"/>
        <v>0</v>
      </c>
      <c r="BM1603" s="46">
        <f t="shared" si="4"/>
        <v>1</v>
      </c>
      <c r="BN1603" s="46">
        <f t="shared" si="5"/>
        <v>0</v>
      </c>
    </row>
    <row r="1604" spans="1:66" ht="12.75" customHeight="1">
      <c r="A1604" s="399">
        <v>1615</v>
      </c>
      <c r="B1604" s="399" t="s">
        <v>5545</v>
      </c>
      <c r="C1604" s="399" t="e">
        <f t="shared" ca="1" si="0"/>
        <v>#NAME?</v>
      </c>
      <c r="D1604" s="400" t="s">
        <v>5544</v>
      </c>
      <c r="E1604" s="399" t="s">
        <v>180</v>
      </c>
      <c r="F1604" s="400" t="s">
        <v>5397</v>
      </c>
      <c r="G1604" s="400"/>
      <c r="H1604" s="400"/>
      <c r="I1604" s="400"/>
      <c r="J1604" s="400"/>
      <c r="K1604" s="400">
        <v>1</v>
      </c>
      <c r="L1604" s="400" t="s">
        <v>3333</v>
      </c>
      <c r="M1604" s="402" t="s">
        <v>4518</v>
      </c>
      <c r="N1604" s="400"/>
      <c r="O1604" s="428" t="s">
        <v>4417</v>
      </c>
      <c r="P1604" s="581"/>
      <c r="Q1604" s="400" t="s">
        <v>5542</v>
      </c>
      <c r="R1604" s="428"/>
      <c r="S1604" s="399"/>
      <c r="T1604" s="399" t="s">
        <v>5543</v>
      </c>
      <c r="U1604" s="399"/>
      <c r="V1604" s="399"/>
      <c r="W1604" s="399" t="s">
        <v>5544</v>
      </c>
      <c r="X1604" s="400"/>
      <c r="Y1604" s="490" t="s">
        <v>208</v>
      </c>
      <c r="Z1604" s="531"/>
      <c r="AA1604" s="399" t="s">
        <v>113</v>
      </c>
      <c r="AB1604" s="399" t="s">
        <v>3178</v>
      </c>
      <c r="AC1604" s="566" t="s">
        <v>5851</v>
      </c>
      <c r="AD1604" s="594"/>
      <c r="AE1604" s="531"/>
      <c r="AF1604" s="531"/>
      <c r="AG1604" s="531"/>
      <c r="AH1604" s="532" t="s">
        <v>3851</v>
      </c>
      <c r="AI1604" s="531"/>
      <c r="AJ1604" s="594"/>
      <c r="AK1604" s="399"/>
      <c r="AL1604" s="531"/>
      <c r="AM1604" s="531"/>
      <c r="AN1604" s="531"/>
      <c r="AO1604" s="531"/>
      <c r="AP1604" s="531"/>
      <c r="AQ1604" s="531"/>
      <c r="AR1604" s="531"/>
      <c r="AS1604" s="531"/>
      <c r="AT1604" s="399"/>
      <c r="AU1604" s="399"/>
      <c r="AV1604" s="399"/>
      <c r="AW1604" s="541"/>
      <c r="AX1604" s="541"/>
      <c r="AY1604" s="541"/>
      <c r="AZ1604" s="541"/>
      <c r="BA1604" s="541"/>
      <c r="BB1604" s="399"/>
      <c r="BC1604" s="399" t="e">
        <f t="shared" ca="1" si="2"/>
        <v>#NAME?</v>
      </c>
      <c r="BD1604" s="399"/>
      <c r="BE1604" s="399"/>
      <c r="BF1604" s="399"/>
      <c r="BG1604" s="540"/>
      <c r="BH1604" s="407"/>
      <c r="BI1604" s="407"/>
      <c r="BJ1604" s="543"/>
      <c r="BK1604" s="46">
        <f t="shared" si="1"/>
        <v>1</v>
      </c>
      <c r="BL1604" s="46">
        <f t="shared" si="3"/>
        <v>0</v>
      </c>
      <c r="BM1604" s="46">
        <f t="shared" si="4"/>
        <v>1</v>
      </c>
      <c r="BN1604" s="46">
        <f t="shared" si="5"/>
        <v>0</v>
      </c>
    </row>
    <row r="1605" spans="1:66" ht="12.75" customHeight="1">
      <c r="A1605" s="399">
        <v>1616</v>
      </c>
      <c r="B1605" s="399" t="s">
        <v>5549</v>
      </c>
      <c r="C1605" s="399" t="str">
        <f t="shared" si="0"/>
        <v>Liver diseases</v>
      </c>
      <c r="D1605" s="400" t="s">
        <v>5549</v>
      </c>
      <c r="E1605" s="399" t="s">
        <v>96</v>
      </c>
      <c r="F1605" s="400" t="s">
        <v>1787</v>
      </c>
      <c r="G1605" s="400"/>
      <c r="H1605" s="400"/>
      <c r="I1605" s="400"/>
      <c r="J1605" s="400"/>
      <c r="K1605" s="400">
        <v>1</v>
      </c>
      <c r="L1605" s="400" t="s">
        <v>3333</v>
      </c>
      <c r="M1605" s="402" t="s">
        <v>4518</v>
      </c>
      <c r="N1605" s="400"/>
      <c r="O1605" s="428" t="s">
        <v>4417</v>
      </c>
      <c r="P1605" s="581"/>
      <c r="Q1605" s="400" t="s">
        <v>5551</v>
      </c>
      <c r="R1605" s="428" t="s">
        <v>5549</v>
      </c>
      <c r="S1605" s="399"/>
      <c r="T1605" s="399" t="s">
        <v>5552</v>
      </c>
      <c r="U1605" s="399" t="s">
        <v>238</v>
      </c>
      <c r="V1605" s="399"/>
      <c r="W1605" s="399"/>
      <c r="X1605" s="399"/>
      <c r="Y1605" s="490" t="s">
        <v>208</v>
      </c>
      <c r="Z1605" s="531"/>
      <c r="AA1605" s="399" t="s">
        <v>113</v>
      </c>
      <c r="AB1605" s="399" t="s">
        <v>3178</v>
      </c>
      <c r="AC1605" s="590" t="s">
        <v>5482</v>
      </c>
      <c r="AD1605" s="594"/>
      <c r="AE1605" s="531"/>
      <c r="AF1605" s="531"/>
      <c r="AG1605" s="531"/>
      <c r="AH1605" s="532" t="s">
        <v>3851</v>
      </c>
      <c r="AI1605" s="531"/>
      <c r="AJ1605" s="594"/>
      <c r="AK1605" s="399"/>
      <c r="AL1605" s="605"/>
      <c r="AM1605" s="531"/>
      <c r="AN1605" s="531"/>
      <c r="AO1605" s="531"/>
      <c r="AP1605" s="531"/>
      <c r="AQ1605" s="531"/>
      <c r="AR1605" s="531"/>
      <c r="AS1605" s="531"/>
      <c r="AT1605" s="400" t="s">
        <v>5553</v>
      </c>
      <c r="AU1605" s="400" t="s">
        <v>5554</v>
      </c>
      <c r="AV1605" s="400">
        <v>197354009</v>
      </c>
      <c r="AW1605" s="541"/>
      <c r="AX1605" s="541"/>
      <c r="AY1605" s="541"/>
      <c r="AZ1605" s="541"/>
      <c r="BA1605" s="541"/>
      <c r="BB1605" s="400"/>
      <c r="BC1605" s="399" t="str">
        <f t="shared" si="2"/>
        <v/>
      </c>
      <c r="BD1605" s="400">
        <v>159098</v>
      </c>
      <c r="BE1605" s="399"/>
      <c r="BF1605" s="399"/>
      <c r="BG1605" s="540"/>
      <c r="BH1605" s="407" t="s">
        <v>5553</v>
      </c>
      <c r="BI1605" s="407">
        <v>197354009</v>
      </c>
      <c r="BJ1605" s="543"/>
      <c r="BK1605" s="46">
        <f t="shared" si="1"/>
        <v>1</v>
      </c>
      <c r="BL1605" s="46">
        <f t="shared" si="3"/>
        <v>0</v>
      </c>
      <c r="BM1605" s="46">
        <f t="shared" si="4"/>
        <v>1</v>
      </c>
      <c r="BN1605" s="46">
        <f t="shared" si="5"/>
        <v>0</v>
      </c>
    </row>
    <row r="1606" spans="1:66" ht="12.75" customHeight="1">
      <c r="A1606" s="399">
        <v>1617</v>
      </c>
      <c r="B1606" s="399" t="s">
        <v>5558</v>
      </c>
      <c r="C1606" s="399" t="e">
        <f t="shared" ca="1" si="0"/>
        <v>#NAME?</v>
      </c>
      <c r="D1606" s="400" t="s">
        <v>5556</v>
      </c>
      <c r="E1606" s="399" t="s">
        <v>180</v>
      </c>
      <c r="F1606" s="400" t="s">
        <v>5549</v>
      </c>
      <c r="G1606" s="400"/>
      <c r="H1606" s="400"/>
      <c r="I1606" s="400"/>
      <c r="J1606" s="400"/>
      <c r="K1606" s="400">
        <v>1</v>
      </c>
      <c r="L1606" s="400" t="s">
        <v>3333</v>
      </c>
      <c r="M1606" s="402" t="s">
        <v>4518</v>
      </c>
      <c r="N1606" s="400"/>
      <c r="O1606" s="428" t="s">
        <v>4417</v>
      </c>
      <c r="P1606" s="581"/>
      <c r="Q1606" s="400" t="s">
        <v>5557</v>
      </c>
      <c r="R1606" s="428"/>
      <c r="S1606" s="399"/>
      <c r="T1606" s="399"/>
      <c r="U1606" s="399"/>
      <c r="V1606" s="399"/>
      <c r="W1606" s="399" t="s">
        <v>5556</v>
      </c>
      <c r="X1606" s="400"/>
      <c r="Y1606" s="490" t="s">
        <v>208</v>
      </c>
      <c r="Z1606" s="531"/>
      <c r="AA1606" s="399" t="s">
        <v>113</v>
      </c>
      <c r="AB1606" s="399" t="s">
        <v>3178</v>
      </c>
      <c r="AC1606" s="617" t="s">
        <v>5851</v>
      </c>
      <c r="AD1606" s="594"/>
      <c r="AE1606" s="531"/>
      <c r="AF1606" s="531"/>
      <c r="AG1606" s="531"/>
      <c r="AH1606" s="532" t="s">
        <v>3851</v>
      </c>
      <c r="AI1606" s="531"/>
      <c r="AJ1606" s="594"/>
      <c r="AK1606" s="399"/>
      <c r="AL1606" s="605"/>
      <c r="AM1606" s="531"/>
      <c r="AN1606" s="531"/>
      <c r="AO1606" s="531"/>
      <c r="AP1606" s="531"/>
      <c r="AQ1606" s="531"/>
      <c r="AR1606" s="531"/>
      <c r="AS1606" s="531"/>
      <c r="AT1606" s="399"/>
      <c r="AU1606" s="399"/>
      <c r="AV1606" s="399"/>
      <c r="AW1606" s="541"/>
      <c r="AX1606" s="541"/>
      <c r="AY1606" s="541"/>
      <c r="AZ1606" s="541"/>
      <c r="BA1606" s="541"/>
      <c r="BB1606" s="399"/>
      <c r="BC1606" s="399" t="e">
        <f t="shared" ca="1" si="2"/>
        <v>#NAME?</v>
      </c>
      <c r="BD1606" s="399"/>
      <c r="BE1606" s="399"/>
      <c r="BF1606" s="399"/>
      <c r="BG1606" s="540"/>
      <c r="BH1606" s="407"/>
      <c r="BI1606" s="407"/>
      <c r="BJ1606" s="543"/>
      <c r="BK1606" s="46">
        <f t="shared" si="1"/>
        <v>1</v>
      </c>
      <c r="BL1606" s="46">
        <f t="shared" si="3"/>
        <v>0</v>
      </c>
      <c r="BM1606" s="46">
        <f t="shared" si="4"/>
        <v>1</v>
      </c>
      <c r="BN1606" s="46">
        <f t="shared" si="5"/>
        <v>0</v>
      </c>
    </row>
    <row r="1607" spans="1:66" ht="12.75" customHeight="1">
      <c r="A1607" s="399">
        <v>1618</v>
      </c>
      <c r="B1607" s="399" t="s">
        <v>5563</v>
      </c>
      <c r="C1607" s="399" t="e">
        <f t="shared" ca="1" si="0"/>
        <v>#NAME?</v>
      </c>
      <c r="D1607" s="400" t="s">
        <v>5561</v>
      </c>
      <c r="E1607" s="399" t="s">
        <v>180</v>
      </c>
      <c r="F1607" s="400" t="s">
        <v>5549</v>
      </c>
      <c r="G1607" s="400"/>
      <c r="H1607" s="400"/>
      <c r="I1607" s="400"/>
      <c r="J1607" s="400"/>
      <c r="K1607" s="400">
        <v>1</v>
      </c>
      <c r="L1607" s="400" t="s">
        <v>3333</v>
      </c>
      <c r="M1607" s="402" t="s">
        <v>4518</v>
      </c>
      <c r="N1607" s="400"/>
      <c r="O1607" s="428" t="s">
        <v>4417</v>
      </c>
      <c r="P1607" s="581"/>
      <c r="Q1607" s="400" t="s">
        <v>5562</v>
      </c>
      <c r="R1607" s="428"/>
      <c r="S1607" s="399"/>
      <c r="T1607" s="399"/>
      <c r="U1607" s="399"/>
      <c r="V1607" s="399"/>
      <c r="W1607" s="399" t="s">
        <v>5561</v>
      </c>
      <c r="X1607" s="400"/>
      <c r="Y1607" s="490" t="s">
        <v>208</v>
      </c>
      <c r="Z1607" s="531"/>
      <c r="AA1607" s="399" t="s">
        <v>113</v>
      </c>
      <c r="AB1607" s="399" t="s">
        <v>3178</v>
      </c>
      <c r="AC1607" s="617" t="s">
        <v>5851</v>
      </c>
      <c r="AD1607" s="594"/>
      <c r="AE1607" s="531"/>
      <c r="AF1607" s="531"/>
      <c r="AG1607" s="531"/>
      <c r="AH1607" s="532" t="s">
        <v>3851</v>
      </c>
      <c r="AI1607" s="531"/>
      <c r="AJ1607" s="594"/>
      <c r="AK1607" s="399"/>
      <c r="AL1607" s="605"/>
      <c r="AM1607" s="531"/>
      <c r="AN1607" s="531"/>
      <c r="AO1607" s="531"/>
      <c r="AP1607" s="531"/>
      <c r="AQ1607" s="531"/>
      <c r="AR1607" s="531"/>
      <c r="AS1607" s="531"/>
      <c r="AT1607" s="399"/>
      <c r="AU1607" s="399"/>
      <c r="AV1607" s="517"/>
      <c r="AW1607" s="541"/>
      <c r="AX1607" s="541"/>
      <c r="AY1607" s="541"/>
      <c r="AZ1607" s="541"/>
      <c r="BA1607" s="541"/>
      <c r="BB1607" s="399"/>
      <c r="BC1607" s="399" t="e">
        <f t="shared" ca="1" si="2"/>
        <v>#NAME?</v>
      </c>
      <c r="BD1607" s="399"/>
      <c r="BE1607" s="399"/>
      <c r="BF1607" s="399"/>
      <c r="BG1607" s="540"/>
      <c r="BH1607" s="407"/>
      <c r="BI1607" s="414"/>
      <c r="BJ1607" s="543"/>
      <c r="BK1607" s="46">
        <f t="shared" si="1"/>
        <v>1</v>
      </c>
      <c r="BL1607" s="46">
        <f t="shared" si="3"/>
        <v>0</v>
      </c>
      <c r="BM1607" s="46">
        <f t="shared" si="4"/>
        <v>1</v>
      </c>
      <c r="BN1607" s="46">
        <f t="shared" si="5"/>
        <v>0</v>
      </c>
    </row>
    <row r="1608" spans="1:66" ht="12.75" customHeight="1">
      <c r="A1608" s="399">
        <v>1619</v>
      </c>
      <c r="B1608" s="399" t="s">
        <v>5569</v>
      </c>
      <c r="C1608" s="399" t="e">
        <f t="shared" ca="1" si="0"/>
        <v>#NAME?</v>
      </c>
      <c r="D1608" s="400" t="s">
        <v>5568</v>
      </c>
      <c r="E1608" s="399" t="s">
        <v>180</v>
      </c>
      <c r="F1608" s="400" t="s">
        <v>5549</v>
      </c>
      <c r="G1608" s="400"/>
      <c r="H1608" s="400"/>
      <c r="I1608" s="400"/>
      <c r="J1608" s="400"/>
      <c r="K1608" s="400">
        <v>1</v>
      </c>
      <c r="L1608" s="400" t="s">
        <v>3333</v>
      </c>
      <c r="M1608" s="402" t="s">
        <v>4518</v>
      </c>
      <c r="N1608" s="400"/>
      <c r="O1608" s="428" t="s">
        <v>4417</v>
      </c>
      <c r="P1608" s="581"/>
      <c r="Q1608" s="400" t="s">
        <v>5566</v>
      </c>
      <c r="R1608" s="428"/>
      <c r="S1608" s="399"/>
      <c r="T1608" s="399" t="s">
        <v>5567</v>
      </c>
      <c r="U1608" s="399"/>
      <c r="V1608" s="399"/>
      <c r="W1608" s="399" t="s">
        <v>5568</v>
      </c>
      <c r="X1608" s="400"/>
      <c r="Y1608" s="490" t="s">
        <v>208</v>
      </c>
      <c r="Z1608" s="531"/>
      <c r="AA1608" s="399" t="s">
        <v>113</v>
      </c>
      <c r="AB1608" s="399" t="s">
        <v>3178</v>
      </c>
      <c r="AC1608" s="617" t="s">
        <v>5851</v>
      </c>
      <c r="AD1608" s="594"/>
      <c r="AE1608" s="531"/>
      <c r="AF1608" s="531"/>
      <c r="AG1608" s="531"/>
      <c r="AH1608" s="532" t="s">
        <v>3851</v>
      </c>
      <c r="AI1608" s="531"/>
      <c r="AJ1608" s="594"/>
      <c r="AK1608" s="399"/>
      <c r="AL1608" s="605"/>
      <c r="AM1608" s="531"/>
      <c r="AN1608" s="531"/>
      <c r="AO1608" s="531"/>
      <c r="AP1608" s="531"/>
      <c r="AQ1608" s="531"/>
      <c r="AR1608" s="531"/>
      <c r="AS1608" s="531"/>
      <c r="AT1608" s="399"/>
      <c r="AU1608" s="399"/>
      <c r="AV1608" s="399">
        <v>37871000</v>
      </c>
      <c r="AW1608" s="541"/>
      <c r="AX1608" s="541"/>
      <c r="AY1608" s="541"/>
      <c r="AZ1608" s="541"/>
      <c r="BA1608" s="541"/>
      <c r="BB1608" s="399"/>
      <c r="BC1608" s="399" t="e">
        <f t="shared" ca="1" si="2"/>
        <v>#NAME?</v>
      </c>
      <c r="BD1608" s="399"/>
      <c r="BE1608" s="399"/>
      <c r="BF1608" s="399"/>
      <c r="BG1608" s="540"/>
      <c r="BH1608" s="407"/>
      <c r="BI1608" s="407">
        <v>37871000</v>
      </c>
      <c r="BJ1608" s="543"/>
      <c r="BK1608" s="46">
        <f t="shared" si="1"/>
        <v>1</v>
      </c>
      <c r="BL1608" s="46">
        <f t="shared" si="3"/>
        <v>1</v>
      </c>
      <c r="BM1608" s="46">
        <f t="shared" si="4"/>
        <v>0</v>
      </c>
      <c r="BN1608" s="46">
        <f t="shared" si="5"/>
        <v>0</v>
      </c>
    </row>
    <row r="1609" spans="1:66" ht="12.75" customHeight="1">
      <c r="A1609" s="399">
        <v>1620</v>
      </c>
      <c r="B1609" s="399" t="s">
        <v>5575</v>
      </c>
      <c r="C1609" s="399" t="e">
        <f t="shared" ca="1" si="0"/>
        <v>#NAME?</v>
      </c>
      <c r="D1609" s="400" t="s">
        <v>5574</v>
      </c>
      <c r="E1609" s="399" t="s">
        <v>180</v>
      </c>
      <c r="F1609" s="400" t="s">
        <v>5549</v>
      </c>
      <c r="G1609" s="400"/>
      <c r="H1609" s="400"/>
      <c r="I1609" s="400"/>
      <c r="J1609" s="400"/>
      <c r="K1609" s="400">
        <v>1</v>
      </c>
      <c r="L1609" s="400" t="s">
        <v>3333</v>
      </c>
      <c r="M1609" s="402" t="s">
        <v>4518</v>
      </c>
      <c r="N1609" s="400"/>
      <c r="O1609" s="428" t="s">
        <v>4417</v>
      </c>
      <c r="P1609" s="581"/>
      <c r="Q1609" s="400" t="s">
        <v>5572</v>
      </c>
      <c r="R1609" s="428"/>
      <c r="S1609" s="399"/>
      <c r="T1609" s="399" t="s">
        <v>5573</v>
      </c>
      <c r="U1609" s="399"/>
      <c r="V1609" s="399"/>
      <c r="W1609" s="399" t="s">
        <v>5574</v>
      </c>
      <c r="X1609" s="400"/>
      <c r="Y1609" s="490" t="s">
        <v>208</v>
      </c>
      <c r="Z1609" s="531"/>
      <c r="AA1609" s="399" t="s">
        <v>113</v>
      </c>
      <c r="AB1609" s="399" t="s">
        <v>3178</v>
      </c>
      <c r="AC1609" s="617" t="s">
        <v>5851</v>
      </c>
      <c r="AD1609" s="594"/>
      <c r="AE1609" s="531"/>
      <c r="AF1609" s="531"/>
      <c r="AG1609" s="531"/>
      <c r="AH1609" s="532" t="s">
        <v>3851</v>
      </c>
      <c r="AI1609" s="531"/>
      <c r="AJ1609" s="594"/>
      <c r="AK1609" s="399"/>
      <c r="AL1609" s="605"/>
      <c r="AM1609" s="531"/>
      <c r="AN1609" s="531"/>
      <c r="AO1609" s="531"/>
      <c r="AP1609" s="531"/>
      <c r="AQ1609" s="531"/>
      <c r="AR1609" s="531"/>
      <c r="AS1609" s="531"/>
      <c r="AT1609" s="399"/>
      <c r="AU1609" s="399"/>
      <c r="AV1609" s="399"/>
      <c r="AW1609" s="541"/>
      <c r="AX1609" s="541"/>
      <c r="AY1609" s="541"/>
      <c r="AZ1609" s="541"/>
      <c r="BA1609" s="541"/>
      <c r="BB1609" s="399"/>
      <c r="BC1609" s="399" t="e">
        <f t="shared" ca="1" si="2"/>
        <v>#NAME?</v>
      </c>
      <c r="BD1609" s="399"/>
      <c r="BE1609" s="399"/>
      <c r="BF1609" s="399"/>
      <c r="BG1609" s="540"/>
      <c r="BH1609" s="407"/>
      <c r="BI1609" s="407"/>
      <c r="BJ1609" s="543"/>
      <c r="BK1609" s="46">
        <f t="shared" si="1"/>
        <v>1</v>
      </c>
      <c r="BL1609" s="46">
        <f t="shared" si="3"/>
        <v>0</v>
      </c>
      <c r="BM1609" s="46">
        <f t="shared" si="4"/>
        <v>1</v>
      </c>
      <c r="BN1609" s="46">
        <f t="shared" si="5"/>
        <v>0</v>
      </c>
    </row>
    <row r="1610" spans="1:66" ht="12.75" customHeight="1">
      <c r="A1610" s="399">
        <v>1621</v>
      </c>
      <c r="B1610" s="399" t="s">
        <v>5577</v>
      </c>
      <c r="C1610" s="399" t="str">
        <f t="shared" si="0"/>
        <v>Anemias</v>
      </c>
      <c r="D1610" s="400" t="s">
        <v>5577</v>
      </c>
      <c r="E1610" s="399" t="s">
        <v>96</v>
      </c>
      <c r="F1610" s="400" t="s">
        <v>1787</v>
      </c>
      <c r="G1610" s="400"/>
      <c r="H1610" s="400"/>
      <c r="I1610" s="400"/>
      <c r="J1610" s="400"/>
      <c r="K1610" s="400">
        <v>1</v>
      </c>
      <c r="L1610" s="400" t="s">
        <v>3333</v>
      </c>
      <c r="M1610" s="402" t="s">
        <v>4518</v>
      </c>
      <c r="N1610" s="400"/>
      <c r="O1610" s="428" t="s">
        <v>4417</v>
      </c>
      <c r="P1610" s="581"/>
      <c r="Q1610" s="400" t="s">
        <v>5578</v>
      </c>
      <c r="R1610" s="428" t="s">
        <v>5577</v>
      </c>
      <c r="S1610" s="399"/>
      <c r="T1610" s="399"/>
      <c r="U1610" s="399" t="s">
        <v>238</v>
      </c>
      <c r="V1610" s="399"/>
      <c r="W1610" s="399"/>
      <c r="X1610" s="399"/>
      <c r="Y1610" s="490" t="s">
        <v>208</v>
      </c>
      <c r="Z1610" s="531"/>
      <c r="AA1610" s="399" t="s">
        <v>113</v>
      </c>
      <c r="AB1610" s="399" t="s">
        <v>3178</v>
      </c>
      <c r="AC1610" s="617" t="s">
        <v>5851</v>
      </c>
      <c r="AD1610" s="594"/>
      <c r="AE1610" s="531"/>
      <c r="AF1610" s="531"/>
      <c r="AG1610" s="531"/>
      <c r="AH1610" s="532" t="s">
        <v>3851</v>
      </c>
      <c r="AI1610" s="531"/>
      <c r="AJ1610" s="594"/>
      <c r="AK1610" s="399"/>
      <c r="AL1610" s="605"/>
      <c r="AM1610" s="531"/>
      <c r="AN1610" s="531"/>
      <c r="AO1610" s="531"/>
      <c r="AP1610" s="531"/>
      <c r="AQ1610" s="531"/>
      <c r="AR1610" s="531"/>
      <c r="AS1610" s="531"/>
      <c r="AT1610" s="399"/>
      <c r="AU1610" s="399"/>
      <c r="AV1610" s="399"/>
      <c r="AW1610" s="541"/>
      <c r="AX1610" s="541"/>
      <c r="AY1610" s="541"/>
      <c r="AZ1610" s="541"/>
      <c r="BA1610" s="541"/>
      <c r="BB1610" s="399"/>
      <c r="BC1610" s="399" t="str">
        <f t="shared" si="2"/>
        <v/>
      </c>
      <c r="BD1610" s="399"/>
      <c r="BE1610" s="399"/>
      <c r="BF1610" s="399"/>
      <c r="BG1610" s="540"/>
      <c r="BH1610" s="407"/>
      <c r="BI1610" s="407"/>
      <c r="BJ1610" s="543"/>
      <c r="BK1610" s="46">
        <f t="shared" si="1"/>
        <v>1</v>
      </c>
      <c r="BL1610" s="46">
        <f t="shared" si="3"/>
        <v>0</v>
      </c>
      <c r="BM1610" s="46">
        <f t="shared" si="4"/>
        <v>1</v>
      </c>
      <c r="BN1610" s="46">
        <f t="shared" si="5"/>
        <v>0</v>
      </c>
    </row>
    <row r="1611" spans="1:66" ht="12.75" customHeight="1">
      <c r="A1611" s="399">
        <v>1622</v>
      </c>
      <c r="B1611" s="399" t="s">
        <v>5583</v>
      </c>
      <c r="C1611" s="399" t="e">
        <f t="shared" ca="1" si="0"/>
        <v>#NAME?</v>
      </c>
      <c r="D1611" s="400" t="s">
        <v>5581</v>
      </c>
      <c r="E1611" s="399" t="s">
        <v>180</v>
      </c>
      <c r="F1611" s="400" t="s">
        <v>5577</v>
      </c>
      <c r="G1611" s="400"/>
      <c r="H1611" s="400"/>
      <c r="I1611" s="400"/>
      <c r="J1611" s="400"/>
      <c r="K1611" s="400">
        <v>1</v>
      </c>
      <c r="L1611" s="400" t="s">
        <v>3333</v>
      </c>
      <c r="M1611" s="402" t="s">
        <v>4518</v>
      </c>
      <c r="N1611" s="400"/>
      <c r="O1611" s="428" t="s">
        <v>4417</v>
      </c>
      <c r="P1611" s="581"/>
      <c r="Q1611" s="400" t="s">
        <v>5580</v>
      </c>
      <c r="R1611" s="428"/>
      <c r="S1611" s="399"/>
      <c r="T1611" s="399"/>
      <c r="U1611" s="399"/>
      <c r="V1611" s="399"/>
      <c r="W1611" s="493" t="s">
        <v>5581</v>
      </c>
      <c r="X1611" s="582"/>
      <c r="Y1611" s="490" t="s">
        <v>208</v>
      </c>
      <c r="Z1611" s="531"/>
      <c r="AA1611" s="399" t="s">
        <v>113</v>
      </c>
      <c r="AB1611" s="399" t="s">
        <v>3178</v>
      </c>
      <c r="AC1611" s="617" t="s">
        <v>5851</v>
      </c>
      <c r="AD1611" s="594"/>
      <c r="AE1611" s="531"/>
      <c r="AF1611" s="531"/>
      <c r="AG1611" s="531"/>
      <c r="AH1611" s="532" t="s">
        <v>3851</v>
      </c>
      <c r="AI1611" s="531"/>
      <c r="AJ1611" s="594"/>
      <c r="AK1611" s="399"/>
      <c r="AL1611" s="605"/>
      <c r="AM1611" s="531"/>
      <c r="AN1611" s="531"/>
      <c r="AO1611" s="531"/>
      <c r="AP1611" s="531"/>
      <c r="AQ1611" s="531"/>
      <c r="AR1611" s="531"/>
      <c r="AS1611" s="531"/>
      <c r="AT1611" s="400" t="s">
        <v>5584</v>
      </c>
      <c r="AU1611" s="400" t="s">
        <v>5585</v>
      </c>
      <c r="AV1611" s="400">
        <v>40108008</v>
      </c>
      <c r="AW1611" s="541"/>
      <c r="AX1611" s="541"/>
      <c r="AY1611" s="541"/>
      <c r="AZ1611" s="541"/>
      <c r="BA1611" s="541"/>
      <c r="BB1611" s="400"/>
      <c r="BC1611" s="399" t="e">
        <f t="shared" ca="1" si="2"/>
        <v>#NAME?</v>
      </c>
      <c r="BD1611" s="400">
        <v>124940</v>
      </c>
      <c r="BE1611" s="399"/>
      <c r="BF1611" s="399"/>
      <c r="BG1611" s="540"/>
      <c r="BH1611" s="407" t="s">
        <v>5584</v>
      </c>
      <c r="BI1611" s="407">
        <v>40108008</v>
      </c>
      <c r="BJ1611" s="543"/>
      <c r="BK1611" s="46">
        <f t="shared" si="1"/>
        <v>1</v>
      </c>
      <c r="BL1611" s="46">
        <f t="shared" si="3"/>
        <v>1</v>
      </c>
      <c r="BM1611" s="46">
        <f t="shared" si="4"/>
        <v>0</v>
      </c>
      <c r="BN1611" s="46">
        <f t="shared" si="5"/>
        <v>0</v>
      </c>
    </row>
    <row r="1612" spans="1:66" ht="12.75" customHeight="1">
      <c r="A1612" s="399">
        <v>1623</v>
      </c>
      <c r="B1612" s="399" t="s">
        <v>5591</v>
      </c>
      <c r="C1612" s="399" t="e">
        <f t="shared" ca="1" si="0"/>
        <v>#NAME?</v>
      </c>
      <c r="D1612" s="400" t="s">
        <v>5590</v>
      </c>
      <c r="E1612" s="399" t="s">
        <v>180</v>
      </c>
      <c r="F1612" s="400" t="s">
        <v>5577</v>
      </c>
      <c r="G1612" s="400"/>
      <c r="H1612" s="400"/>
      <c r="I1612" s="400"/>
      <c r="J1612" s="400"/>
      <c r="K1612" s="400">
        <v>1</v>
      </c>
      <c r="L1612" s="400" t="s">
        <v>3333</v>
      </c>
      <c r="M1612" s="402" t="s">
        <v>4518</v>
      </c>
      <c r="N1612" s="400"/>
      <c r="O1612" s="428" t="s">
        <v>4417</v>
      </c>
      <c r="P1612" s="581"/>
      <c r="Q1612" s="400" t="s">
        <v>5589</v>
      </c>
      <c r="R1612" s="428"/>
      <c r="S1612" s="399"/>
      <c r="T1612" s="399"/>
      <c r="U1612" s="531"/>
      <c r="V1612" s="399"/>
      <c r="W1612" s="399" t="s">
        <v>5590</v>
      </c>
      <c r="X1612" s="400"/>
      <c r="Y1612" s="490" t="s">
        <v>208</v>
      </c>
      <c r="Z1612" s="531"/>
      <c r="AA1612" s="399" t="s">
        <v>113</v>
      </c>
      <c r="AB1612" s="399" t="s">
        <v>3178</v>
      </c>
      <c r="AC1612" s="617" t="s">
        <v>5851</v>
      </c>
      <c r="AD1612" s="594"/>
      <c r="AE1612" s="531"/>
      <c r="AF1612" s="531"/>
      <c r="AG1612" s="531"/>
      <c r="AH1612" s="532" t="s">
        <v>3851</v>
      </c>
      <c r="AI1612" s="531"/>
      <c r="AJ1612" s="594"/>
      <c r="AK1612" s="399"/>
      <c r="AL1612" s="531"/>
      <c r="AM1612" s="531"/>
      <c r="AN1612" s="531"/>
      <c r="AO1612" s="531"/>
      <c r="AP1612" s="531"/>
      <c r="AQ1612" s="531"/>
      <c r="AR1612" s="531"/>
      <c r="AS1612" s="531"/>
      <c r="AT1612" s="399"/>
      <c r="AU1612" s="399"/>
      <c r="AV1612" s="399">
        <v>16402000</v>
      </c>
      <c r="AW1612" s="541"/>
      <c r="AX1612" s="541"/>
      <c r="AY1612" s="541"/>
      <c r="AZ1612" s="541"/>
      <c r="BA1612" s="541"/>
      <c r="BB1612" s="399"/>
      <c r="BC1612" s="399" t="e">
        <f t="shared" ca="1" si="2"/>
        <v>#NAME?</v>
      </c>
      <c r="BD1612" s="399"/>
      <c r="BE1612" s="399"/>
      <c r="BF1612" s="399"/>
      <c r="BG1612" s="540"/>
      <c r="BH1612" s="407"/>
      <c r="BI1612" s="407">
        <v>16402000</v>
      </c>
      <c r="BJ1612" s="543"/>
      <c r="BK1612" s="46">
        <f t="shared" si="1"/>
        <v>1</v>
      </c>
      <c r="BL1612" s="46">
        <f t="shared" si="3"/>
        <v>1</v>
      </c>
      <c r="BM1612" s="46">
        <f t="shared" si="4"/>
        <v>0</v>
      </c>
      <c r="BN1612" s="46">
        <f t="shared" si="5"/>
        <v>0</v>
      </c>
    </row>
    <row r="1613" spans="1:66" ht="12.75" customHeight="1">
      <c r="A1613" s="399">
        <v>1624</v>
      </c>
      <c r="B1613" s="399" t="s">
        <v>5596</v>
      </c>
      <c r="C1613" s="399" t="e">
        <f t="shared" ca="1" si="0"/>
        <v>#NAME?</v>
      </c>
      <c r="D1613" s="400" t="s">
        <v>5595</v>
      </c>
      <c r="E1613" s="399" t="s">
        <v>180</v>
      </c>
      <c r="F1613" s="400" t="s">
        <v>5577</v>
      </c>
      <c r="G1613" s="400"/>
      <c r="H1613" s="400"/>
      <c r="I1613" s="400"/>
      <c r="J1613" s="400"/>
      <c r="K1613" s="400">
        <v>1</v>
      </c>
      <c r="L1613" s="400" t="s">
        <v>3333</v>
      </c>
      <c r="M1613" s="402" t="s">
        <v>4518</v>
      </c>
      <c r="N1613" s="400"/>
      <c r="O1613" s="428" t="s">
        <v>4417</v>
      </c>
      <c r="P1613" s="581"/>
      <c r="Q1613" s="400" t="s">
        <v>5594</v>
      </c>
      <c r="R1613" s="428"/>
      <c r="S1613" s="399"/>
      <c r="T1613" s="399"/>
      <c r="U1613" s="531"/>
      <c r="V1613" s="399"/>
      <c r="W1613" s="399" t="s">
        <v>5595</v>
      </c>
      <c r="X1613" s="400"/>
      <c r="Y1613" s="490" t="s">
        <v>208</v>
      </c>
      <c r="Z1613" s="531"/>
      <c r="AA1613" s="399" t="s">
        <v>113</v>
      </c>
      <c r="AB1613" s="399" t="s">
        <v>3178</v>
      </c>
      <c r="AC1613" s="617" t="s">
        <v>5851</v>
      </c>
      <c r="AD1613" s="594"/>
      <c r="AE1613" s="531"/>
      <c r="AF1613" s="531"/>
      <c r="AG1613" s="531"/>
      <c r="AH1613" s="532" t="s">
        <v>3851</v>
      </c>
      <c r="AI1613" s="531"/>
      <c r="AJ1613" s="594"/>
      <c r="AK1613" s="399"/>
      <c r="AL1613" s="605"/>
      <c r="AM1613" s="531"/>
      <c r="AN1613" s="531"/>
      <c r="AO1613" s="531"/>
      <c r="AP1613" s="531"/>
      <c r="AQ1613" s="531"/>
      <c r="AR1613" s="531"/>
      <c r="AS1613" s="531"/>
      <c r="AT1613" s="399"/>
      <c r="AU1613" s="399"/>
      <c r="AV1613" s="399"/>
      <c r="AW1613" s="541"/>
      <c r="AX1613" s="541"/>
      <c r="AY1613" s="541"/>
      <c r="AZ1613" s="541"/>
      <c r="BA1613" s="541"/>
      <c r="BB1613" s="399"/>
      <c r="BC1613" s="399" t="e">
        <f t="shared" ca="1" si="2"/>
        <v>#NAME?</v>
      </c>
      <c r="BD1613" s="399"/>
      <c r="BE1613" s="399"/>
      <c r="BF1613" s="399"/>
      <c r="BG1613" s="540"/>
      <c r="BH1613" s="407"/>
      <c r="BI1613" s="407"/>
      <c r="BJ1613" s="543"/>
      <c r="BK1613" s="46">
        <f t="shared" si="1"/>
        <v>1</v>
      </c>
      <c r="BL1613" s="46">
        <f t="shared" si="3"/>
        <v>0</v>
      </c>
      <c r="BM1613" s="46">
        <f t="shared" si="4"/>
        <v>1</v>
      </c>
      <c r="BN1613" s="46">
        <f t="shared" si="5"/>
        <v>0</v>
      </c>
    </row>
    <row r="1614" spans="1:66" ht="12.75" customHeight="1">
      <c r="A1614" s="399">
        <v>1625</v>
      </c>
      <c r="B1614" s="409" t="s">
        <v>5599</v>
      </c>
      <c r="C1614" s="399" t="str">
        <f t="shared" si="0"/>
        <v>Current medications</v>
      </c>
      <c r="D1614" s="400" t="s">
        <v>960</v>
      </c>
      <c r="E1614" s="409" t="s">
        <v>4657</v>
      </c>
      <c r="F1614" s="400" t="s">
        <v>1787</v>
      </c>
      <c r="G1614" s="400"/>
      <c r="H1614" s="400"/>
      <c r="I1614" s="400"/>
      <c r="J1614" s="400"/>
      <c r="K1614" s="400">
        <v>1</v>
      </c>
      <c r="L1614" s="400" t="s">
        <v>3333</v>
      </c>
      <c r="M1614" s="402" t="s">
        <v>961</v>
      </c>
      <c r="N1614" s="400"/>
      <c r="O1614" s="428" t="s">
        <v>4417</v>
      </c>
      <c r="P1614" s="428"/>
      <c r="Q1614" s="399" t="s">
        <v>5600</v>
      </c>
      <c r="R1614" s="428" t="s">
        <v>960</v>
      </c>
      <c r="S1614" s="399"/>
      <c r="T1614" s="399" t="s">
        <v>5601</v>
      </c>
      <c r="U1614" s="399" t="s">
        <v>3169</v>
      </c>
      <c r="V1614" s="399"/>
      <c r="W1614" s="399" t="s">
        <v>3170</v>
      </c>
      <c r="X1614" s="400"/>
      <c r="Y1614" s="399"/>
      <c r="Z1614" s="399"/>
      <c r="AA1614" s="399" t="s">
        <v>113</v>
      </c>
      <c r="AB1614" s="399" t="s">
        <v>3178</v>
      </c>
      <c r="AC1614" s="532" t="s">
        <v>4579</v>
      </c>
      <c r="AD1614" s="400"/>
      <c r="AE1614" s="399"/>
      <c r="AF1614" s="399"/>
      <c r="AG1614" s="399"/>
      <c r="AH1614" s="532" t="s">
        <v>3851</v>
      </c>
      <c r="AI1614" s="399"/>
      <c r="AJ1614" s="400"/>
      <c r="AK1614" s="399"/>
      <c r="AL1614" s="409" t="s">
        <v>4657</v>
      </c>
      <c r="AM1614" s="409" t="s">
        <v>4657</v>
      </c>
      <c r="AN1614" s="399"/>
      <c r="AO1614" s="409" t="s">
        <v>4657</v>
      </c>
      <c r="AP1614" s="399"/>
      <c r="AQ1614" s="399"/>
      <c r="AR1614" s="399"/>
      <c r="AS1614" s="399"/>
      <c r="AT1614" s="399"/>
      <c r="AU1614" s="399"/>
      <c r="AV1614" s="399"/>
      <c r="AW1614" s="411"/>
      <c r="AX1614" s="411"/>
      <c r="AY1614" s="434" t="s">
        <v>3106</v>
      </c>
      <c r="AZ1614" s="411"/>
      <c r="BA1614" s="411"/>
      <c r="BB1614" s="399"/>
      <c r="BC1614" s="399" t="str">
        <f t="shared" si="2"/>
        <v>"Current medications"-&gt;"Are they Taking any Current medications?"</v>
      </c>
      <c r="BD1614" s="399"/>
      <c r="BE1614" s="399"/>
      <c r="BF1614" s="399"/>
      <c r="BG1614" s="540"/>
      <c r="BH1614" s="407"/>
      <c r="BI1614" s="407"/>
      <c r="BJ1614" s="412"/>
      <c r="BK1614" s="46">
        <f t="shared" si="1"/>
        <v>1</v>
      </c>
      <c r="BL1614" s="46">
        <f t="shared" si="3"/>
        <v>1</v>
      </c>
      <c r="BM1614" s="46">
        <f t="shared" si="4"/>
        <v>0</v>
      </c>
      <c r="BN1614" s="46">
        <f t="shared" si="5"/>
        <v>0</v>
      </c>
    </row>
    <row r="1615" spans="1:66" ht="12.75" customHeight="1">
      <c r="A1615" s="399">
        <v>1626</v>
      </c>
      <c r="B1615" s="399" t="s">
        <v>961</v>
      </c>
      <c r="C1615" s="399" t="str">
        <f t="shared" si="0"/>
        <v>Medications</v>
      </c>
      <c r="D1615" s="400" t="s">
        <v>961</v>
      </c>
      <c r="E1615" s="399" t="s">
        <v>96</v>
      </c>
      <c r="F1615" s="400" t="s">
        <v>1787</v>
      </c>
      <c r="G1615" s="400"/>
      <c r="H1615" s="400"/>
      <c r="I1615" s="400"/>
      <c r="J1615" s="400"/>
      <c r="K1615" s="400">
        <v>1</v>
      </c>
      <c r="L1615" s="400" t="s">
        <v>3333</v>
      </c>
      <c r="M1615" s="402" t="s">
        <v>961</v>
      </c>
      <c r="N1615" s="400"/>
      <c r="O1615" s="428" t="s">
        <v>4417</v>
      </c>
      <c r="P1615" s="581"/>
      <c r="Q1615" s="400" t="s">
        <v>5603</v>
      </c>
      <c r="R1615" s="428" t="s">
        <v>961</v>
      </c>
      <c r="S1615" s="399"/>
      <c r="T1615" s="399" t="s">
        <v>5601</v>
      </c>
      <c r="U1615" s="399" t="s">
        <v>238</v>
      </c>
      <c r="V1615" s="399"/>
      <c r="W1615" s="399"/>
      <c r="X1615" s="399"/>
      <c r="Y1615" s="490" t="s">
        <v>208</v>
      </c>
      <c r="Z1615" s="531"/>
      <c r="AA1615" s="399" t="s">
        <v>113</v>
      </c>
      <c r="AB1615" s="399" t="s">
        <v>3178</v>
      </c>
      <c r="AC1615" s="532" t="s">
        <v>5604</v>
      </c>
      <c r="AD1615" s="594"/>
      <c r="AE1615" s="531"/>
      <c r="AF1615" s="531"/>
      <c r="AG1615" s="531"/>
      <c r="AH1615" s="532" t="s">
        <v>3851</v>
      </c>
      <c r="AI1615" s="531"/>
      <c r="AJ1615" s="594"/>
      <c r="AK1615" s="399"/>
      <c r="AL1615" s="633" t="s">
        <v>6073</v>
      </c>
      <c r="AM1615" s="633" t="s">
        <v>6075</v>
      </c>
      <c r="AN1615" s="531"/>
      <c r="AO1615" s="409" t="s">
        <v>3100</v>
      </c>
      <c r="AP1615" s="409" t="s">
        <v>3101</v>
      </c>
      <c r="AQ1615" s="634" t="s">
        <v>6077</v>
      </c>
      <c r="AR1615" s="531"/>
      <c r="AS1615" s="531"/>
      <c r="AT1615" s="399"/>
      <c r="AU1615" s="399"/>
      <c r="AV1615" s="399"/>
      <c r="AW1615" s="541"/>
      <c r="AX1615" s="541"/>
      <c r="AY1615" s="550" t="s">
        <v>3106</v>
      </c>
      <c r="AZ1615" s="541"/>
      <c r="BA1615" s="541"/>
      <c r="BB1615" s="399"/>
      <c r="BC1615" s="399" t="str">
        <f t="shared" si="2"/>
        <v/>
      </c>
      <c r="BD1615" s="399"/>
      <c r="BE1615" s="399"/>
      <c r="BF1615" s="399"/>
      <c r="BG1615" s="540"/>
      <c r="BH1615" s="407"/>
      <c r="BI1615" s="407"/>
      <c r="BJ1615" s="543"/>
      <c r="BK1615" s="46">
        <f t="shared" si="1"/>
        <v>1</v>
      </c>
      <c r="BL1615" s="46">
        <f t="shared" si="3"/>
        <v>1</v>
      </c>
      <c r="BM1615" s="46">
        <f t="shared" si="4"/>
        <v>0</v>
      </c>
      <c r="BN1615" s="46">
        <f t="shared" si="5"/>
        <v>0</v>
      </c>
    </row>
    <row r="1616" spans="1:66" ht="12.75" customHeight="1">
      <c r="A1616" s="399">
        <v>1627</v>
      </c>
      <c r="B1616" s="399" t="s">
        <v>5606</v>
      </c>
      <c r="C1616" s="399" t="e">
        <f t="shared" ca="1" si="0"/>
        <v>#NAME?</v>
      </c>
      <c r="D1616" s="400" t="s">
        <v>5609</v>
      </c>
      <c r="E1616" s="399" t="s">
        <v>180</v>
      </c>
      <c r="F1616" s="400" t="s">
        <v>961</v>
      </c>
      <c r="G1616" s="400"/>
      <c r="H1616" s="400"/>
      <c r="I1616" s="400"/>
      <c r="J1616" s="400"/>
      <c r="K1616" s="400">
        <v>1</v>
      </c>
      <c r="L1616" s="400" t="s">
        <v>3333</v>
      </c>
      <c r="M1616" s="402" t="s">
        <v>961</v>
      </c>
      <c r="N1616" s="402"/>
      <c r="O1616" s="428" t="s">
        <v>4417</v>
      </c>
      <c r="P1616" s="635"/>
      <c r="Q1616" s="400" t="s">
        <v>5607</v>
      </c>
      <c r="R1616" s="509"/>
      <c r="S1616" s="490"/>
      <c r="T1616" s="490" t="s">
        <v>5608</v>
      </c>
      <c r="U1616" s="490"/>
      <c r="V1616" s="489"/>
      <c r="W1616" s="489" t="s">
        <v>5609</v>
      </c>
      <c r="X1616" s="490"/>
      <c r="Y1616" s="490" t="s">
        <v>208</v>
      </c>
      <c r="Z1616" s="490"/>
      <c r="AA1616" s="399" t="s">
        <v>113</v>
      </c>
      <c r="AB1616" s="399" t="s">
        <v>3178</v>
      </c>
      <c r="AC1616" s="532" t="s">
        <v>4521</v>
      </c>
      <c r="AD1616" s="490"/>
      <c r="AE1616" s="490"/>
      <c r="AF1616" s="490"/>
      <c r="AG1616" s="491" t="s">
        <v>4489</v>
      </c>
      <c r="AH1616" s="489" t="s">
        <v>3851</v>
      </c>
      <c r="AI1616" s="490"/>
      <c r="AJ1616" s="490"/>
      <c r="AK1616" s="399"/>
      <c r="AL1616" s="531"/>
      <c r="AM1616" s="531"/>
      <c r="AN1616" s="531"/>
      <c r="AO1616" s="489"/>
      <c r="AP1616" s="489"/>
      <c r="AQ1616" s="489"/>
      <c r="AR1616" s="489"/>
      <c r="AS1616" s="489"/>
      <c r="AT1616" s="490"/>
      <c r="AU1616" s="490"/>
      <c r="AV1616" s="490"/>
      <c r="AW1616" s="541"/>
      <c r="AX1616" s="541"/>
      <c r="AY1616" s="541"/>
      <c r="AZ1616" s="541"/>
      <c r="BA1616" s="541"/>
      <c r="BB1616" s="490"/>
      <c r="BC1616" s="399" t="e">
        <f t="shared" ca="1" si="2"/>
        <v>#NAME?</v>
      </c>
      <c r="BD1616" s="490"/>
      <c r="BE1616" s="490"/>
      <c r="BF1616" s="490"/>
      <c r="BG1616" s="495"/>
      <c r="BH1616" s="407"/>
      <c r="BI1616" s="407"/>
      <c r="BJ1616" s="543"/>
      <c r="BK1616" s="46">
        <f t="shared" si="1"/>
        <v>1</v>
      </c>
      <c r="BL1616" s="46">
        <f t="shared" si="3"/>
        <v>0</v>
      </c>
      <c r="BM1616" s="46">
        <f t="shared" si="4"/>
        <v>1</v>
      </c>
      <c r="BN1616" s="46">
        <f t="shared" si="5"/>
        <v>0</v>
      </c>
    </row>
    <row r="1617" spans="1:66" ht="12.75" customHeight="1">
      <c r="A1617" s="399">
        <v>1628</v>
      </c>
      <c r="B1617" s="399" t="s">
        <v>5610</v>
      </c>
      <c r="C1617" s="399" t="e">
        <f t="shared" ca="1" si="0"/>
        <v>#NAME?</v>
      </c>
      <c r="D1617" s="400" t="s">
        <v>5613</v>
      </c>
      <c r="E1617" s="399" t="s">
        <v>180</v>
      </c>
      <c r="F1617" s="400" t="s">
        <v>961</v>
      </c>
      <c r="G1617" s="400"/>
      <c r="H1617" s="400"/>
      <c r="I1617" s="400"/>
      <c r="J1617" s="400"/>
      <c r="K1617" s="400">
        <v>1</v>
      </c>
      <c r="L1617" s="400" t="s">
        <v>3333</v>
      </c>
      <c r="M1617" s="402" t="s">
        <v>961</v>
      </c>
      <c r="N1617" s="402"/>
      <c r="O1617" s="428" t="s">
        <v>4417</v>
      </c>
      <c r="P1617" s="635"/>
      <c r="Q1617" s="400" t="s">
        <v>5611</v>
      </c>
      <c r="R1617" s="509"/>
      <c r="S1617" s="490"/>
      <c r="T1617" s="490" t="s">
        <v>5612</v>
      </c>
      <c r="U1617" s="490"/>
      <c r="V1617" s="489"/>
      <c r="W1617" s="489" t="s">
        <v>5613</v>
      </c>
      <c r="X1617" s="490"/>
      <c r="Y1617" s="490" t="s">
        <v>208</v>
      </c>
      <c r="Z1617" s="490"/>
      <c r="AA1617" s="399" t="s">
        <v>113</v>
      </c>
      <c r="AB1617" s="399" t="s">
        <v>3178</v>
      </c>
      <c r="AC1617" s="532" t="s">
        <v>4521</v>
      </c>
      <c r="AD1617" s="490"/>
      <c r="AE1617" s="490"/>
      <c r="AF1617" s="490"/>
      <c r="AG1617" s="491" t="s">
        <v>4489</v>
      </c>
      <c r="AH1617" s="489" t="s">
        <v>3851</v>
      </c>
      <c r="AI1617" s="490"/>
      <c r="AJ1617" s="490"/>
      <c r="AK1617" s="399"/>
      <c r="AL1617" s="531"/>
      <c r="AM1617" s="531"/>
      <c r="AN1617" s="531"/>
      <c r="AO1617" s="489"/>
      <c r="AP1617" s="489"/>
      <c r="AQ1617" s="489"/>
      <c r="AR1617" s="489"/>
      <c r="AS1617" s="489"/>
      <c r="AT1617" s="490"/>
      <c r="AU1617" s="490"/>
      <c r="AV1617" s="490"/>
      <c r="AW1617" s="541"/>
      <c r="AX1617" s="541"/>
      <c r="AY1617" s="541"/>
      <c r="AZ1617" s="541"/>
      <c r="BA1617" s="541"/>
      <c r="BB1617" s="490"/>
      <c r="BC1617" s="399" t="e">
        <f t="shared" ca="1" si="2"/>
        <v>#NAME?</v>
      </c>
      <c r="BD1617" s="490"/>
      <c r="BE1617" s="490"/>
      <c r="BF1617" s="490"/>
      <c r="BG1617" s="495"/>
      <c r="BH1617" s="407"/>
      <c r="BI1617" s="407"/>
      <c r="BJ1617" s="543"/>
      <c r="BK1617" s="46">
        <f t="shared" si="1"/>
        <v>1</v>
      </c>
      <c r="BL1617" s="46">
        <f t="shared" si="3"/>
        <v>0</v>
      </c>
      <c r="BM1617" s="46">
        <f t="shared" si="4"/>
        <v>1</v>
      </c>
      <c r="BN1617" s="46">
        <f t="shared" si="5"/>
        <v>0</v>
      </c>
    </row>
    <row r="1618" spans="1:66" ht="12.75" customHeight="1">
      <c r="A1618" s="399">
        <v>1629</v>
      </c>
      <c r="B1618" s="399" t="s">
        <v>5615</v>
      </c>
      <c r="C1618" s="399" t="e">
        <f t="shared" ca="1" si="0"/>
        <v>#NAME?</v>
      </c>
      <c r="D1618" s="400" t="s">
        <v>5618</v>
      </c>
      <c r="E1618" s="399" t="s">
        <v>180</v>
      </c>
      <c r="F1618" s="400" t="s">
        <v>961</v>
      </c>
      <c r="G1618" s="400"/>
      <c r="H1618" s="400"/>
      <c r="I1618" s="400"/>
      <c r="J1618" s="400"/>
      <c r="K1618" s="400">
        <v>1</v>
      </c>
      <c r="L1618" s="400" t="s">
        <v>3333</v>
      </c>
      <c r="M1618" s="402" t="s">
        <v>961</v>
      </c>
      <c r="N1618" s="402"/>
      <c r="O1618" s="428" t="s">
        <v>4417</v>
      </c>
      <c r="P1618" s="635"/>
      <c r="Q1618" s="400" t="s">
        <v>5616</v>
      </c>
      <c r="R1618" s="509"/>
      <c r="S1618" s="490"/>
      <c r="T1618" s="490" t="s">
        <v>5617</v>
      </c>
      <c r="U1618" s="490"/>
      <c r="V1618" s="489"/>
      <c r="W1618" s="489" t="s">
        <v>5618</v>
      </c>
      <c r="X1618" s="490"/>
      <c r="Y1618" s="490" t="s">
        <v>208</v>
      </c>
      <c r="Z1618" s="490"/>
      <c r="AA1618" s="399" t="s">
        <v>113</v>
      </c>
      <c r="AB1618" s="399" t="s">
        <v>3178</v>
      </c>
      <c r="AC1618" s="532" t="s">
        <v>4521</v>
      </c>
      <c r="AD1618" s="490"/>
      <c r="AE1618" s="490"/>
      <c r="AF1618" s="490"/>
      <c r="AG1618" s="491" t="s">
        <v>4489</v>
      </c>
      <c r="AH1618" s="489" t="s">
        <v>3851</v>
      </c>
      <c r="AI1618" s="490"/>
      <c r="AJ1618" s="490"/>
      <c r="AK1618" s="399"/>
      <c r="AL1618" s="531"/>
      <c r="AM1618" s="531"/>
      <c r="AN1618" s="531"/>
      <c r="AO1618" s="489"/>
      <c r="AP1618" s="489"/>
      <c r="AQ1618" s="489"/>
      <c r="AR1618" s="489"/>
      <c r="AS1618" s="489"/>
      <c r="AT1618" s="490"/>
      <c r="AU1618" s="490"/>
      <c r="AV1618" s="490"/>
      <c r="AW1618" s="541"/>
      <c r="AX1618" s="541"/>
      <c r="AY1618" s="541"/>
      <c r="AZ1618" s="541"/>
      <c r="BA1618" s="541"/>
      <c r="BB1618" s="490"/>
      <c r="BC1618" s="399" t="e">
        <f t="shared" ca="1" si="2"/>
        <v>#NAME?</v>
      </c>
      <c r="BD1618" s="490"/>
      <c r="BE1618" s="490"/>
      <c r="BF1618" s="490"/>
      <c r="BG1618" s="495"/>
      <c r="BH1618" s="407"/>
      <c r="BI1618" s="407"/>
      <c r="BJ1618" s="543"/>
      <c r="BK1618" s="46">
        <f t="shared" si="1"/>
        <v>1</v>
      </c>
      <c r="BL1618" s="46">
        <f t="shared" si="3"/>
        <v>0</v>
      </c>
      <c r="BM1618" s="46">
        <f t="shared" si="4"/>
        <v>1</v>
      </c>
      <c r="BN1618" s="46">
        <f t="shared" si="5"/>
        <v>0</v>
      </c>
    </row>
    <row r="1619" spans="1:66" ht="12.75" customHeight="1">
      <c r="A1619" s="399">
        <v>1630</v>
      </c>
      <c r="B1619" s="399" t="s">
        <v>5622</v>
      </c>
      <c r="C1619" s="399" t="e">
        <f t="shared" ca="1" si="0"/>
        <v>#NAME?</v>
      </c>
      <c r="D1619" s="400" t="s">
        <v>5619</v>
      </c>
      <c r="E1619" s="399" t="s">
        <v>180</v>
      </c>
      <c r="F1619" s="400" t="s">
        <v>961</v>
      </c>
      <c r="G1619" s="400"/>
      <c r="H1619" s="400"/>
      <c r="I1619" s="400"/>
      <c r="J1619" s="400"/>
      <c r="K1619" s="400">
        <v>1</v>
      </c>
      <c r="L1619" s="400" t="s">
        <v>3333</v>
      </c>
      <c r="M1619" s="402" t="s">
        <v>961</v>
      </c>
      <c r="N1619" s="402"/>
      <c r="O1619" s="428" t="s">
        <v>4417</v>
      </c>
      <c r="P1619" s="581"/>
      <c r="Q1619" s="400" t="s">
        <v>5620</v>
      </c>
      <c r="R1619" s="428" t="s">
        <v>5619</v>
      </c>
      <c r="S1619" s="399"/>
      <c r="T1619" s="399" t="s">
        <v>5608</v>
      </c>
      <c r="U1619" s="531"/>
      <c r="V1619" s="399"/>
      <c r="W1619" s="399"/>
      <c r="X1619" s="399"/>
      <c r="Y1619" s="490" t="s">
        <v>208</v>
      </c>
      <c r="Z1619" s="531"/>
      <c r="AA1619" s="399" t="s">
        <v>113</v>
      </c>
      <c r="AB1619" s="399" t="s">
        <v>3178</v>
      </c>
      <c r="AC1619" s="532" t="s">
        <v>6081</v>
      </c>
      <c r="AD1619" s="594"/>
      <c r="AE1619" s="531"/>
      <c r="AF1619" s="531"/>
      <c r="AG1619" s="491" t="s">
        <v>4489</v>
      </c>
      <c r="AH1619" s="491"/>
      <c r="AI1619" s="531"/>
      <c r="AJ1619" s="594"/>
      <c r="AK1619" s="399"/>
      <c r="AL1619" s="531"/>
      <c r="AM1619" s="531"/>
      <c r="AN1619" s="531"/>
      <c r="AO1619" s="489"/>
      <c r="AP1619" s="489"/>
      <c r="AQ1619" s="531"/>
      <c r="AR1619" s="531"/>
      <c r="AS1619" s="531"/>
      <c r="AT1619" s="399"/>
      <c r="AU1619" s="399"/>
      <c r="AV1619" s="399"/>
      <c r="AW1619" s="541"/>
      <c r="AX1619" s="541"/>
      <c r="AY1619" s="541"/>
      <c r="AZ1619" s="541"/>
      <c r="BA1619" s="541"/>
      <c r="BB1619" s="399"/>
      <c r="BC1619" s="399" t="e">
        <f t="shared" ca="1" si="2"/>
        <v>#NAME?</v>
      </c>
      <c r="BD1619" s="399"/>
      <c r="BE1619" s="399"/>
      <c r="BF1619" s="399"/>
      <c r="BG1619" s="540"/>
      <c r="BH1619" s="407"/>
      <c r="BI1619" s="407"/>
      <c r="BJ1619" s="543"/>
      <c r="BK1619" s="46">
        <f t="shared" si="1"/>
        <v>1</v>
      </c>
      <c r="BL1619" s="46">
        <f t="shared" si="3"/>
        <v>0</v>
      </c>
      <c r="BM1619" s="46">
        <f t="shared" si="4"/>
        <v>1</v>
      </c>
      <c r="BN1619" s="46">
        <f t="shared" si="5"/>
        <v>0</v>
      </c>
    </row>
    <row r="1620" spans="1:66" ht="12.75" customHeight="1">
      <c r="A1620" s="399">
        <v>1631</v>
      </c>
      <c r="B1620" s="399" t="s">
        <v>5625</v>
      </c>
      <c r="C1620" s="399" t="e">
        <f t="shared" ca="1" si="0"/>
        <v>#NAME?</v>
      </c>
      <c r="D1620" s="400" t="s">
        <v>5623</v>
      </c>
      <c r="E1620" s="399" t="s">
        <v>180</v>
      </c>
      <c r="F1620" s="400" t="s">
        <v>961</v>
      </c>
      <c r="G1620" s="400"/>
      <c r="H1620" s="400"/>
      <c r="I1620" s="400"/>
      <c r="J1620" s="400"/>
      <c r="K1620" s="400">
        <v>1</v>
      </c>
      <c r="L1620" s="400" t="s">
        <v>3333</v>
      </c>
      <c r="M1620" s="402" t="s">
        <v>961</v>
      </c>
      <c r="N1620" s="402"/>
      <c r="O1620" s="428" t="s">
        <v>4417</v>
      </c>
      <c r="P1620" s="428"/>
      <c r="Q1620" s="400" t="s">
        <v>5624</v>
      </c>
      <c r="R1620" s="428"/>
      <c r="S1620" s="399"/>
      <c r="T1620" s="399" t="s">
        <v>6082</v>
      </c>
      <c r="U1620" s="399"/>
      <c r="V1620" s="399"/>
      <c r="W1620" s="399" t="s">
        <v>5623</v>
      </c>
      <c r="X1620" s="400"/>
      <c r="Y1620" s="490" t="s">
        <v>208</v>
      </c>
      <c r="Z1620" s="399"/>
      <c r="AA1620" s="399" t="s">
        <v>113</v>
      </c>
      <c r="AB1620" s="399" t="s">
        <v>3178</v>
      </c>
      <c r="AC1620" s="532" t="s">
        <v>4521</v>
      </c>
      <c r="AD1620" s="400"/>
      <c r="AE1620" s="399"/>
      <c r="AF1620" s="399"/>
      <c r="AG1620" s="491" t="s">
        <v>4489</v>
      </c>
      <c r="AH1620" s="491"/>
      <c r="AI1620" s="399"/>
      <c r="AJ1620" s="400"/>
      <c r="AK1620" s="399"/>
      <c r="AL1620" s="531"/>
      <c r="AM1620" s="399"/>
      <c r="AN1620" s="399"/>
      <c r="AO1620" s="489"/>
      <c r="AP1620" s="489"/>
      <c r="AQ1620" s="399"/>
      <c r="AR1620" s="399"/>
      <c r="AS1620" s="399"/>
      <c r="AT1620" s="399"/>
      <c r="AU1620" s="399"/>
      <c r="AV1620" s="399"/>
      <c r="AW1620" s="541"/>
      <c r="AX1620" s="541"/>
      <c r="AY1620" s="541"/>
      <c r="AZ1620" s="541"/>
      <c r="BA1620" s="541"/>
      <c r="BB1620" s="399"/>
      <c r="BC1620" s="399" t="e">
        <f t="shared" ca="1" si="2"/>
        <v>#NAME?</v>
      </c>
      <c r="BD1620" s="399"/>
      <c r="BE1620" s="399"/>
      <c r="BF1620" s="399"/>
      <c r="BG1620" s="540"/>
      <c r="BH1620" s="407"/>
      <c r="BI1620" s="407"/>
      <c r="BJ1620" s="543"/>
      <c r="BK1620" s="46">
        <f t="shared" si="1"/>
        <v>1</v>
      </c>
      <c r="BL1620" s="46">
        <f t="shared" si="3"/>
        <v>0</v>
      </c>
      <c r="BM1620" s="46">
        <f t="shared" si="4"/>
        <v>1</v>
      </c>
      <c r="BN1620" s="46">
        <f t="shared" si="5"/>
        <v>0</v>
      </c>
    </row>
    <row r="1621" spans="1:66" ht="12.75" customHeight="1">
      <c r="A1621" s="399">
        <v>1632</v>
      </c>
      <c r="B1621" s="399" t="s">
        <v>5631</v>
      </c>
      <c r="C1621" s="399" t="e">
        <f t="shared" ca="1" si="0"/>
        <v>#NAME?</v>
      </c>
      <c r="D1621" s="400" t="s">
        <v>5629</v>
      </c>
      <c r="E1621" s="399" t="s">
        <v>180</v>
      </c>
      <c r="F1621" s="400" t="s">
        <v>961</v>
      </c>
      <c r="G1621" s="400"/>
      <c r="H1621" s="400"/>
      <c r="I1621" s="400"/>
      <c r="J1621" s="400"/>
      <c r="K1621" s="400">
        <v>1</v>
      </c>
      <c r="L1621" s="400" t="s">
        <v>3333</v>
      </c>
      <c r="M1621" s="402" t="s">
        <v>961</v>
      </c>
      <c r="N1621" s="402"/>
      <c r="O1621" s="428" t="s">
        <v>4417</v>
      </c>
      <c r="P1621" s="428"/>
      <c r="Q1621" s="400" t="s">
        <v>5630</v>
      </c>
      <c r="R1621" s="428"/>
      <c r="S1621" s="399"/>
      <c r="T1621" s="399" t="s">
        <v>6086</v>
      </c>
      <c r="U1621" s="399"/>
      <c r="V1621" s="399"/>
      <c r="W1621" s="399" t="s">
        <v>5629</v>
      </c>
      <c r="X1621" s="400"/>
      <c r="Y1621" s="490" t="s">
        <v>208</v>
      </c>
      <c r="Z1621" s="399"/>
      <c r="AA1621" s="399" t="s">
        <v>113</v>
      </c>
      <c r="AB1621" s="399" t="s">
        <v>3178</v>
      </c>
      <c r="AC1621" s="532" t="s">
        <v>4521</v>
      </c>
      <c r="AD1621" s="400"/>
      <c r="AE1621" s="399"/>
      <c r="AF1621" s="399"/>
      <c r="AG1621" s="491" t="s">
        <v>4489</v>
      </c>
      <c r="AH1621" s="491"/>
      <c r="AI1621" s="399"/>
      <c r="AJ1621" s="400"/>
      <c r="AK1621" s="399"/>
      <c r="AL1621" s="531"/>
      <c r="AM1621" s="399"/>
      <c r="AN1621" s="399"/>
      <c r="AO1621" s="489"/>
      <c r="AP1621" s="489"/>
      <c r="AQ1621" s="399"/>
      <c r="AR1621" s="399"/>
      <c r="AS1621" s="399"/>
      <c r="AT1621" s="399"/>
      <c r="AU1621" s="399"/>
      <c r="AV1621" s="517">
        <v>40820003</v>
      </c>
      <c r="AW1621" s="541"/>
      <c r="AX1621" s="541"/>
      <c r="AY1621" s="541"/>
      <c r="AZ1621" s="541"/>
      <c r="BA1621" s="541"/>
      <c r="BB1621" s="517"/>
      <c r="BC1621" s="399" t="e">
        <f t="shared" ca="1" si="2"/>
        <v>#NAME?</v>
      </c>
      <c r="BD1621" s="517">
        <v>72822</v>
      </c>
      <c r="BE1621" s="399"/>
      <c r="BF1621" s="399"/>
      <c r="BG1621" s="542" t="s">
        <v>5635</v>
      </c>
      <c r="BH1621" s="407"/>
      <c r="BI1621" s="546">
        <v>40820003</v>
      </c>
      <c r="BJ1621" s="543"/>
      <c r="BK1621" s="46">
        <f t="shared" si="1"/>
        <v>1</v>
      </c>
      <c r="BL1621" s="46">
        <f t="shared" si="3"/>
        <v>1</v>
      </c>
      <c r="BM1621" s="46">
        <f t="shared" si="4"/>
        <v>0</v>
      </c>
      <c r="BN1621" s="46">
        <f t="shared" si="5"/>
        <v>0</v>
      </c>
    </row>
    <row r="1622" spans="1:66" ht="12.75" customHeight="1">
      <c r="A1622" s="399">
        <v>1633</v>
      </c>
      <c r="B1622" s="399" t="s">
        <v>5638</v>
      </c>
      <c r="C1622" s="399" t="e">
        <f t="shared" ca="1" si="0"/>
        <v>#NAME?</v>
      </c>
      <c r="D1622" s="400" t="s">
        <v>5636</v>
      </c>
      <c r="E1622" s="399" t="s">
        <v>180</v>
      </c>
      <c r="F1622" s="400" t="s">
        <v>961</v>
      </c>
      <c r="G1622" s="400"/>
      <c r="H1622" s="400"/>
      <c r="I1622" s="400"/>
      <c r="J1622" s="400"/>
      <c r="K1622" s="400">
        <v>1</v>
      </c>
      <c r="L1622" s="400" t="s">
        <v>3333</v>
      </c>
      <c r="M1622" s="402" t="s">
        <v>961</v>
      </c>
      <c r="N1622" s="402"/>
      <c r="O1622" s="428" t="s">
        <v>4417</v>
      </c>
      <c r="P1622" s="428"/>
      <c r="Q1622" s="400" t="s">
        <v>5637</v>
      </c>
      <c r="R1622" s="428"/>
      <c r="S1622" s="399"/>
      <c r="T1622" s="399" t="s">
        <v>6088</v>
      </c>
      <c r="U1622" s="399"/>
      <c r="V1622" s="399"/>
      <c r="W1622" s="399" t="s">
        <v>5636</v>
      </c>
      <c r="X1622" s="400"/>
      <c r="Y1622" s="490" t="s">
        <v>208</v>
      </c>
      <c r="Z1622" s="399"/>
      <c r="AA1622" s="399" t="s">
        <v>113</v>
      </c>
      <c r="AB1622" s="399" t="s">
        <v>3178</v>
      </c>
      <c r="AC1622" s="532" t="s">
        <v>4521</v>
      </c>
      <c r="AD1622" s="400"/>
      <c r="AE1622" s="399"/>
      <c r="AF1622" s="399"/>
      <c r="AG1622" s="491" t="s">
        <v>4489</v>
      </c>
      <c r="AH1622" s="491"/>
      <c r="AI1622" s="399"/>
      <c r="AJ1622" s="400"/>
      <c r="AK1622" s="399"/>
      <c r="AL1622" s="531"/>
      <c r="AM1622" s="399"/>
      <c r="AN1622" s="399"/>
      <c r="AO1622" s="489"/>
      <c r="AP1622" s="489"/>
      <c r="AQ1622" s="399"/>
      <c r="AR1622" s="399"/>
      <c r="AS1622" s="399"/>
      <c r="AT1622" s="399"/>
      <c r="AU1622" s="399"/>
      <c r="AV1622" s="517">
        <v>116511002</v>
      </c>
      <c r="AW1622" s="541"/>
      <c r="AX1622" s="541"/>
      <c r="AY1622" s="541"/>
      <c r="AZ1622" s="541"/>
      <c r="BA1622" s="541"/>
      <c r="BB1622" s="517"/>
      <c r="BC1622" s="399" t="e">
        <f t="shared" ca="1" si="2"/>
        <v>#NAME?</v>
      </c>
      <c r="BD1622" s="517">
        <v>81294</v>
      </c>
      <c r="BE1622" s="399"/>
      <c r="BF1622" s="399"/>
      <c r="BG1622" s="542" t="s">
        <v>5643</v>
      </c>
      <c r="BH1622" s="407"/>
      <c r="BI1622" s="546">
        <v>116511002</v>
      </c>
      <c r="BJ1622" s="543"/>
      <c r="BK1622" s="46">
        <f t="shared" si="1"/>
        <v>1</v>
      </c>
      <c r="BL1622" s="46">
        <f t="shared" si="3"/>
        <v>1</v>
      </c>
      <c r="BM1622" s="46">
        <f t="shared" si="4"/>
        <v>0</v>
      </c>
      <c r="BN1622" s="46">
        <f t="shared" si="5"/>
        <v>0</v>
      </c>
    </row>
    <row r="1623" spans="1:66" ht="12.75" customHeight="1">
      <c r="A1623" s="399">
        <v>1634</v>
      </c>
      <c r="B1623" s="399" t="s">
        <v>5646</v>
      </c>
      <c r="C1623" s="399" t="e">
        <f t="shared" ca="1" si="0"/>
        <v>#NAME?</v>
      </c>
      <c r="D1623" s="400" t="s">
        <v>5644</v>
      </c>
      <c r="E1623" s="399" t="s">
        <v>180</v>
      </c>
      <c r="F1623" s="400" t="s">
        <v>961</v>
      </c>
      <c r="G1623" s="400"/>
      <c r="H1623" s="400"/>
      <c r="I1623" s="400"/>
      <c r="J1623" s="400"/>
      <c r="K1623" s="400">
        <v>1</v>
      </c>
      <c r="L1623" s="400" t="s">
        <v>3333</v>
      </c>
      <c r="M1623" s="402" t="s">
        <v>961</v>
      </c>
      <c r="N1623" s="402"/>
      <c r="O1623" s="428" t="s">
        <v>4417</v>
      </c>
      <c r="P1623" s="428"/>
      <c r="Q1623" s="400" t="s">
        <v>5645</v>
      </c>
      <c r="R1623" s="428"/>
      <c r="S1623" s="399"/>
      <c r="T1623" s="399" t="s">
        <v>6092</v>
      </c>
      <c r="U1623" s="399"/>
      <c r="V1623" s="399"/>
      <c r="W1623" s="399" t="s">
        <v>5644</v>
      </c>
      <c r="X1623" s="400"/>
      <c r="Y1623" s="490" t="s">
        <v>208</v>
      </c>
      <c r="Z1623" s="399"/>
      <c r="AA1623" s="399" t="s">
        <v>113</v>
      </c>
      <c r="AB1623" s="399" t="s">
        <v>3178</v>
      </c>
      <c r="AC1623" s="532" t="s">
        <v>4521</v>
      </c>
      <c r="AD1623" s="400"/>
      <c r="AE1623" s="399"/>
      <c r="AF1623" s="399"/>
      <c r="AG1623" s="491" t="s">
        <v>4489</v>
      </c>
      <c r="AH1623" s="491"/>
      <c r="AI1623" s="399"/>
      <c r="AJ1623" s="400"/>
      <c r="AK1623" s="399"/>
      <c r="AL1623" s="531"/>
      <c r="AM1623" s="399"/>
      <c r="AN1623" s="399"/>
      <c r="AO1623" s="489"/>
      <c r="AP1623" s="489"/>
      <c r="AQ1623" s="399"/>
      <c r="AR1623" s="399"/>
      <c r="AS1623" s="399"/>
      <c r="AT1623" s="399"/>
      <c r="AU1623" s="399"/>
      <c r="AV1623" s="517">
        <v>40556005</v>
      </c>
      <c r="AW1623" s="541"/>
      <c r="AX1623" s="541"/>
      <c r="AY1623" s="541"/>
      <c r="AZ1623" s="541"/>
      <c r="BA1623" s="541"/>
      <c r="BB1623" s="517"/>
      <c r="BC1623" s="399" t="e">
        <f t="shared" ca="1" si="2"/>
        <v>#NAME?</v>
      </c>
      <c r="BD1623" s="517">
        <v>82023</v>
      </c>
      <c r="BE1623" s="399"/>
      <c r="BF1623" s="399"/>
      <c r="BG1623" s="542" t="s">
        <v>5650</v>
      </c>
      <c r="BH1623" s="407"/>
      <c r="BI1623" s="546">
        <v>40556005</v>
      </c>
      <c r="BJ1623" s="543"/>
      <c r="BK1623" s="46">
        <f t="shared" si="1"/>
        <v>1</v>
      </c>
      <c r="BL1623" s="46">
        <f t="shared" si="3"/>
        <v>1</v>
      </c>
      <c r="BM1623" s="46">
        <f t="shared" si="4"/>
        <v>0</v>
      </c>
      <c r="BN1623" s="46">
        <f t="shared" si="5"/>
        <v>0</v>
      </c>
    </row>
    <row r="1624" spans="1:66" ht="12.75" customHeight="1">
      <c r="A1624" s="399">
        <v>1635</v>
      </c>
      <c r="B1624" s="399" t="s">
        <v>5653</v>
      </c>
      <c r="C1624" s="399" t="e">
        <f t="shared" ca="1" si="0"/>
        <v>#NAME?</v>
      </c>
      <c r="D1624" s="400" t="s">
        <v>5651</v>
      </c>
      <c r="E1624" s="399" t="s">
        <v>180</v>
      </c>
      <c r="F1624" s="400" t="s">
        <v>961</v>
      </c>
      <c r="G1624" s="400"/>
      <c r="H1624" s="400"/>
      <c r="I1624" s="400"/>
      <c r="J1624" s="400"/>
      <c r="K1624" s="400">
        <v>1</v>
      </c>
      <c r="L1624" s="400" t="s">
        <v>3333</v>
      </c>
      <c r="M1624" s="402" t="s">
        <v>961</v>
      </c>
      <c r="N1624" s="402"/>
      <c r="O1624" s="428" t="s">
        <v>4417</v>
      </c>
      <c r="P1624" s="428"/>
      <c r="Q1624" s="400" t="s">
        <v>5652</v>
      </c>
      <c r="R1624" s="428"/>
      <c r="S1624" s="399"/>
      <c r="T1624" s="399" t="s">
        <v>6093</v>
      </c>
      <c r="U1624" s="399"/>
      <c r="V1624" s="399"/>
      <c r="W1624" s="399" t="s">
        <v>5651</v>
      </c>
      <c r="X1624" s="400"/>
      <c r="Y1624" s="490" t="s">
        <v>208</v>
      </c>
      <c r="Z1624" s="399"/>
      <c r="AA1624" s="399" t="s">
        <v>113</v>
      </c>
      <c r="AB1624" s="399" t="s">
        <v>3178</v>
      </c>
      <c r="AC1624" s="532" t="s">
        <v>4521</v>
      </c>
      <c r="AD1624" s="400"/>
      <c r="AE1624" s="399"/>
      <c r="AF1624" s="399"/>
      <c r="AG1624" s="491" t="s">
        <v>4489</v>
      </c>
      <c r="AH1624" s="491"/>
      <c r="AI1624" s="399"/>
      <c r="AJ1624" s="400"/>
      <c r="AK1624" s="399"/>
      <c r="AL1624" s="531"/>
      <c r="AM1624" s="399"/>
      <c r="AN1624" s="399"/>
      <c r="AO1624" s="489"/>
      <c r="AP1624" s="489"/>
      <c r="AQ1624" s="399"/>
      <c r="AR1624" s="399"/>
      <c r="AS1624" s="399"/>
      <c r="AT1624" s="399"/>
      <c r="AU1624" s="399"/>
      <c r="AV1624" s="517">
        <v>47120002</v>
      </c>
      <c r="AW1624" s="541"/>
      <c r="AX1624" s="541"/>
      <c r="AY1624" s="541"/>
      <c r="AZ1624" s="541"/>
      <c r="BA1624" s="541"/>
      <c r="BB1624" s="517"/>
      <c r="BC1624" s="399" t="e">
        <f t="shared" ca="1" si="2"/>
        <v>#NAME?</v>
      </c>
      <c r="BD1624" s="517">
        <v>82534</v>
      </c>
      <c r="BE1624" s="399"/>
      <c r="BF1624" s="399"/>
      <c r="BG1624" s="542" t="s">
        <v>5657</v>
      </c>
      <c r="BH1624" s="407"/>
      <c r="BI1624" s="546">
        <v>47120002</v>
      </c>
      <c r="BJ1624" s="543"/>
      <c r="BK1624" s="46">
        <f t="shared" si="1"/>
        <v>1</v>
      </c>
      <c r="BL1624" s="46">
        <f t="shared" si="3"/>
        <v>1</v>
      </c>
      <c r="BM1624" s="46">
        <f t="shared" si="4"/>
        <v>0</v>
      </c>
      <c r="BN1624" s="46">
        <f t="shared" si="5"/>
        <v>0</v>
      </c>
    </row>
    <row r="1625" spans="1:66" ht="12.75" customHeight="1">
      <c r="A1625" s="399">
        <v>1636</v>
      </c>
      <c r="B1625" s="399" t="s">
        <v>5660</v>
      </c>
      <c r="C1625" s="399" t="e">
        <f t="shared" ca="1" si="0"/>
        <v>#NAME?</v>
      </c>
      <c r="D1625" s="400" t="s">
        <v>5658</v>
      </c>
      <c r="E1625" s="399" t="s">
        <v>180</v>
      </c>
      <c r="F1625" s="400" t="s">
        <v>961</v>
      </c>
      <c r="G1625" s="400"/>
      <c r="H1625" s="400"/>
      <c r="I1625" s="400"/>
      <c r="J1625" s="400"/>
      <c r="K1625" s="400">
        <v>1</v>
      </c>
      <c r="L1625" s="400" t="s">
        <v>3333</v>
      </c>
      <c r="M1625" s="402" t="s">
        <v>961</v>
      </c>
      <c r="N1625" s="402"/>
      <c r="O1625" s="428" t="s">
        <v>4417</v>
      </c>
      <c r="P1625" s="428"/>
      <c r="Q1625" s="400" t="s">
        <v>5659</v>
      </c>
      <c r="R1625" s="428"/>
      <c r="S1625" s="399"/>
      <c r="T1625" s="399" t="s">
        <v>6101</v>
      </c>
      <c r="U1625" s="399"/>
      <c r="V1625" s="399"/>
      <c r="W1625" s="399" t="s">
        <v>5658</v>
      </c>
      <c r="X1625" s="400"/>
      <c r="Y1625" s="490" t="s">
        <v>208</v>
      </c>
      <c r="Z1625" s="399"/>
      <c r="AA1625" s="399" t="s">
        <v>113</v>
      </c>
      <c r="AB1625" s="399" t="s">
        <v>3178</v>
      </c>
      <c r="AC1625" s="532" t="s">
        <v>4521</v>
      </c>
      <c r="AD1625" s="400"/>
      <c r="AE1625" s="399"/>
      <c r="AF1625" s="399"/>
      <c r="AG1625" s="491" t="s">
        <v>4489</v>
      </c>
      <c r="AH1625" s="491"/>
      <c r="AI1625" s="399"/>
      <c r="AJ1625" s="400"/>
      <c r="AK1625" s="399"/>
      <c r="AL1625" s="531"/>
      <c r="AM1625" s="399"/>
      <c r="AN1625" s="399"/>
      <c r="AO1625" s="489"/>
      <c r="AP1625" s="489"/>
      <c r="AQ1625" s="399"/>
      <c r="AR1625" s="399"/>
      <c r="AS1625" s="399"/>
      <c r="AT1625" s="399"/>
      <c r="AU1625" s="399"/>
      <c r="AV1625" s="517">
        <v>108400009</v>
      </c>
      <c r="AW1625" s="541"/>
      <c r="AX1625" s="541"/>
      <c r="AY1625" s="541"/>
      <c r="AZ1625" s="541"/>
      <c r="BA1625" s="541"/>
      <c r="BB1625" s="517"/>
      <c r="BC1625" s="399" t="e">
        <f t="shared" ca="1" si="2"/>
        <v>#NAME?</v>
      </c>
      <c r="BD1625" s="517">
        <v>85235</v>
      </c>
      <c r="BE1625" s="399"/>
      <c r="BF1625" s="399"/>
      <c r="BG1625" s="542" t="s">
        <v>5664</v>
      </c>
      <c r="BH1625" s="407"/>
      <c r="BI1625" s="546">
        <v>108400009</v>
      </c>
      <c r="BJ1625" s="543"/>
      <c r="BK1625" s="46">
        <f t="shared" si="1"/>
        <v>1</v>
      </c>
      <c r="BL1625" s="46">
        <f t="shared" si="3"/>
        <v>1</v>
      </c>
      <c r="BM1625" s="46">
        <f t="shared" si="4"/>
        <v>0</v>
      </c>
      <c r="BN1625" s="46">
        <f t="shared" si="5"/>
        <v>0</v>
      </c>
    </row>
    <row r="1626" spans="1:66" ht="12.75" customHeight="1">
      <c r="A1626" s="399">
        <v>1637</v>
      </c>
      <c r="B1626" s="399" t="s">
        <v>5667</v>
      </c>
      <c r="C1626" s="399" t="e">
        <f t="shared" ca="1" si="0"/>
        <v>#NAME?</v>
      </c>
      <c r="D1626" s="400" t="s">
        <v>5665</v>
      </c>
      <c r="E1626" s="399" t="s">
        <v>180</v>
      </c>
      <c r="F1626" s="400" t="s">
        <v>961</v>
      </c>
      <c r="G1626" s="400"/>
      <c r="H1626" s="400"/>
      <c r="I1626" s="400"/>
      <c r="J1626" s="400"/>
      <c r="K1626" s="400">
        <v>1</v>
      </c>
      <c r="L1626" s="400" t="s">
        <v>3333</v>
      </c>
      <c r="M1626" s="402" t="s">
        <v>961</v>
      </c>
      <c r="N1626" s="402"/>
      <c r="O1626" s="428" t="s">
        <v>4417</v>
      </c>
      <c r="P1626" s="581"/>
      <c r="Q1626" s="400" t="s">
        <v>5666</v>
      </c>
      <c r="R1626" s="428"/>
      <c r="S1626" s="399"/>
      <c r="T1626" s="399" t="s">
        <v>6105</v>
      </c>
      <c r="U1626" s="531"/>
      <c r="V1626" s="399"/>
      <c r="W1626" s="399" t="s">
        <v>5665</v>
      </c>
      <c r="X1626" s="400"/>
      <c r="Y1626" s="490" t="s">
        <v>208</v>
      </c>
      <c r="Z1626" s="531"/>
      <c r="AA1626" s="399" t="s">
        <v>113</v>
      </c>
      <c r="AB1626" s="399" t="s">
        <v>3178</v>
      </c>
      <c r="AC1626" s="532" t="s">
        <v>4521</v>
      </c>
      <c r="AD1626" s="594"/>
      <c r="AE1626" s="531"/>
      <c r="AF1626" s="531"/>
      <c r="AG1626" s="491" t="s">
        <v>4489</v>
      </c>
      <c r="AH1626" s="491"/>
      <c r="AI1626" s="531"/>
      <c r="AJ1626" s="594"/>
      <c r="AK1626" s="399"/>
      <c r="AL1626" s="531"/>
      <c r="AM1626" s="399"/>
      <c r="AN1626" s="399"/>
      <c r="AO1626" s="489"/>
      <c r="AP1626" s="489"/>
      <c r="AQ1626" s="531"/>
      <c r="AR1626" s="531"/>
      <c r="AS1626" s="531"/>
      <c r="AT1626" s="399"/>
      <c r="AU1626" s="399"/>
      <c r="AV1626" s="517">
        <v>96195007</v>
      </c>
      <c r="AW1626" s="541"/>
      <c r="AX1626" s="541"/>
      <c r="AY1626" s="541"/>
      <c r="AZ1626" s="541"/>
      <c r="BA1626" s="541"/>
      <c r="BB1626" s="517"/>
      <c r="BC1626" s="399" t="e">
        <f t="shared" ca="1" si="2"/>
        <v>#NAME?</v>
      </c>
      <c r="BD1626" s="517">
        <v>78644</v>
      </c>
      <c r="BE1626" s="399"/>
      <c r="BF1626" s="399"/>
      <c r="BG1626" s="542" t="s">
        <v>5671</v>
      </c>
      <c r="BH1626" s="407"/>
      <c r="BI1626" s="546">
        <v>96195007</v>
      </c>
      <c r="BJ1626" s="543"/>
      <c r="BK1626" s="46">
        <f t="shared" si="1"/>
        <v>1</v>
      </c>
      <c r="BL1626" s="46">
        <f t="shared" si="3"/>
        <v>1</v>
      </c>
      <c r="BM1626" s="46">
        <f t="shared" si="4"/>
        <v>0</v>
      </c>
      <c r="BN1626" s="46">
        <f t="shared" si="5"/>
        <v>0</v>
      </c>
    </row>
    <row r="1627" spans="1:66" ht="12.75" customHeight="1">
      <c r="A1627" s="399">
        <v>1638</v>
      </c>
      <c r="B1627" s="399" t="s">
        <v>5610</v>
      </c>
      <c r="C1627" s="399" t="e">
        <f t="shared" ca="1" si="0"/>
        <v>#NAME?</v>
      </c>
      <c r="D1627" s="400" t="s">
        <v>5613</v>
      </c>
      <c r="E1627" s="399" t="s">
        <v>180</v>
      </c>
      <c r="F1627" s="400" t="s">
        <v>961</v>
      </c>
      <c r="G1627" s="400"/>
      <c r="H1627" s="400"/>
      <c r="I1627" s="400"/>
      <c r="J1627" s="400"/>
      <c r="K1627" s="400">
        <v>1</v>
      </c>
      <c r="L1627" s="400" t="s">
        <v>3333</v>
      </c>
      <c r="M1627" s="402" t="s">
        <v>961</v>
      </c>
      <c r="N1627" s="402"/>
      <c r="O1627" s="428" t="s">
        <v>4417</v>
      </c>
      <c r="P1627" s="581"/>
      <c r="Q1627" s="400" t="s">
        <v>5673</v>
      </c>
      <c r="R1627" s="428" t="s">
        <v>5613</v>
      </c>
      <c r="S1627" s="399"/>
      <c r="T1627" s="399" t="s">
        <v>5612</v>
      </c>
      <c r="U1627" s="531"/>
      <c r="V1627" s="399"/>
      <c r="W1627" s="399"/>
      <c r="X1627" s="399"/>
      <c r="Y1627" s="490" t="s">
        <v>208</v>
      </c>
      <c r="Z1627" s="531"/>
      <c r="AA1627" s="399" t="s">
        <v>113</v>
      </c>
      <c r="AB1627" s="399" t="s">
        <v>3178</v>
      </c>
      <c r="AC1627" s="532" t="s">
        <v>5674</v>
      </c>
      <c r="AD1627" s="594"/>
      <c r="AE1627" s="531"/>
      <c r="AF1627" s="531"/>
      <c r="AG1627" s="491" t="s">
        <v>4489</v>
      </c>
      <c r="AH1627" s="491"/>
      <c r="AI1627" s="531"/>
      <c r="AJ1627" s="594"/>
      <c r="AK1627" s="399"/>
      <c r="AL1627" s="531"/>
      <c r="AM1627" s="399"/>
      <c r="AN1627" s="399"/>
      <c r="AO1627" s="489"/>
      <c r="AP1627" s="489"/>
      <c r="AQ1627" s="531"/>
      <c r="AR1627" s="531"/>
      <c r="AS1627" s="531"/>
      <c r="AT1627" s="399"/>
      <c r="AU1627" s="399"/>
      <c r="AV1627" s="399"/>
      <c r="AW1627" s="541"/>
      <c r="AX1627" s="541"/>
      <c r="AY1627" s="541"/>
      <c r="AZ1627" s="541"/>
      <c r="BA1627" s="541"/>
      <c r="BB1627" s="399"/>
      <c r="BC1627" s="399" t="e">
        <f t="shared" ca="1" si="2"/>
        <v>#NAME?</v>
      </c>
      <c r="BD1627" s="399"/>
      <c r="BE1627" s="399"/>
      <c r="BF1627" s="399"/>
      <c r="BG1627" s="540"/>
      <c r="BH1627" s="407"/>
      <c r="BI1627" s="407"/>
      <c r="BJ1627" s="543"/>
      <c r="BK1627" s="46">
        <f t="shared" si="1"/>
        <v>1</v>
      </c>
      <c r="BL1627" s="46">
        <f t="shared" si="3"/>
        <v>0</v>
      </c>
      <c r="BM1627" s="46">
        <f t="shared" si="4"/>
        <v>1</v>
      </c>
      <c r="BN1627" s="46">
        <f t="shared" si="5"/>
        <v>0</v>
      </c>
    </row>
    <row r="1628" spans="1:66" ht="12.75" customHeight="1">
      <c r="A1628" s="399">
        <v>1639</v>
      </c>
      <c r="B1628" s="399" t="s">
        <v>5678</v>
      </c>
      <c r="C1628" s="399" t="e">
        <f t="shared" ca="1" si="0"/>
        <v>#NAME?</v>
      </c>
      <c r="D1628" s="400" t="s">
        <v>5676</v>
      </c>
      <c r="E1628" s="399" t="s">
        <v>180</v>
      </c>
      <c r="F1628" s="400" t="s">
        <v>961</v>
      </c>
      <c r="G1628" s="400"/>
      <c r="H1628" s="400"/>
      <c r="I1628" s="400"/>
      <c r="J1628" s="400"/>
      <c r="K1628" s="400">
        <v>1</v>
      </c>
      <c r="L1628" s="400" t="s">
        <v>3333</v>
      </c>
      <c r="M1628" s="402" t="s">
        <v>961</v>
      </c>
      <c r="N1628" s="402"/>
      <c r="O1628" s="428" t="s">
        <v>4417</v>
      </c>
      <c r="P1628" s="581"/>
      <c r="Q1628" s="400" t="s">
        <v>5677</v>
      </c>
      <c r="R1628" s="428"/>
      <c r="S1628" s="399"/>
      <c r="T1628" s="399" t="s">
        <v>6110</v>
      </c>
      <c r="U1628" s="531"/>
      <c r="V1628" s="399"/>
      <c r="W1628" s="399" t="s">
        <v>5676</v>
      </c>
      <c r="X1628" s="400"/>
      <c r="Y1628" s="490" t="s">
        <v>208</v>
      </c>
      <c r="Z1628" s="531"/>
      <c r="AA1628" s="399" t="s">
        <v>113</v>
      </c>
      <c r="AB1628" s="399" t="s">
        <v>3178</v>
      </c>
      <c r="AC1628" s="532" t="s">
        <v>4521</v>
      </c>
      <c r="AD1628" s="594"/>
      <c r="AE1628" s="531"/>
      <c r="AF1628" s="531"/>
      <c r="AG1628" s="491" t="s">
        <v>4489</v>
      </c>
      <c r="AH1628" s="491"/>
      <c r="AI1628" s="531"/>
      <c r="AJ1628" s="594"/>
      <c r="AK1628" s="399"/>
      <c r="AL1628" s="531"/>
      <c r="AM1628" s="399"/>
      <c r="AN1628" s="399"/>
      <c r="AO1628" s="489"/>
      <c r="AP1628" s="489"/>
      <c r="AQ1628" s="531"/>
      <c r="AR1628" s="531"/>
      <c r="AS1628" s="531"/>
      <c r="AT1628" s="399"/>
      <c r="AU1628" s="399"/>
      <c r="AV1628" s="399"/>
      <c r="AW1628" s="541"/>
      <c r="AX1628" s="541"/>
      <c r="AY1628" s="541"/>
      <c r="AZ1628" s="541"/>
      <c r="BA1628" s="541"/>
      <c r="BB1628" s="399"/>
      <c r="BC1628" s="399" t="e">
        <f t="shared" ca="1" si="2"/>
        <v>#NAME?</v>
      </c>
      <c r="BD1628" s="399"/>
      <c r="BE1628" s="399"/>
      <c r="BF1628" s="399"/>
      <c r="BG1628" s="540"/>
      <c r="BH1628" s="407"/>
      <c r="BI1628" s="407"/>
      <c r="BJ1628" s="543"/>
      <c r="BK1628" s="46">
        <f t="shared" si="1"/>
        <v>1</v>
      </c>
      <c r="BL1628" s="46">
        <f t="shared" si="3"/>
        <v>0</v>
      </c>
      <c r="BM1628" s="46">
        <f t="shared" si="4"/>
        <v>1</v>
      </c>
      <c r="BN1628" s="46">
        <f t="shared" si="5"/>
        <v>0</v>
      </c>
    </row>
    <row r="1629" spans="1:66" ht="12.75" customHeight="1">
      <c r="A1629" s="399">
        <v>1640</v>
      </c>
      <c r="B1629" s="399" t="s">
        <v>5681</v>
      </c>
      <c r="C1629" s="399" t="e">
        <f t="shared" ca="1" si="0"/>
        <v>#NAME?</v>
      </c>
      <c r="D1629" s="400" t="s">
        <v>5679</v>
      </c>
      <c r="E1629" s="399" t="s">
        <v>180</v>
      </c>
      <c r="F1629" s="400" t="s">
        <v>961</v>
      </c>
      <c r="G1629" s="400"/>
      <c r="H1629" s="400"/>
      <c r="I1629" s="400"/>
      <c r="J1629" s="400"/>
      <c r="K1629" s="400">
        <v>1</v>
      </c>
      <c r="L1629" s="400" t="s">
        <v>3333</v>
      </c>
      <c r="M1629" s="402" t="s">
        <v>961</v>
      </c>
      <c r="N1629" s="402"/>
      <c r="O1629" s="428" t="s">
        <v>4417</v>
      </c>
      <c r="P1629" s="581"/>
      <c r="Q1629" s="400" t="s">
        <v>5680</v>
      </c>
      <c r="R1629" s="428"/>
      <c r="S1629" s="399"/>
      <c r="T1629" s="399" t="s">
        <v>6114</v>
      </c>
      <c r="U1629" s="531"/>
      <c r="V1629" s="399"/>
      <c r="W1629" s="399" t="s">
        <v>5679</v>
      </c>
      <c r="X1629" s="400"/>
      <c r="Y1629" s="490" t="s">
        <v>208</v>
      </c>
      <c r="Z1629" s="531"/>
      <c r="AA1629" s="399" t="s">
        <v>113</v>
      </c>
      <c r="AB1629" s="399" t="s">
        <v>3178</v>
      </c>
      <c r="AC1629" s="532" t="s">
        <v>4521</v>
      </c>
      <c r="AD1629" s="594"/>
      <c r="AE1629" s="531"/>
      <c r="AF1629" s="531"/>
      <c r="AG1629" s="491" t="s">
        <v>4489</v>
      </c>
      <c r="AH1629" s="491"/>
      <c r="AI1629" s="531"/>
      <c r="AJ1629" s="594"/>
      <c r="AK1629" s="399"/>
      <c r="AL1629" s="531"/>
      <c r="AM1629" s="399"/>
      <c r="AN1629" s="399"/>
      <c r="AO1629" s="489"/>
      <c r="AP1629" s="489"/>
      <c r="AQ1629" s="531"/>
      <c r="AR1629" s="531"/>
      <c r="AS1629" s="531"/>
      <c r="AT1629" s="399"/>
      <c r="AU1629" s="399"/>
      <c r="AV1629" s="399"/>
      <c r="AW1629" s="541"/>
      <c r="AX1629" s="541"/>
      <c r="AY1629" s="541"/>
      <c r="AZ1629" s="541"/>
      <c r="BA1629" s="541"/>
      <c r="BB1629" s="399"/>
      <c r="BC1629" s="399" t="e">
        <f t="shared" ca="1" si="2"/>
        <v>#NAME?</v>
      </c>
      <c r="BD1629" s="399"/>
      <c r="BE1629" s="399"/>
      <c r="BF1629" s="399"/>
      <c r="BG1629" s="540"/>
      <c r="BH1629" s="407"/>
      <c r="BI1629" s="407"/>
      <c r="BJ1629" s="543"/>
      <c r="BK1629" s="46">
        <f t="shared" si="1"/>
        <v>1</v>
      </c>
      <c r="BL1629" s="46">
        <f t="shared" si="3"/>
        <v>0</v>
      </c>
      <c r="BM1629" s="46">
        <f t="shared" si="4"/>
        <v>1</v>
      </c>
      <c r="BN1629" s="46">
        <f t="shared" si="5"/>
        <v>0</v>
      </c>
    </row>
    <row r="1630" spans="1:66" ht="12.75" customHeight="1">
      <c r="A1630" s="399">
        <v>1641</v>
      </c>
      <c r="B1630" s="399" t="s">
        <v>5687</v>
      </c>
      <c r="C1630" s="399" t="e">
        <f t="shared" ca="1" si="0"/>
        <v>#NAME?</v>
      </c>
      <c r="D1630" s="400" t="s">
        <v>5685</v>
      </c>
      <c r="E1630" s="399" t="s">
        <v>180</v>
      </c>
      <c r="F1630" s="400" t="s">
        <v>961</v>
      </c>
      <c r="G1630" s="400"/>
      <c r="H1630" s="400"/>
      <c r="I1630" s="400"/>
      <c r="J1630" s="400"/>
      <c r="K1630" s="400">
        <v>1</v>
      </c>
      <c r="L1630" s="400" t="s">
        <v>3333</v>
      </c>
      <c r="M1630" s="402" t="s">
        <v>961</v>
      </c>
      <c r="N1630" s="402"/>
      <c r="O1630" s="428" t="s">
        <v>4417</v>
      </c>
      <c r="P1630" s="581"/>
      <c r="Q1630" s="400" t="s">
        <v>5686</v>
      </c>
      <c r="R1630" s="428"/>
      <c r="S1630" s="399"/>
      <c r="T1630" s="399" t="s">
        <v>6116</v>
      </c>
      <c r="U1630" s="531"/>
      <c r="V1630" s="399"/>
      <c r="W1630" s="399" t="s">
        <v>5685</v>
      </c>
      <c r="X1630" s="400"/>
      <c r="Y1630" s="490" t="s">
        <v>208</v>
      </c>
      <c r="Z1630" s="531"/>
      <c r="AA1630" s="399" t="s">
        <v>113</v>
      </c>
      <c r="AB1630" s="399" t="s">
        <v>3178</v>
      </c>
      <c r="AC1630" s="532" t="s">
        <v>4521</v>
      </c>
      <c r="AD1630" s="594"/>
      <c r="AE1630" s="531"/>
      <c r="AF1630" s="531"/>
      <c r="AG1630" s="491" t="s">
        <v>4489</v>
      </c>
      <c r="AH1630" s="491"/>
      <c r="AI1630" s="531"/>
      <c r="AJ1630" s="594"/>
      <c r="AK1630" s="399"/>
      <c r="AL1630" s="531"/>
      <c r="AM1630" s="399"/>
      <c r="AN1630" s="399"/>
      <c r="AO1630" s="489"/>
      <c r="AP1630" s="489"/>
      <c r="AQ1630" s="531"/>
      <c r="AR1630" s="531"/>
      <c r="AS1630" s="531"/>
      <c r="AT1630" s="399"/>
      <c r="AU1630" s="399"/>
      <c r="AV1630" s="399"/>
      <c r="AW1630" s="541"/>
      <c r="AX1630" s="541"/>
      <c r="AY1630" s="541"/>
      <c r="AZ1630" s="541"/>
      <c r="BA1630" s="541"/>
      <c r="BB1630" s="399"/>
      <c r="BC1630" s="399" t="e">
        <f t="shared" ca="1" si="2"/>
        <v>#NAME?</v>
      </c>
      <c r="BD1630" s="399"/>
      <c r="BE1630" s="399"/>
      <c r="BF1630" s="399"/>
      <c r="BG1630" s="540"/>
      <c r="BH1630" s="407"/>
      <c r="BI1630" s="407"/>
      <c r="BJ1630" s="543"/>
      <c r="BK1630" s="46">
        <f t="shared" si="1"/>
        <v>1</v>
      </c>
      <c r="BL1630" s="46">
        <f t="shared" si="3"/>
        <v>0</v>
      </c>
      <c r="BM1630" s="46">
        <f t="shared" si="4"/>
        <v>1</v>
      </c>
      <c r="BN1630" s="46">
        <f t="shared" si="5"/>
        <v>0</v>
      </c>
    </row>
    <row r="1631" spans="1:66" ht="12.75" customHeight="1">
      <c r="A1631" s="399">
        <v>1642</v>
      </c>
      <c r="B1631" s="399" t="s">
        <v>5691</v>
      </c>
      <c r="C1631" s="399" t="e">
        <f t="shared" ca="1" si="0"/>
        <v>#NAME?</v>
      </c>
      <c r="D1631" s="400" t="s">
        <v>5689</v>
      </c>
      <c r="E1631" s="399" t="s">
        <v>180</v>
      </c>
      <c r="F1631" s="400" t="s">
        <v>961</v>
      </c>
      <c r="G1631" s="400"/>
      <c r="H1631" s="400"/>
      <c r="I1631" s="400"/>
      <c r="J1631" s="400"/>
      <c r="K1631" s="400">
        <v>1</v>
      </c>
      <c r="L1631" s="400" t="s">
        <v>3333</v>
      </c>
      <c r="M1631" s="402" t="s">
        <v>961</v>
      </c>
      <c r="N1631" s="402"/>
      <c r="O1631" s="428" t="s">
        <v>4417</v>
      </c>
      <c r="P1631" s="581"/>
      <c r="Q1631" s="400" t="s">
        <v>5690</v>
      </c>
      <c r="R1631" s="428"/>
      <c r="S1631" s="399"/>
      <c r="T1631" s="399" t="s">
        <v>6121</v>
      </c>
      <c r="U1631" s="531"/>
      <c r="V1631" s="399"/>
      <c r="W1631" s="399" t="s">
        <v>5689</v>
      </c>
      <c r="X1631" s="400"/>
      <c r="Y1631" s="490" t="s">
        <v>208</v>
      </c>
      <c r="Z1631" s="531"/>
      <c r="AA1631" s="399" t="s">
        <v>113</v>
      </c>
      <c r="AB1631" s="399" t="s">
        <v>3178</v>
      </c>
      <c r="AC1631" s="532" t="s">
        <v>4521</v>
      </c>
      <c r="AD1631" s="594"/>
      <c r="AE1631" s="531"/>
      <c r="AF1631" s="531"/>
      <c r="AG1631" s="491" t="s">
        <v>4489</v>
      </c>
      <c r="AH1631" s="491"/>
      <c r="AI1631" s="531"/>
      <c r="AJ1631" s="594"/>
      <c r="AK1631" s="399"/>
      <c r="AL1631" s="531"/>
      <c r="AM1631" s="399"/>
      <c r="AN1631" s="399"/>
      <c r="AO1631" s="489"/>
      <c r="AP1631" s="489"/>
      <c r="AQ1631" s="531"/>
      <c r="AR1631" s="531"/>
      <c r="AS1631" s="531"/>
      <c r="AT1631" s="399"/>
      <c r="AU1631" s="399"/>
      <c r="AV1631" s="517">
        <v>29175007</v>
      </c>
      <c r="AW1631" s="541"/>
      <c r="AX1631" s="541"/>
      <c r="AY1631" s="541"/>
      <c r="AZ1631" s="541"/>
      <c r="BA1631" s="541"/>
      <c r="BB1631" s="517"/>
      <c r="BC1631" s="399" t="e">
        <f t="shared" ca="1" si="2"/>
        <v>#NAME?</v>
      </c>
      <c r="BD1631" s="517">
        <v>767</v>
      </c>
      <c r="BE1631" s="399"/>
      <c r="BF1631" s="399"/>
      <c r="BG1631" s="542" t="s">
        <v>5695</v>
      </c>
      <c r="BH1631" s="407"/>
      <c r="BI1631" s="546">
        <v>29175007</v>
      </c>
      <c r="BJ1631" s="543"/>
      <c r="BK1631" s="46">
        <f t="shared" si="1"/>
        <v>1</v>
      </c>
      <c r="BL1631" s="46">
        <f t="shared" si="3"/>
        <v>1</v>
      </c>
      <c r="BM1631" s="46">
        <f t="shared" si="4"/>
        <v>0</v>
      </c>
      <c r="BN1631" s="46">
        <f t="shared" si="5"/>
        <v>0</v>
      </c>
    </row>
    <row r="1632" spans="1:66" ht="12.75" customHeight="1">
      <c r="A1632" s="399">
        <v>1643</v>
      </c>
      <c r="B1632" s="399" t="s">
        <v>5698</v>
      </c>
      <c r="C1632" s="399" t="e">
        <f t="shared" ca="1" si="0"/>
        <v>#NAME?</v>
      </c>
      <c r="D1632" s="400" t="s">
        <v>5696</v>
      </c>
      <c r="E1632" s="399" t="s">
        <v>180</v>
      </c>
      <c r="F1632" s="400" t="s">
        <v>961</v>
      </c>
      <c r="G1632" s="400"/>
      <c r="H1632" s="400"/>
      <c r="I1632" s="400"/>
      <c r="J1632" s="400"/>
      <c r="K1632" s="400">
        <v>1</v>
      </c>
      <c r="L1632" s="400" t="s">
        <v>3333</v>
      </c>
      <c r="M1632" s="402" t="s">
        <v>961</v>
      </c>
      <c r="N1632" s="402"/>
      <c r="O1632" s="428" t="s">
        <v>4417</v>
      </c>
      <c r="P1632" s="581"/>
      <c r="Q1632" s="400" t="s">
        <v>5697</v>
      </c>
      <c r="R1632" s="428"/>
      <c r="S1632" s="399"/>
      <c r="T1632" s="399" t="s">
        <v>6124</v>
      </c>
      <c r="U1632" s="531"/>
      <c r="V1632" s="399"/>
      <c r="W1632" s="399" t="s">
        <v>5696</v>
      </c>
      <c r="X1632" s="400"/>
      <c r="Y1632" s="490" t="s">
        <v>208</v>
      </c>
      <c r="Z1632" s="531"/>
      <c r="AA1632" s="399" t="s">
        <v>113</v>
      </c>
      <c r="AB1632" s="399" t="s">
        <v>3178</v>
      </c>
      <c r="AC1632" s="532" t="s">
        <v>4521</v>
      </c>
      <c r="AD1632" s="594"/>
      <c r="AE1632" s="531"/>
      <c r="AF1632" s="531"/>
      <c r="AG1632" s="491" t="s">
        <v>4489</v>
      </c>
      <c r="AH1632" s="491"/>
      <c r="AI1632" s="531"/>
      <c r="AJ1632" s="594"/>
      <c r="AK1632" s="399"/>
      <c r="AL1632" s="531"/>
      <c r="AM1632" s="409"/>
      <c r="AN1632" s="409"/>
      <c r="AO1632" s="489"/>
      <c r="AP1632" s="489"/>
      <c r="AQ1632" s="531"/>
      <c r="AR1632" s="531"/>
      <c r="AS1632" s="531"/>
      <c r="AT1632" s="399"/>
      <c r="AU1632" s="399"/>
      <c r="AV1632" s="517">
        <v>108684009</v>
      </c>
      <c r="AW1632" s="541"/>
      <c r="AX1632" s="541"/>
      <c r="AY1632" s="541"/>
      <c r="AZ1632" s="541"/>
      <c r="BA1632" s="541"/>
      <c r="BB1632" s="517"/>
      <c r="BC1632" s="399" t="e">
        <f t="shared" ca="1" si="2"/>
        <v>#NAME?</v>
      </c>
      <c r="BD1632" s="517">
        <v>83352</v>
      </c>
      <c r="BE1632" s="399"/>
      <c r="BF1632" s="399"/>
      <c r="BG1632" s="542" t="s">
        <v>5702</v>
      </c>
      <c r="BH1632" s="407"/>
      <c r="BI1632" s="546">
        <v>108684009</v>
      </c>
      <c r="BJ1632" s="543"/>
      <c r="BK1632" s="46">
        <f t="shared" si="1"/>
        <v>1</v>
      </c>
      <c r="BL1632" s="46">
        <f t="shared" si="3"/>
        <v>1</v>
      </c>
      <c r="BM1632" s="46">
        <f t="shared" si="4"/>
        <v>0</v>
      </c>
      <c r="BN1632" s="46">
        <f t="shared" si="5"/>
        <v>0</v>
      </c>
    </row>
    <row r="1633" spans="1:66" ht="12.75" customHeight="1">
      <c r="A1633" s="399">
        <v>1644</v>
      </c>
      <c r="B1633" s="399" t="s">
        <v>5615</v>
      </c>
      <c r="C1633" s="399" t="e">
        <f t="shared" ca="1" si="0"/>
        <v>#NAME?</v>
      </c>
      <c r="D1633" s="400" t="s">
        <v>5618</v>
      </c>
      <c r="E1633" s="399" t="s">
        <v>180</v>
      </c>
      <c r="F1633" s="400" t="s">
        <v>961</v>
      </c>
      <c r="G1633" s="400"/>
      <c r="H1633" s="400"/>
      <c r="I1633" s="400"/>
      <c r="J1633" s="400"/>
      <c r="K1633" s="400">
        <v>1</v>
      </c>
      <c r="L1633" s="400" t="s">
        <v>3333</v>
      </c>
      <c r="M1633" s="402" t="s">
        <v>961</v>
      </c>
      <c r="N1633" s="402"/>
      <c r="O1633" s="428" t="s">
        <v>4417</v>
      </c>
      <c r="P1633" s="581"/>
      <c r="Q1633" s="400" t="s">
        <v>5703</v>
      </c>
      <c r="R1633" s="428" t="s">
        <v>5618</v>
      </c>
      <c r="S1633" s="490" t="s">
        <v>5704</v>
      </c>
      <c r="T1633" s="399" t="s">
        <v>5617</v>
      </c>
      <c r="U1633" s="531"/>
      <c r="V1633" s="399"/>
      <c r="W1633" s="399"/>
      <c r="X1633" s="399"/>
      <c r="Y1633" s="490" t="s">
        <v>208</v>
      </c>
      <c r="Z1633" s="531"/>
      <c r="AA1633" s="399" t="s">
        <v>113</v>
      </c>
      <c r="AB1633" s="399" t="s">
        <v>3178</v>
      </c>
      <c r="AC1633" s="532" t="s">
        <v>6126</v>
      </c>
      <c r="AD1633" s="594"/>
      <c r="AE1633" s="531"/>
      <c r="AF1633" s="531"/>
      <c r="AG1633" s="491" t="s">
        <v>4489</v>
      </c>
      <c r="AH1633" s="605"/>
      <c r="AI1633" s="531"/>
      <c r="AJ1633" s="594"/>
      <c r="AK1633" s="399"/>
      <c r="AL1633" s="531"/>
      <c r="AM1633" s="531"/>
      <c r="AN1633" s="531"/>
      <c r="AO1633" s="489"/>
      <c r="AP1633" s="489"/>
      <c r="AQ1633" s="531"/>
      <c r="AR1633" s="531"/>
      <c r="AS1633" s="531"/>
      <c r="AT1633" s="399"/>
      <c r="AU1633" s="399"/>
      <c r="AV1633" s="399"/>
      <c r="AW1633" s="541"/>
      <c r="AX1633" s="541"/>
      <c r="AY1633" s="541"/>
      <c r="AZ1633" s="541"/>
      <c r="BA1633" s="541"/>
      <c r="BB1633" s="399"/>
      <c r="BC1633" s="399" t="e">
        <f t="shared" ca="1" si="2"/>
        <v>#NAME?</v>
      </c>
      <c r="BD1633" s="399"/>
      <c r="BE1633" s="399"/>
      <c r="BF1633" s="399"/>
      <c r="BG1633" s="540"/>
      <c r="BH1633" s="407"/>
      <c r="BI1633" s="407"/>
      <c r="BJ1633" s="543"/>
      <c r="BK1633" s="46">
        <f t="shared" si="1"/>
        <v>1</v>
      </c>
      <c r="BL1633" s="46">
        <f t="shared" si="3"/>
        <v>0</v>
      </c>
      <c r="BM1633" s="46">
        <f t="shared" si="4"/>
        <v>1</v>
      </c>
      <c r="BN1633" s="46">
        <f t="shared" si="5"/>
        <v>0</v>
      </c>
    </row>
    <row r="1634" spans="1:66" ht="12.75" customHeight="1">
      <c r="A1634" s="399">
        <v>1645</v>
      </c>
      <c r="B1634" s="399" t="s">
        <v>5710</v>
      </c>
      <c r="C1634" s="399" t="e">
        <f t="shared" ca="1" si="0"/>
        <v>#NAME?</v>
      </c>
      <c r="D1634" s="400" t="s">
        <v>5707</v>
      </c>
      <c r="E1634" s="399" t="s">
        <v>180</v>
      </c>
      <c r="F1634" s="400" t="s">
        <v>961</v>
      </c>
      <c r="G1634" s="400"/>
      <c r="H1634" s="400"/>
      <c r="I1634" s="400"/>
      <c r="J1634" s="400"/>
      <c r="K1634" s="400">
        <v>1</v>
      </c>
      <c r="L1634" s="400" t="s">
        <v>3333</v>
      </c>
      <c r="M1634" s="402" t="s">
        <v>961</v>
      </c>
      <c r="N1634" s="402"/>
      <c r="O1634" s="428" t="s">
        <v>4417</v>
      </c>
      <c r="P1634" s="635"/>
      <c r="Q1634" s="400" t="s">
        <v>5708</v>
      </c>
      <c r="R1634" s="509"/>
      <c r="S1634" s="490" t="s">
        <v>5707</v>
      </c>
      <c r="T1634" s="490" t="s">
        <v>5709</v>
      </c>
      <c r="U1634" s="490"/>
      <c r="V1634" s="489"/>
      <c r="W1634" s="489" t="s">
        <v>5707</v>
      </c>
      <c r="X1634" s="490"/>
      <c r="Y1634" s="490" t="s">
        <v>208</v>
      </c>
      <c r="Z1634" s="490"/>
      <c r="AA1634" s="399" t="s">
        <v>113</v>
      </c>
      <c r="AB1634" s="399" t="s">
        <v>3178</v>
      </c>
      <c r="AC1634" s="532" t="s">
        <v>4521</v>
      </c>
      <c r="AD1634" s="490"/>
      <c r="AE1634" s="490"/>
      <c r="AF1634" s="490"/>
      <c r="AG1634" s="491" t="s">
        <v>4489</v>
      </c>
      <c r="AH1634" s="489" t="s">
        <v>3851</v>
      </c>
      <c r="AI1634" s="490"/>
      <c r="AJ1634" s="490"/>
      <c r="AK1634" s="399"/>
      <c r="AL1634" s="531"/>
      <c r="AM1634" s="531"/>
      <c r="AN1634" s="531"/>
      <c r="AO1634" s="489"/>
      <c r="AP1634" s="489"/>
      <c r="AQ1634" s="489"/>
      <c r="AR1634" s="489"/>
      <c r="AS1634" s="489"/>
      <c r="AT1634" s="490"/>
      <c r="AU1634" s="490"/>
      <c r="AV1634" s="490"/>
      <c r="AW1634" s="541"/>
      <c r="AX1634" s="541"/>
      <c r="AY1634" s="541"/>
      <c r="AZ1634" s="541"/>
      <c r="BA1634" s="541"/>
      <c r="BB1634" s="490"/>
      <c r="BC1634" s="399" t="e">
        <f t="shared" ca="1" si="2"/>
        <v>#NAME?</v>
      </c>
      <c r="BD1634" s="490"/>
      <c r="BE1634" s="490"/>
      <c r="BF1634" s="490"/>
      <c r="BG1634" s="495"/>
      <c r="BH1634" s="407"/>
      <c r="BI1634" s="407"/>
      <c r="BJ1634" s="543"/>
      <c r="BK1634" s="46">
        <f t="shared" si="1"/>
        <v>1</v>
      </c>
      <c r="BL1634" s="46">
        <f t="shared" si="3"/>
        <v>0</v>
      </c>
      <c r="BM1634" s="46">
        <f t="shared" si="4"/>
        <v>1</v>
      </c>
      <c r="BN1634" s="46">
        <f t="shared" si="5"/>
        <v>0</v>
      </c>
    </row>
    <row r="1635" spans="1:66" ht="12.75" customHeight="1">
      <c r="A1635" s="399">
        <v>1646</v>
      </c>
      <c r="B1635" s="399" t="s">
        <v>5717</v>
      </c>
      <c r="C1635" s="399" t="e">
        <f t="shared" ca="1" si="0"/>
        <v>#NAME?</v>
      </c>
      <c r="D1635" s="400" t="s">
        <v>5714</v>
      </c>
      <c r="E1635" s="399" t="s">
        <v>180</v>
      </c>
      <c r="F1635" s="400" t="s">
        <v>961</v>
      </c>
      <c r="G1635" s="400"/>
      <c r="H1635" s="400"/>
      <c r="I1635" s="400"/>
      <c r="J1635" s="400"/>
      <c r="K1635" s="400">
        <v>1</v>
      </c>
      <c r="L1635" s="400" t="s">
        <v>3333</v>
      </c>
      <c r="M1635" s="402" t="s">
        <v>961</v>
      </c>
      <c r="N1635" s="402"/>
      <c r="O1635" s="428" t="s">
        <v>4417</v>
      </c>
      <c r="P1635" s="635"/>
      <c r="Q1635" s="400" t="s">
        <v>5715</v>
      </c>
      <c r="R1635" s="509"/>
      <c r="S1635" s="490" t="s">
        <v>5714</v>
      </c>
      <c r="T1635" s="490" t="s">
        <v>5716</v>
      </c>
      <c r="U1635" s="490"/>
      <c r="V1635" s="489"/>
      <c r="W1635" s="489" t="s">
        <v>5714</v>
      </c>
      <c r="X1635" s="490"/>
      <c r="Y1635" s="490" t="s">
        <v>208</v>
      </c>
      <c r="Z1635" s="490"/>
      <c r="AA1635" s="399" t="s">
        <v>113</v>
      </c>
      <c r="AB1635" s="399" t="s">
        <v>3178</v>
      </c>
      <c r="AC1635" s="532" t="s">
        <v>4521</v>
      </c>
      <c r="AD1635" s="490"/>
      <c r="AE1635" s="490"/>
      <c r="AF1635" s="490"/>
      <c r="AG1635" s="491" t="s">
        <v>4489</v>
      </c>
      <c r="AH1635" s="489" t="s">
        <v>3851</v>
      </c>
      <c r="AI1635" s="490"/>
      <c r="AJ1635" s="490"/>
      <c r="AK1635" s="399"/>
      <c r="AL1635" s="531"/>
      <c r="AM1635" s="531"/>
      <c r="AN1635" s="531"/>
      <c r="AO1635" s="489"/>
      <c r="AP1635" s="489"/>
      <c r="AQ1635" s="489"/>
      <c r="AR1635" s="489"/>
      <c r="AS1635" s="489"/>
      <c r="AT1635" s="490"/>
      <c r="AU1635" s="490"/>
      <c r="AV1635" s="490"/>
      <c r="AW1635" s="541"/>
      <c r="AX1635" s="541"/>
      <c r="AY1635" s="541"/>
      <c r="AZ1635" s="541"/>
      <c r="BA1635" s="541"/>
      <c r="BB1635" s="490"/>
      <c r="BC1635" s="399" t="e">
        <f t="shared" ca="1" si="2"/>
        <v>#NAME?</v>
      </c>
      <c r="BD1635" s="490"/>
      <c r="BE1635" s="490"/>
      <c r="BF1635" s="490"/>
      <c r="BG1635" s="495"/>
      <c r="BH1635" s="407"/>
      <c r="BI1635" s="407"/>
      <c r="BJ1635" s="543"/>
      <c r="BK1635" s="46">
        <f t="shared" si="1"/>
        <v>1</v>
      </c>
      <c r="BL1635" s="46">
        <f t="shared" si="3"/>
        <v>0</v>
      </c>
      <c r="BM1635" s="46">
        <f t="shared" si="4"/>
        <v>1</v>
      </c>
      <c r="BN1635" s="46">
        <f t="shared" si="5"/>
        <v>0</v>
      </c>
    </row>
    <row r="1636" spans="1:66" ht="12.75" customHeight="1">
      <c r="A1636" s="399">
        <v>1647</v>
      </c>
      <c r="B1636" s="399" t="s">
        <v>5722</v>
      </c>
      <c r="C1636" s="399" t="e">
        <f t="shared" ca="1" si="0"/>
        <v>#NAME?</v>
      </c>
      <c r="D1636" s="400" t="s">
        <v>5719</v>
      </c>
      <c r="E1636" s="399" t="s">
        <v>180</v>
      </c>
      <c r="F1636" s="400" t="s">
        <v>961</v>
      </c>
      <c r="G1636" s="400"/>
      <c r="H1636" s="400"/>
      <c r="I1636" s="400"/>
      <c r="J1636" s="400"/>
      <c r="K1636" s="400">
        <v>1</v>
      </c>
      <c r="L1636" s="400" t="s">
        <v>3333</v>
      </c>
      <c r="M1636" s="402" t="s">
        <v>961</v>
      </c>
      <c r="N1636" s="402"/>
      <c r="O1636" s="428" t="s">
        <v>4417</v>
      </c>
      <c r="P1636" s="635"/>
      <c r="Q1636" s="400" t="s">
        <v>5720</v>
      </c>
      <c r="R1636" s="509"/>
      <c r="S1636" s="490" t="s">
        <v>5719</v>
      </c>
      <c r="T1636" s="490" t="s">
        <v>5721</v>
      </c>
      <c r="U1636" s="490"/>
      <c r="V1636" s="489"/>
      <c r="W1636" s="489" t="s">
        <v>5719</v>
      </c>
      <c r="X1636" s="490"/>
      <c r="Y1636" s="490" t="s">
        <v>208</v>
      </c>
      <c r="Z1636" s="490"/>
      <c r="AA1636" s="399" t="s">
        <v>113</v>
      </c>
      <c r="AB1636" s="399" t="s">
        <v>3178</v>
      </c>
      <c r="AC1636" s="532" t="s">
        <v>4521</v>
      </c>
      <c r="AD1636" s="490"/>
      <c r="AE1636" s="490"/>
      <c r="AF1636" s="490"/>
      <c r="AG1636" s="491" t="s">
        <v>4489</v>
      </c>
      <c r="AH1636" s="489" t="s">
        <v>3851</v>
      </c>
      <c r="AI1636" s="490"/>
      <c r="AJ1636" s="490"/>
      <c r="AK1636" s="399"/>
      <c r="AL1636" s="531"/>
      <c r="AM1636" s="531"/>
      <c r="AN1636" s="531"/>
      <c r="AO1636" s="489"/>
      <c r="AP1636" s="489"/>
      <c r="AQ1636" s="489"/>
      <c r="AR1636" s="489"/>
      <c r="AS1636" s="489"/>
      <c r="AT1636" s="490"/>
      <c r="AU1636" s="490"/>
      <c r="AV1636" s="490"/>
      <c r="AW1636" s="541"/>
      <c r="AX1636" s="541"/>
      <c r="AY1636" s="541"/>
      <c r="AZ1636" s="541"/>
      <c r="BA1636" s="541"/>
      <c r="BB1636" s="490"/>
      <c r="BC1636" s="399" t="e">
        <f t="shared" ca="1" si="2"/>
        <v>#NAME?</v>
      </c>
      <c r="BD1636" s="490"/>
      <c r="BE1636" s="490"/>
      <c r="BF1636" s="490"/>
      <c r="BG1636" s="495"/>
      <c r="BH1636" s="407"/>
      <c r="BI1636" s="407"/>
      <c r="BJ1636" s="543"/>
      <c r="BK1636" s="46">
        <f t="shared" si="1"/>
        <v>1</v>
      </c>
      <c r="BL1636" s="46">
        <f t="shared" si="3"/>
        <v>0</v>
      </c>
      <c r="BM1636" s="46">
        <f t="shared" si="4"/>
        <v>1</v>
      </c>
      <c r="BN1636" s="46">
        <f t="shared" si="5"/>
        <v>0</v>
      </c>
    </row>
    <row r="1637" spans="1:66" ht="12.75" customHeight="1">
      <c r="A1637" s="399">
        <v>1648</v>
      </c>
      <c r="B1637" s="399" t="s">
        <v>5727</v>
      </c>
      <c r="C1637" s="399" t="e">
        <f t="shared" ca="1" si="0"/>
        <v>#NAME?</v>
      </c>
      <c r="D1637" s="400" t="s">
        <v>5724</v>
      </c>
      <c r="E1637" s="399" t="s">
        <v>180</v>
      </c>
      <c r="F1637" s="400" t="s">
        <v>961</v>
      </c>
      <c r="G1637" s="400"/>
      <c r="H1637" s="400"/>
      <c r="I1637" s="400"/>
      <c r="J1637" s="400"/>
      <c r="K1637" s="400">
        <v>1</v>
      </c>
      <c r="L1637" s="400" t="s">
        <v>3333</v>
      </c>
      <c r="M1637" s="402" t="s">
        <v>961</v>
      </c>
      <c r="N1637" s="402"/>
      <c r="O1637" s="428" t="s">
        <v>4417</v>
      </c>
      <c r="P1637" s="635"/>
      <c r="Q1637" s="400" t="s">
        <v>5725</v>
      </c>
      <c r="R1637" s="509"/>
      <c r="S1637" s="490" t="s">
        <v>5724</v>
      </c>
      <c r="T1637" s="490" t="s">
        <v>5726</v>
      </c>
      <c r="U1637" s="490"/>
      <c r="V1637" s="489"/>
      <c r="W1637" s="489" t="s">
        <v>5724</v>
      </c>
      <c r="X1637" s="490"/>
      <c r="Y1637" s="490" t="s">
        <v>208</v>
      </c>
      <c r="Z1637" s="490"/>
      <c r="AA1637" s="399" t="s">
        <v>113</v>
      </c>
      <c r="AB1637" s="399" t="s">
        <v>3178</v>
      </c>
      <c r="AC1637" s="532" t="s">
        <v>4521</v>
      </c>
      <c r="AD1637" s="490"/>
      <c r="AE1637" s="490"/>
      <c r="AF1637" s="490"/>
      <c r="AG1637" s="491" t="s">
        <v>4489</v>
      </c>
      <c r="AH1637" s="489" t="s">
        <v>3851</v>
      </c>
      <c r="AI1637" s="490"/>
      <c r="AJ1637" s="490"/>
      <c r="AK1637" s="399"/>
      <c r="AL1637" s="531"/>
      <c r="AM1637" s="531"/>
      <c r="AN1637" s="531"/>
      <c r="AO1637" s="489"/>
      <c r="AP1637" s="489"/>
      <c r="AQ1637" s="489"/>
      <c r="AR1637" s="489"/>
      <c r="AS1637" s="489"/>
      <c r="AT1637" s="490"/>
      <c r="AU1637" s="490"/>
      <c r="AV1637" s="490"/>
      <c r="AW1637" s="541"/>
      <c r="AX1637" s="541"/>
      <c r="AY1637" s="541"/>
      <c r="AZ1637" s="541"/>
      <c r="BA1637" s="541"/>
      <c r="BB1637" s="490"/>
      <c r="BC1637" s="399" t="e">
        <f t="shared" ca="1" si="2"/>
        <v>#NAME?</v>
      </c>
      <c r="BD1637" s="490"/>
      <c r="BE1637" s="490"/>
      <c r="BF1637" s="490"/>
      <c r="BG1637" s="495"/>
      <c r="BH1637" s="407"/>
      <c r="BI1637" s="407"/>
      <c r="BJ1637" s="543"/>
      <c r="BK1637" s="46">
        <f t="shared" si="1"/>
        <v>1</v>
      </c>
      <c r="BL1637" s="46">
        <f t="shared" si="3"/>
        <v>0</v>
      </c>
      <c r="BM1637" s="46">
        <f t="shared" si="4"/>
        <v>1</v>
      </c>
      <c r="BN1637" s="46">
        <f t="shared" si="5"/>
        <v>0</v>
      </c>
    </row>
    <row r="1638" spans="1:66" ht="12.75" customHeight="1">
      <c r="A1638" s="399">
        <v>1649</v>
      </c>
      <c r="B1638" s="399" t="s">
        <v>5732</v>
      </c>
      <c r="C1638" s="399" t="e">
        <f t="shared" ca="1" si="0"/>
        <v>#NAME?</v>
      </c>
      <c r="D1638" s="400" t="s">
        <v>5729</v>
      </c>
      <c r="E1638" s="399" t="s">
        <v>180</v>
      </c>
      <c r="F1638" s="400" t="s">
        <v>961</v>
      </c>
      <c r="G1638" s="400"/>
      <c r="H1638" s="400"/>
      <c r="I1638" s="400"/>
      <c r="J1638" s="400"/>
      <c r="K1638" s="400">
        <v>1</v>
      </c>
      <c r="L1638" s="400" t="s">
        <v>3333</v>
      </c>
      <c r="M1638" s="402" t="s">
        <v>961</v>
      </c>
      <c r="N1638" s="402"/>
      <c r="O1638" s="428" t="s">
        <v>4417</v>
      </c>
      <c r="P1638" s="635"/>
      <c r="Q1638" s="400" t="s">
        <v>5730</v>
      </c>
      <c r="R1638" s="509"/>
      <c r="S1638" s="490" t="s">
        <v>5729</v>
      </c>
      <c r="T1638" s="490" t="s">
        <v>5731</v>
      </c>
      <c r="U1638" s="490"/>
      <c r="V1638" s="489"/>
      <c r="W1638" s="489" t="s">
        <v>5729</v>
      </c>
      <c r="X1638" s="490"/>
      <c r="Y1638" s="490" t="s">
        <v>208</v>
      </c>
      <c r="Z1638" s="490"/>
      <c r="AA1638" s="399" t="s">
        <v>113</v>
      </c>
      <c r="AB1638" s="399" t="s">
        <v>3178</v>
      </c>
      <c r="AC1638" s="532" t="s">
        <v>4521</v>
      </c>
      <c r="AD1638" s="490"/>
      <c r="AE1638" s="490"/>
      <c r="AF1638" s="490"/>
      <c r="AG1638" s="491" t="s">
        <v>4489</v>
      </c>
      <c r="AH1638" s="489" t="s">
        <v>3851</v>
      </c>
      <c r="AI1638" s="490"/>
      <c r="AJ1638" s="490"/>
      <c r="AK1638" s="399"/>
      <c r="AL1638" s="531"/>
      <c r="AM1638" s="531"/>
      <c r="AN1638" s="531"/>
      <c r="AO1638" s="489"/>
      <c r="AP1638" s="489"/>
      <c r="AQ1638" s="489"/>
      <c r="AR1638" s="489"/>
      <c r="AS1638" s="489"/>
      <c r="AT1638" s="490"/>
      <c r="AU1638" s="490"/>
      <c r="AV1638" s="490"/>
      <c r="AW1638" s="541"/>
      <c r="AX1638" s="541"/>
      <c r="AY1638" s="541"/>
      <c r="AZ1638" s="541"/>
      <c r="BA1638" s="541"/>
      <c r="BB1638" s="490"/>
      <c r="BC1638" s="399" t="e">
        <f t="shared" ca="1" si="2"/>
        <v>#NAME?</v>
      </c>
      <c r="BD1638" s="490"/>
      <c r="BE1638" s="490"/>
      <c r="BF1638" s="490"/>
      <c r="BG1638" s="495"/>
      <c r="BH1638" s="407"/>
      <c r="BI1638" s="407"/>
      <c r="BJ1638" s="543"/>
      <c r="BK1638" s="46">
        <f t="shared" si="1"/>
        <v>1</v>
      </c>
      <c r="BL1638" s="46">
        <f t="shared" si="3"/>
        <v>0</v>
      </c>
      <c r="BM1638" s="46">
        <f t="shared" si="4"/>
        <v>1</v>
      </c>
      <c r="BN1638" s="46">
        <f t="shared" si="5"/>
        <v>0</v>
      </c>
    </row>
    <row r="1639" spans="1:66" ht="12.75" customHeight="1">
      <c r="A1639" s="399">
        <v>1650</v>
      </c>
      <c r="B1639" s="399" t="s">
        <v>5737</v>
      </c>
      <c r="C1639" s="399" t="e">
        <f t="shared" ca="1" si="0"/>
        <v>#NAME?</v>
      </c>
      <c r="D1639" s="400" t="s">
        <v>5734</v>
      </c>
      <c r="E1639" s="399" t="s">
        <v>180</v>
      </c>
      <c r="F1639" s="400" t="s">
        <v>961</v>
      </c>
      <c r="G1639" s="400"/>
      <c r="H1639" s="400"/>
      <c r="I1639" s="400"/>
      <c r="J1639" s="400"/>
      <c r="K1639" s="400">
        <v>1</v>
      </c>
      <c r="L1639" s="400" t="s">
        <v>3333</v>
      </c>
      <c r="M1639" s="402" t="s">
        <v>961</v>
      </c>
      <c r="N1639" s="400"/>
      <c r="O1639" s="428" t="s">
        <v>4417</v>
      </c>
      <c r="P1639" s="635"/>
      <c r="Q1639" s="400" t="s">
        <v>5735</v>
      </c>
      <c r="R1639" s="509"/>
      <c r="S1639" s="490"/>
      <c r="T1639" s="490" t="s">
        <v>5736</v>
      </c>
      <c r="U1639" s="490"/>
      <c r="V1639" s="489"/>
      <c r="W1639" s="489" t="s">
        <v>5734</v>
      </c>
      <c r="X1639" s="490"/>
      <c r="Y1639" s="490" t="s">
        <v>208</v>
      </c>
      <c r="Z1639" s="490"/>
      <c r="AA1639" s="399" t="s">
        <v>113</v>
      </c>
      <c r="AB1639" s="399" t="s">
        <v>3178</v>
      </c>
      <c r="AC1639" s="532" t="s">
        <v>4521</v>
      </c>
      <c r="AD1639" s="490"/>
      <c r="AE1639" s="490"/>
      <c r="AF1639" s="490"/>
      <c r="AG1639" s="491"/>
      <c r="AH1639" s="489"/>
      <c r="AI1639" s="490"/>
      <c r="AJ1639" s="490"/>
      <c r="AK1639" s="399"/>
      <c r="AL1639" s="531"/>
      <c r="AM1639" s="531"/>
      <c r="AN1639" s="531"/>
      <c r="AO1639" s="489"/>
      <c r="AP1639" s="489"/>
      <c r="AQ1639" s="489"/>
      <c r="AR1639" s="489"/>
      <c r="AS1639" s="489"/>
      <c r="AT1639" s="490"/>
      <c r="AU1639" s="490"/>
      <c r="AV1639" s="490"/>
      <c r="AW1639" s="541"/>
      <c r="AX1639" s="541"/>
      <c r="AY1639" s="541"/>
      <c r="AZ1639" s="541"/>
      <c r="BA1639" s="541"/>
      <c r="BB1639" s="490"/>
      <c r="BC1639" s="399" t="e">
        <f t="shared" ca="1" si="2"/>
        <v>#NAME?</v>
      </c>
      <c r="BD1639" s="490"/>
      <c r="BE1639" s="490"/>
      <c r="BF1639" s="490"/>
      <c r="BG1639" s="495"/>
      <c r="BH1639" s="407"/>
      <c r="BI1639" s="407"/>
      <c r="BJ1639" s="543"/>
      <c r="BK1639" s="46">
        <f t="shared" si="1"/>
        <v>1</v>
      </c>
      <c r="BL1639" s="46">
        <f t="shared" si="3"/>
        <v>0</v>
      </c>
      <c r="BM1639" s="46">
        <f t="shared" si="4"/>
        <v>1</v>
      </c>
      <c r="BN1639" s="46">
        <f t="shared" si="5"/>
        <v>0</v>
      </c>
    </row>
    <row r="1640" spans="1:66" ht="12.75" customHeight="1">
      <c r="A1640" s="399">
        <v>1651</v>
      </c>
      <c r="B1640" s="399" t="s">
        <v>5742</v>
      </c>
      <c r="C1640" s="399" t="e">
        <f t="shared" ca="1" si="0"/>
        <v>#NAME?</v>
      </c>
      <c r="D1640" s="400" t="s">
        <v>5739</v>
      </c>
      <c r="E1640" s="399" t="s">
        <v>180</v>
      </c>
      <c r="F1640" s="400" t="s">
        <v>961</v>
      </c>
      <c r="G1640" s="400"/>
      <c r="H1640" s="400"/>
      <c r="I1640" s="400"/>
      <c r="J1640" s="400"/>
      <c r="K1640" s="400">
        <v>1</v>
      </c>
      <c r="L1640" s="400" t="s">
        <v>3333</v>
      </c>
      <c r="M1640" s="402" t="s">
        <v>961</v>
      </c>
      <c r="N1640" s="402"/>
      <c r="O1640" s="428" t="s">
        <v>4417</v>
      </c>
      <c r="P1640" s="635"/>
      <c r="Q1640" s="400" t="s">
        <v>5740</v>
      </c>
      <c r="R1640" s="509"/>
      <c r="S1640" s="490" t="s">
        <v>5739</v>
      </c>
      <c r="T1640" s="490" t="s">
        <v>6143</v>
      </c>
      <c r="U1640" s="490"/>
      <c r="V1640" s="489"/>
      <c r="W1640" s="489" t="s">
        <v>5739</v>
      </c>
      <c r="X1640" s="490"/>
      <c r="Y1640" s="490" t="s">
        <v>208</v>
      </c>
      <c r="Z1640" s="490"/>
      <c r="AA1640" s="399" t="s">
        <v>113</v>
      </c>
      <c r="AB1640" s="399" t="s">
        <v>3178</v>
      </c>
      <c r="AC1640" s="532" t="s">
        <v>4521</v>
      </c>
      <c r="AD1640" s="490"/>
      <c r="AE1640" s="490"/>
      <c r="AF1640" s="490"/>
      <c r="AG1640" s="491" t="s">
        <v>4489</v>
      </c>
      <c r="AH1640" s="489" t="s">
        <v>3851</v>
      </c>
      <c r="AI1640" s="490"/>
      <c r="AJ1640" s="490"/>
      <c r="AK1640" s="399"/>
      <c r="AL1640" s="531"/>
      <c r="AM1640" s="531"/>
      <c r="AN1640" s="531"/>
      <c r="AO1640" s="489"/>
      <c r="AP1640" s="489"/>
      <c r="AQ1640" s="489"/>
      <c r="AR1640" s="489"/>
      <c r="AS1640" s="489"/>
      <c r="AT1640" s="490"/>
      <c r="AU1640" s="490"/>
      <c r="AV1640" s="490"/>
      <c r="AW1640" s="541"/>
      <c r="AX1640" s="541"/>
      <c r="AY1640" s="541"/>
      <c r="AZ1640" s="541"/>
      <c r="BA1640" s="541"/>
      <c r="BB1640" s="490"/>
      <c r="BC1640" s="399" t="e">
        <f t="shared" ca="1" si="2"/>
        <v>#NAME?</v>
      </c>
      <c r="BD1640" s="490"/>
      <c r="BE1640" s="490"/>
      <c r="BF1640" s="490"/>
      <c r="BG1640" s="495"/>
      <c r="BH1640" s="407"/>
      <c r="BI1640" s="407"/>
      <c r="BJ1640" s="543"/>
      <c r="BK1640" s="46">
        <f t="shared" si="1"/>
        <v>1</v>
      </c>
      <c r="BL1640" s="46">
        <f t="shared" si="3"/>
        <v>0</v>
      </c>
      <c r="BM1640" s="46">
        <f t="shared" si="4"/>
        <v>1</v>
      </c>
      <c r="BN1640" s="46">
        <f t="shared" si="5"/>
        <v>0</v>
      </c>
    </row>
    <row r="1641" spans="1:66" ht="12.75" customHeight="1">
      <c r="A1641" s="399">
        <v>1652</v>
      </c>
      <c r="B1641" s="399" t="s">
        <v>5748</v>
      </c>
      <c r="C1641" s="399" t="e">
        <f t="shared" ca="1" si="0"/>
        <v>#NAME?</v>
      </c>
      <c r="D1641" s="400" t="s">
        <v>5744</v>
      </c>
      <c r="E1641" s="399" t="s">
        <v>180</v>
      </c>
      <c r="F1641" s="400" t="s">
        <v>961</v>
      </c>
      <c r="G1641" s="400"/>
      <c r="H1641" s="400"/>
      <c r="I1641" s="400"/>
      <c r="J1641" s="400"/>
      <c r="K1641" s="400">
        <v>1</v>
      </c>
      <c r="L1641" s="400" t="s">
        <v>3333</v>
      </c>
      <c r="M1641" s="402" t="s">
        <v>961</v>
      </c>
      <c r="N1641" s="402"/>
      <c r="O1641" s="428" t="s">
        <v>4417</v>
      </c>
      <c r="P1641" s="635"/>
      <c r="Q1641" s="400" t="s">
        <v>5745</v>
      </c>
      <c r="R1641" s="509"/>
      <c r="S1641" s="490" t="s">
        <v>5746</v>
      </c>
      <c r="T1641" s="490" t="s">
        <v>5747</v>
      </c>
      <c r="U1641" s="490"/>
      <c r="V1641" s="489"/>
      <c r="W1641" s="489" t="s">
        <v>5744</v>
      </c>
      <c r="X1641" s="490"/>
      <c r="Y1641" s="490" t="s">
        <v>208</v>
      </c>
      <c r="Z1641" s="490"/>
      <c r="AA1641" s="399" t="s">
        <v>113</v>
      </c>
      <c r="AB1641" s="399" t="s">
        <v>3178</v>
      </c>
      <c r="AC1641" s="532" t="s">
        <v>4521</v>
      </c>
      <c r="AD1641" s="490"/>
      <c r="AE1641" s="490"/>
      <c r="AF1641" s="490"/>
      <c r="AG1641" s="491" t="s">
        <v>4489</v>
      </c>
      <c r="AH1641" s="489" t="s">
        <v>3851</v>
      </c>
      <c r="AI1641" s="490"/>
      <c r="AJ1641" s="490"/>
      <c r="AK1641" s="399"/>
      <c r="AL1641" s="531"/>
      <c r="AM1641" s="531"/>
      <c r="AN1641" s="531"/>
      <c r="AO1641" s="489"/>
      <c r="AP1641" s="489"/>
      <c r="AQ1641" s="489"/>
      <c r="AR1641" s="489"/>
      <c r="AS1641" s="489"/>
      <c r="AT1641" s="490"/>
      <c r="AU1641" s="490"/>
      <c r="AV1641" s="490"/>
      <c r="AW1641" s="541"/>
      <c r="AX1641" s="541"/>
      <c r="AY1641" s="541"/>
      <c r="AZ1641" s="541"/>
      <c r="BA1641" s="541"/>
      <c r="BB1641" s="490"/>
      <c r="BC1641" s="399" t="e">
        <f t="shared" ca="1" si="2"/>
        <v>#NAME?</v>
      </c>
      <c r="BD1641" s="490"/>
      <c r="BE1641" s="490"/>
      <c r="BF1641" s="490"/>
      <c r="BG1641" s="495"/>
      <c r="BH1641" s="407"/>
      <c r="BI1641" s="407"/>
      <c r="BJ1641" s="543"/>
      <c r="BK1641" s="46">
        <f t="shared" si="1"/>
        <v>1</v>
      </c>
      <c r="BL1641" s="46">
        <f t="shared" si="3"/>
        <v>0</v>
      </c>
      <c r="BM1641" s="46">
        <f t="shared" si="4"/>
        <v>1</v>
      </c>
      <c r="BN1641" s="46">
        <f t="shared" si="5"/>
        <v>0</v>
      </c>
    </row>
    <row r="1642" spans="1:66" ht="12.75" customHeight="1">
      <c r="A1642" s="399">
        <v>1653</v>
      </c>
      <c r="B1642" s="399" t="s">
        <v>5753</v>
      </c>
      <c r="C1642" s="399" t="e">
        <f t="shared" ca="1" si="0"/>
        <v>#NAME?</v>
      </c>
      <c r="D1642" s="400" t="s">
        <v>5749</v>
      </c>
      <c r="E1642" s="399" t="s">
        <v>180</v>
      </c>
      <c r="F1642" s="400" t="s">
        <v>961</v>
      </c>
      <c r="G1642" s="400"/>
      <c r="H1642" s="400"/>
      <c r="I1642" s="400"/>
      <c r="J1642" s="400"/>
      <c r="K1642" s="400">
        <v>1</v>
      </c>
      <c r="L1642" s="400" t="s">
        <v>3333</v>
      </c>
      <c r="M1642" s="402" t="s">
        <v>961</v>
      </c>
      <c r="N1642" s="402"/>
      <c r="O1642" s="428" t="s">
        <v>4417</v>
      </c>
      <c r="P1642" s="635"/>
      <c r="Q1642" s="400" t="s">
        <v>5750</v>
      </c>
      <c r="R1642" s="509"/>
      <c r="S1642" s="490" t="s">
        <v>5751</v>
      </c>
      <c r="T1642" s="490" t="s">
        <v>5752</v>
      </c>
      <c r="U1642" s="490"/>
      <c r="V1642" s="489"/>
      <c r="W1642" s="489" t="s">
        <v>5749</v>
      </c>
      <c r="X1642" s="490"/>
      <c r="Y1642" s="490" t="s">
        <v>208</v>
      </c>
      <c r="Z1642" s="490"/>
      <c r="AA1642" s="399" t="s">
        <v>113</v>
      </c>
      <c r="AB1642" s="399" t="s">
        <v>3178</v>
      </c>
      <c r="AC1642" s="532" t="s">
        <v>4521</v>
      </c>
      <c r="AD1642" s="490"/>
      <c r="AE1642" s="490"/>
      <c r="AF1642" s="490"/>
      <c r="AG1642" s="491" t="s">
        <v>4489</v>
      </c>
      <c r="AH1642" s="489" t="s">
        <v>3851</v>
      </c>
      <c r="AI1642" s="490"/>
      <c r="AJ1642" s="490"/>
      <c r="AK1642" s="399"/>
      <c r="AL1642" s="531"/>
      <c r="AM1642" s="531"/>
      <c r="AN1642" s="531"/>
      <c r="AO1642" s="489"/>
      <c r="AP1642" s="489"/>
      <c r="AQ1642" s="489"/>
      <c r="AR1642" s="489"/>
      <c r="AS1642" s="489"/>
      <c r="AT1642" s="490"/>
      <c r="AU1642" s="490"/>
      <c r="AV1642" s="490"/>
      <c r="AW1642" s="541"/>
      <c r="AX1642" s="541"/>
      <c r="AY1642" s="541"/>
      <c r="AZ1642" s="541"/>
      <c r="BA1642" s="541"/>
      <c r="BB1642" s="490"/>
      <c r="BC1642" s="399" t="e">
        <f t="shared" ca="1" si="2"/>
        <v>#NAME?</v>
      </c>
      <c r="BD1642" s="490"/>
      <c r="BE1642" s="490"/>
      <c r="BF1642" s="490"/>
      <c r="BG1642" s="495"/>
      <c r="BH1642" s="407"/>
      <c r="BI1642" s="407"/>
      <c r="BJ1642" s="543"/>
      <c r="BK1642" s="46">
        <f t="shared" si="1"/>
        <v>1</v>
      </c>
      <c r="BL1642" s="46">
        <f t="shared" si="3"/>
        <v>0</v>
      </c>
      <c r="BM1642" s="46">
        <f t="shared" si="4"/>
        <v>1</v>
      </c>
      <c r="BN1642" s="46">
        <f t="shared" si="5"/>
        <v>0</v>
      </c>
    </row>
    <row r="1643" spans="1:66" ht="12.75" customHeight="1">
      <c r="A1643" s="399">
        <v>1654</v>
      </c>
      <c r="B1643" s="399" t="s">
        <v>5759</v>
      </c>
      <c r="C1643" s="399" t="e">
        <f t="shared" ca="1" si="0"/>
        <v>#NAME?</v>
      </c>
      <c r="D1643" s="400" t="s">
        <v>5755</v>
      </c>
      <c r="E1643" s="399" t="s">
        <v>180</v>
      </c>
      <c r="F1643" s="400" t="s">
        <v>961</v>
      </c>
      <c r="G1643" s="400"/>
      <c r="H1643" s="400"/>
      <c r="I1643" s="400"/>
      <c r="J1643" s="400"/>
      <c r="K1643" s="400">
        <v>1</v>
      </c>
      <c r="L1643" s="400" t="s">
        <v>3333</v>
      </c>
      <c r="M1643" s="402" t="s">
        <v>961</v>
      </c>
      <c r="N1643" s="402"/>
      <c r="O1643" s="428" t="s">
        <v>4417</v>
      </c>
      <c r="P1643" s="635"/>
      <c r="Q1643" s="400" t="s">
        <v>5756</v>
      </c>
      <c r="R1643" s="509"/>
      <c r="S1643" s="490" t="s">
        <v>5757</v>
      </c>
      <c r="T1643" s="490" t="s">
        <v>5758</v>
      </c>
      <c r="U1643" s="490"/>
      <c r="V1643" s="489"/>
      <c r="W1643" s="489" t="s">
        <v>5755</v>
      </c>
      <c r="X1643" s="490"/>
      <c r="Y1643" s="490" t="s">
        <v>208</v>
      </c>
      <c r="Z1643" s="490"/>
      <c r="AA1643" s="399" t="s">
        <v>113</v>
      </c>
      <c r="AB1643" s="399" t="s">
        <v>3178</v>
      </c>
      <c r="AC1643" s="532" t="s">
        <v>4521</v>
      </c>
      <c r="AD1643" s="490"/>
      <c r="AE1643" s="490"/>
      <c r="AF1643" s="490"/>
      <c r="AG1643" s="491" t="s">
        <v>4489</v>
      </c>
      <c r="AH1643" s="489" t="s">
        <v>3851</v>
      </c>
      <c r="AI1643" s="490"/>
      <c r="AJ1643" s="490"/>
      <c r="AK1643" s="399"/>
      <c r="AL1643" s="531"/>
      <c r="AM1643" s="531"/>
      <c r="AN1643" s="531"/>
      <c r="AO1643" s="489"/>
      <c r="AP1643" s="489"/>
      <c r="AQ1643" s="489"/>
      <c r="AR1643" s="489"/>
      <c r="AS1643" s="489"/>
      <c r="AT1643" s="490"/>
      <c r="AU1643" s="490"/>
      <c r="AV1643" s="490"/>
      <c r="AW1643" s="541"/>
      <c r="AX1643" s="541"/>
      <c r="AY1643" s="541"/>
      <c r="AZ1643" s="541"/>
      <c r="BA1643" s="541"/>
      <c r="BB1643" s="490"/>
      <c r="BC1643" s="399" t="e">
        <f t="shared" ca="1" si="2"/>
        <v>#NAME?</v>
      </c>
      <c r="BD1643" s="490"/>
      <c r="BE1643" s="490"/>
      <c r="BF1643" s="490"/>
      <c r="BG1643" s="495"/>
      <c r="BH1643" s="407"/>
      <c r="BI1643" s="407"/>
      <c r="BJ1643" s="543"/>
      <c r="BK1643" s="46">
        <f t="shared" si="1"/>
        <v>1</v>
      </c>
      <c r="BL1643" s="46">
        <f t="shared" si="3"/>
        <v>0</v>
      </c>
      <c r="BM1643" s="46">
        <f t="shared" si="4"/>
        <v>1</v>
      </c>
      <c r="BN1643" s="46">
        <f t="shared" si="5"/>
        <v>0</v>
      </c>
    </row>
    <row r="1644" spans="1:66" ht="12.75" customHeight="1">
      <c r="A1644" s="399">
        <v>1655</v>
      </c>
      <c r="B1644" s="399" t="s">
        <v>5763</v>
      </c>
      <c r="C1644" s="399" t="e">
        <f t="shared" ca="1" si="0"/>
        <v>#NAME?</v>
      </c>
      <c r="D1644" s="400" t="s">
        <v>5760</v>
      </c>
      <c r="E1644" s="399" t="s">
        <v>180</v>
      </c>
      <c r="F1644" s="400" t="s">
        <v>961</v>
      </c>
      <c r="G1644" s="400"/>
      <c r="H1644" s="400"/>
      <c r="I1644" s="400"/>
      <c r="J1644" s="400"/>
      <c r="K1644" s="400">
        <v>1</v>
      </c>
      <c r="L1644" s="400" t="s">
        <v>3333</v>
      </c>
      <c r="M1644" s="402" t="s">
        <v>961</v>
      </c>
      <c r="N1644" s="402"/>
      <c r="O1644" s="428" t="s">
        <v>4417</v>
      </c>
      <c r="P1644" s="635"/>
      <c r="Q1644" s="400" t="s">
        <v>5761</v>
      </c>
      <c r="R1644" s="509"/>
      <c r="S1644" s="490" t="s">
        <v>5760</v>
      </c>
      <c r="T1644" s="490" t="s">
        <v>5762</v>
      </c>
      <c r="U1644" s="490"/>
      <c r="V1644" s="489"/>
      <c r="W1644" s="489" t="s">
        <v>5760</v>
      </c>
      <c r="X1644" s="490"/>
      <c r="Y1644" s="490" t="s">
        <v>208</v>
      </c>
      <c r="Z1644" s="490"/>
      <c r="AA1644" s="399" t="s">
        <v>113</v>
      </c>
      <c r="AB1644" s="399" t="s">
        <v>3178</v>
      </c>
      <c r="AC1644" s="532" t="s">
        <v>4521</v>
      </c>
      <c r="AD1644" s="490"/>
      <c r="AE1644" s="490"/>
      <c r="AF1644" s="490"/>
      <c r="AG1644" s="491" t="s">
        <v>4489</v>
      </c>
      <c r="AH1644" s="489" t="s">
        <v>3851</v>
      </c>
      <c r="AI1644" s="490"/>
      <c r="AJ1644" s="490"/>
      <c r="AK1644" s="399"/>
      <c r="AL1644" s="531"/>
      <c r="AM1644" s="531"/>
      <c r="AN1644" s="531"/>
      <c r="AO1644" s="489"/>
      <c r="AP1644" s="489"/>
      <c r="AQ1644" s="489"/>
      <c r="AR1644" s="489"/>
      <c r="AS1644" s="489"/>
      <c r="AT1644" s="490"/>
      <c r="AU1644" s="490"/>
      <c r="AV1644" s="490"/>
      <c r="AW1644" s="541"/>
      <c r="AX1644" s="541"/>
      <c r="AY1644" s="541"/>
      <c r="AZ1644" s="541"/>
      <c r="BA1644" s="541"/>
      <c r="BB1644" s="490"/>
      <c r="BC1644" s="399" t="e">
        <f t="shared" ca="1" si="2"/>
        <v>#NAME?</v>
      </c>
      <c r="BD1644" s="490"/>
      <c r="BE1644" s="490"/>
      <c r="BF1644" s="490"/>
      <c r="BG1644" s="495"/>
      <c r="BH1644" s="407"/>
      <c r="BI1644" s="407"/>
      <c r="BJ1644" s="543"/>
      <c r="BK1644" s="46">
        <f t="shared" si="1"/>
        <v>1</v>
      </c>
      <c r="BL1644" s="46">
        <f t="shared" si="3"/>
        <v>0</v>
      </c>
      <c r="BM1644" s="46">
        <f t="shared" si="4"/>
        <v>1</v>
      </c>
      <c r="BN1644" s="46">
        <f t="shared" si="5"/>
        <v>0</v>
      </c>
    </row>
    <row r="1645" spans="1:66" ht="12.75" customHeight="1">
      <c r="A1645" s="399">
        <v>1656</v>
      </c>
      <c r="B1645" s="399" t="s">
        <v>5765</v>
      </c>
      <c r="C1645" s="399" t="str">
        <f t="shared" si="0"/>
        <v>Systemic lupus erythematosus category</v>
      </c>
      <c r="D1645" s="400" t="s">
        <v>5765</v>
      </c>
      <c r="E1645" s="399" t="s">
        <v>96</v>
      </c>
      <c r="F1645" s="400" t="s">
        <v>1787</v>
      </c>
      <c r="G1645" s="400"/>
      <c r="H1645" s="400"/>
      <c r="I1645" s="400"/>
      <c r="J1645" s="400"/>
      <c r="K1645" s="400">
        <v>1</v>
      </c>
      <c r="L1645" s="400" t="s">
        <v>3333</v>
      </c>
      <c r="M1645" s="402" t="s">
        <v>4518</v>
      </c>
      <c r="N1645" s="400"/>
      <c r="O1645" s="428" t="s">
        <v>4417</v>
      </c>
      <c r="P1645" s="428"/>
      <c r="Q1645" s="399" t="s">
        <v>5766</v>
      </c>
      <c r="R1645" s="509" t="s">
        <v>5765</v>
      </c>
      <c r="S1645" s="399"/>
      <c r="T1645" s="490" t="s">
        <v>5767</v>
      </c>
      <c r="U1645" s="399" t="s">
        <v>4823</v>
      </c>
      <c r="V1645" s="565"/>
      <c r="W1645" s="565"/>
      <c r="X1645" s="517"/>
      <c r="Y1645" s="399" t="s">
        <v>208</v>
      </c>
      <c r="Z1645" s="399"/>
      <c r="AA1645" s="399" t="s">
        <v>113</v>
      </c>
      <c r="AB1645" s="399" t="s">
        <v>3178</v>
      </c>
      <c r="AC1645" s="532" t="s">
        <v>5825</v>
      </c>
      <c r="AD1645" s="400"/>
      <c r="AE1645" s="399"/>
      <c r="AF1645" s="399"/>
      <c r="AG1645" s="399"/>
      <c r="AH1645" s="532" t="s">
        <v>3851</v>
      </c>
      <c r="AI1645" s="399"/>
      <c r="AJ1645" s="400"/>
      <c r="AK1645" s="399"/>
      <c r="AL1645" s="399"/>
      <c r="AM1645" s="399"/>
      <c r="AN1645" s="399"/>
      <c r="AO1645" s="399"/>
      <c r="AP1645" s="399"/>
      <c r="AQ1645" s="399"/>
      <c r="AR1645" s="399"/>
      <c r="AS1645" s="399"/>
      <c r="AT1645" s="399"/>
      <c r="AU1645" s="399"/>
      <c r="AV1645" s="399"/>
      <c r="AW1645" s="411"/>
      <c r="AX1645" s="411"/>
      <c r="AY1645" s="411"/>
      <c r="AZ1645" s="411"/>
      <c r="BA1645" s="411"/>
      <c r="BB1645" s="399"/>
      <c r="BC1645" s="399" t="str">
        <f t="shared" si="2"/>
        <v/>
      </c>
      <c r="BD1645" s="399"/>
      <c r="BE1645" s="399"/>
      <c r="BF1645" s="399"/>
      <c r="BG1645" s="540"/>
      <c r="BH1645" s="407"/>
      <c r="BI1645" s="407"/>
      <c r="BJ1645" s="412"/>
      <c r="BK1645" s="46">
        <f t="shared" si="1"/>
        <v>1</v>
      </c>
      <c r="BL1645" s="46">
        <f t="shared" si="3"/>
        <v>0</v>
      </c>
      <c r="BM1645" s="46">
        <f t="shared" si="4"/>
        <v>1</v>
      </c>
      <c r="BN1645" s="46">
        <f t="shared" si="5"/>
        <v>0</v>
      </c>
    </row>
    <row r="1646" spans="1:66" ht="12.75" customHeight="1">
      <c r="A1646" s="399">
        <v>1657</v>
      </c>
      <c r="B1646" s="399" t="s">
        <v>5773</v>
      </c>
      <c r="C1646" s="399" t="e">
        <f t="shared" ca="1" si="0"/>
        <v>#NAME?</v>
      </c>
      <c r="D1646" s="400" t="s">
        <v>5771</v>
      </c>
      <c r="E1646" s="399" t="s">
        <v>180</v>
      </c>
      <c r="F1646" s="400" t="s">
        <v>5765</v>
      </c>
      <c r="G1646" s="400"/>
      <c r="H1646" s="400"/>
      <c r="I1646" s="400"/>
      <c r="J1646" s="400"/>
      <c r="K1646" s="400">
        <v>1</v>
      </c>
      <c r="L1646" s="400" t="s">
        <v>3333</v>
      </c>
      <c r="M1646" s="402" t="s">
        <v>4518</v>
      </c>
      <c r="N1646" s="400"/>
      <c r="O1646" s="428" t="s">
        <v>4417</v>
      </c>
      <c r="P1646" s="428"/>
      <c r="Q1646" s="399" t="s">
        <v>5769</v>
      </c>
      <c r="R1646" s="428"/>
      <c r="S1646" s="399"/>
      <c r="T1646" s="399"/>
      <c r="U1646" s="399"/>
      <c r="V1646" s="489"/>
      <c r="W1646" s="489" t="s">
        <v>5771</v>
      </c>
      <c r="X1646" s="490"/>
      <c r="Y1646" s="399" t="s">
        <v>113</v>
      </c>
      <c r="Z1646" s="399" t="s">
        <v>5772</v>
      </c>
      <c r="AA1646" s="399" t="s">
        <v>113</v>
      </c>
      <c r="AB1646" s="399" t="s">
        <v>3178</v>
      </c>
      <c r="AC1646" s="532" t="s">
        <v>5825</v>
      </c>
      <c r="AD1646" s="400"/>
      <c r="AE1646" s="399"/>
      <c r="AF1646" s="399"/>
      <c r="AG1646" s="399"/>
      <c r="AH1646" s="532" t="s">
        <v>3851</v>
      </c>
      <c r="AI1646" s="399"/>
      <c r="AJ1646" s="400"/>
      <c r="AK1646" s="399"/>
      <c r="AL1646" s="399"/>
      <c r="AM1646" s="399"/>
      <c r="AN1646" s="399"/>
      <c r="AO1646" s="399"/>
      <c r="AP1646" s="399"/>
      <c r="AQ1646" s="399"/>
      <c r="AR1646" s="399"/>
      <c r="AS1646" s="399"/>
      <c r="AT1646" s="399"/>
      <c r="AU1646" s="399"/>
      <c r="AV1646" s="399"/>
      <c r="AW1646" s="411"/>
      <c r="AX1646" s="411"/>
      <c r="AY1646" s="411"/>
      <c r="AZ1646" s="411"/>
      <c r="BA1646" s="411"/>
      <c r="BB1646" s="399"/>
      <c r="BC1646" s="399" t="e">
        <f t="shared" ca="1" si="2"/>
        <v>#NAME?</v>
      </c>
      <c r="BD1646" s="399"/>
      <c r="BE1646" s="399"/>
      <c r="BF1646" s="399"/>
      <c r="BG1646" s="540"/>
      <c r="BH1646" s="407"/>
      <c r="BI1646" s="407"/>
      <c r="BJ1646" s="412"/>
      <c r="BK1646" s="46">
        <f t="shared" si="1"/>
        <v>1</v>
      </c>
      <c r="BL1646" s="46">
        <f t="shared" si="3"/>
        <v>0</v>
      </c>
      <c r="BM1646" s="46">
        <f t="shared" si="4"/>
        <v>1</v>
      </c>
      <c r="BN1646" s="46">
        <f t="shared" si="5"/>
        <v>0</v>
      </c>
    </row>
    <row r="1647" spans="1:66" ht="12.75" customHeight="1">
      <c r="A1647" s="399">
        <v>1658</v>
      </c>
      <c r="B1647" s="399" t="s">
        <v>5780</v>
      </c>
      <c r="C1647" s="399" t="e">
        <f t="shared" ca="1" si="0"/>
        <v>#NAME?</v>
      </c>
      <c r="D1647" s="400" t="s">
        <v>5778</v>
      </c>
      <c r="E1647" s="399" t="s">
        <v>180</v>
      </c>
      <c r="F1647" s="400" t="s">
        <v>5765</v>
      </c>
      <c r="G1647" s="400"/>
      <c r="H1647" s="400"/>
      <c r="I1647" s="400"/>
      <c r="J1647" s="400"/>
      <c r="K1647" s="400">
        <v>1</v>
      </c>
      <c r="L1647" s="400" t="s">
        <v>3333</v>
      </c>
      <c r="M1647" s="402" t="s">
        <v>4518</v>
      </c>
      <c r="N1647" s="400"/>
      <c r="O1647" s="428" t="s">
        <v>4417</v>
      </c>
      <c r="P1647" s="428"/>
      <c r="Q1647" s="399" t="s">
        <v>5777</v>
      </c>
      <c r="R1647" s="428"/>
      <c r="S1647" s="399"/>
      <c r="T1647" s="399"/>
      <c r="U1647" s="399"/>
      <c r="V1647" s="489"/>
      <c r="W1647" s="489" t="s">
        <v>5778</v>
      </c>
      <c r="X1647" s="490"/>
      <c r="Y1647" s="399" t="s">
        <v>113</v>
      </c>
      <c r="Z1647" s="399" t="s">
        <v>5772</v>
      </c>
      <c r="AA1647" s="399" t="s">
        <v>113</v>
      </c>
      <c r="AB1647" s="399" t="s">
        <v>3178</v>
      </c>
      <c r="AC1647" s="532" t="s">
        <v>5825</v>
      </c>
      <c r="AD1647" s="400"/>
      <c r="AE1647" s="399"/>
      <c r="AF1647" s="399"/>
      <c r="AG1647" s="399"/>
      <c r="AH1647" s="532" t="s">
        <v>3851</v>
      </c>
      <c r="AI1647" s="399"/>
      <c r="AJ1647" s="400"/>
      <c r="AK1647" s="399"/>
      <c r="AL1647" s="399"/>
      <c r="AM1647" s="399"/>
      <c r="AN1647" s="399"/>
      <c r="AO1647" s="399"/>
      <c r="AP1647" s="399"/>
      <c r="AQ1647" s="399"/>
      <c r="AR1647" s="399"/>
      <c r="AS1647" s="399"/>
      <c r="AT1647" s="399"/>
      <c r="AU1647" s="399"/>
      <c r="AV1647" s="399"/>
      <c r="AW1647" s="411"/>
      <c r="AX1647" s="411"/>
      <c r="AY1647" s="411"/>
      <c r="AZ1647" s="411"/>
      <c r="BA1647" s="411"/>
      <c r="BB1647" s="399"/>
      <c r="BC1647" s="399" t="e">
        <f t="shared" ca="1" si="2"/>
        <v>#NAME?</v>
      </c>
      <c r="BD1647" s="399"/>
      <c r="BE1647" s="399"/>
      <c r="BF1647" s="399"/>
      <c r="BG1647" s="540"/>
      <c r="BH1647" s="407"/>
      <c r="BI1647" s="407"/>
      <c r="BJ1647" s="412"/>
      <c r="BK1647" s="46">
        <f t="shared" si="1"/>
        <v>1</v>
      </c>
      <c r="BL1647" s="46">
        <f t="shared" si="3"/>
        <v>0</v>
      </c>
      <c r="BM1647" s="46">
        <f t="shared" si="4"/>
        <v>1</v>
      </c>
      <c r="BN1647" s="46">
        <f t="shared" si="5"/>
        <v>0</v>
      </c>
    </row>
    <row r="1648" spans="1:66" ht="12.75" customHeight="1">
      <c r="A1648" s="399">
        <v>1659</v>
      </c>
      <c r="B1648" s="399" t="s">
        <v>5785</v>
      </c>
      <c r="C1648" s="399" t="e">
        <f t="shared" ca="1" si="0"/>
        <v>#NAME?</v>
      </c>
      <c r="D1648" s="400" t="s">
        <v>5784</v>
      </c>
      <c r="E1648" s="399" t="s">
        <v>180</v>
      </c>
      <c r="F1648" s="400" t="s">
        <v>5765</v>
      </c>
      <c r="G1648" s="400"/>
      <c r="H1648" s="400"/>
      <c r="I1648" s="400"/>
      <c r="J1648" s="400"/>
      <c r="K1648" s="400">
        <v>1</v>
      </c>
      <c r="L1648" s="400" t="s">
        <v>3333</v>
      </c>
      <c r="M1648" s="402" t="s">
        <v>4518</v>
      </c>
      <c r="N1648" s="400"/>
      <c r="O1648" s="428" t="s">
        <v>4417</v>
      </c>
      <c r="P1648" s="428"/>
      <c r="Q1648" s="399" t="s">
        <v>5783</v>
      </c>
      <c r="R1648" s="428"/>
      <c r="S1648" s="399"/>
      <c r="T1648" s="399"/>
      <c r="U1648" s="399"/>
      <c r="V1648" s="489"/>
      <c r="W1648" s="489" t="s">
        <v>5784</v>
      </c>
      <c r="X1648" s="490"/>
      <c r="Y1648" s="399" t="s">
        <v>113</v>
      </c>
      <c r="Z1648" s="399" t="s">
        <v>5772</v>
      </c>
      <c r="AA1648" s="399" t="s">
        <v>113</v>
      </c>
      <c r="AB1648" s="399" t="s">
        <v>3178</v>
      </c>
      <c r="AC1648" s="532" t="s">
        <v>5825</v>
      </c>
      <c r="AD1648" s="400"/>
      <c r="AE1648" s="399"/>
      <c r="AF1648" s="399"/>
      <c r="AG1648" s="399"/>
      <c r="AH1648" s="532" t="s">
        <v>3851</v>
      </c>
      <c r="AI1648" s="399"/>
      <c r="AJ1648" s="400"/>
      <c r="AK1648" s="399"/>
      <c r="AL1648" s="399"/>
      <c r="AM1648" s="399"/>
      <c r="AN1648" s="399"/>
      <c r="AO1648" s="399"/>
      <c r="AP1648" s="399"/>
      <c r="AQ1648" s="399"/>
      <c r="AR1648" s="399"/>
      <c r="AS1648" s="399"/>
      <c r="AT1648" s="399"/>
      <c r="AU1648" s="399"/>
      <c r="AV1648" s="399"/>
      <c r="AW1648" s="411"/>
      <c r="AX1648" s="411"/>
      <c r="AY1648" s="411"/>
      <c r="AZ1648" s="411"/>
      <c r="BA1648" s="411"/>
      <c r="BB1648" s="399"/>
      <c r="BC1648" s="399" t="e">
        <f t="shared" ca="1" si="2"/>
        <v>#NAME?</v>
      </c>
      <c r="BD1648" s="399"/>
      <c r="BE1648" s="399"/>
      <c r="BF1648" s="399"/>
      <c r="BG1648" s="540"/>
      <c r="BH1648" s="407"/>
      <c r="BI1648" s="407"/>
      <c r="BJ1648" s="412"/>
      <c r="BK1648" s="46">
        <f t="shared" si="1"/>
        <v>1</v>
      </c>
      <c r="BL1648" s="46">
        <f t="shared" si="3"/>
        <v>0</v>
      </c>
      <c r="BM1648" s="46">
        <f t="shared" si="4"/>
        <v>1</v>
      </c>
      <c r="BN1648" s="46">
        <f t="shared" si="5"/>
        <v>0</v>
      </c>
    </row>
    <row r="1649" spans="1:66" ht="12.75" customHeight="1">
      <c r="A1649" s="399">
        <v>1660</v>
      </c>
      <c r="B1649" s="399" t="s">
        <v>1281</v>
      </c>
      <c r="C1649" s="399" t="e">
        <f t="shared" ca="1" si="0"/>
        <v>#NAME?</v>
      </c>
      <c r="D1649" s="400" t="s">
        <v>1074</v>
      </c>
      <c r="E1649" s="399" t="s">
        <v>180</v>
      </c>
      <c r="F1649" s="400" t="s">
        <v>5765</v>
      </c>
      <c r="G1649" s="400"/>
      <c r="H1649" s="400"/>
      <c r="I1649" s="400"/>
      <c r="J1649" s="400"/>
      <c r="K1649" s="400">
        <v>1</v>
      </c>
      <c r="L1649" s="400" t="s">
        <v>3333</v>
      </c>
      <c r="M1649" s="402" t="s">
        <v>4518</v>
      </c>
      <c r="N1649" s="400"/>
      <c r="O1649" s="428" t="s">
        <v>4417</v>
      </c>
      <c r="P1649" s="428"/>
      <c r="Q1649" s="399" t="s">
        <v>5788</v>
      </c>
      <c r="R1649" s="428"/>
      <c r="S1649" s="399"/>
      <c r="T1649" s="399"/>
      <c r="U1649" s="399"/>
      <c r="V1649" s="399"/>
      <c r="W1649" s="399" t="s">
        <v>1074</v>
      </c>
      <c r="X1649" s="400"/>
      <c r="Y1649" s="399" t="s">
        <v>113</v>
      </c>
      <c r="Z1649" s="399" t="s">
        <v>5789</v>
      </c>
      <c r="AA1649" s="399" t="s">
        <v>113</v>
      </c>
      <c r="AB1649" s="399" t="s">
        <v>3178</v>
      </c>
      <c r="AC1649" s="532" t="s">
        <v>5825</v>
      </c>
      <c r="AD1649" s="400"/>
      <c r="AE1649" s="399"/>
      <c r="AF1649" s="399"/>
      <c r="AG1649" s="399"/>
      <c r="AH1649" s="532" t="s">
        <v>3851</v>
      </c>
      <c r="AI1649" s="399"/>
      <c r="AJ1649" s="400"/>
      <c r="AK1649" s="399"/>
      <c r="AL1649" s="399"/>
      <c r="AM1649" s="399"/>
      <c r="AN1649" s="399"/>
      <c r="AO1649" s="399"/>
      <c r="AP1649" s="399"/>
      <c r="AQ1649" s="399"/>
      <c r="AR1649" s="399"/>
      <c r="AS1649" s="399"/>
      <c r="AT1649" s="399"/>
      <c r="AU1649" s="399"/>
      <c r="AV1649" s="399"/>
      <c r="AW1649" s="411"/>
      <c r="AX1649" s="411"/>
      <c r="AY1649" s="411"/>
      <c r="AZ1649" s="411"/>
      <c r="BA1649" s="411"/>
      <c r="BB1649" s="399"/>
      <c r="BC1649" s="399" t="e">
        <f t="shared" ca="1" si="2"/>
        <v>#NAME?</v>
      </c>
      <c r="BD1649" s="399"/>
      <c r="BE1649" s="399"/>
      <c r="BF1649" s="399"/>
      <c r="BG1649" s="540"/>
      <c r="BH1649" s="407"/>
      <c r="BI1649" s="407"/>
      <c r="BJ1649" s="412"/>
      <c r="BK1649" s="46">
        <f t="shared" si="1"/>
        <v>1</v>
      </c>
      <c r="BL1649" s="46">
        <f t="shared" si="3"/>
        <v>0</v>
      </c>
      <c r="BM1649" s="46">
        <f t="shared" si="4"/>
        <v>1</v>
      </c>
      <c r="BN1649" s="46">
        <f t="shared" si="5"/>
        <v>0</v>
      </c>
    </row>
    <row r="1650" spans="1:66" ht="12.75" customHeight="1">
      <c r="A1650" s="399">
        <v>1661</v>
      </c>
      <c r="B1650" s="409" t="s">
        <v>6172</v>
      </c>
      <c r="C1650" s="399" t="str">
        <f t="shared" si="0"/>
        <v>Vasectomy</v>
      </c>
      <c r="D1650" s="400" t="s">
        <v>4942</v>
      </c>
      <c r="E1650" s="399" t="s">
        <v>96</v>
      </c>
      <c r="F1650" s="400" t="s">
        <v>1787</v>
      </c>
      <c r="G1650" s="400"/>
      <c r="H1650" s="400"/>
      <c r="I1650" s="400"/>
      <c r="J1650" s="400"/>
      <c r="K1650" s="400">
        <v>1</v>
      </c>
      <c r="L1650" s="400" t="s">
        <v>3333</v>
      </c>
      <c r="M1650" s="402" t="s">
        <v>4081</v>
      </c>
      <c r="N1650" s="400"/>
      <c r="O1650" s="428" t="s">
        <v>4417</v>
      </c>
      <c r="P1650" s="428"/>
      <c r="Q1650" s="399" t="s">
        <v>5791</v>
      </c>
      <c r="R1650" s="428" t="s">
        <v>4942</v>
      </c>
      <c r="S1650" s="399"/>
      <c r="T1650" s="399" t="s">
        <v>5792</v>
      </c>
      <c r="U1650" s="399" t="s">
        <v>4823</v>
      </c>
      <c r="V1650" s="399"/>
      <c r="W1650" s="399"/>
      <c r="X1650" s="400"/>
      <c r="Y1650" s="399" t="s">
        <v>208</v>
      </c>
      <c r="Z1650" s="399"/>
      <c r="AA1650" s="399" t="s">
        <v>113</v>
      </c>
      <c r="AB1650" s="399" t="s">
        <v>3178</v>
      </c>
      <c r="AC1650" s="532" t="s">
        <v>6175</v>
      </c>
      <c r="AD1650" s="400"/>
      <c r="AE1650" s="399"/>
      <c r="AF1650" s="399"/>
      <c r="AG1650" s="399"/>
      <c r="AH1650" s="532" t="s">
        <v>3851</v>
      </c>
      <c r="AI1650" s="399"/>
      <c r="AJ1650" s="400"/>
      <c r="AK1650" s="399"/>
      <c r="AL1650" s="399"/>
      <c r="AM1650" s="399"/>
      <c r="AN1650" s="399"/>
      <c r="AO1650" s="399"/>
      <c r="AP1650" s="399"/>
      <c r="AQ1650" s="399"/>
      <c r="AR1650" s="399"/>
      <c r="AS1650" s="399"/>
      <c r="AT1650" s="399"/>
      <c r="AU1650" s="399"/>
      <c r="AV1650" s="399"/>
      <c r="AW1650" s="411"/>
      <c r="AX1650" s="411"/>
      <c r="AY1650" s="411"/>
      <c r="AZ1650" s="411"/>
      <c r="BA1650" s="411"/>
      <c r="BB1650" s="399"/>
      <c r="BC1650" s="399" t="str">
        <f t="shared" si="2"/>
        <v>"Vasectomy"-&gt;"Elidible for a Vasectomy"</v>
      </c>
      <c r="BD1650" s="399"/>
      <c r="BE1650" s="399"/>
      <c r="BF1650" s="399"/>
      <c r="BG1650" s="540"/>
      <c r="BH1650" s="407"/>
      <c r="BI1650" s="407"/>
      <c r="BJ1650" s="412"/>
      <c r="BK1650" s="46">
        <f t="shared" si="1"/>
        <v>1</v>
      </c>
      <c r="BL1650" s="46">
        <f t="shared" si="3"/>
        <v>0</v>
      </c>
      <c r="BM1650" s="46">
        <f t="shared" si="4"/>
        <v>1</v>
      </c>
      <c r="BN1650" s="46">
        <f t="shared" si="5"/>
        <v>0</v>
      </c>
    </row>
    <row r="1651" spans="1:66" ht="12.75" customHeight="1">
      <c r="A1651" s="399">
        <v>1662</v>
      </c>
      <c r="B1651" s="399" t="s">
        <v>5799</v>
      </c>
      <c r="C1651" s="399" t="e">
        <f t="shared" ca="1" si="0"/>
        <v>#NAME?</v>
      </c>
      <c r="D1651" s="400" t="s">
        <v>5797</v>
      </c>
      <c r="E1651" s="399" t="s">
        <v>180</v>
      </c>
      <c r="F1651" s="400" t="s">
        <v>4942</v>
      </c>
      <c r="G1651" s="400"/>
      <c r="H1651" s="400"/>
      <c r="I1651" s="400"/>
      <c r="J1651" s="400"/>
      <c r="K1651" s="400">
        <v>1</v>
      </c>
      <c r="L1651" s="400" t="s">
        <v>3333</v>
      </c>
      <c r="M1651" s="402" t="s">
        <v>4081</v>
      </c>
      <c r="N1651" s="400"/>
      <c r="O1651" s="428" t="s">
        <v>4417</v>
      </c>
      <c r="P1651" s="428"/>
      <c r="Q1651" s="399" t="s">
        <v>5798</v>
      </c>
      <c r="R1651" s="428"/>
      <c r="S1651" s="399"/>
      <c r="T1651" s="399"/>
      <c r="U1651" s="399"/>
      <c r="V1651" s="489"/>
      <c r="W1651" s="489" t="s">
        <v>5797</v>
      </c>
      <c r="X1651" s="490"/>
      <c r="Y1651" s="399" t="s">
        <v>208</v>
      </c>
      <c r="Z1651" s="399"/>
      <c r="AA1651" s="399" t="s">
        <v>113</v>
      </c>
      <c r="AB1651" s="399" t="s">
        <v>3178</v>
      </c>
      <c r="AC1651" s="617" t="s">
        <v>5851</v>
      </c>
      <c r="AD1651" s="400"/>
      <c r="AE1651" s="399"/>
      <c r="AF1651" s="399"/>
      <c r="AG1651" s="399"/>
      <c r="AH1651" s="532" t="s">
        <v>3851</v>
      </c>
      <c r="AI1651" s="399"/>
      <c r="AJ1651" s="400"/>
      <c r="AK1651" s="399"/>
      <c r="AL1651" s="399"/>
      <c r="AM1651" s="399"/>
      <c r="AN1651" s="399"/>
      <c r="AO1651" s="399"/>
      <c r="AP1651" s="399"/>
      <c r="AQ1651" s="399"/>
      <c r="AR1651" s="399"/>
      <c r="AS1651" s="399"/>
      <c r="AT1651" s="399"/>
      <c r="AU1651" s="399"/>
      <c r="AV1651" s="399"/>
      <c r="AW1651" s="411"/>
      <c r="AX1651" s="411"/>
      <c r="AY1651" s="411"/>
      <c r="AZ1651" s="411"/>
      <c r="BA1651" s="411"/>
      <c r="BB1651" s="399"/>
      <c r="BC1651" s="399" t="e">
        <f t="shared" ca="1" si="2"/>
        <v>#NAME?</v>
      </c>
      <c r="BD1651" s="399"/>
      <c r="BE1651" s="399"/>
      <c r="BF1651" s="399"/>
      <c r="BG1651" s="540"/>
      <c r="BH1651" s="407"/>
      <c r="BI1651" s="407"/>
      <c r="BJ1651" s="412"/>
      <c r="BK1651" s="46">
        <f t="shared" si="1"/>
        <v>1</v>
      </c>
      <c r="BL1651" s="46">
        <f t="shared" si="3"/>
        <v>0</v>
      </c>
      <c r="BM1651" s="46">
        <f t="shared" si="4"/>
        <v>1</v>
      </c>
      <c r="BN1651" s="46">
        <f t="shared" si="5"/>
        <v>0</v>
      </c>
    </row>
    <row r="1652" spans="1:66" ht="12.75" customHeight="1">
      <c r="A1652" s="399">
        <v>1663</v>
      </c>
      <c r="B1652" s="399" t="s">
        <v>5804</v>
      </c>
      <c r="C1652" s="399" t="e">
        <f t="shared" ca="1" si="0"/>
        <v>#NAME?</v>
      </c>
      <c r="D1652" s="400" t="s">
        <v>5802</v>
      </c>
      <c r="E1652" s="399" t="s">
        <v>180</v>
      </c>
      <c r="F1652" s="400" t="s">
        <v>4942</v>
      </c>
      <c r="G1652" s="400"/>
      <c r="H1652" s="400"/>
      <c r="I1652" s="400"/>
      <c r="J1652" s="400"/>
      <c r="K1652" s="400">
        <v>1</v>
      </c>
      <c r="L1652" s="400" t="s">
        <v>3333</v>
      </c>
      <c r="M1652" s="402" t="s">
        <v>4081</v>
      </c>
      <c r="N1652" s="400"/>
      <c r="O1652" s="428" t="s">
        <v>4417</v>
      </c>
      <c r="P1652" s="428"/>
      <c r="Q1652" s="399" t="s">
        <v>5803</v>
      </c>
      <c r="R1652" s="428"/>
      <c r="S1652" s="399"/>
      <c r="T1652" s="399"/>
      <c r="U1652" s="399"/>
      <c r="V1652" s="565"/>
      <c r="W1652" s="565" t="s">
        <v>5802</v>
      </c>
      <c r="X1652" s="517"/>
      <c r="Y1652" s="399" t="s">
        <v>208</v>
      </c>
      <c r="Z1652" s="399"/>
      <c r="AA1652" s="399" t="s">
        <v>113</v>
      </c>
      <c r="AB1652" s="399" t="s">
        <v>3178</v>
      </c>
      <c r="AC1652" s="617" t="s">
        <v>5851</v>
      </c>
      <c r="AD1652" s="400"/>
      <c r="AE1652" s="399"/>
      <c r="AF1652" s="399"/>
      <c r="AG1652" s="399"/>
      <c r="AH1652" s="532" t="s">
        <v>3851</v>
      </c>
      <c r="AI1652" s="399"/>
      <c r="AJ1652" s="400"/>
      <c r="AK1652" s="399"/>
      <c r="AL1652" s="399"/>
      <c r="AM1652" s="399"/>
      <c r="AN1652" s="399"/>
      <c r="AO1652" s="399"/>
      <c r="AP1652" s="399"/>
      <c r="AQ1652" s="399"/>
      <c r="AR1652" s="399"/>
      <c r="AS1652" s="399"/>
      <c r="AT1652" s="399"/>
      <c r="AU1652" s="399"/>
      <c r="AV1652" s="399"/>
      <c r="AW1652" s="411"/>
      <c r="AX1652" s="411"/>
      <c r="AY1652" s="411"/>
      <c r="AZ1652" s="411"/>
      <c r="BA1652" s="411"/>
      <c r="BB1652" s="399"/>
      <c r="BC1652" s="399" t="e">
        <f t="shared" ca="1" si="2"/>
        <v>#NAME?</v>
      </c>
      <c r="BD1652" s="399"/>
      <c r="BE1652" s="399"/>
      <c r="BF1652" s="399"/>
      <c r="BG1652" s="540"/>
      <c r="BH1652" s="407"/>
      <c r="BI1652" s="407"/>
      <c r="BJ1652" s="412"/>
      <c r="BK1652" s="46">
        <f t="shared" si="1"/>
        <v>1</v>
      </c>
      <c r="BL1652" s="46">
        <f t="shared" si="3"/>
        <v>0</v>
      </c>
      <c r="BM1652" s="46">
        <f t="shared" si="4"/>
        <v>1</v>
      </c>
      <c r="BN1652" s="46">
        <f t="shared" si="5"/>
        <v>0</v>
      </c>
    </row>
    <row r="1653" spans="1:66" ht="12.75" customHeight="1">
      <c r="A1653" s="399">
        <v>1664</v>
      </c>
      <c r="B1653" s="399" t="s">
        <v>5809</v>
      </c>
      <c r="C1653" s="399" t="e">
        <f t="shared" ca="1" si="0"/>
        <v>#NAME?</v>
      </c>
      <c r="D1653" s="400" t="s">
        <v>5807</v>
      </c>
      <c r="E1653" s="399" t="s">
        <v>180</v>
      </c>
      <c r="F1653" s="400" t="s">
        <v>4942</v>
      </c>
      <c r="G1653" s="400"/>
      <c r="H1653" s="400"/>
      <c r="I1653" s="400"/>
      <c r="J1653" s="400"/>
      <c r="K1653" s="400">
        <v>1</v>
      </c>
      <c r="L1653" s="400" t="s">
        <v>3333</v>
      </c>
      <c r="M1653" s="402" t="s">
        <v>4081</v>
      </c>
      <c r="N1653" s="400"/>
      <c r="O1653" s="428" t="s">
        <v>4417</v>
      </c>
      <c r="P1653" s="428"/>
      <c r="Q1653" s="399" t="s">
        <v>5808</v>
      </c>
      <c r="R1653" s="428"/>
      <c r="S1653" s="399"/>
      <c r="T1653" s="399"/>
      <c r="U1653" s="399"/>
      <c r="V1653" s="565"/>
      <c r="W1653" s="565" t="s">
        <v>5807</v>
      </c>
      <c r="X1653" s="517"/>
      <c r="Y1653" s="399" t="s">
        <v>208</v>
      </c>
      <c r="Z1653" s="399"/>
      <c r="AA1653" s="399" t="s">
        <v>113</v>
      </c>
      <c r="AB1653" s="399" t="s">
        <v>3178</v>
      </c>
      <c r="AC1653" s="617" t="s">
        <v>5851</v>
      </c>
      <c r="AD1653" s="400"/>
      <c r="AE1653" s="399"/>
      <c r="AF1653" s="399"/>
      <c r="AG1653" s="399"/>
      <c r="AH1653" s="532" t="s">
        <v>3851</v>
      </c>
      <c r="AI1653" s="399"/>
      <c r="AJ1653" s="400"/>
      <c r="AK1653" s="399"/>
      <c r="AL1653" s="399"/>
      <c r="AM1653" s="399"/>
      <c r="AN1653" s="399"/>
      <c r="AO1653" s="399"/>
      <c r="AP1653" s="399"/>
      <c r="AQ1653" s="399"/>
      <c r="AR1653" s="399"/>
      <c r="AS1653" s="399"/>
      <c r="AT1653" s="399"/>
      <c r="AU1653" s="399"/>
      <c r="AV1653" s="399"/>
      <c r="AW1653" s="411"/>
      <c r="AX1653" s="411"/>
      <c r="AY1653" s="411"/>
      <c r="AZ1653" s="411"/>
      <c r="BA1653" s="411"/>
      <c r="BB1653" s="399"/>
      <c r="BC1653" s="399" t="e">
        <f t="shared" ca="1" si="2"/>
        <v>#NAME?</v>
      </c>
      <c r="BD1653" s="399"/>
      <c r="BE1653" s="399"/>
      <c r="BF1653" s="399"/>
      <c r="BG1653" s="540"/>
      <c r="BH1653" s="407"/>
      <c r="BI1653" s="407"/>
      <c r="BJ1653" s="412"/>
      <c r="BK1653" s="46">
        <f t="shared" si="1"/>
        <v>1</v>
      </c>
      <c r="BL1653" s="46">
        <f t="shared" si="3"/>
        <v>0</v>
      </c>
      <c r="BM1653" s="46">
        <f t="shared" si="4"/>
        <v>1</v>
      </c>
      <c r="BN1653" s="46">
        <f t="shared" si="5"/>
        <v>0</v>
      </c>
    </row>
    <row r="1654" spans="1:66" ht="12.75" customHeight="1">
      <c r="A1654" s="399">
        <v>1665</v>
      </c>
      <c r="B1654" s="399" t="s">
        <v>5815</v>
      </c>
      <c r="C1654" s="399" t="e">
        <f t="shared" ca="1" si="0"/>
        <v>#NAME?</v>
      </c>
      <c r="D1654" s="400" t="s">
        <v>5813</v>
      </c>
      <c r="E1654" s="399" t="s">
        <v>180</v>
      </c>
      <c r="F1654" s="400" t="s">
        <v>4942</v>
      </c>
      <c r="G1654" s="400"/>
      <c r="H1654" s="400"/>
      <c r="I1654" s="400"/>
      <c r="J1654" s="400"/>
      <c r="K1654" s="400">
        <v>1</v>
      </c>
      <c r="L1654" s="400" t="s">
        <v>3333</v>
      </c>
      <c r="M1654" s="402" t="s">
        <v>4081</v>
      </c>
      <c r="N1654" s="400"/>
      <c r="O1654" s="428" t="s">
        <v>4417</v>
      </c>
      <c r="P1654" s="428"/>
      <c r="Q1654" s="399" t="s">
        <v>5814</v>
      </c>
      <c r="R1654" s="428"/>
      <c r="S1654" s="399"/>
      <c r="T1654" s="399"/>
      <c r="U1654" s="399"/>
      <c r="V1654" s="565"/>
      <c r="W1654" s="565" t="s">
        <v>5813</v>
      </c>
      <c r="X1654" s="517"/>
      <c r="Y1654" s="399" t="s">
        <v>208</v>
      </c>
      <c r="Z1654" s="399"/>
      <c r="AA1654" s="399" t="s">
        <v>113</v>
      </c>
      <c r="AB1654" s="399" t="s">
        <v>3178</v>
      </c>
      <c r="AC1654" s="617" t="s">
        <v>5851</v>
      </c>
      <c r="AD1654" s="400"/>
      <c r="AE1654" s="399"/>
      <c r="AF1654" s="399"/>
      <c r="AG1654" s="399"/>
      <c r="AH1654" s="532" t="s">
        <v>3851</v>
      </c>
      <c r="AI1654" s="399"/>
      <c r="AJ1654" s="400"/>
      <c r="AK1654" s="399"/>
      <c r="AL1654" s="399"/>
      <c r="AM1654" s="399"/>
      <c r="AN1654" s="399"/>
      <c r="AO1654" s="399"/>
      <c r="AP1654" s="399"/>
      <c r="AQ1654" s="399"/>
      <c r="AR1654" s="399"/>
      <c r="AS1654" s="399"/>
      <c r="AT1654" s="399"/>
      <c r="AU1654" s="399"/>
      <c r="AV1654" s="399"/>
      <c r="AW1654" s="411"/>
      <c r="AX1654" s="411"/>
      <c r="AY1654" s="411"/>
      <c r="AZ1654" s="411"/>
      <c r="BA1654" s="411"/>
      <c r="BB1654" s="399"/>
      <c r="BC1654" s="399" t="e">
        <f t="shared" ca="1" si="2"/>
        <v>#NAME?</v>
      </c>
      <c r="BD1654" s="399"/>
      <c r="BE1654" s="399"/>
      <c r="BF1654" s="399"/>
      <c r="BG1654" s="540"/>
      <c r="BH1654" s="407"/>
      <c r="BI1654" s="407"/>
      <c r="BJ1654" s="412"/>
      <c r="BK1654" s="46">
        <f t="shared" si="1"/>
        <v>1</v>
      </c>
      <c r="BL1654" s="46">
        <f t="shared" si="3"/>
        <v>0</v>
      </c>
      <c r="BM1654" s="46">
        <f t="shared" si="4"/>
        <v>1</v>
      </c>
      <c r="BN1654" s="46">
        <f t="shared" si="5"/>
        <v>0</v>
      </c>
    </row>
    <row r="1655" spans="1:66" ht="12.75" customHeight="1">
      <c r="A1655" s="399">
        <v>1666</v>
      </c>
      <c r="B1655" s="399" t="s">
        <v>5822</v>
      </c>
      <c r="C1655" s="399" t="e">
        <f t="shared" ca="1" si="0"/>
        <v>#NAME?</v>
      </c>
      <c r="D1655" s="400" t="s">
        <v>5820</v>
      </c>
      <c r="E1655" s="399" t="s">
        <v>180</v>
      </c>
      <c r="F1655" s="400" t="s">
        <v>4942</v>
      </c>
      <c r="G1655" s="400"/>
      <c r="H1655" s="400"/>
      <c r="I1655" s="400"/>
      <c r="J1655" s="400"/>
      <c r="K1655" s="400">
        <v>1</v>
      </c>
      <c r="L1655" s="400" t="s">
        <v>3333</v>
      </c>
      <c r="M1655" s="402" t="s">
        <v>4081</v>
      </c>
      <c r="N1655" s="400"/>
      <c r="O1655" s="428" t="s">
        <v>4417</v>
      </c>
      <c r="P1655" s="428"/>
      <c r="Q1655" s="399" t="s">
        <v>5821</v>
      </c>
      <c r="R1655" s="428"/>
      <c r="S1655" s="399"/>
      <c r="T1655" s="399"/>
      <c r="U1655" s="399"/>
      <c r="V1655" s="565"/>
      <c r="W1655" s="565" t="s">
        <v>5820</v>
      </c>
      <c r="X1655" s="517"/>
      <c r="Y1655" s="399" t="s">
        <v>208</v>
      </c>
      <c r="Z1655" s="399"/>
      <c r="AA1655" s="399" t="s">
        <v>113</v>
      </c>
      <c r="AB1655" s="399" t="s">
        <v>3178</v>
      </c>
      <c r="AC1655" s="617" t="s">
        <v>5851</v>
      </c>
      <c r="AD1655" s="400"/>
      <c r="AE1655" s="399"/>
      <c r="AF1655" s="399"/>
      <c r="AG1655" s="399"/>
      <c r="AH1655" s="532" t="s">
        <v>3851</v>
      </c>
      <c r="AI1655" s="399"/>
      <c r="AJ1655" s="400"/>
      <c r="AK1655" s="399"/>
      <c r="AL1655" s="399"/>
      <c r="AM1655" s="399"/>
      <c r="AN1655" s="399"/>
      <c r="AO1655" s="399"/>
      <c r="AP1655" s="399"/>
      <c r="AQ1655" s="399"/>
      <c r="AR1655" s="399"/>
      <c r="AS1655" s="399"/>
      <c r="AT1655" s="399"/>
      <c r="AU1655" s="399"/>
      <c r="AV1655" s="399"/>
      <c r="AW1655" s="411"/>
      <c r="AX1655" s="411"/>
      <c r="AY1655" s="411"/>
      <c r="AZ1655" s="411"/>
      <c r="BA1655" s="411"/>
      <c r="BB1655" s="399"/>
      <c r="BC1655" s="399" t="e">
        <f t="shared" ca="1" si="2"/>
        <v>#NAME?</v>
      </c>
      <c r="BD1655" s="399"/>
      <c r="BE1655" s="399"/>
      <c r="BF1655" s="399"/>
      <c r="BG1655" s="540"/>
      <c r="BH1655" s="407"/>
      <c r="BI1655" s="407"/>
      <c r="BJ1655" s="412"/>
      <c r="BK1655" s="46">
        <f t="shared" si="1"/>
        <v>1</v>
      </c>
      <c r="BL1655" s="46">
        <f t="shared" si="3"/>
        <v>0</v>
      </c>
      <c r="BM1655" s="46">
        <f t="shared" si="4"/>
        <v>1</v>
      </c>
      <c r="BN1655" s="46">
        <f t="shared" si="5"/>
        <v>0</v>
      </c>
    </row>
    <row r="1656" spans="1:66" ht="12.75" customHeight="1">
      <c r="A1656" s="399">
        <v>1667</v>
      </c>
      <c r="B1656" s="399" t="s">
        <v>5829</v>
      </c>
      <c r="C1656" s="399" t="e">
        <f t="shared" ca="1" si="0"/>
        <v>#NAME?</v>
      </c>
      <c r="D1656" s="400" t="s">
        <v>5826</v>
      </c>
      <c r="E1656" s="399" t="s">
        <v>180</v>
      </c>
      <c r="F1656" s="400" t="s">
        <v>4942</v>
      </c>
      <c r="G1656" s="400"/>
      <c r="H1656" s="400"/>
      <c r="I1656" s="400"/>
      <c r="J1656" s="400"/>
      <c r="K1656" s="400">
        <v>1</v>
      </c>
      <c r="L1656" s="400" t="s">
        <v>3333</v>
      </c>
      <c r="M1656" s="402" t="s">
        <v>4081</v>
      </c>
      <c r="N1656" s="400"/>
      <c r="O1656" s="428" t="s">
        <v>4417</v>
      </c>
      <c r="P1656" s="428"/>
      <c r="Q1656" s="399" t="s">
        <v>5827</v>
      </c>
      <c r="R1656" s="428"/>
      <c r="S1656" s="399"/>
      <c r="T1656" s="399"/>
      <c r="U1656" s="399"/>
      <c r="V1656" s="399"/>
      <c r="W1656" s="399" t="s">
        <v>5826</v>
      </c>
      <c r="X1656" s="400"/>
      <c r="Y1656" s="399" t="s">
        <v>208</v>
      </c>
      <c r="Z1656" s="399"/>
      <c r="AA1656" s="399" t="s">
        <v>113</v>
      </c>
      <c r="AB1656" s="399" t="s">
        <v>3178</v>
      </c>
      <c r="AC1656" s="617" t="s">
        <v>5851</v>
      </c>
      <c r="AD1656" s="400"/>
      <c r="AE1656" s="399"/>
      <c r="AF1656" s="399"/>
      <c r="AG1656" s="399"/>
      <c r="AH1656" s="532" t="s">
        <v>3851</v>
      </c>
      <c r="AI1656" s="399"/>
      <c r="AJ1656" s="400"/>
      <c r="AK1656" s="399"/>
      <c r="AL1656" s="399"/>
      <c r="AM1656" s="399"/>
      <c r="AN1656" s="399"/>
      <c r="AO1656" s="399"/>
      <c r="AP1656" s="399"/>
      <c r="AQ1656" s="399"/>
      <c r="AR1656" s="399"/>
      <c r="AS1656" s="399"/>
      <c r="AT1656" s="399"/>
      <c r="AU1656" s="399"/>
      <c r="AV1656" s="399"/>
      <c r="AW1656" s="411"/>
      <c r="AX1656" s="411"/>
      <c r="AY1656" s="411"/>
      <c r="AZ1656" s="411"/>
      <c r="BA1656" s="411"/>
      <c r="BB1656" s="399"/>
      <c r="BC1656" s="399" t="e">
        <f t="shared" ca="1" si="2"/>
        <v>#NAME?</v>
      </c>
      <c r="BD1656" s="399"/>
      <c r="BE1656" s="399"/>
      <c r="BF1656" s="399"/>
      <c r="BG1656" s="540"/>
      <c r="BH1656" s="407"/>
      <c r="BI1656" s="407"/>
      <c r="BJ1656" s="412"/>
      <c r="BK1656" s="46">
        <f t="shared" si="1"/>
        <v>1</v>
      </c>
      <c r="BL1656" s="46">
        <f t="shared" si="3"/>
        <v>0</v>
      </c>
      <c r="BM1656" s="46">
        <f t="shared" si="4"/>
        <v>1</v>
      </c>
      <c r="BN1656" s="46">
        <f t="shared" si="5"/>
        <v>0</v>
      </c>
    </row>
    <row r="1657" spans="1:66" ht="12.75" customHeight="1">
      <c r="A1657" s="399">
        <v>1668</v>
      </c>
      <c r="B1657" s="399" t="s">
        <v>5833</v>
      </c>
      <c r="C1657" s="399" t="e">
        <f t="shared" ca="1" si="0"/>
        <v>#NAME?</v>
      </c>
      <c r="D1657" s="400" t="s">
        <v>5831</v>
      </c>
      <c r="E1657" s="399" t="s">
        <v>180</v>
      </c>
      <c r="F1657" s="400" t="s">
        <v>4942</v>
      </c>
      <c r="G1657" s="400"/>
      <c r="H1657" s="400"/>
      <c r="I1657" s="400"/>
      <c r="J1657" s="400"/>
      <c r="K1657" s="400">
        <v>1</v>
      </c>
      <c r="L1657" s="400" t="s">
        <v>3333</v>
      </c>
      <c r="M1657" s="402" t="s">
        <v>4081</v>
      </c>
      <c r="N1657" s="400"/>
      <c r="O1657" s="428" t="s">
        <v>4417</v>
      </c>
      <c r="P1657" s="428"/>
      <c r="Q1657" s="399" t="s">
        <v>5832</v>
      </c>
      <c r="R1657" s="428"/>
      <c r="S1657" s="399"/>
      <c r="T1657" s="399"/>
      <c r="U1657" s="399"/>
      <c r="V1657" s="399"/>
      <c r="W1657" s="399" t="s">
        <v>5831</v>
      </c>
      <c r="X1657" s="400"/>
      <c r="Y1657" s="399" t="s">
        <v>208</v>
      </c>
      <c r="Z1657" s="399"/>
      <c r="AA1657" s="399" t="s">
        <v>113</v>
      </c>
      <c r="AB1657" s="399" t="s">
        <v>3178</v>
      </c>
      <c r="AC1657" s="617" t="s">
        <v>5851</v>
      </c>
      <c r="AD1657" s="400"/>
      <c r="AE1657" s="399"/>
      <c r="AF1657" s="399"/>
      <c r="AG1657" s="399"/>
      <c r="AH1657" s="532" t="s">
        <v>3851</v>
      </c>
      <c r="AI1657" s="399"/>
      <c r="AJ1657" s="400"/>
      <c r="AK1657" s="399"/>
      <c r="AL1657" s="399"/>
      <c r="AM1657" s="399"/>
      <c r="AN1657" s="399"/>
      <c r="AO1657" s="399"/>
      <c r="AP1657" s="399"/>
      <c r="AQ1657" s="399"/>
      <c r="AR1657" s="399"/>
      <c r="AS1657" s="399"/>
      <c r="AT1657" s="399"/>
      <c r="AU1657" s="399"/>
      <c r="AV1657" s="399"/>
      <c r="AW1657" s="411"/>
      <c r="AX1657" s="411"/>
      <c r="AY1657" s="411"/>
      <c r="AZ1657" s="411"/>
      <c r="BA1657" s="411"/>
      <c r="BB1657" s="399"/>
      <c r="BC1657" s="399" t="e">
        <f t="shared" ca="1" si="2"/>
        <v>#NAME?</v>
      </c>
      <c r="BD1657" s="399"/>
      <c r="BE1657" s="399"/>
      <c r="BF1657" s="399"/>
      <c r="BG1657" s="540"/>
      <c r="BH1657" s="407"/>
      <c r="BI1657" s="407"/>
      <c r="BJ1657" s="412"/>
      <c r="BK1657" s="46">
        <f t="shared" si="1"/>
        <v>1</v>
      </c>
      <c r="BL1657" s="46">
        <f t="shared" si="3"/>
        <v>0</v>
      </c>
      <c r="BM1657" s="46">
        <f t="shared" si="4"/>
        <v>1</v>
      </c>
      <c r="BN1657" s="46">
        <f t="shared" si="5"/>
        <v>0</v>
      </c>
    </row>
    <row r="1658" spans="1:66" ht="12.75" customHeight="1">
      <c r="A1658" s="399">
        <v>1669</v>
      </c>
      <c r="B1658" s="399" t="s">
        <v>5838</v>
      </c>
      <c r="C1658" s="399" t="e">
        <f t="shared" ca="1" si="0"/>
        <v>#NAME?</v>
      </c>
      <c r="D1658" s="400" t="s">
        <v>5835</v>
      </c>
      <c r="E1658" s="399" t="s">
        <v>180</v>
      </c>
      <c r="F1658" s="400" t="s">
        <v>4942</v>
      </c>
      <c r="G1658" s="400"/>
      <c r="H1658" s="400"/>
      <c r="I1658" s="400"/>
      <c r="J1658" s="400"/>
      <c r="K1658" s="400">
        <v>1</v>
      </c>
      <c r="L1658" s="400" t="s">
        <v>3333</v>
      </c>
      <c r="M1658" s="402" t="s">
        <v>4081</v>
      </c>
      <c r="N1658" s="400"/>
      <c r="O1658" s="428" t="s">
        <v>4417</v>
      </c>
      <c r="P1658" s="428"/>
      <c r="Q1658" s="399" t="s">
        <v>5837</v>
      </c>
      <c r="R1658" s="428"/>
      <c r="S1658" s="399"/>
      <c r="T1658" s="399"/>
      <c r="U1658" s="399"/>
      <c r="V1658" s="399"/>
      <c r="W1658" s="399" t="s">
        <v>5835</v>
      </c>
      <c r="X1658" s="400"/>
      <c r="Y1658" s="399" t="s">
        <v>208</v>
      </c>
      <c r="Z1658" s="399"/>
      <c r="AA1658" s="399" t="s">
        <v>113</v>
      </c>
      <c r="AB1658" s="399" t="s">
        <v>3178</v>
      </c>
      <c r="AC1658" s="617" t="s">
        <v>5851</v>
      </c>
      <c r="AD1658" s="400"/>
      <c r="AE1658" s="399"/>
      <c r="AF1658" s="399"/>
      <c r="AG1658" s="399"/>
      <c r="AH1658" s="532" t="s">
        <v>3851</v>
      </c>
      <c r="AI1658" s="399"/>
      <c r="AJ1658" s="400"/>
      <c r="AK1658" s="399"/>
      <c r="AL1658" s="399"/>
      <c r="AM1658" s="399"/>
      <c r="AN1658" s="399"/>
      <c r="AO1658" s="399"/>
      <c r="AP1658" s="399"/>
      <c r="AQ1658" s="399"/>
      <c r="AR1658" s="399"/>
      <c r="AS1658" s="399"/>
      <c r="AT1658" s="399"/>
      <c r="AU1658" s="399"/>
      <c r="AV1658" s="399"/>
      <c r="AW1658" s="411"/>
      <c r="AX1658" s="411"/>
      <c r="AY1658" s="411"/>
      <c r="AZ1658" s="411"/>
      <c r="BA1658" s="411"/>
      <c r="BB1658" s="399"/>
      <c r="BC1658" s="399" t="e">
        <f t="shared" ca="1" si="2"/>
        <v>#NAME?</v>
      </c>
      <c r="BD1658" s="399"/>
      <c r="BE1658" s="399"/>
      <c r="BF1658" s="399"/>
      <c r="BG1658" s="540"/>
      <c r="BH1658" s="407"/>
      <c r="BI1658" s="407"/>
      <c r="BJ1658" s="412"/>
      <c r="BK1658" s="46">
        <f t="shared" si="1"/>
        <v>1</v>
      </c>
      <c r="BL1658" s="46">
        <f t="shared" si="3"/>
        <v>0</v>
      </c>
      <c r="BM1658" s="46">
        <f t="shared" si="4"/>
        <v>1</v>
      </c>
      <c r="BN1658" s="46">
        <f t="shared" si="5"/>
        <v>0</v>
      </c>
    </row>
    <row r="1659" spans="1:66" ht="12.75" customHeight="1">
      <c r="A1659" s="399">
        <v>1670</v>
      </c>
      <c r="B1659" s="399" t="s">
        <v>5845</v>
      </c>
      <c r="C1659" s="399" t="e">
        <f t="shared" ca="1" si="0"/>
        <v>#NAME?</v>
      </c>
      <c r="D1659" s="400" t="s">
        <v>5842</v>
      </c>
      <c r="E1659" s="399" t="s">
        <v>180</v>
      </c>
      <c r="F1659" s="400" t="s">
        <v>4942</v>
      </c>
      <c r="G1659" s="400"/>
      <c r="H1659" s="400"/>
      <c r="I1659" s="400"/>
      <c r="J1659" s="400"/>
      <c r="K1659" s="400">
        <v>1</v>
      </c>
      <c r="L1659" s="400" t="s">
        <v>3333</v>
      </c>
      <c r="M1659" s="402" t="s">
        <v>4081</v>
      </c>
      <c r="N1659" s="400"/>
      <c r="O1659" s="428" t="s">
        <v>4417</v>
      </c>
      <c r="P1659" s="428"/>
      <c r="Q1659" s="399" t="s">
        <v>5843</v>
      </c>
      <c r="R1659" s="428"/>
      <c r="S1659" s="399"/>
      <c r="T1659" s="399"/>
      <c r="U1659" s="399"/>
      <c r="V1659" s="399"/>
      <c r="W1659" s="399" t="s">
        <v>5842</v>
      </c>
      <c r="X1659" s="400"/>
      <c r="Y1659" s="399" t="s">
        <v>208</v>
      </c>
      <c r="Z1659" s="399"/>
      <c r="AA1659" s="399" t="s">
        <v>113</v>
      </c>
      <c r="AB1659" s="399" t="s">
        <v>3178</v>
      </c>
      <c r="AC1659" s="617" t="s">
        <v>5851</v>
      </c>
      <c r="AD1659" s="400"/>
      <c r="AE1659" s="399"/>
      <c r="AF1659" s="399"/>
      <c r="AG1659" s="399"/>
      <c r="AH1659" s="532" t="s">
        <v>3851</v>
      </c>
      <c r="AI1659" s="399"/>
      <c r="AJ1659" s="400"/>
      <c r="AK1659" s="399"/>
      <c r="AL1659" s="399"/>
      <c r="AM1659" s="399"/>
      <c r="AN1659" s="399"/>
      <c r="AO1659" s="399"/>
      <c r="AP1659" s="399"/>
      <c r="AQ1659" s="399"/>
      <c r="AR1659" s="399"/>
      <c r="AS1659" s="399"/>
      <c r="AT1659" s="399"/>
      <c r="AU1659" s="399"/>
      <c r="AV1659" s="399"/>
      <c r="AW1659" s="411"/>
      <c r="AX1659" s="411"/>
      <c r="AY1659" s="411"/>
      <c r="AZ1659" s="411"/>
      <c r="BA1659" s="411"/>
      <c r="BB1659" s="399"/>
      <c r="BC1659" s="399" t="e">
        <f t="shared" ca="1" si="2"/>
        <v>#NAME?</v>
      </c>
      <c r="BD1659" s="399"/>
      <c r="BE1659" s="399"/>
      <c r="BF1659" s="399"/>
      <c r="BG1659" s="540"/>
      <c r="BH1659" s="407"/>
      <c r="BI1659" s="407"/>
      <c r="BJ1659" s="412"/>
      <c r="BK1659" s="46">
        <f t="shared" si="1"/>
        <v>1</v>
      </c>
      <c r="BL1659" s="46">
        <f t="shared" si="3"/>
        <v>0</v>
      </c>
      <c r="BM1659" s="46">
        <f t="shared" si="4"/>
        <v>1</v>
      </c>
      <c r="BN1659" s="46">
        <f t="shared" si="5"/>
        <v>0</v>
      </c>
    </row>
    <row r="1660" spans="1:66" ht="12.75" customHeight="1">
      <c r="A1660" s="399">
        <v>1671</v>
      </c>
      <c r="B1660" s="399" t="s">
        <v>5849</v>
      </c>
      <c r="C1660" s="399" t="e">
        <f t="shared" ca="1" si="0"/>
        <v>#NAME?</v>
      </c>
      <c r="D1660" s="400" t="s">
        <v>5847</v>
      </c>
      <c r="E1660" s="399" t="s">
        <v>180</v>
      </c>
      <c r="F1660" s="400" t="s">
        <v>4942</v>
      </c>
      <c r="G1660" s="400"/>
      <c r="H1660" s="400"/>
      <c r="I1660" s="400"/>
      <c r="J1660" s="400"/>
      <c r="K1660" s="400">
        <v>1</v>
      </c>
      <c r="L1660" s="400" t="s">
        <v>3333</v>
      </c>
      <c r="M1660" s="402" t="s">
        <v>4081</v>
      </c>
      <c r="N1660" s="400"/>
      <c r="O1660" s="428" t="s">
        <v>4417</v>
      </c>
      <c r="P1660" s="428"/>
      <c r="Q1660" s="399" t="s">
        <v>5848</v>
      </c>
      <c r="R1660" s="428"/>
      <c r="S1660" s="399"/>
      <c r="T1660" s="399"/>
      <c r="U1660" s="399"/>
      <c r="V1660" s="399"/>
      <c r="W1660" s="399" t="s">
        <v>5847</v>
      </c>
      <c r="X1660" s="400"/>
      <c r="Y1660" s="399" t="s">
        <v>208</v>
      </c>
      <c r="Z1660" s="399"/>
      <c r="AA1660" s="399" t="s">
        <v>113</v>
      </c>
      <c r="AB1660" s="399" t="s">
        <v>3178</v>
      </c>
      <c r="AC1660" s="617" t="s">
        <v>5851</v>
      </c>
      <c r="AD1660" s="400"/>
      <c r="AE1660" s="399"/>
      <c r="AF1660" s="399"/>
      <c r="AG1660" s="399"/>
      <c r="AH1660" s="532" t="s">
        <v>3851</v>
      </c>
      <c r="AI1660" s="399"/>
      <c r="AJ1660" s="400"/>
      <c r="AK1660" s="399"/>
      <c r="AL1660" s="399"/>
      <c r="AM1660" s="399"/>
      <c r="AN1660" s="399"/>
      <c r="AO1660" s="399"/>
      <c r="AP1660" s="399"/>
      <c r="AQ1660" s="399"/>
      <c r="AR1660" s="399"/>
      <c r="AS1660" s="399"/>
      <c r="AT1660" s="399"/>
      <c r="AU1660" s="399"/>
      <c r="AV1660" s="399"/>
      <c r="AW1660" s="411"/>
      <c r="AX1660" s="411"/>
      <c r="AY1660" s="411"/>
      <c r="AZ1660" s="411"/>
      <c r="BA1660" s="411"/>
      <c r="BB1660" s="399"/>
      <c r="BC1660" s="399" t="e">
        <f t="shared" ca="1" si="2"/>
        <v>#NAME?</v>
      </c>
      <c r="BD1660" s="399"/>
      <c r="BE1660" s="399"/>
      <c r="BF1660" s="399"/>
      <c r="BG1660" s="540"/>
      <c r="BH1660" s="407"/>
      <c r="BI1660" s="407"/>
      <c r="BJ1660" s="412"/>
      <c r="BK1660" s="46">
        <f t="shared" si="1"/>
        <v>1</v>
      </c>
      <c r="BL1660" s="46">
        <f t="shared" si="3"/>
        <v>0</v>
      </c>
      <c r="BM1660" s="46">
        <f t="shared" si="4"/>
        <v>1</v>
      </c>
      <c r="BN1660" s="46">
        <f t="shared" si="5"/>
        <v>0</v>
      </c>
    </row>
    <row r="1661" spans="1:66" ht="12.75" customHeight="1">
      <c r="A1661" s="399">
        <v>1672</v>
      </c>
      <c r="B1661" s="399" t="s">
        <v>5855</v>
      </c>
      <c r="C1661" s="399" t="e">
        <f t="shared" ca="1" si="0"/>
        <v>#NAME?</v>
      </c>
      <c r="D1661" s="400" t="s">
        <v>5853</v>
      </c>
      <c r="E1661" s="399" t="s">
        <v>180</v>
      </c>
      <c r="F1661" s="400" t="s">
        <v>4942</v>
      </c>
      <c r="G1661" s="400"/>
      <c r="H1661" s="400"/>
      <c r="I1661" s="400"/>
      <c r="J1661" s="400"/>
      <c r="K1661" s="400">
        <v>1</v>
      </c>
      <c r="L1661" s="400" t="s">
        <v>3333</v>
      </c>
      <c r="M1661" s="402" t="s">
        <v>4081</v>
      </c>
      <c r="N1661" s="400"/>
      <c r="O1661" s="428" t="s">
        <v>4417</v>
      </c>
      <c r="P1661" s="428"/>
      <c r="Q1661" s="399" t="s">
        <v>5854</v>
      </c>
      <c r="R1661" s="428"/>
      <c r="S1661" s="399"/>
      <c r="T1661" s="399"/>
      <c r="U1661" s="399"/>
      <c r="V1661" s="565"/>
      <c r="W1661" s="565" t="s">
        <v>5853</v>
      </c>
      <c r="X1661" s="517"/>
      <c r="Y1661" s="399" t="s">
        <v>208</v>
      </c>
      <c r="Z1661" s="399"/>
      <c r="AA1661" s="399" t="s">
        <v>113</v>
      </c>
      <c r="AB1661" s="399" t="s">
        <v>3178</v>
      </c>
      <c r="AC1661" s="617" t="s">
        <v>5851</v>
      </c>
      <c r="AD1661" s="400"/>
      <c r="AE1661" s="399"/>
      <c r="AF1661" s="399"/>
      <c r="AG1661" s="399"/>
      <c r="AH1661" s="532" t="s">
        <v>3851</v>
      </c>
      <c r="AI1661" s="399"/>
      <c r="AJ1661" s="400"/>
      <c r="AK1661" s="399"/>
      <c r="AL1661" s="399"/>
      <c r="AM1661" s="399"/>
      <c r="AN1661" s="399"/>
      <c r="AO1661" s="399"/>
      <c r="AP1661" s="399"/>
      <c r="AQ1661" s="399"/>
      <c r="AR1661" s="399"/>
      <c r="AS1661" s="399"/>
      <c r="AT1661" s="399"/>
      <c r="AU1661" s="399"/>
      <c r="AV1661" s="399"/>
      <c r="AW1661" s="411"/>
      <c r="AX1661" s="411"/>
      <c r="AY1661" s="411"/>
      <c r="AZ1661" s="411"/>
      <c r="BA1661" s="411"/>
      <c r="BB1661" s="399"/>
      <c r="BC1661" s="399" t="e">
        <f t="shared" ca="1" si="2"/>
        <v>#NAME?</v>
      </c>
      <c r="BD1661" s="399"/>
      <c r="BE1661" s="399"/>
      <c r="BF1661" s="399"/>
      <c r="BG1661" s="540"/>
      <c r="BH1661" s="407"/>
      <c r="BI1661" s="407"/>
      <c r="BJ1661" s="412"/>
      <c r="BK1661" s="46">
        <f t="shared" si="1"/>
        <v>1</v>
      </c>
      <c r="BL1661" s="46">
        <f t="shared" si="3"/>
        <v>0</v>
      </c>
      <c r="BM1661" s="46">
        <f t="shared" si="4"/>
        <v>1</v>
      </c>
      <c r="BN1661" s="46">
        <f t="shared" si="5"/>
        <v>0</v>
      </c>
    </row>
    <row r="1662" spans="1:66" ht="12.75" customHeight="1">
      <c r="A1662" s="399">
        <v>1673</v>
      </c>
      <c r="B1662" s="399" t="s">
        <v>5862</v>
      </c>
      <c r="C1662" s="399" t="e">
        <f t="shared" ca="1" si="0"/>
        <v>#NAME?</v>
      </c>
      <c r="D1662" s="400" t="s">
        <v>5858</v>
      </c>
      <c r="E1662" s="399" t="s">
        <v>180</v>
      </c>
      <c r="F1662" s="400" t="s">
        <v>4942</v>
      </c>
      <c r="G1662" s="400"/>
      <c r="H1662" s="400"/>
      <c r="I1662" s="400"/>
      <c r="J1662" s="400"/>
      <c r="K1662" s="400">
        <v>1</v>
      </c>
      <c r="L1662" s="400" t="s">
        <v>3333</v>
      </c>
      <c r="M1662" s="402" t="s">
        <v>4081</v>
      </c>
      <c r="N1662" s="400"/>
      <c r="O1662" s="428" t="s">
        <v>4417</v>
      </c>
      <c r="P1662" s="428"/>
      <c r="Q1662" s="399" t="s">
        <v>5861</v>
      </c>
      <c r="R1662" s="428"/>
      <c r="S1662" s="399"/>
      <c r="T1662" s="399"/>
      <c r="U1662" s="399"/>
      <c r="V1662" s="565"/>
      <c r="W1662" s="565" t="s">
        <v>5858</v>
      </c>
      <c r="X1662" s="517"/>
      <c r="Y1662" s="399" t="s">
        <v>208</v>
      </c>
      <c r="Z1662" s="399"/>
      <c r="AA1662" s="399" t="s">
        <v>113</v>
      </c>
      <c r="AB1662" s="399" t="s">
        <v>3178</v>
      </c>
      <c r="AC1662" s="617" t="s">
        <v>5851</v>
      </c>
      <c r="AD1662" s="400"/>
      <c r="AE1662" s="399"/>
      <c r="AF1662" s="399"/>
      <c r="AG1662" s="399"/>
      <c r="AH1662" s="532" t="s">
        <v>3851</v>
      </c>
      <c r="AI1662" s="399"/>
      <c r="AJ1662" s="400"/>
      <c r="AK1662" s="399"/>
      <c r="AL1662" s="399"/>
      <c r="AM1662" s="399"/>
      <c r="AN1662" s="399"/>
      <c r="AO1662" s="399"/>
      <c r="AP1662" s="399"/>
      <c r="AQ1662" s="399"/>
      <c r="AR1662" s="399"/>
      <c r="AS1662" s="399"/>
      <c r="AT1662" s="399"/>
      <c r="AU1662" s="399"/>
      <c r="AV1662" s="399"/>
      <c r="AW1662" s="411"/>
      <c r="AX1662" s="411"/>
      <c r="AY1662" s="411"/>
      <c r="AZ1662" s="411"/>
      <c r="BA1662" s="411"/>
      <c r="BB1662" s="399"/>
      <c r="BC1662" s="399" t="e">
        <f t="shared" ca="1" si="2"/>
        <v>#NAME?</v>
      </c>
      <c r="BD1662" s="399"/>
      <c r="BE1662" s="399"/>
      <c r="BF1662" s="399"/>
      <c r="BG1662" s="540"/>
      <c r="BH1662" s="407"/>
      <c r="BI1662" s="407"/>
      <c r="BJ1662" s="412"/>
      <c r="BK1662" s="46">
        <f t="shared" si="1"/>
        <v>1</v>
      </c>
      <c r="BL1662" s="46">
        <f t="shared" si="3"/>
        <v>0</v>
      </c>
      <c r="BM1662" s="46">
        <f t="shared" si="4"/>
        <v>1</v>
      </c>
      <c r="BN1662" s="46">
        <f t="shared" si="5"/>
        <v>0</v>
      </c>
    </row>
    <row r="1663" spans="1:66" ht="12.75" customHeight="1">
      <c r="A1663" s="399">
        <v>1674</v>
      </c>
      <c r="B1663" s="399" t="s">
        <v>5866</v>
      </c>
      <c r="C1663" s="399" t="e">
        <f t="shared" ca="1" si="0"/>
        <v>#NAME?</v>
      </c>
      <c r="D1663" s="400" t="s">
        <v>5864</v>
      </c>
      <c r="E1663" s="399" t="s">
        <v>180</v>
      </c>
      <c r="F1663" s="400" t="s">
        <v>4942</v>
      </c>
      <c r="G1663" s="400"/>
      <c r="H1663" s="400"/>
      <c r="I1663" s="400"/>
      <c r="J1663" s="400"/>
      <c r="K1663" s="400">
        <v>1</v>
      </c>
      <c r="L1663" s="400" t="s">
        <v>3333</v>
      </c>
      <c r="M1663" s="402" t="s">
        <v>4081</v>
      </c>
      <c r="N1663" s="400"/>
      <c r="O1663" s="428" t="s">
        <v>4417</v>
      </c>
      <c r="P1663" s="428"/>
      <c r="Q1663" s="399" t="s">
        <v>5865</v>
      </c>
      <c r="R1663" s="428"/>
      <c r="S1663" s="399"/>
      <c r="T1663" s="399"/>
      <c r="U1663" s="399"/>
      <c r="V1663" s="565"/>
      <c r="W1663" s="565" t="s">
        <v>5864</v>
      </c>
      <c r="X1663" s="517"/>
      <c r="Y1663" s="399" t="s">
        <v>208</v>
      </c>
      <c r="Z1663" s="399"/>
      <c r="AA1663" s="399" t="s">
        <v>113</v>
      </c>
      <c r="AB1663" s="399" t="s">
        <v>3178</v>
      </c>
      <c r="AC1663" s="617" t="s">
        <v>5851</v>
      </c>
      <c r="AD1663" s="400"/>
      <c r="AE1663" s="399"/>
      <c r="AF1663" s="399"/>
      <c r="AG1663" s="399"/>
      <c r="AH1663" s="532" t="s">
        <v>3851</v>
      </c>
      <c r="AI1663" s="399"/>
      <c r="AJ1663" s="400"/>
      <c r="AK1663" s="399"/>
      <c r="AL1663" s="399"/>
      <c r="AM1663" s="399"/>
      <c r="AN1663" s="399"/>
      <c r="AO1663" s="399"/>
      <c r="AP1663" s="399"/>
      <c r="AQ1663" s="399"/>
      <c r="AR1663" s="399"/>
      <c r="AS1663" s="399"/>
      <c r="AT1663" s="399"/>
      <c r="AU1663" s="399"/>
      <c r="AV1663" s="399"/>
      <c r="AW1663" s="411"/>
      <c r="AX1663" s="411"/>
      <c r="AY1663" s="411"/>
      <c r="AZ1663" s="411"/>
      <c r="BA1663" s="411"/>
      <c r="BB1663" s="399"/>
      <c r="BC1663" s="399" t="e">
        <f t="shared" ca="1" si="2"/>
        <v>#NAME?</v>
      </c>
      <c r="BD1663" s="399"/>
      <c r="BE1663" s="399"/>
      <c r="BF1663" s="399"/>
      <c r="BG1663" s="540"/>
      <c r="BH1663" s="407"/>
      <c r="BI1663" s="407"/>
      <c r="BJ1663" s="412"/>
      <c r="BK1663" s="46">
        <f t="shared" si="1"/>
        <v>1</v>
      </c>
      <c r="BL1663" s="46">
        <f t="shared" si="3"/>
        <v>0</v>
      </c>
      <c r="BM1663" s="46">
        <f t="shared" si="4"/>
        <v>1</v>
      </c>
      <c r="BN1663" s="46">
        <f t="shared" si="5"/>
        <v>0</v>
      </c>
    </row>
    <row r="1664" spans="1:66" ht="12.75" customHeight="1">
      <c r="A1664" s="399">
        <v>1675</v>
      </c>
      <c r="B1664" s="399" t="s">
        <v>5872</v>
      </c>
      <c r="C1664" s="399" t="e">
        <f t="shared" ca="1" si="0"/>
        <v>#NAME?</v>
      </c>
      <c r="D1664" s="400" t="s">
        <v>5869</v>
      </c>
      <c r="E1664" s="399" t="s">
        <v>180</v>
      </c>
      <c r="F1664" s="400" t="s">
        <v>4942</v>
      </c>
      <c r="G1664" s="400"/>
      <c r="H1664" s="400"/>
      <c r="I1664" s="400"/>
      <c r="J1664" s="400"/>
      <c r="K1664" s="400">
        <v>1</v>
      </c>
      <c r="L1664" s="400" t="s">
        <v>3333</v>
      </c>
      <c r="M1664" s="402" t="s">
        <v>4081</v>
      </c>
      <c r="N1664" s="400"/>
      <c r="O1664" s="428" t="s">
        <v>4417</v>
      </c>
      <c r="P1664" s="428"/>
      <c r="Q1664" s="399" t="s">
        <v>5870</v>
      </c>
      <c r="R1664" s="428"/>
      <c r="S1664" s="399"/>
      <c r="T1664" s="399"/>
      <c r="U1664" s="399"/>
      <c r="V1664" s="645"/>
      <c r="W1664" s="646" t="s">
        <v>5869</v>
      </c>
      <c r="X1664" s="647"/>
      <c r="Y1664" s="399" t="s">
        <v>208</v>
      </c>
      <c r="Z1664" s="399"/>
      <c r="AA1664" s="399" t="s">
        <v>113</v>
      </c>
      <c r="AB1664" s="399" t="s">
        <v>3178</v>
      </c>
      <c r="AC1664" s="617" t="s">
        <v>5851</v>
      </c>
      <c r="AD1664" s="400"/>
      <c r="AE1664" s="399"/>
      <c r="AF1664" s="399"/>
      <c r="AG1664" s="399"/>
      <c r="AH1664" s="532" t="s">
        <v>3851</v>
      </c>
      <c r="AI1664" s="399"/>
      <c r="AJ1664" s="400"/>
      <c r="AK1664" s="399"/>
      <c r="AL1664" s="399"/>
      <c r="AM1664" s="399"/>
      <c r="AN1664" s="399"/>
      <c r="AO1664" s="399"/>
      <c r="AP1664" s="399"/>
      <c r="AQ1664" s="399"/>
      <c r="AR1664" s="399"/>
      <c r="AS1664" s="399"/>
      <c r="AT1664" s="399"/>
      <c r="AU1664" s="399"/>
      <c r="AV1664" s="399"/>
      <c r="AW1664" s="411"/>
      <c r="AX1664" s="411"/>
      <c r="AY1664" s="411"/>
      <c r="AZ1664" s="411"/>
      <c r="BA1664" s="411"/>
      <c r="BB1664" s="399"/>
      <c r="BC1664" s="399" t="e">
        <f t="shared" ca="1" si="2"/>
        <v>#NAME?</v>
      </c>
      <c r="BD1664" s="399"/>
      <c r="BE1664" s="399"/>
      <c r="BF1664" s="399"/>
      <c r="BG1664" s="540"/>
      <c r="BH1664" s="407"/>
      <c r="BI1664" s="407"/>
      <c r="BJ1664" s="412"/>
      <c r="BK1664" s="46">
        <f t="shared" si="1"/>
        <v>1</v>
      </c>
      <c r="BL1664" s="46">
        <f t="shared" si="3"/>
        <v>0</v>
      </c>
      <c r="BM1664" s="46">
        <f t="shared" si="4"/>
        <v>1</v>
      </c>
      <c r="BN1664" s="46">
        <f t="shared" si="5"/>
        <v>0</v>
      </c>
    </row>
    <row r="1665" spans="1:66" ht="12.75" customHeight="1">
      <c r="A1665" s="399">
        <v>1676</v>
      </c>
      <c r="B1665" s="399" t="s">
        <v>2231</v>
      </c>
      <c r="C1665" s="399" t="str">
        <f t="shared" si="0"/>
        <v>Blood haemoglobin test</v>
      </c>
      <c r="D1665" s="400" t="s">
        <v>2231</v>
      </c>
      <c r="E1665" s="399" t="s">
        <v>96</v>
      </c>
      <c r="F1665" s="400" t="s">
        <v>1787</v>
      </c>
      <c r="G1665" s="400"/>
      <c r="H1665" s="400"/>
      <c r="I1665" s="400"/>
      <c r="J1665" s="400"/>
      <c r="K1665" s="400">
        <v>1</v>
      </c>
      <c r="L1665" s="400" t="s">
        <v>3333</v>
      </c>
      <c r="M1665" s="402" t="s">
        <v>4518</v>
      </c>
      <c r="N1665" s="400"/>
      <c r="O1665" s="428" t="s">
        <v>4417</v>
      </c>
      <c r="P1665" s="428"/>
      <c r="Q1665" s="399" t="s">
        <v>5912</v>
      </c>
      <c r="R1665" s="428" t="s">
        <v>2231</v>
      </c>
      <c r="S1665" s="399"/>
      <c r="T1665" s="399"/>
      <c r="U1665" s="399" t="s">
        <v>3169</v>
      </c>
      <c r="V1665" s="399"/>
      <c r="W1665" s="399" t="s">
        <v>3170</v>
      </c>
      <c r="X1665" s="400"/>
      <c r="Y1665" s="399"/>
      <c r="Z1665" s="399"/>
      <c r="AA1665" s="399" t="s">
        <v>113</v>
      </c>
      <c r="AB1665" s="400"/>
      <c r="AC1665" s="617" t="s">
        <v>5851</v>
      </c>
      <c r="AD1665" s="400"/>
      <c r="AE1665" s="399"/>
      <c r="AF1665" s="399"/>
      <c r="AG1665" s="399"/>
      <c r="AH1665" s="532"/>
      <c r="AI1665" s="399"/>
      <c r="AJ1665" s="400"/>
      <c r="AK1665" s="399"/>
      <c r="AL1665" s="399"/>
      <c r="AM1665" s="399"/>
      <c r="AN1665" s="399"/>
      <c r="AO1665" s="399"/>
      <c r="AP1665" s="399"/>
      <c r="AQ1665" s="399"/>
      <c r="AR1665" s="399"/>
      <c r="AS1665" s="399"/>
      <c r="AT1665" s="399"/>
      <c r="AU1665" s="399"/>
      <c r="AV1665" s="399"/>
      <c r="AW1665" s="541"/>
      <c r="AX1665" s="541"/>
      <c r="AY1665" s="541"/>
      <c r="AZ1665" s="541"/>
      <c r="BA1665" s="541"/>
      <c r="BB1665" s="399"/>
      <c r="BC1665" s="399" t="str">
        <f t="shared" si="2"/>
        <v/>
      </c>
      <c r="BD1665" s="399"/>
      <c r="BE1665" s="399"/>
      <c r="BF1665" s="399"/>
      <c r="BG1665" s="540"/>
      <c r="BH1665" s="407"/>
      <c r="BI1665" s="407"/>
      <c r="BJ1665" s="543"/>
      <c r="BK1665" s="46">
        <f t="shared" si="1"/>
        <v>1</v>
      </c>
      <c r="BL1665" s="46">
        <f t="shared" si="3"/>
        <v>0</v>
      </c>
      <c r="BM1665" s="46">
        <f t="shared" si="4"/>
        <v>1</v>
      </c>
      <c r="BN1665" s="46">
        <f t="shared" si="5"/>
        <v>0</v>
      </c>
    </row>
    <row r="1666" spans="1:66" ht="12.75" customHeight="1">
      <c r="A1666" s="399">
        <v>1677</v>
      </c>
      <c r="B1666" s="399" t="s">
        <v>5918</v>
      </c>
      <c r="C1666" s="399" t="str">
        <f t="shared" si="0"/>
        <v>Blood pressure screening recommended</v>
      </c>
      <c r="D1666" s="400" t="s">
        <v>5918</v>
      </c>
      <c r="E1666" s="399" t="s">
        <v>96</v>
      </c>
      <c r="F1666" s="400" t="s">
        <v>1787</v>
      </c>
      <c r="G1666" s="400"/>
      <c r="H1666" s="400"/>
      <c r="I1666" s="400"/>
      <c r="J1666" s="400"/>
      <c r="K1666" s="400">
        <v>1</v>
      </c>
      <c r="L1666" s="400" t="s">
        <v>3333</v>
      </c>
      <c r="M1666" s="402" t="s">
        <v>4518</v>
      </c>
      <c r="N1666" s="400"/>
      <c r="O1666" s="428" t="s">
        <v>4417</v>
      </c>
      <c r="P1666" s="428"/>
      <c r="Q1666" s="399" t="s">
        <v>5917</v>
      </c>
      <c r="R1666" s="428" t="s">
        <v>5918</v>
      </c>
      <c r="S1666" s="530"/>
      <c r="T1666" s="399" t="s">
        <v>5919</v>
      </c>
      <c r="U1666" s="399" t="s">
        <v>3169</v>
      </c>
      <c r="V1666" s="399"/>
      <c r="W1666" s="399" t="s">
        <v>3170</v>
      </c>
      <c r="X1666" s="400"/>
      <c r="Y1666" s="399"/>
      <c r="Z1666" s="399"/>
      <c r="AA1666" s="399" t="s">
        <v>208</v>
      </c>
      <c r="AB1666" s="399" t="s">
        <v>3178</v>
      </c>
      <c r="AC1666" s="532" t="s">
        <v>6240</v>
      </c>
      <c r="AD1666" s="400"/>
      <c r="AE1666" s="399"/>
      <c r="AF1666" s="399"/>
      <c r="AG1666" s="399" t="s">
        <v>5921</v>
      </c>
      <c r="AH1666" s="532"/>
      <c r="AI1666" s="399"/>
      <c r="AJ1666" s="400"/>
      <c r="AK1666" s="399"/>
      <c r="AL1666" s="530"/>
      <c r="AM1666" s="530"/>
      <c r="AN1666" s="530"/>
      <c r="AO1666" s="399"/>
      <c r="AP1666" s="399"/>
      <c r="AQ1666" s="399"/>
      <c r="AR1666" s="399"/>
      <c r="AS1666" s="399"/>
      <c r="AT1666" s="399"/>
      <c r="AU1666" s="399"/>
      <c r="AV1666" s="549"/>
      <c r="AW1666" s="534" t="s">
        <v>6241</v>
      </c>
      <c r="AX1666" s="534"/>
      <c r="AY1666" s="534"/>
      <c r="AZ1666" s="534"/>
      <c r="BA1666" s="534"/>
      <c r="BB1666" s="399"/>
      <c r="BC1666" s="399" t="str">
        <f t="shared" si="2"/>
        <v/>
      </c>
      <c r="BD1666" s="399"/>
      <c r="BE1666" s="399"/>
      <c r="BF1666" s="399"/>
      <c r="BG1666" s="540"/>
      <c r="BH1666" s="407"/>
      <c r="BI1666" s="407"/>
      <c r="BJ1666" s="537" t="s">
        <v>6241</v>
      </c>
      <c r="BK1666" s="46">
        <f t="shared" si="1"/>
        <v>1</v>
      </c>
      <c r="BL1666" s="46">
        <f t="shared" si="3"/>
        <v>0</v>
      </c>
      <c r="BM1666" s="46">
        <f t="shared" si="4"/>
        <v>1</v>
      </c>
      <c r="BN1666" s="46">
        <f t="shared" si="5"/>
        <v>0</v>
      </c>
    </row>
    <row r="1667" spans="1:66" ht="12.75" customHeight="1">
      <c r="A1667" s="399">
        <v>1678</v>
      </c>
      <c r="B1667" s="399" t="s">
        <v>5925</v>
      </c>
      <c r="C1667" s="399" t="str">
        <f t="shared" si="0"/>
        <v>STI/HIV Screening laboratory tests</v>
      </c>
      <c r="D1667" s="400" t="s">
        <v>5925</v>
      </c>
      <c r="E1667" s="399" t="s">
        <v>96</v>
      </c>
      <c r="F1667" s="400" t="s">
        <v>1787</v>
      </c>
      <c r="G1667" s="400"/>
      <c r="H1667" s="400"/>
      <c r="I1667" s="400"/>
      <c r="J1667" s="400"/>
      <c r="K1667" s="400">
        <v>1</v>
      </c>
      <c r="L1667" s="400" t="s">
        <v>3333</v>
      </c>
      <c r="M1667" s="402" t="s">
        <v>887</v>
      </c>
      <c r="N1667" s="400"/>
      <c r="O1667" s="428" t="s">
        <v>4417</v>
      </c>
      <c r="P1667" s="428"/>
      <c r="Q1667" s="399" t="s">
        <v>5926</v>
      </c>
      <c r="R1667" s="428" t="s">
        <v>5925</v>
      </c>
      <c r="S1667" s="399"/>
      <c r="T1667" s="399"/>
      <c r="U1667" s="399"/>
      <c r="V1667" s="399"/>
      <c r="W1667" s="399"/>
      <c r="X1667" s="400"/>
      <c r="Y1667" s="399" t="s">
        <v>208</v>
      </c>
      <c r="Z1667" s="399"/>
      <c r="AA1667" s="399" t="s">
        <v>113</v>
      </c>
      <c r="AB1667" s="399" t="s">
        <v>1889</v>
      </c>
      <c r="AC1667" s="532"/>
      <c r="AD1667" s="400"/>
      <c r="AE1667" s="399"/>
      <c r="AF1667" s="399"/>
      <c r="AG1667" s="399"/>
      <c r="AH1667" s="532"/>
      <c r="AI1667" s="399"/>
      <c r="AJ1667" s="400"/>
      <c r="AK1667" s="399"/>
      <c r="AL1667" s="399"/>
      <c r="AM1667" s="399"/>
      <c r="AN1667" s="399"/>
      <c r="AO1667" s="399"/>
      <c r="AP1667" s="399"/>
      <c r="AQ1667" s="399"/>
      <c r="AR1667" s="399"/>
      <c r="AS1667" s="399"/>
      <c r="AT1667" s="399"/>
      <c r="AU1667" s="399"/>
      <c r="AV1667" s="399"/>
      <c r="AW1667" s="411"/>
      <c r="AX1667" s="411"/>
      <c r="AY1667" s="411"/>
      <c r="AZ1667" s="411"/>
      <c r="BA1667" s="411"/>
      <c r="BB1667" s="399"/>
      <c r="BC1667" s="399" t="str">
        <f t="shared" si="2"/>
        <v/>
      </c>
      <c r="BD1667" s="399"/>
      <c r="BE1667" s="399"/>
      <c r="BF1667" s="399"/>
      <c r="BG1667" s="540"/>
      <c r="BH1667" s="407"/>
      <c r="BI1667" s="407"/>
      <c r="BJ1667" s="412"/>
      <c r="BK1667" s="46">
        <f t="shared" si="1"/>
        <v>1</v>
      </c>
      <c r="BL1667" s="46">
        <f t="shared" si="3"/>
        <v>0</v>
      </c>
      <c r="BM1667" s="46">
        <f t="shared" si="4"/>
        <v>1</v>
      </c>
      <c r="BN1667" s="46">
        <f t="shared" si="5"/>
        <v>0</v>
      </c>
    </row>
    <row r="1668" spans="1:66" ht="12.75" customHeight="1">
      <c r="A1668" s="399">
        <v>1679</v>
      </c>
      <c r="B1668" s="399" t="s">
        <v>5927</v>
      </c>
      <c r="C1668" s="399" t="str">
        <f t="shared" si="0"/>
        <v>HIV test not done</v>
      </c>
      <c r="D1668" s="400" t="s">
        <v>5927</v>
      </c>
      <c r="E1668" s="399" t="s">
        <v>96</v>
      </c>
      <c r="F1668" s="400" t="s">
        <v>1787</v>
      </c>
      <c r="G1668" s="400"/>
      <c r="H1668" s="400"/>
      <c r="I1668" s="400"/>
      <c r="J1668" s="400"/>
      <c r="K1668" s="400">
        <v>1</v>
      </c>
      <c r="L1668" s="400" t="s">
        <v>3333</v>
      </c>
      <c r="M1668" s="402" t="s">
        <v>887</v>
      </c>
      <c r="N1668" s="400"/>
      <c r="O1668" s="428" t="s">
        <v>4417</v>
      </c>
      <c r="P1668" s="428"/>
      <c r="Q1668" s="399" t="s">
        <v>5928</v>
      </c>
      <c r="R1668" s="428" t="s">
        <v>5927</v>
      </c>
      <c r="S1668" s="399"/>
      <c r="T1668" s="399"/>
      <c r="U1668" s="399" t="s">
        <v>3169</v>
      </c>
      <c r="V1668" s="399"/>
      <c r="W1668" s="399" t="s">
        <v>3170</v>
      </c>
      <c r="X1668" s="400"/>
      <c r="Y1668" s="399" t="s">
        <v>208</v>
      </c>
      <c r="Z1668" s="399"/>
      <c r="AA1668" s="399" t="s">
        <v>113</v>
      </c>
      <c r="AB1668" s="399" t="s">
        <v>1889</v>
      </c>
      <c r="AC1668" s="532"/>
      <c r="AD1668" s="400"/>
      <c r="AE1668" s="399"/>
      <c r="AF1668" s="399"/>
      <c r="AG1668" s="399"/>
      <c r="AH1668" s="532"/>
      <c r="AI1668" s="399"/>
      <c r="AJ1668" s="400"/>
      <c r="AK1668" s="399"/>
      <c r="AL1668" s="399"/>
      <c r="AM1668" s="399"/>
      <c r="AN1668" s="399"/>
      <c r="AO1668" s="399"/>
      <c r="AP1668" s="399"/>
      <c r="AQ1668" s="399"/>
      <c r="AR1668" s="399"/>
      <c r="AS1668" s="399"/>
      <c r="AT1668" s="399"/>
      <c r="AU1668" s="399"/>
      <c r="AV1668" s="399"/>
      <c r="AW1668" s="411"/>
      <c r="AX1668" s="411"/>
      <c r="AY1668" s="411"/>
      <c r="AZ1668" s="411"/>
      <c r="BA1668" s="411"/>
      <c r="BB1668" s="399"/>
      <c r="BC1668" s="399" t="str">
        <f t="shared" si="2"/>
        <v/>
      </c>
      <c r="BD1668" s="399"/>
      <c r="BE1668" s="399"/>
      <c r="BF1668" s="399"/>
      <c r="BG1668" s="540"/>
      <c r="BH1668" s="407"/>
      <c r="BI1668" s="407"/>
      <c r="BJ1668" s="412"/>
      <c r="BK1668" s="46">
        <f t="shared" si="1"/>
        <v>1</v>
      </c>
      <c r="BL1668" s="46">
        <f t="shared" si="3"/>
        <v>0</v>
      </c>
      <c r="BM1668" s="46">
        <f t="shared" si="4"/>
        <v>1</v>
      </c>
      <c r="BN1668" s="46">
        <f t="shared" si="5"/>
        <v>0</v>
      </c>
    </row>
    <row r="1669" spans="1:66" ht="12.75" customHeight="1">
      <c r="A1669" s="399">
        <v>1680</v>
      </c>
      <c r="B1669" s="409" t="s">
        <v>5929</v>
      </c>
      <c r="C1669" s="399" t="str">
        <f t="shared" si="0"/>
        <v xml:space="preserve">Date of Last HIV Screen </v>
      </c>
      <c r="D1669" s="400" t="s">
        <v>5929</v>
      </c>
      <c r="E1669" s="399" t="s">
        <v>96</v>
      </c>
      <c r="F1669" s="400" t="s">
        <v>5927</v>
      </c>
      <c r="G1669" s="400"/>
      <c r="H1669" s="400"/>
      <c r="I1669" s="400"/>
      <c r="J1669" s="400"/>
      <c r="K1669" s="400">
        <v>1</v>
      </c>
      <c r="L1669" s="400" t="s">
        <v>3333</v>
      </c>
      <c r="M1669" s="402" t="s">
        <v>887</v>
      </c>
      <c r="N1669" s="400"/>
      <c r="O1669" s="428" t="s">
        <v>4417</v>
      </c>
      <c r="P1669" s="428"/>
      <c r="Q1669" s="399" t="s">
        <v>5932</v>
      </c>
      <c r="R1669" s="428" t="s">
        <v>5929</v>
      </c>
      <c r="S1669" s="399"/>
      <c r="T1669" s="399" t="s">
        <v>5933</v>
      </c>
      <c r="U1669" s="399"/>
      <c r="V1669" s="399"/>
      <c r="W1669" s="399"/>
      <c r="X1669" s="400"/>
      <c r="Y1669" s="399" t="s">
        <v>208</v>
      </c>
      <c r="Z1669" s="399"/>
      <c r="AA1669" s="399" t="s">
        <v>113</v>
      </c>
      <c r="AB1669" s="399" t="s">
        <v>1889</v>
      </c>
      <c r="AC1669" s="532"/>
      <c r="AD1669" s="400"/>
      <c r="AE1669" s="399"/>
      <c r="AF1669" s="399"/>
      <c r="AG1669" s="399"/>
      <c r="AH1669" s="532"/>
      <c r="AI1669" s="399"/>
      <c r="AJ1669" s="400"/>
      <c r="AK1669" s="409"/>
      <c r="AL1669" s="399"/>
      <c r="AM1669" s="399"/>
      <c r="AN1669" s="399"/>
      <c r="AO1669" s="399"/>
      <c r="AP1669" s="399"/>
      <c r="AQ1669" s="399"/>
      <c r="AR1669" s="399"/>
      <c r="AS1669" s="399"/>
      <c r="AT1669" s="399"/>
      <c r="AU1669" s="399"/>
      <c r="AV1669" s="399"/>
      <c r="AW1669" s="411"/>
      <c r="AX1669" s="411"/>
      <c r="AY1669" s="411"/>
      <c r="AZ1669" s="411"/>
      <c r="BA1669" s="411"/>
      <c r="BB1669" s="399"/>
      <c r="BC1669" s="399" t="str">
        <f t="shared" si="2"/>
        <v/>
      </c>
      <c r="BD1669" s="399"/>
      <c r="BE1669" s="399"/>
      <c r="BF1669" s="399"/>
      <c r="BG1669" s="540"/>
      <c r="BH1669" s="407"/>
      <c r="BI1669" s="407"/>
      <c r="BJ1669" s="412"/>
      <c r="BK1669" s="46">
        <f t="shared" si="1"/>
        <v>1</v>
      </c>
      <c r="BL1669" s="46">
        <f t="shared" si="3"/>
        <v>0</v>
      </c>
      <c r="BM1669" s="46">
        <f t="shared" si="4"/>
        <v>1</v>
      </c>
      <c r="BN1669" s="46">
        <f t="shared" si="5"/>
        <v>0</v>
      </c>
    </row>
    <row r="1670" spans="1:66" ht="12.75" customHeight="1">
      <c r="A1670" s="399">
        <v>1681</v>
      </c>
      <c r="B1670" s="409" t="s">
        <v>5943</v>
      </c>
      <c r="C1670" s="399" t="str">
        <f t="shared" si="0"/>
        <v xml:space="preserve">HIV Screen Result </v>
      </c>
      <c r="D1670" s="400" t="s">
        <v>5943</v>
      </c>
      <c r="E1670" s="399" t="s">
        <v>96</v>
      </c>
      <c r="F1670" s="400" t="s">
        <v>5927</v>
      </c>
      <c r="G1670" s="400"/>
      <c r="H1670" s="400"/>
      <c r="I1670" s="400"/>
      <c r="J1670" s="400"/>
      <c r="K1670" s="400">
        <v>1</v>
      </c>
      <c r="L1670" s="400" t="s">
        <v>3333</v>
      </c>
      <c r="M1670" s="402" t="s">
        <v>887</v>
      </c>
      <c r="N1670" s="400"/>
      <c r="O1670" s="428" t="s">
        <v>4417</v>
      </c>
      <c r="P1670" s="428"/>
      <c r="Q1670" s="399" t="s">
        <v>5940</v>
      </c>
      <c r="R1670" s="428" t="s">
        <v>5943</v>
      </c>
      <c r="S1670" s="399"/>
      <c r="T1670" s="399" t="s">
        <v>5941</v>
      </c>
      <c r="U1670" s="399"/>
      <c r="V1670" s="399"/>
      <c r="W1670" s="399"/>
      <c r="X1670" s="400"/>
      <c r="Y1670" s="399" t="s">
        <v>208</v>
      </c>
      <c r="Z1670" s="399"/>
      <c r="AA1670" s="399" t="s">
        <v>113</v>
      </c>
      <c r="AB1670" s="399" t="s">
        <v>1889</v>
      </c>
      <c r="AC1670" s="532"/>
      <c r="AD1670" s="400"/>
      <c r="AE1670" s="399"/>
      <c r="AF1670" s="399"/>
      <c r="AG1670" s="399"/>
      <c r="AH1670" s="532"/>
      <c r="AI1670" s="399"/>
      <c r="AJ1670" s="400"/>
      <c r="AK1670" s="409"/>
      <c r="AL1670" s="399"/>
      <c r="AM1670" s="399"/>
      <c r="AN1670" s="399"/>
      <c r="AO1670" s="399"/>
      <c r="AP1670" s="399"/>
      <c r="AQ1670" s="399"/>
      <c r="AR1670" s="399"/>
      <c r="AS1670" s="399"/>
      <c r="AT1670" s="399"/>
      <c r="AU1670" s="399"/>
      <c r="AV1670" s="399"/>
      <c r="AW1670" s="411"/>
      <c r="AX1670" s="411"/>
      <c r="AY1670" s="411"/>
      <c r="AZ1670" s="411"/>
      <c r="BA1670" s="411"/>
      <c r="BB1670" s="399"/>
      <c r="BC1670" s="399" t="str">
        <f t="shared" si="2"/>
        <v/>
      </c>
      <c r="BD1670" s="399"/>
      <c r="BE1670" s="399"/>
      <c r="BF1670" s="399"/>
      <c r="BG1670" s="540"/>
      <c r="BH1670" s="407"/>
      <c r="BI1670" s="407"/>
      <c r="BJ1670" s="412"/>
      <c r="BK1670" s="46">
        <f t="shared" si="1"/>
        <v>1</v>
      </c>
      <c r="BL1670" s="46">
        <f t="shared" si="3"/>
        <v>0</v>
      </c>
      <c r="BM1670" s="46">
        <f t="shared" si="4"/>
        <v>1</v>
      </c>
      <c r="BN1670" s="46">
        <f t="shared" si="5"/>
        <v>0</v>
      </c>
    </row>
    <row r="1671" spans="1:66" ht="12.75" customHeight="1">
      <c r="A1671" s="399">
        <v>1682</v>
      </c>
      <c r="B1671" s="409" t="s">
        <v>5952</v>
      </c>
      <c r="C1671" s="399" t="str">
        <f t="shared" si="0"/>
        <v>HIV status source</v>
      </c>
      <c r="D1671" s="400" t="s">
        <v>5952</v>
      </c>
      <c r="E1671" s="399" t="s">
        <v>96</v>
      </c>
      <c r="F1671" s="400" t="s">
        <v>5927</v>
      </c>
      <c r="G1671" s="400"/>
      <c r="H1671" s="400"/>
      <c r="I1671" s="400"/>
      <c r="J1671" s="400"/>
      <c r="K1671" s="400">
        <v>1</v>
      </c>
      <c r="L1671" s="400" t="s">
        <v>3333</v>
      </c>
      <c r="M1671" s="402" t="s">
        <v>887</v>
      </c>
      <c r="N1671" s="400"/>
      <c r="O1671" s="428" t="s">
        <v>4417</v>
      </c>
      <c r="P1671" s="428"/>
      <c r="Q1671" s="399" t="s">
        <v>5954</v>
      </c>
      <c r="R1671" s="428" t="s">
        <v>5952</v>
      </c>
      <c r="S1671" s="399"/>
      <c r="T1671" s="399" t="s">
        <v>5955</v>
      </c>
      <c r="U1671" s="399"/>
      <c r="V1671" s="399"/>
      <c r="W1671" s="399"/>
      <c r="X1671" s="400"/>
      <c r="Y1671" s="399" t="s">
        <v>208</v>
      </c>
      <c r="Z1671" s="399"/>
      <c r="AA1671" s="399" t="s">
        <v>113</v>
      </c>
      <c r="AB1671" s="399" t="s">
        <v>1889</v>
      </c>
      <c r="AC1671" s="532"/>
      <c r="AD1671" s="400"/>
      <c r="AE1671" s="399"/>
      <c r="AF1671" s="399"/>
      <c r="AG1671" s="399"/>
      <c r="AH1671" s="532"/>
      <c r="AI1671" s="399"/>
      <c r="AJ1671" s="400"/>
      <c r="AK1671" s="409"/>
      <c r="AL1671" s="399"/>
      <c r="AM1671" s="399"/>
      <c r="AN1671" s="399"/>
      <c r="AO1671" s="399"/>
      <c r="AP1671" s="399"/>
      <c r="AQ1671" s="399"/>
      <c r="AR1671" s="399"/>
      <c r="AS1671" s="399"/>
      <c r="AT1671" s="399"/>
      <c r="AU1671" s="399"/>
      <c r="AV1671" s="399"/>
      <c r="AW1671" s="411"/>
      <c r="AX1671" s="411"/>
      <c r="AY1671" s="411"/>
      <c r="AZ1671" s="411"/>
      <c r="BA1671" s="411"/>
      <c r="BB1671" s="399"/>
      <c r="BC1671" s="399" t="str">
        <f t="shared" si="2"/>
        <v/>
      </c>
      <c r="BD1671" s="399"/>
      <c r="BE1671" s="399"/>
      <c r="BF1671" s="399"/>
      <c r="BG1671" s="540"/>
      <c r="BH1671" s="407"/>
      <c r="BI1671" s="407"/>
      <c r="BJ1671" s="412"/>
      <c r="BK1671" s="46">
        <f t="shared" si="1"/>
        <v>1</v>
      </c>
      <c r="BL1671" s="46">
        <f t="shared" si="3"/>
        <v>0</v>
      </c>
      <c r="BM1671" s="46">
        <f t="shared" si="4"/>
        <v>1</v>
      </c>
      <c r="BN1671" s="46">
        <f t="shared" si="5"/>
        <v>0</v>
      </c>
    </row>
    <row r="1672" spans="1:66" ht="12.75" customHeight="1">
      <c r="A1672" s="399">
        <v>1683</v>
      </c>
      <c r="B1672" s="409" t="s">
        <v>5960</v>
      </c>
      <c r="C1672" s="399" t="str">
        <f t="shared" si="0"/>
        <v>Screenings performed</v>
      </c>
      <c r="D1672" s="400" t="s">
        <v>5960</v>
      </c>
      <c r="E1672" s="399" t="s">
        <v>96</v>
      </c>
      <c r="F1672" s="400" t="s">
        <v>5927</v>
      </c>
      <c r="G1672" s="400"/>
      <c r="H1672" s="400"/>
      <c r="I1672" s="400"/>
      <c r="J1672" s="400"/>
      <c r="K1672" s="400">
        <v>1</v>
      </c>
      <c r="L1672" s="400" t="s">
        <v>3333</v>
      </c>
      <c r="M1672" s="402" t="s">
        <v>887</v>
      </c>
      <c r="N1672" s="400"/>
      <c r="O1672" s="428" t="s">
        <v>4417</v>
      </c>
      <c r="P1672" s="428"/>
      <c r="Q1672" s="399" t="s">
        <v>5961</v>
      </c>
      <c r="R1672" s="428" t="s">
        <v>5960</v>
      </c>
      <c r="S1672" s="399"/>
      <c r="T1672" s="399" t="s">
        <v>5962</v>
      </c>
      <c r="U1672" s="399"/>
      <c r="V1672" s="399"/>
      <c r="W1672" s="399"/>
      <c r="X1672" s="400"/>
      <c r="Y1672" s="399" t="s">
        <v>208</v>
      </c>
      <c r="Z1672" s="399"/>
      <c r="AA1672" s="399" t="s">
        <v>113</v>
      </c>
      <c r="AB1672" s="399" t="s">
        <v>1889</v>
      </c>
      <c r="AC1672" s="532"/>
      <c r="AD1672" s="400"/>
      <c r="AE1672" s="399"/>
      <c r="AF1672" s="399"/>
      <c r="AG1672" s="399"/>
      <c r="AH1672" s="532"/>
      <c r="AI1672" s="399"/>
      <c r="AJ1672" s="400"/>
      <c r="AK1672" s="409"/>
      <c r="AL1672" s="399"/>
      <c r="AM1672" s="399"/>
      <c r="AN1672" s="399"/>
      <c r="AO1672" s="399"/>
      <c r="AP1672" s="399"/>
      <c r="AQ1672" s="399"/>
      <c r="AR1672" s="399"/>
      <c r="AS1672" s="399"/>
      <c r="AT1672" s="399"/>
      <c r="AU1672" s="399"/>
      <c r="AV1672" s="399"/>
      <c r="AW1672" s="411"/>
      <c r="AX1672" s="411"/>
      <c r="AY1672" s="411"/>
      <c r="AZ1672" s="411"/>
      <c r="BA1672" s="411"/>
      <c r="BB1672" s="399"/>
      <c r="BC1672" s="399" t="str">
        <f t="shared" si="2"/>
        <v/>
      </c>
      <c r="BD1672" s="399"/>
      <c r="BE1672" s="399"/>
      <c r="BF1672" s="399"/>
      <c r="BG1672" s="540"/>
      <c r="BH1672" s="407"/>
      <c r="BI1672" s="407"/>
      <c r="BJ1672" s="412"/>
      <c r="BK1672" s="46">
        <f t="shared" si="1"/>
        <v>1</v>
      </c>
      <c r="BL1672" s="46">
        <f t="shared" si="3"/>
        <v>0</v>
      </c>
      <c r="BM1672" s="46">
        <f t="shared" si="4"/>
        <v>1</v>
      </c>
      <c r="BN1672" s="46">
        <f t="shared" si="5"/>
        <v>0</v>
      </c>
    </row>
    <row r="1673" spans="1:66" ht="12.75" customHeight="1">
      <c r="A1673" s="399">
        <v>1684</v>
      </c>
      <c r="B1673" s="409" t="s">
        <v>5963</v>
      </c>
      <c r="C1673" s="399" t="str">
        <f t="shared" si="0"/>
        <v>Test results</v>
      </c>
      <c r="D1673" s="400" t="s">
        <v>5963</v>
      </c>
      <c r="E1673" s="399" t="s">
        <v>96</v>
      </c>
      <c r="F1673" s="400" t="s">
        <v>5927</v>
      </c>
      <c r="G1673" s="400"/>
      <c r="H1673" s="400"/>
      <c r="I1673" s="400"/>
      <c r="J1673" s="400"/>
      <c r="K1673" s="400">
        <v>1</v>
      </c>
      <c r="L1673" s="400" t="s">
        <v>3333</v>
      </c>
      <c r="M1673" s="402" t="s">
        <v>887</v>
      </c>
      <c r="N1673" s="400"/>
      <c r="O1673" s="428" t="s">
        <v>4417</v>
      </c>
      <c r="P1673" s="428"/>
      <c r="Q1673" s="399" t="s">
        <v>5965</v>
      </c>
      <c r="R1673" s="428" t="s">
        <v>5963</v>
      </c>
      <c r="S1673" s="399"/>
      <c r="T1673" s="399" t="s">
        <v>5966</v>
      </c>
      <c r="U1673" s="399"/>
      <c r="V1673" s="399"/>
      <c r="W1673" s="399"/>
      <c r="X1673" s="400"/>
      <c r="Y1673" s="399" t="s">
        <v>208</v>
      </c>
      <c r="Z1673" s="399"/>
      <c r="AA1673" s="399" t="s">
        <v>113</v>
      </c>
      <c r="AB1673" s="399" t="s">
        <v>1889</v>
      </c>
      <c r="AC1673" s="532"/>
      <c r="AD1673" s="400"/>
      <c r="AE1673" s="399"/>
      <c r="AF1673" s="399"/>
      <c r="AG1673" s="399"/>
      <c r="AH1673" s="532"/>
      <c r="AI1673" s="399"/>
      <c r="AJ1673" s="400"/>
      <c r="AK1673" s="409"/>
      <c r="AL1673" s="399"/>
      <c r="AM1673" s="399"/>
      <c r="AN1673" s="399"/>
      <c r="AO1673" s="399"/>
      <c r="AP1673" s="399"/>
      <c r="AQ1673" s="399"/>
      <c r="AR1673" s="399"/>
      <c r="AS1673" s="399"/>
      <c r="AT1673" s="399"/>
      <c r="AU1673" s="399"/>
      <c r="AV1673" s="399"/>
      <c r="AW1673" s="411"/>
      <c r="AX1673" s="411"/>
      <c r="AY1673" s="411"/>
      <c r="AZ1673" s="411"/>
      <c r="BA1673" s="411"/>
      <c r="BB1673" s="399"/>
      <c r="BC1673" s="399" t="str">
        <f t="shared" si="2"/>
        <v/>
      </c>
      <c r="BD1673" s="399"/>
      <c r="BE1673" s="399"/>
      <c r="BF1673" s="399"/>
      <c r="BG1673" s="540"/>
      <c r="BH1673" s="407"/>
      <c r="BI1673" s="407"/>
      <c r="BJ1673" s="412"/>
      <c r="BK1673" s="46">
        <f t="shared" si="1"/>
        <v>1</v>
      </c>
      <c r="BL1673" s="46">
        <f t="shared" si="3"/>
        <v>0</v>
      </c>
      <c r="BM1673" s="46">
        <f t="shared" si="4"/>
        <v>1</v>
      </c>
      <c r="BN1673" s="46">
        <f t="shared" si="5"/>
        <v>0</v>
      </c>
    </row>
    <row r="1674" spans="1:66" ht="12.75" customHeight="1">
      <c r="A1674" s="399">
        <v>1685</v>
      </c>
      <c r="B1674" s="399" t="s">
        <v>5968</v>
      </c>
      <c r="C1674" s="399" t="str">
        <f t="shared" si="0"/>
        <v>Voluntary Informed Consent</v>
      </c>
      <c r="D1674" s="400" t="s">
        <v>5968</v>
      </c>
      <c r="E1674" s="399" t="s">
        <v>96</v>
      </c>
      <c r="F1674" s="400" t="s">
        <v>1787</v>
      </c>
      <c r="G1674" s="400"/>
      <c r="H1674" s="400"/>
      <c r="I1674" s="400"/>
      <c r="J1674" s="400"/>
      <c r="K1674" s="400">
        <v>1</v>
      </c>
      <c r="L1674" s="401" t="s">
        <v>5969</v>
      </c>
      <c r="M1674" s="402" t="s">
        <v>4081</v>
      </c>
      <c r="N1674" s="400"/>
      <c r="O1674" s="428" t="s">
        <v>5970</v>
      </c>
      <c r="P1674" s="428"/>
      <c r="Q1674" s="399" t="s">
        <v>5971</v>
      </c>
      <c r="R1674" s="428" t="s">
        <v>5968</v>
      </c>
      <c r="S1674" s="399"/>
      <c r="T1674" s="399" t="s">
        <v>5972</v>
      </c>
      <c r="U1674" s="399"/>
      <c r="V1674" s="399"/>
      <c r="W1674" s="399"/>
      <c r="X1674" s="400"/>
      <c r="Y1674" s="399" t="s">
        <v>208</v>
      </c>
      <c r="Z1674" s="399"/>
      <c r="AA1674" s="399" t="s">
        <v>113</v>
      </c>
      <c r="AB1674" s="399" t="s">
        <v>3178</v>
      </c>
      <c r="AC1674" s="532"/>
      <c r="AD1674" s="400"/>
      <c r="AE1674" s="399"/>
      <c r="AF1674" s="399"/>
      <c r="AG1674" s="399"/>
      <c r="AH1674" s="532"/>
      <c r="AI1674" s="399"/>
      <c r="AJ1674" s="400"/>
      <c r="AK1674" s="399"/>
      <c r="AL1674" s="399"/>
      <c r="AM1674" s="399"/>
      <c r="AN1674" s="399"/>
      <c r="AO1674" s="399"/>
      <c r="AP1674" s="399"/>
      <c r="AQ1674" s="399"/>
      <c r="AR1674" s="399"/>
      <c r="AS1674" s="399"/>
      <c r="AT1674" s="399"/>
      <c r="AU1674" s="399"/>
      <c r="AV1674" s="399"/>
      <c r="AW1674" s="411"/>
      <c r="AX1674" s="411"/>
      <c r="AY1674" s="411"/>
      <c r="AZ1674" s="411"/>
      <c r="BA1674" s="411"/>
      <c r="BB1674" s="399"/>
      <c r="BC1674" s="399" t="str">
        <f t="shared" si="2"/>
        <v/>
      </c>
      <c r="BD1674" s="399"/>
      <c r="BE1674" s="399"/>
      <c r="BF1674" s="399"/>
      <c r="BG1674" s="540"/>
      <c r="BH1674" s="407"/>
      <c r="BI1674" s="407"/>
      <c r="BJ1674" s="412"/>
      <c r="BK1674" s="46">
        <f t="shared" si="1"/>
        <v>1</v>
      </c>
      <c r="BL1674" s="46">
        <f t="shared" si="3"/>
        <v>0</v>
      </c>
      <c r="BM1674" s="46">
        <f t="shared" si="4"/>
        <v>1</v>
      </c>
      <c r="BN1674" s="46">
        <f t="shared" si="5"/>
        <v>0</v>
      </c>
    </row>
    <row r="1675" spans="1:66" ht="12.75" customHeight="1">
      <c r="A1675" s="399">
        <v>1686</v>
      </c>
      <c r="B1675" s="399" t="s">
        <v>5975</v>
      </c>
      <c r="C1675" s="399" t="str">
        <f t="shared" si="0"/>
        <v>Informed consent requirements</v>
      </c>
      <c r="D1675" s="400" t="s">
        <v>5975</v>
      </c>
      <c r="E1675" s="399" t="s">
        <v>96</v>
      </c>
      <c r="F1675" s="400" t="s">
        <v>1787</v>
      </c>
      <c r="G1675" s="400"/>
      <c r="H1675" s="400"/>
      <c r="I1675" s="400"/>
      <c r="J1675" s="400"/>
      <c r="K1675" s="400">
        <v>1</v>
      </c>
      <c r="L1675" s="401" t="s">
        <v>5969</v>
      </c>
      <c r="M1675" s="402" t="s">
        <v>4081</v>
      </c>
      <c r="N1675" s="400"/>
      <c r="O1675" s="428" t="s">
        <v>5976</v>
      </c>
      <c r="P1675" s="428"/>
      <c r="Q1675" s="399" t="s">
        <v>5977</v>
      </c>
      <c r="R1675" s="428" t="s">
        <v>5975</v>
      </c>
      <c r="S1675" s="399"/>
      <c r="T1675" s="399" t="s">
        <v>5978</v>
      </c>
      <c r="U1675" s="399"/>
      <c r="V1675" s="399"/>
      <c r="W1675" s="399"/>
      <c r="X1675" s="400"/>
      <c r="Y1675" s="399" t="s">
        <v>208</v>
      </c>
      <c r="Z1675" s="399"/>
      <c r="AA1675" s="399" t="s">
        <v>113</v>
      </c>
      <c r="AB1675" s="399" t="s">
        <v>3178</v>
      </c>
      <c r="AC1675" s="532"/>
      <c r="AD1675" s="400"/>
      <c r="AE1675" s="399"/>
      <c r="AF1675" s="399"/>
      <c r="AG1675" s="399"/>
      <c r="AH1675" s="532"/>
      <c r="AI1675" s="399"/>
      <c r="AJ1675" s="400"/>
      <c r="AK1675" s="399"/>
      <c r="AL1675" s="399"/>
      <c r="AM1675" s="399"/>
      <c r="AN1675" s="399"/>
      <c r="AO1675" s="399"/>
      <c r="AP1675" s="399"/>
      <c r="AQ1675" s="399"/>
      <c r="AR1675" s="399"/>
      <c r="AS1675" s="399"/>
      <c r="AT1675" s="399"/>
      <c r="AU1675" s="399"/>
      <c r="AV1675" s="399"/>
      <c r="AW1675" s="411"/>
      <c r="AX1675" s="411"/>
      <c r="AY1675" s="411"/>
      <c r="AZ1675" s="411"/>
      <c r="BA1675" s="411"/>
      <c r="BB1675" s="399"/>
      <c r="BC1675" s="399" t="str">
        <f t="shared" si="2"/>
        <v/>
      </c>
      <c r="BD1675" s="399"/>
      <c r="BE1675" s="399"/>
      <c r="BF1675" s="399"/>
      <c r="BG1675" s="540"/>
      <c r="BH1675" s="407"/>
      <c r="BI1675" s="407"/>
      <c r="BJ1675" s="412"/>
      <c r="BK1675" s="46">
        <f t="shared" si="1"/>
        <v>1</v>
      </c>
      <c r="BL1675" s="46">
        <f t="shared" si="3"/>
        <v>0</v>
      </c>
      <c r="BM1675" s="46">
        <f t="shared" si="4"/>
        <v>1</v>
      </c>
      <c r="BN1675" s="46">
        <f t="shared" si="5"/>
        <v>0</v>
      </c>
    </row>
    <row r="1676" spans="1:66" ht="12.75" customHeight="1">
      <c r="A1676" s="399">
        <v>1687</v>
      </c>
      <c r="B1676" s="409" t="s">
        <v>5986</v>
      </c>
      <c r="C1676" s="399" t="str">
        <f t="shared" si="0"/>
        <v>Method at exit - reported</v>
      </c>
      <c r="D1676" s="400" t="s">
        <v>5983</v>
      </c>
      <c r="E1676" s="399" t="s">
        <v>96</v>
      </c>
      <c r="F1676" s="400" t="s">
        <v>1787</v>
      </c>
      <c r="G1676" s="400"/>
      <c r="H1676" s="400"/>
      <c r="I1676" s="400"/>
      <c r="J1676" s="400"/>
      <c r="K1676" s="400">
        <v>1</v>
      </c>
      <c r="L1676" s="401" t="s">
        <v>5969</v>
      </c>
      <c r="M1676" s="402" t="s">
        <v>3334</v>
      </c>
      <c r="N1676" s="402"/>
      <c r="O1676" s="428" t="s">
        <v>5981</v>
      </c>
      <c r="P1676" s="428"/>
      <c r="Q1676" s="399" t="s">
        <v>5982</v>
      </c>
      <c r="R1676" s="428" t="s">
        <v>5983</v>
      </c>
      <c r="S1676" s="399"/>
      <c r="T1676" s="399" t="s">
        <v>6268</v>
      </c>
      <c r="U1676" s="399" t="s">
        <v>6269</v>
      </c>
      <c r="V1676" s="399"/>
      <c r="W1676" s="399"/>
      <c r="X1676" s="400"/>
      <c r="Y1676" s="399" t="s">
        <v>208</v>
      </c>
      <c r="Z1676" s="399"/>
      <c r="AA1676" s="399" t="s">
        <v>113</v>
      </c>
      <c r="AB1676" s="399" t="s">
        <v>3098</v>
      </c>
      <c r="AC1676" s="532"/>
      <c r="AD1676" s="400"/>
      <c r="AE1676" s="399" t="s">
        <v>5560</v>
      </c>
      <c r="AF1676" s="399"/>
      <c r="AG1676" s="399"/>
      <c r="AH1676" s="532"/>
      <c r="AI1676" s="399"/>
      <c r="AJ1676" s="400"/>
      <c r="AK1676" s="399"/>
      <c r="AL1676" s="500"/>
      <c r="AM1676" s="500"/>
      <c r="AN1676" s="500"/>
      <c r="AO1676" s="500"/>
      <c r="AP1676" s="399"/>
      <c r="AQ1676" s="399"/>
      <c r="AR1676" s="399"/>
      <c r="AS1676" s="399"/>
      <c r="AT1676" s="399"/>
      <c r="AU1676" s="399"/>
      <c r="AV1676" s="399"/>
      <c r="AW1676" s="411" t="s">
        <v>6271</v>
      </c>
      <c r="AX1676" s="411"/>
      <c r="AY1676" s="411"/>
      <c r="AZ1676" s="411"/>
      <c r="BA1676" s="434" t="s">
        <v>6272</v>
      </c>
      <c r="BB1676" s="399"/>
      <c r="BC1676" s="399" t="str">
        <f t="shared" si="2"/>
        <v>"Method at exit - reported"-&gt;"Contraception Method at exit - reported"</v>
      </c>
      <c r="BD1676" s="399"/>
      <c r="BE1676" s="399"/>
      <c r="BF1676" s="399"/>
      <c r="BG1676" s="540"/>
      <c r="BH1676" s="407"/>
      <c r="BI1676" s="407"/>
      <c r="BJ1676" s="412" t="s">
        <v>6271</v>
      </c>
      <c r="BK1676" s="46">
        <f t="shared" si="1"/>
        <v>1</v>
      </c>
      <c r="BL1676" s="46">
        <f t="shared" si="3"/>
        <v>0</v>
      </c>
      <c r="BM1676" s="46">
        <f t="shared" si="4"/>
        <v>1</v>
      </c>
      <c r="BN1676" s="46">
        <f t="shared" si="5"/>
        <v>0</v>
      </c>
    </row>
    <row r="1677" spans="1:66" ht="12.75" customHeight="1">
      <c r="A1677" s="399">
        <v>1688</v>
      </c>
      <c r="B1677" s="399" t="s">
        <v>6275</v>
      </c>
      <c r="C1677" s="399" t="e">
        <f t="shared" ca="1" si="0"/>
        <v>#NAME?</v>
      </c>
      <c r="D1677" s="400" t="s">
        <v>6276</v>
      </c>
      <c r="E1677" s="399" t="s">
        <v>180</v>
      </c>
      <c r="F1677" s="400" t="s">
        <v>5983</v>
      </c>
      <c r="G1677" s="400"/>
      <c r="H1677" s="400"/>
      <c r="I1677" s="400"/>
      <c r="J1677" s="400"/>
      <c r="K1677" s="400">
        <v>1</v>
      </c>
      <c r="L1677" s="401" t="s">
        <v>5969</v>
      </c>
      <c r="M1677" s="402" t="s">
        <v>3334</v>
      </c>
      <c r="N1677" s="402"/>
      <c r="O1677" s="428" t="s">
        <v>5981</v>
      </c>
      <c r="P1677" s="428"/>
      <c r="Q1677" s="399"/>
      <c r="R1677" s="428"/>
      <c r="S1677" s="399"/>
      <c r="T1677" s="399"/>
      <c r="U1677" s="399"/>
      <c r="V1677" s="399"/>
      <c r="W1677" s="399" t="s">
        <v>6276</v>
      </c>
      <c r="X1677" s="400"/>
      <c r="Y1677" s="399" t="s">
        <v>208</v>
      </c>
      <c r="Z1677" s="399"/>
      <c r="AA1677" s="399"/>
      <c r="AB1677" s="399"/>
      <c r="AC1677" s="532"/>
      <c r="AD1677" s="400"/>
      <c r="AE1677" s="399"/>
      <c r="AF1677" s="399"/>
      <c r="AG1677" s="399"/>
      <c r="AH1677" s="532"/>
      <c r="AI1677" s="399"/>
      <c r="AJ1677" s="400"/>
      <c r="AK1677" s="399"/>
      <c r="AL1677" s="500"/>
      <c r="AM1677" s="500"/>
      <c r="AN1677" s="500"/>
      <c r="AO1677" s="399"/>
      <c r="AP1677" s="399"/>
      <c r="AQ1677" s="399"/>
      <c r="AR1677" s="399"/>
      <c r="AS1677" s="399"/>
      <c r="AT1677" s="399"/>
      <c r="AU1677" s="399"/>
      <c r="AV1677" s="399"/>
      <c r="AW1677" s="411" t="s">
        <v>6277</v>
      </c>
      <c r="AX1677" s="411"/>
      <c r="AY1677" s="411"/>
      <c r="AZ1677" s="411"/>
      <c r="BA1677" s="434" t="s">
        <v>6278</v>
      </c>
      <c r="BB1677" s="438" t="str">
        <f>HYPERLINK("https://github.com/who-int/Data-Dictionary-Mapping/issues/14","14")</f>
        <v>14</v>
      </c>
      <c r="BC1677" s="399" t="e">
        <f t="shared" ca="1" si="2"/>
        <v>#NAME?</v>
      </c>
      <c r="BD1677" s="399"/>
      <c r="BE1677" s="399"/>
      <c r="BF1677" s="399"/>
      <c r="BG1677" s="540"/>
      <c r="BH1677" s="407"/>
      <c r="BI1677" s="407"/>
      <c r="BJ1677" s="412" t="s">
        <v>6277</v>
      </c>
      <c r="BK1677" s="46">
        <f t="shared" si="1"/>
        <v>1</v>
      </c>
      <c r="BL1677" s="46">
        <f t="shared" si="3"/>
        <v>1</v>
      </c>
      <c r="BM1677" s="46">
        <f t="shared" si="4"/>
        <v>0</v>
      </c>
      <c r="BN1677" s="46">
        <f t="shared" si="5"/>
        <v>0</v>
      </c>
    </row>
    <row r="1678" spans="1:66" ht="12.75" customHeight="1">
      <c r="A1678" s="399">
        <v>1689</v>
      </c>
      <c r="B1678" s="399" t="s">
        <v>6283</v>
      </c>
      <c r="C1678" s="399" t="e">
        <f t="shared" ca="1" si="0"/>
        <v>#NAME?</v>
      </c>
      <c r="D1678" s="400" t="s">
        <v>6284</v>
      </c>
      <c r="E1678" s="399" t="s">
        <v>180</v>
      </c>
      <c r="F1678" s="400" t="s">
        <v>5983</v>
      </c>
      <c r="G1678" s="400"/>
      <c r="H1678" s="400"/>
      <c r="I1678" s="400"/>
      <c r="J1678" s="400"/>
      <c r="K1678" s="400">
        <v>1</v>
      </c>
      <c r="L1678" s="401" t="s">
        <v>5969</v>
      </c>
      <c r="M1678" s="402" t="s">
        <v>3334</v>
      </c>
      <c r="N1678" s="402"/>
      <c r="O1678" s="428" t="s">
        <v>5981</v>
      </c>
      <c r="P1678" s="428"/>
      <c r="Q1678" s="399" t="s">
        <v>6285</v>
      </c>
      <c r="R1678" s="428"/>
      <c r="S1678" s="399"/>
      <c r="T1678" s="399"/>
      <c r="U1678" s="399"/>
      <c r="V1678" s="399"/>
      <c r="W1678" s="399" t="s">
        <v>6284</v>
      </c>
      <c r="X1678" s="400"/>
      <c r="Y1678" s="399" t="s">
        <v>208</v>
      </c>
      <c r="Z1678" s="399"/>
      <c r="AA1678" s="399"/>
      <c r="AB1678" s="399"/>
      <c r="AC1678" s="532"/>
      <c r="AD1678" s="400"/>
      <c r="AE1678" s="399"/>
      <c r="AF1678" s="399"/>
      <c r="AG1678" s="399"/>
      <c r="AH1678" s="532"/>
      <c r="AI1678" s="399"/>
      <c r="AJ1678" s="400"/>
      <c r="AK1678" s="399"/>
      <c r="AL1678" s="500"/>
      <c r="AM1678" s="500"/>
      <c r="AN1678" s="500"/>
      <c r="AO1678" s="399"/>
      <c r="AP1678" s="399"/>
      <c r="AQ1678" s="399"/>
      <c r="AR1678" s="399"/>
      <c r="AS1678" s="409" t="s">
        <v>3162</v>
      </c>
      <c r="AT1678" s="399"/>
      <c r="AU1678" s="399"/>
      <c r="AV1678" s="586">
        <v>169450001</v>
      </c>
      <c r="AW1678" s="411"/>
      <c r="AX1678" s="411"/>
      <c r="AY1678" s="411"/>
      <c r="AZ1678" s="411"/>
      <c r="BA1678" s="411"/>
      <c r="BB1678" s="399"/>
      <c r="BC1678" s="399" t="e">
        <f t="shared" ca="1" si="2"/>
        <v>#NAME?</v>
      </c>
      <c r="BD1678" s="399"/>
      <c r="BE1678" s="399"/>
      <c r="BF1678" s="399"/>
      <c r="BG1678" s="540"/>
      <c r="BH1678" s="407"/>
      <c r="BI1678" s="407"/>
      <c r="BJ1678" s="412"/>
      <c r="BK1678" s="46">
        <f t="shared" si="1"/>
        <v>1</v>
      </c>
      <c r="BL1678" s="46">
        <f t="shared" si="3"/>
        <v>1</v>
      </c>
      <c r="BM1678" s="46">
        <f t="shared" si="4"/>
        <v>0</v>
      </c>
      <c r="BN1678" s="46">
        <f t="shared" si="5"/>
        <v>0</v>
      </c>
    </row>
    <row r="1679" spans="1:66" ht="12.75" customHeight="1">
      <c r="A1679" s="399">
        <v>1690</v>
      </c>
      <c r="B1679" s="399" t="s">
        <v>6022</v>
      </c>
      <c r="C1679" s="399" t="str">
        <f t="shared" si="0"/>
        <v>How method is being provided</v>
      </c>
      <c r="D1679" s="400" t="s">
        <v>6022</v>
      </c>
      <c r="E1679" s="399" t="s">
        <v>96</v>
      </c>
      <c r="F1679" s="400" t="s">
        <v>1787</v>
      </c>
      <c r="G1679" s="400"/>
      <c r="H1679" s="400"/>
      <c r="I1679" s="400"/>
      <c r="J1679" s="400"/>
      <c r="K1679" s="400">
        <v>1</v>
      </c>
      <c r="L1679" s="401" t="s">
        <v>5969</v>
      </c>
      <c r="M1679" s="402" t="s">
        <v>3334</v>
      </c>
      <c r="N1679" s="402"/>
      <c r="O1679" s="428" t="s">
        <v>5981</v>
      </c>
      <c r="P1679" s="428"/>
      <c r="Q1679" s="399" t="s">
        <v>6021</v>
      </c>
      <c r="R1679" s="428" t="s">
        <v>6022</v>
      </c>
      <c r="S1679" s="399"/>
      <c r="T1679" s="399" t="s">
        <v>6023</v>
      </c>
      <c r="U1679" s="399" t="s">
        <v>4694</v>
      </c>
      <c r="V1679" s="399"/>
      <c r="W1679" s="399"/>
      <c r="X1679" s="400"/>
      <c r="Y1679" s="399" t="s">
        <v>208</v>
      </c>
      <c r="Z1679" s="399"/>
      <c r="AA1679" s="399" t="s">
        <v>113</v>
      </c>
      <c r="AB1679" s="399" t="s">
        <v>3178</v>
      </c>
      <c r="AC1679" s="532" t="s">
        <v>6024</v>
      </c>
      <c r="AD1679" s="400"/>
      <c r="AE1679" s="399"/>
      <c r="AF1679" s="399"/>
      <c r="AG1679" s="399" t="s">
        <v>6025</v>
      </c>
      <c r="AH1679" s="532"/>
      <c r="AI1679" s="399"/>
      <c r="AJ1679" s="400"/>
      <c r="AK1679" s="399"/>
      <c r="AL1679" s="500"/>
      <c r="AM1679" s="500"/>
      <c r="AN1679" s="500"/>
      <c r="AO1679" s="500" t="s">
        <v>3314</v>
      </c>
      <c r="AP1679" s="399"/>
      <c r="AQ1679" s="399"/>
      <c r="AR1679" s="399"/>
      <c r="AS1679" s="399"/>
      <c r="AT1679" s="399"/>
      <c r="AU1679" s="399"/>
      <c r="AV1679" s="399"/>
      <c r="AW1679" s="411"/>
      <c r="AX1679" s="411"/>
      <c r="AY1679" s="411"/>
      <c r="AZ1679" s="411"/>
      <c r="BA1679" s="434" t="s">
        <v>6028</v>
      </c>
      <c r="BB1679" s="399"/>
      <c r="BC1679" s="399" t="str">
        <f t="shared" si="2"/>
        <v/>
      </c>
      <c r="BD1679" s="399"/>
      <c r="BE1679" s="399"/>
      <c r="BF1679" s="399"/>
      <c r="BG1679" s="540"/>
      <c r="BH1679" s="407"/>
      <c r="BI1679" s="407"/>
      <c r="BJ1679" s="412"/>
      <c r="BK1679" s="46">
        <f t="shared" si="1"/>
        <v>1</v>
      </c>
      <c r="BL1679" s="46">
        <f t="shared" si="3"/>
        <v>0</v>
      </c>
      <c r="BM1679" s="46">
        <f t="shared" si="4"/>
        <v>1</v>
      </c>
      <c r="BN1679" s="46">
        <f t="shared" si="5"/>
        <v>1</v>
      </c>
    </row>
    <row r="1680" spans="1:66" ht="12.75" customHeight="1">
      <c r="A1680" s="399">
        <v>1691</v>
      </c>
      <c r="B1680" s="399" t="s">
        <v>6030</v>
      </c>
      <c r="C1680" s="399" t="e">
        <f t="shared" ca="1" si="0"/>
        <v>#NAME?</v>
      </c>
      <c r="D1680" s="400" t="s">
        <v>6032</v>
      </c>
      <c r="E1680" s="399" t="s">
        <v>180</v>
      </c>
      <c r="F1680" s="400" t="s">
        <v>6022</v>
      </c>
      <c r="G1680" s="400"/>
      <c r="H1680" s="400"/>
      <c r="I1680" s="400"/>
      <c r="J1680" s="400"/>
      <c r="K1680" s="400">
        <v>1</v>
      </c>
      <c r="L1680" s="401" t="s">
        <v>5969</v>
      </c>
      <c r="M1680" s="402" t="s">
        <v>3334</v>
      </c>
      <c r="N1680" s="402"/>
      <c r="O1680" s="428" t="s">
        <v>5981</v>
      </c>
      <c r="P1680" s="428"/>
      <c r="Q1680" s="399" t="s">
        <v>6031</v>
      </c>
      <c r="R1680" s="428"/>
      <c r="S1680" s="399"/>
      <c r="T1680" s="399"/>
      <c r="U1680" s="399"/>
      <c r="V1680" s="399"/>
      <c r="W1680" s="399" t="s">
        <v>6032</v>
      </c>
      <c r="X1680" s="400"/>
      <c r="Y1680" s="399" t="s">
        <v>208</v>
      </c>
      <c r="Z1680" s="399"/>
      <c r="AA1680" s="399"/>
      <c r="AB1680" s="399"/>
      <c r="AC1680" s="532"/>
      <c r="AD1680" s="400"/>
      <c r="AE1680" s="399"/>
      <c r="AF1680" s="399"/>
      <c r="AG1680" s="399"/>
      <c r="AH1680" s="532"/>
      <c r="AI1680" s="399"/>
      <c r="AJ1680" s="400"/>
      <c r="AK1680" s="399"/>
      <c r="AL1680" s="500"/>
      <c r="AM1680" s="500"/>
      <c r="AN1680" s="500"/>
      <c r="AO1680" s="399"/>
      <c r="AP1680" s="399"/>
      <c r="AQ1680" s="399"/>
      <c r="AR1680" s="399"/>
      <c r="AS1680" s="409" t="s">
        <v>3162</v>
      </c>
      <c r="AT1680" s="399"/>
      <c r="AU1680" s="399"/>
      <c r="AV1680" s="399">
        <v>308335008</v>
      </c>
      <c r="AW1680" s="411"/>
      <c r="AX1680" s="411"/>
      <c r="AY1680" s="411"/>
      <c r="AZ1680" s="411"/>
      <c r="BA1680" s="411"/>
      <c r="BB1680" s="399"/>
      <c r="BC1680" s="399" t="e">
        <f t="shared" ca="1" si="2"/>
        <v>#NAME?</v>
      </c>
      <c r="BD1680" s="399"/>
      <c r="BE1680" s="399"/>
      <c r="BF1680" s="399"/>
      <c r="BG1680" s="540"/>
      <c r="BH1680" s="407"/>
      <c r="BI1680" s="407">
        <v>308335008</v>
      </c>
      <c r="BJ1680" s="412"/>
      <c r="BK1680" s="46">
        <f t="shared" si="1"/>
        <v>1</v>
      </c>
      <c r="BL1680" s="46">
        <f t="shared" si="3"/>
        <v>1</v>
      </c>
      <c r="BM1680" s="46">
        <f t="shared" si="4"/>
        <v>0</v>
      </c>
      <c r="BN1680" s="46">
        <f t="shared" si="5"/>
        <v>0</v>
      </c>
    </row>
    <row r="1681" spans="1:66" ht="12.75" customHeight="1">
      <c r="A1681" s="399">
        <v>1692</v>
      </c>
      <c r="B1681" s="399" t="s">
        <v>6034</v>
      </c>
      <c r="C1681" s="399" t="e">
        <f t="shared" ca="1" si="0"/>
        <v>#NAME?</v>
      </c>
      <c r="D1681" s="400" t="s">
        <v>6036</v>
      </c>
      <c r="E1681" s="399" t="s">
        <v>180</v>
      </c>
      <c r="F1681" s="400" t="s">
        <v>6022</v>
      </c>
      <c r="G1681" s="400"/>
      <c r="H1681" s="400"/>
      <c r="I1681" s="400"/>
      <c r="J1681" s="400"/>
      <c r="K1681" s="400">
        <v>1</v>
      </c>
      <c r="L1681" s="401" t="s">
        <v>5969</v>
      </c>
      <c r="M1681" s="402" t="s">
        <v>3334</v>
      </c>
      <c r="N1681" s="402"/>
      <c r="O1681" s="428" t="s">
        <v>5981</v>
      </c>
      <c r="P1681" s="428"/>
      <c r="Q1681" s="399" t="s">
        <v>6035</v>
      </c>
      <c r="R1681" s="428"/>
      <c r="S1681" s="399"/>
      <c r="T1681" s="399"/>
      <c r="U1681" s="399"/>
      <c r="V1681" s="399"/>
      <c r="W1681" s="399" t="s">
        <v>6036</v>
      </c>
      <c r="X1681" s="400"/>
      <c r="Y1681" s="399" t="s">
        <v>208</v>
      </c>
      <c r="Z1681" s="399"/>
      <c r="AA1681" s="399"/>
      <c r="AB1681" s="399"/>
      <c r="AC1681" s="532"/>
      <c r="AD1681" s="400"/>
      <c r="AE1681" s="399"/>
      <c r="AF1681" s="399"/>
      <c r="AG1681" s="399"/>
      <c r="AH1681" s="532"/>
      <c r="AI1681" s="399"/>
      <c r="AJ1681" s="400"/>
      <c r="AK1681" s="399"/>
      <c r="AL1681" s="500"/>
      <c r="AM1681" s="500"/>
      <c r="AN1681" s="500"/>
      <c r="AO1681" s="399"/>
      <c r="AP1681" s="399"/>
      <c r="AQ1681" s="399"/>
      <c r="AR1681" s="399"/>
      <c r="AS1681" s="409" t="s">
        <v>3162</v>
      </c>
      <c r="AT1681" s="399"/>
      <c r="AU1681" s="399"/>
      <c r="AV1681" s="399">
        <v>281100006</v>
      </c>
      <c r="AW1681" s="411"/>
      <c r="AX1681" s="411"/>
      <c r="AY1681" s="411"/>
      <c r="AZ1681" s="411"/>
      <c r="BA1681" s="411"/>
      <c r="BB1681" s="399"/>
      <c r="BC1681" s="399" t="e">
        <f t="shared" ca="1" si="2"/>
        <v>#NAME?</v>
      </c>
      <c r="BD1681" s="399"/>
      <c r="BE1681" s="399"/>
      <c r="BF1681" s="399"/>
      <c r="BG1681" s="540"/>
      <c r="BH1681" s="407"/>
      <c r="BI1681" s="407">
        <v>281100006</v>
      </c>
      <c r="BJ1681" s="412"/>
      <c r="BK1681" s="46">
        <f t="shared" si="1"/>
        <v>1</v>
      </c>
      <c r="BL1681" s="46">
        <f t="shared" si="3"/>
        <v>1</v>
      </c>
      <c r="BM1681" s="46">
        <f t="shared" si="4"/>
        <v>0</v>
      </c>
      <c r="BN1681" s="46">
        <f t="shared" si="5"/>
        <v>0</v>
      </c>
    </row>
    <row r="1682" spans="1:66" ht="12.75" customHeight="1">
      <c r="A1682" s="399">
        <v>1693</v>
      </c>
      <c r="B1682" s="399" t="s">
        <v>6038</v>
      </c>
      <c r="C1682" s="399" t="e">
        <f t="shared" ca="1" si="0"/>
        <v>#NAME?</v>
      </c>
      <c r="D1682" s="400" t="s">
        <v>6040</v>
      </c>
      <c r="E1682" s="399" t="s">
        <v>180</v>
      </c>
      <c r="F1682" s="400" t="s">
        <v>6022</v>
      </c>
      <c r="G1682" s="400"/>
      <c r="H1682" s="400"/>
      <c r="I1682" s="400"/>
      <c r="J1682" s="400"/>
      <c r="K1682" s="400">
        <v>1</v>
      </c>
      <c r="L1682" s="401" t="s">
        <v>5969</v>
      </c>
      <c r="M1682" s="402" t="s">
        <v>3334</v>
      </c>
      <c r="N1682" s="402"/>
      <c r="O1682" s="428" t="s">
        <v>5981</v>
      </c>
      <c r="P1682" s="428"/>
      <c r="Q1682" s="399" t="s">
        <v>6039</v>
      </c>
      <c r="R1682" s="428"/>
      <c r="S1682" s="399"/>
      <c r="T1682" s="399"/>
      <c r="U1682" s="399"/>
      <c r="V1682" s="399"/>
      <c r="W1682" s="399" t="s">
        <v>6040</v>
      </c>
      <c r="X1682" s="400"/>
      <c r="Y1682" s="399" t="s">
        <v>208</v>
      </c>
      <c r="Z1682" s="399"/>
      <c r="AA1682" s="399"/>
      <c r="AB1682" s="399"/>
      <c r="AC1682" s="532"/>
      <c r="AD1682" s="400"/>
      <c r="AE1682" s="399"/>
      <c r="AF1682" s="399"/>
      <c r="AG1682" s="399" t="s">
        <v>6041</v>
      </c>
      <c r="AH1682" s="532"/>
      <c r="AI1682" s="399"/>
      <c r="AJ1682" s="400"/>
      <c r="AK1682" s="399"/>
      <c r="AL1682" s="500"/>
      <c r="AM1682" s="500"/>
      <c r="AN1682" s="500"/>
      <c r="AO1682" s="399"/>
      <c r="AP1682" s="399"/>
      <c r="AQ1682" s="399"/>
      <c r="AR1682" s="399"/>
      <c r="AS1682" s="409" t="s">
        <v>3162</v>
      </c>
      <c r="AT1682" s="399"/>
      <c r="AU1682" s="399"/>
      <c r="AV1682" s="399">
        <v>16076005</v>
      </c>
      <c r="AW1682" s="411"/>
      <c r="AX1682" s="411"/>
      <c r="AY1682" s="411"/>
      <c r="AZ1682" s="411"/>
      <c r="BA1682" s="411"/>
      <c r="BB1682" s="399"/>
      <c r="BC1682" s="399" t="e">
        <f t="shared" ca="1" si="2"/>
        <v>#NAME?</v>
      </c>
      <c r="BD1682" s="399"/>
      <c r="BE1682" s="399"/>
      <c r="BF1682" s="399"/>
      <c r="BG1682" s="540"/>
      <c r="BH1682" s="407"/>
      <c r="BI1682" s="407">
        <v>16076005</v>
      </c>
      <c r="BJ1682" s="412"/>
      <c r="BK1682" s="46">
        <f t="shared" si="1"/>
        <v>1</v>
      </c>
      <c r="BL1682" s="46">
        <f t="shared" si="3"/>
        <v>1</v>
      </c>
      <c r="BM1682" s="46">
        <f t="shared" si="4"/>
        <v>0</v>
      </c>
      <c r="BN1682" s="46">
        <f t="shared" si="5"/>
        <v>0</v>
      </c>
    </row>
    <row r="1683" spans="1:66" ht="12.75" customHeight="1">
      <c r="A1683" s="399">
        <v>1694</v>
      </c>
      <c r="B1683" s="399" t="s">
        <v>5992</v>
      </c>
      <c r="C1683" s="399" t="str">
        <f t="shared" si="0"/>
        <v>Insertion of IUD</v>
      </c>
      <c r="D1683" s="400" t="s">
        <v>5992</v>
      </c>
      <c r="E1683" s="399" t="s">
        <v>96</v>
      </c>
      <c r="F1683" s="400" t="s">
        <v>1787</v>
      </c>
      <c r="G1683" s="400"/>
      <c r="H1683" s="400"/>
      <c r="I1683" s="400"/>
      <c r="J1683" s="400"/>
      <c r="K1683" s="400">
        <v>1</v>
      </c>
      <c r="L1683" s="401" t="s">
        <v>5969</v>
      </c>
      <c r="M1683" s="402" t="s">
        <v>3517</v>
      </c>
      <c r="N1683" s="400"/>
      <c r="O1683" s="428" t="s">
        <v>5981</v>
      </c>
      <c r="P1683" s="428"/>
      <c r="Q1683" s="399" t="s">
        <v>5993</v>
      </c>
      <c r="R1683" s="428" t="s">
        <v>5992</v>
      </c>
      <c r="S1683" s="399"/>
      <c r="T1683" s="399" t="s">
        <v>5994</v>
      </c>
      <c r="U1683" s="399" t="s">
        <v>3169</v>
      </c>
      <c r="V1683" s="399"/>
      <c r="W1683" s="399" t="s">
        <v>3170</v>
      </c>
      <c r="X1683" s="400"/>
      <c r="Y1683" s="399" t="s">
        <v>208</v>
      </c>
      <c r="Z1683" s="399"/>
      <c r="AA1683" s="399" t="s">
        <v>113</v>
      </c>
      <c r="AB1683" s="399" t="s">
        <v>3178</v>
      </c>
      <c r="AC1683" s="532"/>
      <c r="AD1683" s="400"/>
      <c r="AE1683" s="399"/>
      <c r="AF1683" s="399"/>
      <c r="AG1683" s="399"/>
      <c r="AH1683" s="532"/>
      <c r="AI1683" s="399"/>
      <c r="AJ1683" s="400"/>
      <c r="AK1683" s="399"/>
      <c r="AL1683" s="399"/>
      <c r="AM1683" s="399"/>
      <c r="AN1683" s="399"/>
      <c r="AO1683" s="399"/>
      <c r="AP1683" s="399"/>
      <c r="AQ1683" s="399"/>
      <c r="AR1683" s="409" t="s">
        <v>3162</v>
      </c>
      <c r="AS1683" s="399"/>
      <c r="AT1683" s="409" t="s">
        <v>5995</v>
      </c>
      <c r="AU1683" s="399"/>
      <c r="AV1683" s="399">
        <v>65200003</v>
      </c>
      <c r="AW1683" s="411"/>
      <c r="AX1683" s="411"/>
      <c r="AY1683" s="411"/>
      <c r="AZ1683" s="411"/>
      <c r="BA1683" s="411"/>
      <c r="BB1683" s="399"/>
      <c r="BC1683" s="399" t="str">
        <f t="shared" si="2"/>
        <v/>
      </c>
      <c r="BD1683" s="399">
        <v>161886</v>
      </c>
      <c r="BE1683" s="399"/>
      <c r="BF1683" s="399"/>
      <c r="BG1683" s="540"/>
      <c r="BH1683" s="407" t="s">
        <v>6297</v>
      </c>
      <c r="BI1683" s="407">
        <v>65200003</v>
      </c>
      <c r="BJ1683" s="412"/>
      <c r="BK1683" s="46">
        <f t="shared" si="1"/>
        <v>1</v>
      </c>
      <c r="BL1683" s="46">
        <f t="shared" si="3"/>
        <v>0</v>
      </c>
      <c r="BM1683" s="46">
        <f t="shared" si="4"/>
        <v>1</v>
      </c>
      <c r="BN1683" s="46">
        <f t="shared" si="5"/>
        <v>0</v>
      </c>
    </row>
    <row r="1684" spans="1:66" ht="12.75" customHeight="1">
      <c r="A1684" s="399">
        <v>1695</v>
      </c>
      <c r="B1684" s="399" t="s">
        <v>5997</v>
      </c>
      <c r="C1684" s="399" t="str">
        <f t="shared" si="0"/>
        <v>Insertion of subcutaneous contraceptive (procedure)</v>
      </c>
      <c r="D1684" s="402" t="s">
        <v>5997</v>
      </c>
      <c r="E1684" s="399" t="s">
        <v>96</v>
      </c>
      <c r="F1684" s="400" t="s">
        <v>1787</v>
      </c>
      <c r="G1684" s="400"/>
      <c r="H1684" s="400"/>
      <c r="I1684" s="400"/>
      <c r="J1684" s="400"/>
      <c r="K1684" s="400">
        <v>1</v>
      </c>
      <c r="L1684" s="401" t="s">
        <v>5969</v>
      </c>
      <c r="M1684" s="402" t="s">
        <v>3517</v>
      </c>
      <c r="N1684" s="400"/>
      <c r="O1684" s="428" t="s">
        <v>5981</v>
      </c>
      <c r="P1684" s="428"/>
      <c r="Q1684" s="399"/>
      <c r="R1684" s="428" t="s">
        <v>6299</v>
      </c>
      <c r="S1684" s="399"/>
      <c r="T1684" s="399"/>
      <c r="U1684" s="399"/>
      <c r="V1684" s="399"/>
      <c r="W1684" s="399"/>
      <c r="X1684" s="400"/>
      <c r="Y1684" s="399"/>
      <c r="Z1684" s="399"/>
      <c r="AA1684" s="399"/>
      <c r="AB1684" s="399"/>
      <c r="AC1684" s="532"/>
      <c r="AD1684" s="400"/>
      <c r="AE1684" s="399"/>
      <c r="AF1684" s="399"/>
      <c r="AG1684" s="399"/>
      <c r="AH1684" s="532"/>
      <c r="AI1684" s="399"/>
      <c r="AJ1684" s="400"/>
      <c r="AK1684" s="399"/>
      <c r="AL1684" s="399"/>
      <c r="AM1684" s="399"/>
      <c r="AN1684" s="399"/>
      <c r="AO1684" s="399"/>
      <c r="AP1684" s="399"/>
      <c r="AQ1684" s="399"/>
      <c r="AR1684" s="409" t="s">
        <v>6300</v>
      </c>
      <c r="AS1684" s="399"/>
      <c r="AT1684" s="409" t="s">
        <v>6301</v>
      </c>
      <c r="AU1684" s="399"/>
      <c r="AV1684" s="399"/>
      <c r="AW1684" s="411"/>
      <c r="AX1684" s="411"/>
      <c r="AY1684" s="411"/>
      <c r="AZ1684" s="411"/>
      <c r="BA1684" s="411"/>
      <c r="BB1684" s="399"/>
      <c r="BC1684" s="399" t="str">
        <f t="shared" si="2"/>
        <v/>
      </c>
      <c r="BD1684" s="399"/>
      <c r="BE1684" s="399"/>
      <c r="BF1684" s="399"/>
      <c r="BG1684" s="540"/>
      <c r="BH1684" s="407"/>
      <c r="BI1684" s="407"/>
      <c r="BJ1684" s="412"/>
      <c r="BK1684" s="46">
        <f t="shared" si="1"/>
        <v>1</v>
      </c>
      <c r="BL1684" s="46">
        <f t="shared" si="3"/>
        <v>0</v>
      </c>
      <c r="BM1684" s="46">
        <f t="shared" si="4"/>
        <v>1</v>
      </c>
      <c r="BN1684" s="46">
        <f t="shared" si="5"/>
        <v>0</v>
      </c>
    </row>
    <row r="1685" spans="1:66" ht="12.75" customHeight="1">
      <c r="A1685" s="399">
        <v>1696</v>
      </c>
      <c r="B1685" s="399" t="s">
        <v>6002</v>
      </c>
      <c r="C1685" s="399" t="str">
        <f t="shared" si="0"/>
        <v>IUD removal</v>
      </c>
      <c r="D1685" s="400" t="s">
        <v>6002</v>
      </c>
      <c r="E1685" s="399" t="s">
        <v>96</v>
      </c>
      <c r="F1685" s="400" t="s">
        <v>1787</v>
      </c>
      <c r="G1685" s="400"/>
      <c r="H1685" s="400"/>
      <c r="I1685" s="400"/>
      <c r="J1685" s="400"/>
      <c r="K1685" s="400">
        <v>1</v>
      </c>
      <c r="L1685" s="401" t="s">
        <v>5969</v>
      </c>
      <c r="M1685" s="402" t="s">
        <v>3517</v>
      </c>
      <c r="N1685" s="400"/>
      <c r="O1685" s="428" t="s">
        <v>5981</v>
      </c>
      <c r="P1685" s="428"/>
      <c r="Q1685" s="399" t="s">
        <v>3394</v>
      </c>
      <c r="R1685" s="428" t="s">
        <v>6002</v>
      </c>
      <c r="S1685" s="399"/>
      <c r="T1685" s="399" t="s">
        <v>6003</v>
      </c>
      <c r="U1685" s="399" t="s">
        <v>3169</v>
      </c>
      <c r="V1685" s="399"/>
      <c r="W1685" s="399" t="s">
        <v>3170</v>
      </c>
      <c r="X1685" s="400"/>
      <c r="Y1685" s="399" t="s">
        <v>208</v>
      </c>
      <c r="Z1685" s="399"/>
      <c r="AA1685" s="399" t="s">
        <v>113</v>
      </c>
      <c r="AB1685" s="399" t="s">
        <v>3178</v>
      </c>
      <c r="AC1685" s="532" t="s">
        <v>6305</v>
      </c>
      <c r="AD1685" s="400"/>
      <c r="AE1685" s="399" t="s">
        <v>5252</v>
      </c>
      <c r="AF1685" s="399"/>
      <c r="AG1685" s="399"/>
      <c r="AH1685" s="532"/>
      <c r="AI1685" s="399"/>
      <c r="AJ1685" s="400"/>
      <c r="AK1685" s="399"/>
      <c r="AL1685" s="399"/>
      <c r="AM1685" s="399"/>
      <c r="AN1685" s="399"/>
      <c r="AO1685" s="399"/>
      <c r="AP1685" s="399"/>
      <c r="AQ1685" s="399"/>
      <c r="AR1685" s="409" t="s">
        <v>3162</v>
      </c>
      <c r="AS1685" s="399"/>
      <c r="AT1685" s="409" t="s">
        <v>6306</v>
      </c>
      <c r="AU1685" s="399"/>
      <c r="AV1685" s="399">
        <v>68254000</v>
      </c>
      <c r="AW1685" s="411"/>
      <c r="AX1685" s="411"/>
      <c r="AY1685" s="411"/>
      <c r="AZ1685" s="411"/>
      <c r="BA1685" s="411"/>
      <c r="BB1685" s="399"/>
      <c r="BC1685" s="399" t="str">
        <f t="shared" si="2"/>
        <v/>
      </c>
      <c r="BD1685" s="399"/>
      <c r="BE1685" s="399"/>
      <c r="BF1685" s="399"/>
      <c r="BG1685" s="540"/>
      <c r="BH1685" s="407"/>
      <c r="BI1685" s="407">
        <v>68254000</v>
      </c>
      <c r="BJ1685" s="412"/>
      <c r="BK1685" s="46">
        <f t="shared" si="1"/>
        <v>1</v>
      </c>
      <c r="BL1685" s="46">
        <f t="shared" si="3"/>
        <v>0</v>
      </c>
      <c r="BM1685" s="46">
        <f t="shared" si="4"/>
        <v>1</v>
      </c>
      <c r="BN1685" s="46">
        <f t="shared" si="5"/>
        <v>0</v>
      </c>
    </row>
    <row r="1686" spans="1:66" ht="12.75" customHeight="1">
      <c r="A1686" s="399">
        <v>1697</v>
      </c>
      <c r="B1686" s="399" t="s">
        <v>6009</v>
      </c>
      <c r="C1686" s="399" t="str">
        <f t="shared" si="0"/>
        <v>IUD Insertion not possible</v>
      </c>
      <c r="D1686" s="400" t="s">
        <v>6009</v>
      </c>
      <c r="E1686" s="399" t="s">
        <v>96</v>
      </c>
      <c r="F1686" s="400" t="s">
        <v>1787</v>
      </c>
      <c r="G1686" s="400"/>
      <c r="H1686" s="400"/>
      <c r="I1686" s="400"/>
      <c r="J1686" s="400"/>
      <c r="K1686" s="400">
        <v>1</v>
      </c>
      <c r="L1686" s="401" t="s">
        <v>5969</v>
      </c>
      <c r="M1686" s="402" t="s">
        <v>3517</v>
      </c>
      <c r="N1686" s="400"/>
      <c r="O1686" s="428" t="s">
        <v>5981</v>
      </c>
      <c r="P1686" s="428"/>
      <c r="Q1686" s="399" t="s">
        <v>6008</v>
      </c>
      <c r="R1686" s="428" t="s">
        <v>6009</v>
      </c>
      <c r="S1686" s="399"/>
      <c r="T1686" s="399" t="s">
        <v>6010</v>
      </c>
      <c r="U1686" s="399" t="s">
        <v>3169</v>
      </c>
      <c r="V1686" s="399"/>
      <c r="W1686" s="399" t="s">
        <v>3170</v>
      </c>
      <c r="X1686" s="400"/>
      <c r="Y1686" s="399" t="s">
        <v>208</v>
      </c>
      <c r="Z1686" s="399"/>
      <c r="AA1686" s="399" t="s">
        <v>113</v>
      </c>
      <c r="AB1686" s="399" t="s">
        <v>3178</v>
      </c>
      <c r="AC1686" s="532" t="s">
        <v>6311</v>
      </c>
      <c r="AD1686" s="400"/>
      <c r="AE1686" s="399"/>
      <c r="AF1686" s="399"/>
      <c r="AG1686" s="399"/>
      <c r="AH1686" s="532"/>
      <c r="AI1686" s="399"/>
      <c r="AJ1686" s="400"/>
      <c r="AK1686" s="399"/>
      <c r="AL1686" s="399"/>
      <c r="AM1686" s="399"/>
      <c r="AN1686" s="399"/>
      <c r="AO1686" s="399"/>
      <c r="AP1686" s="399"/>
      <c r="AQ1686" s="399"/>
      <c r="AR1686" s="399"/>
      <c r="AS1686" s="399"/>
      <c r="AT1686" s="399"/>
      <c r="AU1686" s="399"/>
      <c r="AV1686" s="399"/>
      <c r="AW1686" s="411"/>
      <c r="AX1686" s="411"/>
      <c r="AY1686" s="411"/>
      <c r="AZ1686" s="411"/>
      <c r="BA1686" s="411"/>
      <c r="BB1686" s="399"/>
      <c r="BC1686" s="399" t="str">
        <f t="shared" si="2"/>
        <v/>
      </c>
      <c r="BD1686" s="399"/>
      <c r="BE1686" s="399"/>
      <c r="BF1686" s="399"/>
      <c r="BG1686" s="540"/>
      <c r="BH1686" s="407"/>
      <c r="BI1686" s="407"/>
      <c r="BJ1686" s="412"/>
      <c r="BK1686" s="46">
        <f t="shared" si="1"/>
        <v>1</v>
      </c>
      <c r="BL1686" s="46">
        <f t="shared" si="3"/>
        <v>0</v>
      </c>
      <c r="BM1686" s="46">
        <f t="shared" si="4"/>
        <v>1</v>
      </c>
      <c r="BN1686" s="46">
        <f t="shared" si="5"/>
        <v>0</v>
      </c>
    </row>
    <row r="1687" spans="1:66" ht="12.75" customHeight="1">
      <c r="A1687" s="399">
        <v>1698</v>
      </c>
      <c r="B1687" s="399" t="s">
        <v>3387</v>
      </c>
      <c r="C1687" s="399" t="str">
        <f t="shared" si="0"/>
        <v>Implant removal</v>
      </c>
      <c r="D1687" s="400" t="s">
        <v>3387</v>
      </c>
      <c r="E1687" s="399" t="s">
        <v>96</v>
      </c>
      <c r="F1687" s="400" t="s">
        <v>1787</v>
      </c>
      <c r="G1687" s="400"/>
      <c r="H1687" s="400"/>
      <c r="I1687" s="400"/>
      <c r="J1687" s="400"/>
      <c r="K1687" s="400">
        <v>1</v>
      </c>
      <c r="L1687" s="401" t="s">
        <v>5969</v>
      </c>
      <c r="M1687" s="402" t="s">
        <v>3517</v>
      </c>
      <c r="N1687" s="400"/>
      <c r="O1687" s="428" t="s">
        <v>5981</v>
      </c>
      <c r="P1687" s="428"/>
      <c r="Q1687" s="399"/>
      <c r="R1687" s="428" t="s">
        <v>3387</v>
      </c>
      <c r="S1687" s="399"/>
      <c r="T1687" s="399"/>
      <c r="U1687" s="399"/>
      <c r="V1687" s="399"/>
      <c r="W1687" s="399"/>
      <c r="X1687" s="400"/>
      <c r="Y1687" s="399"/>
      <c r="Z1687" s="399"/>
      <c r="AA1687" s="399"/>
      <c r="AB1687" s="399"/>
      <c r="AC1687" s="532"/>
      <c r="AD1687" s="400"/>
      <c r="AE1687" s="399"/>
      <c r="AF1687" s="399"/>
      <c r="AG1687" s="399"/>
      <c r="AH1687" s="532"/>
      <c r="AI1687" s="399"/>
      <c r="AJ1687" s="400"/>
      <c r="AK1687" s="399"/>
      <c r="AL1687" s="399"/>
      <c r="AM1687" s="399"/>
      <c r="AN1687" s="399"/>
      <c r="AO1687" s="399"/>
      <c r="AP1687" s="399"/>
      <c r="AQ1687" s="399"/>
      <c r="AR1687" s="409" t="s">
        <v>6300</v>
      </c>
      <c r="AS1687" s="399"/>
      <c r="AT1687" s="409" t="s">
        <v>6315</v>
      </c>
      <c r="AU1687" s="399"/>
      <c r="AV1687" s="399"/>
      <c r="AW1687" s="411"/>
      <c r="AX1687" s="411"/>
      <c r="AY1687" s="411"/>
      <c r="AZ1687" s="411"/>
      <c r="BA1687" s="411"/>
      <c r="BB1687" s="399"/>
      <c r="BC1687" s="399" t="str">
        <f t="shared" si="2"/>
        <v/>
      </c>
      <c r="BD1687" s="399"/>
      <c r="BE1687" s="399"/>
      <c r="BF1687" s="399"/>
      <c r="BG1687" s="540"/>
      <c r="BH1687" s="407"/>
      <c r="BI1687" s="407"/>
      <c r="BJ1687" s="412"/>
      <c r="BK1687" s="46">
        <f t="shared" si="1"/>
        <v>1</v>
      </c>
      <c r="BL1687" s="46">
        <f t="shared" si="3"/>
        <v>0</v>
      </c>
      <c r="BM1687" s="46">
        <f t="shared" si="4"/>
        <v>1</v>
      </c>
      <c r="BN1687" s="46">
        <f t="shared" si="5"/>
        <v>0</v>
      </c>
    </row>
    <row r="1688" spans="1:66" ht="12.75" customHeight="1">
      <c r="A1688" s="399">
        <v>1699</v>
      </c>
      <c r="B1688" s="399" t="s">
        <v>6045</v>
      </c>
      <c r="C1688" s="399" t="str">
        <f t="shared" si="0"/>
        <v xml:space="preserve">Provider </v>
      </c>
      <c r="D1688" s="400" t="s">
        <v>6045</v>
      </c>
      <c r="E1688" s="399" t="s">
        <v>96</v>
      </c>
      <c r="F1688" s="400" t="s">
        <v>1787</v>
      </c>
      <c r="G1688" s="400"/>
      <c r="H1688" s="400"/>
      <c r="I1688" s="400"/>
      <c r="J1688" s="400"/>
      <c r="K1688" s="400">
        <v>1</v>
      </c>
      <c r="L1688" s="401" t="s">
        <v>5969</v>
      </c>
      <c r="M1688" s="402" t="s">
        <v>4081</v>
      </c>
      <c r="N1688" s="400"/>
      <c r="O1688" s="428" t="s">
        <v>5981</v>
      </c>
      <c r="P1688" s="428"/>
      <c r="Q1688" s="399" t="s">
        <v>4897</v>
      </c>
      <c r="R1688" s="428" t="s">
        <v>6045</v>
      </c>
      <c r="S1688" s="399"/>
      <c r="T1688" s="399" t="s">
        <v>6046</v>
      </c>
      <c r="U1688" s="399" t="s">
        <v>4694</v>
      </c>
      <c r="V1688" s="399"/>
      <c r="W1688" s="399"/>
      <c r="X1688" s="400"/>
      <c r="Y1688" s="399" t="s">
        <v>113</v>
      </c>
      <c r="Z1688" s="399" t="s">
        <v>6047</v>
      </c>
      <c r="AA1688" s="399" t="s">
        <v>113</v>
      </c>
      <c r="AB1688" s="399"/>
      <c r="AC1688" s="532"/>
      <c r="AD1688" s="400"/>
      <c r="AE1688" s="399" t="s">
        <v>6318</v>
      </c>
      <c r="AF1688" s="399"/>
      <c r="AG1688" s="399"/>
      <c r="AH1688" s="532"/>
      <c r="AI1688" s="399"/>
      <c r="AJ1688" s="400"/>
      <c r="AK1688" s="399"/>
      <c r="AL1688" s="409" t="s">
        <v>6049</v>
      </c>
      <c r="AM1688" s="399"/>
      <c r="AN1688" s="399"/>
      <c r="AO1688" s="409" t="s">
        <v>3100</v>
      </c>
      <c r="AP1688" s="409" t="s">
        <v>3101</v>
      </c>
      <c r="AQ1688" s="399"/>
      <c r="AR1688" s="399"/>
      <c r="AS1688" s="399"/>
      <c r="AT1688" s="399"/>
      <c r="AU1688" s="399"/>
      <c r="AV1688" s="399"/>
      <c r="AW1688" s="411"/>
      <c r="AX1688" s="411"/>
      <c r="AY1688" s="434" t="s">
        <v>3106</v>
      </c>
      <c r="AZ1688" s="411"/>
      <c r="BA1688" s="411"/>
      <c r="BB1688" s="399"/>
      <c r="BC1688" s="399" t="str">
        <f t="shared" si="2"/>
        <v/>
      </c>
      <c r="BD1688" s="399"/>
      <c r="BE1688" s="399"/>
      <c r="BF1688" s="399"/>
      <c r="BG1688" s="540"/>
      <c r="BH1688" s="407"/>
      <c r="BI1688" s="407"/>
      <c r="BJ1688" s="412"/>
      <c r="BK1688" s="46">
        <f t="shared" si="1"/>
        <v>1</v>
      </c>
      <c r="BL1688" s="46">
        <f t="shared" si="3"/>
        <v>1</v>
      </c>
      <c r="BM1688" s="46">
        <f t="shared" si="4"/>
        <v>0</v>
      </c>
      <c r="BN1688" s="46">
        <f t="shared" si="5"/>
        <v>0</v>
      </c>
    </row>
    <row r="1689" spans="1:66" ht="12.75" customHeight="1">
      <c r="A1689" s="399">
        <v>1700</v>
      </c>
      <c r="B1689" s="409" t="s">
        <v>6055</v>
      </c>
      <c r="C1689" s="399" t="str">
        <f t="shared" si="0"/>
        <v>Quantity of backup method provided</v>
      </c>
      <c r="D1689" s="400" t="s">
        <v>6051</v>
      </c>
      <c r="E1689" s="399" t="s">
        <v>96</v>
      </c>
      <c r="F1689" s="400" t="s">
        <v>1787</v>
      </c>
      <c r="G1689" s="400"/>
      <c r="H1689" s="400"/>
      <c r="I1689" s="400"/>
      <c r="J1689" s="400"/>
      <c r="K1689" s="400">
        <v>1</v>
      </c>
      <c r="L1689" s="401" t="s">
        <v>5969</v>
      </c>
      <c r="M1689" s="402" t="s">
        <v>3334</v>
      </c>
      <c r="N1689" s="402"/>
      <c r="O1689" s="428" t="s">
        <v>6052</v>
      </c>
      <c r="P1689" s="428"/>
      <c r="Q1689" s="399" t="s">
        <v>6053</v>
      </c>
      <c r="R1689" s="428" t="s">
        <v>6051</v>
      </c>
      <c r="S1689" s="399"/>
      <c r="T1689" s="399" t="s">
        <v>6054</v>
      </c>
      <c r="U1689" s="399" t="s">
        <v>168</v>
      </c>
      <c r="V1689" s="399"/>
      <c r="W1689" s="399"/>
      <c r="X1689" s="400"/>
      <c r="Y1689" s="399" t="s">
        <v>208</v>
      </c>
      <c r="Z1689" s="399"/>
      <c r="AA1689" s="399" t="s">
        <v>113</v>
      </c>
      <c r="AB1689" s="399" t="s">
        <v>1889</v>
      </c>
      <c r="AC1689" s="532"/>
      <c r="AD1689" s="400"/>
      <c r="AE1689" s="399"/>
      <c r="AF1689" s="399"/>
      <c r="AG1689" s="399"/>
      <c r="AH1689" s="532"/>
      <c r="AI1689" s="399"/>
      <c r="AJ1689" s="400"/>
      <c r="AK1689" s="399"/>
      <c r="AL1689" s="500"/>
      <c r="AM1689" s="500"/>
      <c r="AN1689" s="500"/>
      <c r="AO1689" s="500" t="s">
        <v>3314</v>
      </c>
      <c r="AP1689" s="399"/>
      <c r="AQ1689" s="399"/>
      <c r="AR1689" s="399"/>
      <c r="AS1689" s="399"/>
      <c r="AT1689" s="399"/>
      <c r="AU1689" s="399"/>
      <c r="AV1689" s="399"/>
      <c r="AW1689" s="411"/>
      <c r="AX1689" s="411"/>
      <c r="AY1689" s="411"/>
      <c r="AZ1689" s="411"/>
      <c r="BA1689" s="434" t="s">
        <v>6028</v>
      </c>
      <c r="BB1689" s="399"/>
      <c r="BC1689" s="399" t="str">
        <f t="shared" si="2"/>
        <v>"Quantity of backup method provided"-&gt;"Quantity of method provided"</v>
      </c>
      <c r="BD1689" s="399"/>
      <c r="BE1689" s="399"/>
      <c r="BF1689" s="399"/>
      <c r="BG1689" s="540"/>
      <c r="BH1689" s="407"/>
      <c r="BI1689" s="407">
        <v>162171002</v>
      </c>
      <c r="BJ1689" s="412"/>
      <c r="BK1689" s="46">
        <f t="shared" si="1"/>
        <v>1</v>
      </c>
      <c r="BL1689" s="46">
        <f t="shared" si="3"/>
        <v>0</v>
      </c>
      <c r="BM1689" s="46">
        <f t="shared" si="4"/>
        <v>1</v>
      </c>
      <c r="BN1689" s="46">
        <f t="shared" si="5"/>
        <v>1</v>
      </c>
    </row>
    <row r="1690" spans="1:66" ht="12.75" customHeight="1">
      <c r="A1690" s="399">
        <v>1701</v>
      </c>
      <c r="B1690" s="409" t="s">
        <v>6062</v>
      </c>
      <c r="C1690" s="399" t="str">
        <f t="shared" si="0"/>
        <v>Reason for no method at exit</v>
      </c>
      <c r="D1690" s="400" t="s">
        <v>6056</v>
      </c>
      <c r="E1690" s="399" t="s">
        <v>96</v>
      </c>
      <c r="F1690" s="400" t="s">
        <v>1787</v>
      </c>
      <c r="G1690" s="400"/>
      <c r="H1690" s="400"/>
      <c r="I1690" s="400"/>
      <c r="J1690" s="400"/>
      <c r="K1690" s="400">
        <v>1</v>
      </c>
      <c r="L1690" s="401" t="s">
        <v>5969</v>
      </c>
      <c r="M1690" s="402" t="s">
        <v>3334</v>
      </c>
      <c r="N1690" s="402"/>
      <c r="O1690" s="428" t="s">
        <v>6052</v>
      </c>
      <c r="P1690" s="428"/>
      <c r="Q1690" s="399" t="s">
        <v>6057</v>
      </c>
      <c r="R1690" s="428" t="s">
        <v>6056</v>
      </c>
      <c r="S1690" s="399"/>
      <c r="T1690" s="399" t="s">
        <v>6058</v>
      </c>
      <c r="U1690" s="399" t="s">
        <v>6269</v>
      </c>
      <c r="V1690" s="399"/>
      <c r="W1690" s="399"/>
      <c r="X1690" s="400"/>
      <c r="Y1690" s="399" t="s">
        <v>208</v>
      </c>
      <c r="Z1690" s="399"/>
      <c r="AA1690" s="399" t="s">
        <v>113</v>
      </c>
      <c r="AB1690" s="399" t="s">
        <v>3178</v>
      </c>
      <c r="AC1690" s="532" t="s">
        <v>6059</v>
      </c>
      <c r="AD1690" s="400"/>
      <c r="AE1690" s="399" t="s">
        <v>6323</v>
      </c>
      <c r="AF1690" s="399"/>
      <c r="AG1690" s="399"/>
      <c r="AH1690" s="532"/>
      <c r="AI1690" s="399"/>
      <c r="AJ1690" s="400"/>
      <c r="AK1690" s="399"/>
      <c r="AL1690" s="500"/>
      <c r="AM1690" s="500"/>
      <c r="AN1690" s="500"/>
      <c r="AO1690" s="500" t="s">
        <v>3314</v>
      </c>
      <c r="AP1690" s="399"/>
      <c r="AQ1690" s="399"/>
      <c r="AR1690" s="399"/>
      <c r="AS1690" s="409" t="s">
        <v>3162</v>
      </c>
      <c r="AT1690" s="399"/>
      <c r="AU1690" s="399"/>
      <c r="AV1690" s="399"/>
      <c r="AW1690" s="434" t="s">
        <v>6063</v>
      </c>
      <c r="AX1690" s="411"/>
      <c r="AY1690" s="411"/>
      <c r="AZ1690" s="411"/>
      <c r="BA1690" s="434" t="s">
        <v>6028</v>
      </c>
      <c r="BB1690" s="399"/>
      <c r="BC1690" s="399" t="str">
        <f t="shared" si="2"/>
        <v>"Reason for no method at exit"-&gt;"Reason for no contraception method at exit"</v>
      </c>
      <c r="BD1690" s="399"/>
      <c r="BE1690" s="399"/>
      <c r="BF1690" s="399"/>
      <c r="BG1690" s="540"/>
      <c r="BH1690" s="407"/>
      <c r="BI1690" s="407"/>
      <c r="BJ1690" s="412"/>
      <c r="BK1690" s="46">
        <f t="shared" si="1"/>
        <v>1</v>
      </c>
      <c r="BL1690" s="46">
        <f t="shared" si="3"/>
        <v>0</v>
      </c>
      <c r="BM1690" s="46">
        <f t="shared" si="4"/>
        <v>1</v>
      </c>
      <c r="BN1690" s="46">
        <f t="shared" si="5"/>
        <v>1</v>
      </c>
    </row>
    <row r="1691" spans="1:66" ht="12.75" customHeight="1">
      <c r="A1691" s="399">
        <v>1702</v>
      </c>
      <c r="B1691" s="399" t="s">
        <v>5265</v>
      </c>
      <c r="C1691" s="399" t="e">
        <f t="shared" ca="1" si="0"/>
        <v>#NAME?</v>
      </c>
      <c r="D1691" s="400" t="s">
        <v>5266</v>
      </c>
      <c r="E1691" s="399" t="s">
        <v>180</v>
      </c>
      <c r="F1691" s="400" t="s">
        <v>6056</v>
      </c>
      <c r="G1691" s="400"/>
      <c r="H1691" s="400"/>
      <c r="I1691" s="400"/>
      <c r="J1691" s="400"/>
      <c r="K1691" s="400">
        <v>1</v>
      </c>
      <c r="L1691" s="401" t="s">
        <v>5969</v>
      </c>
      <c r="M1691" s="402" t="s">
        <v>3334</v>
      </c>
      <c r="N1691" s="402"/>
      <c r="O1691" s="428" t="s">
        <v>6052</v>
      </c>
      <c r="P1691" s="428"/>
      <c r="Q1691" s="399" t="s">
        <v>3783</v>
      </c>
      <c r="R1691" s="428" t="s">
        <v>3784</v>
      </c>
      <c r="S1691" s="399"/>
      <c r="T1691" s="399"/>
      <c r="U1691" s="399"/>
      <c r="V1691" s="399"/>
      <c r="W1691" s="399" t="s">
        <v>5266</v>
      </c>
      <c r="X1691" s="400"/>
      <c r="Y1691" s="399" t="s">
        <v>208</v>
      </c>
      <c r="Z1691" s="399"/>
      <c r="AA1691" s="399" t="s">
        <v>113</v>
      </c>
      <c r="AB1691" s="399"/>
      <c r="AC1691" s="532"/>
      <c r="AD1691" s="400"/>
      <c r="AE1691" s="399"/>
      <c r="AF1691" s="399"/>
      <c r="AG1691" s="399"/>
      <c r="AH1691" s="532"/>
      <c r="AI1691" s="399"/>
      <c r="AJ1691" s="400"/>
      <c r="AK1691" s="399"/>
      <c r="AL1691" s="500"/>
      <c r="AM1691" s="500"/>
      <c r="AN1691" s="500"/>
      <c r="AO1691" s="399"/>
      <c r="AP1691" s="399"/>
      <c r="AQ1691" s="399"/>
      <c r="AR1691" s="399"/>
      <c r="AS1691" s="409" t="s">
        <v>3162</v>
      </c>
      <c r="AT1691" s="399"/>
      <c r="AU1691" s="399"/>
      <c r="AV1691" s="586">
        <v>454731000124108</v>
      </c>
      <c r="AW1691" s="434" t="s">
        <v>6066</v>
      </c>
      <c r="AX1691" s="411"/>
      <c r="AY1691" s="411"/>
      <c r="AZ1691" s="411"/>
      <c r="BA1691" s="411"/>
      <c r="BB1691" s="399"/>
      <c r="BC1691" s="399" t="e">
        <f t="shared" ca="1" si="2"/>
        <v>#NAME?</v>
      </c>
      <c r="BD1691" s="399"/>
      <c r="BE1691" s="399"/>
      <c r="BF1691" s="399"/>
      <c r="BG1691" s="540"/>
      <c r="BH1691" s="407"/>
      <c r="BI1691" s="407"/>
      <c r="BJ1691" s="412"/>
      <c r="BK1691" s="46">
        <f t="shared" si="1"/>
        <v>1</v>
      </c>
      <c r="BL1691" s="46">
        <f t="shared" si="3"/>
        <v>1</v>
      </c>
      <c r="BM1691" s="46">
        <f t="shared" si="4"/>
        <v>0</v>
      </c>
      <c r="BN1691" s="46">
        <f t="shared" si="5"/>
        <v>0</v>
      </c>
    </row>
    <row r="1692" spans="1:66" ht="12.75" customHeight="1">
      <c r="A1692" s="399">
        <v>1703</v>
      </c>
      <c r="B1692" s="399" t="s">
        <v>6070</v>
      </c>
      <c r="C1692" s="399" t="e">
        <f t="shared" ca="1" si="0"/>
        <v>#NAME?</v>
      </c>
      <c r="D1692" s="400" t="s">
        <v>6069</v>
      </c>
      <c r="E1692" s="399" t="s">
        <v>180</v>
      </c>
      <c r="F1692" s="400" t="s">
        <v>6056</v>
      </c>
      <c r="G1692" s="400"/>
      <c r="H1692" s="400"/>
      <c r="I1692" s="400"/>
      <c r="J1692" s="400"/>
      <c r="K1692" s="400">
        <v>1</v>
      </c>
      <c r="L1692" s="401" t="s">
        <v>5969</v>
      </c>
      <c r="M1692" s="402" t="s">
        <v>3334</v>
      </c>
      <c r="N1692" s="402"/>
      <c r="O1692" s="428" t="s">
        <v>6052</v>
      </c>
      <c r="P1692" s="428"/>
      <c r="Q1692" s="399" t="s">
        <v>3796</v>
      </c>
      <c r="R1692" s="428" t="s">
        <v>6068</v>
      </c>
      <c r="S1692" s="399"/>
      <c r="T1692" s="399"/>
      <c r="U1692" s="399"/>
      <c r="V1692" s="399"/>
      <c r="W1692" s="399" t="s">
        <v>6069</v>
      </c>
      <c r="X1692" s="400"/>
      <c r="Y1692" s="399" t="s">
        <v>208</v>
      </c>
      <c r="Z1692" s="399"/>
      <c r="AA1692" s="399" t="s">
        <v>113</v>
      </c>
      <c r="AB1692" s="399"/>
      <c r="AC1692" s="532"/>
      <c r="AD1692" s="400"/>
      <c r="AE1692" s="399"/>
      <c r="AF1692" s="399"/>
      <c r="AG1692" s="399"/>
      <c r="AH1692" s="532"/>
      <c r="AI1692" s="399"/>
      <c r="AJ1692" s="400"/>
      <c r="AK1692" s="399"/>
      <c r="AL1692" s="500"/>
      <c r="AM1692" s="500"/>
      <c r="AN1692" s="500"/>
      <c r="AO1692" s="399"/>
      <c r="AP1692" s="399"/>
      <c r="AQ1692" s="399"/>
      <c r="AR1692" s="399"/>
      <c r="AS1692" s="399"/>
      <c r="AT1692" s="399"/>
      <c r="AU1692" s="399"/>
      <c r="AV1692" s="399">
        <v>445637007</v>
      </c>
      <c r="AW1692" s="411"/>
      <c r="AX1692" s="411"/>
      <c r="AY1692" s="411"/>
      <c r="AZ1692" s="411"/>
      <c r="BA1692" s="411"/>
      <c r="BB1692" s="399"/>
      <c r="BC1692" s="399" t="e">
        <f t="shared" ca="1" si="2"/>
        <v>#NAME?</v>
      </c>
      <c r="BD1692" s="399"/>
      <c r="BE1692" s="399"/>
      <c r="BF1692" s="399"/>
      <c r="BG1692" s="540"/>
      <c r="BH1692" s="407"/>
      <c r="BI1692" s="407">
        <v>445637007</v>
      </c>
      <c r="BJ1692" s="412"/>
      <c r="BK1692" s="46">
        <f t="shared" si="1"/>
        <v>1</v>
      </c>
      <c r="BL1692" s="46">
        <f t="shared" si="3"/>
        <v>1</v>
      </c>
      <c r="BM1692" s="46">
        <f t="shared" si="4"/>
        <v>0</v>
      </c>
      <c r="BN1692" s="46">
        <f t="shared" si="5"/>
        <v>0</v>
      </c>
    </row>
    <row r="1693" spans="1:66" ht="12.75" customHeight="1">
      <c r="A1693" s="399">
        <v>1704</v>
      </c>
      <c r="B1693" s="399" t="s">
        <v>3799</v>
      </c>
      <c r="C1693" s="399" t="e">
        <f t="shared" ca="1" si="0"/>
        <v>#NAME?</v>
      </c>
      <c r="D1693" s="400" t="s">
        <v>3801</v>
      </c>
      <c r="E1693" s="399" t="s">
        <v>180</v>
      </c>
      <c r="F1693" s="400" t="s">
        <v>6056</v>
      </c>
      <c r="G1693" s="400"/>
      <c r="H1693" s="400"/>
      <c r="I1693" s="400"/>
      <c r="J1693" s="400"/>
      <c r="K1693" s="400">
        <v>1</v>
      </c>
      <c r="L1693" s="401" t="s">
        <v>5969</v>
      </c>
      <c r="M1693" s="402" t="s">
        <v>3334</v>
      </c>
      <c r="N1693" s="402"/>
      <c r="O1693" s="428" t="s">
        <v>6052</v>
      </c>
      <c r="P1693" s="428"/>
      <c r="Q1693" s="399" t="s">
        <v>3800</v>
      </c>
      <c r="R1693" s="428"/>
      <c r="S1693" s="399"/>
      <c r="T1693" s="399"/>
      <c r="U1693" s="399" t="s">
        <v>6269</v>
      </c>
      <c r="V1693" s="399"/>
      <c r="W1693" s="399" t="s">
        <v>3801</v>
      </c>
      <c r="X1693" s="400"/>
      <c r="Y1693" s="399" t="s">
        <v>208</v>
      </c>
      <c r="Z1693" s="399"/>
      <c r="AA1693" s="399" t="s">
        <v>113</v>
      </c>
      <c r="AB1693" s="399"/>
      <c r="AC1693" s="532"/>
      <c r="AD1693" s="400"/>
      <c r="AE1693" s="399"/>
      <c r="AF1693" s="399"/>
      <c r="AG1693" s="399"/>
      <c r="AH1693" s="532"/>
      <c r="AI1693" s="399"/>
      <c r="AJ1693" s="400"/>
      <c r="AK1693" s="399"/>
      <c r="AL1693" s="500"/>
      <c r="AM1693" s="500"/>
      <c r="AN1693" s="500"/>
      <c r="AO1693" s="399"/>
      <c r="AP1693" s="399"/>
      <c r="AQ1693" s="399"/>
      <c r="AR1693" s="399"/>
      <c r="AS1693" s="409" t="s">
        <v>3162</v>
      </c>
      <c r="AT1693" s="399"/>
      <c r="AU1693" s="399"/>
      <c r="AV1693" s="586">
        <v>454361000124100</v>
      </c>
      <c r="AW1693" s="434" t="s">
        <v>6337</v>
      </c>
      <c r="AX1693" s="411"/>
      <c r="AY1693" s="411"/>
      <c r="AZ1693" s="411"/>
      <c r="BA1693" s="411"/>
      <c r="BB1693" s="399"/>
      <c r="BC1693" s="399" t="e">
        <f t="shared" ca="1" si="2"/>
        <v>#NAME?</v>
      </c>
      <c r="BD1693" s="399"/>
      <c r="BE1693" s="399"/>
      <c r="BF1693" s="399"/>
      <c r="BG1693" s="540"/>
      <c r="BH1693" s="407"/>
      <c r="BI1693" s="407"/>
      <c r="BJ1693" s="412"/>
      <c r="BK1693" s="46">
        <f t="shared" si="1"/>
        <v>1</v>
      </c>
      <c r="BL1693" s="46">
        <f t="shared" si="3"/>
        <v>1</v>
      </c>
      <c r="BM1693" s="46">
        <f t="shared" si="4"/>
        <v>0</v>
      </c>
      <c r="BN1693" s="46">
        <f t="shared" si="5"/>
        <v>0</v>
      </c>
    </row>
    <row r="1694" spans="1:66" ht="12.75" customHeight="1">
      <c r="A1694" s="399">
        <v>1705</v>
      </c>
      <c r="B1694" s="399" t="s">
        <v>3804</v>
      </c>
      <c r="C1694" s="399" t="e">
        <f t="shared" ca="1" si="0"/>
        <v>#NAME?</v>
      </c>
      <c r="D1694" s="400" t="s">
        <v>3807</v>
      </c>
      <c r="E1694" s="399" t="s">
        <v>180</v>
      </c>
      <c r="F1694" s="400" t="s">
        <v>6056</v>
      </c>
      <c r="G1694" s="400"/>
      <c r="H1694" s="400"/>
      <c r="I1694" s="400"/>
      <c r="J1694" s="400"/>
      <c r="K1694" s="400">
        <v>1</v>
      </c>
      <c r="L1694" s="401" t="s">
        <v>5969</v>
      </c>
      <c r="M1694" s="402" t="s">
        <v>3334</v>
      </c>
      <c r="N1694" s="402"/>
      <c r="O1694" s="428" t="s">
        <v>6052</v>
      </c>
      <c r="P1694" s="428"/>
      <c r="Q1694" s="399" t="s">
        <v>3805</v>
      </c>
      <c r="R1694" s="428" t="s">
        <v>3806</v>
      </c>
      <c r="S1694" s="399"/>
      <c r="T1694" s="399"/>
      <c r="U1694" s="399" t="s">
        <v>6269</v>
      </c>
      <c r="V1694" s="399"/>
      <c r="W1694" s="399" t="s">
        <v>3807</v>
      </c>
      <c r="X1694" s="400"/>
      <c r="Y1694" s="399" t="s">
        <v>208</v>
      </c>
      <c r="Z1694" s="399"/>
      <c r="AA1694" s="399" t="s">
        <v>113</v>
      </c>
      <c r="AB1694" s="399"/>
      <c r="AC1694" s="532"/>
      <c r="AD1694" s="400"/>
      <c r="AE1694" s="399"/>
      <c r="AF1694" s="399"/>
      <c r="AG1694" s="399" t="s">
        <v>6074</v>
      </c>
      <c r="AH1694" s="532"/>
      <c r="AI1694" s="399"/>
      <c r="AJ1694" s="400"/>
      <c r="AK1694" s="399"/>
      <c r="AL1694" s="500"/>
      <c r="AM1694" s="500"/>
      <c r="AN1694" s="500"/>
      <c r="AO1694" s="399"/>
      <c r="AP1694" s="399"/>
      <c r="AQ1694" s="399"/>
      <c r="AR1694" s="399"/>
      <c r="AS1694" s="409" t="s">
        <v>3162</v>
      </c>
      <c r="AT1694" s="399"/>
      <c r="AU1694" s="399"/>
      <c r="AV1694" s="399">
        <v>74964007</v>
      </c>
      <c r="AW1694" s="434" t="s">
        <v>6076</v>
      </c>
      <c r="AX1694" s="411"/>
      <c r="AY1694" s="411"/>
      <c r="AZ1694" s="411"/>
      <c r="BA1694" s="411"/>
      <c r="BB1694" s="399"/>
      <c r="BC1694" s="399" t="e">
        <f t="shared" ca="1" si="2"/>
        <v>#NAME?</v>
      </c>
      <c r="BD1694" s="399"/>
      <c r="BE1694" s="399"/>
      <c r="BF1694" s="399"/>
      <c r="BG1694" s="540"/>
      <c r="BH1694" s="407"/>
      <c r="BI1694" s="407">
        <v>74964007</v>
      </c>
      <c r="BJ1694" s="412"/>
      <c r="BK1694" s="46">
        <f t="shared" si="1"/>
        <v>1</v>
      </c>
      <c r="BL1694" s="46">
        <f t="shared" si="3"/>
        <v>1</v>
      </c>
      <c r="BM1694" s="46">
        <f t="shared" si="4"/>
        <v>0</v>
      </c>
      <c r="BN1694" s="46">
        <f t="shared" si="5"/>
        <v>0</v>
      </c>
    </row>
    <row r="1695" spans="1:66" ht="12.75" customHeight="1">
      <c r="A1695" s="399">
        <v>1706</v>
      </c>
      <c r="B1695" s="399" t="s">
        <v>3811</v>
      </c>
      <c r="C1695" s="399" t="e">
        <f t="shared" ca="1" si="0"/>
        <v>#NAME?</v>
      </c>
      <c r="D1695" s="400" t="s">
        <v>3814</v>
      </c>
      <c r="E1695" s="399" t="s">
        <v>180</v>
      </c>
      <c r="F1695" s="400" t="s">
        <v>6056</v>
      </c>
      <c r="G1695" s="400"/>
      <c r="H1695" s="400"/>
      <c r="I1695" s="400"/>
      <c r="J1695" s="400"/>
      <c r="K1695" s="400">
        <v>1</v>
      </c>
      <c r="L1695" s="401" t="s">
        <v>5969</v>
      </c>
      <c r="M1695" s="402" t="s">
        <v>3334</v>
      </c>
      <c r="N1695" s="402"/>
      <c r="O1695" s="428" t="s">
        <v>6052</v>
      </c>
      <c r="P1695" s="428"/>
      <c r="Q1695" s="399" t="s">
        <v>3812</v>
      </c>
      <c r="R1695" s="428"/>
      <c r="S1695" s="399"/>
      <c r="T1695" s="399"/>
      <c r="U1695" s="399" t="s">
        <v>6269</v>
      </c>
      <c r="V1695" s="399"/>
      <c r="W1695" s="399" t="s">
        <v>3814</v>
      </c>
      <c r="X1695" s="400"/>
      <c r="Y1695" s="399" t="s">
        <v>208</v>
      </c>
      <c r="Z1695" s="399"/>
      <c r="AA1695" s="399" t="s">
        <v>113</v>
      </c>
      <c r="AB1695" s="399"/>
      <c r="AC1695" s="532"/>
      <c r="AD1695" s="400"/>
      <c r="AE1695" s="399"/>
      <c r="AF1695" s="399"/>
      <c r="AG1695" s="399"/>
      <c r="AH1695" s="532"/>
      <c r="AI1695" s="399"/>
      <c r="AJ1695" s="400"/>
      <c r="AK1695" s="399"/>
      <c r="AL1695" s="500"/>
      <c r="AM1695" s="500"/>
      <c r="AN1695" s="500"/>
      <c r="AO1695" s="399"/>
      <c r="AP1695" s="399"/>
      <c r="AQ1695" s="399"/>
      <c r="AR1695" s="399"/>
      <c r="AS1695" s="399"/>
      <c r="AT1695" s="399" t="s">
        <v>3815</v>
      </c>
      <c r="AU1695" s="399"/>
      <c r="AV1695" s="399">
        <v>182856006</v>
      </c>
      <c r="AW1695" s="434" t="s">
        <v>6078</v>
      </c>
      <c r="AX1695" s="411"/>
      <c r="AY1695" s="411"/>
      <c r="AZ1695" s="411"/>
      <c r="BA1695" s="411"/>
      <c r="BB1695" s="399"/>
      <c r="BC1695" s="399" t="e">
        <f t="shared" ca="1" si="2"/>
        <v>#NAME?</v>
      </c>
      <c r="BD1695" s="399">
        <v>165183</v>
      </c>
      <c r="BE1695" s="399"/>
      <c r="BF1695" s="399"/>
      <c r="BG1695" s="540" t="s">
        <v>2638</v>
      </c>
      <c r="BH1695" s="407" t="s">
        <v>3815</v>
      </c>
      <c r="BI1695" s="407">
        <v>182856006</v>
      </c>
      <c r="BJ1695" s="412"/>
      <c r="BK1695" s="46">
        <f t="shared" si="1"/>
        <v>1</v>
      </c>
      <c r="BL1695" s="46">
        <f t="shared" si="3"/>
        <v>1</v>
      </c>
      <c r="BM1695" s="46">
        <f t="shared" si="4"/>
        <v>0</v>
      </c>
      <c r="BN1695" s="46">
        <f t="shared" si="5"/>
        <v>0</v>
      </c>
    </row>
    <row r="1696" spans="1:66" ht="12.75" customHeight="1">
      <c r="A1696" s="399">
        <v>1707</v>
      </c>
      <c r="B1696" s="399" t="s">
        <v>3817</v>
      </c>
      <c r="C1696" s="399" t="e">
        <f t="shared" ca="1" si="0"/>
        <v>#NAME?</v>
      </c>
      <c r="D1696" s="400" t="s">
        <v>3819</v>
      </c>
      <c r="E1696" s="399" t="s">
        <v>180</v>
      </c>
      <c r="F1696" s="400" t="s">
        <v>6056</v>
      </c>
      <c r="G1696" s="400"/>
      <c r="H1696" s="400"/>
      <c r="I1696" s="400"/>
      <c r="J1696" s="400"/>
      <c r="K1696" s="400">
        <v>1</v>
      </c>
      <c r="L1696" s="401" t="s">
        <v>5969</v>
      </c>
      <c r="M1696" s="402" t="s">
        <v>3334</v>
      </c>
      <c r="N1696" s="402"/>
      <c r="O1696" s="428" t="s">
        <v>6052</v>
      </c>
      <c r="P1696" s="428"/>
      <c r="Q1696" s="399" t="s">
        <v>3818</v>
      </c>
      <c r="R1696" s="428"/>
      <c r="S1696" s="399"/>
      <c r="T1696" s="399"/>
      <c r="U1696" s="399" t="s">
        <v>6269</v>
      </c>
      <c r="V1696" s="399"/>
      <c r="W1696" s="399" t="s">
        <v>3819</v>
      </c>
      <c r="X1696" s="400"/>
      <c r="Y1696" s="399" t="s">
        <v>208</v>
      </c>
      <c r="Z1696" s="399"/>
      <c r="AA1696" s="399" t="s">
        <v>113</v>
      </c>
      <c r="AB1696" s="399"/>
      <c r="AC1696" s="532"/>
      <c r="AD1696" s="400"/>
      <c r="AE1696" s="399"/>
      <c r="AF1696" s="399"/>
      <c r="AG1696" s="399"/>
      <c r="AH1696" s="532"/>
      <c r="AI1696" s="399"/>
      <c r="AJ1696" s="400"/>
      <c r="AK1696" s="399"/>
      <c r="AL1696" s="500"/>
      <c r="AM1696" s="500"/>
      <c r="AN1696" s="500"/>
      <c r="AO1696" s="399"/>
      <c r="AP1696" s="399"/>
      <c r="AQ1696" s="399"/>
      <c r="AR1696" s="399"/>
      <c r="AS1696" s="409" t="s">
        <v>3162</v>
      </c>
      <c r="AT1696" s="399" t="s">
        <v>3820</v>
      </c>
      <c r="AU1696" s="399" t="s">
        <v>3821</v>
      </c>
      <c r="AV1696" s="399">
        <v>15296000</v>
      </c>
      <c r="AW1696" s="434" t="s">
        <v>6080</v>
      </c>
      <c r="AX1696" s="411"/>
      <c r="AY1696" s="411"/>
      <c r="AZ1696" s="411"/>
      <c r="BA1696" s="411"/>
      <c r="BB1696" s="399"/>
      <c r="BC1696" s="399" t="e">
        <f t="shared" ca="1" si="2"/>
        <v>#NAME?</v>
      </c>
      <c r="BD1696" s="399"/>
      <c r="BE1696" s="399" t="s">
        <v>5059</v>
      </c>
      <c r="BF1696" s="399"/>
      <c r="BG1696" s="540" t="s">
        <v>3825</v>
      </c>
      <c r="BH1696" s="407" t="s">
        <v>3820</v>
      </c>
      <c r="BI1696" s="407">
        <v>15296000</v>
      </c>
      <c r="BJ1696" s="412"/>
      <c r="BK1696" s="46">
        <f t="shared" si="1"/>
        <v>1</v>
      </c>
      <c r="BL1696" s="46">
        <f t="shared" si="3"/>
        <v>1</v>
      </c>
      <c r="BM1696" s="46">
        <f t="shared" si="4"/>
        <v>0</v>
      </c>
      <c r="BN1696" s="46">
        <f t="shared" si="5"/>
        <v>0</v>
      </c>
    </row>
    <row r="1697" spans="1:66" ht="12.75" customHeight="1">
      <c r="A1697" s="399">
        <v>1708</v>
      </c>
      <c r="B1697" s="409" t="s">
        <v>6083</v>
      </c>
      <c r="C1697" s="399" t="e">
        <f t="shared" ca="1" si="0"/>
        <v>#NAME?</v>
      </c>
      <c r="D1697" s="400" t="s">
        <v>3828</v>
      </c>
      <c r="E1697" s="399" t="s">
        <v>180</v>
      </c>
      <c r="F1697" s="400" t="s">
        <v>6056</v>
      </c>
      <c r="G1697" s="400"/>
      <c r="H1697" s="400"/>
      <c r="I1697" s="400"/>
      <c r="J1697" s="400"/>
      <c r="K1697" s="400">
        <v>1</v>
      </c>
      <c r="L1697" s="401" t="s">
        <v>5969</v>
      </c>
      <c r="M1697" s="402" t="s">
        <v>3334</v>
      </c>
      <c r="N1697" s="402"/>
      <c r="O1697" s="428" t="s">
        <v>6052</v>
      </c>
      <c r="P1697" s="428"/>
      <c r="Q1697" s="399" t="s">
        <v>3827</v>
      </c>
      <c r="R1697" s="428"/>
      <c r="S1697" s="399"/>
      <c r="T1697" s="399"/>
      <c r="U1697" s="399" t="s">
        <v>6269</v>
      </c>
      <c r="V1697" s="399"/>
      <c r="W1697" s="399" t="s">
        <v>3828</v>
      </c>
      <c r="X1697" s="400"/>
      <c r="Y1697" s="399" t="s">
        <v>208</v>
      </c>
      <c r="Z1697" s="399"/>
      <c r="AA1697" s="399" t="s">
        <v>113</v>
      </c>
      <c r="AB1697" s="399"/>
      <c r="AC1697" s="532"/>
      <c r="AD1697" s="400"/>
      <c r="AE1697" s="399"/>
      <c r="AF1697" s="399"/>
      <c r="AG1697" s="399"/>
      <c r="AH1697" s="532"/>
      <c r="AI1697" s="399"/>
      <c r="AJ1697" s="400"/>
      <c r="AK1697" s="399"/>
      <c r="AL1697" s="500"/>
      <c r="AM1697" s="500"/>
      <c r="AN1697" s="500"/>
      <c r="AO1697" s="399"/>
      <c r="AP1697" s="399"/>
      <c r="AQ1697" s="399"/>
      <c r="AR1697" s="399"/>
      <c r="AS1697" s="409" t="s">
        <v>3162</v>
      </c>
      <c r="AT1697" s="399"/>
      <c r="AU1697" s="399"/>
      <c r="AV1697" s="409">
        <v>454411000124108</v>
      </c>
      <c r="AW1697" s="434" t="s">
        <v>3432</v>
      </c>
      <c r="AX1697" s="411"/>
      <c r="AY1697" s="411"/>
      <c r="AZ1697" s="434" t="s">
        <v>6349</v>
      </c>
      <c r="BA1697" s="434" t="s">
        <v>6085</v>
      </c>
      <c r="BB1697" s="399"/>
      <c r="BC1697" s="399" t="e">
        <f t="shared" ca="1" si="2"/>
        <v>#NAME?</v>
      </c>
      <c r="BD1697" s="399"/>
      <c r="BE1697" s="399"/>
      <c r="BF1697" s="399"/>
      <c r="BG1697" s="540"/>
      <c r="BH1697" s="407"/>
      <c r="BI1697" s="407"/>
      <c r="BJ1697" s="412"/>
      <c r="BK1697" s="46">
        <f t="shared" si="1"/>
        <v>1</v>
      </c>
      <c r="BL1697" s="46">
        <f t="shared" si="3"/>
        <v>1</v>
      </c>
      <c r="BM1697" s="46">
        <f t="shared" si="4"/>
        <v>0</v>
      </c>
      <c r="BN1697" s="46">
        <f t="shared" si="5"/>
        <v>0</v>
      </c>
    </row>
    <row r="1698" spans="1:66" ht="12.75" customHeight="1">
      <c r="A1698" s="399">
        <v>1709</v>
      </c>
      <c r="B1698" s="399" t="s">
        <v>6087</v>
      </c>
      <c r="C1698" s="399" t="str">
        <f t="shared" si="0"/>
        <v>Observations</v>
      </c>
      <c r="D1698" s="400" t="s">
        <v>6087</v>
      </c>
      <c r="E1698" s="399" t="s">
        <v>96</v>
      </c>
      <c r="F1698" s="400" t="s">
        <v>1787</v>
      </c>
      <c r="G1698" s="400"/>
      <c r="H1698" s="400"/>
      <c r="I1698" s="400"/>
      <c r="J1698" s="400"/>
      <c r="K1698" s="400">
        <v>1</v>
      </c>
      <c r="L1698" s="401" t="s">
        <v>5969</v>
      </c>
      <c r="M1698" s="402" t="s">
        <v>4081</v>
      </c>
      <c r="N1698" s="400"/>
      <c r="O1698" s="428" t="s">
        <v>6052</v>
      </c>
      <c r="P1698" s="428"/>
      <c r="Q1698" s="399"/>
      <c r="R1698" s="428" t="s">
        <v>6087</v>
      </c>
      <c r="S1698" s="399"/>
      <c r="T1698" s="399" t="s">
        <v>6089</v>
      </c>
      <c r="U1698" s="399" t="s">
        <v>111</v>
      </c>
      <c r="V1698" s="399"/>
      <c r="W1698" s="399"/>
      <c r="X1698" s="400"/>
      <c r="Y1698" s="399" t="s">
        <v>208</v>
      </c>
      <c r="Z1698" s="399"/>
      <c r="AA1698" s="399" t="s">
        <v>113</v>
      </c>
      <c r="AB1698" s="399" t="s">
        <v>1889</v>
      </c>
      <c r="AC1698" s="532"/>
      <c r="AD1698" s="400"/>
      <c r="AE1698" s="399"/>
      <c r="AF1698" s="399"/>
      <c r="AG1698" s="399" t="s">
        <v>6090</v>
      </c>
      <c r="AH1698" s="532"/>
      <c r="AI1698" s="399"/>
      <c r="AJ1698" s="400"/>
      <c r="AK1698" s="399"/>
      <c r="AL1698" s="399"/>
      <c r="AM1698" s="399"/>
      <c r="AN1698" s="399"/>
      <c r="AO1698" s="399"/>
      <c r="AP1698" s="399"/>
      <c r="AQ1698" s="399"/>
      <c r="AR1698" s="399"/>
      <c r="AS1698" s="399"/>
      <c r="AT1698" s="399"/>
      <c r="AU1698" s="399"/>
      <c r="AV1698" s="399"/>
      <c r="AW1698" s="411"/>
      <c r="AX1698" s="411"/>
      <c r="AY1698" s="411"/>
      <c r="AZ1698" s="411"/>
      <c r="BA1698" s="411"/>
      <c r="BB1698" s="399"/>
      <c r="BC1698" s="399" t="str">
        <f t="shared" si="2"/>
        <v/>
      </c>
      <c r="BD1698" s="399"/>
      <c r="BE1698" s="399"/>
      <c r="BF1698" s="399"/>
      <c r="BG1698" s="540"/>
      <c r="BH1698" s="407"/>
      <c r="BI1698" s="407"/>
      <c r="BJ1698" s="412"/>
      <c r="BK1698" s="46">
        <f t="shared" si="1"/>
        <v>1</v>
      </c>
      <c r="BL1698" s="46">
        <f t="shared" si="3"/>
        <v>0</v>
      </c>
      <c r="BM1698" s="46">
        <f t="shared" si="4"/>
        <v>1</v>
      </c>
      <c r="BN1698" s="46">
        <f t="shared" si="5"/>
        <v>0</v>
      </c>
    </row>
    <row r="1699" spans="1:66" ht="12.75" customHeight="1">
      <c r="A1699" s="399">
        <v>1710</v>
      </c>
      <c r="B1699" s="399" t="s">
        <v>6354</v>
      </c>
      <c r="C1699" s="399" t="str">
        <f t="shared" si="0"/>
        <v>Follow up recommended date</v>
      </c>
      <c r="D1699" s="400" t="s">
        <v>6354</v>
      </c>
      <c r="E1699" s="399" t="s">
        <v>96</v>
      </c>
      <c r="F1699" s="400" t="s">
        <v>1787</v>
      </c>
      <c r="G1699" s="400"/>
      <c r="H1699" s="400"/>
      <c r="I1699" s="400"/>
      <c r="J1699" s="400"/>
      <c r="K1699" s="400">
        <v>1</v>
      </c>
      <c r="L1699" s="401" t="s">
        <v>5969</v>
      </c>
      <c r="M1699" s="402" t="s">
        <v>6096</v>
      </c>
      <c r="N1699" s="400"/>
      <c r="O1699" s="428" t="s">
        <v>6097</v>
      </c>
      <c r="P1699" s="428"/>
      <c r="Q1699" s="399" t="s">
        <v>6357</v>
      </c>
      <c r="R1699" s="428" t="s">
        <v>6354</v>
      </c>
      <c r="S1699" s="399"/>
      <c r="T1699" s="399" t="s">
        <v>6359</v>
      </c>
      <c r="U1699" s="399"/>
      <c r="V1699" s="399"/>
      <c r="W1699" s="399"/>
      <c r="X1699" s="400"/>
      <c r="Y1699" s="399" t="s">
        <v>208</v>
      </c>
      <c r="Z1699" s="399"/>
      <c r="AA1699" s="399" t="s">
        <v>113</v>
      </c>
      <c r="AB1699" s="399" t="s">
        <v>3178</v>
      </c>
      <c r="AC1699" s="532"/>
      <c r="AD1699" s="400"/>
      <c r="AE1699" s="399" t="s">
        <v>4887</v>
      </c>
      <c r="AF1699" s="399"/>
      <c r="AG1699" s="399"/>
      <c r="AH1699" s="532"/>
      <c r="AI1699" s="399"/>
      <c r="AJ1699" s="400"/>
      <c r="AK1699" s="399"/>
      <c r="AL1699" s="399"/>
      <c r="AM1699" s="399"/>
      <c r="AN1699" s="399"/>
      <c r="AO1699" s="399"/>
      <c r="AP1699" s="399"/>
      <c r="AQ1699" s="399"/>
      <c r="AR1699" s="399"/>
      <c r="AS1699" s="399"/>
      <c r="AT1699" s="399"/>
      <c r="AU1699" s="399"/>
      <c r="AV1699" s="399"/>
      <c r="AW1699" s="411"/>
      <c r="AX1699" s="411"/>
      <c r="AY1699" s="411"/>
      <c r="AZ1699" s="411"/>
      <c r="BA1699" s="411"/>
      <c r="BB1699" s="399"/>
      <c r="BC1699" s="399" t="str">
        <f t="shared" si="2"/>
        <v/>
      </c>
      <c r="BD1699" s="399"/>
      <c r="BE1699" s="399"/>
      <c r="BF1699" s="399"/>
      <c r="BG1699" s="540"/>
      <c r="BH1699" s="407"/>
      <c r="BI1699" s="407"/>
      <c r="BJ1699" s="412"/>
      <c r="BK1699" s="46">
        <f t="shared" si="1"/>
        <v>1</v>
      </c>
      <c r="BL1699" s="46">
        <f t="shared" si="3"/>
        <v>0</v>
      </c>
      <c r="BM1699" s="46">
        <f t="shared" si="4"/>
        <v>1</v>
      </c>
      <c r="BN1699" s="46">
        <f t="shared" si="5"/>
        <v>0</v>
      </c>
    </row>
    <row r="1700" spans="1:66" ht="12.75" customHeight="1">
      <c r="A1700" s="399">
        <v>1711</v>
      </c>
      <c r="B1700" s="399" t="s">
        <v>6094</v>
      </c>
      <c r="C1700" s="399" t="str">
        <f t="shared" si="0"/>
        <v>Return Visit Appointment</v>
      </c>
      <c r="D1700" s="400" t="s">
        <v>6094</v>
      </c>
      <c r="E1700" s="399" t="s">
        <v>96</v>
      </c>
      <c r="F1700" s="400" t="s">
        <v>1787</v>
      </c>
      <c r="G1700" s="400"/>
      <c r="H1700" s="400"/>
      <c r="I1700" s="400"/>
      <c r="J1700" s="400"/>
      <c r="K1700" s="400">
        <v>1</v>
      </c>
      <c r="L1700" s="401" t="s">
        <v>5969</v>
      </c>
      <c r="M1700" s="402" t="s">
        <v>6096</v>
      </c>
      <c r="N1700" s="400"/>
      <c r="O1700" s="428" t="s">
        <v>6097</v>
      </c>
      <c r="P1700" s="428"/>
      <c r="Q1700" s="399" t="s">
        <v>6099</v>
      </c>
      <c r="R1700" s="428" t="s">
        <v>6094</v>
      </c>
      <c r="S1700" s="399"/>
      <c r="T1700" s="399" t="s">
        <v>6100</v>
      </c>
      <c r="U1700" s="399" t="s">
        <v>3158</v>
      </c>
      <c r="V1700" s="399"/>
      <c r="W1700" s="399"/>
      <c r="X1700" s="400"/>
      <c r="Y1700" s="399" t="s">
        <v>208</v>
      </c>
      <c r="Z1700" s="399"/>
      <c r="AA1700" s="399" t="s">
        <v>113</v>
      </c>
      <c r="AB1700" s="399" t="s">
        <v>1889</v>
      </c>
      <c r="AC1700" s="532"/>
      <c r="AD1700" s="400"/>
      <c r="AE1700" s="399"/>
      <c r="AF1700" s="399"/>
      <c r="AG1700" s="399"/>
      <c r="AH1700" s="532"/>
      <c r="AI1700" s="399"/>
      <c r="AJ1700" s="400"/>
      <c r="AK1700" s="399"/>
      <c r="AL1700" s="399"/>
      <c r="AM1700" s="399"/>
      <c r="AN1700" s="399"/>
      <c r="AO1700" s="399"/>
      <c r="AP1700" s="399"/>
      <c r="AQ1700" s="399"/>
      <c r="AR1700" s="399"/>
      <c r="AS1700" s="399"/>
      <c r="AT1700" s="399"/>
      <c r="AU1700" s="399"/>
      <c r="AV1700" s="399">
        <v>185353001</v>
      </c>
      <c r="AW1700" s="411"/>
      <c r="AX1700" s="411"/>
      <c r="AY1700" s="411"/>
      <c r="AZ1700" s="411"/>
      <c r="BA1700" s="411"/>
      <c r="BB1700" s="399"/>
      <c r="BC1700" s="399" t="str">
        <f t="shared" si="2"/>
        <v/>
      </c>
      <c r="BD1700" s="399"/>
      <c r="BE1700" s="399"/>
      <c r="BF1700" s="399"/>
      <c r="BG1700" s="540"/>
      <c r="BH1700" s="407"/>
      <c r="BI1700" s="407">
        <v>185353001</v>
      </c>
      <c r="BJ1700" s="412"/>
      <c r="BK1700" s="46">
        <f t="shared" si="1"/>
        <v>1</v>
      </c>
      <c r="BL1700" s="46">
        <f t="shared" si="3"/>
        <v>0</v>
      </c>
      <c r="BM1700" s="46">
        <f t="shared" si="4"/>
        <v>1</v>
      </c>
      <c r="BN1700" s="46">
        <f t="shared" si="5"/>
        <v>0</v>
      </c>
    </row>
    <row r="1701" spans="1:66" ht="12.75" customHeight="1">
      <c r="A1701" s="399">
        <v>1712</v>
      </c>
      <c r="B1701" s="399" t="s">
        <v>6106</v>
      </c>
      <c r="C1701" s="399" t="str">
        <f t="shared" si="0"/>
        <v>Follow up recommended</v>
      </c>
      <c r="D1701" s="400" t="s">
        <v>6106</v>
      </c>
      <c r="E1701" s="399" t="s">
        <v>96</v>
      </c>
      <c r="F1701" s="400" t="s">
        <v>1787</v>
      </c>
      <c r="G1701" s="400"/>
      <c r="H1701" s="400"/>
      <c r="I1701" s="400"/>
      <c r="J1701" s="400"/>
      <c r="K1701" s="400">
        <v>1</v>
      </c>
      <c r="L1701" s="401" t="s">
        <v>5969</v>
      </c>
      <c r="M1701" s="402" t="s">
        <v>6096</v>
      </c>
      <c r="N1701" s="400"/>
      <c r="O1701" s="428" t="s">
        <v>6097</v>
      </c>
      <c r="P1701" s="428"/>
      <c r="Q1701" s="399" t="s">
        <v>6107</v>
      </c>
      <c r="R1701" s="428" t="s">
        <v>6106</v>
      </c>
      <c r="S1701" s="399"/>
      <c r="T1701" s="399" t="s">
        <v>6108</v>
      </c>
      <c r="U1701" s="399" t="s">
        <v>3169</v>
      </c>
      <c r="V1701" s="399"/>
      <c r="W1701" s="399" t="s">
        <v>3170</v>
      </c>
      <c r="X1701" s="400"/>
      <c r="Y1701" s="399" t="s">
        <v>208</v>
      </c>
      <c r="Z1701" s="399"/>
      <c r="AA1701" s="399" t="s">
        <v>113</v>
      </c>
      <c r="AB1701" s="399" t="s">
        <v>3178</v>
      </c>
      <c r="AC1701" s="532" t="s">
        <v>6109</v>
      </c>
      <c r="AD1701" s="400"/>
      <c r="AE1701" s="399"/>
      <c r="AF1701" s="399"/>
      <c r="AG1701" s="399"/>
      <c r="AH1701" s="532"/>
      <c r="AI1701" s="399"/>
      <c r="AJ1701" s="400"/>
      <c r="AK1701" s="399"/>
      <c r="AL1701" s="399"/>
      <c r="AM1701" s="399"/>
      <c r="AN1701" s="399"/>
      <c r="AO1701" s="399"/>
      <c r="AP1701" s="399"/>
      <c r="AQ1701" s="399"/>
      <c r="AR1701" s="399"/>
      <c r="AS1701" s="399"/>
      <c r="AT1701" s="399"/>
      <c r="AU1701" s="399"/>
      <c r="AV1701" s="399"/>
      <c r="AW1701" s="411"/>
      <c r="AX1701" s="411"/>
      <c r="AY1701" s="411"/>
      <c r="AZ1701" s="411"/>
      <c r="BA1701" s="411"/>
      <c r="BB1701" s="399"/>
      <c r="BC1701" s="399" t="str">
        <f t="shared" si="2"/>
        <v/>
      </c>
      <c r="BD1701" s="399"/>
      <c r="BE1701" s="399"/>
      <c r="BF1701" s="399"/>
      <c r="BG1701" s="540"/>
      <c r="BH1701" s="407"/>
      <c r="BI1701" s="407"/>
      <c r="BJ1701" s="412"/>
      <c r="BK1701" s="46">
        <f t="shared" si="1"/>
        <v>1</v>
      </c>
      <c r="BL1701" s="46">
        <f t="shared" si="3"/>
        <v>0</v>
      </c>
      <c r="BM1701" s="46">
        <f t="shared" si="4"/>
        <v>1</v>
      </c>
      <c r="BN1701" s="46">
        <f t="shared" si="5"/>
        <v>0</v>
      </c>
    </row>
    <row r="1702" spans="1:66" ht="12.75" customHeight="1">
      <c r="A1702" s="399">
        <v>1713</v>
      </c>
      <c r="B1702" s="399" t="s">
        <v>6117</v>
      </c>
      <c r="C1702" s="399" t="str">
        <f t="shared" si="0"/>
        <v>Follow up contact recommended date</v>
      </c>
      <c r="D1702" s="400" t="s">
        <v>6117</v>
      </c>
      <c r="E1702" s="399" t="s">
        <v>96</v>
      </c>
      <c r="F1702" s="400" t="s">
        <v>1787</v>
      </c>
      <c r="G1702" s="400"/>
      <c r="H1702" s="400"/>
      <c r="I1702" s="400"/>
      <c r="J1702" s="400"/>
      <c r="K1702" s="400">
        <v>1</v>
      </c>
      <c r="L1702" s="401" t="s">
        <v>5969</v>
      </c>
      <c r="M1702" s="402" t="s">
        <v>6096</v>
      </c>
      <c r="N1702" s="400"/>
      <c r="O1702" s="428" t="s">
        <v>6097</v>
      </c>
      <c r="P1702" s="428"/>
      <c r="Q1702" s="399" t="s">
        <v>6119</v>
      </c>
      <c r="R1702" s="428" t="s">
        <v>6117</v>
      </c>
      <c r="S1702" s="399"/>
      <c r="T1702" s="399" t="s">
        <v>6120</v>
      </c>
      <c r="U1702" s="399" t="s">
        <v>3158</v>
      </c>
      <c r="V1702" s="399"/>
      <c r="W1702" s="399"/>
      <c r="X1702" s="400"/>
      <c r="Y1702" s="399" t="s">
        <v>208</v>
      </c>
      <c r="Z1702" s="399"/>
      <c r="AA1702" s="399" t="s">
        <v>113</v>
      </c>
      <c r="AB1702" s="399" t="s">
        <v>3178</v>
      </c>
      <c r="AC1702" s="532"/>
      <c r="AD1702" s="400"/>
      <c r="AE1702" s="399"/>
      <c r="AF1702" s="399"/>
      <c r="AG1702" s="399"/>
      <c r="AH1702" s="532"/>
      <c r="AI1702" s="399"/>
      <c r="AJ1702" s="400"/>
      <c r="AK1702" s="399"/>
      <c r="AL1702" s="399"/>
      <c r="AM1702" s="399"/>
      <c r="AN1702" s="399"/>
      <c r="AO1702" s="399"/>
      <c r="AP1702" s="399"/>
      <c r="AQ1702" s="399"/>
      <c r="AR1702" s="399"/>
      <c r="AS1702" s="399"/>
      <c r="AT1702" s="399"/>
      <c r="AU1702" s="399"/>
      <c r="AV1702" s="399"/>
      <c r="AW1702" s="411"/>
      <c r="AX1702" s="411"/>
      <c r="AY1702" s="411"/>
      <c r="AZ1702" s="411"/>
      <c r="BA1702" s="411"/>
      <c r="BB1702" s="399"/>
      <c r="BC1702" s="399" t="str">
        <f t="shared" si="2"/>
        <v/>
      </c>
      <c r="BD1702" s="399"/>
      <c r="BE1702" s="399"/>
      <c r="BF1702" s="399"/>
      <c r="BG1702" s="540"/>
      <c r="BH1702" s="407"/>
      <c r="BI1702" s="407"/>
      <c r="BJ1702" s="412"/>
      <c r="BK1702" s="46">
        <f t="shared" si="1"/>
        <v>1</v>
      </c>
      <c r="BL1702" s="46">
        <f t="shared" si="3"/>
        <v>0</v>
      </c>
      <c r="BM1702" s="46">
        <f t="shared" si="4"/>
        <v>1</v>
      </c>
      <c r="BN1702" s="46">
        <f t="shared" si="5"/>
        <v>0</v>
      </c>
    </row>
    <row r="1703" spans="1:66" ht="12.75" customHeight="1">
      <c r="A1703" s="399">
        <v>1714</v>
      </c>
      <c r="B1703" s="409" t="s">
        <v>6131</v>
      </c>
      <c r="C1703" s="399" t="str">
        <f t="shared" si="0"/>
        <v>Backup method provided</v>
      </c>
      <c r="D1703" s="400" t="s">
        <v>6125</v>
      </c>
      <c r="E1703" s="399" t="s">
        <v>96</v>
      </c>
      <c r="F1703" s="400" t="s">
        <v>1787</v>
      </c>
      <c r="G1703" s="400"/>
      <c r="H1703" s="400"/>
      <c r="I1703" s="400"/>
      <c r="J1703" s="400"/>
      <c r="K1703" s="400">
        <v>1</v>
      </c>
      <c r="L1703" s="401" t="s">
        <v>5969</v>
      </c>
      <c r="M1703" s="402" t="s">
        <v>3334</v>
      </c>
      <c r="N1703" s="402"/>
      <c r="O1703" s="428" t="s">
        <v>6127</v>
      </c>
      <c r="P1703" s="428"/>
      <c r="Q1703" s="399" t="s">
        <v>6128</v>
      </c>
      <c r="R1703" s="428" t="s">
        <v>6125</v>
      </c>
      <c r="S1703" s="399"/>
      <c r="T1703" s="399" t="s">
        <v>6129</v>
      </c>
      <c r="U1703" s="399" t="s">
        <v>3169</v>
      </c>
      <c r="V1703" s="399"/>
      <c r="W1703" s="399" t="s">
        <v>3170</v>
      </c>
      <c r="X1703" s="400"/>
      <c r="Y1703" s="399" t="s">
        <v>208</v>
      </c>
      <c r="Z1703" s="399"/>
      <c r="AA1703" s="399" t="s">
        <v>113</v>
      </c>
      <c r="AB1703" s="399" t="s">
        <v>3178</v>
      </c>
      <c r="AC1703" s="532" t="s">
        <v>6130</v>
      </c>
      <c r="AD1703" s="400"/>
      <c r="AE1703" s="399"/>
      <c r="AF1703" s="399"/>
      <c r="AG1703" s="399"/>
      <c r="AH1703" s="532"/>
      <c r="AI1703" s="399"/>
      <c r="AJ1703" s="400"/>
      <c r="AK1703" s="399"/>
      <c r="AL1703" s="500"/>
      <c r="AM1703" s="500"/>
      <c r="AN1703" s="500"/>
      <c r="AO1703" s="500" t="s">
        <v>3314</v>
      </c>
      <c r="AP1703" s="399"/>
      <c r="AQ1703" s="399"/>
      <c r="AR1703" s="399"/>
      <c r="AS1703" s="399"/>
      <c r="AT1703" s="399"/>
      <c r="AU1703" s="399"/>
      <c r="AV1703" s="399"/>
      <c r="AW1703" s="411"/>
      <c r="AX1703" s="411"/>
      <c r="AY1703" s="411"/>
      <c r="AZ1703" s="411"/>
      <c r="BA1703" s="434" t="s">
        <v>6028</v>
      </c>
      <c r="BB1703" s="399"/>
      <c r="BC1703" s="399" t="str">
        <f t="shared" si="2"/>
        <v>"Backup method provided"-&gt;"Backup contraception method provided"</v>
      </c>
      <c r="BD1703" s="399"/>
      <c r="BE1703" s="399"/>
      <c r="BF1703" s="399"/>
      <c r="BG1703" s="540"/>
      <c r="BH1703" s="407"/>
      <c r="BI1703" s="407"/>
      <c r="BJ1703" s="412"/>
      <c r="BK1703" s="46">
        <f t="shared" si="1"/>
        <v>1</v>
      </c>
      <c r="BL1703" s="46">
        <f t="shared" si="3"/>
        <v>0</v>
      </c>
      <c r="BM1703" s="46">
        <f t="shared" si="4"/>
        <v>1</v>
      </c>
      <c r="BN1703" s="46">
        <f t="shared" si="5"/>
        <v>1</v>
      </c>
    </row>
    <row r="1704" spans="1:66" ht="12.75" customHeight="1">
      <c r="A1704" s="399">
        <v>1715</v>
      </c>
      <c r="B1704" s="409" t="s">
        <v>6138</v>
      </c>
      <c r="C1704" s="399" t="str">
        <f t="shared" si="0"/>
        <v>Type of backup method provided</v>
      </c>
      <c r="D1704" s="400" t="s">
        <v>6134</v>
      </c>
      <c r="E1704" s="399" t="s">
        <v>96</v>
      </c>
      <c r="F1704" s="400" t="s">
        <v>1787</v>
      </c>
      <c r="G1704" s="400"/>
      <c r="H1704" s="400"/>
      <c r="I1704" s="400"/>
      <c r="J1704" s="400"/>
      <c r="K1704" s="400">
        <v>1</v>
      </c>
      <c r="L1704" s="401" t="s">
        <v>5969</v>
      </c>
      <c r="M1704" s="402" t="s">
        <v>3334</v>
      </c>
      <c r="N1704" s="402"/>
      <c r="O1704" s="428" t="s">
        <v>6127</v>
      </c>
      <c r="P1704" s="428"/>
      <c r="Q1704" s="399" t="s">
        <v>6133</v>
      </c>
      <c r="R1704" s="428" t="s">
        <v>6134</v>
      </c>
      <c r="S1704" s="399"/>
      <c r="T1704" s="399" t="s">
        <v>6134</v>
      </c>
      <c r="U1704" s="399" t="s">
        <v>4823</v>
      </c>
      <c r="V1704" s="399"/>
      <c r="W1704" s="399"/>
      <c r="X1704" s="400"/>
      <c r="Y1704" s="399" t="s">
        <v>208</v>
      </c>
      <c r="Z1704" s="399"/>
      <c r="AA1704" s="399" t="s">
        <v>113</v>
      </c>
      <c r="AB1704" s="399" t="s">
        <v>3178</v>
      </c>
      <c r="AC1704" s="532" t="s">
        <v>6135</v>
      </c>
      <c r="AD1704" s="400"/>
      <c r="AE1704" s="399"/>
      <c r="AF1704" s="399"/>
      <c r="AG1704" s="399"/>
      <c r="AH1704" s="532"/>
      <c r="AI1704" s="399"/>
      <c r="AJ1704" s="400"/>
      <c r="AK1704" s="399"/>
      <c r="AL1704" s="500"/>
      <c r="AM1704" s="500"/>
      <c r="AN1704" s="500"/>
      <c r="AO1704" s="500" t="s">
        <v>3314</v>
      </c>
      <c r="AP1704" s="399"/>
      <c r="AQ1704" s="399"/>
      <c r="AR1704" s="399"/>
      <c r="AS1704" s="399"/>
      <c r="AT1704" s="399"/>
      <c r="AU1704" s="399"/>
      <c r="AV1704" s="399"/>
      <c r="AW1704" s="411"/>
      <c r="AX1704" s="411"/>
      <c r="AY1704" s="411"/>
      <c r="AZ1704" s="411"/>
      <c r="BA1704" s="434" t="s">
        <v>6028</v>
      </c>
      <c r="BB1704" s="399"/>
      <c r="BC1704" s="399" t="str">
        <f t="shared" si="2"/>
        <v>"Type of backup method provided"-&gt;"Type of backup contraception method provided"</v>
      </c>
      <c r="BD1704" s="399"/>
      <c r="BE1704" s="399"/>
      <c r="BF1704" s="399"/>
      <c r="BG1704" s="540"/>
      <c r="BH1704" s="407"/>
      <c r="BI1704" s="407"/>
      <c r="BJ1704" s="412"/>
      <c r="BK1704" s="46">
        <f t="shared" si="1"/>
        <v>1</v>
      </c>
      <c r="BL1704" s="46">
        <f t="shared" si="3"/>
        <v>0</v>
      </c>
      <c r="BM1704" s="46">
        <f t="shared" si="4"/>
        <v>1</v>
      </c>
      <c r="BN1704" s="46">
        <f t="shared" si="5"/>
        <v>1</v>
      </c>
    </row>
    <row r="1705" spans="1:66" ht="12.75" customHeight="1">
      <c r="A1705" s="399">
        <v>1716</v>
      </c>
      <c r="B1705" s="399" t="s">
        <v>3623</v>
      </c>
      <c r="C1705" s="399" t="e">
        <f t="shared" ca="1" si="0"/>
        <v>#NAME?</v>
      </c>
      <c r="D1705" s="400" t="s">
        <v>3626</v>
      </c>
      <c r="E1705" s="399" t="s">
        <v>180</v>
      </c>
      <c r="F1705" s="400" t="s">
        <v>6134</v>
      </c>
      <c r="G1705" s="400"/>
      <c r="H1705" s="400"/>
      <c r="I1705" s="400"/>
      <c r="J1705" s="400"/>
      <c r="K1705" s="400">
        <v>1</v>
      </c>
      <c r="L1705" s="401" t="s">
        <v>5969</v>
      </c>
      <c r="M1705" s="402" t="s">
        <v>3334</v>
      </c>
      <c r="N1705" s="402"/>
      <c r="O1705" s="428" t="s">
        <v>6127</v>
      </c>
      <c r="P1705" s="428"/>
      <c r="Q1705" s="399" t="s">
        <v>6139</v>
      </c>
      <c r="R1705" s="428"/>
      <c r="S1705" s="399"/>
      <c r="T1705" s="399"/>
      <c r="U1705" s="399"/>
      <c r="V1705" s="399"/>
      <c r="W1705" s="399" t="s">
        <v>3626</v>
      </c>
      <c r="X1705" s="400"/>
      <c r="Y1705" s="399" t="s">
        <v>208</v>
      </c>
      <c r="Z1705" s="399"/>
      <c r="AA1705" s="399" t="s">
        <v>113</v>
      </c>
      <c r="AB1705" s="399"/>
      <c r="AC1705" s="532"/>
      <c r="AD1705" s="400"/>
      <c r="AE1705" s="399"/>
      <c r="AF1705" s="399"/>
      <c r="AG1705" s="399"/>
      <c r="AH1705" s="532"/>
      <c r="AI1705" s="399"/>
      <c r="AJ1705" s="400"/>
      <c r="AK1705" s="399"/>
      <c r="AL1705" s="500"/>
      <c r="AM1705" s="500"/>
      <c r="AN1705" s="500"/>
      <c r="AO1705" s="399"/>
      <c r="AP1705" s="399"/>
      <c r="AQ1705" s="399"/>
      <c r="AR1705" s="399"/>
      <c r="AS1705" s="409" t="s">
        <v>3162</v>
      </c>
      <c r="AT1705" s="399"/>
      <c r="AU1705" s="399"/>
      <c r="AV1705" s="409" t="s">
        <v>6378</v>
      </c>
      <c r="AW1705" s="411" t="s">
        <v>6141</v>
      </c>
      <c r="AX1705" s="411"/>
      <c r="AY1705" s="411"/>
      <c r="AZ1705" s="411"/>
      <c r="BA1705" s="411"/>
      <c r="BB1705" s="399"/>
      <c r="BC1705" s="399" t="e">
        <f t="shared" ca="1" si="2"/>
        <v>#NAME?</v>
      </c>
      <c r="BD1705" s="399">
        <v>164813</v>
      </c>
      <c r="BE1705" s="399"/>
      <c r="BF1705" s="399"/>
      <c r="BG1705" s="540" t="s">
        <v>6142</v>
      </c>
      <c r="BH1705" s="407"/>
      <c r="BI1705" s="407">
        <v>442450006</v>
      </c>
      <c r="BJ1705" s="412" t="s">
        <v>6141</v>
      </c>
      <c r="BK1705" s="46">
        <f t="shared" si="1"/>
        <v>1</v>
      </c>
      <c r="BL1705" s="46">
        <f t="shared" si="3"/>
        <v>1</v>
      </c>
      <c r="BM1705" s="46">
        <f t="shared" si="4"/>
        <v>0</v>
      </c>
      <c r="BN1705" s="46">
        <f t="shared" si="5"/>
        <v>0</v>
      </c>
    </row>
    <row r="1706" spans="1:66" ht="12.75" customHeight="1">
      <c r="A1706" s="399">
        <v>1717</v>
      </c>
      <c r="B1706" s="399" t="s">
        <v>3629</v>
      </c>
      <c r="C1706" s="399" t="e">
        <f t="shared" ca="1" si="0"/>
        <v>#NAME?</v>
      </c>
      <c r="D1706" s="400" t="s">
        <v>3632</v>
      </c>
      <c r="E1706" s="399" t="s">
        <v>180</v>
      </c>
      <c r="F1706" s="400" t="s">
        <v>6134</v>
      </c>
      <c r="G1706" s="400"/>
      <c r="H1706" s="400"/>
      <c r="I1706" s="400"/>
      <c r="J1706" s="400"/>
      <c r="K1706" s="400">
        <v>1</v>
      </c>
      <c r="L1706" s="401" t="s">
        <v>5969</v>
      </c>
      <c r="M1706" s="402" t="s">
        <v>3334</v>
      </c>
      <c r="N1706" s="402"/>
      <c r="O1706" s="428" t="s">
        <v>6127</v>
      </c>
      <c r="P1706" s="428"/>
      <c r="Q1706" s="399" t="s">
        <v>6144</v>
      </c>
      <c r="R1706" s="428"/>
      <c r="S1706" s="399"/>
      <c r="T1706" s="399"/>
      <c r="U1706" s="399"/>
      <c r="V1706" s="399"/>
      <c r="W1706" s="399" t="s">
        <v>3632</v>
      </c>
      <c r="X1706" s="400"/>
      <c r="Y1706" s="399" t="s">
        <v>208</v>
      </c>
      <c r="Z1706" s="399"/>
      <c r="AA1706" s="399" t="s">
        <v>113</v>
      </c>
      <c r="AB1706" s="399"/>
      <c r="AC1706" s="532"/>
      <c r="AD1706" s="400"/>
      <c r="AE1706" s="399"/>
      <c r="AF1706" s="399"/>
      <c r="AG1706" s="399"/>
      <c r="AH1706" s="532"/>
      <c r="AI1706" s="399"/>
      <c r="AJ1706" s="400"/>
      <c r="AK1706" s="399"/>
      <c r="AL1706" s="500"/>
      <c r="AM1706" s="500"/>
      <c r="AN1706" s="500"/>
      <c r="AO1706" s="399"/>
      <c r="AP1706" s="399"/>
      <c r="AQ1706" s="399"/>
      <c r="AR1706" s="399"/>
      <c r="AS1706" s="409" t="s">
        <v>3162</v>
      </c>
      <c r="AT1706" s="399"/>
      <c r="AU1706" s="399"/>
      <c r="AV1706" s="409" t="s">
        <v>6145</v>
      </c>
      <c r="AW1706" s="411" t="s">
        <v>6146</v>
      </c>
      <c r="AX1706" s="411"/>
      <c r="AY1706" s="411"/>
      <c r="AZ1706" s="411"/>
      <c r="BA1706" s="411"/>
      <c r="BB1706" s="399"/>
      <c r="BC1706" s="399" t="e">
        <f t="shared" ca="1" si="2"/>
        <v>#NAME?</v>
      </c>
      <c r="BD1706" s="399">
        <v>164814</v>
      </c>
      <c r="BE1706" s="399"/>
      <c r="BF1706" s="399"/>
      <c r="BG1706" s="540" t="s">
        <v>6147</v>
      </c>
      <c r="BH1706" s="407"/>
      <c r="BI1706" s="407" t="s">
        <v>6383</v>
      </c>
      <c r="BJ1706" s="412" t="s">
        <v>6146</v>
      </c>
      <c r="BK1706" s="46">
        <f t="shared" si="1"/>
        <v>1</v>
      </c>
      <c r="BL1706" s="46">
        <f t="shared" si="3"/>
        <v>1</v>
      </c>
      <c r="BM1706" s="46">
        <f t="shared" si="4"/>
        <v>0</v>
      </c>
      <c r="BN1706" s="46">
        <f t="shared" si="5"/>
        <v>0</v>
      </c>
    </row>
    <row r="1707" spans="1:66" ht="12.75" customHeight="1">
      <c r="A1707" s="399">
        <v>1718</v>
      </c>
      <c r="B1707" s="399" t="s">
        <v>2005</v>
      </c>
      <c r="C1707" s="399" t="e">
        <f t="shared" ca="1" si="0"/>
        <v>#NAME?</v>
      </c>
      <c r="D1707" s="400" t="s">
        <v>1387</v>
      </c>
      <c r="E1707" s="399" t="s">
        <v>180</v>
      </c>
      <c r="F1707" s="400" t="s">
        <v>6134</v>
      </c>
      <c r="G1707" s="400"/>
      <c r="H1707" s="400"/>
      <c r="I1707" s="400"/>
      <c r="J1707" s="400"/>
      <c r="K1707" s="400">
        <v>1</v>
      </c>
      <c r="L1707" s="401" t="s">
        <v>5969</v>
      </c>
      <c r="M1707" s="402" t="s">
        <v>3334</v>
      </c>
      <c r="N1707" s="402"/>
      <c r="O1707" s="428" t="s">
        <v>6127</v>
      </c>
      <c r="P1707" s="428"/>
      <c r="Q1707" s="399" t="s">
        <v>6149</v>
      </c>
      <c r="R1707" s="428"/>
      <c r="S1707" s="399"/>
      <c r="T1707" s="399"/>
      <c r="U1707" s="399"/>
      <c r="V1707" s="399"/>
      <c r="W1707" s="399" t="s">
        <v>1387</v>
      </c>
      <c r="X1707" s="400"/>
      <c r="Y1707" s="399" t="s">
        <v>208</v>
      </c>
      <c r="Z1707" s="399"/>
      <c r="AA1707" s="399" t="s">
        <v>113</v>
      </c>
      <c r="AB1707" s="399"/>
      <c r="AC1707" s="532"/>
      <c r="AD1707" s="400"/>
      <c r="AE1707" s="399"/>
      <c r="AF1707" s="399"/>
      <c r="AG1707" s="399"/>
      <c r="AH1707" s="532"/>
      <c r="AI1707" s="399"/>
      <c r="AJ1707" s="400"/>
      <c r="AK1707" s="399"/>
      <c r="AL1707" s="500"/>
      <c r="AM1707" s="500"/>
      <c r="AN1707" s="500"/>
      <c r="AO1707" s="399"/>
      <c r="AP1707" s="399"/>
      <c r="AQ1707" s="399"/>
      <c r="AR1707" s="399"/>
      <c r="AS1707" s="399"/>
      <c r="AT1707" s="399"/>
      <c r="AU1707" s="399"/>
      <c r="AV1707" s="399"/>
      <c r="AW1707" s="411"/>
      <c r="AX1707" s="411"/>
      <c r="AY1707" s="411"/>
      <c r="AZ1707" s="411"/>
      <c r="BA1707" s="411"/>
      <c r="BB1707" s="399"/>
      <c r="BC1707" s="399" t="e">
        <f t="shared" ca="1" si="2"/>
        <v>#NAME?</v>
      </c>
      <c r="BD1707" s="399"/>
      <c r="BE1707" s="399"/>
      <c r="BF1707" s="399"/>
      <c r="BG1707" s="540"/>
      <c r="BH1707" s="407"/>
      <c r="BI1707" s="407"/>
      <c r="BJ1707" s="412"/>
      <c r="BK1707" s="46">
        <f t="shared" si="1"/>
        <v>1</v>
      </c>
      <c r="BL1707" s="46">
        <f t="shared" si="3"/>
        <v>0</v>
      </c>
      <c r="BM1707" s="46">
        <f t="shared" si="4"/>
        <v>1</v>
      </c>
      <c r="BN1707" s="46">
        <f t="shared" si="5"/>
        <v>0</v>
      </c>
    </row>
    <row r="1708" spans="1:66" ht="12.75" customHeight="1">
      <c r="A1708" s="399">
        <v>1719</v>
      </c>
      <c r="B1708" s="409" t="s">
        <v>6150</v>
      </c>
      <c r="C1708" s="399" t="str">
        <f t="shared" si="0"/>
        <v>Quantity of backup method provided</v>
      </c>
      <c r="D1708" s="400" t="s">
        <v>6051</v>
      </c>
      <c r="E1708" s="399" t="s">
        <v>96</v>
      </c>
      <c r="F1708" s="400" t="s">
        <v>1787</v>
      </c>
      <c r="G1708" s="400"/>
      <c r="H1708" s="400"/>
      <c r="I1708" s="400"/>
      <c r="J1708" s="400"/>
      <c r="K1708" s="400">
        <v>1</v>
      </c>
      <c r="L1708" s="401" t="s">
        <v>5969</v>
      </c>
      <c r="M1708" s="402" t="s">
        <v>3334</v>
      </c>
      <c r="N1708" s="402"/>
      <c r="O1708" s="428" t="s">
        <v>6127</v>
      </c>
      <c r="P1708" s="428"/>
      <c r="Q1708" s="399"/>
      <c r="R1708" s="428" t="s">
        <v>6051</v>
      </c>
      <c r="S1708" s="399"/>
      <c r="T1708" s="399" t="s">
        <v>6151</v>
      </c>
      <c r="U1708" s="399" t="s">
        <v>168</v>
      </c>
      <c r="V1708" s="399"/>
      <c r="W1708" s="399"/>
      <c r="X1708" s="400"/>
      <c r="Y1708" s="399" t="s">
        <v>208</v>
      </c>
      <c r="Z1708" s="399"/>
      <c r="AA1708" s="399" t="s">
        <v>113</v>
      </c>
      <c r="AB1708" s="399" t="s">
        <v>1889</v>
      </c>
      <c r="AC1708" s="532"/>
      <c r="AD1708" s="400"/>
      <c r="AE1708" s="399"/>
      <c r="AF1708" s="399"/>
      <c r="AG1708" s="399"/>
      <c r="AH1708" s="532"/>
      <c r="AI1708" s="399"/>
      <c r="AJ1708" s="400"/>
      <c r="AK1708" s="399"/>
      <c r="AL1708" s="500"/>
      <c r="AM1708" s="500"/>
      <c r="AN1708" s="500"/>
      <c r="AO1708" s="500" t="s">
        <v>3314</v>
      </c>
      <c r="AP1708" s="399"/>
      <c r="AQ1708" s="399"/>
      <c r="AR1708" s="399"/>
      <c r="AS1708" s="399"/>
      <c r="AT1708" s="399"/>
      <c r="AU1708" s="399"/>
      <c r="AV1708" s="399"/>
      <c r="AW1708" s="411"/>
      <c r="AX1708" s="411"/>
      <c r="AY1708" s="411"/>
      <c r="AZ1708" s="411"/>
      <c r="BA1708" s="434" t="s">
        <v>6028</v>
      </c>
      <c r="BB1708" s="399"/>
      <c r="BC1708" s="399" t="str">
        <f t="shared" si="2"/>
        <v>"Quantity of backup method provided"-&gt;"Quantity of backup contraception method provided"</v>
      </c>
      <c r="BD1708" s="399"/>
      <c r="BE1708" s="399"/>
      <c r="BF1708" s="399"/>
      <c r="BG1708" s="540"/>
      <c r="BH1708" s="407"/>
      <c r="BI1708" s="407"/>
      <c r="BJ1708" s="412"/>
      <c r="BK1708" s="46">
        <f t="shared" si="1"/>
        <v>1</v>
      </c>
      <c r="BL1708" s="46">
        <f t="shared" si="3"/>
        <v>0</v>
      </c>
      <c r="BM1708" s="46">
        <f t="shared" si="4"/>
        <v>1</v>
      </c>
      <c r="BN1708" s="46">
        <f t="shared" si="5"/>
        <v>1</v>
      </c>
    </row>
    <row r="1709" spans="1:66" ht="12.75" customHeight="1">
      <c r="A1709" s="399">
        <v>1720</v>
      </c>
      <c r="B1709" s="409" t="s">
        <v>6157</v>
      </c>
      <c r="C1709" s="399" t="str">
        <f t="shared" si="0"/>
        <v>Backup method needed</v>
      </c>
      <c r="D1709" s="400" t="s">
        <v>6154</v>
      </c>
      <c r="E1709" s="399" t="s">
        <v>96</v>
      </c>
      <c r="F1709" s="400" t="s">
        <v>1787</v>
      </c>
      <c r="G1709" s="400"/>
      <c r="H1709" s="400"/>
      <c r="I1709" s="400"/>
      <c r="J1709" s="400"/>
      <c r="K1709" s="400">
        <v>1</v>
      </c>
      <c r="L1709" s="401" t="s">
        <v>5969</v>
      </c>
      <c r="M1709" s="402" t="s">
        <v>3334</v>
      </c>
      <c r="N1709" s="402"/>
      <c r="O1709" s="428" t="s">
        <v>6127</v>
      </c>
      <c r="P1709" s="428"/>
      <c r="Q1709" s="399" t="s">
        <v>6153</v>
      </c>
      <c r="R1709" s="428" t="s">
        <v>6154</v>
      </c>
      <c r="S1709" s="399"/>
      <c r="T1709" s="399" t="s">
        <v>6155</v>
      </c>
      <c r="U1709" s="399" t="s">
        <v>3169</v>
      </c>
      <c r="V1709" s="399"/>
      <c r="W1709" s="399" t="s">
        <v>3170</v>
      </c>
      <c r="X1709" s="400"/>
      <c r="Y1709" s="399" t="s">
        <v>208</v>
      </c>
      <c r="Z1709" s="399"/>
      <c r="AA1709" s="399" t="s">
        <v>113</v>
      </c>
      <c r="AB1709" s="399" t="s">
        <v>3178</v>
      </c>
      <c r="AC1709" s="532" t="s">
        <v>6156</v>
      </c>
      <c r="AD1709" s="400"/>
      <c r="AE1709" s="399"/>
      <c r="AF1709" s="399"/>
      <c r="AG1709" s="399"/>
      <c r="AH1709" s="532"/>
      <c r="AI1709" s="399"/>
      <c r="AJ1709" s="400"/>
      <c r="AK1709" s="399"/>
      <c r="AL1709" s="500"/>
      <c r="AM1709" s="500"/>
      <c r="AN1709" s="500"/>
      <c r="AO1709" s="500" t="s">
        <v>3314</v>
      </c>
      <c r="AP1709" s="399"/>
      <c r="AQ1709" s="399"/>
      <c r="AR1709" s="399"/>
      <c r="AS1709" s="399"/>
      <c r="AT1709" s="399"/>
      <c r="AU1709" s="399"/>
      <c r="AV1709" s="399"/>
      <c r="AW1709" s="411"/>
      <c r="AX1709" s="411"/>
      <c r="AY1709" s="411"/>
      <c r="AZ1709" s="411"/>
      <c r="BA1709" s="434" t="s">
        <v>6028</v>
      </c>
      <c r="BB1709" s="399"/>
      <c r="BC1709" s="399" t="str">
        <f t="shared" si="2"/>
        <v>"Backup method needed"-&gt;"Backup contraception method needed"</v>
      </c>
      <c r="BD1709" s="399"/>
      <c r="BE1709" s="399"/>
      <c r="BF1709" s="399"/>
      <c r="BG1709" s="540"/>
      <c r="BH1709" s="407"/>
      <c r="BI1709" s="407"/>
      <c r="BJ1709" s="412"/>
      <c r="BK1709" s="46">
        <f t="shared" si="1"/>
        <v>1</v>
      </c>
      <c r="BL1709" s="46">
        <f t="shared" si="3"/>
        <v>0</v>
      </c>
      <c r="BM1709" s="46">
        <f t="shared" si="4"/>
        <v>1</v>
      </c>
      <c r="BN1709" s="46">
        <f t="shared" si="5"/>
        <v>1</v>
      </c>
    </row>
    <row r="1710" spans="1:66" ht="12.75" customHeight="1">
      <c r="A1710" s="399">
        <v>1721</v>
      </c>
      <c r="B1710" s="399" t="s">
        <v>3306</v>
      </c>
      <c r="C1710" s="399" t="str">
        <f t="shared" si="0"/>
        <v>Client address</v>
      </c>
      <c r="D1710" s="400" t="str">
        <f t="shared" ref="D1710:D1715" si="7">IF(R1710="",IF(W1710="",S1710,W1710),R1710)</f>
        <v>Client address</v>
      </c>
      <c r="E1710" s="399" t="str">
        <f t="shared" ref="E1710:E1715" si="8">IF(AND(ISBLANK(W1710)=FALSE,OR(U1710="MC",U1710="")),"Input Option","Data Element")</f>
        <v>Data Element</v>
      </c>
      <c r="F1710" s="400" t="str">
        <f t="shared" ref="F1710:F1715" si="9">IF(E1710="Input Option",IF(F1709="",D1709,F1709),"")</f>
        <v/>
      </c>
      <c r="G1710" s="400"/>
      <c r="H1710" s="402">
        <v>1</v>
      </c>
      <c r="I1710" s="400"/>
      <c r="J1710" s="400"/>
      <c r="K1710" s="400">
        <v>1</v>
      </c>
      <c r="L1710" s="401" t="s">
        <v>6392</v>
      </c>
      <c r="M1710" s="402" t="s">
        <v>3093</v>
      </c>
      <c r="N1710" s="409"/>
      <c r="O1710" s="428" t="s">
        <v>3199</v>
      </c>
      <c r="P1710" s="428"/>
      <c r="Q1710" s="399"/>
      <c r="R1710" s="428" t="s">
        <v>3306</v>
      </c>
      <c r="S1710" s="399" t="s">
        <v>6393</v>
      </c>
      <c r="T1710" s="399"/>
      <c r="U1710" s="399" t="s">
        <v>111</v>
      </c>
      <c r="V1710" s="399"/>
      <c r="W1710" s="399"/>
      <c r="X1710" s="400"/>
      <c r="Y1710" s="399"/>
      <c r="Z1710" s="399"/>
      <c r="AA1710" s="399" t="s">
        <v>113</v>
      </c>
      <c r="AB1710" s="399" t="s">
        <v>113</v>
      </c>
      <c r="AC1710" s="532"/>
      <c r="AD1710" s="400"/>
      <c r="AE1710" s="399"/>
      <c r="AF1710" s="399"/>
      <c r="AG1710" s="399"/>
      <c r="AH1710" s="532"/>
      <c r="AI1710" s="399"/>
      <c r="AJ1710" s="400"/>
      <c r="AK1710" s="399"/>
      <c r="AL1710" s="409" t="s">
        <v>3307</v>
      </c>
      <c r="AM1710" s="409"/>
      <c r="AN1710" s="409"/>
      <c r="AO1710" s="409" t="s">
        <v>3100</v>
      </c>
      <c r="AP1710" s="409" t="s">
        <v>3101</v>
      </c>
      <c r="AQ1710" s="399"/>
      <c r="AR1710" s="399"/>
      <c r="AS1710" s="399"/>
      <c r="AT1710" s="399"/>
      <c r="AU1710" s="399"/>
      <c r="AV1710" s="399"/>
      <c r="AW1710" s="411"/>
      <c r="AX1710" s="411"/>
      <c r="AY1710" s="434" t="s">
        <v>3106</v>
      </c>
      <c r="AZ1710" s="411"/>
      <c r="BA1710" s="411"/>
      <c r="BB1710" s="399"/>
      <c r="BC1710" s="399" t="str">
        <f t="shared" si="2"/>
        <v/>
      </c>
      <c r="BD1710" s="399"/>
      <c r="BE1710" s="399" t="s">
        <v>115</v>
      </c>
      <c r="BF1710" s="399" t="s">
        <v>192</v>
      </c>
      <c r="BG1710" s="540" t="s">
        <v>193</v>
      </c>
      <c r="BH1710" s="407"/>
      <c r="BI1710" s="407"/>
      <c r="BJ1710" s="412"/>
      <c r="BK1710" s="46">
        <f t="shared" si="1"/>
        <v>1</v>
      </c>
      <c r="BL1710" s="46">
        <f t="shared" si="3"/>
        <v>1</v>
      </c>
      <c r="BM1710" s="46">
        <f t="shared" si="4"/>
        <v>0</v>
      </c>
      <c r="BN1710" s="46">
        <f t="shared" si="5"/>
        <v>0</v>
      </c>
    </row>
    <row r="1711" spans="1:66" ht="12.75" customHeight="1">
      <c r="A1711" s="399">
        <v>1722</v>
      </c>
      <c r="B1711" s="399" t="s">
        <v>6396</v>
      </c>
      <c r="C1711" s="399" t="str">
        <f t="shared" si="0"/>
        <v>Client address city</v>
      </c>
      <c r="D1711" s="400" t="str">
        <f t="shared" si="7"/>
        <v>Client address city</v>
      </c>
      <c r="E1711" s="399" t="str">
        <f t="shared" si="8"/>
        <v>Data Element</v>
      </c>
      <c r="F1711" s="400" t="str">
        <f t="shared" si="9"/>
        <v/>
      </c>
      <c r="G1711" s="400"/>
      <c r="H1711" s="402">
        <v>1</v>
      </c>
      <c r="I1711" s="400"/>
      <c r="J1711" s="400"/>
      <c r="K1711" s="400">
        <v>1</v>
      </c>
      <c r="L1711" s="401" t="s">
        <v>6392</v>
      </c>
      <c r="M1711" s="402" t="s">
        <v>3093</v>
      </c>
      <c r="N1711" s="400"/>
      <c r="O1711" s="428" t="s">
        <v>3199</v>
      </c>
      <c r="P1711" s="428"/>
      <c r="Q1711" s="399"/>
      <c r="R1711" s="428" t="s">
        <v>6396</v>
      </c>
      <c r="S1711" s="399" t="s">
        <v>6397</v>
      </c>
      <c r="T1711" s="399"/>
      <c r="U1711" s="399"/>
      <c r="V1711" s="399"/>
      <c r="W1711" s="399"/>
      <c r="X1711" s="400"/>
      <c r="Y1711" s="399"/>
      <c r="Z1711" s="399"/>
      <c r="AA1711" s="399"/>
      <c r="AB1711" s="399"/>
      <c r="AC1711" s="532"/>
      <c r="AD1711" s="400"/>
      <c r="AE1711" s="399"/>
      <c r="AF1711" s="399"/>
      <c r="AG1711" s="399"/>
      <c r="AH1711" s="532"/>
      <c r="AI1711" s="399"/>
      <c r="AJ1711" s="400"/>
      <c r="AK1711" s="399"/>
      <c r="AL1711" s="399" t="s">
        <v>6397</v>
      </c>
      <c r="AM1711" s="399"/>
      <c r="AN1711" s="399"/>
      <c r="AO1711" s="409" t="s">
        <v>3100</v>
      </c>
      <c r="AP1711" s="409" t="s">
        <v>3101</v>
      </c>
      <c r="AQ1711" s="399"/>
      <c r="AR1711" s="399"/>
      <c r="AS1711" s="399"/>
      <c r="AT1711" s="399"/>
      <c r="AU1711" s="399"/>
      <c r="AV1711" s="399"/>
      <c r="AW1711" s="411"/>
      <c r="AX1711" s="411"/>
      <c r="AY1711" s="434" t="s">
        <v>3106</v>
      </c>
      <c r="AZ1711" s="411"/>
      <c r="BA1711" s="411"/>
      <c r="BB1711" s="399"/>
      <c r="BC1711" s="399" t="str">
        <f t="shared" si="2"/>
        <v/>
      </c>
      <c r="BD1711" s="399"/>
      <c r="BE1711" s="399"/>
      <c r="BF1711" s="399"/>
      <c r="BG1711" s="540"/>
      <c r="BH1711" s="407"/>
      <c r="BI1711" s="407"/>
      <c r="BJ1711" s="412"/>
      <c r="BK1711" s="46">
        <f t="shared" si="1"/>
        <v>1</v>
      </c>
      <c r="BL1711" s="46">
        <f t="shared" si="3"/>
        <v>1</v>
      </c>
      <c r="BM1711" s="46">
        <f t="shared" si="4"/>
        <v>0</v>
      </c>
      <c r="BN1711" s="46">
        <f t="shared" si="5"/>
        <v>0</v>
      </c>
    </row>
    <row r="1712" spans="1:66" ht="12.75" customHeight="1">
      <c r="A1712" s="399">
        <v>1723</v>
      </c>
      <c r="B1712" s="399" t="s">
        <v>6403</v>
      </c>
      <c r="C1712" s="399" t="str">
        <f t="shared" si="0"/>
        <v>Client address country</v>
      </c>
      <c r="D1712" s="400" t="str">
        <f t="shared" si="7"/>
        <v>Client address country</v>
      </c>
      <c r="E1712" s="399" t="str">
        <f t="shared" si="8"/>
        <v>Data Element</v>
      </c>
      <c r="F1712" s="400" t="str">
        <f t="shared" si="9"/>
        <v/>
      </c>
      <c r="G1712" s="400"/>
      <c r="H1712" s="402">
        <v>1</v>
      </c>
      <c r="I1712" s="400"/>
      <c r="J1712" s="400"/>
      <c r="K1712" s="400">
        <v>1</v>
      </c>
      <c r="L1712" s="401" t="s">
        <v>6392</v>
      </c>
      <c r="M1712" s="402" t="s">
        <v>3093</v>
      </c>
      <c r="N1712" s="400"/>
      <c r="O1712" s="428" t="s">
        <v>3199</v>
      </c>
      <c r="P1712" s="428"/>
      <c r="Q1712" s="399"/>
      <c r="R1712" s="428" t="s">
        <v>6403</v>
      </c>
      <c r="S1712" s="399" t="s">
        <v>6405</v>
      </c>
      <c r="T1712" s="399"/>
      <c r="U1712" s="399"/>
      <c r="V1712" s="399"/>
      <c r="W1712" s="399"/>
      <c r="X1712" s="400"/>
      <c r="Y1712" s="399"/>
      <c r="Z1712" s="399"/>
      <c r="AA1712" s="399"/>
      <c r="AB1712" s="399"/>
      <c r="AC1712" s="532"/>
      <c r="AD1712" s="400"/>
      <c r="AE1712" s="399"/>
      <c r="AF1712" s="399"/>
      <c r="AG1712" s="399"/>
      <c r="AH1712" s="532"/>
      <c r="AI1712" s="399"/>
      <c r="AJ1712" s="400"/>
      <c r="AK1712" s="399"/>
      <c r="AL1712" s="399" t="s">
        <v>6405</v>
      </c>
      <c r="AM1712" s="399"/>
      <c r="AN1712" s="399"/>
      <c r="AO1712" s="409" t="s">
        <v>3100</v>
      </c>
      <c r="AP1712" s="409" t="s">
        <v>3101</v>
      </c>
      <c r="AQ1712" s="399"/>
      <c r="AR1712" s="399"/>
      <c r="AS1712" s="399"/>
      <c r="AT1712" s="399"/>
      <c r="AU1712" s="399"/>
      <c r="AV1712" s="399"/>
      <c r="AW1712" s="411"/>
      <c r="AX1712" s="411"/>
      <c r="AY1712" s="434" t="s">
        <v>3106</v>
      </c>
      <c r="AZ1712" s="411"/>
      <c r="BA1712" s="411"/>
      <c r="BB1712" s="399"/>
      <c r="BC1712" s="399" t="str">
        <f t="shared" si="2"/>
        <v/>
      </c>
      <c r="BD1712" s="399"/>
      <c r="BE1712" s="399"/>
      <c r="BF1712" s="399"/>
      <c r="BG1712" s="540"/>
      <c r="BH1712" s="407"/>
      <c r="BI1712" s="407"/>
      <c r="BJ1712" s="412"/>
      <c r="BK1712" s="46">
        <f t="shared" si="1"/>
        <v>1</v>
      </c>
      <c r="BL1712" s="46">
        <f t="shared" si="3"/>
        <v>1</v>
      </c>
      <c r="BM1712" s="46">
        <f t="shared" si="4"/>
        <v>0</v>
      </c>
      <c r="BN1712" s="46">
        <f t="shared" si="5"/>
        <v>0</v>
      </c>
    </row>
    <row r="1713" spans="1:66" ht="12.75" customHeight="1">
      <c r="A1713" s="399">
        <v>1724</v>
      </c>
      <c r="B1713" s="399" t="s">
        <v>6406</v>
      </c>
      <c r="C1713" s="399" t="str">
        <f t="shared" si="0"/>
        <v>Client address postal code</v>
      </c>
      <c r="D1713" s="400" t="str">
        <f t="shared" si="7"/>
        <v>Client address postal code</v>
      </c>
      <c r="E1713" s="399" t="str">
        <f t="shared" si="8"/>
        <v>Data Element</v>
      </c>
      <c r="F1713" s="400" t="str">
        <f t="shared" si="9"/>
        <v/>
      </c>
      <c r="G1713" s="400"/>
      <c r="H1713" s="402">
        <v>1</v>
      </c>
      <c r="I1713" s="400"/>
      <c r="J1713" s="400"/>
      <c r="K1713" s="400">
        <v>1</v>
      </c>
      <c r="L1713" s="401" t="s">
        <v>6392</v>
      </c>
      <c r="M1713" s="402" t="s">
        <v>3093</v>
      </c>
      <c r="N1713" s="400"/>
      <c r="O1713" s="428" t="s">
        <v>3199</v>
      </c>
      <c r="P1713" s="428"/>
      <c r="Q1713" s="399"/>
      <c r="R1713" s="428" t="s">
        <v>6406</v>
      </c>
      <c r="S1713" s="399" t="s">
        <v>6407</v>
      </c>
      <c r="T1713" s="399"/>
      <c r="U1713" s="399"/>
      <c r="V1713" s="399"/>
      <c r="W1713" s="399"/>
      <c r="X1713" s="400"/>
      <c r="Y1713" s="399"/>
      <c r="Z1713" s="399"/>
      <c r="AA1713" s="399"/>
      <c r="AB1713" s="399"/>
      <c r="AC1713" s="532"/>
      <c r="AD1713" s="400"/>
      <c r="AE1713" s="399"/>
      <c r="AF1713" s="399"/>
      <c r="AG1713" s="409" t="s">
        <v>3218</v>
      </c>
      <c r="AH1713" s="532"/>
      <c r="AI1713" s="399"/>
      <c r="AJ1713" s="400"/>
      <c r="AK1713" s="399"/>
      <c r="AL1713" s="399" t="s">
        <v>6407</v>
      </c>
      <c r="AM1713" s="399"/>
      <c r="AN1713" s="399"/>
      <c r="AO1713" s="409" t="s">
        <v>3100</v>
      </c>
      <c r="AP1713" s="409" t="s">
        <v>3101</v>
      </c>
      <c r="AQ1713" s="399"/>
      <c r="AR1713" s="399"/>
      <c r="AS1713" s="399"/>
      <c r="AT1713" s="399"/>
      <c r="AU1713" s="399"/>
      <c r="AV1713" s="399"/>
      <c r="AW1713" s="411"/>
      <c r="AX1713" s="411"/>
      <c r="AY1713" s="434" t="s">
        <v>3106</v>
      </c>
      <c r="AZ1713" s="411"/>
      <c r="BA1713" s="409" t="s">
        <v>6408</v>
      </c>
      <c r="BB1713" s="653" t="str">
        <f t="shared" ref="BB1713:BB1714" si="10">HYPERLINK("https://github.com/who-int/Data-Dictionary-Mapping/issues/8","8 (Closed)")</f>
        <v>8 (Closed)</v>
      </c>
      <c r="BC1713" s="399" t="str">
        <f t="shared" si="2"/>
        <v/>
      </c>
      <c r="BD1713" s="399"/>
      <c r="BE1713" s="399"/>
      <c r="BF1713" s="399"/>
      <c r="BG1713" s="540"/>
      <c r="BH1713" s="407"/>
      <c r="BI1713" s="407"/>
      <c r="BJ1713" s="412"/>
      <c r="BK1713" s="46">
        <f t="shared" si="1"/>
        <v>1</v>
      </c>
      <c r="BL1713" s="46">
        <f t="shared" si="3"/>
        <v>1</v>
      </c>
      <c r="BM1713" s="46">
        <f t="shared" si="4"/>
        <v>0</v>
      </c>
      <c r="BN1713" s="46">
        <f t="shared" si="5"/>
        <v>0</v>
      </c>
    </row>
    <row r="1714" spans="1:66" ht="12.75" customHeight="1">
      <c r="A1714" s="399">
        <v>1725</v>
      </c>
      <c r="B1714" s="399" t="s">
        <v>6410</v>
      </c>
      <c r="C1714" s="399" t="str">
        <f t="shared" si="0"/>
        <v>Client address state</v>
      </c>
      <c r="D1714" s="400" t="str">
        <f t="shared" si="7"/>
        <v>Client address state</v>
      </c>
      <c r="E1714" s="399" t="str">
        <f t="shared" si="8"/>
        <v>Data Element</v>
      </c>
      <c r="F1714" s="400" t="str">
        <f t="shared" si="9"/>
        <v/>
      </c>
      <c r="G1714" s="400"/>
      <c r="H1714" s="402">
        <v>1</v>
      </c>
      <c r="I1714" s="400"/>
      <c r="J1714" s="400"/>
      <c r="K1714" s="400">
        <v>1</v>
      </c>
      <c r="L1714" s="401" t="s">
        <v>6392</v>
      </c>
      <c r="M1714" s="402" t="s">
        <v>3093</v>
      </c>
      <c r="N1714" s="400"/>
      <c r="O1714" s="428" t="s">
        <v>3199</v>
      </c>
      <c r="P1714" s="428"/>
      <c r="Q1714" s="399"/>
      <c r="R1714" s="428" t="s">
        <v>6410</v>
      </c>
      <c r="S1714" s="399" t="s">
        <v>6411</v>
      </c>
      <c r="T1714" s="399"/>
      <c r="U1714" s="399" t="s">
        <v>111</v>
      </c>
      <c r="V1714" s="399"/>
      <c r="W1714" s="399"/>
      <c r="X1714" s="400"/>
      <c r="Y1714" s="399"/>
      <c r="Z1714" s="399"/>
      <c r="AA1714" s="399"/>
      <c r="AB1714" s="399"/>
      <c r="AC1714" s="532"/>
      <c r="AD1714" s="400"/>
      <c r="AE1714" s="399"/>
      <c r="AF1714" s="399"/>
      <c r="AG1714" s="409" t="s">
        <v>3218</v>
      </c>
      <c r="AH1714" s="532"/>
      <c r="AI1714" s="399"/>
      <c r="AJ1714" s="400"/>
      <c r="AK1714" s="399"/>
      <c r="AL1714" s="399" t="s">
        <v>6411</v>
      </c>
      <c r="AM1714" s="399"/>
      <c r="AN1714" s="399"/>
      <c r="AO1714" s="409" t="s">
        <v>3100</v>
      </c>
      <c r="AP1714" s="409" t="s">
        <v>3101</v>
      </c>
      <c r="AQ1714" s="399"/>
      <c r="AR1714" s="399"/>
      <c r="AS1714" s="399"/>
      <c r="AT1714" s="399"/>
      <c r="AU1714" s="399"/>
      <c r="AV1714" s="399"/>
      <c r="AW1714" s="411"/>
      <c r="AX1714" s="411"/>
      <c r="AY1714" s="434" t="s">
        <v>3106</v>
      </c>
      <c r="AZ1714" s="411"/>
      <c r="BA1714" s="409" t="s">
        <v>6408</v>
      </c>
      <c r="BB1714" s="653" t="str">
        <f t="shared" si="10"/>
        <v>8 (Closed)</v>
      </c>
      <c r="BC1714" s="399" t="str">
        <f t="shared" si="2"/>
        <v/>
      </c>
      <c r="BD1714" s="399"/>
      <c r="BE1714" s="399"/>
      <c r="BF1714" s="399"/>
      <c r="BG1714" s="540"/>
      <c r="BH1714" s="407"/>
      <c r="BI1714" s="407"/>
      <c r="BJ1714" s="412"/>
      <c r="BK1714" s="46">
        <f t="shared" si="1"/>
        <v>1</v>
      </c>
      <c r="BL1714" s="46">
        <f t="shared" si="3"/>
        <v>1</v>
      </c>
      <c r="BM1714" s="46">
        <f t="shared" si="4"/>
        <v>0</v>
      </c>
      <c r="BN1714" s="46">
        <f t="shared" si="5"/>
        <v>0</v>
      </c>
    </row>
    <row r="1715" spans="1:66" ht="12.75" customHeight="1">
      <c r="A1715" s="399">
        <v>1726</v>
      </c>
      <c r="B1715" s="399" t="s">
        <v>6412</v>
      </c>
      <c r="C1715" s="399" t="str">
        <f t="shared" si="0"/>
        <v>Client address use</v>
      </c>
      <c r="D1715" s="400" t="str">
        <f t="shared" si="7"/>
        <v>Client address use</v>
      </c>
      <c r="E1715" s="399" t="str">
        <f t="shared" si="8"/>
        <v>Data Element</v>
      </c>
      <c r="F1715" s="400" t="str">
        <f t="shared" si="9"/>
        <v/>
      </c>
      <c r="G1715" s="400"/>
      <c r="H1715" s="402">
        <v>1</v>
      </c>
      <c r="I1715" s="400"/>
      <c r="J1715" s="400"/>
      <c r="K1715" s="400">
        <v>1</v>
      </c>
      <c r="L1715" s="401" t="s">
        <v>6392</v>
      </c>
      <c r="M1715" s="402" t="s">
        <v>3093</v>
      </c>
      <c r="N1715" s="402"/>
      <c r="O1715" s="428" t="s">
        <v>3199</v>
      </c>
      <c r="P1715" s="428"/>
      <c r="Q1715" s="399"/>
      <c r="R1715" s="428" t="s">
        <v>6412</v>
      </c>
      <c r="S1715" s="399" t="s">
        <v>6414</v>
      </c>
      <c r="T1715" s="399"/>
      <c r="U1715" s="399"/>
      <c r="V1715" s="399"/>
      <c r="W1715" s="399"/>
      <c r="X1715" s="400"/>
      <c r="Y1715" s="399"/>
      <c r="Z1715" s="399"/>
      <c r="AA1715" s="399"/>
      <c r="AB1715" s="399"/>
      <c r="AC1715" s="532"/>
      <c r="AD1715" s="400"/>
      <c r="AE1715" s="399"/>
      <c r="AF1715" s="399"/>
      <c r="AG1715" s="399"/>
      <c r="AH1715" s="532"/>
      <c r="AI1715" s="399"/>
      <c r="AJ1715" s="400"/>
      <c r="AK1715" s="399"/>
      <c r="AL1715" s="399" t="s">
        <v>6414</v>
      </c>
      <c r="AM1715" s="399"/>
      <c r="AN1715" s="399"/>
      <c r="AO1715" s="409" t="s">
        <v>3100</v>
      </c>
      <c r="AP1715" s="409" t="s">
        <v>3101</v>
      </c>
      <c r="AQ1715" s="654" t="s">
        <v>6415</v>
      </c>
      <c r="AR1715" s="399"/>
      <c r="AS1715" s="654"/>
      <c r="AT1715" s="399"/>
      <c r="AU1715" s="399"/>
      <c r="AV1715" s="399"/>
      <c r="AW1715" s="411"/>
      <c r="AX1715" s="411"/>
      <c r="AY1715" s="434" t="s">
        <v>3106</v>
      </c>
      <c r="AZ1715" s="411"/>
      <c r="BA1715" s="399"/>
      <c r="BB1715" s="399"/>
      <c r="BC1715" s="399" t="str">
        <f t="shared" si="2"/>
        <v/>
      </c>
      <c r="BD1715" s="399"/>
      <c r="BE1715" s="399"/>
      <c r="BF1715" s="399"/>
      <c r="BG1715" s="540"/>
      <c r="BH1715" s="407"/>
      <c r="BI1715" s="407"/>
      <c r="BJ1715" s="412"/>
      <c r="BK1715" s="46">
        <f t="shared" si="1"/>
        <v>1</v>
      </c>
      <c r="BL1715" s="46">
        <f t="shared" si="3"/>
        <v>1</v>
      </c>
      <c r="BM1715" s="46">
        <f t="shared" si="4"/>
        <v>0</v>
      </c>
      <c r="BN1715" s="46">
        <f t="shared" si="5"/>
        <v>0</v>
      </c>
    </row>
    <row r="1716" spans="1:66" ht="12.75" customHeight="1">
      <c r="A1716" s="409">
        <v>1834</v>
      </c>
      <c r="B1716" s="409" t="s">
        <v>6420</v>
      </c>
      <c r="C1716" s="399"/>
      <c r="D1716" s="400"/>
      <c r="E1716" s="409" t="s">
        <v>6421</v>
      </c>
      <c r="F1716" s="400"/>
      <c r="G1716" s="400"/>
      <c r="H1716" s="402"/>
      <c r="I1716" s="400"/>
      <c r="J1716" s="400"/>
      <c r="K1716" s="400"/>
      <c r="L1716" s="401"/>
      <c r="M1716" s="402"/>
      <c r="N1716" s="400"/>
      <c r="O1716" s="428"/>
      <c r="P1716" s="428"/>
      <c r="Q1716" s="399"/>
      <c r="R1716" s="428"/>
      <c r="S1716" s="409"/>
      <c r="T1716" s="399"/>
      <c r="U1716" s="399"/>
      <c r="V1716" s="399"/>
      <c r="W1716" s="399"/>
      <c r="X1716" s="400"/>
      <c r="Y1716" s="399"/>
      <c r="Z1716" s="399"/>
      <c r="AA1716" s="399"/>
      <c r="AB1716" s="399"/>
      <c r="AC1716" s="532"/>
      <c r="AD1716" s="400"/>
      <c r="AE1716" s="399"/>
      <c r="AF1716" s="399"/>
      <c r="AG1716" s="399"/>
      <c r="AH1716" s="532"/>
      <c r="AI1716" s="399"/>
      <c r="AJ1716" s="400"/>
      <c r="AK1716" s="409" t="s">
        <v>6420</v>
      </c>
      <c r="AL1716" s="409" t="s">
        <v>6422</v>
      </c>
      <c r="AM1716" s="499" t="s">
        <v>6423</v>
      </c>
      <c r="AN1716" s="499"/>
      <c r="AO1716" s="409" t="s">
        <v>3100</v>
      </c>
      <c r="AP1716" s="409" t="s">
        <v>3101</v>
      </c>
      <c r="AQ1716" s="399"/>
      <c r="AR1716" s="399"/>
      <c r="AS1716" s="399"/>
      <c r="AT1716" s="399"/>
      <c r="AU1716" s="399"/>
      <c r="AV1716" s="399"/>
      <c r="AW1716" s="411"/>
      <c r="AX1716" s="411"/>
      <c r="AY1716" s="434" t="s">
        <v>3106</v>
      </c>
      <c r="AZ1716" s="411"/>
      <c r="BA1716" s="399"/>
      <c r="BB1716" s="399"/>
      <c r="BC1716" s="399"/>
      <c r="BD1716" s="399"/>
      <c r="BE1716" s="399"/>
      <c r="BF1716" s="399"/>
      <c r="BG1716" s="540"/>
      <c r="BH1716" s="407"/>
      <c r="BI1716" s="407"/>
      <c r="BJ1716" s="412"/>
      <c r="BK1716" s="46"/>
      <c r="BL1716" s="46">
        <f t="shared" si="3"/>
        <v>1</v>
      </c>
      <c r="BM1716" s="46">
        <f t="shared" si="4"/>
        <v>-1</v>
      </c>
      <c r="BN1716" s="46"/>
    </row>
    <row r="1717" spans="1:66" ht="12.75" customHeight="1">
      <c r="A1717" s="399">
        <v>1727</v>
      </c>
      <c r="B1717" s="409" t="s">
        <v>6428</v>
      </c>
      <c r="C1717" s="399" t="str">
        <f>IF(E1717="Input Option",CONCAT("       ",D1717),D1717)</f>
        <v>Telephone number</v>
      </c>
      <c r="D1717" s="400" t="str">
        <f>IF(R1717="",IF(W1717="",S1717,W1717),R1717)</f>
        <v>Telephone number</v>
      </c>
      <c r="E1717" s="399" t="str">
        <f>IF(AND(ISBLANK(W1717)=FALSE,OR(U1717="MC",U1717="")),"Input Option","Data Element")</f>
        <v>Data Element</v>
      </c>
      <c r="F1717" s="400" t="str">
        <f>IF(E1717="Input Option",IF(F1715="",D1715,F1715),"")</f>
        <v/>
      </c>
      <c r="G1717" s="400"/>
      <c r="H1717" s="402">
        <v>1</v>
      </c>
      <c r="I1717" s="400"/>
      <c r="J1717" s="400"/>
      <c r="K1717" s="400">
        <v>1</v>
      </c>
      <c r="L1717" s="401" t="s">
        <v>6392</v>
      </c>
      <c r="M1717" s="402" t="s">
        <v>3093</v>
      </c>
      <c r="N1717" s="400"/>
      <c r="O1717" s="428" t="s">
        <v>3199</v>
      </c>
      <c r="P1717" s="428"/>
      <c r="Q1717" s="399"/>
      <c r="R1717" s="428" t="s">
        <v>6431</v>
      </c>
      <c r="S1717" s="409" t="s">
        <v>6432</v>
      </c>
      <c r="T1717" s="399"/>
      <c r="U1717" s="399" t="s">
        <v>168</v>
      </c>
      <c r="V1717" s="399"/>
      <c r="W1717" s="399"/>
      <c r="X1717" s="400"/>
      <c r="Y1717" s="399" t="s">
        <v>6433</v>
      </c>
      <c r="Z1717" s="399"/>
      <c r="AA1717" s="399" t="s">
        <v>6434</v>
      </c>
      <c r="AB1717" s="399"/>
      <c r="AC1717" s="532"/>
      <c r="AD1717" s="400"/>
      <c r="AE1717" s="399"/>
      <c r="AF1717" s="399"/>
      <c r="AG1717" s="399"/>
      <c r="AH1717" s="532"/>
      <c r="AI1717" s="399"/>
      <c r="AJ1717" s="400"/>
      <c r="AK1717" s="499" t="s">
        <v>6435</v>
      </c>
      <c r="AL1717" s="499" t="s">
        <v>6436</v>
      </c>
      <c r="AM1717" s="499"/>
      <c r="AN1717" s="499"/>
      <c r="AO1717" s="510" t="s">
        <v>3100</v>
      </c>
      <c r="AP1717" s="489" t="s">
        <v>3101</v>
      </c>
      <c r="AQ1717" s="399"/>
      <c r="AR1717" s="399"/>
      <c r="AS1717" s="399"/>
      <c r="AT1717" s="399"/>
      <c r="AU1717" s="399"/>
      <c r="AV1717" s="399"/>
      <c r="AW1717" s="411"/>
      <c r="AX1717" s="411"/>
      <c r="AY1717" s="434" t="s">
        <v>3106</v>
      </c>
      <c r="AZ1717" s="411"/>
      <c r="BA1717" s="399"/>
      <c r="BB1717" s="399"/>
      <c r="BC1717" s="399" t="str">
        <f>IF(B1717=C1717,"",CONCATENATE(CHAR(34), C1717,CHAR(34), "-&gt;", CHAR(34), B1717,CHAR(34)))</f>
        <v>"Telephone number"-&gt;"Client Telephone number"</v>
      </c>
      <c r="BD1717" s="399"/>
      <c r="BE1717" s="399"/>
      <c r="BF1717" s="399" t="s">
        <v>6439</v>
      </c>
      <c r="BG1717" s="540" t="s">
        <v>198</v>
      </c>
      <c r="BH1717" s="407"/>
      <c r="BI1717" s="407"/>
      <c r="BJ1717" s="412"/>
      <c r="BK1717" s="46">
        <f>1</f>
        <v>1</v>
      </c>
      <c r="BL1717" s="46">
        <f t="shared" si="3"/>
        <v>1</v>
      </c>
      <c r="BM1717" s="46">
        <f t="shared" si="4"/>
        <v>0</v>
      </c>
      <c r="BN1717" s="46">
        <f>IFERROR(SEARCH("extens",AO1717),0)</f>
        <v>0</v>
      </c>
    </row>
    <row r="1718" spans="1:66" ht="12.75" customHeight="1">
      <c r="A1718" s="409">
        <v>1835</v>
      </c>
      <c r="B1718" s="409" t="s">
        <v>6440</v>
      </c>
      <c r="C1718" s="399"/>
      <c r="D1718" s="400"/>
      <c r="E1718" s="409" t="s">
        <v>6421</v>
      </c>
      <c r="F1718" s="400"/>
      <c r="G1718" s="400"/>
      <c r="H1718" s="402"/>
      <c r="I1718" s="400"/>
      <c r="J1718" s="400"/>
      <c r="K1718" s="400"/>
      <c r="L1718" s="401"/>
      <c r="M1718" s="402"/>
      <c r="N1718" s="400"/>
      <c r="O1718" s="428"/>
      <c r="P1718" s="428"/>
      <c r="Q1718" s="399"/>
      <c r="R1718" s="428"/>
      <c r="S1718" s="409"/>
      <c r="T1718" s="399"/>
      <c r="U1718" s="399"/>
      <c r="V1718" s="399"/>
      <c r="W1718" s="399"/>
      <c r="X1718" s="400"/>
      <c r="Y1718" s="399"/>
      <c r="Z1718" s="399"/>
      <c r="AA1718" s="399"/>
      <c r="AB1718" s="399"/>
      <c r="AC1718" s="532"/>
      <c r="AD1718" s="400"/>
      <c r="AE1718" s="399"/>
      <c r="AF1718" s="399"/>
      <c r="AG1718" s="409"/>
      <c r="AH1718" s="532"/>
      <c r="AI1718" s="399"/>
      <c r="AJ1718" s="400"/>
      <c r="AK1718" s="409" t="s">
        <v>6440</v>
      </c>
      <c r="AL1718" s="409" t="s">
        <v>6422</v>
      </c>
      <c r="AM1718" s="499" t="s">
        <v>6441</v>
      </c>
      <c r="AN1718" s="499"/>
      <c r="AO1718" s="409" t="s">
        <v>3100</v>
      </c>
      <c r="AP1718" s="409" t="s">
        <v>3101</v>
      </c>
      <c r="AQ1718" s="399"/>
      <c r="AR1718" s="399"/>
      <c r="AS1718" s="399"/>
      <c r="AT1718" s="399"/>
      <c r="AU1718" s="399"/>
      <c r="AV1718" s="399"/>
      <c r="AW1718" s="411"/>
      <c r="AX1718" s="411"/>
      <c r="AY1718" s="434" t="s">
        <v>3106</v>
      </c>
      <c r="AZ1718" s="411"/>
      <c r="BA1718" s="409"/>
      <c r="BB1718" s="655"/>
      <c r="BC1718" s="399"/>
      <c r="BD1718" s="399"/>
      <c r="BE1718" s="399"/>
      <c r="BF1718" s="399"/>
      <c r="BG1718" s="540"/>
      <c r="BH1718" s="407"/>
      <c r="BI1718" s="407"/>
      <c r="BJ1718" s="412"/>
      <c r="BK1718" s="46"/>
      <c r="BL1718" s="46">
        <f t="shared" si="3"/>
        <v>1</v>
      </c>
      <c r="BM1718" s="46">
        <f t="shared" si="4"/>
        <v>-1</v>
      </c>
      <c r="BN1718" s="46"/>
    </row>
    <row r="1719" spans="1:66" ht="12.75" customHeight="1">
      <c r="A1719" s="399">
        <v>1728</v>
      </c>
      <c r="B1719" s="399" t="s">
        <v>6444</v>
      </c>
      <c r="C1719" s="399" t="str">
        <f t="shared" ref="C1719:C1730" si="11">IF(E1719="Input Option",CONCAT("       ",D1719),D1719)</f>
        <v>Telephone number -2</v>
      </c>
      <c r="D1719" s="400" t="str">
        <f t="shared" ref="D1719:D1722" si="12">IF(R1719="",IF(W1719="",S1719,W1719),R1719)</f>
        <v>Telephone number -2</v>
      </c>
      <c r="E1719" s="399" t="str">
        <f t="shared" ref="E1719:E1721" si="13">IF(AND(ISBLANK(W1719)=FALSE,OR(U1719="MC",U1719="")),"Input Option","Data Element")</f>
        <v>Data Element</v>
      </c>
      <c r="F1719" s="400" t="str">
        <f>IF(E1719="Input Option",IF(F1717="",D1717,F1717),"")</f>
        <v/>
      </c>
      <c r="G1719" s="400"/>
      <c r="H1719" s="402">
        <v>1</v>
      </c>
      <c r="I1719" s="400"/>
      <c r="J1719" s="400"/>
      <c r="K1719" s="400">
        <v>1</v>
      </c>
      <c r="L1719" s="401" t="s">
        <v>6392</v>
      </c>
      <c r="M1719" s="402" t="s">
        <v>3093</v>
      </c>
      <c r="N1719" s="400"/>
      <c r="O1719" s="428" t="s">
        <v>3199</v>
      </c>
      <c r="P1719" s="428"/>
      <c r="Q1719" s="399"/>
      <c r="R1719" s="428" t="s">
        <v>6444</v>
      </c>
      <c r="S1719" s="409" t="s">
        <v>6446</v>
      </c>
      <c r="T1719" s="399"/>
      <c r="U1719" s="399" t="s">
        <v>168</v>
      </c>
      <c r="V1719" s="399"/>
      <c r="W1719" s="399"/>
      <c r="X1719" s="400"/>
      <c r="Y1719" s="399"/>
      <c r="Z1719" s="399"/>
      <c r="AA1719" s="399" t="s">
        <v>6434</v>
      </c>
      <c r="AB1719" s="399"/>
      <c r="AC1719" s="532"/>
      <c r="AD1719" s="400"/>
      <c r="AE1719" s="399"/>
      <c r="AF1719" s="399"/>
      <c r="AG1719" s="409" t="s">
        <v>3218</v>
      </c>
      <c r="AH1719" s="532"/>
      <c r="AI1719" s="399"/>
      <c r="AJ1719" s="400"/>
      <c r="AK1719" s="499" t="s">
        <v>6448</v>
      </c>
      <c r="AL1719" s="499" t="s">
        <v>6436</v>
      </c>
      <c r="AM1719" s="499"/>
      <c r="AN1719" s="499"/>
      <c r="AO1719" s="510" t="s">
        <v>3100</v>
      </c>
      <c r="AP1719" s="489" t="s">
        <v>3101</v>
      </c>
      <c r="AQ1719" s="399"/>
      <c r="AR1719" s="399"/>
      <c r="AS1719" s="399"/>
      <c r="AT1719" s="399"/>
      <c r="AU1719" s="399"/>
      <c r="AV1719" s="399"/>
      <c r="AW1719" s="411"/>
      <c r="AX1719" s="411"/>
      <c r="AY1719" s="434" t="s">
        <v>3106</v>
      </c>
      <c r="AZ1719" s="411"/>
      <c r="BA1719" s="409"/>
      <c r="BB1719" s="653" t="str">
        <f>HYPERLINK("https://github.com/who-int/Data-Dictionary-Mapping/issues/7","7 (Closed)")</f>
        <v>7 (Closed)</v>
      </c>
      <c r="BC1719" s="399" t="str">
        <f t="shared" ref="BC1719:BC1730" si="14">IF(B1719=C1719,"",CONCATENATE(CHAR(34), C1719,CHAR(34), "-&gt;", CHAR(34), B1719,CHAR(34)))</f>
        <v/>
      </c>
      <c r="BD1719" s="399"/>
      <c r="BE1719" s="399" t="s">
        <v>198</v>
      </c>
      <c r="BF1719" s="399" t="s">
        <v>6439</v>
      </c>
      <c r="BG1719" s="540" t="s">
        <v>407</v>
      </c>
      <c r="BH1719" s="407"/>
      <c r="BI1719" s="407"/>
      <c r="BJ1719" s="412"/>
      <c r="BK1719" s="46">
        <f t="shared" ref="BK1719:BK1730" si="15">1</f>
        <v>1</v>
      </c>
      <c r="BL1719" s="46">
        <f t="shared" si="3"/>
        <v>1</v>
      </c>
      <c r="BM1719" s="46">
        <f t="shared" si="4"/>
        <v>0</v>
      </c>
      <c r="BN1719" s="46">
        <f t="shared" ref="BN1719:BN1730" si="16">IFERROR(SEARCH("extens",AO1719),0)</f>
        <v>0</v>
      </c>
    </row>
    <row r="1720" spans="1:66" ht="12.75" customHeight="1">
      <c r="A1720" s="399">
        <v>1729</v>
      </c>
      <c r="B1720" s="399" t="s">
        <v>3308</v>
      </c>
      <c r="C1720" s="399" t="str">
        <f t="shared" si="11"/>
        <v>Communication consent</v>
      </c>
      <c r="D1720" s="400" t="str">
        <f t="shared" si="12"/>
        <v>Communication consent</v>
      </c>
      <c r="E1720" s="399" t="str">
        <f t="shared" si="13"/>
        <v>Data Element</v>
      </c>
      <c r="F1720" s="400" t="str">
        <f t="shared" ref="F1720:F1723" si="17">IF(E1720="Input Option",IF(F1719="",D1719,F1719),"")</f>
        <v/>
      </c>
      <c r="G1720" s="400"/>
      <c r="H1720" s="400"/>
      <c r="I1720" s="400"/>
      <c r="J1720" s="400"/>
      <c r="K1720" s="400">
        <v>1</v>
      </c>
      <c r="L1720" s="401" t="s">
        <v>6392</v>
      </c>
      <c r="M1720" s="402" t="s">
        <v>3093</v>
      </c>
      <c r="N1720" s="400"/>
      <c r="O1720" s="428" t="s">
        <v>3199</v>
      </c>
      <c r="P1720" s="428"/>
      <c r="Q1720" s="399"/>
      <c r="R1720" s="428" t="s">
        <v>3308</v>
      </c>
      <c r="S1720" s="399" t="s">
        <v>6452</v>
      </c>
      <c r="T1720" s="399" t="s">
        <v>6453</v>
      </c>
      <c r="U1720" s="399" t="s">
        <v>3169</v>
      </c>
      <c r="V1720" s="399"/>
      <c r="W1720" s="399"/>
      <c r="X1720" s="400"/>
      <c r="Y1720" s="399"/>
      <c r="Z1720" s="399"/>
      <c r="AA1720" s="399"/>
      <c r="AB1720" s="399"/>
      <c r="AC1720" s="532"/>
      <c r="AD1720" s="400"/>
      <c r="AE1720" s="399"/>
      <c r="AF1720" s="399"/>
      <c r="AG1720" s="399"/>
      <c r="AH1720" s="532"/>
      <c r="AI1720" s="399"/>
      <c r="AJ1720" s="400"/>
      <c r="AK1720" s="399"/>
      <c r="AL1720" s="409" t="s">
        <v>6455</v>
      </c>
      <c r="AM1720" s="399"/>
      <c r="AN1720" s="399"/>
      <c r="AO1720" s="500" t="s">
        <v>3314</v>
      </c>
      <c r="AP1720" s="399"/>
      <c r="AQ1720" s="399"/>
      <c r="AR1720" s="399"/>
      <c r="AS1720" s="399"/>
      <c r="AT1720" s="399"/>
      <c r="AU1720" s="399"/>
      <c r="AV1720" s="399"/>
      <c r="AW1720" s="411"/>
      <c r="AX1720" s="411"/>
      <c r="AY1720" s="434" t="s">
        <v>3106</v>
      </c>
      <c r="AZ1720" s="411"/>
      <c r="BA1720" s="411"/>
      <c r="BB1720" s="399"/>
      <c r="BC1720" s="399" t="str">
        <f t="shared" si="14"/>
        <v/>
      </c>
      <c r="BD1720" s="399"/>
      <c r="BE1720" s="399"/>
      <c r="BF1720" s="399"/>
      <c r="BG1720" s="540"/>
      <c r="BH1720" s="407"/>
      <c r="BI1720" s="407"/>
      <c r="BJ1720" s="412"/>
      <c r="BK1720" s="46">
        <f t="shared" si="15"/>
        <v>1</v>
      </c>
      <c r="BL1720" s="46">
        <f t="shared" si="3"/>
        <v>0</v>
      </c>
      <c r="BM1720" s="46">
        <f t="shared" si="4"/>
        <v>1</v>
      </c>
      <c r="BN1720" s="46">
        <f t="shared" si="16"/>
        <v>1</v>
      </c>
    </row>
    <row r="1721" spans="1:66" ht="12.75" customHeight="1">
      <c r="A1721" s="399">
        <v>1730</v>
      </c>
      <c r="B1721" s="399" t="s">
        <v>3315</v>
      </c>
      <c r="C1721" s="399" t="str">
        <f t="shared" si="11"/>
        <v>Reminder messages</v>
      </c>
      <c r="D1721" s="400" t="str">
        <f t="shared" si="12"/>
        <v>Reminder messages</v>
      </c>
      <c r="E1721" s="399" t="str">
        <f t="shared" si="13"/>
        <v>Data Element</v>
      </c>
      <c r="F1721" s="400" t="str">
        <f t="shared" si="17"/>
        <v/>
      </c>
      <c r="G1721" s="400"/>
      <c r="H1721" s="400"/>
      <c r="I1721" s="400"/>
      <c r="J1721" s="400"/>
      <c r="K1721" s="400">
        <v>1</v>
      </c>
      <c r="L1721" s="401" t="s">
        <v>6392</v>
      </c>
      <c r="M1721" s="402" t="s">
        <v>3093</v>
      </c>
      <c r="N1721" s="400"/>
      <c r="O1721" s="428" t="s">
        <v>3199</v>
      </c>
      <c r="P1721" s="428"/>
      <c r="Q1721" s="399"/>
      <c r="R1721" s="428" t="s">
        <v>3315</v>
      </c>
      <c r="S1721" s="399" t="s">
        <v>200</v>
      </c>
      <c r="T1721" s="399" t="s">
        <v>6458</v>
      </c>
      <c r="U1721" s="399" t="s">
        <v>3169</v>
      </c>
      <c r="V1721" s="399"/>
      <c r="W1721" s="399" t="s">
        <v>6459</v>
      </c>
      <c r="X1721" s="400"/>
      <c r="Y1721" s="399"/>
      <c r="Z1721" s="399"/>
      <c r="AA1721" s="399"/>
      <c r="AB1721" s="399" t="s">
        <v>3098</v>
      </c>
      <c r="AC1721" s="532"/>
      <c r="AD1721" s="400"/>
      <c r="AE1721" s="399"/>
      <c r="AF1721" s="399"/>
      <c r="AG1721" s="399"/>
      <c r="AH1721" s="532"/>
      <c r="AI1721" s="399"/>
      <c r="AJ1721" s="400"/>
      <c r="AK1721" s="399"/>
      <c r="AL1721" s="409" t="s">
        <v>3320</v>
      </c>
      <c r="AM1721" s="399"/>
      <c r="AN1721" s="399"/>
      <c r="AO1721" s="500" t="s">
        <v>3314</v>
      </c>
      <c r="AP1721" s="399"/>
      <c r="AQ1721" s="399"/>
      <c r="AR1721" s="399"/>
      <c r="AS1721" s="399"/>
      <c r="AT1721" s="399"/>
      <c r="AU1721" s="399"/>
      <c r="AV1721" s="399"/>
      <c r="AW1721" s="411"/>
      <c r="AX1721" s="411"/>
      <c r="AY1721" s="434" t="s">
        <v>3106</v>
      </c>
      <c r="AZ1721" s="411"/>
      <c r="BA1721" s="411"/>
      <c r="BB1721" s="399"/>
      <c r="BC1721" s="399" t="str">
        <f t="shared" si="14"/>
        <v/>
      </c>
      <c r="BD1721" s="399"/>
      <c r="BE1721" s="399"/>
      <c r="BF1721" s="399"/>
      <c r="BG1721" s="540"/>
      <c r="BH1721" s="407"/>
      <c r="BI1721" s="407"/>
      <c r="BJ1721" s="412"/>
      <c r="BK1721" s="46">
        <f t="shared" si="15"/>
        <v>1</v>
      </c>
      <c r="BL1721" s="46">
        <f t="shared" si="3"/>
        <v>0</v>
      </c>
      <c r="BM1721" s="46">
        <f t="shared" si="4"/>
        <v>1</v>
      </c>
      <c r="BN1721" s="46">
        <f t="shared" si="16"/>
        <v>1</v>
      </c>
    </row>
    <row r="1722" spans="1:66" ht="12.75" customHeight="1">
      <c r="A1722" s="399">
        <v>1731</v>
      </c>
      <c r="B1722" s="399" t="s">
        <v>3322</v>
      </c>
      <c r="C1722" s="399" t="str">
        <f t="shared" si="11"/>
        <v>Communication preferences</v>
      </c>
      <c r="D1722" s="400" t="str">
        <f t="shared" si="12"/>
        <v>Communication preferences</v>
      </c>
      <c r="E1722" s="399" t="s">
        <v>96</v>
      </c>
      <c r="F1722" s="400" t="str">
        <f t="shared" si="17"/>
        <v/>
      </c>
      <c r="G1722" s="400"/>
      <c r="H1722" s="400"/>
      <c r="I1722" s="400"/>
      <c r="J1722" s="400"/>
      <c r="K1722" s="400">
        <v>1</v>
      </c>
      <c r="L1722" s="401" t="s">
        <v>6392</v>
      </c>
      <c r="M1722" s="402" t="s">
        <v>3093</v>
      </c>
      <c r="N1722" s="402"/>
      <c r="O1722" s="428" t="s">
        <v>3199</v>
      </c>
      <c r="P1722" s="428"/>
      <c r="Q1722" s="399"/>
      <c r="R1722" s="428" t="s">
        <v>3322</v>
      </c>
      <c r="S1722" s="399"/>
      <c r="T1722" s="399" t="s">
        <v>6463</v>
      </c>
      <c r="U1722" s="399" t="s">
        <v>6464</v>
      </c>
      <c r="V1722" s="399"/>
      <c r="W1722" s="399"/>
      <c r="X1722" s="400"/>
      <c r="Y1722" s="399"/>
      <c r="Z1722" s="399"/>
      <c r="AA1722" s="399"/>
      <c r="AB1722" s="399"/>
      <c r="AC1722" s="532"/>
      <c r="AD1722" s="400"/>
      <c r="AE1722" s="399"/>
      <c r="AF1722" s="399"/>
      <c r="AG1722" s="399"/>
      <c r="AH1722" s="532"/>
      <c r="AI1722" s="399"/>
      <c r="AJ1722" s="400"/>
      <c r="AK1722" s="399"/>
      <c r="AL1722" s="409" t="s">
        <v>3327</v>
      </c>
      <c r="AM1722" s="399"/>
      <c r="AN1722" s="399"/>
      <c r="AO1722" s="500" t="s">
        <v>3314</v>
      </c>
      <c r="AP1722" s="399"/>
      <c r="AQ1722" s="399"/>
      <c r="AR1722" s="399"/>
      <c r="AS1722" s="399"/>
      <c r="AT1722" s="399"/>
      <c r="AU1722" s="399"/>
      <c r="AV1722" s="399"/>
      <c r="AW1722" s="411"/>
      <c r="AX1722" s="411"/>
      <c r="AY1722" s="434" t="s">
        <v>3106</v>
      </c>
      <c r="AZ1722" s="411"/>
      <c r="BA1722" s="411"/>
      <c r="BB1722" s="399"/>
      <c r="BC1722" s="399" t="str">
        <f t="shared" si="14"/>
        <v/>
      </c>
      <c r="BD1722" s="399"/>
      <c r="BE1722" s="399"/>
      <c r="BF1722" s="399"/>
      <c r="BG1722" s="540"/>
      <c r="BH1722" s="407"/>
      <c r="BI1722" s="407"/>
      <c r="BJ1722" s="412"/>
      <c r="BK1722" s="46">
        <f t="shared" si="15"/>
        <v>1</v>
      </c>
      <c r="BL1722" s="46">
        <f t="shared" si="3"/>
        <v>0</v>
      </c>
      <c r="BM1722" s="46">
        <f t="shared" si="4"/>
        <v>1</v>
      </c>
      <c r="BN1722" s="46">
        <f t="shared" si="16"/>
        <v>1</v>
      </c>
    </row>
    <row r="1723" spans="1:66" ht="12.75" customHeight="1">
      <c r="A1723" s="409">
        <v>1836</v>
      </c>
      <c r="B1723" s="399" t="s">
        <v>6467</v>
      </c>
      <c r="C1723" s="399" t="e">
        <f t="shared" ca="1" si="11"/>
        <v>#NAME?</v>
      </c>
      <c r="D1723" s="399" t="s">
        <v>6469</v>
      </c>
      <c r="E1723" s="399" t="str">
        <f t="shared" ref="E1723:E1730" si="18">IF(AND(ISBLANK(W1723)=FALSE,OR(U1723="MC",U1723="")),"Input Option","Data Element")</f>
        <v>Input Option</v>
      </c>
      <c r="F1723" s="400" t="str">
        <f t="shared" si="17"/>
        <v>Communication preferences</v>
      </c>
      <c r="G1723" s="400"/>
      <c r="H1723" s="400"/>
      <c r="I1723" s="400"/>
      <c r="J1723" s="400"/>
      <c r="K1723" s="400">
        <v>1</v>
      </c>
      <c r="L1723" s="401" t="s">
        <v>6392</v>
      </c>
      <c r="M1723" s="402" t="s">
        <v>3093</v>
      </c>
      <c r="N1723" s="402"/>
      <c r="O1723" s="428" t="s">
        <v>3199</v>
      </c>
      <c r="P1723" s="428"/>
      <c r="Q1723" s="399"/>
      <c r="R1723" s="428"/>
      <c r="S1723" s="399"/>
      <c r="T1723" s="399"/>
      <c r="U1723" s="399"/>
      <c r="V1723" s="399"/>
      <c r="W1723" s="399" t="s">
        <v>6469</v>
      </c>
      <c r="X1723" s="400"/>
      <c r="Y1723" s="399"/>
      <c r="Z1723" s="399"/>
      <c r="AA1723" s="399"/>
      <c r="AB1723" s="399"/>
      <c r="AC1723" s="532"/>
      <c r="AD1723" s="400"/>
      <c r="AE1723" s="399"/>
      <c r="AF1723" s="399"/>
      <c r="AG1723" s="399"/>
      <c r="AH1723" s="532"/>
      <c r="AI1723" s="399"/>
      <c r="AJ1723" s="400"/>
      <c r="AK1723" s="399"/>
      <c r="AL1723" s="399"/>
      <c r="AM1723" s="399"/>
      <c r="AN1723" s="399"/>
      <c r="AO1723" s="500" t="s">
        <v>6471</v>
      </c>
      <c r="AP1723" s="399"/>
      <c r="AQ1723" s="399"/>
      <c r="AR1723" s="399"/>
      <c r="AS1723" s="399"/>
      <c r="AT1723" s="399"/>
      <c r="AU1723" s="399"/>
      <c r="AV1723" s="399"/>
      <c r="AW1723" s="411"/>
      <c r="AX1723" s="411"/>
      <c r="AY1723" s="434" t="s">
        <v>3106</v>
      </c>
      <c r="AZ1723" s="411"/>
      <c r="BA1723" s="411"/>
      <c r="BB1723" s="399"/>
      <c r="BC1723" s="399" t="e">
        <f t="shared" ca="1" si="14"/>
        <v>#NAME?</v>
      </c>
      <c r="BD1723" s="399"/>
      <c r="BE1723" s="399"/>
      <c r="BF1723" s="399"/>
      <c r="BG1723" s="540"/>
      <c r="BH1723" s="407"/>
      <c r="BI1723" s="407"/>
      <c r="BJ1723" s="412"/>
      <c r="BK1723" s="46">
        <f t="shared" si="15"/>
        <v>1</v>
      </c>
      <c r="BL1723" s="46">
        <f t="shared" si="3"/>
        <v>1</v>
      </c>
      <c r="BM1723" s="46">
        <f t="shared" si="4"/>
        <v>0</v>
      </c>
      <c r="BN1723" s="46">
        <f t="shared" si="16"/>
        <v>1</v>
      </c>
    </row>
    <row r="1724" spans="1:66" ht="12.75" customHeight="1">
      <c r="A1724" s="399">
        <v>1732</v>
      </c>
      <c r="B1724" s="399" t="s">
        <v>6472</v>
      </c>
      <c r="C1724" s="399" t="e">
        <f t="shared" ca="1" si="11"/>
        <v>#NAME?</v>
      </c>
      <c r="D1724" s="400" t="str">
        <f t="shared" ref="D1724:D1730" si="19">IF(R1724="",IF(W1724="",S1724,W1724),R1724)</f>
        <v>Text</v>
      </c>
      <c r="E1724" s="399" t="str">
        <f t="shared" si="18"/>
        <v>Input Option</v>
      </c>
      <c r="F1724" s="400" t="str">
        <f>IF(E1724="Input Option",IF(F1722="",D1722,F1722),"")</f>
        <v>Communication preferences</v>
      </c>
      <c r="G1724" s="400"/>
      <c r="H1724" s="400"/>
      <c r="I1724" s="400"/>
      <c r="J1724" s="400"/>
      <c r="K1724" s="400">
        <v>1</v>
      </c>
      <c r="L1724" s="401" t="s">
        <v>6392</v>
      </c>
      <c r="M1724" s="402" t="s">
        <v>3093</v>
      </c>
      <c r="N1724" s="400"/>
      <c r="O1724" s="428" t="s">
        <v>3199</v>
      </c>
      <c r="P1724" s="428"/>
      <c r="Q1724" s="399"/>
      <c r="R1724" s="428"/>
      <c r="S1724" s="399"/>
      <c r="T1724" s="399"/>
      <c r="U1724" s="399"/>
      <c r="V1724" s="399"/>
      <c r="W1724" s="399" t="s">
        <v>111</v>
      </c>
      <c r="X1724" s="400"/>
      <c r="Y1724" s="399"/>
      <c r="Z1724" s="399"/>
      <c r="AA1724" s="399"/>
      <c r="AB1724" s="399"/>
      <c r="AC1724" s="532"/>
      <c r="AD1724" s="400"/>
      <c r="AE1724" s="399"/>
      <c r="AF1724" s="399"/>
      <c r="AG1724" s="399"/>
      <c r="AH1724" s="532"/>
      <c r="AI1724" s="399"/>
      <c r="AJ1724" s="400"/>
      <c r="AK1724" s="399"/>
      <c r="AL1724" s="399"/>
      <c r="AM1724" s="399"/>
      <c r="AN1724" s="399"/>
      <c r="AO1724" s="500" t="s">
        <v>6471</v>
      </c>
      <c r="AP1724" s="399"/>
      <c r="AQ1724" s="399"/>
      <c r="AR1724" s="399"/>
      <c r="AS1724" s="399"/>
      <c r="AT1724" s="399"/>
      <c r="AU1724" s="399"/>
      <c r="AV1724" s="399"/>
      <c r="AW1724" s="411"/>
      <c r="AX1724" s="411"/>
      <c r="AY1724" s="434" t="s">
        <v>3106</v>
      </c>
      <c r="AZ1724" s="411"/>
      <c r="BA1724" s="411"/>
      <c r="BB1724" s="399"/>
      <c r="BC1724" s="399" t="e">
        <f t="shared" ca="1" si="14"/>
        <v>#NAME?</v>
      </c>
      <c r="BD1724" s="399"/>
      <c r="BE1724" s="399"/>
      <c r="BF1724" s="399"/>
      <c r="BG1724" s="540"/>
      <c r="BH1724" s="407"/>
      <c r="BI1724" s="407"/>
      <c r="BJ1724" s="412"/>
      <c r="BK1724" s="46">
        <f t="shared" si="15"/>
        <v>1</v>
      </c>
      <c r="BL1724" s="46">
        <f t="shared" si="3"/>
        <v>1</v>
      </c>
      <c r="BM1724" s="46">
        <f t="shared" si="4"/>
        <v>0</v>
      </c>
      <c r="BN1724" s="46">
        <f t="shared" si="16"/>
        <v>1</v>
      </c>
    </row>
    <row r="1725" spans="1:66" ht="12.75" customHeight="1">
      <c r="A1725" s="399">
        <v>1733</v>
      </c>
      <c r="B1725" s="399" t="s">
        <v>6476</v>
      </c>
      <c r="C1725" s="399" t="e">
        <f t="shared" ca="1" si="11"/>
        <v>#NAME?</v>
      </c>
      <c r="D1725" s="400" t="str">
        <f t="shared" si="19"/>
        <v>Email</v>
      </c>
      <c r="E1725" s="399" t="str">
        <f t="shared" si="18"/>
        <v>Input Option</v>
      </c>
      <c r="F1725" s="400" t="str">
        <f t="shared" ref="F1725:F1730" si="20">IF(E1725="Input Option",IF(F1724="",D1724,F1724),"")</f>
        <v>Communication preferences</v>
      </c>
      <c r="G1725" s="400"/>
      <c r="H1725" s="400"/>
      <c r="I1725" s="400"/>
      <c r="J1725" s="400"/>
      <c r="K1725" s="400">
        <v>1</v>
      </c>
      <c r="L1725" s="401" t="s">
        <v>6392</v>
      </c>
      <c r="M1725" s="402" t="s">
        <v>3093</v>
      </c>
      <c r="N1725" s="400"/>
      <c r="O1725" s="428" t="s">
        <v>3199</v>
      </c>
      <c r="P1725" s="428"/>
      <c r="Q1725" s="399"/>
      <c r="R1725" s="428"/>
      <c r="S1725" s="399"/>
      <c r="T1725" s="399"/>
      <c r="U1725" s="399"/>
      <c r="V1725" s="399"/>
      <c r="W1725" s="399" t="s">
        <v>6478</v>
      </c>
      <c r="X1725" s="400"/>
      <c r="Y1725" s="399"/>
      <c r="Z1725" s="399"/>
      <c r="AA1725" s="399"/>
      <c r="AB1725" s="399"/>
      <c r="AC1725" s="532"/>
      <c r="AD1725" s="400"/>
      <c r="AE1725" s="399"/>
      <c r="AF1725" s="399"/>
      <c r="AG1725" s="399"/>
      <c r="AH1725" s="532"/>
      <c r="AI1725" s="399"/>
      <c r="AJ1725" s="400"/>
      <c r="AK1725" s="399"/>
      <c r="AL1725" s="399"/>
      <c r="AM1725" s="399"/>
      <c r="AN1725" s="399"/>
      <c r="AO1725" s="500" t="s">
        <v>6471</v>
      </c>
      <c r="AP1725" s="399"/>
      <c r="AQ1725" s="399"/>
      <c r="AR1725" s="399"/>
      <c r="AS1725" s="399"/>
      <c r="AT1725" s="399"/>
      <c r="AU1725" s="399"/>
      <c r="AV1725" s="399"/>
      <c r="AW1725" s="411"/>
      <c r="AX1725" s="411"/>
      <c r="AY1725" s="434" t="s">
        <v>3106</v>
      </c>
      <c r="AZ1725" s="411"/>
      <c r="BA1725" s="411"/>
      <c r="BB1725" s="399"/>
      <c r="BC1725" s="399" t="e">
        <f t="shared" ca="1" si="14"/>
        <v>#NAME?</v>
      </c>
      <c r="BD1725" s="399"/>
      <c r="BE1725" s="399"/>
      <c r="BF1725" s="399"/>
      <c r="BG1725" s="540"/>
      <c r="BH1725" s="407"/>
      <c r="BI1725" s="407"/>
      <c r="BJ1725" s="412"/>
      <c r="BK1725" s="46">
        <f t="shared" si="15"/>
        <v>1</v>
      </c>
      <c r="BL1725" s="46">
        <f t="shared" si="3"/>
        <v>1</v>
      </c>
      <c r="BM1725" s="46">
        <f t="shared" si="4"/>
        <v>0</v>
      </c>
      <c r="BN1725" s="46">
        <f t="shared" si="16"/>
        <v>1</v>
      </c>
    </row>
    <row r="1726" spans="1:66" ht="12.75" customHeight="1">
      <c r="A1726" s="399">
        <v>1734</v>
      </c>
      <c r="B1726" s="399" t="s">
        <v>6480</v>
      </c>
      <c r="C1726" s="399" t="e">
        <f t="shared" ca="1" si="11"/>
        <v>#NAME?</v>
      </c>
      <c r="D1726" s="400" t="str">
        <f t="shared" si="19"/>
        <v>Postal letter</v>
      </c>
      <c r="E1726" s="399" t="str">
        <f t="shared" si="18"/>
        <v>Input Option</v>
      </c>
      <c r="F1726" s="400" t="str">
        <f t="shared" si="20"/>
        <v>Communication preferences</v>
      </c>
      <c r="G1726" s="400"/>
      <c r="H1726" s="400"/>
      <c r="I1726" s="400"/>
      <c r="J1726" s="400"/>
      <c r="K1726" s="400">
        <v>1</v>
      </c>
      <c r="L1726" s="401" t="s">
        <v>6392</v>
      </c>
      <c r="M1726" s="402" t="s">
        <v>3093</v>
      </c>
      <c r="N1726" s="400"/>
      <c r="O1726" s="428" t="s">
        <v>3199</v>
      </c>
      <c r="P1726" s="428"/>
      <c r="Q1726" s="399"/>
      <c r="R1726" s="428"/>
      <c r="S1726" s="399"/>
      <c r="T1726" s="399"/>
      <c r="U1726" s="399"/>
      <c r="V1726" s="399"/>
      <c r="W1726" s="399" t="s">
        <v>6482</v>
      </c>
      <c r="X1726" s="400"/>
      <c r="Y1726" s="399"/>
      <c r="Z1726" s="399"/>
      <c r="AA1726" s="399"/>
      <c r="AB1726" s="399"/>
      <c r="AC1726" s="532"/>
      <c r="AD1726" s="400"/>
      <c r="AE1726" s="399"/>
      <c r="AF1726" s="399"/>
      <c r="AG1726" s="399"/>
      <c r="AH1726" s="532"/>
      <c r="AI1726" s="399"/>
      <c r="AJ1726" s="400"/>
      <c r="AK1726" s="399"/>
      <c r="AL1726" s="399"/>
      <c r="AM1726" s="399"/>
      <c r="AN1726" s="399"/>
      <c r="AO1726" s="500"/>
      <c r="AP1726" s="399"/>
      <c r="AQ1726" s="399"/>
      <c r="AR1726" s="399"/>
      <c r="AS1726" s="399"/>
      <c r="AT1726" s="399"/>
      <c r="AU1726" s="399"/>
      <c r="AV1726" s="399"/>
      <c r="AW1726" s="411"/>
      <c r="AX1726" s="411"/>
      <c r="AY1726" s="434" t="s">
        <v>3106</v>
      </c>
      <c r="AZ1726" s="411"/>
      <c r="BA1726" s="411"/>
      <c r="BB1726" s="399"/>
      <c r="BC1726" s="399" t="e">
        <f t="shared" ca="1" si="14"/>
        <v>#NAME?</v>
      </c>
      <c r="BD1726" s="399"/>
      <c r="BE1726" s="399"/>
      <c r="BF1726" s="399"/>
      <c r="BG1726" s="540"/>
      <c r="BH1726" s="407"/>
      <c r="BI1726" s="407"/>
      <c r="BJ1726" s="412"/>
      <c r="BK1726" s="46">
        <f t="shared" si="15"/>
        <v>1</v>
      </c>
      <c r="BL1726" s="46">
        <f t="shared" si="3"/>
        <v>1</v>
      </c>
      <c r="BM1726" s="46">
        <f t="shared" si="4"/>
        <v>0</v>
      </c>
      <c r="BN1726" s="46">
        <f t="shared" si="16"/>
        <v>0</v>
      </c>
    </row>
    <row r="1727" spans="1:66" ht="12.75" customHeight="1">
      <c r="A1727" s="399">
        <v>1735</v>
      </c>
      <c r="B1727" s="399" t="s">
        <v>6484</v>
      </c>
      <c r="C1727" s="399" t="str">
        <f t="shared" si="11"/>
        <v xml:space="preserve">Alternate contact name 
Name of next Of Kin </v>
      </c>
      <c r="D1727" s="400" t="str">
        <f t="shared" si="19"/>
        <v xml:space="preserve">Alternate contact name 
Name of next Of Kin </v>
      </c>
      <c r="E1727" s="399" t="str">
        <f t="shared" si="18"/>
        <v>Data Element</v>
      </c>
      <c r="F1727" s="400" t="str">
        <f t="shared" si="20"/>
        <v/>
      </c>
      <c r="G1727" s="400"/>
      <c r="H1727" s="400"/>
      <c r="I1727" s="400"/>
      <c r="J1727" s="400"/>
      <c r="K1727" s="400">
        <v>1</v>
      </c>
      <c r="L1727" s="401" t="s">
        <v>6392</v>
      </c>
      <c r="M1727" s="402" t="s">
        <v>3093</v>
      </c>
      <c r="N1727" s="400"/>
      <c r="O1727" s="428" t="s">
        <v>3199</v>
      </c>
      <c r="P1727" s="428"/>
      <c r="Q1727" s="399"/>
      <c r="R1727" s="428" t="s">
        <v>6484</v>
      </c>
      <c r="S1727" s="399" t="s">
        <v>6485</v>
      </c>
      <c r="T1727" s="399" t="s">
        <v>6487</v>
      </c>
      <c r="U1727" s="399" t="s">
        <v>111</v>
      </c>
      <c r="V1727" s="399"/>
      <c r="W1727" s="399"/>
      <c r="X1727" s="400" t="s">
        <v>113</v>
      </c>
      <c r="Y1727" s="399" t="s">
        <v>208</v>
      </c>
      <c r="Z1727" s="399"/>
      <c r="AA1727" s="399"/>
      <c r="AB1727" s="399"/>
      <c r="AC1727" s="532"/>
      <c r="AD1727" s="400"/>
      <c r="AE1727" s="399"/>
      <c r="AF1727" s="399"/>
      <c r="AG1727" s="399"/>
      <c r="AH1727" s="532"/>
      <c r="AI1727" s="399"/>
      <c r="AJ1727" s="400"/>
      <c r="AK1727" s="399"/>
      <c r="AL1727" s="409" t="s">
        <v>6488</v>
      </c>
      <c r="AM1727" s="409"/>
      <c r="AN1727" s="409"/>
      <c r="AO1727" s="409" t="s">
        <v>3100</v>
      </c>
      <c r="AP1727" s="409" t="s">
        <v>3101</v>
      </c>
      <c r="AQ1727" s="399"/>
      <c r="AR1727" s="399"/>
      <c r="AS1727" s="399"/>
      <c r="AT1727" s="399"/>
      <c r="AU1727" s="399"/>
      <c r="AV1727" s="399"/>
      <c r="AW1727" s="411"/>
      <c r="AX1727" s="411"/>
      <c r="AY1727" s="434" t="s">
        <v>3106</v>
      </c>
      <c r="AZ1727" s="434"/>
      <c r="BA1727" s="411"/>
      <c r="BB1727" s="399"/>
      <c r="BC1727" s="399" t="str">
        <f t="shared" si="14"/>
        <v/>
      </c>
      <c r="BD1727" s="399"/>
      <c r="BE1727" s="399" t="s">
        <v>115</v>
      </c>
      <c r="BF1727" s="399" t="s">
        <v>216</v>
      </c>
      <c r="BG1727" s="540" t="s">
        <v>215</v>
      </c>
      <c r="BH1727" s="407"/>
      <c r="BI1727" s="407"/>
      <c r="BJ1727" s="412"/>
      <c r="BK1727" s="46">
        <f t="shared" si="15"/>
        <v>1</v>
      </c>
      <c r="BL1727" s="46">
        <f t="shared" si="3"/>
        <v>1</v>
      </c>
      <c r="BM1727" s="46">
        <f t="shared" si="4"/>
        <v>0</v>
      </c>
      <c r="BN1727" s="46">
        <f t="shared" si="16"/>
        <v>0</v>
      </c>
    </row>
    <row r="1728" spans="1:66" ht="12.75" customHeight="1">
      <c r="A1728" s="399">
        <v>1736</v>
      </c>
      <c r="B1728" s="399" t="s">
        <v>6491</v>
      </c>
      <c r="C1728" s="399" t="str">
        <f t="shared" si="11"/>
        <v>Alternate contact phone number
Contact of next of Kin</v>
      </c>
      <c r="D1728" s="400" t="str">
        <f t="shared" si="19"/>
        <v>Alternate contact phone number
Contact of next of Kin</v>
      </c>
      <c r="E1728" s="399" t="str">
        <f t="shared" si="18"/>
        <v>Data Element</v>
      </c>
      <c r="F1728" s="400" t="str">
        <f t="shared" si="20"/>
        <v/>
      </c>
      <c r="G1728" s="400"/>
      <c r="H1728" s="400"/>
      <c r="I1728" s="400"/>
      <c r="J1728" s="400"/>
      <c r="K1728" s="400">
        <v>1</v>
      </c>
      <c r="L1728" s="401" t="s">
        <v>6392</v>
      </c>
      <c r="M1728" s="402" t="s">
        <v>3093</v>
      </c>
      <c r="N1728" s="400"/>
      <c r="O1728" s="428" t="s">
        <v>3199</v>
      </c>
      <c r="P1728" s="428"/>
      <c r="Q1728" s="399"/>
      <c r="R1728" s="428" t="s">
        <v>6491</v>
      </c>
      <c r="S1728" s="399" t="s">
        <v>6492</v>
      </c>
      <c r="T1728" s="399" t="s">
        <v>219</v>
      </c>
      <c r="U1728" s="399" t="s">
        <v>168</v>
      </c>
      <c r="V1728" s="399"/>
      <c r="W1728" s="399"/>
      <c r="X1728" s="400" t="s">
        <v>113</v>
      </c>
      <c r="Y1728" s="399" t="s">
        <v>6493</v>
      </c>
      <c r="Z1728" s="399"/>
      <c r="AA1728" s="399"/>
      <c r="AB1728" s="399"/>
      <c r="AC1728" s="532"/>
      <c r="AD1728" s="400"/>
      <c r="AE1728" s="399"/>
      <c r="AF1728" s="399"/>
      <c r="AG1728" s="399"/>
      <c r="AH1728" s="532"/>
      <c r="AI1728" s="399"/>
      <c r="AJ1728" s="400"/>
      <c r="AK1728" s="399"/>
      <c r="AL1728" s="409" t="s">
        <v>6494</v>
      </c>
      <c r="AM1728" s="409"/>
      <c r="AN1728" s="409"/>
      <c r="AO1728" s="409" t="s">
        <v>3100</v>
      </c>
      <c r="AP1728" s="409" t="s">
        <v>3101</v>
      </c>
      <c r="AQ1728" s="399"/>
      <c r="AR1728" s="399"/>
      <c r="AS1728" s="399"/>
      <c r="AT1728" s="399"/>
      <c r="AU1728" s="399"/>
      <c r="AV1728" s="399"/>
      <c r="AW1728" s="411"/>
      <c r="AX1728" s="411"/>
      <c r="AY1728" s="434" t="s">
        <v>3106</v>
      </c>
      <c r="AZ1728" s="411"/>
      <c r="BA1728" s="411"/>
      <c r="BB1728" s="399"/>
      <c r="BC1728" s="399" t="str">
        <f t="shared" si="14"/>
        <v/>
      </c>
      <c r="BD1728" s="399"/>
      <c r="BE1728" s="399" t="s">
        <v>214</v>
      </c>
      <c r="BF1728" s="399" t="s">
        <v>198</v>
      </c>
      <c r="BG1728" s="540" t="s">
        <v>197</v>
      </c>
      <c r="BH1728" s="407"/>
      <c r="BI1728" s="407"/>
      <c r="BJ1728" s="412"/>
      <c r="BK1728" s="46">
        <f t="shared" si="15"/>
        <v>1</v>
      </c>
      <c r="BL1728" s="46">
        <f t="shared" si="3"/>
        <v>1</v>
      </c>
      <c r="BM1728" s="46">
        <f t="shared" si="4"/>
        <v>0</v>
      </c>
      <c r="BN1728" s="46">
        <f t="shared" si="16"/>
        <v>0</v>
      </c>
    </row>
    <row r="1729" spans="1:66" ht="12.75" customHeight="1">
      <c r="A1729" s="399">
        <v>1737</v>
      </c>
      <c r="B1729" s="399" t="s">
        <v>6495</v>
      </c>
      <c r="C1729" s="399" t="str">
        <f t="shared" si="11"/>
        <v>Alternate contact address</v>
      </c>
      <c r="D1729" s="400" t="str">
        <f t="shared" si="19"/>
        <v>Alternate contact address</v>
      </c>
      <c r="E1729" s="399" t="str">
        <f t="shared" si="18"/>
        <v>Data Element</v>
      </c>
      <c r="F1729" s="400" t="str">
        <f t="shared" si="20"/>
        <v/>
      </c>
      <c r="G1729" s="400"/>
      <c r="H1729" s="400"/>
      <c r="I1729" s="400"/>
      <c r="J1729" s="400"/>
      <c r="K1729" s="400">
        <v>1</v>
      </c>
      <c r="L1729" s="401" t="s">
        <v>6392</v>
      </c>
      <c r="M1729" s="402" t="s">
        <v>3093</v>
      </c>
      <c r="N1729" s="400"/>
      <c r="O1729" s="428" t="s">
        <v>3199</v>
      </c>
      <c r="P1729" s="428"/>
      <c r="Q1729" s="399"/>
      <c r="R1729" s="428" t="s">
        <v>6495</v>
      </c>
      <c r="S1729" s="409" t="s">
        <v>6497</v>
      </c>
      <c r="T1729" s="399"/>
      <c r="U1729" s="399" t="s">
        <v>111</v>
      </c>
      <c r="V1729" s="399"/>
      <c r="W1729" s="399"/>
      <c r="X1729" s="400"/>
      <c r="Y1729" s="399"/>
      <c r="Z1729" s="399"/>
      <c r="AA1729" s="399"/>
      <c r="AB1729" s="399"/>
      <c r="AC1729" s="532"/>
      <c r="AD1729" s="400"/>
      <c r="AE1729" s="399"/>
      <c r="AF1729" s="399"/>
      <c r="AG1729" s="399"/>
      <c r="AH1729" s="532"/>
      <c r="AI1729" s="399"/>
      <c r="AJ1729" s="400"/>
      <c r="AK1729" s="399"/>
      <c r="AL1729" s="409" t="s">
        <v>6498</v>
      </c>
      <c r="AM1729" s="409"/>
      <c r="AN1729" s="409"/>
      <c r="AO1729" s="409" t="s">
        <v>3100</v>
      </c>
      <c r="AP1729" s="409" t="s">
        <v>3101</v>
      </c>
      <c r="AQ1729" s="399"/>
      <c r="AR1729" s="399"/>
      <c r="AS1729" s="399"/>
      <c r="AT1729" s="399"/>
      <c r="AU1729" s="399"/>
      <c r="AV1729" s="399"/>
      <c r="AW1729" s="411"/>
      <c r="AX1729" s="411"/>
      <c r="AY1729" s="434" t="s">
        <v>3106</v>
      </c>
      <c r="AZ1729" s="411"/>
      <c r="BA1729" s="411"/>
      <c r="BB1729" s="399"/>
      <c r="BC1729" s="399" t="str">
        <f t="shared" si="14"/>
        <v/>
      </c>
      <c r="BD1729" s="399"/>
      <c r="BE1729" s="399"/>
      <c r="BF1729" s="399"/>
      <c r="BG1729" s="540"/>
      <c r="BH1729" s="407"/>
      <c r="BI1729" s="407"/>
      <c r="BJ1729" s="412"/>
      <c r="BK1729" s="46">
        <f t="shared" si="15"/>
        <v>1</v>
      </c>
      <c r="BL1729" s="46">
        <f t="shared" si="3"/>
        <v>1</v>
      </c>
      <c r="BM1729" s="46">
        <f t="shared" si="4"/>
        <v>0</v>
      </c>
      <c r="BN1729" s="46">
        <f t="shared" si="16"/>
        <v>0</v>
      </c>
    </row>
    <row r="1730" spans="1:66" ht="12.75" customHeight="1">
      <c r="A1730" s="399">
        <v>1738</v>
      </c>
      <c r="B1730" s="399" t="s">
        <v>6499</v>
      </c>
      <c r="C1730" s="399" t="str">
        <f t="shared" si="11"/>
        <v>Alternate contact relationship</v>
      </c>
      <c r="D1730" s="400" t="str">
        <f t="shared" si="19"/>
        <v>Alternate contact relationship</v>
      </c>
      <c r="E1730" s="399" t="str">
        <f t="shared" si="18"/>
        <v>Data Element</v>
      </c>
      <c r="F1730" s="400" t="str">
        <f t="shared" si="20"/>
        <v/>
      </c>
      <c r="G1730" s="400"/>
      <c r="H1730" s="400"/>
      <c r="I1730" s="400"/>
      <c r="J1730" s="400"/>
      <c r="K1730" s="400">
        <v>1</v>
      </c>
      <c r="L1730" s="401" t="s">
        <v>6392</v>
      </c>
      <c r="M1730" s="402" t="s">
        <v>3093</v>
      </c>
      <c r="N1730" s="400"/>
      <c r="O1730" s="428" t="s">
        <v>3199</v>
      </c>
      <c r="P1730" s="428"/>
      <c r="Q1730" s="399"/>
      <c r="R1730" s="428" t="s">
        <v>6499</v>
      </c>
      <c r="S1730" s="399"/>
      <c r="T1730" s="399"/>
      <c r="U1730" s="399" t="s">
        <v>111</v>
      </c>
      <c r="V1730" s="399"/>
      <c r="W1730" s="399"/>
      <c r="X1730" s="400"/>
      <c r="Y1730" s="399"/>
      <c r="Z1730" s="399"/>
      <c r="AA1730" s="399"/>
      <c r="AB1730" s="399"/>
      <c r="AC1730" s="532"/>
      <c r="AD1730" s="400"/>
      <c r="AE1730" s="399"/>
      <c r="AF1730" s="399"/>
      <c r="AG1730" s="399"/>
      <c r="AH1730" s="532"/>
      <c r="AI1730" s="399"/>
      <c r="AJ1730" s="400"/>
      <c r="AK1730" s="399"/>
      <c r="AL1730" s="409" t="s">
        <v>6501</v>
      </c>
      <c r="AM1730" s="409"/>
      <c r="AN1730" s="409"/>
      <c r="AO1730" s="409" t="s">
        <v>3100</v>
      </c>
      <c r="AP1730" s="409" t="s">
        <v>3101</v>
      </c>
      <c r="AQ1730" s="399"/>
      <c r="AR1730" s="399"/>
      <c r="AS1730" s="399"/>
      <c r="AT1730" s="399"/>
      <c r="AU1730" s="399"/>
      <c r="AV1730" s="399"/>
      <c r="AW1730" s="411"/>
      <c r="AX1730" s="411"/>
      <c r="AY1730" s="434" t="s">
        <v>3106</v>
      </c>
      <c r="AZ1730" s="434"/>
      <c r="BA1730" s="411"/>
      <c r="BB1730" s="399"/>
      <c r="BC1730" s="399" t="str">
        <f t="shared" si="14"/>
        <v/>
      </c>
      <c r="BD1730" s="399"/>
      <c r="BE1730" s="399"/>
      <c r="BF1730" s="399"/>
      <c r="BG1730" s="540"/>
      <c r="BH1730" s="407"/>
      <c r="BI1730" s="407"/>
      <c r="BJ1730" s="412"/>
      <c r="BK1730" s="46">
        <f t="shared" si="15"/>
        <v>1</v>
      </c>
      <c r="BL1730" s="46">
        <f t="shared" si="3"/>
        <v>1</v>
      </c>
      <c r="BM1730" s="46">
        <f t="shared" si="4"/>
        <v>0</v>
      </c>
      <c r="BN1730" s="46">
        <f t="shared" si="16"/>
        <v>0</v>
      </c>
    </row>
    <row r="1731" spans="1:66" ht="12.75" customHeight="1">
      <c r="A1731" s="409">
        <v>1833</v>
      </c>
      <c r="B1731" s="409" t="s">
        <v>6502</v>
      </c>
      <c r="C1731" s="399"/>
      <c r="D1731" s="400"/>
      <c r="E1731" s="409" t="s">
        <v>6421</v>
      </c>
      <c r="F1731" s="400"/>
      <c r="G1731" s="400"/>
      <c r="H1731" s="400"/>
      <c r="I1731" s="400"/>
      <c r="J1731" s="400"/>
      <c r="K1731" s="400"/>
      <c r="L1731" s="401"/>
      <c r="M1731" s="402"/>
      <c r="N1731" s="400"/>
      <c r="O1731" s="428"/>
      <c r="P1731" s="428"/>
      <c r="Q1731" s="399"/>
      <c r="R1731" s="428"/>
      <c r="S1731" s="399"/>
      <c r="T1731" s="399"/>
      <c r="U1731" s="399"/>
      <c r="V1731" s="399"/>
      <c r="W1731" s="399"/>
      <c r="X1731" s="400"/>
      <c r="Y1731" s="399"/>
      <c r="Z1731" s="399"/>
      <c r="AA1731" s="399"/>
      <c r="AB1731" s="399"/>
      <c r="AC1731" s="532"/>
      <c r="AD1731" s="400"/>
      <c r="AE1731" s="399"/>
      <c r="AF1731" s="399"/>
      <c r="AG1731" s="399"/>
      <c r="AH1731" s="532"/>
      <c r="AI1731" s="399"/>
      <c r="AJ1731" s="400"/>
      <c r="AK1731" s="409" t="s">
        <v>6502</v>
      </c>
      <c r="AL1731" s="409" t="s">
        <v>6503</v>
      </c>
      <c r="AM1731" s="409" t="s">
        <v>6504</v>
      </c>
      <c r="AN1731" s="399"/>
      <c r="AO1731" s="409" t="s">
        <v>3100</v>
      </c>
      <c r="AP1731" s="409" t="s">
        <v>3101</v>
      </c>
      <c r="AQ1731" s="399"/>
      <c r="AR1731" s="399"/>
      <c r="AS1731" s="399"/>
      <c r="AT1731" s="399"/>
      <c r="AU1731" s="399"/>
      <c r="AV1731" s="399"/>
      <c r="AW1731" s="411"/>
      <c r="AX1731" s="411"/>
      <c r="AY1731" s="411"/>
      <c r="AZ1731" s="411"/>
      <c r="BA1731" s="411"/>
      <c r="BB1731" s="399"/>
      <c r="BC1731" s="399"/>
      <c r="BD1731" s="399"/>
      <c r="BE1731" s="399"/>
      <c r="BF1731" s="399"/>
      <c r="BG1731" s="540"/>
      <c r="BH1731" s="407"/>
      <c r="BI1731" s="407"/>
      <c r="BJ1731" s="412"/>
      <c r="BK1731" s="46"/>
      <c r="BL1731" s="46">
        <f t="shared" si="3"/>
        <v>1</v>
      </c>
      <c r="BM1731" s="46">
        <f t="shared" si="4"/>
        <v>-1</v>
      </c>
      <c r="BN1731" s="46"/>
    </row>
    <row r="1732" spans="1:66" ht="12.75" customHeight="1">
      <c r="A1732" s="399">
        <v>1739</v>
      </c>
      <c r="B1732" s="399" t="s">
        <v>6505</v>
      </c>
      <c r="C1732" s="399" t="str">
        <f t="shared" ref="C1732:C1814" si="21">IF(E1732="Input Option",CONCAT("       ",D1732),D1732)</f>
        <v>Name of caretaker</v>
      </c>
      <c r="D1732" s="400" t="str">
        <f t="shared" ref="D1732:D1733" si="22">IF(R1732="",IF(W1732="",S1732,W1732),R1732)</f>
        <v>Name of caretaker</v>
      </c>
      <c r="E1732" s="399" t="str">
        <f t="shared" ref="E1732:E1733" si="23">IF(AND(ISBLANK(W1732)=FALSE,OR(U1732="MC",U1732="")),"Input Option","Data Element")</f>
        <v>Data Element</v>
      </c>
      <c r="F1732" s="400" t="str">
        <f>IF(E1732="Input Option",IF(F1730="",D1730,F1730),"")</f>
        <v/>
      </c>
      <c r="G1732" s="400"/>
      <c r="H1732" s="400"/>
      <c r="I1732" s="400"/>
      <c r="J1732" s="400"/>
      <c r="K1732" s="400">
        <v>1</v>
      </c>
      <c r="L1732" s="401" t="s">
        <v>6392</v>
      </c>
      <c r="M1732" s="402" t="s">
        <v>3093</v>
      </c>
      <c r="N1732" s="400"/>
      <c r="O1732" s="428" t="s">
        <v>3199</v>
      </c>
      <c r="P1732" s="428"/>
      <c r="Q1732" s="399"/>
      <c r="R1732" s="428" t="s">
        <v>6505</v>
      </c>
      <c r="S1732" s="399"/>
      <c r="T1732" s="399" t="s">
        <v>6507</v>
      </c>
      <c r="U1732" s="399" t="s">
        <v>111</v>
      </c>
      <c r="V1732" s="399"/>
      <c r="W1732" s="399"/>
      <c r="X1732" s="400"/>
      <c r="Y1732" s="399"/>
      <c r="Z1732" s="399" t="s">
        <v>6508</v>
      </c>
      <c r="AA1732" s="399"/>
      <c r="AB1732" s="399" t="s">
        <v>3178</v>
      </c>
      <c r="AC1732" s="532" t="s">
        <v>6509</v>
      </c>
      <c r="AD1732" s="400"/>
      <c r="AE1732" s="399"/>
      <c r="AF1732" s="399"/>
      <c r="AG1732" s="399"/>
      <c r="AH1732" s="532"/>
      <c r="AI1732" s="399"/>
      <c r="AJ1732" s="400"/>
      <c r="AK1732" s="409" t="s">
        <v>6510</v>
      </c>
      <c r="AL1732" s="409" t="s">
        <v>6488</v>
      </c>
      <c r="AM1732" s="399"/>
      <c r="AN1732" s="399"/>
      <c r="AO1732" s="409"/>
      <c r="AP1732" s="399"/>
      <c r="AQ1732" s="399"/>
      <c r="AR1732" s="399"/>
      <c r="AS1732" s="399"/>
      <c r="AT1732" s="399"/>
      <c r="AU1732" s="399"/>
      <c r="AV1732" s="399"/>
      <c r="AW1732" s="411"/>
      <c r="AX1732" s="411"/>
      <c r="AY1732" s="434" t="s">
        <v>3106</v>
      </c>
      <c r="AZ1732" s="411"/>
      <c r="BA1732" s="411"/>
      <c r="BB1732" s="399"/>
      <c r="BC1732" s="399" t="str">
        <f t="shared" ref="BC1732:BC1734" si="24">IF(B1732=C1732,"",CONCATENATE(CHAR(34), C1732,CHAR(34), "-&gt;", CHAR(34), B1732,CHAR(34)))</f>
        <v/>
      </c>
      <c r="BD1732" s="399"/>
      <c r="BE1732" s="399" t="s">
        <v>6512</v>
      </c>
      <c r="BF1732" s="399" t="s">
        <v>6513</v>
      </c>
      <c r="BG1732" s="540" t="s">
        <v>6514</v>
      </c>
      <c r="BH1732" s="407"/>
      <c r="BI1732" s="407"/>
      <c r="BJ1732" s="412"/>
      <c r="BK1732" s="46">
        <f t="shared" ref="BK1732:BK1734" si="25">1</f>
        <v>1</v>
      </c>
      <c r="BL1732" s="46">
        <f t="shared" si="3"/>
        <v>0</v>
      </c>
      <c r="BM1732" s="46">
        <f t="shared" si="4"/>
        <v>1</v>
      </c>
      <c r="BN1732" s="46">
        <f t="shared" ref="BN1732:BN1814" si="26">IFERROR(SEARCH("extens",AO1732),0)</f>
        <v>0</v>
      </c>
    </row>
    <row r="1733" spans="1:66" ht="12.75" customHeight="1">
      <c r="A1733" s="399">
        <v>1740</v>
      </c>
      <c r="B1733" s="399" t="s">
        <v>6516</v>
      </c>
      <c r="C1733" s="399" t="str">
        <f t="shared" si="21"/>
        <v>Phone number of caretaker</v>
      </c>
      <c r="D1733" s="400" t="str">
        <f t="shared" si="22"/>
        <v>Phone number of caretaker</v>
      </c>
      <c r="E1733" s="399" t="str">
        <f t="shared" si="23"/>
        <v>Data Element</v>
      </c>
      <c r="F1733" s="400" t="str">
        <f t="shared" ref="F1733:F1735" si="27">IF(E1733="Input Option",IF(F1732="",D1732,F1732),"")</f>
        <v/>
      </c>
      <c r="G1733" s="400"/>
      <c r="H1733" s="400"/>
      <c r="I1733" s="400"/>
      <c r="J1733" s="400"/>
      <c r="K1733" s="400">
        <v>1</v>
      </c>
      <c r="L1733" s="401" t="s">
        <v>6392</v>
      </c>
      <c r="M1733" s="402" t="s">
        <v>3093</v>
      </c>
      <c r="N1733" s="400"/>
      <c r="O1733" s="428" t="s">
        <v>3199</v>
      </c>
      <c r="P1733" s="428"/>
      <c r="Q1733" s="399"/>
      <c r="R1733" s="428" t="s">
        <v>6516</v>
      </c>
      <c r="S1733" s="399"/>
      <c r="T1733" s="399" t="s">
        <v>6517</v>
      </c>
      <c r="U1733" s="399" t="s">
        <v>168</v>
      </c>
      <c r="V1733" s="399"/>
      <c r="W1733" s="399"/>
      <c r="X1733" s="400"/>
      <c r="Y1733" s="399" t="s">
        <v>6518</v>
      </c>
      <c r="Z1733" s="399"/>
      <c r="AA1733" s="399"/>
      <c r="AB1733" s="399" t="s">
        <v>3178</v>
      </c>
      <c r="AC1733" s="532" t="s">
        <v>6509</v>
      </c>
      <c r="AD1733" s="400"/>
      <c r="AE1733" s="399"/>
      <c r="AF1733" s="399"/>
      <c r="AG1733" s="399"/>
      <c r="AH1733" s="532"/>
      <c r="AI1733" s="399"/>
      <c r="AJ1733" s="400"/>
      <c r="AK1733" s="409" t="s">
        <v>6520</v>
      </c>
      <c r="AL1733" s="409" t="s">
        <v>6494</v>
      </c>
      <c r="AM1733" s="399"/>
      <c r="AN1733" s="399"/>
      <c r="AO1733" s="409" t="s">
        <v>3218</v>
      </c>
      <c r="AP1733" s="399"/>
      <c r="AQ1733" s="399"/>
      <c r="AR1733" s="399"/>
      <c r="AS1733" s="399"/>
      <c r="AT1733" s="399"/>
      <c r="AU1733" s="399"/>
      <c r="AV1733" s="399"/>
      <c r="AW1733" s="411"/>
      <c r="AX1733" s="411"/>
      <c r="AY1733" s="434" t="s">
        <v>3106</v>
      </c>
      <c r="AZ1733" s="411"/>
      <c r="BA1733" s="411"/>
      <c r="BB1733" s="399"/>
      <c r="BC1733" s="399" t="str">
        <f t="shared" si="24"/>
        <v/>
      </c>
      <c r="BD1733" s="399"/>
      <c r="BE1733" s="399" t="s">
        <v>6512</v>
      </c>
      <c r="BF1733" s="399" t="s">
        <v>6521</v>
      </c>
      <c r="BG1733" s="540"/>
      <c r="BH1733" s="407"/>
      <c r="BI1733" s="407"/>
      <c r="BJ1733" s="412"/>
      <c r="BK1733" s="46">
        <f t="shared" si="25"/>
        <v>1</v>
      </c>
      <c r="BL1733" s="46">
        <f t="shared" si="3"/>
        <v>0</v>
      </c>
      <c r="BM1733" s="46">
        <f t="shared" si="4"/>
        <v>1</v>
      </c>
      <c r="BN1733" s="46">
        <f t="shared" si="26"/>
        <v>0</v>
      </c>
    </row>
    <row r="1734" spans="1:66" ht="12.75" customHeight="1">
      <c r="A1734" s="399">
        <v>1746</v>
      </c>
      <c r="B1734" s="399" t="s">
        <v>6523</v>
      </c>
      <c r="C1734" s="399" t="str">
        <f t="shared" si="21"/>
        <v>Highest level of education achieved</v>
      </c>
      <c r="D1734" s="400" t="str">
        <f>IF(R1734="",IF(W1735="",S1734,W1735),R1734)</f>
        <v>Highest level of education achieved</v>
      </c>
      <c r="E1734" s="399" t="s">
        <v>96</v>
      </c>
      <c r="F1734" s="400" t="str">
        <f t="shared" si="27"/>
        <v/>
      </c>
      <c r="G1734" s="400"/>
      <c r="H1734" s="400"/>
      <c r="I1734" s="400"/>
      <c r="J1734" s="400"/>
      <c r="K1734" s="400">
        <v>1</v>
      </c>
      <c r="L1734" s="401" t="s">
        <v>6392</v>
      </c>
      <c r="M1734" s="402" t="s">
        <v>3093</v>
      </c>
      <c r="N1734" s="402"/>
      <c r="O1734" s="428" t="s">
        <v>3199</v>
      </c>
      <c r="P1734" s="428"/>
      <c r="Q1734" s="399"/>
      <c r="R1734" s="428" t="s">
        <v>6523</v>
      </c>
      <c r="S1734" s="399" t="s">
        <v>6524</v>
      </c>
      <c r="T1734" s="399" t="s">
        <v>6525</v>
      </c>
      <c r="U1734" s="399" t="s">
        <v>6464</v>
      </c>
      <c r="V1734" s="399"/>
      <c r="W1734" s="399"/>
      <c r="X1734" s="400"/>
      <c r="Y1734" s="399"/>
      <c r="Z1734" s="399"/>
      <c r="AA1734" s="399"/>
      <c r="AB1734" s="399" t="s">
        <v>1889</v>
      </c>
      <c r="AC1734" s="532"/>
      <c r="AD1734" s="400"/>
      <c r="AE1734" s="399"/>
      <c r="AF1734" s="399"/>
      <c r="AG1734" s="399"/>
      <c r="AH1734" s="532"/>
      <c r="AI1734" s="399"/>
      <c r="AJ1734" s="400"/>
      <c r="AK1734" s="409" t="s">
        <v>3218</v>
      </c>
      <c r="AL1734" s="409" t="s">
        <v>6528</v>
      </c>
      <c r="AM1734" s="399"/>
      <c r="AN1734" s="399"/>
      <c r="AO1734" s="500" t="s">
        <v>3100</v>
      </c>
      <c r="AP1734" s="409" t="s">
        <v>3101</v>
      </c>
      <c r="AQ1734" s="409" t="s">
        <v>3218</v>
      </c>
      <c r="AR1734" s="399"/>
      <c r="AS1734" s="399"/>
      <c r="AT1734" s="399"/>
      <c r="AU1734" s="399"/>
      <c r="AV1734" s="399"/>
      <c r="AW1734" s="411"/>
      <c r="AX1734" s="411"/>
      <c r="AY1734" s="434" t="s">
        <v>3106</v>
      </c>
      <c r="AZ1734" s="411"/>
      <c r="BA1734" s="411"/>
      <c r="BB1734" s="399"/>
      <c r="BC1734" s="399" t="str">
        <f t="shared" si="24"/>
        <v/>
      </c>
      <c r="BD1734" s="399"/>
      <c r="BE1734" s="399"/>
      <c r="BF1734" s="399"/>
      <c r="BG1734" s="540"/>
      <c r="BH1734" s="407"/>
      <c r="BI1734" s="407"/>
      <c r="BJ1734" s="412"/>
      <c r="BK1734" s="46">
        <f t="shared" si="25"/>
        <v>1</v>
      </c>
      <c r="BL1734" s="46">
        <f t="shared" si="3"/>
        <v>1</v>
      </c>
      <c r="BM1734" s="46">
        <f t="shared" si="4"/>
        <v>0</v>
      </c>
      <c r="BN1734" s="46">
        <f t="shared" si="26"/>
        <v>0</v>
      </c>
    </row>
    <row r="1735" spans="1:66" ht="12.75" customHeight="1">
      <c r="A1735" s="409">
        <v>1837</v>
      </c>
      <c r="B1735" s="409" t="s">
        <v>6529</v>
      </c>
      <c r="C1735" s="399" t="e">
        <f t="shared" ca="1" si="21"/>
        <v>#NAME?</v>
      </c>
      <c r="D1735" s="402" t="s">
        <v>6530</v>
      </c>
      <c r="E1735" s="399" t="str">
        <f t="shared" ref="E1735:E1738" si="28">IF(AND(ISBLANK(W1735)=FALSE,OR(U1735="MC",U1735="")),"Input Option","Data Element")</f>
        <v>Input Option</v>
      </c>
      <c r="F1735" s="400" t="str">
        <f t="shared" si="27"/>
        <v>Highest level of education achieved</v>
      </c>
      <c r="G1735" s="400"/>
      <c r="H1735" s="400"/>
      <c r="I1735" s="400"/>
      <c r="J1735" s="400"/>
      <c r="K1735" s="400"/>
      <c r="L1735" s="401" t="s">
        <v>6392</v>
      </c>
      <c r="M1735" s="402" t="s">
        <v>3093</v>
      </c>
      <c r="N1735" s="402"/>
      <c r="O1735" s="428" t="s">
        <v>3199</v>
      </c>
      <c r="P1735" s="428"/>
      <c r="Q1735" s="399"/>
      <c r="R1735" s="428"/>
      <c r="S1735" s="399"/>
      <c r="T1735" s="399"/>
      <c r="U1735" s="399"/>
      <c r="V1735" s="399"/>
      <c r="W1735" s="399" t="s">
        <v>6532</v>
      </c>
      <c r="X1735" s="400"/>
      <c r="Y1735" s="399"/>
      <c r="Z1735" s="399"/>
      <c r="AA1735" s="399"/>
      <c r="AB1735" s="399"/>
      <c r="AC1735" s="532"/>
      <c r="AD1735" s="400"/>
      <c r="AE1735" s="399"/>
      <c r="AF1735" s="399"/>
      <c r="AG1735" s="399"/>
      <c r="AH1735" s="532"/>
      <c r="AI1735" s="399"/>
      <c r="AJ1735" s="400"/>
      <c r="AK1735" s="399"/>
      <c r="AL1735" s="399"/>
      <c r="AM1735" s="399"/>
      <c r="AN1735" s="399"/>
      <c r="AO1735" s="500" t="s">
        <v>3218</v>
      </c>
      <c r="AP1735" s="399"/>
      <c r="AQ1735" s="415" t="s">
        <v>6533</v>
      </c>
      <c r="AR1735" s="409" t="s">
        <v>6535</v>
      </c>
      <c r="AS1735" s="399"/>
      <c r="AT1735" s="399"/>
      <c r="AU1735" s="399"/>
      <c r="AV1735" s="399"/>
      <c r="AW1735" s="411"/>
      <c r="AX1735" s="411"/>
      <c r="AY1735" s="434" t="s">
        <v>3133</v>
      </c>
      <c r="AZ1735" s="411"/>
      <c r="BA1735" s="411"/>
      <c r="BB1735" s="399"/>
      <c r="BC1735" s="399"/>
      <c r="BD1735" s="399"/>
      <c r="BE1735" s="399"/>
      <c r="BF1735" s="399"/>
      <c r="BG1735" s="540"/>
      <c r="BH1735" s="407"/>
      <c r="BI1735" s="407"/>
      <c r="BJ1735" s="412"/>
      <c r="BK1735" s="46"/>
      <c r="BL1735" s="46">
        <f t="shared" si="3"/>
        <v>1</v>
      </c>
      <c r="BM1735" s="46">
        <f t="shared" si="4"/>
        <v>-1</v>
      </c>
      <c r="BN1735" s="46">
        <f t="shared" si="26"/>
        <v>0</v>
      </c>
    </row>
    <row r="1736" spans="1:66" ht="12.75" customHeight="1">
      <c r="A1736" s="399">
        <v>1747</v>
      </c>
      <c r="B1736" s="399" t="s">
        <v>6537</v>
      </c>
      <c r="C1736" s="399" t="e">
        <f t="shared" ca="1" si="21"/>
        <v>#NAME?</v>
      </c>
      <c r="D1736" s="400" t="str">
        <f t="shared" ref="D1736:D1739" si="29">IF(R1736="",IF(W1736="",S1736,W1736),R1736)</f>
        <v>High School</v>
      </c>
      <c r="E1736" s="399" t="str">
        <f t="shared" si="28"/>
        <v>Input Option</v>
      </c>
      <c r="F1736" s="400" t="str">
        <f>IF(E1736="Input Option",IF(F1734="",D1734,F1734),"")</f>
        <v>Highest level of education achieved</v>
      </c>
      <c r="G1736" s="400"/>
      <c r="H1736" s="400"/>
      <c r="I1736" s="400"/>
      <c r="J1736" s="400"/>
      <c r="K1736" s="400">
        <v>1</v>
      </c>
      <c r="L1736" s="401" t="s">
        <v>6392</v>
      </c>
      <c r="M1736" s="402" t="s">
        <v>3093</v>
      </c>
      <c r="N1736" s="400"/>
      <c r="O1736" s="428" t="s">
        <v>3199</v>
      </c>
      <c r="P1736" s="428"/>
      <c r="Q1736" s="399"/>
      <c r="R1736" s="428"/>
      <c r="S1736" s="399"/>
      <c r="T1736" s="399"/>
      <c r="U1736" s="399"/>
      <c r="V1736" s="399"/>
      <c r="W1736" s="399" t="s">
        <v>6540</v>
      </c>
      <c r="X1736" s="400"/>
      <c r="Y1736" s="399"/>
      <c r="Z1736" s="399"/>
      <c r="AA1736" s="399"/>
      <c r="AB1736" s="399"/>
      <c r="AC1736" s="532"/>
      <c r="AD1736" s="400"/>
      <c r="AE1736" s="399"/>
      <c r="AF1736" s="399"/>
      <c r="AG1736" s="399"/>
      <c r="AH1736" s="532"/>
      <c r="AI1736" s="399"/>
      <c r="AJ1736" s="400"/>
      <c r="AK1736" s="399"/>
      <c r="AL1736" s="399"/>
      <c r="AM1736" s="399"/>
      <c r="AN1736" s="399"/>
      <c r="AO1736" s="500" t="s">
        <v>3218</v>
      </c>
      <c r="AP1736" s="399"/>
      <c r="AQ1736" s="415" t="s">
        <v>6533</v>
      </c>
      <c r="AR1736" s="399" t="s">
        <v>6545</v>
      </c>
      <c r="AS1736" s="399"/>
      <c r="AT1736" s="399"/>
      <c r="AU1736" s="399"/>
      <c r="AV1736" s="399"/>
      <c r="AW1736" s="411"/>
      <c r="AX1736" s="411"/>
      <c r="AY1736" s="411"/>
      <c r="AZ1736" s="411"/>
      <c r="BA1736" s="411"/>
      <c r="BB1736" s="399"/>
      <c r="BC1736" s="399" t="e">
        <f t="shared" ref="BC1736:BC1739" ca="1" si="30">IF(B1736=C1736,"",CONCATENATE(CHAR(34), C1736,CHAR(34), "-&gt;", CHAR(34), B1736,CHAR(34)))</f>
        <v>#NAME?</v>
      </c>
      <c r="BD1736" s="399"/>
      <c r="BE1736" s="399"/>
      <c r="BF1736" s="399"/>
      <c r="BG1736" s="540"/>
      <c r="BH1736" s="407"/>
      <c r="BI1736" s="407"/>
      <c r="BJ1736" s="412"/>
      <c r="BK1736" s="46">
        <f t="shared" ref="BK1736:BK1739" si="31">1</f>
        <v>1</v>
      </c>
      <c r="BL1736" s="46">
        <f t="shared" si="3"/>
        <v>1</v>
      </c>
      <c r="BM1736" s="46">
        <f t="shared" si="4"/>
        <v>0</v>
      </c>
      <c r="BN1736" s="46">
        <f t="shared" si="26"/>
        <v>0</v>
      </c>
    </row>
    <row r="1737" spans="1:66" ht="12.75" customHeight="1">
      <c r="A1737" s="399">
        <v>1748</v>
      </c>
      <c r="B1737" s="399" t="s">
        <v>6547</v>
      </c>
      <c r="C1737" s="399" t="e">
        <f t="shared" ca="1" si="21"/>
        <v>#NAME?</v>
      </c>
      <c r="D1737" s="400" t="str">
        <f t="shared" si="29"/>
        <v>Elementary education</v>
      </c>
      <c r="E1737" s="399" t="str">
        <f t="shared" si="28"/>
        <v>Input Option</v>
      </c>
      <c r="F1737" s="400" t="str">
        <f t="shared" ref="F1737:F1749" si="32">IF(E1737="Input Option",IF(F1736="",D1736,F1736),"")</f>
        <v>Highest level of education achieved</v>
      </c>
      <c r="G1737" s="400"/>
      <c r="H1737" s="400"/>
      <c r="I1737" s="400"/>
      <c r="J1737" s="400"/>
      <c r="K1737" s="400">
        <v>1</v>
      </c>
      <c r="L1737" s="401" t="s">
        <v>6392</v>
      </c>
      <c r="M1737" s="402" t="s">
        <v>3093</v>
      </c>
      <c r="N1737" s="400"/>
      <c r="O1737" s="428" t="s">
        <v>3199</v>
      </c>
      <c r="P1737" s="428"/>
      <c r="Q1737" s="399"/>
      <c r="R1737" s="428"/>
      <c r="S1737" s="399"/>
      <c r="T1737" s="399"/>
      <c r="U1737" s="399"/>
      <c r="V1737" s="399"/>
      <c r="W1737" s="399" t="s">
        <v>6551</v>
      </c>
      <c r="X1737" s="400"/>
      <c r="Y1737" s="399"/>
      <c r="Z1737" s="399"/>
      <c r="AA1737" s="399"/>
      <c r="AB1737" s="399"/>
      <c r="AC1737" s="532"/>
      <c r="AD1737" s="400"/>
      <c r="AE1737" s="399"/>
      <c r="AF1737" s="399"/>
      <c r="AG1737" s="399"/>
      <c r="AH1737" s="532"/>
      <c r="AI1737" s="399"/>
      <c r="AJ1737" s="400"/>
      <c r="AK1737" s="399"/>
      <c r="AL1737" s="399"/>
      <c r="AM1737" s="399"/>
      <c r="AN1737" s="399"/>
      <c r="AO1737" s="500" t="s">
        <v>3218</v>
      </c>
      <c r="AP1737" s="399"/>
      <c r="AQ1737" s="415" t="s">
        <v>6533</v>
      </c>
      <c r="AR1737" s="399" t="s">
        <v>6552</v>
      </c>
      <c r="AS1737" s="399"/>
      <c r="AT1737" s="399"/>
      <c r="AU1737" s="399"/>
      <c r="AV1737" s="399"/>
      <c r="AW1737" s="411"/>
      <c r="AX1737" s="411"/>
      <c r="AY1737" s="411"/>
      <c r="AZ1737" s="411"/>
      <c r="BA1737" s="411"/>
      <c r="BB1737" s="399"/>
      <c r="BC1737" s="399" t="e">
        <f t="shared" ca="1" si="30"/>
        <v>#NAME?</v>
      </c>
      <c r="BD1737" s="399"/>
      <c r="BE1737" s="399"/>
      <c r="BF1737" s="399"/>
      <c r="BG1737" s="540"/>
      <c r="BH1737" s="407"/>
      <c r="BI1737" s="407"/>
      <c r="BJ1737" s="412"/>
      <c r="BK1737" s="46">
        <f t="shared" si="31"/>
        <v>1</v>
      </c>
      <c r="BL1737" s="46">
        <f t="shared" si="3"/>
        <v>1</v>
      </c>
      <c r="BM1737" s="46">
        <f t="shared" si="4"/>
        <v>0</v>
      </c>
      <c r="BN1737" s="46">
        <f t="shared" si="26"/>
        <v>0</v>
      </c>
    </row>
    <row r="1738" spans="1:66" ht="12.75" customHeight="1">
      <c r="A1738" s="399">
        <v>1749</v>
      </c>
      <c r="B1738" s="399" t="s">
        <v>6554</v>
      </c>
      <c r="C1738" s="399" t="e">
        <f t="shared" ca="1" si="21"/>
        <v>#NAME?</v>
      </c>
      <c r="D1738" s="400" t="str">
        <f t="shared" si="29"/>
        <v>No education</v>
      </c>
      <c r="E1738" s="399" t="str">
        <f t="shared" si="28"/>
        <v>Input Option</v>
      </c>
      <c r="F1738" s="400" t="str">
        <f t="shared" si="32"/>
        <v>Highest level of education achieved</v>
      </c>
      <c r="G1738" s="400"/>
      <c r="H1738" s="400"/>
      <c r="I1738" s="400"/>
      <c r="J1738" s="400"/>
      <c r="K1738" s="400">
        <v>1</v>
      </c>
      <c r="L1738" s="401" t="s">
        <v>6392</v>
      </c>
      <c r="M1738" s="402" t="s">
        <v>3093</v>
      </c>
      <c r="N1738" s="400"/>
      <c r="O1738" s="428" t="s">
        <v>3199</v>
      </c>
      <c r="P1738" s="428"/>
      <c r="Q1738" s="399"/>
      <c r="R1738" s="428"/>
      <c r="S1738" s="399"/>
      <c r="T1738" s="399"/>
      <c r="U1738" s="399"/>
      <c r="V1738" s="399"/>
      <c r="W1738" s="399" t="s">
        <v>6557</v>
      </c>
      <c r="X1738" s="400"/>
      <c r="Y1738" s="399"/>
      <c r="Z1738" s="399"/>
      <c r="AA1738" s="399"/>
      <c r="AB1738" s="399"/>
      <c r="AC1738" s="532"/>
      <c r="AD1738" s="400"/>
      <c r="AE1738" s="399"/>
      <c r="AF1738" s="399"/>
      <c r="AG1738" s="399"/>
      <c r="AH1738" s="532"/>
      <c r="AI1738" s="399"/>
      <c r="AJ1738" s="400"/>
      <c r="AK1738" s="399"/>
      <c r="AL1738" s="399"/>
      <c r="AM1738" s="399"/>
      <c r="AN1738" s="399"/>
      <c r="AO1738" s="500" t="s">
        <v>3218</v>
      </c>
      <c r="AP1738" s="399"/>
      <c r="AQ1738" s="409" t="s">
        <v>6558</v>
      </c>
      <c r="AR1738" s="409"/>
      <c r="AS1738" s="399"/>
      <c r="AT1738" s="399"/>
      <c r="AU1738" s="399"/>
      <c r="AV1738" s="399"/>
      <c r="AW1738" s="411"/>
      <c r="AX1738" s="411"/>
      <c r="AY1738" s="434" t="s">
        <v>3133</v>
      </c>
      <c r="AZ1738" s="411"/>
      <c r="BA1738" s="411"/>
      <c r="BB1738" s="399"/>
      <c r="BC1738" s="399" t="e">
        <f t="shared" ca="1" si="30"/>
        <v>#NAME?</v>
      </c>
      <c r="BD1738" s="399"/>
      <c r="BE1738" s="399"/>
      <c r="BF1738" s="399"/>
      <c r="BG1738" s="540"/>
      <c r="BH1738" s="407"/>
      <c r="BI1738" s="407"/>
      <c r="BJ1738" s="412"/>
      <c r="BK1738" s="46">
        <f t="shared" si="31"/>
        <v>1</v>
      </c>
      <c r="BL1738" s="46">
        <f t="shared" si="3"/>
        <v>1</v>
      </c>
      <c r="BM1738" s="46">
        <f t="shared" si="4"/>
        <v>0</v>
      </c>
      <c r="BN1738" s="46">
        <f t="shared" si="26"/>
        <v>0</v>
      </c>
    </row>
    <row r="1739" spans="1:66" ht="12.75" customHeight="1">
      <c r="A1739" s="399">
        <v>1750</v>
      </c>
      <c r="B1739" s="399" t="s">
        <v>516</v>
      </c>
      <c r="C1739" s="399" t="str">
        <f t="shared" si="21"/>
        <v>Occupation</v>
      </c>
      <c r="D1739" s="400" t="str">
        <f t="shared" si="29"/>
        <v>Occupation</v>
      </c>
      <c r="E1739" s="409" t="s">
        <v>96</v>
      </c>
      <c r="F1739" s="400" t="str">
        <f t="shared" si="32"/>
        <v/>
      </c>
      <c r="G1739" s="400"/>
      <c r="H1739" s="400"/>
      <c r="I1739" s="400"/>
      <c r="J1739" s="400"/>
      <c r="K1739" s="400">
        <v>1</v>
      </c>
      <c r="L1739" s="401" t="s">
        <v>6392</v>
      </c>
      <c r="M1739" s="402" t="s">
        <v>3093</v>
      </c>
      <c r="N1739" s="401"/>
      <c r="O1739" s="428" t="s">
        <v>3199</v>
      </c>
      <c r="P1739" s="428"/>
      <c r="Q1739" s="399"/>
      <c r="R1739" s="428" t="s">
        <v>516</v>
      </c>
      <c r="S1739" s="399" t="s">
        <v>6560</v>
      </c>
      <c r="T1739" s="399"/>
      <c r="U1739" s="399" t="s">
        <v>6464</v>
      </c>
      <c r="V1739" s="399"/>
      <c r="W1739" s="399"/>
      <c r="X1739" s="400"/>
      <c r="Y1739" s="399"/>
      <c r="Z1739" s="399"/>
      <c r="AA1739" s="399"/>
      <c r="AB1739" s="399" t="s">
        <v>1889</v>
      </c>
      <c r="AC1739" s="532"/>
      <c r="AD1739" s="400"/>
      <c r="AE1739" s="399"/>
      <c r="AF1739" s="399"/>
      <c r="AG1739" s="399"/>
      <c r="AH1739" s="532"/>
      <c r="AI1739" s="399"/>
      <c r="AJ1739" s="400"/>
      <c r="AK1739" s="399"/>
      <c r="AL1739" s="409" t="s">
        <v>3218</v>
      </c>
      <c r="AM1739" s="409"/>
      <c r="AN1739" s="409"/>
      <c r="AO1739" s="500" t="s">
        <v>3314</v>
      </c>
      <c r="AP1739" s="399"/>
      <c r="AQ1739" s="399"/>
      <c r="AR1739" s="399"/>
      <c r="AS1739" s="399"/>
      <c r="AT1739" s="399"/>
      <c r="AU1739" s="399"/>
      <c r="AV1739" s="399"/>
      <c r="AW1739" s="411"/>
      <c r="AX1739" s="411"/>
      <c r="AY1739" s="411"/>
      <c r="AZ1739" s="411"/>
      <c r="BA1739" s="411"/>
      <c r="BB1739" s="399"/>
      <c r="BC1739" s="399" t="str">
        <f t="shared" si="30"/>
        <v/>
      </c>
      <c r="BD1739" s="399"/>
      <c r="BE1739" s="399"/>
      <c r="BF1739" s="399"/>
      <c r="BG1739" s="540"/>
      <c r="BH1739" s="407"/>
      <c r="BI1739" s="407"/>
      <c r="BJ1739" s="412"/>
      <c r="BK1739" s="46">
        <f t="shared" si="31"/>
        <v>1</v>
      </c>
      <c r="BL1739" s="46">
        <f t="shared" si="3"/>
        <v>0</v>
      </c>
      <c r="BM1739" s="46">
        <f t="shared" si="4"/>
        <v>1</v>
      </c>
      <c r="BN1739" s="46">
        <f t="shared" si="26"/>
        <v>1</v>
      </c>
    </row>
    <row r="1740" spans="1:66" ht="12.75" customHeight="1">
      <c r="A1740" s="409">
        <v>1838</v>
      </c>
      <c r="B1740" s="409" t="s">
        <v>730</v>
      </c>
      <c r="C1740" s="399" t="e">
        <f t="shared" ca="1" si="21"/>
        <v>#NAME?</v>
      </c>
      <c r="D1740" s="402" t="s">
        <v>522</v>
      </c>
      <c r="E1740" s="399" t="str">
        <f t="shared" ref="E1740:E1807" si="33">IF(AND(ISBLANK(W1740)=FALSE,OR(U1740="MC",U1740="")),"Input Option","Data Element")</f>
        <v>Input Option</v>
      </c>
      <c r="F1740" s="400" t="str">
        <f t="shared" si="32"/>
        <v>Occupation</v>
      </c>
      <c r="G1740" s="400"/>
      <c r="H1740" s="400"/>
      <c r="I1740" s="400"/>
      <c r="J1740" s="400"/>
      <c r="K1740" s="400"/>
      <c r="L1740" s="401" t="s">
        <v>6392</v>
      </c>
      <c r="M1740" s="402" t="s">
        <v>3093</v>
      </c>
      <c r="N1740" s="401"/>
      <c r="O1740" s="428" t="s">
        <v>3199</v>
      </c>
      <c r="P1740" s="428"/>
      <c r="Q1740" s="399"/>
      <c r="R1740" s="428"/>
      <c r="S1740" s="399"/>
      <c r="T1740" s="399"/>
      <c r="U1740" s="399"/>
      <c r="V1740" s="399"/>
      <c r="W1740" s="399" t="s">
        <v>522</v>
      </c>
      <c r="X1740" s="400"/>
      <c r="Y1740" s="399"/>
      <c r="Z1740" s="399"/>
      <c r="AA1740" s="399"/>
      <c r="AB1740" s="399"/>
      <c r="AC1740" s="532"/>
      <c r="AD1740" s="400"/>
      <c r="AE1740" s="399"/>
      <c r="AF1740" s="399"/>
      <c r="AG1740" s="399"/>
      <c r="AH1740" s="532"/>
      <c r="AI1740" s="399"/>
      <c r="AJ1740" s="400"/>
      <c r="AK1740" s="399"/>
      <c r="AL1740" s="409"/>
      <c r="AM1740" s="409"/>
      <c r="AN1740" s="409"/>
      <c r="AO1740" s="500"/>
      <c r="AP1740" s="399"/>
      <c r="AQ1740" s="399"/>
      <c r="AR1740" s="399"/>
      <c r="AS1740" s="399"/>
      <c r="AT1740" s="399"/>
      <c r="AU1740" s="399"/>
      <c r="AV1740" s="399"/>
      <c r="AW1740" s="411"/>
      <c r="AX1740" s="411"/>
      <c r="AY1740" s="411"/>
      <c r="AZ1740" s="411"/>
      <c r="BA1740" s="411"/>
      <c r="BB1740" s="399"/>
      <c r="BC1740" s="399"/>
      <c r="BD1740" s="399"/>
      <c r="BE1740" s="399"/>
      <c r="BF1740" s="399"/>
      <c r="BG1740" s="540"/>
      <c r="BH1740" s="407"/>
      <c r="BI1740" s="407"/>
      <c r="BJ1740" s="412"/>
      <c r="BK1740" s="46"/>
      <c r="BL1740" s="46">
        <f t="shared" si="3"/>
        <v>0</v>
      </c>
      <c r="BM1740" s="46">
        <f t="shared" si="4"/>
        <v>0</v>
      </c>
      <c r="BN1740" s="46">
        <f t="shared" si="26"/>
        <v>0</v>
      </c>
    </row>
    <row r="1741" spans="1:66" ht="12.75" customHeight="1">
      <c r="A1741" s="399">
        <v>1751</v>
      </c>
      <c r="B1741" s="399" t="s">
        <v>738</v>
      </c>
      <c r="C1741" s="399" t="e">
        <f t="shared" ca="1" si="21"/>
        <v>#NAME?</v>
      </c>
      <c r="D1741" s="400" t="str">
        <f t="shared" ref="D1741:D1814" si="34">IF(R1741="",IF(W1741="",S1741,W1741),R1741)</f>
        <v>Unemployed</v>
      </c>
      <c r="E1741" s="399" t="str">
        <f t="shared" si="33"/>
        <v>Input Option</v>
      </c>
      <c r="F1741" s="400" t="str">
        <f t="shared" si="32"/>
        <v>Occupation</v>
      </c>
      <c r="G1741" s="400"/>
      <c r="H1741" s="400"/>
      <c r="I1741" s="400"/>
      <c r="J1741" s="400"/>
      <c r="K1741" s="400">
        <v>1</v>
      </c>
      <c r="L1741" s="401" t="s">
        <v>6392</v>
      </c>
      <c r="M1741" s="402" t="s">
        <v>3093</v>
      </c>
      <c r="N1741" s="400"/>
      <c r="O1741" s="428" t="s">
        <v>3199</v>
      </c>
      <c r="P1741" s="428"/>
      <c r="Q1741" s="399"/>
      <c r="R1741" s="428"/>
      <c r="S1741" s="399"/>
      <c r="T1741" s="399"/>
      <c r="U1741" s="399"/>
      <c r="V1741" s="399"/>
      <c r="W1741" s="399" t="s">
        <v>526</v>
      </c>
      <c r="X1741" s="400"/>
      <c r="Y1741" s="399"/>
      <c r="Z1741" s="399"/>
      <c r="AA1741" s="399"/>
      <c r="AB1741" s="399"/>
      <c r="AC1741" s="532"/>
      <c r="AD1741" s="400"/>
      <c r="AE1741" s="399"/>
      <c r="AF1741" s="399"/>
      <c r="AG1741" s="399"/>
      <c r="AH1741" s="532"/>
      <c r="AI1741" s="399"/>
      <c r="AJ1741" s="400"/>
      <c r="AK1741" s="399"/>
      <c r="AL1741" s="399"/>
      <c r="AM1741" s="399"/>
      <c r="AN1741" s="399"/>
      <c r="AO1741" s="500"/>
      <c r="AP1741" s="399"/>
      <c r="AQ1741" s="399"/>
      <c r="AR1741" s="399"/>
      <c r="AS1741" s="399"/>
      <c r="AT1741" s="399"/>
      <c r="AU1741" s="399"/>
      <c r="AV1741" s="399"/>
      <c r="AW1741" s="411"/>
      <c r="AX1741" s="411"/>
      <c r="AY1741" s="411"/>
      <c r="AZ1741" s="411"/>
      <c r="BA1741" s="411"/>
      <c r="BB1741" s="399"/>
      <c r="BC1741" s="399" t="e">
        <f t="shared" ref="BC1741:BC1749" ca="1" si="35">IF(B1741=C1741,"",CONCATENATE(CHAR(34), C1741,CHAR(34), "-&gt;", CHAR(34), B1741,CHAR(34)))</f>
        <v>#NAME?</v>
      </c>
      <c r="BD1741" s="399"/>
      <c r="BE1741" s="399"/>
      <c r="BF1741" s="399"/>
      <c r="BG1741" s="540"/>
      <c r="BH1741" s="407"/>
      <c r="BI1741" s="407"/>
      <c r="BJ1741" s="412"/>
      <c r="BK1741" s="46">
        <f t="shared" ref="BK1741:BK1749" si="36">1</f>
        <v>1</v>
      </c>
      <c r="BL1741" s="46">
        <f t="shared" si="3"/>
        <v>0</v>
      </c>
      <c r="BM1741" s="46">
        <f t="shared" si="4"/>
        <v>1</v>
      </c>
      <c r="BN1741" s="46">
        <f t="shared" si="26"/>
        <v>0</v>
      </c>
    </row>
    <row r="1742" spans="1:66" ht="12.75" customHeight="1">
      <c r="A1742" s="399">
        <v>1752</v>
      </c>
      <c r="B1742" s="399" t="s">
        <v>744</v>
      </c>
      <c r="C1742" s="399" t="e">
        <f t="shared" ca="1" si="21"/>
        <v>#NAME?</v>
      </c>
      <c r="D1742" s="400" t="str">
        <f t="shared" si="34"/>
        <v>Formal employment</v>
      </c>
      <c r="E1742" s="399" t="str">
        <f t="shared" si="33"/>
        <v>Input Option</v>
      </c>
      <c r="F1742" s="400" t="str">
        <f t="shared" si="32"/>
        <v>Occupation</v>
      </c>
      <c r="G1742" s="400"/>
      <c r="H1742" s="400"/>
      <c r="I1742" s="400"/>
      <c r="J1742" s="400"/>
      <c r="K1742" s="400">
        <v>1</v>
      </c>
      <c r="L1742" s="401" t="s">
        <v>6392</v>
      </c>
      <c r="M1742" s="402" t="s">
        <v>3093</v>
      </c>
      <c r="N1742" s="400"/>
      <c r="O1742" s="428" t="s">
        <v>3199</v>
      </c>
      <c r="P1742" s="428"/>
      <c r="Q1742" s="399"/>
      <c r="R1742" s="428"/>
      <c r="S1742" s="399"/>
      <c r="T1742" s="399"/>
      <c r="U1742" s="399"/>
      <c r="V1742" s="399"/>
      <c r="W1742" s="399" t="s">
        <v>530</v>
      </c>
      <c r="X1742" s="400"/>
      <c r="Y1742" s="399"/>
      <c r="Z1742" s="399"/>
      <c r="AA1742" s="399"/>
      <c r="AB1742" s="399"/>
      <c r="AC1742" s="532"/>
      <c r="AD1742" s="400"/>
      <c r="AE1742" s="399"/>
      <c r="AF1742" s="399"/>
      <c r="AG1742" s="399"/>
      <c r="AH1742" s="532"/>
      <c r="AI1742" s="399"/>
      <c r="AJ1742" s="400"/>
      <c r="AK1742" s="399"/>
      <c r="AL1742" s="399"/>
      <c r="AM1742" s="399"/>
      <c r="AN1742" s="399"/>
      <c r="AO1742" s="500"/>
      <c r="AP1742" s="399"/>
      <c r="AQ1742" s="399"/>
      <c r="AR1742" s="399"/>
      <c r="AS1742" s="399"/>
      <c r="AT1742" s="399"/>
      <c r="AU1742" s="399"/>
      <c r="AV1742" s="399"/>
      <c r="AW1742" s="411"/>
      <c r="AX1742" s="411"/>
      <c r="AY1742" s="411"/>
      <c r="AZ1742" s="411"/>
      <c r="BA1742" s="411"/>
      <c r="BB1742" s="399"/>
      <c r="BC1742" s="399" t="e">
        <f t="shared" ca="1" si="35"/>
        <v>#NAME?</v>
      </c>
      <c r="BD1742" s="399"/>
      <c r="BE1742" s="399"/>
      <c r="BF1742" s="399"/>
      <c r="BG1742" s="540"/>
      <c r="BH1742" s="407"/>
      <c r="BI1742" s="407"/>
      <c r="BJ1742" s="412"/>
      <c r="BK1742" s="46">
        <f t="shared" si="36"/>
        <v>1</v>
      </c>
      <c r="BL1742" s="46">
        <f t="shared" si="3"/>
        <v>0</v>
      </c>
      <c r="BM1742" s="46">
        <f t="shared" si="4"/>
        <v>1</v>
      </c>
      <c r="BN1742" s="46">
        <f t="shared" si="26"/>
        <v>0</v>
      </c>
    </row>
    <row r="1743" spans="1:66" ht="12.75" customHeight="1">
      <c r="A1743" s="399">
        <v>1753</v>
      </c>
      <c r="B1743" s="399" t="s">
        <v>756</v>
      </c>
      <c r="C1743" s="399" t="e">
        <f t="shared" ca="1" si="21"/>
        <v>#NAME?</v>
      </c>
      <c r="D1743" s="400" t="str">
        <f t="shared" si="34"/>
        <v>Informal employment (sex worker)</v>
      </c>
      <c r="E1743" s="399" t="str">
        <f t="shared" si="33"/>
        <v>Input Option</v>
      </c>
      <c r="F1743" s="400" t="str">
        <f t="shared" si="32"/>
        <v>Occupation</v>
      </c>
      <c r="G1743" s="400"/>
      <c r="H1743" s="400"/>
      <c r="I1743" s="400"/>
      <c r="J1743" s="400"/>
      <c r="K1743" s="400">
        <v>1</v>
      </c>
      <c r="L1743" s="401" t="s">
        <v>6392</v>
      </c>
      <c r="M1743" s="402" t="s">
        <v>3093</v>
      </c>
      <c r="N1743" s="400"/>
      <c r="O1743" s="428" t="s">
        <v>3199</v>
      </c>
      <c r="P1743" s="428"/>
      <c r="Q1743" s="399"/>
      <c r="R1743" s="428"/>
      <c r="S1743" s="399"/>
      <c r="T1743" s="399"/>
      <c r="U1743" s="399"/>
      <c r="V1743" s="399"/>
      <c r="W1743" s="399" t="s">
        <v>534</v>
      </c>
      <c r="X1743" s="400"/>
      <c r="Y1743" s="399"/>
      <c r="Z1743" s="399"/>
      <c r="AA1743" s="399"/>
      <c r="AB1743" s="399"/>
      <c r="AC1743" s="532"/>
      <c r="AD1743" s="400"/>
      <c r="AE1743" s="399"/>
      <c r="AF1743" s="399"/>
      <c r="AG1743" s="399"/>
      <c r="AH1743" s="532"/>
      <c r="AI1743" s="399"/>
      <c r="AJ1743" s="400"/>
      <c r="AK1743" s="399"/>
      <c r="AL1743" s="399"/>
      <c r="AM1743" s="399"/>
      <c r="AN1743" s="399"/>
      <c r="AO1743" s="500"/>
      <c r="AP1743" s="399"/>
      <c r="AQ1743" s="399"/>
      <c r="AR1743" s="399"/>
      <c r="AS1743" s="399"/>
      <c r="AT1743" s="399"/>
      <c r="AU1743" s="399"/>
      <c r="AV1743" s="399"/>
      <c r="AW1743" s="411"/>
      <c r="AX1743" s="411"/>
      <c r="AY1743" s="411"/>
      <c r="AZ1743" s="411"/>
      <c r="BA1743" s="411"/>
      <c r="BB1743" s="399"/>
      <c r="BC1743" s="399" t="e">
        <f t="shared" ca="1" si="35"/>
        <v>#NAME?</v>
      </c>
      <c r="BD1743" s="399"/>
      <c r="BE1743" s="399"/>
      <c r="BF1743" s="399"/>
      <c r="BG1743" s="540"/>
      <c r="BH1743" s="407"/>
      <c r="BI1743" s="407"/>
      <c r="BJ1743" s="412"/>
      <c r="BK1743" s="46">
        <f t="shared" si="36"/>
        <v>1</v>
      </c>
      <c r="BL1743" s="46">
        <f t="shared" si="3"/>
        <v>0</v>
      </c>
      <c r="BM1743" s="46">
        <f t="shared" si="4"/>
        <v>1</v>
      </c>
      <c r="BN1743" s="46">
        <f t="shared" si="26"/>
        <v>0</v>
      </c>
    </row>
    <row r="1744" spans="1:66" ht="12.75" customHeight="1">
      <c r="A1744" s="399">
        <v>1754</v>
      </c>
      <c r="B1744" s="399" t="s">
        <v>535</v>
      </c>
      <c r="C1744" s="399" t="e">
        <f t="shared" ca="1" si="21"/>
        <v>#NAME?</v>
      </c>
      <c r="D1744" s="400" t="str">
        <f t="shared" si="34"/>
        <v>Other (specify)</v>
      </c>
      <c r="E1744" s="399" t="str">
        <f t="shared" si="33"/>
        <v>Input Option</v>
      </c>
      <c r="F1744" s="400" t="str">
        <f t="shared" si="32"/>
        <v>Occupation</v>
      </c>
      <c r="G1744" s="400"/>
      <c r="H1744" s="400"/>
      <c r="I1744" s="400"/>
      <c r="J1744" s="400"/>
      <c r="K1744" s="400">
        <v>1</v>
      </c>
      <c r="L1744" s="401" t="s">
        <v>6392</v>
      </c>
      <c r="M1744" s="402" t="s">
        <v>3093</v>
      </c>
      <c r="N1744" s="400"/>
      <c r="O1744" s="428" t="s">
        <v>3199</v>
      </c>
      <c r="P1744" s="428"/>
      <c r="Q1744" s="399"/>
      <c r="R1744" s="428"/>
      <c r="S1744" s="399"/>
      <c r="T1744" s="399"/>
      <c r="U1744" s="399"/>
      <c r="V1744" s="399"/>
      <c r="W1744" s="399" t="s">
        <v>405</v>
      </c>
      <c r="X1744" s="400"/>
      <c r="Y1744" s="399"/>
      <c r="Z1744" s="399"/>
      <c r="AA1744" s="399"/>
      <c r="AB1744" s="399"/>
      <c r="AC1744" s="532"/>
      <c r="AD1744" s="400"/>
      <c r="AE1744" s="399"/>
      <c r="AF1744" s="399"/>
      <c r="AG1744" s="399"/>
      <c r="AH1744" s="532"/>
      <c r="AI1744" s="399"/>
      <c r="AJ1744" s="400"/>
      <c r="AK1744" s="399"/>
      <c r="AL1744" s="399"/>
      <c r="AM1744" s="399"/>
      <c r="AN1744" s="399"/>
      <c r="AO1744" s="500"/>
      <c r="AP1744" s="399"/>
      <c r="AQ1744" s="399"/>
      <c r="AR1744" s="399"/>
      <c r="AS1744" s="399"/>
      <c r="AT1744" s="399"/>
      <c r="AU1744" s="399"/>
      <c r="AV1744" s="399"/>
      <c r="AW1744" s="411"/>
      <c r="AX1744" s="411"/>
      <c r="AY1744" s="411"/>
      <c r="AZ1744" s="411"/>
      <c r="BA1744" s="411"/>
      <c r="BB1744" s="399"/>
      <c r="BC1744" s="399" t="e">
        <f t="shared" ca="1" si="35"/>
        <v>#NAME?</v>
      </c>
      <c r="BD1744" s="399"/>
      <c r="BE1744" s="399"/>
      <c r="BF1744" s="399"/>
      <c r="BG1744" s="540"/>
      <c r="BH1744" s="407"/>
      <c r="BI1744" s="407"/>
      <c r="BJ1744" s="412"/>
      <c r="BK1744" s="46">
        <f t="shared" si="36"/>
        <v>1</v>
      </c>
      <c r="BL1744" s="46">
        <f t="shared" si="3"/>
        <v>0</v>
      </c>
      <c r="BM1744" s="46">
        <f t="shared" si="4"/>
        <v>1</v>
      </c>
      <c r="BN1744" s="46">
        <f t="shared" si="26"/>
        <v>0</v>
      </c>
    </row>
    <row r="1745" spans="1:66" ht="12.75" customHeight="1">
      <c r="A1745" s="399">
        <v>1755</v>
      </c>
      <c r="B1745" s="399" t="s">
        <v>6581</v>
      </c>
      <c r="C1745" s="399" t="str">
        <f t="shared" si="21"/>
        <v>Insurance coverage</v>
      </c>
      <c r="D1745" s="400" t="str">
        <f t="shared" si="34"/>
        <v>Insurance coverage</v>
      </c>
      <c r="E1745" s="399" t="str">
        <f t="shared" si="33"/>
        <v>Data Element</v>
      </c>
      <c r="F1745" s="400" t="str">
        <f t="shared" si="32"/>
        <v/>
      </c>
      <c r="G1745" s="400"/>
      <c r="H1745" s="400"/>
      <c r="I1745" s="400"/>
      <c r="J1745" s="400"/>
      <c r="K1745" s="400">
        <v>1</v>
      </c>
      <c r="L1745" s="401" t="s">
        <v>6392</v>
      </c>
      <c r="M1745" s="402" t="s">
        <v>3093</v>
      </c>
      <c r="N1745" s="400"/>
      <c r="O1745" s="428" t="s">
        <v>6582</v>
      </c>
      <c r="P1745" s="428"/>
      <c r="Q1745" s="399"/>
      <c r="R1745" s="428" t="s">
        <v>6581</v>
      </c>
      <c r="S1745" s="399"/>
      <c r="T1745" s="399" t="s">
        <v>6584</v>
      </c>
      <c r="U1745" s="399" t="s">
        <v>3169</v>
      </c>
      <c r="V1745" s="399"/>
      <c r="W1745" s="399" t="s">
        <v>6585</v>
      </c>
      <c r="X1745" s="400"/>
      <c r="Y1745" s="399"/>
      <c r="Z1745" s="399"/>
      <c r="AA1745" s="399"/>
      <c r="AB1745" s="399" t="s">
        <v>6586</v>
      </c>
      <c r="AC1745" s="532"/>
      <c r="AD1745" s="400"/>
      <c r="AE1745" s="399"/>
      <c r="AF1745" s="399"/>
      <c r="AG1745" s="399"/>
      <c r="AH1745" s="532"/>
      <c r="AI1745" s="399"/>
      <c r="AJ1745" s="400"/>
      <c r="AK1745" s="399"/>
      <c r="AL1745" s="399"/>
      <c r="AM1745" s="399"/>
      <c r="AN1745" s="399"/>
      <c r="AO1745" s="500" t="s">
        <v>3314</v>
      </c>
      <c r="AP1745" s="399"/>
      <c r="AQ1745" s="399"/>
      <c r="AR1745" s="399"/>
      <c r="AS1745" s="399"/>
      <c r="AT1745" s="399"/>
      <c r="AU1745" s="399"/>
      <c r="AV1745" s="399"/>
      <c r="AW1745" s="411"/>
      <c r="AX1745" s="411"/>
      <c r="AY1745" s="411"/>
      <c r="AZ1745" s="411"/>
      <c r="BA1745" s="411"/>
      <c r="BB1745" s="399"/>
      <c r="BC1745" s="399" t="str">
        <f t="shared" si="35"/>
        <v/>
      </c>
      <c r="BD1745" s="399"/>
      <c r="BE1745" s="399"/>
      <c r="BF1745" s="399"/>
      <c r="BG1745" s="540"/>
      <c r="BH1745" s="407"/>
      <c r="BI1745" s="407"/>
      <c r="BJ1745" s="412"/>
      <c r="BK1745" s="46">
        <f t="shared" si="36"/>
        <v>1</v>
      </c>
      <c r="BL1745" s="46">
        <f t="shared" si="3"/>
        <v>0</v>
      </c>
      <c r="BM1745" s="46">
        <f t="shared" si="4"/>
        <v>1</v>
      </c>
      <c r="BN1745" s="46">
        <f t="shared" si="26"/>
        <v>1</v>
      </c>
    </row>
    <row r="1746" spans="1:66" ht="12.75" customHeight="1">
      <c r="A1746" s="399">
        <v>1756</v>
      </c>
      <c r="B1746" s="399" t="s">
        <v>6588</v>
      </c>
      <c r="C1746" s="399" t="str">
        <f t="shared" si="21"/>
        <v>Insurance status</v>
      </c>
      <c r="D1746" s="400" t="str">
        <f t="shared" si="34"/>
        <v>Insurance status</v>
      </c>
      <c r="E1746" s="399" t="str">
        <f t="shared" si="33"/>
        <v>Data Element</v>
      </c>
      <c r="F1746" s="400" t="str">
        <f t="shared" si="32"/>
        <v/>
      </c>
      <c r="G1746" s="400"/>
      <c r="H1746" s="400"/>
      <c r="I1746" s="400"/>
      <c r="J1746" s="400"/>
      <c r="K1746" s="400">
        <v>1</v>
      </c>
      <c r="L1746" s="401" t="s">
        <v>6392</v>
      </c>
      <c r="M1746" s="402" t="s">
        <v>3093</v>
      </c>
      <c r="N1746" s="402"/>
      <c r="O1746" s="428" t="s">
        <v>6582</v>
      </c>
      <c r="P1746" s="428"/>
      <c r="Q1746" s="399"/>
      <c r="R1746" s="428" t="s">
        <v>6588</v>
      </c>
      <c r="S1746" s="399" t="s">
        <v>6591</v>
      </c>
      <c r="T1746" s="399"/>
      <c r="U1746" s="399" t="s">
        <v>6464</v>
      </c>
      <c r="V1746" s="399"/>
      <c r="W1746" s="399"/>
      <c r="X1746" s="400"/>
      <c r="Y1746" s="399"/>
      <c r="Z1746" s="399"/>
      <c r="AA1746" s="399"/>
      <c r="AB1746" s="399" t="s">
        <v>1889</v>
      </c>
      <c r="AC1746" s="532"/>
      <c r="AD1746" s="400"/>
      <c r="AE1746" s="399"/>
      <c r="AF1746" s="399"/>
      <c r="AG1746" s="399"/>
      <c r="AH1746" s="532"/>
      <c r="AI1746" s="399"/>
      <c r="AJ1746" s="400"/>
      <c r="AK1746" s="399"/>
      <c r="AL1746" s="409" t="s">
        <v>6593</v>
      </c>
      <c r="AM1746" s="399"/>
      <c r="AN1746" s="399"/>
      <c r="AO1746" s="409" t="s">
        <v>3100</v>
      </c>
      <c r="AP1746" s="409" t="s">
        <v>3101</v>
      </c>
      <c r="AQ1746" s="630" t="s">
        <v>6594</v>
      </c>
      <c r="AR1746" s="399"/>
      <c r="AS1746" s="661"/>
      <c r="AT1746" s="399"/>
      <c r="AU1746" s="399"/>
      <c r="AV1746" s="399"/>
      <c r="AW1746" s="411"/>
      <c r="AX1746" s="411"/>
      <c r="AY1746" s="434" t="s">
        <v>3106</v>
      </c>
      <c r="AZ1746" s="411"/>
      <c r="BA1746" s="411"/>
      <c r="BB1746" s="399"/>
      <c r="BC1746" s="399" t="str">
        <f t="shared" si="35"/>
        <v/>
      </c>
      <c r="BD1746" s="399"/>
      <c r="BE1746" s="399"/>
      <c r="BF1746" s="399"/>
      <c r="BG1746" s="540"/>
      <c r="BH1746" s="407"/>
      <c r="BI1746" s="407"/>
      <c r="BJ1746" s="412"/>
      <c r="BK1746" s="46">
        <f t="shared" si="36"/>
        <v>1</v>
      </c>
      <c r="BL1746" s="46">
        <f t="shared" si="3"/>
        <v>1</v>
      </c>
      <c r="BM1746" s="46">
        <f t="shared" si="4"/>
        <v>0</v>
      </c>
      <c r="BN1746" s="46">
        <f t="shared" si="26"/>
        <v>0</v>
      </c>
    </row>
    <row r="1747" spans="1:66" ht="12.75" customHeight="1">
      <c r="A1747" s="399">
        <v>1757</v>
      </c>
      <c r="B1747" s="399" t="s">
        <v>6596</v>
      </c>
      <c r="C1747" s="399" t="str">
        <f t="shared" si="21"/>
        <v xml:space="preserve">Insurance type </v>
      </c>
      <c r="D1747" s="400" t="str">
        <f t="shared" si="34"/>
        <v xml:space="preserve">Insurance type </v>
      </c>
      <c r="E1747" s="399" t="str">
        <f t="shared" si="33"/>
        <v>Data Element</v>
      </c>
      <c r="F1747" s="400" t="str">
        <f t="shared" si="32"/>
        <v/>
      </c>
      <c r="G1747" s="400"/>
      <c r="H1747" s="400"/>
      <c r="I1747" s="400"/>
      <c r="J1747" s="400"/>
      <c r="K1747" s="400">
        <v>1</v>
      </c>
      <c r="L1747" s="401" t="s">
        <v>6392</v>
      </c>
      <c r="M1747" s="402" t="s">
        <v>3093</v>
      </c>
      <c r="N1747" s="402"/>
      <c r="O1747" s="428" t="s">
        <v>6582</v>
      </c>
      <c r="P1747" s="428"/>
      <c r="Q1747" s="399"/>
      <c r="R1747" s="428" t="s">
        <v>6596</v>
      </c>
      <c r="S1747" s="399" t="s">
        <v>6598</v>
      </c>
      <c r="T1747" s="399"/>
      <c r="U1747" s="399" t="s">
        <v>6464</v>
      </c>
      <c r="V1747" s="399"/>
      <c r="W1747" s="399"/>
      <c r="X1747" s="400"/>
      <c r="Y1747" s="399"/>
      <c r="Z1747" s="399"/>
      <c r="AA1747" s="399"/>
      <c r="AB1747" s="399" t="s">
        <v>1889</v>
      </c>
      <c r="AC1747" s="532"/>
      <c r="AD1747" s="400"/>
      <c r="AE1747" s="399"/>
      <c r="AF1747" s="399"/>
      <c r="AG1747" s="399"/>
      <c r="AH1747" s="532"/>
      <c r="AI1747" s="399"/>
      <c r="AJ1747" s="400"/>
      <c r="AK1747" s="399"/>
      <c r="AL1747" s="409" t="s">
        <v>6600</v>
      </c>
      <c r="AM1747" s="399"/>
      <c r="AN1747" s="399"/>
      <c r="AO1747" s="409" t="s">
        <v>3100</v>
      </c>
      <c r="AP1747" s="409" t="s">
        <v>3101</v>
      </c>
      <c r="AQ1747" s="630" t="s">
        <v>6602</v>
      </c>
      <c r="AR1747" s="399"/>
      <c r="AS1747" s="662"/>
      <c r="AT1747" s="399"/>
      <c r="AU1747" s="399"/>
      <c r="AV1747" s="399"/>
      <c r="AW1747" s="411"/>
      <c r="AX1747" s="411"/>
      <c r="AY1747" s="434" t="s">
        <v>3106</v>
      </c>
      <c r="AZ1747" s="411"/>
      <c r="BA1747" s="411"/>
      <c r="BB1747" s="399"/>
      <c r="BC1747" s="399" t="str">
        <f t="shared" si="35"/>
        <v/>
      </c>
      <c r="BD1747" s="399"/>
      <c r="BE1747" s="399"/>
      <c r="BF1747" s="399"/>
      <c r="BG1747" s="540"/>
      <c r="BH1747" s="407"/>
      <c r="BI1747" s="407"/>
      <c r="BJ1747" s="412"/>
      <c r="BK1747" s="46">
        <f t="shared" si="36"/>
        <v>1</v>
      </c>
      <c r="BL1747" s="46">
        <f t="shared" si="3"/>
        <v>1</v>
      </c>
      <c r="BM1747" s="46">
        <f t="shared" si="4"/>
        <v>0</v>
      </c>
      <c r="BN1747" s="46">
        <f t="shared" si="26"/>
        <v>0</v>
      </c>
    </row>
    <row r="1748" spans="1:66" ht="12.75" customHeight="1">
      <c r="A1748" s="399">
        <v>1758</v>
      </c>
      <c r="B1748" s="399" t="s">
        <v>6604</v>
      </c>
      <c r="C1748" s="399" t="str">
        <f t="shared" si="21"/>
        <v>Insurance ID</v>
      </c>
      <c r="D1748" s="400" t="str">
        <f t="shared" si="34"/>
        <v>Insurance ID</v>
      </c>
      <c r="E1748" s="399" t="str">
        <f t="shared" si="33"/>
        <v>Data Element</v>
      </c>
      <c r="F1748" s="400" t="str">
        <f t="shared" si="32"/>
        <v/>
      </c>
      <c r="G1748" s="400"/>
      <c r="H1748" s="400"/>
      <c r="I1748" s="400"/>
      <c r="J1748" s="400"/>
      <c r="K1748" s="400">
        <v>1</v>
      </c>
      <c r="L1748" s="401" t="s">
        <v>6392</v>
      </c>
      <c r="M1748" s="402" t="s">
        <v>3093</v>
      </c>
      <c r="N1748" s="400"/>
      <c r="O1748" s="428" t="s">
        <v>6582</v>
      </c>
      <c r="P1748" s="428"/>
      <c r="Q1748" s="399"/>
      <c r="R1748" s="428" t="s">
        <v>6604</v>
      </c>
      <c r="S1748" s="399" t="s">
        <v>6605</v>
      </c>
      <c r="T1748" s="399"/>
      <c r="U1748" s="399" t="s">
        <v>168</v>
      </c>
      <c r="V1748" s="399"/>
      <c r="W1748" s="399"/>
      <c r="X1748" s="400"/>
      <c r="Y1748" s="399"/>
      <c r="Z1748" s="399"/>
      <c r="AA1748" s="399"/>
      <c r="AB1748" s="399" t="s">
        <v>1889</v>
      </c>
      <c r="AC1748" s="532"/>
      <c r="AD1748" s="400"/>
      <c r="AE1748" s="399"/>
      <c r="AF1748" s="399"/>
      <c r="AG1748" s="399" t="s">
        <v>6607</v>
      </c>
      <c r="AH1748" s="532"/>
      <c r="AI1748" s="399"/>
      <c r="AJ1748" s="400"/>
      <c r="AK1748" s="399"/>
      <c r="AL1748" s="399" t="s">
        <v>6605</v>
      </c>
      <c r="AM1748" s="399"/>
      <c r="AN1748" s="399"/>
      <c r="AO1748" s="409" t="s">
        <v>3100</v>
      </c>
      <c r="AP1748" s="409" t="s">
        <v>3101</v>
      </c>
      <c r="AQ1748" s="399"/>
      <c r="AR1748" s="399"/>
      <c r="AS1748" s="399"/>
      <c r="AT1748" s="399"/>
      <c r="AU1748" s="399"/>
      <c r="AV1748" s="399"/>
      <c r="AW1748" s="411"/>
      <c r="AX1748" s="411"/>
      <c r="AY1748" s="434" t="s">
        <v>3106</v>
      </c>
      <c r="AZ1748" s="411"/>
      <c r="BA1748" s="411"/>
      <c r="BB1748" s="399"/>
      <c r="BC1748" s="399" t="str">
        <f t="shared" si="35"/>
        <v/>
      </c>
      <c r="BD1748" s="399"/>
      <c r="BE1748" s="399"/>
      <c r="BF1748" s="399"/>
      <c r="BG1748" s="540"/>
      <c r="BH1748" s="407"/>
      <c r="BI1748" s="407"/>
      <c r="BJ1748" s="412"/>
      <c r="BK1748" s="46">
        <f t="shared" si="36"/>
        <v>1</v>
      </c>
      <c r="BL1748" s="46">
        <f t="shared" si="3"/>
        <v>1</v>
      </c>
      <c r="BM1748" s="46">
        <f t="shared" si="4"/>
        <v>0</v>
      </c>
      <c r="BN1748" s="46">
        <f t="shared" si="26"/>
        <v>0</v>
      </c>
    </row>
    <row r="1749" spans="1:66" ht="12.75" customHeight="1">
      <c r="A1749" s="399">
        <v>1759</v>
      </c>
      <c r="B1749" s="399" t="s">
        <v>6611</v>
      </c>
      <c r="C1749" s="399" t="str">
        <f t="shared" si="21"/>
        <v>Payment method</v>
      </c>
      <c r="D1749" s="400" t="str">
        <f t="shared" si="34"/>
        <v>Payment method</v>
      </c>
      <c r="E1749" s="399" t="str">
        <f t="shared" si="33"/>
        <v>Data Element</v>
      </c>
      <c r="F1749" s="400" t="str">
        <f t="shared" si="32"/>
        <v/>
      </c>
      <c r="G1749" s="400"/>
      <c r="H1749" s="400"/>
      <c r="I1749" s="400"/>
      <c r="J1749" s="400"/>
      <c r="K1749" s="400">
        <v>1</v>
      </c>
      <c r="L1749" s="401" t="s">
        <v>6392</v>
      </c>
      <c r="M1749" s="402" t="s">
        <v>3093</v>
      </c>
      <c r="N1749" s="401"/>
      <c r="O1749" s="428" t="s">
        <v>6582</v>
      </c>
      <c r="P1749" s="428"/>
      <c r="Q1749" s="399"/>
      <c r="R1749" s="428" t="s">
        <v>6611</v>
      </c>
      <c r="S1749" s="399"/>
      <c r="T1749" s="399"/>
      <c r="U1749" s="399" t="s">
        <v>6269</v>
      </c>
      <c r="V1749" s="399"/>
      <c r="W1749" s="399"/>
      <c r="X1749" s="400"/>
      <c r="Y1749" s="399"/>
      <c r="Z1749" s="399"/>
      <c r="AA1749" s="399"/>
      <c r="AB1749" s="399" t="s">
        <v>6586</v>
      </c>
      <c r="AC1749" s="532"/>
      <c r="AD1749" s="400"/>
      <c r="AE1749" s="399"/>
      <c r="AF1749" s="399"/>
      <c r="AG1749" s="399" t="s">
        <v>6612</v>
      </c>
      <c r="AH1749" s="532"/>
      <c r="AI1749" s="399"/>
      <c r="AJ1749" s="400"/>
      <c r="AK1749" s="399"/>
      <c r="AL1749" s="399"/>
      <c r="AM1749" s="399"/>
      <c r="AN1749" s="399"/>
      <c r="AO1749" s="500" t="s">
        <v>3314</v>
      </c>
      <c r="AP1749" s="399"/>
      <c r="AQ1749" s="399"/>
      <c r="AR1749" s="399"/>
      <c r="AS1749" s="399"/>
      <c r="AT1749" s="399"/>
      <c r="AU1749" s="399"/>
      <c r="AV1749" s="399"/>
      <c r="AW1749" s="411"/>
      <c r="AX1749" s="411"/>
      <c r="AY1749" s="411"/>
      <c r="AZ1749" s="411"/>
      <c r="BA1749" s="411"/>
      <c r="BB1749" s="399"/>
      <c r="BC1749" s="399" t="str">
        <f t="shared" si="35"/>
        <v/>
      </c>
      <c r="BD1749" s="399"/>
      <c r="BE1749" s="399"/>
      <c r="BF1749" s="399"/>
      <c r="BG1749" s="540"/>
      <c r="BH1749" s="407"/>
      <c r="BI1749" s="407"/>
      <c r="BJ1749" s="412"/>
      <c r="BK1749" s="46">
        <f t="shared" si="36"/>
        <v>1</v>
      </c>
      <c r="BL1749" s="46">
        <f t="shared" si="3"/>
        <v>0</v>
      </c>
      <c r="BM1749" s="46">
        <f t="shared" si="4"/>
        <v>1</v>
      </c>
      <c r="BN1749" s="46">
        <f t="shared" si="26"/>
        <v>1</v>
      </c>
    </row>
    <row r="1750" spans="1:66" ht="12.75" customHeight="1">
      <c r="A1750" s="409">
        <v>1839</v>
      </c>
      <c r="B1750" s="399" t="s">
        <v>6617</v>
      </c>
      <c r="C1750" s="399" t="e">
        <f t="shared" ca="1" si="21"/>
        <v>#NAME?</v>
      </c>
      <c r="D1750" s="400" t="str">
        <f t="shared" si="34"/>
        <v>Self-pay</v>
      </c>
      <c r="E1750" s="399" t="str">
        <f t="shared" si="33"/>
        <v>Input Option</v>
      </c>
      <c r="F1750" s="400"/>
      <c r="G1750" s="400"/>
      <c r="H1750" s="400"/>
      <c r="I1750" s="400"/>
      <c r="J1750" s="400"/>
      <c r="K1750" s="400"/>
      <c r="L1750" s="401" t="s">
        <v>6392</v>
      </c>
      <c r="M1750" s="402" t="s">
        <v>3093</v>
      </c>
      <c r="N1750" s="401"/>
      <c r="O1750" s="428" t="s">
        <v>6582</v>
      </c>
      <c r="P1750" s="428"/>
      <c r="Q1750" s="399"/>
      <c r="R1750" s="428"/>
      <c r="S1750" s="399"/>
      <c r="T1750" s="399"/>
      <c r="U1750" s="399"/>
      <c r="V1750" s="399"/>
      <c r="W1750" s="399" t="s">
        <v>6619</v>
      </c>
      <c r="X1750" s="400"/>
      <c r="Y1750" s="399"/>
      <c r="Z1750" s="399"/>
      <c r="AA1750" s="399"/>
      <c r="AB1750" s="399"/>
      <c r="AC1750" s="532"/>
      <c r="AD1750" s="400"/>
      <c r="AE1750" s="399"/>
      <c r="AF1750" s="399"/>
      <c r="AG1750" s="399"/>
      <c r="AH1750" s="532"/>
      <c r="AI1750" s="399"/>
      <c r="AJ1750" s="400"/>
      <c r="AK1750" s="399"/>
      <c r="AL1750" s="399"/>
      <c r="AM1750" s="399"/>
      <c r="AN1750" s="399"/>
      <c r="AO1750" s="500"/>
      <c r="AP1750" s="399"/>
      <c r="AQ1750" s="399"/>
      <c r="AR1750" s="399"/>
      <c r="AS1750" s="399"/>
      <c r="AT1750" s="399"/>
      <c r="AU1750" s="399"/>
      <c r="AV1750" s="399"/>
      <c r="AW1750" s="411"/>
      <c r="AX1750" s="411"/>
      <c r="AY1750" s="411"/>
      <c r="AZ1750" s="411"/>
      <c r="BA1750" s="411"/>
      <c r="BB1750" s="399"/>
      <c r="BC1750" s="399"/>
      <c r="BD1750" s="399"/>
      <c r="BE1750" s="399"/>
      <c r="BF1750" s="399"/>
      <c r="BG1750" s="540"/>
      <c r="BH1750" s="407"/>
      <c r="BI1750" s="407"/>
      <c r="BJ1750" s="412"/>
      <c r="BK1750" s="46"/>
      <c r="BL1750" s="46">
        <f t="shared" si="3"/>
        <v>0</v>
      </c>
      <c r="BM1750" s="46">
        <f t="shared" si="4"/>
        <v>0</v>
      </c>
      <c r="BN1750" s="46">
        <f t="shared" si="26"/>
        <v>0</v>
      </c>
    </row>
    <row r="1751" spans="1:66" ht="12.75" customHeight="1">
      <c r="A1751" s="399">
        <v>1760</v>
      </c>
      <c r="B1751" s="399" t="s">
        <v>6623</v>
      </c>
      <c r="C1751" s="399" t="e">
        <f t="shared" ca="1" si="21"/>
        <v>#NAME?</v>
      </c>
      <c r="D1751" s="400" t="str">
        <f t="shared" si="34"/>
        <v>Government</v>
      </c>
      <c r="E1751" s="399" t="str">
        <f t="shared" si="33"/>
        <v>Input Option</v>
      </c>
      <c r="F1751" s="400" t="str">
        <f>IF(E1751="Input Option",IF(F1749="",D1749,F1749),"")</f>
        <v>Payment method</v>
      </c>
      <c r="G1751" s="400"/>
      <c r="H1751" s="400"/>
      <c r="I1751" s="400"/>
      <c r="J1751" s="400"/>
      <c r="K1751" s="400">
        <v>1</v>
      </c>
      <c r="L1751" s="401" t="s">
        <v>6392</v>
      </c>
      <c r="M1751" s="402" t="s">
        <v>3093</v>
      </c>
      <c r="N1751" s="400"/>
      <c r="O1751" s="428" t="s">
        <v>6582</v>
      </c>
      <c r="P1751" s="428"/>
      <c r="Q1751" s="399"/>
      <c r="R1751" s="428"/>
      <c r="S1751" s="399"/>
      <c r="T1751" s="399"/>
      <c r="U1751" s="399"/>
      <c r="V1751" s="399"/>
      <c r="W1751" s="399" t="s">
        <v>6626</v>
      </c>
      <c r="X1751" s="400"/>
      <c r="Y1751" s="399"/>
      <c r="Z1751" s="399"/>
      <c r="AA1751" s="399"/>
      <c r="AB1751" s="399"/>
      <c r="AC1751" s="532"/>
      <c r="AD1751" s="400"/>
      <c r="AE1751" s="399"/>
      <c r="AF1751" s="399"/>
      <c r="AG1751" s="399"/>
      <c r="AH1751" s="532"/>
      <c r="AI1751" s="399"/>
      <c r="AJ1751" s="400"/>
      <c r="AK1751" s="399"/>
      <c r="AL1751" s="399"/>
      <c r="AM1751" s="399"/>
      <c r="AN1751" s="399"/>
      <c r="AO1751" s="500"/>
      <c r="AP1751" s="399"/>
      <c r="AQ1751" s="399"/>
      <c r="AR1751" s="399"/>
      <c r="AS1751" s="399"/>
      <c r="AT1751" s="399"/>
      <c r="AU1751" s="399"/>
      <c r="AV1751" s="399"/>
      <c r="AW1751" s="411"/>
      <c r="AX1751" s="411"/>
      <c r="AY1751" s="411"/>
      <c r="AZ1751" s="411"/>
      <c r="BA1751" s="411"/>
      <c r="BB1751" s="399"/>
      <c r="BC1751" s="399" t="e">
        <f t="shared" ref="BC1751:BC1814" ca="1" si="37">IF(B1751=C1751,"",CONCATENATE(CHAR(34), C1751,CHAR(34), "-&gt;", CHAR(34), B1751,CHAR(34)))</f>
        <v>#NAME?</v>
      </c>
      <c r="BD1751" s="399"/>
      <c r="BE1751" s="399"/>
      <c r="BF1751" s="399"/>
      <c r="BG1751" s="540"/>
      <c r="BH1751" s="407"/>
      <c r="BI1751" s="407"/>
      <c r="BJ1751" s="412"/>
      <c r="BK1751" s="46">
        <f t="shared" ref="BK1751:BK1814" si="38">1</f>
        <v>1</v>
      </c>
      <c r="BL1751" s="46">
        <f t="shared" si="3"/>
        <v>0</v>
      </c>
      <c r="BM1751" s="46">
        <f t="shared" si="4"/>
        <v>1</v>
      </c>
      <c r="BN1751" s="46">
        <f t="shared" si="26"/>
        <v>0</v>
      </c>
    </row>
    <row r="1752" spans="1:66" ht="12.75" customHeight="1">
      <c r="A1752" s="399">
        <v>1761</v>
      </c>
      <c r="B1752" s="399" t="s">
        <v>6633</v>
      </c>
      <c r="C1752" s="399" t="e">
        <f t="shared" ca="1" si="21"/>
        <v>#NAME?</v>
      </c>
      <c r="D1752" s="400" t="str">
        <f t="shared" si="34"/>
        <v>Insurance</v>
      </c>
      <c r="E1752" s="399" t="str">
        <f t="shared" si="33"/>
        <v>Input Option</v>
      </c>
      <c r="F1752" s="400" t="str">
        <f t="shared" ref="F1752:F1814" si="39">IF(E1752="Input Option",IF(F1751="",D1751,F1751),"")</f>
        <v>Payment method</v>
      </c>
      <c r="G1752" s="400"/>
      <c r="H1752" s="400"/>
      <c r="I1752" s="400"/>
      <c r="J1752" s="400"/>
      <c r="K1752" s="400">
        <v>1</v>
      </c>
      <c r="L1752" s="401" t="s">
        <v>6392</v>
      </c>
      <c r="M1752" s="402" t="s">
        <v>3093</v>
      </c>
      <c r="N1752" s="400"/>
      <c r="O1752" s="428" t="s">
        <v>6582</v>
      </c>
      <c r="P1752" s="428"/>
      <c r="Q1752" s="399"/>
      <c r="R1752" s="428"/>
      <c r="S1752" s="399"/>
      <c r="T1752" s="399"/>
      <c r="U1752" s="399"/>
      <c r="V1752" s="399"/>
      <c r="W1752" s="399" t="s">
        <v>6635</v>
      </c>
      <c r="X1752" s="400"/>
      <c r="Y1752" s="399"/>
      <c r="Z1752" s="399"/>
      <c r="AA1752" s="399"/>
      <c r="AB1752" s="399"/>
      <c r="AC1752" s="532"/>
      <c r="AD1752" s="400"/>
      <c r="AE1752" s="399"/>
      <c r="AF1752" s="399"/>
      <c r="AG1752" s="399"/>
      <c r="AH1752" s="532"/>
      <c r="AI1752" s="399"/>
      <c r="AJ1752" s="400"/>
      <c r="AK1752" s="399"/>
      <c r="AL1752" s="399"/>
      <c r="AM1752" s="399"/>
      <c r="AN1752" s="399"/>
      <c r="AO1752" s="500"/>
      <c r="AP1752" s="399"/>
      <c r="AQ1752" s="399"/>
      <c r="AR1752" s="399"/>
      <c r="AS1752" s="399"/>
      <c r="AT1752" s="399"/>
      <c r="AU1752" s="399"/>
      <c r="AV1752" s="399"/>
      <c r="AW1752" s="411"/>
      <c r="AX1752" s="411"/>
      <c r="AY1752" s="411"/>
      <c r="AZ1752" s="411"/>
      <c r="BA1752" s="411"/>
      <c r="BB1752" s="399"/>
      <c r="BC1752" s="399" t="e">
        <f t="shared" ca="1" si="37"/>
        <v>#NAME?</v>
      </c>
      <c r="BD1752" s="399"/>
      <c r="BE1752" s="399"/>
      <c r="BF1752" s="399"/>
      <c r="BG1752" s="540"/>
      <c r="BH1752" s="407"/>
      <c r="BI1752" s="407"/>
      <c r="BJ1752" s="412"/>
      <c r="BK1752" s="46">
        <f t="shared" si="38"/>
        <v>1</v>
      </c>
      <c r="BL1752" s="46">
        <f t="shared" si="3"/>
        <v>0</v>
      </c>
      <c r="BM1752" s="46">
        <f t="shared" si="4"/>
        <v>1</v>
      </c>
      <c r="BN1752" s="46">
        <f t="shared" si="26"/>
        <v>0</v>
      </c>
    </row>
    <row r="1753" spans="1:66" ht="12.75" customHeight="1">
      <c r="A1753" s="399">
        <v>1767</v>
      </c>
      <c r="B1753" s="399" t="s">
        <v>6640</v>
      </c>
      <c r="C1753" s="399" t="str">
        <f t="shared" si="21"/>
        <v>Emergency referral</v>
      </c>
      <c r="D1753" s="400" t="str">
        <f t="shared" si="34"/>
        <v>Emergency referral</v>
      </c>
      <c r="E1753" s="399" t="str">
        <f t="shared" si="33"/>
        <v>Data Element</v>
      </c>
      <c r="F1753" s="400" t="str">
        <f t="shared" si="39"/>
        <v/>
      </c>
      <c r="G1753" s="400"/>
      <c r="H1753" s="400"/>
      <c r="I1753" s="400"/>
      <c r="J1753" s="400"/>
      <c r="K1753" s="400">
        <v>1</v>
      </c>
      <c r="L1753" s="401" t="s">
        <v>6641</v>
      </c>
      <c r="M1753" s="402" t="s">
        <v>3142</v>
      </c>
      <c r="N1753" s="400"/>
      <c r="O1753" s="428" t="s">
        <v>6642</v>
      </c>
      <c r="P1753" s="428"/>
      <c r="Q1753" s="399"/>
      <c r="R1753" s="428" t="s">
        <v>6640</v>
      </c>
      <c r="S1753" s="399"/>
      <c r="T1753" s="399" t="s">
        <v>6643</v>
      </c>
      <c r="U1753" s="399" t="s">
        <v>3169</v>
      </c>
      <c r="V1753" s="399"/>
      <c r="W1753" s="399" t="s">
        <v>3170</v>
      </c>
      <c r="X1753" s="400"/>
      <c r="Y1753" s="399"/>
      <c r="Z1753" s="399"/>
      <c r="AA1753" s="399"/>
      <c r="AB1753" s="399"/>
      <c r="AC1753" s="532"/>
      <c r="AD1753" s="400"/>
      <c r="AE1753" s="399"/>
      <c r="AF1753" s="399"/>
      <c r="AG1753" s="399"/>
      <c r="AH1753" s="532"/>
      <c r="AI1753" s="399"/>
      <c r="AJ1753" s="400"/>
      <c r="AK1753" s="399"/>
      <c r="AL1753" s="399"/>
      <c r="AM1753" s="399"/>
      <c r="AN1753" s="399"/>
      <c r="AO1753" s="399"/>
      <c r="AP1753" s="399"/>
      <c r="AQ1753" s="399"/>
      <c r="AR1753" s="399"/>
      <c r="AS1753" s="399"/>
      <c r="AT1753" s="399"/>
      <c r="AU1753" s="399"/>
      <c r="AV1753" s="399">
        <v>134403003</v>
      </c>
      <c r="AW1753" s="411"/>
      <c r="AX1753" s="411"/>
      <c r="AY1753" s="411"/>
      <c r="AZ1753" s="411"/>
      <c r="BA1753" s="411"/>
      <c r="BB1753" s="399"/>
      <c r="BC1753" s="399" t="str">
        <f t="shared" si="37"/>
        <v/>
      </c>
      <c r="BD1753" s="399"/>
      <c r="BE1753" s="399"/>
      <c r="BF1753" s="399"/>
      <c r="BG1753" s="540"/>
      <c r="BH1753" s="407"/>
      <c r="BI1753" s="407">
        <v>134403003</v>
      </c>
      <c r="BJ1753" s="412"/>
      <c r="BK1753" s="46">
        <f t="shared" si="38"/>
        <v>1</v>
      </c>
      <c r="BL1753" s="46">
        <f t="shared" si="3"/>
        <v>0</v>
      </c>
      <c r="BM1753" s="46">
        <f t="shared" si="4"/>
        <v>1</v>
      </c>
      <c r="BN1753" s="46">
        <f t="shared" si="26"/>
        <v>0</v>
      </c>
    </row>
    <row r="1754" spans="1:66" ht="12.75" customHeight="1">
      <c r="A1754" s="399">
        <v>1768</v>
      </c>
      <c r="B1754" s="399" t="s">
        <v>417</v>
      </c>
      <c r="C1754" s="399" t="str">
        <f t="shared" si="21"/>
        <v>Danger signs</v>
      </c>
      <c r="D1754" s="400" t="str">
        <f t="shared" si="34"/>
        <v>Danger signs</v>
      </c>
      <c r="E1754" s="399" t="str">
        <f t="shared" si="33"/>
        <v>Data Element</v>
      </c>
      <c r="F1754" s="400" t="str">
        <f t="shared" si="39"/>
        <v/>
      </c>
      <c r="G1754" s="400"/>
      <c r="H1754" s="400"/>
      <c r="I1754" s="400"/>
      <c r="J1754" s="400"/>
      <c r="K1754" s="400">
        <v>1</v>
      </c>
      <c r="L1754" s="401" t="s">
        <v>6641</v>
      </c>
      <c r="M1754" s="402" t="s">
        <v>3142</v>
      </c>
      <c r="N1754" s="400"/>
      <c r="O1754" s="428" t="s">
        <v>6642</v>
      </c>
      <c r="P1754" s="428" t="s">
        <v>6649</v>
      </c>
      <c r="Q1754" s="399" t="s">
        <v>6650</v>
      </c>
      <c r="R1754" s="428" t="s">
        <v>417</v>
      </c>
      <c r="S1754" s="399" t="s">
        <v>418</v>
      </c>
      <c r="T1754" s="399" t="s">
        <v>6651</v>
      </c>
      <c r="U1754" s="399" t="s">
        <v>238</v>
      </c>
      <c r="V1754" s="399"/>
      <c r="W1754" s="399"/>
      <c r="X1754" s="400"/>
      <c r="Y1754" s="399" t="s">
        <v>113</v>
      </c>
      <c r="Z1754" s="399" t="s">
        <v>6652</v>
      </c>
      <c r="AA1754" s="399"/>
      <c r="AB1754" s="399"/>
      <c r="AC1754" s="532"/>
      <c r="AD1754" s="400"/>
      <c r="AE1754" s="399"/>
      <c r="AF1754" s="399"/>
      <c r="AG1754" s="399"/>
      <c r="AH1754" s="532"/>
      <c r="AI1754" s="399"/>
      <c r="AJ1754" s="400"/>
      <c r="AK1754" s="399"/>
      <c r="AL1754" s="399"/>
      <c r="AM1754" s="399"/>
      <c r="AN1754" s="399"/>
      <c r="AO1754" s="399"/>
      <c r="AP1754" s="399"/>
      <c r="AQ1754" s="399"/>
      <c r="AR1754" s="399"/>
      <c r="AS1754" s="399"/>
      <c r="AT1754" s="399"/>
      <c r="AU1754" s="399"/>
      <c r="AV1754" s="399"/>
      <c r="AW1754" s="411"/>
      <c r="AX1754" s="411"/>
      <c r="AY1754" s="411"/>
      <c r="AZ1754" s="411"/>
      <c r="BA1754" s="411"/>
      <c r="BB1754" s="399"/>
      <c r="BC1754" s="399" t="str">
        <f t="shared" si="37"/>
        <v/>
      </c>
      <c r="BD1754" s="399">
        <v>160939</v>
      </c>
      <c r="BE1754" s="399" t="s">
        <v>115</v>
      </c>
      <c r="BF1754" s="399" t="s">
        <v>421</v>
      </c>
      <c r="BG1754" s="540" t="s">
        <v>422</v>
      </c>
      <c r="BH1754" s="407"/>
      <c r="BI1754" s="407"/>
      <c r="BJ1754" s="412"/>
      <c r="BK1754" s="46">
        <f t="shared" si="38"/>
        <v>1</v>
      </c>
      <c r="BL1754" s="46">
        <f t="shared" si="3"/>
        <v>0</v>
      </c>
      <c r="BM1754" s="46">
        <f t="shared" si="4"/>
        <v>1</v>
      </c>
      <c r="BN1754" s="46">
        <f t="shared" si="26"/>
        <v>0</v>
      </c>
    </row>
    <row r="1755" spans="1:66" ht="12.75" customHeight="1">
      <c r="A1755" s="399">
        <v>1769</v>
      </c>
      <c r="B1755" s="399" t="s">
        <v>6656</v>
      </c>
      <c r="C1755" s="399" t="str">
        <f t="shared" si="21"/>
        <v>Treatment given before referral</v>
      </c>
      <c r="D1755" s="400" t="str">
        <f t="shared" si="34"/>
        <v>Treatment given before referral</v>
      </c>
      <c r="E1755" s="399" t="str">
        <f t="shared" si="33"/>
        <v>Data Element</v>
      </c>
      <c r="F1755" s="400" t="str">
        <f t="shared" si="39"/>
        <v/>
      </c>
      <c r="G1755" s="400"/>
      <c r="H1755" s="400"/>
      <c r="I1755" s="400"/>
      <c r="J1755" s="400"/>
      <c r="K1755" s="400">
        <v>1</v>
      </c>
      <c r="L1755" s="401" t="s">
        <v>6641</v>
      </c>
      <c r="M1755" s="402" t="s">
        <v>3142</v>
      </c>
      <c r="N1755" s="400"/>
      <c r="O1755" s="428" t="s">
        <v>6642</v>
      </c>
      <c r="P1755" s="428" t="s">
        <v>6659</v>
      </c>
      <c r="Q1755" s="399" t="s">
        <v>6660</v>
      </c>
      <c r="R1755" s="428" t="s">
        <v>6656</v>
      </c>
      <c r="S1755" s="399"/>
      <c r="T1755" s="399" t="s">
        <v>6661</v>
      </c>
      <c r="U1755" s="399" t="s">
        <v>238</v>
      </c>
      <c r="V1755" s="399"/>
      <c r="W1755" s="399"/>
      <c r="X1755" s="400"/>
      <c r="Y1755" s="399"/>
      <c r="Z1755" s="399"/>
      <c r="AA1755" s="399"/>
      <c r="AB1755" s="399"/>
      <c r="AC1755" s="532"/>
      <c r="AD1755" s="400"/>
      <c r="AE1755" s="399"/>
      <c r="AF1755" s="399"/>
      <c r="AG1755" s="399"/>
      <c r="AH1755" s="532"/>
      <c r="AI1755" s="399"/>
      <c r="AJ1755" s="400"/>
      <c r="AK1755" s="399"/>
      <c r="AL1755" s="399"/>
      <c r="AM1755" s="399"/>
      <c r="AN1755" s="399"/>
      <c r="AO1755" s="399"/>
      <c r="AP1755" s="399"/>
      <c r="AQ1755" s="399"/>
      <c r="AR1755" s="399"/>
      <c r="AS1755" s="399"/>
      <c r="AT1755" s="399"/>
      <c r="AU1755" s="399"/>
      <c r="AV1755" s="399"/>
      <c r="AW1755" s="411"/>
      <c r="AX1755" s="411"/>
      <c r="AY1755" s="411"/>
      <c r="AZ1755" s="411"/>
      <c r="BA1755" s="411"/>
      <c r="BB1755" s="399"/>
      <c r="BC1755" s="399" t="str">
        <f t="shared" si="37"/>
        <v/>
      </c>
      <c r="BD1755" s="399"/>
      <c r="BE1755" s="399"/>
      <c r="BF1755" s="399"/>
      <c r="BG1755" s="540"/>
      <c r="BH1755" s="407"/>
      <c r="BI1755" s="407"/>
      <c r="BJ1755" s="412"/>
      <c r="BK1755" s="46">
        <f t="shared" si="38"/>
        <v>1</v>
      </c>
      <c r="BL1755" s="46">
        <f t="shared" si="3"/>
        <v>0</v>
      </c>
      <c r="BM1755" s="46">
        <f t="shared" si="4"/>
        <v>1</v>
      </c>
      <c r="BN1755" s="46">
        <f t="shared" si="26"/>
        <v>0</v>
      </c>
    </row>
    <row r="1756" spans="1:66" ht="12.75" customHeight="1">
      <c r="A1756" s="399">
        <v>1770</v>
      </c>
      <c r="B1756" s="399" t="s">
        <v>553</v>
      </c>
      <c r="C1756" s="399" t="e">
        <f t="shared" ca="1" si="21"/>
        <v>#NAME?</v>
      </c>
      <c r="D1756" s="400" t="str">
        <f t="shared" si="34"/>
        <v>None</v>
      </c>
      <c r="E1756" s="399" t="str">
        <f t="shared" si="33"/>
        <v>Input Option</v>
      </c>
      <c r="F1756" s="400" t="str">
        <f t="shared" si="39"/>
        <v>Treatment given before referral</v>
      </c>
      <c r="G1756" s="400"/>
      <c r="H1756" s="400"/>
      <c r="I1756" s="400"/>
      <c r="J1756" s="400"/>
      <c r="K1756" s="400">
        <v>1</v>
      </c>
      <c r="L1756" s="401" t="s">
        <v>6641</v>
      </c>
      <c r="M1756" s="402" t="s">
        <v>3142</v>
      </c>
      <c r="N1756" s="400"/>
      <c r="O1756" s="428" t="s">
        <v>6642</v>
      </c>
      <c r="P1756" s="428"/>
      <c r="Q1756" s="399"/>
      <c r="R1756" s="428"/>
      <c r="S1756" s="399"/>
      <c r="T1756" s="399"/>
      <c r="U1756" s="399"/>
      <c r="V1756" s="399"/>
      <c r="W1756" s="399" t="s">
        <v>423</v>
      </c>
      <c r="X1756" s="400"/>
      <c r="Y1756" s="399"/>
      <c r="Z1756" s="399"/>
      <c r="AA1756" s="399"/>
      <c r="AB1756" s="399"/>
      <c r="AC1756" s="532"/>
      <c r="AD1756" s="400"/>
      <c r="AE1756" s="399"/>
      <c r="AF1756" s="399"/>
      <c r="AG1756" s="399"/>
      <c r="AH1756" s="532"/>
      <c r="AI1756" s="399"/>
      <c r="AJ1756" s="400"/>
      <c r="AK1756" s="399"/>
      <c r="AL1756" s="399"/>
      <c r="AM1756" s="399"/>
      <c r="AN1756" s="399"/>
      <c r="AO1756" s="399"/>
      <c r="AP1756" s="399"/>
      <c r="AQ1756" s="399"/>
      <c r="AR1756" s="399"/>
      <c r="AS1756" s="399"/>
      <c r="AT1756" s="399"/>
      <c r="AU1756" s="399"/>
      <c r="AV1756" s="399" t="s">
        <v>6666</v>
      </c>
      <c r="AW1756" s="411"/>
      <c r="AX1756" s="411"/>
      <c r="AY1756" s="411"/>
      <c r="AZ1756" s="411"/>
      <c r="BA1756" s="411"/>
      <c r="BB1756" s="399"/>
      <c r="BC1756" s="399" t="e">
        <f t="shared" ca="1" si="37"/>
        <v>#NAME?</v>
      </c>
      <c r="BD1756" s="399">
        <v>1107</v>
      </c>
      <c r="BE1756" s="399"/>
      <c r="BF1756" s="399" t="s">
        <v>424</v>
      </c>
      <c r="BG1756" s="540" t="s">
        <v>425</v>
      </c>
      <c r="BH1756" s="407"/>
      <c r="BI1756" s="407" t="s">
        <v>6666</v>
      </c>
      <c r="BJ1756" s="412"/>
      <c r="BK1756" s="46">
        <f t="shared" si="38"/>
        <v>1</v>
      </c>
      <c r="BL1756" s="46">
        <f t="shared" si="3"/>
        <v>1</v>
      </c>
      <c r="BM1756" s="46">
        <f t="shared" si="4"/>
        <v>0</v>
      </c>
      <c r="BN1756" s="46">
        <f t="shared" si="26"/>
        <v>0</v>
      </c>
    </row>
    <row r="1757" spans="1:66" ht="12.75" customHeight="1">
      <c r="A1757" s="399">
        <v>1771</v>
      </c>
      <c r="B1757" s="399" t="s">
        <v>565</v>
      </c>
      <c r="C1757" s="399" t="e">
        <f t="shared" ca="1" si="21"/>
        <v>#NAME?</v>
      </c>
      <c r="D1757" s="400" t="str">
        <f t="shared" si="34"/>
        <v>Central cyanosis</v>
      </c>
      <c r="E1757" s="399" t="str">
        <f t="shared" si="33"/>
        <v>Input Option</v>
      </c>
      <c r="F1757" s="400" t="str">
        <f t="shared" si="39"/>
        <v>Treatment given before referral</v>
      </c>
      <c r="G1757" s="400"/>
      <c r="H1757" s="400"/>
      <c r="I1757" s="400"/>
      <c r="J1757" s="400"/>
      <c r="K1757" s="400">
        <v>1</v>
      </c>
      <c r="L1757" s="401" t="s">
        <v>6641</v>
      </c>
      <c r="M1757" s="402" t="s">
        <v>3142</v>
      </c>
      <c r="N1757" s="400"/>
      <c r="O1757" s="428" t="s">
        <v>6642</v>
      </c>
      <c r="P1757" s="428"/>
      <c r="Q1757" s="399"/>
      <c r="R1757" s="428"/>
      <c r="S1757" s="399"/>
      <c r="T1757" s="399"/>
      <c r="U1757" s="399"/>
      <c r="V1757" s="399"/>
      <c r="W1757" s="399" t="s">
        <v>431</v>
      </c>
      <c r="X1757" s="400"/>
      <c r="Y1757" s="399"/>
      <c r="Z1757" s="399"/>
      <c r="AA1757" s="399"/>
      <c r="AB1757" s="399"/>
      <c r="AC1757" s="532"/>
      <c r="AD1757" s="400"/>
      <c r="AE1757" s="399"/>
      <c r="AF1757" s="399"/>
      <c r="AG1757" s="399"/>
      <c r="AH1757" s="532"/>
      <c r="AI1757" s="399"/>
      <c r="AJ1757" s="400"/>
      <c r="AK1757" s="399"/>
      <c r="AL1757" s="399"/>
      <c r="AM1757" s="399"/>
      <c r="AN1757" s="399"/>
      <c r="AO1757" s="399"/>
      <c r="AP1757" s="399"/>
      <c r="AQ1757" s="399"/>
      <c r="AR1757" s="399"/>
      <c r="AS1757" s="399"/>
      <c r="AT1757" s="399"/>
      <c r="AU1757" s="399"/>
      <c r="AV1757" s="399" t="s">
        <v>6671</v>
      </c>
      <c r="AW1757" s="411"/>
      <c r="AX1757" s="411"/>
      <c r="AY1757" s="411"/>
      <c r="AZ1757" s="411"/>
      <c r="BA1757" s="411"/>
      <c r="BB1757" s="399"/>
      <c r="BC1757" s="399" t="e">
        <f t="shared" ca="1" si="37"/>
        <v>#NAME?</v>
      </c>
      <c r="BD1757" s="399">
        <v>165216</v>
      </c>
      <c r="BE1757" s="399"/>
      <c r="BF1757" s="399" t="s">
        <v>432</v>
      </c>
      <c r="BG1757" s="540" t="s">
        <v>433</v>
      </c>
      <c r="BH1757" s="407"/>
      <c r="BI1757" s="407" t="s">
        <v>6671</v>
      </c>
      <c r="BJ1757" s="412"/>
      <c r="BK1757" s="46">
        <f t="shared" si="38"/>
        <v>1</v>
      </c>
      <c r="BL1757" s="46">
        <f t="shared" si="3"/>
        <v>1</v>
      </c>
      <c r="BM1757" s="46">
        <f t="shared" si="4"/>
        <v>0</v>
      </c>
      <c r="BN1757" s="46">
        <f t="shared" si="26"/>
        <v>0</v>
      </c>
    </row>
    <row r="1758" spans="1:66" ht="12.75" customHeight="1">
      <c r="A1758" s="399">
        <v>1772</v>
      </c>
      <c r="B1758" s="399" t="s">
        <v>570</v>
      </c>
      <c r="C1758" s="399" t="e">
        <f t="shared" ca="1" si="21"/>
        <v>#NAME?</v>
      </c>
      <c r="D1758" s="400" t="str">
        <f t="shared" si="34"/>
        <v>Convulsing</v>
      </c>
      <c r="E1758" s="399" t="str">
        <f t="shared" si="33"/>
        <v>Input Option</v>
      </c>
      <c r="F1758" s="400" t="str">
        <f t="shared" si="39"/>
        <v>Treatment given before referral</v>
      </c>
      <c r="G1758" s="400"/>
      <c r="H1758" s="400"/>
      <c r="I1758" s="400"/>
      <c r="J1758" s="400"/>
      <c r="K1758" s="400">
        <v>1</v>
      </c>
      <c r="L1758" s="401" t="s">
        <v>6641</v>
      </c>
      <c r="M1758" s="402" t="s">
        <v>3142</v>
      </c>
      <c r="N1758" s="400"/>
      <c r="O1758" s="428" t="s">
        <v>6642</v>
      </c>
      <c r="P1758" s="428"/>
      <c r="Q1758" s="399"/>
      <c r="R1758" s="428"/>
      <c r="S1758" s="399"/>
      <c r="T1758" s="399"/>
      <c r="U1758" s="399"/>
      <c r="V1758" s="399"/>
      <c r="W1758" s="399" t="s">
        <v>435</v>
      </c>
      <c r="X1758" s="400"/>
      <c r="Y1758" s="399"/>
      <c r="Z1758" s="399"/>
      <c r="AA1758" s="399"/>
      <c r="AB1758" s="399"/>
      <c r="AC1758" s="532"/>
      <c r="AD1758" s="400"/>
      <c r="AE1758" s="399"/>
      <c r="AF1758" s="399"/>
      <c r="AG1758" s="399"/>
      <c r="AH1758" s="532"/>
      <c r="AI1758" s="399"/>
      <c r="AJ1758" s="400"/>
      <c r="AK1758" s="399"/>
      <c r="AL1758" s="399"/>
      <c r="AM1758" s="399"/>
      <c r="AN1758" s="399"/>
      <c r="AO1758" s="399"/>
      <c r="AP1758" s="399"/>
      <c r="AQ1758" s="399"/>
      <c r="AR1758" s="399"/>
      <c r="AS1758" s="399"/>
      <c r="AT1758" s="399"/>
      <c r="AU1758" s="399"/>
      <c r="AV1758" s="399"/>
      <c r="AW1758" s="411"/>
      <c r="AX1758" s="411"/>
      <c r="AY1758" s="411"/>
      <c r="AZ1758" s="411"/>
      <c r="BA1758" s="411"/>
      <c r="BB1758" s="399"/>
      <c r="BC1758" s="399" t="e">
        <f t="shared" ca="1" si="37"/>
        <v>#NAME?</v>
      </c>
      <c r="BD1758" s="399">
        <v>164483</v>
      </c>
      <c r="BE1758" s="399"/>
      <c r="BF1758" s="399" t="s">
        <v>436</v>
      </c>
      <c r="BG1758" s="540" t="s">
        <v>437</v>
      </c>
      <c r="BH1758" s="407"/>
      <c r="BI1758" s="407"/>
      <c r="BJ1758" s="412"/>
      <c r="BK1758" s="46">
        <f t="shared" si="38"/>
        <v>1</v>
      </c>
      <c r="BL1758" s="46">
        <f t="shared" si="3"/>
        <v>0</v>
      </c>
      <c r="BM1758" s="46">
        <f t="shared" si="4"/>
        <v>1</v>
      </c>
      <c r="BN1758" s="46">
        <f t="shared" si="26"/>
        <v>0</v>
      </c>
    </row>
    <row r="1759" spans="1:66" ht="12.75" customHeight="1">
      <c r="A1759" s="399">
        <v>1773</v>
      </c>
      <c r="B1759" s="399" t="s">
        <v>367</v>
      </c>
      <c r="C1759" s="399" t="e">
        <f t="shared" ca="1" si="21"/>
        <v>#NAME?</v>
      </c>
      <c r="D1759" s="400" t="str">
        <f t="shared" si="34"/>
        <v>Fever</v>
      </c>
      <c r="E1759" s="399" t="str">
        <f t="shared" si="33"/>
        <v>Input Option</v>
      </c>
      <c r="F1759" s="400" t="str">
        <f t="shared" si="39"/>
        <v>Treatment given before referral</v>
      </c>
      <c r="G1759" s="400"/>
      <c r="H1759" s="400"/>
      <c r="I1759" s="400"/>
      <c r="J1759" s="400"/>
      <c r="K1759" s="400">
        <v>1</v>
      </c>
      <c r="L1759" s="401" t="s">
        <v>6641</v>
      </c>
      <c r="M1759" s="402" t="s">
        <v>3142</v>
      </c>
      <c r="N1759" s="400"/>
      <c r="O1759" s="428" t="s">
        <v>6642</v>
      </c>
      <c r="P1759" s="428"/>
      <c r="Q1759" s="399"/>
      <c r="R1759" s="428"/>
      <c r="S1759" s="399"/>
      <c r="T1759" s="399"/>
      <c r="U1759" s="399"/>
      <c r="V1759" s="399"/>
      <c r="W1759" s="399" t="s">
        <v>281</v>
      </c>
      <c r="X1759" s="400"/>
      <c r="Y1759" s="399"/>
      <c r="Z1759" s="399"/>
      <c r="AA1759" s="399"/>
      <c r="AB1759" s="399"/>
      <c r="AC1759" s="532"/>
      <c r="AD1759" s="400"/>
      <c r="AE1759" s="399"/>
      <c r="AF1759" s="399"/>
      <c r="AG1759" s="399"/>
      <c r="AH1759" s="532"/>
      <c r="AI1759" s="399"/>
      <c r="AJ1759" s="400"/>
      <c r="AK1759" s="399"/>
      <c r="AL1759" s="399"/>
      <c r="AM1759" s="399"/>
      <c r="AN1759" s="399"/>
      <c r="AO1759" s="399"/>
      <c r="AP1759" s="399"/>
      <c r="AQ1759" s="399"/>
      <c r="AR1759" s="399"/>
      <c r="AS1759" s="399"/>
      <c r="AT1759" s="399" t="s">
        <v>283</v>
      </c>
      <c r="AU1759" s="399" t="s">
        <v>6675</v>
      </c>
      <c r="AV1759" s="399"/>
      <c r="AW1759" s="411" t="s">
        <v>6174</v>
      </c>
      <c r="AX1759" s="411"/>
      <c r="AY1759" s="411"/>
      <c r="AZ1759" s="411"/>
      <c r="BA1759" s="411"/>
      <c r="BB1759" s="399"/>
      <c r="BC1759" s="399" t="e">
        <f t="shared" ca="1" si="37"/>
        <v>#NAME?</v>
      </c>
      <c r="BD1759" s="399">
        <v>140238</v>
      </c>
      <c r="BE1759" s="399"/>
      <c r="BF1759" s="399" t="s">
        <v>284</v>
      </c>
      <c r="BG1759" s="540" t="s">
        <v>285</v>
      </c>
      <c r="BH1759" s="407" t="s">
        <v>283</v>
      </c>
      <c r="BI1759" s="407"/>
      <c r="BJ1759" s="412" t="s">
        <v>6174</v>
      </c>
      <c r="BK1759" s="46">
        <f t="shared" si="38"/>
        <v>1</v>
      </c>
      <c r="BL1759" s="46">
        <f t="shared" si="3"/>
        <v>1</v>
      </c>
      <c r="BM1759" s="46">
        <f t="shared" si="4"/>
        <v>0</v>
      </c>
      <c r="BN1759" s="46">
        <f t="shared" si="26"/>
        <v>0</v>
      </c>
    </row>
    <row r="1760" spans="1:66" ht="12.75" customHeight="1">
      <c r="A1760" s="399">
        <v>1774</v>
      </c>
      <c r="B1760" s="399" t="s">
        <v>577</v>
      </c>
      <c r="C1760" s="399" t="e">
        <f t="shared" ca="1" si="21"/>
        <v>#NAME?</v>
      </c>
      <c r="D1760" s="400" t="str">
        <f t="shared" si="34"/>
        <v>Severe headache</v>
      </c>
      <c r="E1760" s="399" t="str">
        <f t="shared" si="33"/>
        <v>Input Option</v>
      </c>
      <c r="F1760" s="400" t="str">
        <f t="shared" si="39"/>
        <v>Treatment given before referral</v>
      </c>
      <c r="G1760" s="400"/>
      <c r="H1760" s="400"/>
      <c r="I1760" s="400"/>
      <c r="J1760" s="400"/>
      <c r="K1760" s="400">
        <v>1</v>
      </c>
      <c r="L1760" s="401" t="s">
        <v>6641</v>
      </c>
      <c r="M1760" s="402" t="s">
        <v>3142</v>
      </c>
      <c r="N1760" s="400"/>
      <c r="O1760" s="428" t="s">
        <v>6642</v>
      </c>
      <c r="P1760" s="428"/>
      <c r="Q1760" s="399"/>
      <c r="R1760" s="428"/>
      <c r="S1760" s="399"/>
      <c r="T1760" s="399"/>
      <c r="U1760" s="399"/>
      <c r="V1760" s="399"/>
      <c r="W1760" s="399" t="s">
        <v>439</v>
      </c>
      <c r="X1760" s="400"/>
      <c r="Y1760" s="399"/>
      <c r="Z1760" s="399"/>
      <c r="AA1760" s="399"/>
      <c r="AB1760" s="399"/>
      <c r="AC1760" s="532"/>
      <c r="AD1760" s="400"/>
      <c r="AE1760" s="399"/>
      <c r="AF1760" s="399"/>
      <c r="AG1760" s="399"/>
      <c r="AH1760" s="532"/>
      <c r="AI1760" s="399"/>
      <c r="AJ1760" s="400"/>
      <c r="AK1760" s="399"/>
      <c r="AL1760" s="399"/>
      <c r="AM1760" s="399"/>
      <c r="AN1760" s="399"/>
      <c r="AO1760" s="399"/>
      <c r="AP1760" s="399"/>
      <c r="AQ1760" s="399"/>
      <c r="AR1760" s="399"/>
      <c r="AS1760" s="399"/>
      <c r="AT1760" s="399" t="s">
        <v>299</v>
      </c>
      <c r="AU1760" s="399" t="s">
        <v>6679</v>
      </c>
      <c r="AV1760" s="399"/>
      <c r="AW1760" s="411"/>
      <c r="AX1760" s="411"/>
      <c r="AY1760" s="411"/>
      <c r="AZ1760" s="411"/>
      <c r="BA1760" s="411"/>
      <c r="BB1760" s="399"/>
      <c r="BC1760" s="399" t="e">
        <f t="shared" ca="1" si="37"/>
        <v>#NAME?</v>
      </c>
      <c r="BD1760" s="399">
        <v>139081</v>
      </c>
      <c r="BE1760" s="399"/>
      <c r="BF1760" s="399" t="s">
        <v>441</v>
      </c>
      <c r="BG1760" s="540" t="s">
        <v>442</v>
      </c>
      <c r="BH1760" s="407" t="s">
        <v>299</v>
      </c>
      <c r="BI1760" s="407"/>
      <c r="BJ1760" s="412"/>
      <c r="BK1760" s="46">
        <f t="shared" si="38"/>
        <v>1</v>
      </c>
      <c r="BL1760" s="46">
        <f t="shared" si="3"/>
        <v>1</v>
      </c>
      <c r="BM1760" s="46">
        <f t="shared" si="4"/>
        <v>0</v>
      </c>
      <c r="BN1760" s="46">
        <f t="shared" si="26"/>
        <v>0</v>
      </c>
    </row>
    <row r="1761" spans="1:66" ht="12.75" customHeight="1">
      <c r="A1761" s="399">
        <v>1775</v>
      </c>
      <c r="B1761" s="399" t="s">
        <v>531</v>
      </c>
      <c r="C1761" s="399" t="e">
        <f t="shared" ca="1" si="21"/>
        <v>#NAME?</v>
      </c>
      <c r="D1761" s="400" t="str">
        <f t="shared" si="34"/>
        <v>Visual disturbance</v>
      </c>
      <c r="E1761" s="399" t="str">
        <f t="shared" si="33"/>
        <v>Input Option</v>
      </c>
      <c r="F1761" s="400" t="str">
        <f t="shared" si="39"/>
        <v>Treatment given before referral</v>
      </c>
      <c r="G1761" s="400"/>
      <c r="H1761" s="400"/>
      <c r="I1761" s="400"/>
      <c r="J1761" s="400"/>
      <c r="K1761" s="400">
        <v>1</v>
      </c>
      <c r="L1761" s="401" t="s">
        <v>6641</v>
      </c>
      <c r="M1761" s="402" t="s">
        <v>3142</v>
      </c>
      <c r="N1761" s="400"/>
      <c r="O1761" s="428" t="s">
        <v>6642</v>
      </c>
      <c r="P1761" s="428"/>
      <c r="Q1761" s="399"/>
      <c r="R1761" s="428"/>
      <c r="S1761" s="399"/>
      <c r="T1761" s="399"/>
      <c r="U1761" s="399"/>
      <c r="V1761" s="399"/>
      <c r="W1761" s="399" t="s">
        <v>400</v>
      </c>
      <c r="X1761" s="400"/>
      <c r="Y1761" s="399"/>
      <c r="Z1761" s="399"/>
      <c r="AA1761" s="399"/>
      <c r="AB1761" s="399"/>
      <c r="AC1761" s="532"/>
      <c r="AD1761" s="400"/>
      <c r="AE1761" s="399"/>
      <c r="AF1761" s="399"/>
      <c r="AG1761" s="399"/>
      <c r="AH1761" s="532"/>
      <c r="AI1761" s="399"/>
      <c r="AJ1761" s="400"/>
      <c r="AK1761" s="399"/>
      <c r="AL1761" s="399"/>
      <c r="AM1761" s="399"/>
      <c r="AN1761" s="399"/>
      <c r="AO1761" s="399"/>
      <c r="AP1761" s="399"/>
      <c r="AQ1761" s="399"/>
      <c r="AR1761" s="399"/>
      <c r="AS1761" s="399"/>
      <c r="AT1761" s="399" t="s">
        <v>402</v>
      </c>
      <c r="AU1761" s="399" t="s">
        <v>6685</v>
      </c>
      <c r="AV1761" s="399"/>
      <c r="AW1761" s="411" t="s">
        <v>6686</v>
      </c>
      <c r="AX1761" s="411"/>
      <c r="AY1761" s="411"/>
      <c r="AZ1761" s="411"/>
      <c r="BA1761" s="411"/>
      <c r="BB1761" s="399"/>
      <c r="BC1761" s="399" t="e">
        <f t="shared" ca="1" si="37"/>
        <v>#NAME?</v>
      </c>
      <c r="BD1761" s="399">
        <v>123074</v>
      </c>
      <c r="BE1761" s="399"/>
      <c r="BF1761" s="399" t="s">
        <v>403</v>
      </c>
      <c r="BG1761" s="540" t="s">
        <v>404</v>
      </c>
      <c r="BH1761" s="407" t="s">
        <v>402</v>
      </c>
      <c r="BI1761" s="407"/>
      <c r="BJ1761" s="412" t="s">
        <v>6686</v>
      </c>
      <c r="BK1761" s="46">
        <f t="shared" si="38"/>
        <v>1</v>
      </c>
      <c r="BL1761" s="46">
        <f t="shared" si="3"/>
        <v>1</v>
      </c>
      <c r="BM1761" s="46">
        <f t="shared" si="4"/>
        <v>0</v>
      </c>
      <c r="BN1761" s="46">
        <f t="shared" si="26"/>
        <v>0</v>
      </c>
    </row>
    <row r="1762" spans="1:66" ht="12.75" customHeight="1">
      <c r="A1762" s="399">
        <v>1776</v>
      </c>
      <c r="B1762" s="399" t="s">
        <v>610</v>
      </c>
      <c r="C1762" s="399" t="e">
        <f t="shared" ca="1" si="21"/>
        <v>#NAME?</v>
      </c>
      <c r="D1762" s="400" t="str">
        <f t="shared" si="34"/>
        <v>Looks very ill</v>
      </c>
      <c r="E1762" s="399" t="str">
        <f t="shared" si="33"/>
        <v>Input Option</v>
      </c>
      <c r="F1762" s="400" t="str">
        <f t="shared" si="39"/>
        <v>Treatment given before referral</v>
      </c>
      <c r="G1762" s="400"/>
      <c r="H1762" s="400"/>
      <c r="I1762" s="400"/>
      <c r="J1762" s="400"/>
      <c r="K1762" s="400">
        <v>1</v>
      </c>
      <c r="L1762" s="401" t="s">
        <v>6641</v>
      </c>
      <c r="M1762" s="402" t="s">
        <v>3142</v>
      </c>
      <c r="N1762" s="400"/>
      <c r="O1762" s="428" t="s">
        <v>6642</v>
      </c>
      <c r="P1762" s="428"/>
      <c r="Q1762" s="399"/>
      <c r="R1762" s="428"/>
      <c r="S1762" s="399"/>
      <c r="T1762" s="399"/>
      <c r="U1762" s="399"/>
      <c r="V1762" s="399"/>
      <c r="W1762" s="399" t="s">
        <v>452</v>
      </c>
      <c r="X1762" s="400"/>
      <c r="Y1762" s="399"/>
      <c r="Z1762" s="399"/>
      <c r="AA1762" s="399"/>
      <c r="AB1762" s="399"/>
      <c r="AC1762" s="532"/>
      <c r="AD1762" s="400"/>
      <c r="AE1762" s="399"/>
      <c r="AF1762" s="399"/>
      <c r="AG1762" s="399"/>
      <c r="AH1762" s="532"/>
      <c r="AI1762" s="399"/>
      <c r="AJ1762" s="400"/>
      <c r="AK1762" s="399"/>
      <c r="AL1762" s="399"/>
      <c r="AM1762" s="399"/>
      <c r="AN1762" s="399"/>
      <c r="AO1762" s="399"/>
      <c r="AP1762" s="399"/>
      <c r="AQ1762" s="399"/>
      <c r="AR1762" s="399"/>
      <c r="AS1762" s="399"/>
      <c r="AT1762" s="399"/>
      <c r="AU1762" s="399"/>
      <c r="AV1762" s="399" t="s">
        <v>6697</v>
      </c>
      <c r="AW1762" s="411"/>
      <c r="AX1762" s="411"/>
      <c r="AY1762" s="411"/>
      <c r="AZ1762" s="411"/>
      <c r="BA1762" s="411"/>
      <c r="BB1762" s="399"/>
      <c r="BC1762" s="399" t="e">
        <f t="shared" ca="1" si="37"/>
        <v>#NAME?</v>
      </c>
      <c r="BD1762" s="399">
        <v>16293</v>
      </c>
      <c r="BE1762" s="399"/>
      <c r="BF1762" s="399" t="s">
        <v>453</v>
      </c>
      <c r="BG1762" s="540" t="s">
        <v>454</v>
      </c>
      <c r="BH1762" s="407"/>
      <c r="BI1762" s="407" t="s">
        <v>6697</v>
      </c>
      <c r="BJ1762" s="412"/>
      <c r="BK1762" s="46">
        <f t="shared" si="38"/>
        <v>1</v>
      </c>
      <c r="BL1762" s="46">
        <f t="shared" si="3"/>
        <v>1</v>
      </c>
      <c r="BM1762" s="46">
        <f t="shared" si="4"/>
        <v>0</v>
      </c>
      <c r="BN1762" s="46">
        <f t="shared" si="26"/>
        <v>0</v>
      </c>
    </row>
    <row r="1763" spans="1:66" ht="12.75" customHeight="1">
      <c r="A1763" s="399">
        <v>1777</v>
      </c>
      <c r="B1763" s="399" t="s">
        <v>628</v>
      </c>
      <c r="C1763" s="399" t="e">
        <f t="shared" ca="1" si="21"/>
        <v>#NAME?</v>
      </c>
      <c r="D1763" s="400" t="str">
        <f t="shared" si="34"/>
        <v>Severe pain</v>
      </c>
      <c r="E1763" s="399" t="str">
        <f t="shared" si="33"/>
        <v>Input Option</v>
      </c>
      <c r="F1763" s="400" t="str">
        <f t="shared" si="39"/>
        <v>Treatment given before referral</v>
      </c>
      <c r="G1763" s="400"/>
      <c r="H1763" s="400"/>
      <c r="I1763" s="400"/>
      <c r="J1763" s="400"/>
      <c r="K1763" s="400">
        <v>1</v>
      </c>
      <c r="L1763" s="401" t="s">
        <v>6641</v>
      </c>
      <c r="M1763" s="402" t="s">
        <v>3142</v>
      </c>
      <c r="N1763" s="400"/>
      <c r="O1763" s="428" t="s">
        <v>6642</v>
      </c>
      <c r="P1763" s="428"/>
      <c r="Q1763" s="399"/>
      <c r="R1763" s="428"/>
      <c r="S1763" s="399"/>
      <c r="T1763" s="399"/>
      <c r="U1763" s="399"/>
      <c r="V1763" s="399"/>
      <c r="W1763" s="399" t="s">
        <v>460</v>
      </c>
      <c r="X1763" s="400"/>
      <c r="Y1763" s="399"/>
      <c r="Z1763" s="399"/>
      <c r="AA1763" s="399"/>
      <c r="AB1763" s="399"/>
      <c r="AC1763" s="532"/>
      <c r="AD1763" s="400"/>
      <c r="AE1763" s="399"/>
      <c r="AF1763" s="399"/>
      <c r="AG1763" s="399"/>
      <c r="AH1763" s="532"/>
      <c r="AI1763" s="399"/>
      <c r="AJ1763" s="400"/>
      <c r="AK1763" s="399"/>
      <c r="AL1763" s="399"/>
      <c r="AM1763" s="399"/>
      <c r="AN1763" s="399"/>
      <c r="AO1763" s="399"/>
      <c r="AP1763" s="399"/>
      <c r="AQ1763" s="399"/>
      <c r="AR1763" s="399"/>
      <c r="AS1763" s="399"/>
      <c r="AT1763" s="399" t="s">
        <v>351</v>
      </c>
      <c r="AU1763" s="399" t="s">
        <v>6715</v>
      </c>
      <c r="AV1763" s="399" t="s">
        <v>6717</v>
      </c>
      <c r="AW1763" s="411"/>
      <c r="AX1763" s="411"/>
      <c r="AY1763" s="411"/>
      <c r="AZ1763" s="411"/>
      <c r="BA1763" s="411"/>
      <c r="BB1763" s="399"/>
      <c r="BC1763" s="399" t="e">
        <f t="shared" ca="1" si="37"/>
        <v>#NAME?</v>
      </c>
      <c r="BD1763" s="399">
        <v>163477</v>
      </c>
      <c r="BE1763" s="399"/>
      <c r="BF1763" s="399" t="s">
        <v>462</v>
      </c>
      <c r="BG1763" s="540" t="s">
        <v>463</v>
      </c>
      <c r="BH1763" s="407" t="s">
        <v>351</v>
      </c>
      <c r="BI1763" s="407" t="s">
        <v>6717</v>
      </c>
      <c r="BJ1763" s="412"/>
      <c r="BK1763" s="46">
        <f t="shared" si="38"/>
        <v>1</v>
      </c>
      <c r="BL1763" s="46">
        <f t="shared" si="3"/>
        <v>1</v>
      </c>
      <c r="BM1763" s="46">
        <f t="shared" si="4"/>
        <v>0</v>
      </c>
      <c r="BN1763" s="46">
        <f t="shared" si="26"/>
        <v>0</v>
      </c>
    </row>
    <row r="1764" spans="1:66" ht="12.75" customHeight="1">
      <c r="A1764" s="399">
        <v>1778</v>
      </c>
      <c r="B1764" s="399" t="s">
        <v>632</v>
      </c>
      <c r="C1764" s="399" t="e">
        <f t="shared" ca="1" si="21"/>
        <v>#NAME?</v>
      </c>
      <c r="D1764" s="400" t="str">
        <f t="shared" si="34"/>
        <v>Severe abdominal pain</v>
      </c>
      <c r="E1764" s="399" t="str">
        <f t="shared" si="33"/>
        <v>Input Option</v>
      </c>
      <c r="F1764" s="400" t="str">
        <f t="shared" si="39"/>
        <v>Treatment given before referral</v>
      </c>
      <c r="G1764" s="400"/>
      <c r="H1764" s="400"/>
      <c r="I1764" s="400"/>
      <c r="J1764" s="400"/>
      <c r="K1764" s="400">
        <v>1</v>
      </c>
      <c r="L1764" s="401" t="s">
        <v>6641</v>
      </c>
      <c r="M1764" s="402" t="s">
        <v>3142</v>
      </c>
      <c r="N1764" s="400"/>
      <c r="O1764" s="428" t="s">
        <v>6642</v>
      </c>
      <c r="P1764" s="428"/>
      <c r="Q1764" s="399"/>
      <c r="R1764" s="428"/>
      <c r="S1764" s="399"/>
      <c r="T1764" s="399"/>
      <c r="U1764" s="399"/>
      <c r="V1764" s="399"/>
      <c r="W1764" s="399" t="s">
        <v>464</v>
      </c>
      <c r="X1764" s="400"/>
      <c r="Y1764" s="399"/>
      <c r="Z1764" s="399"/>
      <c r="AA1764" s="399"/>
      <c r="AB1764" s="399"/>
      <c r="AC1764" s="532"/>
      <c r="AD1764" s="400"/>
      <c r="AE1764" s="399"/>
      <c r="AF1764" s="399"/>
      <c r="AG1764" s="399"/>
      <c r="AH1764" s="532"/>
      <c r="AI1764" s="399"/>
      <c r="AJ1764" s="400"/>
      <c r="AK1764" s="399"/>
      <c r="AL1764" s="399"/>
      <c r="AM1764" s="399"/>
      <c r="AN1764" s="399"/>
      <c r="AO1764" s="399"/>
      <c r="AP1764" s="399"/>
      <c r="AQ1764" s="399"/>
      <c r="AR1764" s="399"/>
      <c r="AS1764" s="399"/>
      <c r="AT1764" s="399" t="s">
        <v>6732</v>
      </c>
      <c r="AU1764" s="399"/>
      <c r="AV1764" s="399"/>
      <c r="AW1764" s="411"/>
      <c r="AX1764" s="411"/>
      <c r="AY1764" s="411"/>
      <c r="AZ1764" s="411"/>
      <c r="BA1764" s="411"/>
      <c r="BB1764" s="399"/>
      <c r="BC1764" s="399" t="e">
        <f t="shared" ca="1" si="37"/>
        <v>#NAME?</v>
      </c>
      <c r="BD1764" s="399">
        <v>165271</v>
      </c>
      <c r="BE1764" s="399"/>
      <c r="BF1764" s="399" t="s">
        <v>465</v>
      </c>
      <c r="BG1764" s="540" t="s">
        <v>466</v>
      </c>
      <c r="BH1764" s="407" t="s">
        <v>6732</v>
      </c>
      <c r="BI1764" s="407"/>
      <c r="BJ1764" s="412"/>
      <c r="BK1764" s="46">
        <f t="shared" si="38"/>
        <v>1</v>
      </c>
      <c r="BL1764" s="46">
        <f t="shared" si="3"/>
        <v>1</v>
      </c>
      <c r="BM1764" s="46">
        <f t="shared" si="4"/>
        <v>0</v>
      </c>
      <c r="BN1764" s="46">
        <f t="shared" si="26"/>
        <v>0</v>
      </c>
    </row>
    <row r="1765" spans="1:66" ht="12.75" customHeight="1">
      <c r="A1765" s="399">
        <v>1779</v>
      </c>
      <c r="B1765" s="399" t="s">
        <v>635</v>
      </c>
      <c r="C1765" s="399" t="e">
        <f t="shared" ca="1" si="21"/>
        <v>#NAME?</v>
      </c>
      <c r="D1765" s="400" t="str">
        <f t="shared" si="34"/>
        <v>Unconscious</v>
      </c>
      <c r="E1765" s="399" t="str">
        <f t="shared" si="33"/>
        <v>Input Option</v>
      </c>
      <c r="F1765" s="400" t="str">
        <f t="shared" si="39"/>
        <v>Treatment given before referral</v>
      </c>
      <c r="G1765" s="400"/>
      <c r="H1765" s="400"/>
      <c r="I1765" s="400"/>
      <c r="J1765" s="400"/>
      <c r="K1765" s="400">
        <v>1</v>
      </c>
      <c r="L1765" s="401" t="s">
        <v>6641</v>
      </c>
      <c r="M1765" s="402" t="s">
        <v>3142</v>
      </c>
      <c r="N1765" s="400"/>
      <c r="O1765" s="428" t="s">
        <v>6642</v>
      </c>
      <c r="P1765" s="428"/>
      <c r="Q1765" s="399"/>
      <c r="R1765" s="428"/>
      <c r="S1765" s="399"/>
      <c r="T1765" s="399"/>
      <c r="U1765" s="399"/>
      <c r="V1765" s="399"/>
      <c r="W1765" s="399" t="s">
        <v>467</v>
      </c>
      <c r="X1765" s="400"/>
      <c r="Y1765" s="399"/>
      <c r="Z1765" s="399"/>
      <c r="AA1765" s="399"/>
      <c r="AB1765" s="399"/>
      <c r="AC1765" s="532"/>
      <c r="AD1765" s="400"/>
      <c r="AE1765" s="399"/>
      <c r="AF1765" s="399"/>
      <c r="AG1765" s="399"/>
      <c r="AH1765" s="532"/>
      <c r="AI1765" s="399"/>
      <c r="AJ1765" s="400"/>
      <c r="AK1765" s="399"/>
      <c r="AL1765" s="399"/>
      <c r="AM1765" s="399"/>
      <c r="AN1765" s="399"/>
      <c r="AO1765" s="399"/>
      <c r="AP1765" s="399"/>
      <c r="AQ1765" s="399"/>
      <c r="AR1765" s="399"/>
      <c r="AS1765" s="399"/>
      <c r="AT1765" s="399" t="s">
        <v>469</v>
      </c>
      <c r="AU1765" s="399" t="s">
        <v>6751</v>
      </c>
      <c r="AV1765" s="399"/>
      <c r="AW1765" s="411" t="s">
        <v>6753</v>
      </c>
      <c r="AX1765" s="411"/>
      <c r="AY1765" s="411"/>
      <c r="AZ1765" s="411"/>
      <c r="BA1765" s="411"/>
      <c r="BB1765" s="399"/>
      <c r="BC1765" s="399" t="e">
        <f t="shared" ca="1" si="37"/>
        <v>#NAME?</v>
      </c>
      <c r="BD1765" s="399">
        <v>123818</v>
      </c>
      <c r="BE1765" s="399"/>
      <c r="BF1765" s="399" t="s">
        <v>470</v>
      </c>
      <c r="BG1765" s="540" t="s">
        <v>471</v>
      </c>
      <c r="BH1765" s="407" t="s">
        <v>469</v>
      </c>
      <c r="BI1765" s="407"/>
      <c r="BJ1765" s="412" t="s">
        <v>6753</v>
      </c>
      <c r="BK1765" s="46">
        <f t="shared" si="38"/>
        <v>1</v>
      </c>
      <c r="BL1765" s="46">
        <f t="shared" si="3"/>
        <v>1</v>
      </c>
      <c r="BM1765" s="46">
        <f t="shared" si="4"/>
        <v>0</v>
      </c>
      <c r="BN1765" s="46">
        <f t="shared" si="26"/>
        <v>0</v>
      </c>
    </row>
    <row r="1766" spans="1:66" ht="12.75" customHeight="1">
      <c r="A1766" s="399">
        <v>1780</v>
      </c>
      <c r="B1766" s="399" t="s">
        <v>6754</v>
      </c>
      <c r="C1766" s="399" t="str">
        <f t="shared" si="21"/>
        <v>Reason for referral</v>
      </c>
      <c r="D1766" s="400" t="str">
        <f t="shared" si="34"/>
        <v>Reason for referral</v>
      </c>
      <c r="E1766" s="399" t="str">
        <f t="shared" si="33"/>
        <v>Data Element</v>
      </c>
      <c r="F1766" s="400" t="str">
        <f t="shared" si="39"/>
        <v/>
      </c>
      <c r="G1766" s="400"/>
      <c r="H1766" s="400"/>
      <c r="I1766" s="400"/>
      <c r="J1766" s="400"/>
      <c r="K1766" s="400">
        <v>1</v>
      </c>
      <c r="L1766" s="401" t="s">
        <v>6641</v>
      </c>
      <c r="M1766" s="402" t="s">
        <v>3142</v>
      </c>
      <c r="N1766" s="400"/>
      <c r="O1766" s="428" t="s">
        <v>6757</v>
      </c>
      <c r="P1766" s="428" t="s">
        <v>6758</v>
      </c>
      <c r="Q1766" s="399" t="s">
        <v>6759</v>
      </c>
      <c r="R1766" s="428" t="s">
        <v>6754</v>
      </c>
      <c r="S1766" s="399"/>
      <c r="T1766" s="399" t="s">
        <v>6760</v>
      </c>
      <c r="U1766" s="399" t="s">
        <v>6761</v>
      </c>
      <c r="V1766" s="399"/>
      <c r="W1766" s="399"/>
      <c r="X1766" s="400"/>
      <c r="Y1766" s="399"/>
      <c r="Z1766" s="399"/>
      <c r="AA1766" s="399"/>
      <c r="AB1766" s="399"/>
      <c r="AC1766" s="532"/>
      <c r="AD1766" s="400"/>
      <c r="AE1766" s="399"/>
      <c r="AF1766" s="399"/>
      <c r="AG1766" s="399"/>
      <c r="AH1766" s="532"/>
      <c r="AI1766" s="399"/>
      <c r="AJ1766" s="400"/>
      <c r="AK1766" s="399"/>
      <c r="AL1766" s="399"/>
      <c r="AM1766" s="399"/>
      <c r="AN1766" s="399"/>
      <c r="AO1766" s="399"/>
      <c r="AP1766" s="399"/>
      <c r="AQ1766" s="399"/>
      <c r="AR1766" s="399"/>
      <c r="AS1766" s="399"/>
      <c r="AT1766" s="399"/>
      <c r="AU1766" s="399"/>
      <c r="AV1766" s="399"/>
      <c r="AW1766" s="411"/>
      <c r="AX1766" s="411"/>
      <c r="AY1766" s="411"/>
      <c r="AZ1766" s="411"/>
      <c r="BA1766" s="411"/>
      <c r="BB1766" s="399"/>
      <c r="BC1766" s="399" t="str">
        <f t="shared" si="37"/>
        <v/>
      </c>
      <c r="BD1766" s="399"/>
      <c r="BE1766" s="399"/>
      <c r="BF1766" s="399"/>
      <c r="BG1766" s="540"/>
      <c r="BH1766" s="407"/>
      <c r="BI1766" s="407"/>
      <c r="BJ1766" s="412"/>
      <c r="BK1766" s="46">
        <f t="shared" si="38"/>
        <v>1</v>
      </c>
      <c r="BL1766" s="46">
        <f t="shared" si="3"/>
        <v>0</v>
      </c>
      <c r="BM1766" s="46">
        <f t="shared" si="4"/>
        <v>1</v>
      </c>
      <c r="BN1766" s="46">
        <f t="shared" si="26"/>
        <v>0</v>
      </c>
    </row>
    <row r="1767" spans="1:66" ht="12.75" customHeight="1">
      <c r="A1767" s="399">
        <v>1781</v>
      </c>
      <c r="B1767" s="399" t="s">
        <v>6764</v>
      </c>
      <c r="C1767" s="399" t="e">
        <f t="shared" ca="1" si="21"/>
        <v>#NAME?</v>
      </c>
      <c r="D1767" s="400" t="str">
        <f t="shared" si="34"/>
        <v>Family planning procedure</v>
      </c>
      <c r="E1767" s="399" t="str">
        <f t="shared" si="33"/>
        <v>Input Option</v>
      </c>
      <c r="F1767" s="400" t="str">
        <f t="shared" si="39"/>
        <v>Reason for referral</v>
      </c>
      <c r="G1767" s="400"/>
      <c r="H1767" s="400"/>
      <c r="I1767" s="400"/>
      <c r="J1767" s="400"/>
      <c r="K1767" s="400">
        <v>1</v>
      </c>
      <c r="L1767" s="401" t="s">
        <v>6641</v>
      </c>
      <c r="M1767" s="402" t="s">
        <v>3142</v>
      </c>
      <c r="N1767" s="400"/>
      <c r="O1767" s="428" t="s">
        <v>6757</v>
      </c>
      <c r="P1767" s="428"/>
      <c r="Q1767" s="399"/>
      <c r="R1767" s="428"/>
      <c r="S1767" s="399"/>
      <c r="T1767" s="399" t="s">
        <v>6767</v>
      </c>
      <c r="U1767" s="399"/>
      <c r="V1767" s="399"/>
      <c r="W1767" s="399" t="s">
        <v>6768</v>
      </c>
      <c r="X1767" s="400"/>
      <c r="Y1767" s="399"/>
      <c r="Z1767" s="399"/>
      <c r="AA1767" s="399"/>
      <c r="AB1767" s="399"/>
      <c r="AC1767" s="532"/>
      <c r="AD1767" s="400"/>
      <c r="AE1767" s="399"/>
      <c r="AF1767" s="399"/>
      <c r="AG1767" s="399"/>
      <c r="AH1767" s="532"/>
      <c r="AI1767" s="399"/>
      <c r="AJ1767" s="400"/>
      <c r="AK1767" s="399"/>
      <c r="AL1767" s="399"/>
      <c r="AM1767" s="399"/>
      <c r="AN1767" s="399"/>
      <c r="AO1767" s="399"/>
      <c r="AP1767" s="399"/>
      <c r="AQ1767" s="399"/>
      <c r="AR1767" s="399"/>
      <c r="AS1767" s="399"/>
      <c r="AT1767" s="399"/>
      <c r="AU1767" s="399"/>
      <c r="AV1767" s="399">
        <v>86395003</v>
      </c>
      <c r="AW1767" s="411"/>
      <c r="AX1767" s="411"/>
      <c r="AY1767" s="411"/>
      <c r="AZ1767" s="411"/>
      <c r="BA1767" s="411"/>
      <c r="BB1767" s="399"/>
      <c r="BC1767" s="399" t="e">
        <f t="shared" ca="1" si="37"/>
        <v>#NAME?</v>
      </c>
      <c r="BD1767" s="399"/>
      <c r="BE1767" s="399"/>
      <c r="BF1767" s="399"/>
      <c r="BG1767" s="540"/>
      <c r="BH1767" s="407"/>
      <c r="BI1767" s="407">
        <v>86395003</v>
      </c>
      <c r="BJ1767" s="412"/>
      <c r="BK1767" s="46">
        <f t="shared" si="38"/>
        <v>1</v>
      </c>
      <c r="BL1767" s="46">
        <f t="shared" si="3"/>
        <v>1</v>
      </c>
      <c r="BM1767" s="46">
        <f t="shared" si="4"/>
        <v>0</v>
      </c>
      <c r="BN1767" s="46">
        <f t="shared" si="26"/>
        <v>0</v>
      </c>
    </row>
    <row r="1768" spans="1:66" ht="12.75" customHeight="1">
      <c r="A1768" s="399">
        <v>1782</v>
      </c>
      <c r="B1768" s="399" t="s">
        <v>6771</v>
      </c>
      <c r="C1768" s="399" t="e">
        <f t="shared" ca="1" si="21"/>
        <v>#NAME?</v>
      </c>
      <c r="D1768" s="400" t="str">
        <f t="shared" si="34"/>
        <v>Screening referral</v>
      </c>
      <c r="E1768" s="399" t="str">
        <f t="shared" si="33"/>
        <v>Input Option</v>
      </c>
      <c r="F1768" s="400" t="str">
        <f t="shared" si="39"/>
        <v>Reason for referral</v>
      </c>
      <c r="G1768" s="400"/>
      <c r="H1768" s="400"/>
      <c r="I1768" s="400"/>
      <c r="J1768" s="400"/>
      <c r="K1768" s="400">
        <v>1</v>
      </c>
      <c r="L1768" s="401" t="s">
        <v>6641</v>
      </c>
      <c r="M1768" s="402" t="s">
        <v>3142</v>
      </c>
      <c r="N1768" s="400"/>
      <c r="O1768" s="428" t="s">
        <v>6757</v>
      </c>
      <c r="P1768" s="428"/>
      <c r="Q1768" s="399"/>
      <c r="R1768" s="428"/>
      <c r="S1768" s="399"/>
      <c r="T1768" s="399" t="s">
        <v>6775</v>
      </c>
      <c r="U1768" s="399"/>
      <c r="V1768" s="399"/>
      <c r="W1768" s="399" t="s">
        <v>6776</v>
      </c>
      <c r="X1768" s="400"/>
      <c r="Y1768" s="399"/>
      <c r="Z1768" s="399"/>
      <c r="AA1768" s="399"/>
      <c r="AB1768" s="399"/>
      <c r="AC1768" s="532"/>
      <c r="AD1768" s="400"/>
      <c r="AE1768" s="399"/>
      <c r="AF1768" s="399"/>
      <c r="AG1768" s="399"/>
      <c r="AH1768" s="532"/>
      <c r="AI1768" s="399"/>
      <c r="AJ1768" s="400"/>
      <c r="AK1768" s="399"/>
      <c r="AL1768" s="399"/>
      <c r="AM1768" s="399"/>
      <c r="AN1768" s="399"/>
      <c r="AO1768" s="399"/>
      <c r="AP1768" s="399"/>
      <c r="AQ1768" s="399"/>
      <c r="AR1768" s="399"/>
      <c r="AS1768" s="399"/>
      <c r="AT1768" s="399"/>
      <c r="AU1768" s="399"/>
      <c r="AV1768" s="399">
        <v>306228005</v>
      </c>
      <c r="AW1768" s="411"/>
      <c r="AX1768" s="411"/>
      <c r="AY1768" s="411"/>
      <c r="AZ1768" s="411"/>
      <c r="BA1768" s="411"/>
      <c r="BB1768" s="399"/>
      <c r="BC1768" s="399" t="e">
        <f t="shared" ca="1" si="37"/>
        <v>#NAME?</v>
      </c>
      <c r="BD1768" s="399"/>
      <c r="BE1768" s="399"/>
      <c r="BF1768" s="399"/>
      <c r="BG1768" s="540"/>
      <c r="BH1768" s="407"/>
      <c r="BI1768" s="407">
        <v>306228005</v>
      </c>
      <c r="BJ1768" s="412"/>
      <c r="BK1768" s="46">
        <f t="shared" si="38"/>
        <v>1</v>
      </c>
      <c r="BL1768" s="46">
        <f t="shared" si="3"/>
        <v>1</v>
      </c>
      <c r="BM1768" s="46">
        <f t="shared" si="4"/>
        <v>0</v>
      </c>
      <c r="BN1768" s="46">
        <f t="shared" si="26"/>
        <v>0</v>
      </c>
    </row>
    <row r="1769" spans="1:66" ht="12.75" customHeight="1">
      <c r="A1769" s="399">
        <v>1783</v>
      </c>
      <c r="B1769" s="399" t="s">
        <v>6780</v>
      </c>
      <c r="C1769" s="399" t="e">
        <f t="shared" ca="1" si="21"/>
        <v>#NAME?</v>
      </c>
      <c r="D1769" s="400" t="str">
        <f t="shared" si="34"/>
        <v>Other referral</v>
      </c>
      <c r="E1769" s="399" t="str">
        <f t="shared" si="33"/>
        <v>Input Option</v>
      </c>
      <c r="F1769" s="400" t="str">
        <f t="shared" si="39"/>
        <v>Reason for referral</v>
      </c>
      <c r="G1769" s="400"/>
      <c r="H1769" s="400"/>
      <c r="I1769" s="400"/>
      <c r="J1769" s="400"/>
      <c r="K1769" s="400">
        <v>1</v>
      </c>
      <c r="L1769" s="401" t="s">
        <v>6641</v>
      </c>
      <c r="M1769" s="402" t="s">
        <v>3142</v>
      </c>
      <c r="N1769" s="400"/>
      <c r="O1769" s="428" t="s">
        <v>6757</v>
      </c>
      <c r="P1769" s="428"/>
      <c r="Q1769" s="399"/>
      <c r="R1769" s="428"/>
      <c r="S1769" s="399"/>
      <c r="T1769" s="399" t="s">
        <v>6781</v>
      </c>
      <c r="U1769" s="399"/>
      <c r="V1769" s="399"/>
      <c r="W1769" s="399" t="s">
        <v>6782</v>
      </c>
      <c r="X1769" s="400"/>
      <c r="Y1769" s="399"/>
      <c r="Z1769" s="399"/>
      <c r="AA1769" s="399"/>
      <c r="AB1769" s="399"/>
      <c r="AC1769" s="532"/>
      <c r="AD1769" s="400"/>
      <c r="AE1769" s="399"/>
      <c r="AF1769" s="399"/>
      <c r="AG1769" s="399"/>
      <c r="AH1769" s="532"/>
      <c r="AI1769" s="399"/>
      <c r="AJ1769" s="400"/>
      <c r="AK1769" s="399"/>
      <c r="AL1769" s="399"/>
      <c r="AM1769" s="399"/>
      <c r="AN1769" s="399"/>
      <c r="AO1769" s="399"/>
      <c r="AP1769" s="399"/>
      <c r="AQ1769" s="399"/>
      <c r="AR1769" s="399"/>
      <c r="AS1769" s="399"/>
      <c r="AT1769" s="399"/>
      <c r="AU1769" s="399"/>
      <c r="AV1769" s="399">
        <v>306206005</v>
      </c>
      <c r="AW1769" s="411"/>
      <c r="AX1769" s="411"/>
      <c r="AY1769" s="411"/>
      <c r="AZ1769" s="411"/>
      <c r="BA1769" s="411"/>
      <c r="BB1769" s="399"/>
      <c r="BC1769" s="399" t="e">
        <f t="shared" ca="1" si="37"/>
        <v>#NAME?</v>
      </c>
      <c r="BD1769" s="399"/>
      <c r="BE1769" s="399"/>
      <c r="BF1769" s="399"/>
      <c r="BG1769" s="540"/>
      <c r="BH1769" s="407"/>
      <c r="BI1769" s="407">
        <v>306206005</v>
      </c>
      <c r="BJ1769" s="412"/>
      <c r="BK1769" s="46">
        <f t="shared" si="38"/>
        <v>1</v>
      </c>
      <c r="BL1769" s="46">
        <f t="shared" si="3"/>
        <v>1</v>
      </c>
      <c r="BM1769" s="46">
        <f t="shared" si="4"/>
        <v>0</v>
      </c>
      <c r="BN1769" s="46">
        <f t="shared" si="26"/>
        <v>0</v>
      </c>
    </row>
    <row r="1770" spans="1:66" ht="12.75" customHeight="1">
      <c r="A1770" s="399">
        <v>1786</v>
      </c>
      <c r="B1770" s="399" t="s">
        <v>3170</v>
      </c>
      <c r="C1770" s="399" t="str">
        <f t="shared" si="21"/>
        <v>True/False</v>
      </c>
      <c r="D1770" s="400" t="str">
        <f t="shared" si="34"/>
        <v>True/False</v>
      </c>
      <c r="E1770" s="399" t="str">
        <f t="shared" si="33"/>
        <v>Data Element</v>
      </c>
      <c r="F1770" s="400" t="str">
        <f t="shared" si="39"/>
        <v/>
      </c>
      <c r="G1770" s="400"/>
      <c r="H1770" s="400"/>
      <c r="I1770" s="400"/>
      <c r="J1770" s="400"/>
      <c r="K1770" s="400">
        <v>1</v>
      </c>
      <c r="L1770" s="401" t="s">
        <v>6641</v>
      </c>
      <c r="M1770" s="402" t="s">
        <v>4081</v>
      </c>
      <c r="N1770" s="402" t="s">
        <v>6789</v>
      </c>
      <c r="O1770" s="428" t="s">
        <v>6790</v>
      </c>
      <c r="P1770" s="428"/>
      <c r="Q1770" s="399"/>
      <c r="R1770" s="428"/>
      <c r="S1770" s="399"/>
      <c r="T1770" s="399"/>
      <c r="U1770" s="399" t="s">
        <v>3169</v>
      </c>
      <c r="V1770" s="399"/>
      <c r="W1770" s="399" t="s">
        <v>3170</v>
      </c>
      <c r="X1770" s="400"/>
      <c r="Y1770" s="399"/>
      <c r="Z1770" s="399"/>
      <c r="AA1770" s="399"/>
      <c r="AB1770" s="399"/>
      <c r="AC1770" s="532"/>
      <c r="AD1770" s="400"/>
      <c r="AE1770" s="399"/>
      <c r="AF1770" s="399"/>
      <c r="AG1770" s="399"/>
      <c r="AH1770" s="532"/>
      <c r="AI1770" s="399"/>
      <c r="AJ1770" s="400"/>
      <c r="AK1770" s="399"/>
      <c r="AL1770" s="399"/>
      <c r="AM1770" s="399"/>
      <c r="AN1770" s="399"/>
      <c r="AO1770" s="399"/>
      <c r="AP1770" s="399"/>
      <c r="AQ1770" s="399"/>
      <c r="AR1770" s="399"/>
      <c r="AS1770" s="399"/>
      <c r="AT1770" s="399"/>
      <c r="AU1770" s="399"/>
      <c r="AV1770" s="399"/>
      <c r="AW1770" s="411"/>
      <c r="AX1770" s="411"/>
      <c r="AY1770" s="411"/>
      <c r="AZ1770" s="411"/>
      <c r="BA1770" s="411"/>
      <c r="BB1770" s="438" t="str">
        <f>HYPERLINK("https://github.com/who-int/Data-Dictionary-Mapping/issues/5","5")</f>
        <v>5</v>
      </c>
      <c r="BC1770" s="399" t="str">
        <f t="shared" si="37"/>
        <v/>
      </c>
      <c r="BD1770" s="399"/>
      <c r="BE1770" s="399"/>
      <c r="BF1770" s="399"/>
      <c r="BG1770" s="540"/>
      <c r="BH1770" s="407"/>
      <c r="BI1770" s="407"/>
      <c r="BJ1770" s="412"/>
      <c r="BK1770" s="46">
        <f t="shared" si="38"/>
        <v>1</v>
      </c>
      <c r="BL1770" s="46">
        <f t="shared" si="3"/>
        <v>0</v>
      </c>
      <c r="BM1770" s="46">
        <f t="shared" si="4"/>
        <v>1</v>
      </c>
      <c r="BN1770" s="46">
        <f t="shared" si="26"/>
        <v>0</v>
      </c>
    </row>
    <row r="1771" spans="1:66" ht="12.75" customHeight="1">
      <c r="A1771" s="399">
        <v>1787</v>
      </c>
      <c r="B1771" s="399" t="s">
        <v>6801</v>
      </c>
      <c r="C1771" s="399" t="e">
        <f t="shared" ca="1" si="21"/>
        <v>#NAME?</v>
      </c>
      <c r="D1771" s="400" t="str">
        <f t="shared" si="34"/>
        <v>Referral needed</v>
      </c>
      <c r="E1771" s="399" t="str">
        <f t="shared" si="33"/>
        <v>Input Option</v>
      </c>
      <c r="F1771" s="400" t="str">
        <f t="shared" si="39"/>
        <v>True/False</v>
      </c>
      <c r="G1771" s="400"/>
      <c r="H1771" s="400"/>
      <c r="I1771" s="400"/>
      <c r="J1771" s="400"/>
      <c r="K1771" s="400">
        <v>1</v>
      </c>
      <c r="L1771" s="401" t="s">
        <v>6641</v>
      </c>
      <c r="M1771" s="402" t="s">
        <v>4081</v>
      </c>
      <c r="N1771" s="402" t="s">
        <v>6789</v>
      </c>
      <c r="O1771" s="428" t="s">
        <v>6790</v>
      </c>
      <c r="P1771" s="428" t="s">
        <v>6806</v>
      </c>
      <c r="Q1771" s="399"/>
      <c r="R1771" s="428"/>
      <c r="S1771" s="399"/>
      <c r="T1771" s="399"/>
      <c r="U1771" s="399"/>
      <c r="V1771" s="399"/>
      <c r="W1771" s="399" t="s">
        <v>6808</v>
      </c>
      <c r="X1771" s="400"/>
      <c r="Y1771" s="399"/>
      <c r="Z1771" s="399"/>
      <c r="AA1771" s="399"/>
      <c r="AB1771" s="399"/>
      <c r="AC1771" s="532"/>
      <c r="AD1771" s="400"/>
      <c r="AE1771" s="399"/>
      <c r="AF1771" s="399"/>
      <c r="AG1771" s="399"/>
      <c r="AH1771" s="532"/>
      <c r="AI1771" s="399"/>
      <c r="AJ1771" s="400"/>
      <c r="AK1771" s="399"/>
      <c r="AL1771" s="399"/>
      <c r="AM1771" s="399"/>
      <c r="AN1771" s="399"/>
      <c r="AO1771" s="399"/>
      <c r="AP1771" s="399"/>
      <c r="AQ1771" s="399"/>
      <c r="AR1771" s="399"/>
      <c r="AS1771" s="399"/>
      <c r="AT1771" s="399"/>
      <c r="AU1771" s="399"/>
      <c r="AV1771" s="399"/>
      <c r="AW1771" s="411"/>
      <c r="AX1771" s="411"/>
      <c r="AY1771" s="411"/>
      <c r="AZ1771" s="411"/>
      <c r="BA1771" s="411"/>
      <c r="BB1771" s="399"/>
      <c r="BC1771" s="399" t="e">
        <f t="shared" ca="1" si="37"/>
        <v>#NAME?</v>
      </c>
      <c r="BD1771" s="399"/>
      <c r="BE1771" s="399"/>
      <c r="BF1771" s="399"/>
      <c r="BG1771" s="540"/>
      <c r="BH1771" s="407"/>
      <c r="BI1771" s="407"/>
      <c r="BJ1771" s="412"/>
      <c r="BK1771" s="46">
        <f t="shared" si="38"/>
        <v>1</v>
      </c>
      <c r="BL1771" s="46">
        <f t="shared" si="3"/>
        <v>0</v>
      </c>
      <c r="BM1771" s="46">
        <f t="shared" si="4"/>
        <v>1</v>
      </c>
      <c r="BN1771" s="46">
        <f t="shared" si="26"/>
        <v>0</v>
      </c>
    </row>
    <row r="1772" spans="1:66" ht="12.75" customHeight="1">
      <c r="A1772" s="399">
        <v>1788</v>
      </c>
      <c r="B1772" s="399" t="s">
        <v>6816</v>
      </c>
      <c r="C1772" s="399" t="str">
        <f t="shared" si="21"/>
        <v>Date of scheduled referral appointment</v>
      </c>
      <c r="D1772" s="400" t="str">
        <f t="shared" si="34"/>
        <v>Date of scheduled referral appointment</v>
      </c>
      <c r="E1772" s="399" t="str">
        <f t="shared" si="33"/>
        <v>Data Element</v>
      </c>
      <c r="F1772" s="400" t="str">
        <f t="shared" si="39"/>
        <v/>
      </c>
      <c r="G1772" s="400"/>
      <c r="H1772" s="400"/>
      <c r="I1772" s="400"/>
      <c r="J1772" s="400"/>
      <c r="K1772" s="400">
        <v>1</v>
      </c>
      <c r="L1772" s="401" t="s">
        <v>6641</v>
      </c>
      <c r="M1772" s="402" t="s">
        <v>3142</v>
      </c>
      <c r="N1772" s="400"/>
      <c r="O1772" s="428" t="s">
        <v>6817</v>
      </c>
      <c r="P1772" s="428" t="s">
        <v>6818</v>
      </c>
      <c r="Q1772" s="399" t="s">
        <v>6819</v>
      </c>
      <c r="R1772" s="428" t="s">
        <v>6816</v>
      </c>
      <c r="S1772" s="399"/>
      <c r="T1772" s="399" t="s">
        <v>6820</v>
      </c>
      <c r="U1772" s="399" t="s">
        <v>3513</v>
      </c>
      <c r="V1772" s="399"/>
      <c r="W1772" s="399"/>
      <c r="X1772" s="400"/>
      <c r="Y1772" s="399"/>
      <c r="Z1772" s="399"/>
      <c r="AA1772" s="399"/>
      <c r="AB1772" s="399"/>
      <c r="AC1772" s="532"/>
      <c r="AD1772" s="400"/>
      <c r="AE1772" s="399"/>
      <c r="AF1772" s="399"/>
      <c r="AG1772" s="399"/>
      <c r="AH1772" s="532"/>
      <c r="AI1772" s="399"/>
      <c r="AJ1772" s="400"/>
      <c r="AK1772" s="399"/>
      <c r="AL1772" s="399"/>
      <c r="AM1772" s="399"/>
      <c r="AN1772" s="399"/>
      <c r="AO1772" s="399"/>
      <c r="AP1772" s="399"/>
      <c r="AQ1772" s="399"/>
      <c r="AR1772" s="399"/>
      <c r="AS1772" s="399"/>
      <c r="AT1772" s="399"/>
      <c r="AU1772" s="399"/>
      <c r="AV1772" s="399"/>
      <c r="AW1772" s="411" t="s">
        <v>6822</v>
      </c>
      <c r="AX1772" s="411"/>
      <c r="AY1772" s="411"/>
      <c r="AZ1772" s="411"/>
      <c r="BA1772" s="411"/>
      <c r="BB1772" s="399"/>
      <c r="BC1772" s="399" t="str">
        <f t="shared" si="37"/>
        <v/>
      </c>
      <c r="BD1772" s="399"/>
      <c r="BE1772" s="399"/>
      <c r="BF1772" s="399"/>
      <c r="BG1772" s="540"/>
      <c r="BH1772" s="407"/>
      <c r="BI1772" s="407"/>
      <c r="BJ1772" s="412" t="s">
        <v>6822</v>
      </c>
      <c r="BK1772" s="46">
        <f t="shared" si="38"/>
        <v>1</v>
      </c>
      <c r="BL1772" s="46">
        <f t="shared" si="3"/>
        <v>0</v>
      </c>
      <c r="BM1772" s="46">
        <f t="shared" si="4"/>
        <v>1</v>
      </c>
      <c r="BN1772" s="46">
        <f t="shared" si="26"/>
        <v>0</v>
      </c>
    </row>
    <row r="1773" spans="1:66" ht="12.75" customHeight="1">
      <c r="A1773" s="399">
        <v>1789</v>
      </c>
      <c r="B1773" s="399" t="s">
        <v>6829</v>
      </c>
      <c r="C1773" s="399" t="str">
        <f t="shared" si="21"/>
        <v>Location of scheduled referral appointment</v>
      </c>
      <c r="D1773" s="400" t="str">
        <f t="shared" si="34"/>
        <v>Location of scheduled referral appointment</v>
      </c>
      <c r="E1773" s="399" t="str">
        <f t="shared" si="33"/>
        <v>Data Element</v>
      </c>
      <c r="F1773" s="400" t="str">
        <f t="shared" si="39"/>
        <v/>
      </c>
      <c r="G1773" s="400"/>
      <c r="H1773" s="400"/>
      <c r="I1773" s="400"/>
      <c r="J1773" s="400"/>
      <c r="K1773" s="400">
        <v>1</v>
      </c>
      <c r="L1773" s="401" t="s">
        <v>6641</v>
      </c>
      <c r="M1773" s="402" t="s">
        <v>3142</v>
      </c>
      <c r="N1773" s="400"/>
      <c r="O1773" s="428" t="s">
        <v>6817</v>
      </c>
      <c r="P1773" s="428" t="s">
        <v>6832</v>
      </c>
      <c r="Q1773" s="399" t="s">
        <v>6833</v>
      </c>
      <c r="R1773" s="428" t="s">
        <v>6829</v>
      </c>
      <c r="S1773" s="399"/>
      <c r="T1773" s="399" t="s">
        <v>6835</v>
      </c>
      <c r="U1773" s="399" t="s">
        <v>6836</v>
      </c>
      <c r="V1773" s="399"/>
      <c r="W1773" s="399"/>
      <c r="X1773" s="400"/>
      <c r="Y1773" s="399"/>
      <c r="Z1773" s="399"/>
      <c r="AA1773" s="399"/>
      <c r="AB1773" s="399"/>
      <c r="AC1773" s="532"/>
      <c r="AD1773" s="400"/>
      <c r="AE1773" s="399"/>
      <c r="AF1773" s="399"/>
      <c r="AG1773" s="399"/>
      <c r="AH1773" s="532"/>
      <c r="AI1773" s="399"/>
      <c r="AJ1773" s="400"/>
      <c r="AK1773" s="399"/>
      <c r="AL1773" s="399"/>
      <c r="AM1773" s="399"/>
      <c r="AN1773" s="399"/>
      <c r="AO1773" s="399"/>
      <c r="AP1773" s="399"/>
      <c r="AQ1773" s="399"/>
      <c r="AR1773" s="399"/>
      <c r="AS1773" s="399"/>
      <c r="AT1773" s="399"/>
      <c r="AU1773" s="399"/>
      <c r="AV1773" s="399"/>
      <c r="AW1773" s="411"/>
      <c r="AX1773" s="411"/>
      <c r="AY1773" s="411"/>
      <c r="AZ1773" s="411"/>
      <c r="BA1773" s="411"/>
      <c r="BB1773" s="399"/>
      <c r="BC1773" s="399" t="str">
        <f t="shared" si="37"/>
        <v/>
      </c>
      <c r="BD1773" s="399"/>
      <c r="BE1773" s="399"/>
      <c r="BF1773" s="399"/>
      <c r="BG1773" s="540"/>
      <c r="BH1773" s="407"/>
      <c r="BI1773" s="407"/>
      <c r="BJ1773" s="412"/>
      <c r="BK1773" s="46">
        <f t="shared" si="38"/>
        <v>1</v>
      </c>
      <c r="BL1773" s="46">
        <f t="shared" si="3"/>
        <v>0</v>
      </c>
      <c r="BM1773" s="46">
        <f t="shared" si="4"/>
        <v>1</v>
      </c>
      <c r="BN1773" s="46">
        <f t="shared" si="26"/>
        <v>0</v>
      </c>
    </row>
    <row r="1774" spans="1:66" ht="12.75" customHeight="1">
      <c r="A1774" s="399">
        <v>1790</v>
      </c>
      <c r="B1774" s="399" t="s">
        <v>6844</v>
      </c>
      <c r="C1774" s="399" t="str">
        <f t="shared" si="21"/>
        <v xml:space="preserve">HIV Referral Recommended Date </v>
      </c>
      <c r="D1774" s="400" t="str">
        <f t="shared" si="34"/>
        <v xml:space="preserve">HIV Referral Recommended Date </v>
      </c>
      <c r="E1774" s="399" t="str">
        <f t="shared" si="33"/>
        <v>Data Element</v>
      </c>
      <c r="F1774" s="400" t="str">
        <f t="shared" si="39"/>
        <v/>
      </c>
      <c r="G1774" s="400"/>
      <c r="H1774" s="400"/>
      <c r="I1774" s="400"/>
      <c r="J1774" s="400"/>
      <c r="K1774" s="400">
        <v>1</v>
      </c>
      <c r="L1774" s="401" t="s">
        <v>6641</v>
      </c>
      <c r="M1774" s="402" t="s">
        <v>3142</v>
      </c>
      <c r="N1774" s="400"/>
      <c r="O1774" s="428" t="s">
        <v>6817</v>
      </c>
      <c r="P1774" s="428" t="s">
        <v>6849</v>
      </c>
      <c r="Q1774" s="399" t="s">
        <v>6850</v>
      </c>
      <c r="R1774" s="428" t="s">
        <v>6844</v>
      </c>
      <c r="S1774" s="399"/>
      <c r="T1774" s="399" t="s">
        <v>6852</v>
      </c>
      <c r="U1774" s="399"/>
      <c r="V1774" s="399"/>
      <c r="W1774" s="399"/>
      <c r="X1774" s="400"/>
      <c r="Y1774" s="399"/>
      <c r="Z1774" s="399"/>
      <c r="AA1774" s="399"/>
      <c r="AB1774" s="399"/>
      <c r="AC1774" s="532"/>
      <c r="AD1774" s="400"/>
      <c r="AE1774" s="399"/>
      <c r="AF1774" s="399"/>
      <c r="AG1774" s="399"/>
      <c r="AH1774" s="532"/>
      <c r="AI1774" s="399"/>
      <c r="AJ1774" s="400"/>
      <c r="AK1774" s="399"/>
      <c r="AL1774" s="399"/>
      <c r="AM1774" s="399"/>
      <c r="AN1774" s="399"/>
      <c r="AO1774" s="399"/>
      <c r="AP1774" s="399"/>
      <c r="AQ1774" s="399"/>
      <c r="AR1774" s="399"/>
      <c r="AS1774" s="399"/>
      <c r="AT1774" s="399"/>
      <c r="AU1774" s="399"/>
      <c r="AV1774" s="399"/>
      <c r="AW1774" s="411" t="s">
        <v>6856</v>
      </c>
      <c r="AX1774" s="411"/>
      <c r="AY1774" s="411"/>
      <c r="AZ1774" s="411"/>
      <c r="BA1774" s="411"/>
      <c r="BB1774" s="399"/>
      <c r="BC1774" s="399" t="str">
        <f t="shared" si="37"/>
        <v/>
      </c>
      <c r="BD1774" s="399"/>
      <c r="BE1774" s="399"/>
      <c r="BF1774" s="399"/>
      <c r="BG1774" s="540"/>
      <c r="BH1774" s="407"/>
      <c r="BI1774" s="407"/>
      <c r="BJ1774" s="412" t="s">
        <v>6856</v>
      </c>
      <c r="BK1774" s="46">
        <f t="shared" si="38"/>
        <v>1</v>
      </c>
      <c r="BL1774" s="46">
        <f t="shared" si="3"/>
        <v>0</v>
      </c>
      <c r="BM1774" s="46">
        <f t="shared" si="4"/>
        <v>1</v>
      </c>
      <c r="BN1774" s="46">
        <f t="shared" si="26"/>
        <v>0</v>
      </c>
    </row>
    <row r="1775" spans="1:66" ht="12.75" customHeight="1">
      <c r="A1775" s="399">
        <v>1791</v>
      </c>
      <c r="B1775" s="399" t="s">
        <v>6859</v>
      </c>
      <c r="C1775" s="399" t="str">
        <f t="shared" si="21"/>
        <v xml:space="preserve">HIV Referral Visit Completed Date </v>
      </c>
      <c r="D1775" s="400" t="str">
        <f t="shared" si="34"/>
        <v xml:space="preserve">HIV Referral Visit Completed Date </v>
      </c>
      <c r="E1775" s="399" t="str">
        <f t="shared" si="33"/>
        <v>Data Element</v>
      </c>
      <c r="F1775" s="400" t="str">
        <f t="shared" si="39"/>
        <v/>
      </c>
      <c r="G1775" s="400"/>
      <c r="H1775" s="400"/>
      <c r="I1775" s="400"/>
      <c r="J1775" s="400"/>
      <c r="K1775" s="400">
        <v>1</v>
      </c>
      <c r="L1775" s="401" t="s">
        <v>6641</v>
      </c>
      <c r="M1775" s="402" t="s">
        <v>3142</v>
      </c>
      <c r="N1775" s="400"/>
      <c r="O1775" s="428" t="s">
        <v>6817</v>
      </c>
      <c r="P1775" s="428" t="s">
        <v>6861</v>
      </c>
      <c r="Q1775" s="399" t="s">
        <v>6862</v>
      </c>
      <c r="R1775" s="428" t="s">
        <v>6859</v>
      </c>
      <c r="S1775" s="399"/>
      <c r="T1775" s="399" t="s">
        <v>6863</v>
      </c>
      <c r="U1775" s="399"/>
      <c r="V1775" s="399"/>
      <c r="W1775" s="399"/>
      <c r="X1775" s="400"/>
      <c r="Y1775" s="399"/>
      <c r="Z1775" s="399"/>
      <c r="AA1775" s="399"/>
      <c r="AB1775" s="399"/>
      <c r="AC1775" s="532"/>
      <c r="AD1775" s="400"/>
      <c r="AE1775" s="399"/>
      <c r="AF1775" s="399"/>
      <c r="AG1775" s="399"/>
      <c r="AH1775" s="532"/>
      <c r="AI1775" s="399"/>
      <c r="AJ1775" s="400"/>
      <c r="AK1775" s="399"/>
      <c r="AL1775" s="399"/>
      <c r="AM1775" s="399"/>
      <c r="AN1775" s="399"/>
      <c r="AO1775" s="399"/>
      <c r="AP1775" s="399"/>
      <c r="AQ1775" s="399"/>
      <c r="AR1775" s="399"/>
      <c r="AS1775" s="399"/>
      <c r="AT1775" s="399"/>
      <c r="AU1775" s="399"/>
      <c r="AV1775" s="399"/>
      <c r="AW1775" s="411"/>
      <c r="AX1775" s="411"/>
      <c r="AY1775" s="411"/>
      <c r="AZ1775" s="411"/>
      <c r="BA1775" s="411"/>
      <c r="BB1775" s="399"/>
      <c r="BC1775" s="399" t="str">
        <f t="shared" si="37"/>
        <v/>
      </c>
      <c r="BD1775" s="399"/>
      <c r="BE1775" s="399"/>
      <c r="BF1775" s="399"/>
      <c r="BG1775" s="540"/>
      <c r="BH1775" s="407"/>
      <c r="BI1775" s="407"/>
      <c r="BJ1775" s="412"/>
      <c r="BK1775" s="46">
        <f t="shared" si="38"/>
        <v>1</v>
      </c>
      <c r="BL1775" s="46">
        <f t="shared" si="3"/>
        <v>0</v>
      </c>
      <c r="BM1775" s="46">
        <f t="shared" si="4"/>
        <v>1</v>
      </c>
      <c r="BN1775" s="46">
        <f t="shared" si="26"/>
        <v>0</v>
      </c>
    </row>
    <row r="1776" spans="1:66" ht="12.75" customHeight="1">
      <c r="A1776" s="399">
        <v>1792</v>
      </c>
      <c r="B1776" s="399" t="s">
        <v>6867</v>
      </c>
      <c r="C1776" s="399" t="str">
        <f t="shared" si="21"/>
        <v xml:space="preserve">Date referral was made
</v>
      </c>
      <c r="D1776" s="400" t="str">
        <f t="shared" si="34"/>
        <v xml:space="preserve">Date referral was made
</v>
      </c>
      <c r="E1776" s="399" t="str">
        <f t="shared" si="33"/>
        <v>Data Element</v>
      </c>
      <c r="F1776" s="400" t="str">
        <f t="shared" si="39"/>
        <v/>
      </c>
      <c r="G1776" s="400"/>
      <c r="H1776" s="400"/>
      <c r="I1776" s="400"/>
      <c r="J1776" s="400"/>
      <c r="K1776" s="400">
        <v>1</v>
      </c>
      <c r="L1776" s="401" t="s">
        <v>6641</v>
      </c>
      <c r="M1776" s="402" t="s">
        <v>3142</v>
      </c>
      <c r="N1776" s="400"/>
      <c r="O1776" s="428" t="s">
        <v>6868</v>
      </c>
      <c r="P1776" s="428" t="s">
        <v>6869</v>
      </c>
      <c r="Q1776" s="399" t="s">
        <v>6870</v>
      </c>
      <c r="R1776" s="428" t="s">
        <v>6867</v>
      </c>
      <c r="S1776" s="399"/>
      <c r="T1776" s="399" t="s">
        <v>6871</v>
      </c>
      <c r="U1776" s="399" t="s">
        <v>3513</v>
      </c>
      <c r="V1776" s="399"/>
      <c r="W1776" s="399"/>
      <c r="X1776" s="400"/>
      <c r="Y1776" s="399"/>
      <c r="Z1776" s="399"/>
      <c r="AA1776" s="399"/>
      <c r="AB1776" s="399"/>
      <c r="AC1776" s="532"/>
      <c r="AD1776" s="400"/>
      <c r="AE1776" s="399"/>
      <c r="AF1776" s="399"/>
      <c r="AG1776" s="399"/>
      <c r="AH1776" s="532"/>
      <c r="AI1776" s="399"/>
      <c r="AJ1776" s="400"/>
      <c r="AK1776" s="399"/>
      <c r="AL1776" s="399"/>
      <c r="AM1776" s="399"/>
      <c r="AN1776" s="399"/>
      <c r="AO1776" s="399"/>
      <c r="AP1776" s="399"/>
      <c r="AQ1776" s="399"/>
      <c r="AR1776" s="399"/>
      <c r="AS1776" s="399"/>
      <c r="AT1776" s="399"/>
      <c r="AU1776" s="399"/>
      <c r="AV1776" s="399"/>
      <c r="AW1776" s="411"/>
      <c r="AX1776" s="411"/>
      <c r="AY1776" s="411"/>
      <c r="AZ1776" s="411"/>
      <c r="BA1776" s="411"/>
      <c r="BB1776" s="399"/>
      <c r="BC1776" s="399" t="str">
        <f t="shared" si="37"/>
        <v/>
      </c>
      <c r="BD1776" s="399"/>
      <c r="BE1776" s="399"/>
      <c r="BF1776" s="399"/>
      <c r="BG1776" s="540"/>
      <c r="BH1776" s="407"/>
      <c r="BI1776" s="407"/>
      <c r="BJ1776" s="412"/>
      <c r="BK1776" s="46">
        <f t="shared" si="38"/>
        <v>1</v>
      </c>
      <c r="BL1776" s="46">
        <f t="shared" si="3"/>
        <v>0</v>
      </c>
      <c r="BM1776" s="46">
        <f t="shared" si="4"/>
        <v>1</v>
      </c>
      <c r="BN1776" s="46">
        <f t="shared" si="26"/>
        <v>0</v>
      </c>
    </row>
    <row r="1777" spans="1:66" ht="12.75" customHeight="1">
      <c r="A1777" s="399">
        <v>1793</v>
      </c>
      <c r="B1777" s="399" t="s">
        <v>6875</v>
      </c>
      <c r="C1777" s="399" t="str">
        <f t="shared" si="21"/>
        <v xml:space="preserve">Existing co-illness </v>
      </c>
      <c r="D1777" s="400" t="str">
        <f t="shared" si="34"/>
        <v xml:space="preserve">Existing co-illness </v>
      </c>
      <c r="E1777" s="399" t="str">
        <f t="shared" si="33"/>
        <v>Data Element</v>
      </c>
      <c r="F1777" s="400" t="str">
        <f t="shared" si="39"/>
        <v/>
      </c>
      <c r="G1777" s="400"/>
      <c r="H1777" s="400"/>
      <c r="I1777" s="400"/>
      <c r="J1777" s="400"/>
      <c r="K1777" s="400">
        <v>1</v>
      </c>
      <c r="L1777" s="401" t="s">
        <v>6641</v>
      </c>
      <c r="M1777" s="402" t="s">
        <v>4485</v>
      </c>
      <c r="N1777" s="402"/>
      <c r="O1777" s="428" t="s">
        <v>6868</v>
      </c>
      <c r="P1777" s="428" t="s">
        <v>6876</v>
      </c>
      <c r="Q1777" s="399" t="s">
        <v>6877</v>
      </c>
      <c r="R1777" s="428" t="s">
        <v>6875</v>
      </c>
      <c r="S1777" s="399"/>
      <c r="T1777" s="399" t="s">
        <v>6878</v>
      </c>
      <c r="U1777" s="399" t="s">
        <v>6879</v>
      </c>
      <c r="V1777" s="399"/>
      <c r="W1777" s="399"/>
      <c r="X1777" s="400"/>
      <c r="Y1777" s="399"/>
      <c r="Z1777" s="399"/>
      <c r="AA1777" s="399"/>
      <c r="AB1777" s="399"/>
      <c r="AC1777" s="532"/>
      <c r="AD1777" s="400"/>
      <c r="AE1777" s="399"/>
      <c r="AF1777" s="399"/>
      <c r="AG1777" s="399"/>
      <c r="AH1777" s="532"/>
      <c r="AI1777" s="399"/>
      <c r="AJ1777" s="400"/>
      <c r="AK1777" s="399"/>
      <c r="AL1777" s="399"/>
      <c r="AM1777" s="399"/>
      <c r="AN1777" s="399"/>
      <c r="AO1777" s="399"/>
      <c r="AP1777" s="399"/>
      <c r="AQ1777" s="399"/>
      <c r="AR1777" s="399"/>
      <c r="AS1777" s="399"/>
      <c r="AT1777" s="399"/>
      <c r="AU1777" s="399"/>
      <c r="AV1777" s="399"/>
      <c r="AW1777" s="411"/>
      <c r="AX1777" s="411"/>
      <c r="AY1777" s="411"/>
      <c r="AZ1777" s="411"/>
      <c r="BA1777" s="411"/>
      <c r="BB1777" s="399"/>
      <c r="BC1777" s="399" t="str">
        <f t="shared" si="37"/>
        <v/>
      </c>
      <c r="BD1777" s="399"/>
      <c r="BE1777" s="399"/>
      <c r="BF1777" s="399"/>
      <c r="BG1777" s="540"/>
      <c r="BH1777" s="407"/>
      <c r="BI1777" s="407"/>
      <c r="BJ1777" s="412"/>
      <c r="BK1777" s="46">
        <f t="shared" si="38"/>
        <v>1</v>
      </c>
      <c r="BL1777" s="46">
        <f t="shared" si="3"/>
        <v>0</v>
      </c>
      <c r="BM1777" s="46">
        <f t="shared" si="4"/>
        <v>1</v>
      </c>
      <c r="BN1777" s="46">
        <f t="shared" si="26"/>
        <v>0</v>
      </c>
    </row>
    <row r="1778" spans="1:66" ht="12.75" customHeight="1">
      <c r="A1778" s="399">
        <v>1794</v>
      </c>
      <c r="B1778" s="399" t="s">
        <v>6881</v>
      </c>
      <c r="C1778" s="399" t="e">
        <f t="shared" ca="1" si="21"/>
        <v>#NAME?</v>
      </c>
      <c r="D1778" s="400" t="str">
        <f t="shared" si="34"/>
        <v>Conditions</v>
      </c>
      <c r="E1778" s="399" t="str">
        <f t="shared" si="33"/>
        <v>Input Option</v>
      </c>
      <c r="F1778" s="400" t="str">
        <f t="shared" si="39"/>
        <v xml:space="preserve">Existing co-illness </v>
      </c>
      <c r="G1778" s="400"/>
      <c r="H1778" s="400"/>
      <c r="I1778" s="400"/>
      <c r="J1778" s="400"/>
      <c r="K1778" s="400">
        <v>1</v>
      </c>
      <c r="L1778" s="401" t="s">
        <v>6641</v>
      </c>
      <c r="M1778" s="402" t="s">
        <v>4485</v>
      </c>
      <c r="N1778" s="402"/>
      <c r="O1778" s="428" t="s">
        <v>6868</v>
      </c>
      <c r="P1778" s="428"/>
      <c r="Q1778" s="399"/>
      <c r="R1778" s="428"/>
      <c r="S1778" s="399"/>
      <c r="T1778" s="399"/>
      <c r="U1778" s="399"/>
      <c r="V1778" s="399"/>
      <c r="W1778" s="399" t="s">
        <v>6882</v>
      </c>
      <c r="X1778" s="400"/>
      <c r="Y1778" s="399"/>
      <c r="Z1778" s="399"/>
      <c r="AA1778" s="399"/>
      <c r="AB1778" s="399"/>
      <c r="AC1778" s="532"/>
      <c r="AD1778" s="400"/>
      <c r="AE1778" s="399"/>
      <c r="AF1778" s="399"/>
      <c r="AG1778" s="399"/>
      <c r="AH1778" s="532"/>
      <c r="AI1778" s="399"/>
      <c r="AJ1778" s="400"/>
      <c r="AK1778" s="399"/>
      <c r="AL1778" s="399"/>
      <c r="AM1778" s="399"/>
      <c r="AN1778" s="399"/>
      <c r="AO1778" s="399"/>
      <c r="AP1778" s="399"/>
      <c r="AQ1778" s="399"/>
      <c r="AR1778" s="399"/>
      <c r="AS1778" s="399"/>
      <c r="AT1778" s="399"/>
      <c r="AU1778" s="399"/>
      <c r="AV1778" s="399"/>
      <c r="AW1778" s="411"/>
      <c r="AX1778" s="411"/>
      <c r="AY1778" s="411"/>
      <c r="AZ1778" s="411"/>
      <c r="BA1778" s="411"/>
      <c r="BB1778" s="399"/>
      <c r="BC1778" s="399" t="e">
        <f t="shared" ca="1" si="37"/>
        <v>#NAME?</v>
      </c>
      <c r="BD1778" s="399"/>
      <c r="BE1778" s="399"/>
      <c r="BF1778" s="399"/>
      <c r="BG1778" s="540"/>
      <c r="BH1778" s="407"/>
      <c r="BI1778" s="407"/>
      <c r="BJ1778" s="412"/>
      <c r="BK1778" s="46">
        <f t="shared" si="38"/>
        <v>1</v>
      </c>
      <c r="BL1778" s="46">
        <f t="shared" si="3"/>
        <v>0</v>
      </c>
      <c r="BM1778" s="46">
        <f t="shared" si="4"/>
        <v>1</v>
      </c>
      <c r="BN1778" s="46">
        <f t="shared" si="26"/>
        <v>0</v>
      </c>
    </row>
    <row r="1779" spans="1:66" ht="12.75" customHeight="1">
      <c r="A1779" s="399">
        <v>1795</v>
      </c>
      <c r="B1779" s="399" t="s">
        <v>6885</v>
      </c>
      <c r="C1779" s="399" t="str">
        <f t="shared" si="21"/>
        <v xml:space="preserve">Known allergies </v>
      </c>
      <c r="D1779" s="400" t="str">
        <f t="shared" si="34"/>
        <v xml:space="preserve">Known allergies </v>
      </c>
      <c r="E1779" s="399" t="str">
        <f t="shared" si="33"/>
        <v>Data Element</v>
      </c>
      <c r="F1779" s="400" t="str">
        <f t="shared" si="39"/>
        <v/>
      </c>
      <c r="G1779" s="400"/>
      <c r="H1779" s="400"/>
      <c r="I1779" s="400"/>
      <c r="J1779" s="400"/>
      <c r="K1779" s="400">
        <v>1</v>
      </c>
      <c r="L1779" s="401" t="s">
        <v>6641</v>
      </c>
      <c r="M1779" s="402" t="s">
        <v>4485</v>
      </c>
      <c r="N1779" s="400"/>
      <c r="O1779" s="428" t="s">
        <v>6868</v>
      </c>
      <c r="P1779" s="428" t="s">
        <v>6399</v>
      </c>
      <c r="Q1779" s="399" t="s">
        <v>6888</v>
      </c>
      <c r="R1779" s="428" t="s">
        <v>6885</v>
      </c>
      <c r="S1779" s="399"/>
      <c r="T1779" s="399" t="s">
        <v>6400</v>
      </c>
      <c r="U1779" s="399" t="s">
        <v>6879</v>
      </c>
      <c r="V1779" s="399"/>
      <c r="W1779" s="399"/>
      <c r="X1779" s="400"/>
      <c r="Y1779" s="399"/>
      <c r="Z1779" s="399"/>
      <c r="AA1779" s="399"/>
      <c r="AB1779" s="399"/>
      <c r="AC1779" s="532"/>
      <c r="AD1779" s="400"/>
      <c r="AE1779" s="399"/>
      <c r="AF1779" s="399"/>
      <c r="AG1779" s="399"/>
      <c r="AH1779" s="532"/>
      <c r="AI1779" s="399"/>
      <c r="AJ1779" s="400"/>
      <c r="AK1779" s="399"/>
      <c r="AL1779" s="399"/>
      <c r="AM1779" s="399"/>
      <c r="AN1779" s="399"/>
      <c r="AO1779" s="399"/>
      <c r="AP1779" s="399"/>
      <c r="AQ1779" s="399"/>
      <c r="AR1779" s="399"/>
      <c r="AS1779" s="399"/>
      <c r="AT1779" s="399"/>
      <c r="AU1779" s="399"/>
      <c r="AV1779" s="399"/>
      <c r="AW1779" s="411"/>
      <c r="AX1779" s="411"/>
      <c r="AY1779" s="411"/>
      <c r="AZ1779" s="411"/>
      <c r="BA1779" s="411"/>
      <c r="BB1779" s="399"/>
      <c r="BC1779" s="399" t="str">
        <f t="shared" si="37"/>
        <v/>
      </c>
      <c r="BD1779" s="399"/>
      <c r="BE1779" s="399"/>
      <c r="BF1779" s="399"/>
      <c r="BG1779" s="540"/>
      <c r="BH1779" s="407"/>
      <c r="BI1779" s="407"/>
      <c r="BJ1779" s="412"/>
      <c r="BK1779" s="46">
        <f t="shared" si="38"/>
        <v>1</v>
      </c>
      <c r="BL1779" s="46">
        <f t="shared" si="3"/>
        <v>0</v>
      </c>
      <c r="BM1779" s="46">
        <f t="shared" si="4"/>
        <v>1</v>
      </c>
      <c r="BN1779" s="46">
        <f t="shared" si="26"/>
        <v>0</v>
      </c>
    </row>
    <row r="1780" spans="1:66" ht="12.75" customHeight="1">
      <c r="A1780" s="399">
        <v>1796</v>
      </c>
      <c r="B1780" s="399" t="s">
        <v>6890</v>
      </c>
      <c r="C1780" s="399" t="str">
        <f t="shared" si="21"/>
        <v xml:space="preserve">Procedures performed prior to referral </v>
      </c>
      <c r="D1780" s="400" t="str">
        <f t="shared" si="34"/>
        <v xml:space="preserve">Procedures performed prior to referral </v>
      </c>
      <c r="E1780" s="399" t="str">
        <f t="shared" si="33"/>
        <v>Data Element</v>
      </c>
      <c r="F1780" s="400" t="str">
        <f t="shared" si="39"/>
        <v/>
      </c>
      <c r="G1780" s="400"/>
      <c r="H1780" s="400"/>
      <c r="I1780" s="400"/>
      <c r="J1780" s="400"/>
      <c r="K1780" s="400">
        <v>1</v>
      </c>
      <c r="L1780" s="401" t="s">
        <v>6641</v>
      </c>
      <c r="M1780" s="402" t="s">
        <v>4485</v>
      </c>
      <c r="N1780" s="400"/>
      <c r="O1780" s="428" t="s">
        <v>6868</v>
      </c>
      <c r="P1780" s="428" t="s">
        <v>6891</v>
      </c>
      <c r="Q1780" s="399" t="s">
        <v>6892</v>
      </c>
      <c r="R1780" s="428" t="s">
        <v>6890</v>
      </c>
      <c r="S1780" s="399"/>
      <c r="T1780" s="399" t="s">
        <v>6893</v>
      </c>
      <c r="U1780" s="399" t="s">
        <v>6879</v>
      </c>
      <c r="V1780" s="399"/>
      <c r="W1780" s="399"/>
      <c r="X1780" s="400"/>
      <c r="Y1780" s="399"/>
      <c r="Z1780" s="399"/>
      <c r="AA1780" s="399"/>
      <c r="AB1780" s="399"/>
      <c r="AC1780" s="532"/>
      <c r="AD1780" s="400"/>
      <c r="AE1780" s="399"/>
      <c r="AF1780" s="399"/>
      <c r="AG1780" s="399"/>
      <c r="AH1780" s="532"/>
      <c r="AI1780" s="399"/>
      <c r="AJ1780" s="400"/>
      <c r="AK1780" s="399"/>
      <c r="AL1780" s="399"/>
      <c r="AM1780" s="399"/>
      <c r="AN1780" s="399"/>
      <c r="AO1780" s="399"/>
      <c r="AP1780" s="399"/>
      <c r="AQ1780" s="399"/>
      <c r="AR1780" s="399"/>
      <c r="AS1780" s="399"/>
      <c r="AT1780" s="399"/>
      <c r="AU1780" s="399"/>
      <c r="AV1780" s="399"/>
      <c r="AW1780" s="411"/>
      <c r="AX1780" s="411"/>
      <c r="AY1780" s="411"/>
      <c r="AZ1780" s="411"/>
      <c r="BA1780" s="411"/>
      <c r="BB1780" s="399"/>
      <c r="BC1780" s="399" t="str">
        <f t="shared" si="37"/>
        <v/>
      </c>
      <c r="BD1780" s="399"/>
      <c r="BE1780" s="399"/>
      <c r="BF1780" s="399"/>
      <c r="BG1780" s="540"/>
      <c r="BH1780" s="407"/>
      <c r="BI1780" s="407"/>
      <c r="BJ1780" s="412"/>
      <c r="BK1780" s="46">
        <f t="shared" si="38"/>
        <v>1</v>
      </c>
      <c r="BL1780" s="46">
        <f t="shared" si="3"/>
        <v>0</v>
      </c>
      <c r="BM1780" s="46">
        <f t="shared" si="4"/>
        <v>1</v>
      </c>
      <c r="BN1780" s="46">
        <f t="shared" si="26"/>
        <v>0</v>
      </c>
    </row>
    <row r="1781" spans="1:66" ht="12.75" customHeight="1">
      <c r="A1781" s="399">
        <v>1797</v>
      </c>
      <c r="B1781" s="399" t="s">
        <v>6895</v>
      </c>
      <c r="C1781" s="399" t="str">
        <f t="shared" si="21"/>
        <v>visit notes</v>
      </c>
      <c r="D1781" s="400" t="str">
        <f t="shared" si="34"/>
        <v>visit notes</v>
      </c>
      <c r="E1781" s="399" t="str">
        <f t="shared" si="33"/>
        <v>Data Element</v>
      </c>
      <c r="F1781" s="400" t="str">
        <f t="shared" si="39"/>
        <v/>
      </c>
      <c r="G1781" s="400"/>
      <c r="H1781" s="400"/>
      <c r="I1781" s="400"/>
      <c r="J1781" s="400"/>
      <c r="K1781" s="400">
        <v>1</v>
      </c>
      <c r="L1781" s="401" t="s">
        <v>6641</v>
      </c>
      <c r="M1781" s="402" t="s">
        <v>4485</v>
      </c>
      <c r="N1781" s="400"/>
      <c r="O1781" s="428" t="s">
        <v>6868</v>
      </c>
      <c r="P1781" s="428" t="s">
        <v>6896</v>
      </c>
      <c r="Q1781" s="399" t="s">
        <v>6897</v>
      </c>
      <c r="R1781" s="428" t="s">
        <v>6895</v>
      </c>
      <c r="S1781" s="399"/>
      <c r="T1781" s="399" t="s">
        <v>6898</v>
      </c>
      <c r="U1781" s="399" t="s">
        <v>6879</v>
      </c>
      <c r="V1781" s="399"/>
      <c r="W1781" s="399"/>
      <c r="X1781" s="400"/>
      <c r="Y1781" s="399"/>
      <c r="Z1781" s="399"/>
      <c r="AA1781" s="399"/>
      <c r="AB1781" s="399"/>
      <c r="AC1781" s="532"/>
      <c r="AD1781" s="400"/>
      <c r="AE1781" s="399"/>
      <c r="AF1781" s="399"/>
      <c r="AG1781" s="399"/>
      <c r="AH1781" s="532"/>
      <c r="AI1781" s="399"/>
      <c r="AJ1781" s="400"/>
      <c r="AK1781" s="399"/>
      <c r="AL1781" s="399"/>
      <c r="AM1781" s="399"/>
      <c r="AN1781" s="399"/>
      <c r="AO1781" s="399"/>
      <c r="AP1781" s="399"/>
      <c r="AQ1781" s="399"/>
      <c r="AR1781" s="399"/>
      <c r="AS1781" s="399"/>
      <c r="AT1781" s="399"/>
      <c r="AU1781" s="399"/>
      <c r="AV1781" s="399"/>
      <c r="AW1781" s="411"/>
      <c r="AX1781" s="411"/>
      <c r="AY1781" s="411"/>
      <c r="AZ1781" s="411"/>
      <c r="BA1781" s="411"/>
      <c r="BB1781" s="399"/>
      <c r="BC1781" s="399" t="str">
        <f t="shared" si="37"/>
        <v/>
      </c>
      <c r="BD1781" s="399"/>
      <c r="BE1781" s="399"/>
      <c r="BF1781" s="399"/>
      <c r="BG1781" s="540"/>
      <c r="BH1781" s="407"/>
      <c r="BI1781" s="407"/>
      <c r="BJ1781" s="412"/>
      <c r="BK1781" s="46">
        <f t="shared" si="38"/>
        <v>1</v>
      </c>
      <c r="BL1781" s="46">
        <f t="shared" si="3"/>
        <v>0</v>
      </c>
      <c r="BM1781" s="46">
        <f t="shared" si="4"/>
        <v>1</v>
      </c>
      <c r="BN1781" s="46">
        <f t="shared" si="26"/>
        <v>0</v>
      </c>
    </row>
    <row r="1782" spans="1:66" ht="12.75" customHeight="1">
      <c r="A1782" s="399">
        <v>1798</v>
      </c>
      <c r="B1782" s="399" t="s">
        <v>647</v>
      </c>
      <c r="C1782" s="399" t="str">
        <f t="shared" si="21"/>
        <v>Obstetric History</v>
      </c>
      <c r="D1782" s="400" t="str">
        <f t="shared" si="34"/>
        <v>Obstetric History</v>
      </c>
      <c r="E1782" s="399" t="str">
        <f t="shared" si="33"/>
        <v>Data Element</v>
      </c>
      <c r="F1782" s="400" t="str">
        <f t="shared" si="39"/>
        <v/>
      </c>
      <c r="G1782" s="400"/>
      <c r="H1782" s="400"/>
      <c r="I1782" s="400"/>
      <c r="J1782" s="400"/>
      <c r="K1782" s="400">
        <v>1</v>
      </c>
      <c r="L1782" s="401" t="s">
        <v>6641</v>
      </c>
      <c r="M1782" s="402" t="s">
        <v>3476</v>
      </c>
      <c r="N1782" s="400"/>
      <c r="O1782" s="428" t="s">
        <v>6868</v>
      </c>
      <c r="P1782" s="428"/>
      <c r="Q1782" s="399"/>
      <c r="R1782" s="428" t="s">
        <v>647</v>
      </c>
      <c r="S1782" s="399"/>
      <c r="T1782" s="399"/>
      <c r="U1782" s="399" t="s">
        <v>6879</v>
      </c>
      <c r="V1782" s="399"/>
      <c r="W1782" s="399"/>
      <c r="X1782" s="400"/>
      <c r="Y1782" s="399"/>
      <c r="Z1782" s="399"/>
      <c r="AA1782" s="399"/>
      <c r="AB1782" s="399"/>
      <c r="AC1782" s="532"/>
      <c r="AD1782" s="400"/>
      <c r="AE1782" s="399"/>
      <c r="AF1782" s="399"/>
      <c r="AG1782" s="399"/>
      <c r="AH1782" s="532"/>
      <c r="AI1782" s="399"/>
      <c r="AJ1782" s="400"/>
      <c r="AK1782" s="399"/>
      <c r="AL1782" s="399"/>
      <c r="AM1782" s="399"/>
      <c r="AN1782" s="399"/>
      <c r="AO1782" s="399"/>
      <c r="AP1782" s="399"/>
      <c r="AQ1782" s="399"/>
      <c r="AR1782" s="399"/>
      <c r="AS1782" s="399"/>
      <c r="AT1782" s="399"/>
      <c r="AU1782" s="399"/>
      <c r="AV1782" s="399"/>
      <c r="AW1782" s="411"/>
      <c r="AX1782" s="411"/>
      <c r="AY1782" s="411"/>
      <c r="AZ1782" s="411"/>
      <c r="BA1782" s="411"/>
      <c r="BB1782" s="399"/>
      <c r="BC1782" s="399" t="str">
        <f t="shared" si="37"/>
        <v/>
      </c>
      <c r="BD1782" s="399"/>
      <c r="BE1782" s="399"/>
      <c r="BF1782" s="399"/>
      <c r="BG1782" s="540"/>
      <c r="BH1782" s="407"/>
      <c r="BI1782" s="407"/>
      <c r="BJ1782" s="412"/>
      <c r="BK1782" s="46">
        <f t="shared" si="38"/>
        <v>1</v>
      </c>
      <c r="BL1782" s="46">
        <f t="shared" si="3"/>
        <v>0</v>
      </c>
      <c r="BM1782" s="46">
        <f t="shared" si="4"/>
        <v>1</v>
      </c>
      <c r="BN1782" s="46">
        <f t="shared" si="26"/>
        <v>0</v>
      </c>
    </row>
    <row r="1783" spans="1:66" ht="12.75" customHeight="1">
      <c r="A1783" s="399">
        <v>1799</v>
      </c>
      <c r="B1783" s="399" t="s">
        <v>6907</v>
      </c>
      <c r="C1783" s="399" t="str">
        <f t="shared" si="21"/>
        <v>Level of urgency for the referral</v>
      </c>
      <c r="D1783" s="400" t="str">
        <f t="shared" si="34"/>
        <v>Level of urgency for the referral</v>
      </c>
      <c r="E1783" s="399" t="str">
        <f t="shared" si="33"/>
        <v>Data Element</v>
      </c>
      <c r="F1783" s="400" t="str">
        <f t="shared" si="39"/>
        <v/>
      </c>
      <c r="G1783" s="400"/>
      <c r="H1783" s="400"/>
      <c r="I1783" s="400"/>
      <c r="J1783" s="400"/>
      <c r="K1783" s="400">
        <v>1</v>
      </c>
      <c r="L1783" s="401" t="s">
        <v>6641</v>
      </c>
      <c r="M1783" s="402" t="s">
        <v>3142</v>
      </c>
      <c r="N1783" s="402" t="s">
        <v>6909</v>
      </c>
      <c r="O1783" s="428" t="s">
        <v>6868</v>
      </c>
      <c r="P1783" s="428" t="s">
        <v>6910</v>
      </c>
      <c r="Q1783" s="399" t="s">
        <v>6911</v>
      </c>
      <c r="R1783" s="428" t="s">
        <v>6907</v>
      </c>
      <c r="S1783" s="399"/>
      <c r="T1783" s="399" t="s">
        <v>6912</v>
      </c>
      <c r="U1783" s="399" t="s">
        <v>6913</v>
      </c>
      <c r="V1783" s="399"/>
      <c r="W1783" s="399"/>
      <c r="X1783" s="400"/>
      <c r="Y1783" s="399"/>
      <c r="Z1783" s="399"/>
      <c r="AA1783" s="399"/>
      <c r="AB1783" s="399"/>
      <c r="AC1783" s="532"/>
      <c r="AD1783" s="400"/>
      <c r="AE1783" s="399"/>
      <c r="AF1783" s="399"/>
      <c r="AG1783" s="399"/>
      <c r="AH1783" s="532"/>
      <c r="AI1783" s="399"/>
      <c r="AJ1783" s="400"/>
      <c r="AK1783" s="399"/>
      <c r="AL1783" s="399"/>
      <c r="AM1783" s="399"/>
      <c r="AN1783" s="399"/>
      <c r="AO1783" s="399"/>
      <c r="AP1783" s="399"/>
      <c r="AQ1783" s="399"/>
      <c r="AR1783" s="399"/>
      <c r="AS1783" s="399"/>
      <c r="AT1783" s="399"/>
      <c r="AU1783" s="399"/>
      <c r="AV1783" s="399"/>
      <c r="AW1783" s="411"/>
      <c r="AX1783" s="411"/>
      <c r="AY1783" s="411"/>
      <c r="AZ1783" s="411"/>
      <c r="BA1783" s="411"/>
      <c r="BB1783" s="438" t="str">
        <f>HYPERLINK("https://github.com/who-int/Data-Dictionary-Mapping/issues/14","14 (also 6)")</f>
        <v>14 (also 6)</v>
      </c>
      <c r="BC1783" s="399" t="str">
        <f t="shared" si="37"/>
        <v/>
      </c>
      <c r="BD1783" s="399"/>
      <c r="BE1783" s="399"/>
      <c r="BF1783" s="399"/>
      <c r="BG1783" s="540"/>
      <c r="BH1783" s="407"/>
      <c r="BI1783" s="407"/>
      <c r="BJ1783" s="412"/>
      <c r="BK1783" s="46">
        <f t="shared" si="38"/>
        <v>1</v>
      </c>
      <c r="BL1783" s="46">
        <f t="shared" si="3"/>
        <v>0</v>
      </c>
      <c r="BM1783" s="46">
        <f t="shared" si="4"/>
        <v>1</v>
      </c>
      <c r="BN1783" s="46">
        <f t="shared" si="26"/>
        <v>0</v>
      </c>
    </row>
    <row r="1784" spans="1:66" ht="12.75" customHeight="1">
      <c r="A1784" s="399">
        <v>1800</v>
      </c>
      <c r="B1784" s="399" t="s">
        <v>6919</v>
      </c>
      <c r="C1784" s="399" t="str">
        <f t="shared" si="21"/>
        <v>Contact and address of primary provider</v>
      </c>
      <c r="D1784" s="400" t="str">
        <f t="shared" si="34"/>
        <v>Contact and address of primary provider</v>
      </c>
      <c r="E1784" s="399" t="str">
        <f t="shared" si="33"/>
        <v>Data Element</v>
      </c>
      <c r="F1784" s="400" t="str">
        <f t="shared" si="39"/>
        <v/>
      </c>
      <c r="G1784" s="400"/>
      <c r="H1784" s="400"/>
      <c r="I1784" s="400"/>
      <c r="J1784" s="400"/>
      <c r="K1784" s="400">
        <v>1</v>
      </c>
      <c r="L1784" s="401" t="s">
        <v>6641</v>
      </c>
      <c r="M1784" s="402" t="s">
        <v>3093</v>
      </c>
      <c r="N1784" s="400"/>
      <c r="O1784" s="428" t="s">
        <v>6868</v>
      </c>
      <c r="P1784" s="428" t="s">
        <v>6920</v>
      </c>
      <c r="Q1784" s="399" t="s">
        <v>6921</v>
      </c>
      <c r="R1784" s="428" t="s">
        <v>6919</v>
      </c>
      <c r="S1784" s="399"/>
      <c r="T1784" s="399" t="s">
        <v>6923</v>
      </c>
      <c r="U1784" s="399" t="s">
        <v>6879</v>
      </c>
      <c r="V1784" s="399"/>
      <c r="W1784" s="399"/>
      <c r="X1784" s="400"/>
      <c r="Y1784" s="399"/>
      <c r="Z1784" s="399"/>
      <c r="AA1784" s="399"/>
      <c r="AB1784" s="399"/>
      <c r="AC1784" s="532"/>
      <c r="AD1784" s="400"/>
      <c r="AE1784" s="399"/>
      <c r="AF1784" s="399"/>
      <c r="AG1784" s="399"/>
      <c r="AH1784" s="532"/>
      <c r="AI1784" s="399"/>
      <c r="AJ1784" s="400"/>
      <c r="AK1784" s="399"/>
      <c r="AL1784" s="409" t="s">
        <v>6925</v>
      </c>
      <c r="AM1784" s="399"/>
      <c r="AN1784" s="399"/>
      <c r="AO1784" s="409" t="s">
        <v>3100</v>
      </c>
      <c r="AP1784" s="399"/>
      <c r="AQ1784" s="399"/>
      <c r="AR1784" s="399"/>
      <c r="AS1784" s="399"/>
      <c r="AT1784" s="399"/>
      <c r="AU1784" s="399"/>
      <c r="AV1784" s="399"/>
      <c r="AW1784" s="411"/>
      <c r="AX1784" s="411"/>
      <c r="AY1784" s="411"/>
      <c r="AZ1784" s="411"/>
      <c r="BA1784" s="411"/>
      <c r="BB1784" s="399"/>
      <c r="BC1784" s="399" t="str">
        <f t="shared" si="37"/>
        <v/>
      </c>
      <c r="BD1784" s="399"/>
      <c r="BE1784" s="399"/>
      <c r="BF1784" s="399"/>
      <c r="BG1784" s="540"/>
      <c r="BH1784" s="407"/>
      <c r="BI1784" s="407"/>
      <c r="BJ1784" s="412"/>
      <c r="BK1784" s="46">
        <f t="shared" si="38"/>
        <v>1</v>
      </c>
      <c r="BL1784" s="46">
        <f t="shared" si="3"/>
        <v>0</v>
      </c>
      <c r="BM1784" s="46">
        <f t="shared" si="4"/>
        <v>1</v>
      </c>
      <c r="BN1784" s="46">
        <f t="shared" si="26"/>
        <v>0</v>
      </c>
    </row>
    <row r="1785" spans="1:66" ht="12.75" customHeight="1">
      <c r="A1785" s="399">
        <v>1801</v>
      </c>
      <c r="B1785" s="399" t="s">
        <v>6939</v>
      </c>
      <c r="C1785" s="399" t="str">
        <f t="shared" si="21"/>
        <v>Any other detail of clinical significance</v>
      </c>
      <c r="D1785" s="400" t="str">
        <f t="shared" si="34"/>
        <v>Any other detail of clinical significance</v>
      </c>
      <c r="E1785" s="399" t="str">
        <f t="shared" si="33"/>
        <v>Data Element</v>
      </c>
      <c r="F1785" s="400" t="str">
        <f t="shared" si="39"/>
        <v/>
      </c>
      <c r="G1785" s="400"/>
      <c r="H1785" s="400"/>
      <c r="I1785" s="400"/>
      <c r="J1785" s="400"/>
      <c r="K1785" s="400">
        <v>1</v>
      </c>
      <c r="L1785" s="401" t="s">
        <v>6641</v>
      </c>
      <c r="M1785" s="402" t="s">
        <v>3093</v>
      </c>
      <c r="N1785" s="400"/>
      <c r="O1785" s="428" t="s">
        <v>6868</v>
      </c>
      <c r="P1785" s="428" t="s">
        <v>6945</v>
      </c>
      <c r="Q1785" s="399" t="s">
        <v>6947</v>
      </c>
      <c r="R1785" s="428" t="s">
        <v>6939</v>
      </c>
      <c r="S1785" s="399"/>
      <c r="T1785" s="399" t="s">
        <v>6948</v>
      </c>
      <c r="U1785" s="399" t="s">
        <v>111</v>
      </c>
      <c r="V1785" s="399"/>
      <c r="W1785" s="399"/>
      <c r="X1785" s="400"/>
      <c r="Y1785" s="399"/>
      <c r="Z1785" s="399"/>
      <c r="AA1785" s="399"/>
      <c r="AB1785" s="399"/>
      <c r="AC1785" s="532"/>
      <c r="AD1785" s="400"/>
      <c r="AE1785" s="399"/>
      <c r="AF1785" s="399"/>
      <c r="AG1785" s="399"/>
      <c r="AH1785" s="532"/>
      <c r="AI1785" s="399"/>
      <c r="AJ1785" s="400"/>
      <c r="AK1785" s="399"/>
      <c r="AL1785" s="399"/>
      <c r="AM1785" s="399"/>
      <c r="AN1785" s="399"/>
      <c r="AO1785" s="399"/>
      <c r="AP1785" s="399"/>
      <c r="AQ1785" s="399"/>
      <c r="AR1785" s="399"/>
      <c r="AS1785" s="399"/>
      <c r="AT1785" s="399"/>
      <c r="AU1785" s="399"/>
      <c r="AV1785" s="399"/>
      <c r="AW1785" s="411"/>
      <c r="AX1785" s="411"/>
      <c r="AY1785" s="411"/>
      <c r="AZ1785" s="411"/>
      <c r="BA1785" s="411"/>
      <c r="BB1785" s="438" t="str">
        <f>HYPERLINK("https://github.com/who-int/Data-Dictionary-Mapping/issues/11","11")</f>
        <v>11</v>
      </c>
      <c r="BC1785" s="399" t="str">
        <f t="shared" si="37"/>
        <v/>
      </c>
      <c r="BD1785" s="399"/>
      <c r="BE1785" s="399"/>
      <c r="BF1785" s="399"/>
      <c r="BG1785" s="540"/>
      <c r="BH1785" s="407"/>
      <c r="BI1785" s="407"/>
      <c r="BJ1785" s="412"/>
      <c r="BK1785" s="46">
        <f t="shared" si="38"/>
        <v>1</v>
      </c>
      <c r="BL1785" s="46">
        <f t="shared" si="3"/>
        <v>0</v>
      </c>
      <c r="BM1785" s="46">
        <f t="shared" si="4"/>
        <v>1</v>
      </c>
      <c r="BN1785" s="46">
        <f t="shared" si="26"/>
        <v>0</v>
      </c>
    </row>
    <row r="1786" spans="1:66" ht="12.75" customHeight="1">
      <c r="A1786" s="399">
        <v>1802</v>
      </c>
      <c r="B1786" s="399" t="s">
        <v>6954</v>
      </c>
      <c r="C1786" s="399" t="str">
        <f t="shared" si="21"/>
        <v>Contact client</v>
      </c>
      <c r="D1786" s="400" t="str">
        <f t="shared" si="34"/>
        <v>Contact client</v>
      </c>
      <c r="E1786" s="399" t="str">
        <f t="shared" si="33"/>
        <v>Data Element</v>
      </c>
      <c r="F1786" s="400" t="str">
        <f t="shared" si="39"/>
        <v/>
      </c>
      <c r="G1786" s="400"/>
      <c r="H1786" s="400"/>
      <c r="I1786" s="400"/>
      <c r="J1786" s="400"/>
      <c r="K1786" s="402">
        <v>1</v>
      </c>
      <c r="L1786" s="401" t="s">
        <v>6955</v>
      </c>
      <c r="M1786" s="402" t="s">
        <v>6096</v>
      </c>
      <c r="N1786" s="400"/>
      <c r="O1786" s="428" t="s">
        <v>6956</v>
      </c>
      <c r="P1786" s="428"/>
      <c r="Q1786" s="399"/>
      <c r="R1786" s="428" t="s">
        <v>6954</v>
      </c>
      <c r="S1786" s="399"/>
      <c r="T1786" s="399"/>
      <c r="U1786" s="399" t="s">
        <v>3169</v>
      </c>
      <c r="V1786" s="399"/>
      <c r="W1786" s="399" t="s">
        <v>3170</v>
      </c>
      <c r="X1786" s="400"/>
      <c r="Y1786" s="399"/>
      <c r="Z1786" s="399"/>
      <c r="AA1786" s="399"/>
      <c r="AB1786" s="399"/>
      <c r="AC1786" s="532"/>
      <c r="AD1786" s="400"/>
      <c r="AE1786" s="399"/>
      <c r="AF1786" s="399"/>
      <c r="AG1786" s="399"/>
      <c r="AH1786" s="532"/>
      <c r="AI1786" s="399"/>
      <c r="AJ1786" s="400"/>
      <c r="AK1786" s="399"/>
      <c r="AL1786" s="399"/>
      <c r="AM1786" s="399"/>
      <c r="AN1786" s="399"/>
      <c r="AO1786" s="399"/>
      <c r="AP1786" s="399"/>
      <c r="AQ1786" s="399"/>
      <c r="AR1786" s="399"/>
      <c r="AS1786" s="399"/>
      <c r="AT1786" s="399"/>
      <c r="AU1786" s="399"/>
      <c r="AV1786" s="399"/>
      <c r="AW1786" s="411"/>
      <c r="AX1786" s="411"/>
      <c r="AY1786" s="411"/>
      <c r="AZ1786" s="411"/>
      <c r="BA1786" s="411"/>
      <c r="BB1786" s="399"/>
      <c r="BC1786" s="399" t="str">
        <f t="shared" si="37"/>
        <v/>
      </c>
      <c r="BD1786" s="399"/>
      <c r="BE1786" s="399"/>
      <c r="BF1786" s="399"/>
      <c r="BG1786" s="540"/>
      <c r="BH1786" s="407"/>
      <c r="BI1786" s="407"/>
      <c r="BJ1786" s="412"/>
      <c r="BK1786" s="46">
        <f t="shared" si="38"/>
        <v>1</v>
      </c>
      <c r="BL1786" s="46">
        <f t="shared" si="3"/>
        <v>0</v>
      </c>
      <c r="BM1786" s="46">
        <f t="shared" si="4"/>
        <v>1</v>
      </c>
      <c r="BN1786" s="46">
        <f t="shared" si="26"/>
        <v>0</v>
      </c>
    </row>
    <row r="1787" spans="1:66" ht="12.75" customHeight="1">
      <c r="A1787" s="399">
        <v>1803</v>
      </c>
      <c r="B1787" s="399" t="s">
        <v>6957</v>
      </c>
      <c r="C1787" s="399" t="str">
        <f t="shared" si="21"/>
        <v>Communication made</v>
      </c>
      <c r="D1787" s="400" t="str">
        <f t="shared" si="34"/>
        <v>Communication made</v>
      </c>
      <c r="E1787" s="399" t="str">
        <f t="shared" si="33"/>
        <v>Data Element</v>
      </c>
      <c r="F1787" s="400" t="str">
        <f t="shared" si="39"/>
        <v/>
      </c>
      <c r="G1787" s="400"/>
      <c r="H1787" s="400"/>
      <c r="I1787" s="400"/>
      <c r="J1787" s="400"/>
      <c r="K1787" s="402">
        <v>1</v>
      </c>
      <c r="L1787" s="401" t="s">
        <v>6955</v>
      </c>
      <c r="M1787" s="402" t="s">
        <v>6096</v>
      </c>
      <c r="N1787" s="400"/>
      <c r="O1787" s="428" t="s">
        <v>6958</v>
      </c>
      <c r="P1787" s="428"/>
      <c r="Q1787" s="399"/>
      <c r="R1787" s="428" t="s">
        <v>6957</v>
      </c>
      <c r="S1787" s="399" t="s">
        <v>6960</v>
      </c>
      <c r="T1787" s="399"/>
      <c r="U1787" s="399" t="s">
        <v>3169</v>
      </c>
      <c r="V1787" s="399"/>
      <c r="W1787" s="399" t="s">
        <v>3170</v>
      </c>
      <c r="X1787" s="400"/>
      <c r="Y1787" s="399"/>
      <c r="Z1787" s="399"/>
      <c r="AA1787" s="399"/>
      <c r="AB1787" s="399"/>
      <c r="AC1787" s="532"/>
      <c r="AD1787" s="400"/>
      <c r="AE1787" s="399"/>
      <c r="AF1787" s="399"/>
      <c r="AG1787" s="399"/>
      <c r="AH1787" s="532"/>
      <c r="AI1787" s="399"/>
      <c r="AJ1787" s="400"/>
      <c r="AK1787" s="399"/>
      <c r="AL1787" s="399"/>
      <c r="AM1787" s="399"/>
      <c r="AN1787" s="399"/>
      <c r="AO1787" s="399"/>
      <c r="AP1787" s="399"/>
      <c r="AQ1787" s="399"/>
      <c r="AR1787" s="399"/>
      <c r="AS1787" s="399"/>
      <c r="AT1787" s="399"/>
      <c r="AU1787" s="399"/>
      <c r="AV1787" s="399"/>
      <c r="AW1787" s="411"/>
      <c r="AX1787" s="411"/>
      <c r="AY1787" s="411"/>
      <c r="AZ1787" s="411"/>
      <c r="BA1787" s="411"/>
      <c r="BB1787" s="399"/>
      <c r="BC1787" s="399" t="str">
        <f t="shared" si="37"/>
        <v/>
      </c>
      <c r="BD1787" s="399"/>
      <c r="BE1787" s="399"/>
      <c r="BF1787" s="399"/>
      <c r="BG1787" s="540"/>
      <c r="BH1787" s="407"/>
      <c r="BI1787" s="407"/>
      <c r="BJ1787" s="412"/>
      <c r="BK1787" s="46">
        <f t="shared" si="38"/>
        <v>1</v>
      </c>
      <c r="BL1787" s="46">
        <f t="shared" si="3"/>
        <v>0</v>
      </c>
      <c r="BM1787" s="46">
        <f t="shared" si="4"/>
        <v>1</v>
      </c>
      <c r="BN1787" s="46">
        <f t="shared" si="26"/>
        <v>0</v>
      </c>
    </row>
    <row r="1788" spans="1:66" ht="12.75" customHeight="1">
      <c r="A1788" s="399">
        <v>1804</v>
      </c>
      <c r="B1788" s="399" t="s">
        <v>6971</v>
      </c>
      <c r="C1788" s="399" t="str">
        <f t="shared" si="21"/>
        <v>Communication method</v>
      </c>
      <c r="D1788" s="400" t="str">
        <f t="shared" si="34"/>
        <v>Communication method</v>
      </c>
      <c r="E1788" s="399" t="str">
        <f t="shared" si="33"/>
        <v>Data Element</v>
      </c>
      <c r="F1788" s="400" t="str">
        <f t="shared" si="39"/>
        <v/>
      </c>
      <c r="G1788" s="400"/>
      <c r="H1788" s="400"/>
      <c r="I1788" s="400"/>
      <c r="J1788" s="400"/>
      <c r="K1788" s="402">
        <v>1</v>
      </c>
      <c r="L1788" s="401" t="s">
        <v>6955</v>
      </c>
      <c r="M1788" s="402" t="s">
        <v>6096</v>
      </c>
      <c r="N1788" s="400"/>
      <c r="O1788" s="428" t="s">
        <v>6958</v>
      </c>
      <c r="P1788" s="428"/>
      <c r="Q1788" s="399"/>
      <c r="R1788" s="428" t="s">
        <v>6971</v>
      </c>
      <c r="S1788" s="399" t="s">
        <v>6977</v>
      </c>
      <c r="T1788" s="399"/>
      <c r="U1788" s="399"/>
      <c r="V1788" s="399"/>
      <c r="W1788" s="399"/>
      <c r="X1788" s="400"/>
      <c r="Y1788" s="399"/>
      <c r="Z1788" s="399"/>
      <c r="AA1788" s="399"/>
      <c r="AB1788" s="399"/>
      <c r="AC1788" s="532"/>
      <c r="AD1788" s="400"/>
      <c r="AE1788" s="399"/>
      <c r="AF1788" s="399"/>
      <c r="AG1788" s="399"/>
      <c r="AH1788" s="532"/>
      <c r="AI1788" s="399"/>
      <c r="AJ1788" s="400"/>
      <c r="AK1788" s="399"/>
      <c r="AL1788" s="399"/>
      <c r="AM1788" s="399"/>
      <c r="AN1788" s="399"/>
      <c r="AO1788" s="399"/>
      <c r="AP1788" s="399"/>
      <c r="AQ1788" s="399"/>
      <c r="AR1788" s="399"/>
      <c r="AS1788" s="399"/>
      <c r="AT1788" s="399"/>
      <c r="AU1788" s="399"/>
      <c r="AV1788" s="399"/>
      <c r="AW1788" s="411"/>
      <c r="AX1788" s="411"/>
      <c r="AY1788" s="411"/>
      <c r="AZ1788" s="411"/>
      <c r="BA1788" s="411"/>
      <c r="BB1788" s="399"/>
      <c r="BC1788" s="399" t="str">
        <f t="shared" si="37"/>
        <v/>
      </c>
      <c r="BD1788" s="399"/>
      <c r="BE1788" s="399"/>
      <c r="BF1788" s="399"/>
      <c r="BG1788" s="540"/>
      <c r="BH1788" s="407"/>
      <c r="BI1788" s="407"/>
      <c r="BJ1788" s="412"/>
      <c r="BK1788" s="46">
        <f t="shared" si="38"/>
        <v>1</v>
      </c>
      <c r="BL1788" s="46">
        <f t="shared" si="3"/>
        <v>0</v>
      </c>
      <c r="BM1788" s="46">
        <f t="shared" si="4"/>
        <v>1</v>
      </c>
      <c r="BN1788" s="46">
        <f t="shared" si="26"/>
        <v>0</v>
      </c>
    </row>
    <row r="1789" spans="1:66" ht="12.75" customHeight="1">
      <c r="A1789" s="399">
        <v>1805</v>
      </c>
      <c r="B1789" s="399" t="s">
        <v>6980</v>
      </c>
      <c r="C1789" s="399" t="e">
        <f t="shared" ca="1" si="21"/>
        <v>#NAME?</v>
      </c>
      <c r="D1789" s="400" t="str">
        <f t="shared" si="34"/>
        <v>SMS</v>
      </c>
      <c r="E1789" s="399" t="str">
        <f t="shared" si="33"/>
        <v>Input Option</v>
      </c>
      <c r="F1789" s="400" t="str">
        <f t="shared" si="39"/>
        <v>Communication method</v>
      </c>
      <c r="G1789" s="400"/>
      <c r="H1789" s="400"/>
      <c r="I1789" s="400"/>
      <c r="J1789" s="400"/>
      <c r="K1789" s="402">
        <v>1</v>
      </c>
      <c r="L1789" s="401" t="s">
        <v>6955</v>
      </c>
      <c r="M1789" s="402" t="s">
        <v>6096</v>
      </c>
      <c r="N1789" s="400"/>
      <c r="O1789" s="428" t="s">
        <v>6958</v>
      </c>
      <c r="P1789" s="428"/>
      <c r="Q1789" s="399"/>
      <c r="R1789" s="428"/>
      <c r="S1789" s="399"/>
      <c r="T1789" s="399"/>
      <c r="U1789" s="399"/>
      <c r="V1789" s="399"/>
      <c r="W1789" s="399" t="s">
        <v>6983</v>
      </c>
      <c r="X1789" s="400"/>
      <c r="Y1789" s="399"/>
      <c r="Z1789" s="399"/>
      <c r="AA1789" s="399"/>
      <c r="AB1789" s="399"/>
      <c r="AC1789" s="532"/>
      <c r="AD1789" s="400"/>
      <c r="AE1789" s="399"/>
      <c r="AF1789" s="399"/>
      <c r="AG1789" s="399"/>
      <c r="AH1789" s="532"/>
      <c r="AI1789" s="399"/>
      <c r="AJ1789" s="400"/>
      <c r="AK1789" s="399"/>
      <c r="AL1789" s="399"/>
      <c r="AM1789" s="399"/>
      <c r="AN1789" s="399"/>
      <c r="AO1789" s="399"/>
      <c r="AP1789" s="399"/>
      <c r="AQ1789" s="399"/>
      <c r="AR1789" s="399"/>
      <c r="AS1789" s="399"/>
      <c r="AT1789" s="399"/>
      <c r="AU1789" s="399"/>
      <c r="AV1789" s="399"/>
      <c r="AW1789" s="411"/>
      <c r="AX1789" s="411"/>
      <c r="AY1789" s="411"/>
      <c r="AZ1789" s="411"/>
      <c r="BA1789" s="411"/>
      <c r="BB1789" s="399"/>
      <c r="BC1789" s="399" t="e">
        <f t="shared" ca="1" si="37"/>
        <v>#NAME?</v>
      </c>
      <c r="BD1789" s="399"/>
      <c r="BE1789" s="399"/>
      <c r="BF1789" s="399"/>
      <c r="BG1789" s="540"/>
      <c r="BH1789" s="407"/>
      <c r="BI1789" s="407"/>
      <c r="BJ1789" s="412"/>
      <c r="BK1789" s="46">
        <f t="shared" si="38"/>
        <v>1</v>
      </c>
      <c r="BL1789" s="46">
        <f t="shared" si="3"/>
        <v>0</v>
      </c>
      <c r="BM1789" s="46">
        <f t="shared" si="4"/>
        <v>1</v>
      </c>
      <c r="BN1789" s="46">
        <f t="shared" si="26"/>
        <v>0</v>
      </c>
    </row>
    <row r="1790" spans="1:66" ht="12.75" customHeight="1">
      <c r="A1790" s="399">
        <v>1806</v>
      </c>
      <c r="B1790" s="399" t="s">
        <v>6988</v>
      </c>
      <c r="C1790" s="399" t="e">
        <f t="shared" ca="1" si="21"/>
        <v>#NAME?</v>
      </c>
      <c r="D1790" s="400" t="str">
        <f t="shared" si="34"/>
        <v>Automated voice</v>
      </c>
      <c r="E1790" s="399" t="str">
        <f t="shared" si="33"/>
        <v>Input Option</v>
      </c>
      <c r="F1790" s="400" t="str">
        <f t="shared" si="39"/>
        <v>Communication method</v>
      </c>
      <c r="G1790" s="400"/>
      <c r="H1790" s="400"/>
      <c r="I1790" s="400"/>
      <c r="J1790" s="400"/>
      <c r="K1790" s="402">
        <v>1</v>
      </c>
      <c r="L1790" s="401" t="s">
        <v>6955</v>
      </c>
      <c r="M1790" s="402" t="s">
        <v>6096</v>
      </c>
      <c r="N1790" s="400"/>
      <c r="O1790" s="428" t="s">
        <v>6958</v>
      </c>
      <c r="P1790" s="428"/>
      <c r="Q1790" s="399"/>
      <c r="R1790" s="428"/>
      <c r="S1790" s="399"/>
      <c r="T1790" s="399"/>
      <c r="U1790" s="399"/>
      <c r="V1790" s="399"/>
      <c r="W1790" s="399" t="s">
        <v>6993</v>
      </c>
      <c r="X1790" s="400"/>
      <c r="Y1790" s="399"/>
      <c r="Z1790" s="399"/>
      <c r="AA1790" s="399"/>
      <c r="AB1790" s="399"/>
      <c r="AC1790" s="532"/>
      <c r="AD1790" s="400"/>
      <c r="AE1790" s="399"/>
      <c r="AF1790" s="399"/>
      <c r="AG1790" s="399"/>
      <c r="AH1790" s="532"/>
      <c r="AI1790" s="399"/>
      <c r="AJ1790" s="400"/>
      <c r="AK1790" s="399"/>
      <c r="AL1790" s="399"/>
      <c r="AM1790" s="399"/>
      <c r="AN1790" s="399"/>
      <c r="AO1790" s="399"/>
      <c r="AP1790" s="399"/>
      <c r="AQ1790" s="399"/>
      <c r="AR1790" s="399"/>
      <c r="AS1790" s="399"/>
      <c r="AT1790" s="399"/>
      <c r="AU1790" s="399"/>
      <c r="AV1790" s="399"/>
      <c r="AW1790" s="411"/>
      <c r="AX1790" s="411"/>
      <c r="AY1790" s="411"/>
      <c r="AZ1790" s="411"/>
      <c r="BA1790" s="411"/>
      <c r="BB1790" s="399"/>
      <c r="BC1790" s="399" t="e">
        <f t="shared" ca="1" si="37"/>
        <v>#NAME?</v>
      </c>
      <c r="BD1790" s="399"/>
      <c r="BE1790" s="399"/>
      <c r="BF1790" s="399"/>
      <c r="BG1790" s="540"/>
      <c r="BH1790" s="407"/>
      <c r="BI1790" s="407"/>
      <c r="BJ1790" s="412"/>
      <c r="BK1790" s="46">
        <f t="shared" si="38"/>
        <v>1</v>
      </c>
      <c r="BL1790" s="46">
        <f t="shared" si="3"/>
        <v>0</v>
      </c>
      <c r="BM1790" s="46">
        <f t="shared" si="4"/>
        <v>1</v>
      </c>
      <c r="BN1790" s="46">
        <f t="shared" si="26"/>
        <v>0</v>
      </c>
    </row>
    <row r="1791" spans="1:66" ht="12.75" customHeight="1">
      <c r="A1791" s="399">
        <v>1808</v>
      </c>
      <c r="B1791" s="399" t="s">
        <v>7005</v>
      </c>
      <c r="C1791" s="399" t="str">
        <f t="shared" si="21"/>
        <v>Communication dateTime</v>
      </c>
      <c r="D1791" s="400" t="str">
        <f t="shared" si="34"/>
        <v>Communication dateTime</v>
      </c>
      <c r="E1791" s="399" t="str">
        <f t="shared" si="33"/>
        <v>Data Element</v>
      </c>
      <c r="F1791" s="400" t="str">
        <f t="shared" si="39"/>
        <v/>
      </c>
      <c r="G1791" s="400"/>
      <c r="H1791" s="400"/>
      <c r="I1791" s="400"/>
      <c r="J1791" s="400"/>
      <c r="K1791" s="402">
        <v>1</v>
      </c>
      <c r="L1791" s="401" t="s">
        <v>6955</v>
      </c>
      <c r="M1791" s="402" t="s">
        <v>6096</v>
      </c>
      <c r="N1791" s="400"/>
      <c r="O1791" s="428" t="s">
        <v>6958</v>
      </c>
      <c r="P1791" s="428"/>
      <c r="Q1791" s="399"/>
      <c r="R1791" s="428" t="s">
        <v>7005</v>
      </c>
      <c r="S1791" s="399"/>
      <c r="T1791" s="399"/>
      <c r="U1791" s="399" t="s">
        <v>3513</v>
      </c>
      <c r="V1791" s="399"/>
      <c r="W1791" s="399"/>
      <c r="X1791" s="400"/>
      <c r="Y1791" s="399"/>
      <c r="Z1791" s="399"/>
      <c r="AA1791" s="399"/>
      <c r="AB1791" s="399"/>
      <c r="AC1791" s="532"/>
      <c r="AD1791" s="400"/>
      <c r="AE1791" s="399"/>
      <c r="AF1791" s="399"/>
      <c r="AG1791" s="399"/>
      <c r="AH1791" s="532"/>
      <c r="AI1791" s="399"/>
      <c r="AJ1791" s="400"/>
      <c r="AK1791" s="399"/>
      <c r="AL1791" s="399"/>
      <c r="AM1791" s="399"/>
      <c r="AN1791" s="399"/>
      <c r="AO1791" s="399"/>
      <c r="AP1791" s="399"/>
      <c r="AQ1791" s="399"/>
      <c r="AR1791" s="399"/>
      <c r="AS1791" s="399"/>
      <c r="AT1791" s="399"/>
      <c r="AU1791" s="399"/>
      <c r="AV1791" s="399"/>
      <c r="AW1791" s="411"/>
      <c r="AX1791" s="411"/>
      <c r="AY1791" s="411"/>
      <c r="AZ1791" s="411"/>
      <c r="BA1791" s="411"/>
      <c r="BB1791" s="399"/>
      <c r="BC1791" s="399" t="str">
        <f t="shared" si="37"/>
        <v/>
      </c>
      <c r="BD1791" s="399"/>
      <c r="BE1791" s="399"/>
      <c r="BF1791" s="399"/>
      <c r="BG1791" s="540"/>
      <c r="BH1791" s="407"/>
      <c r="BI1791" s="407"/>
      <c r="BJ1791" s="412"/>
      <c r="BK1791" s="46">
        <f t="shared" si="38"/>
        <v>1</v>
      </c>
      <c r="BL1791" s="46">
        <f t="shared" si="3"/>
        <v>0</v>
      </c>
      <c r="BM1791" s="46">
        <f t="shared" si="4"/>
        <v>1</v>
      </c>
      <c r="BN1791" s="46">
        <f t="shared" si="26"/>
        <v>0</v>
      </c>
    </row>
    <row r="1792" spans="1:66" ht="12.75" customHeight="1">
      <c r="A1792" s="399">
        <v>1809</v>
      </c>
      <c r="B1792" s="399" t="s">
        <v>7019</v>
      </c>
      <c r="C1792" s="399" t="str">
        <f t="shared" si="21"/>
        <v>Error received</v>
      </c>
      <c r="D1792" s="400" t="str">
        <f t="shared" si="34"/>
        <v>Error received</v>
      </c>
      <c r="E1792" s="399" t="str">
        <f t="shared" si="33"/>
        <v>Data Element</v>
      </c>
      <c r="F1792" s="400" t="str">
        <f t="shared" si="39"/>
        <v/>
      </c>
      <c r="G1792" s="400"/>
      <c r="H1792" s="400"/>
      <c r="I1792" s="400"/>
      <c r="J1792" s="400"/>
      <c r="K1792" s="402">
        <v>1</v>
      </c>
      <c r="L1792" s="401" t="s">
        <v>6955</v>
      </c>
      <c r="M1792" s="402" t="s">
        <v>6096</v>
      </c>
      <c r="N1792" s="400"/>
      <c r="O1792" s="428" t="s">
        <v>6958</v>
      </c>
      <c r="P1792" s="428"/>
      <c r="Q1792" s="399"/>
      <c r="R1792" s="428" t="s">
        <v>7019</v>
      </c>
      <c r="S1792" s="399" t="s">
        <v>7023</v>
      </c>
      <c r="T1792" s="399"/>
      <c r="U1792" s="399" t="s">
        <v>3169</v>
      </c>
      <c r="V1792" s="399"/>
      <c r="W1792" s="399" t="s">
        <v>3170</v>
      </c>
      <c r="X1792" s="400"/>
      <c r="Y1792" s="399"/>
      <c r="Z1792" s="399"/>
      <c r="AA1792" s="399"/>
      <c r="AB1792" s="399"/>
      <c r="AC1792" s="532"/>
      <c r="AD1792" s="400"/>
      <c r="AE1792" s="399"/>
      <c r="AF1792" s="399"/>
      <c r="AG1792" s="399"/>
      <c r="AH1792" s="532"/>
      <c r="AI1792" s="399"/>
      <c r="AJ1792" s="400"/>
      <c r="AK1792" s="399"/>
      <c r="AL1792" s="399"/>
      <c r="AM1792" s="399"/>
      <c r="AN1792" s="399"/>
      <c r="AO1792" s="399"/>
      <c r="AP1792" s="399"/>
      <c r="AQ1792" s="399"/>
      <c r="AR1792" s="399"/>
      <c r="AS1792" s="399"/>
      <c r="AT1792" s="399"/>
      <c r="AU1792" s="399"/>
      <c r="AV1792" s="399"/>
      <c r="AW1792" s="411"/>
      <c r="AX1792" s="411"/>
      <c r="AY1792" s="411"/>
      <c r="AZ1792" s="411"/>
      <c r="BA1792" s="411"/>
      <c r="BB1792" s="399"/>
      <c r="BC1792" s="399" t="str">
        <f t="shared" si="37"/>
        <v/>
      </c>
      <c r="BD1792" s="399"/>
      <c r="BE1792" s="399"/>
      <c r="BF1792" s="399"/>
      <c r="BG1792" s="540"/>
      <c r="BH1792" s="407"/>
      <c r="BI1792" s="407"/>
      <c r="BJ1792" s="412"/>
      <c r="BK1792" s="46">
        <f t="shared" si="38"/>
        <v>1</v>
      </c>
      <c r="BL1792" s="46">
        <f t="shared" si="3"/>
        <v>0</v>
      </c>
      <c r="BM1792" s="46">
        <f t="shared" si="4"/>
        <v>1</v>
      </c>
      <c r="BN1792" s="46">
        <f t="shared" si="26"/>
        <v>0</v>
      </c>
    </row>
    <row r="1793" spans="1:66" ht="12.75" customHeight="1">
      <c r="A1793" s="399">
        <v>1810</v>
      </c>
      <c r="B1793" s="399" t="s">
        <v>7030</v>
      </c>
      <c r="C1793" s="399" t="str">
        <f t="shared" si="21"/>
        <v>Error message</v>
      </c>
      <c r="D1793" s="400" t="str">
        <f t="shared" si="34"/>
        <v>Error message</v>
      </c>
      <c r="E1793" s="399" t="str">
        <f t="shared" si="33"/>
        <v>Data Element</v>
      </c>
      <c r="F1793" s="400" t="str">
        <f t="shared" si="39"/>
        <v/>
      </c>
      <c r="G1793" s="400"/>
      <c r="H1793" s="400"/>
      <c r="I1793" s="400"/>
      <c r="J1793" s="400"/>
      <c r="K1793" s="402">
        <v>1</v>
      </c>
      <c r="L1793" s="401" t="s">
        <v>6955</v>
      </c>
      <c r="M1793" s="402" t="s">
        <v>6096</v>
      </c>
      <c r="N1793" s="400"/>
      <c r="O1793" s="428" t="s">
        <v>6958</v>
      </c>
      <c r="P1793" s="428"/>
      <c r="Q1793" s="399"/>
      <c r="R1793" s="428" t="s">
        <v>7030</v>
      </c>
      <c r="S1793" s="399" t="s">
        <v>7031</v>
      </c>
      <c r="T1793" s="399"/>
      <c r="U1793" s="399"/>
      <c r="V1793" s="399"/>
      <c r="W1793" s="399"/>
      <c r="X1793" s="400"/>
      <c r="Y1793" s="399"/>
      <c r="Z1793" s="399"/>
      <c r="AA1793" s="399"/>
      <c r="AB1793" s="399"/>
      <c r="AC1793" s="532"/>
      <c r="AD1793" s="400"/>
      <c r="AE1793" s="399"/>
      <c r="AF1793" s="399"/>
      <c r="AG1793" s="399"/>
      <c r="AH1793" s="532"/>
      <c r="AI1793" s="399"/>
      <c r="AJ1793" s="400"/>
      <c r="AK1793" s="399"/>
      <c r="AL1793" s="399"/>
      <c r="AM1793" s="399"/>
      <c r="AN1793" s="399"/>
      <c r="AO1793" s="399"/>
      <c r="AP1793" s="399"/>
      <c r="AQ1793" s="399"/>
      <c r="AR1793" s="399"/>
      <c r="AS1793" s="399"/>
      <c r="AT1793" s="399"/>
      <c r="AU1793" s="399"/>
      <c r="AV1793" s="399"/>
      <c r="AW1793" s="411"/>
      <c r="AX1793" s="411"/>
      <c r="AY1793" s="411"/>
      <c r="AZ1793" s="411"/>
      <c r="BA1793" s="411"/>
      <c r="BB1793" s="399"/>
      <c r="BC1793" s="399" t="str">
        <f t="shared" si="37"/>
        <v/>
      </c>
      <c r="BD1793" s="399"/>
      <c r="BE1793" s="399"/>
      <c r="BF1793" s="399"/>
      <c r="BG1793" s="540"/>
      <c r="BH1793" s="407"/>
      <c r="BI1793" s="407"/>
      <c r="BJ1793" s="412"/>
      <c r="BK1793" s="46">
        <f t="shared" si="38"/>
        <v>1</v>
      </c>
      <c r="BL1793" s="46">
        <f t="shared" si="3"/>
        <v>0</v>
      </c>
      <c r="BM1793" s="46">
        <f t="shared" si="4"/>
        <v>1</v>
      </c>
      <c r="BN1793" s="46">
        <f t="shared" si="26"/>
        <v>0</v>
      </c>
    </row>
    <row r="1794" spans="1:66" ht="12.75" customHeight="1">
      <c r="A1794" s="399">
        <v>1811</v>
      </c>
      <c r="B1794" s="399" t="s">
        <v>7033</v>
      </c>
      <c r="C1794" s="399" t="str">
        <f t="shared" si="21"/>
        <v>Reason contact not made</v>
      </c>
      <c r="D1794" s="400" t="str">
        <f t="shared" si="34"/>
        <v>Reason contact not made</v>
      </c>
      <c r="E1794" s="399" t="str">
        <f t="shared" si="33"/>
        <v>Data Element</v>
      </c>
      <c r="F1794" s="400" t="str">
        <f t="shared" si="39"/>
        <v/>
      </c>
      <c r="G1794" s="400"/>
      <c r="H1794" s="400"/>
      <c r="I1794" s="400"/>
      <c r="J1794" s="400"/>
      <c r="K1794" s="402">
        <v>1</v>
      </c>
      <c r="L1794" s="401" t="s">
        <v>6955</v>
      </c>
      <c r="M1794" s="402" t="s">
        <v>6096</v>
      </c>
      <c r="N1794" s="400"/>
      <c r="O1794" s="428" t="s">
        <v>6958</v>
      </c>
      <c r="P1794" s="428"/>
      <c r="Q1794" s="399"/>
      <c r="R1794" s="428" t="s">
        <v>7033</v>
      </c>
      <c r="S1794" s="399" t="s">
        <v>7036</v>
      </c>
      <c r="T1794" s="399"/>
      <c r="U1794" s="399" t="s">
        <v>6464</v>
      </c>
      <c r="V1794" s="399"/>
      <c r="W1794" s="399"/>
      <c r="X1794" s="400"/>
      <c r="Y1794" s="399"/>
      <c r="Z1794" s="399"/>
      <c r="AA1794" s="399"/>
      <c r="AB1794" s="399"/>
      <c r="AC1794" s="532"/>
      <c r="AD1794" s="400"/>
      <c r="AE1794" s="399"/>
      <c r="AF1794" s="399"/>
      <c r="AG1794" s="399"/>
      <c r="AH1794" s="532"/>
      <c r="AI1794" s="399"/>
      <c r="AJ1794" s="400"/>
      <c r="AK1794" s="399"/>
      <c r="AL1794" s="399"/>
      <c r="AM1794" s="399"/>
      <c r="AN1794" s="399"/>
      <c r="AO1794" s="399"/>
      <c r="AP1794" s="399"/>
      <c r="AQ1794" s="399"/>
      <c r="AR1794" s="399"/>
      <c r="AS1794" s="399"/>
      <c r="AT1794" s="399"/>
      <c r="AU1794" s="399"/>
      <c r="AV1794" s="399"/>
      <c r="AW1794" s="411"/>
      <c r="AX1794" s="411"/>
      <c r="AY1794" s="411"/>
      <c r="AZ1794" s="411"/>
      <c r="BA1794" s="411"/>
      <c r="BB1794" s="399"/>
      <c r="BC1794" s="399" t="str">
        <f t="shared" si="37"/>
        <v/>
      </c>
      <c r="BD1794" s="399"/>
      <c r="BE1794" s="399"/>
      <c r="BF1794" s="399"/>
      <c r="BG1794" s="540"/>
      <c r="BH1794" s="407"/>
      <c r="BI1794" s="407"/>
      <c r="BJ1794" s="412"/>
      <c r="BK1794" s="46">
        <f t="shared" si="38"/>
        <v>1</v>
      </c>
      <c r="BL1794" s="46">
        <f t="shared" si="3"/>
        <v>0</v>
      </c>
      <c r="BM1794" s="46">
        <f t="shared" si="4"/>
        <v>1</v>
      </c>
      <c r="BN1794" s="46">
        <f t="shared" si="26"/>
        <v>0</v>
      </c>
    </row>
    <row r="1795" spans="1:66" ht="12.75" customHeight="1">
      <c r="A1795" s="399">
        <v>1812</v>
      </c>
      <c r="B1795" s="399" t="s">
        <v>7038</v>
      </c>
      <c r="C1795" s="399" t="str">
        <f t="shared" si="21"/>
        <v>Reason for removal from list</v>
      </c>
      <c r="D1795" s="400" t="str">
        <f t="shared" si="34"/>
        <v>Reason for removal from list</v>
      </c>
      <c r="E1795" s="399" t="str">
        <f t="shared" si="33"/>
        <v>Data Element</v>
      </c>
      <c r="F1795" s="400" t="str">
        <f t="shared" si="39"/>
        <v/>
      </c>
      <c r="G1795" s="400"/>
      <c r="H1795" s="400"/>
      <c r="I1795" s="400"/>
      <c r="J1795" s="400"/>
      <c r="K1795" s="402">
        <v>1</v>
      </c>
      <c r="L1795" s="401" t="s">
        <v>6955</v>
      </c>
      <c r="M1795" s="402" t="s">
        <v>6096</v>
      </c>
      <c r="N1795" s="400"/>
      <c r="O1795" s="428" t="s">
        <v>6958</v>
      </c>
      <c r="P1795" s="428"/>
      <c r="Q1795" s="399"/>
      <c r="R1795" s="428" t="s">
        <v>7038</v>
      </c>
      <c r="S1795" s="399" t="s">
        <v>7038</v>
      </c>
      <c r="T1795" s="399"/>
      <c r="U1795" s="399" t="s">
        <v>7038</v>
      </c>
      <c r="V1795" s="399"/>
      <c r="W1795" s="399"/>
      <c r="X1795" s="400"/>
      <c r="Y1795" s="399"/>
      <c r="Z1795" s="399"/>
      <c r="AA1795" s="399"/>
      <c r="AB1795" s="399"/>
      <c r="AC1795" s="532"/>
      <c r="AD1795" s="400"/>
      <c r="AE1795" s="399"/>
      <c r="AF1795" s="399"/>
      <c r="AG1795" s="399"/>
      <c r="AH1795" s="532"/>
      <c r="AI1795" s="399"/>
      <c r="AJ1795" s="400"/>
      <c r="AK1795" s="399"/>
      <c r="AL1795" s="399"/>
      <c r="AM1795" s="399"/>
      <c r="AN1795" s="399"/>
      <c r="AO1795" s="399"/>
      <c r="AP1795" s="399"/>
      <c r="AQ1795" s="399"/>
      <c r="AR1795" s="399"/>
      <c r="AS1795" s="399"/>
      <c r="AT1795" s="399"/>
      <c r="AU1795" s="399"/>
      <c r="AV1795" s="399"/>
      <c r="AW1795" s="411"/>
      <c r="AX1795" s="411"/>
      <c r="AY1795" s="411"/>
      <c r="AZ1795" s="411"/>
      <c r="BA1795" s="411"/>
      <c r="BB1795" s="399"/>
      <c r="BC1795" s="399" t="str">
        <f t="shared" si="37"/>
        <v/>
      </c>
      <c r="BD1795" s="399"/>
      <c r="BE1795" s="399"/>
      <c r="BF1795" s="399"/>
      <c r="BG1795" s="540"/>
      <c r="BH1795" s="407"/>
      <c r="BI1795" s="407"/>
      <c r="BJ1795" s="412"/>
      <c r="BK1795" s="46">
        <f t="shared" si="38"/>
        <v>1</v>
      </c>
      <c r="BL1795" s="46">
        <f t="shared" si="3"/>
        <v>0</v>
      </c>
      <c r="BM1795" s="46">
        <f t="shared" si="4"/>
        <v>1</v>
      </c>
      <c r="BN1795" s="46">
        <f t="shared" si="26"/>
        <v>0</v>
      </c>
    </row>
    <row r="1796" spans="1:66" ht="12.75" customHeight="1">
      <c r="A1796" s="399">
        <v>1813</v>
      </c>
      <c r="B1796" s="399" t="s">
        <v>7044</v>
      </c>
      <c r="C1796" s="399" t="str">
        <f t="shared" si="21"/>
        <v>Informed patient is deceased.</v>
      </c>
      <c r="D1796" s="400" t="str">
        <f t="shared" si="34"/>
        <v>Informed patient is deceased.</v>
      </c>
      <c r="E1796" s="399" t="str">
        <f t="shared" si="33"/>
        <v>Data Element</v>
      </c>
      <c r="F1796" s="400" t="str">
        <f t="shared" si="39"/>
        <v/>
      </c>
      <c r="G1796" s="400"/>
      <c r="H1796" s="400"/>
      <c r="I1796" s="400"/>
      <c r="J1796" s="400"/>
      <c r="K1796" s="402">
        <v>1</v>
      </c>
      <c r="L1796" s="401" t="s">
        <v>6955</v>
      </c>
      <c r="M1796" s="402" t="s">
        <v>6096</v>
      </c>
      <c r="N1796" s="400"/>
      <c r="O1796" s="428" t="s">
        <v>6958</v>
      </c>
      <c r="P1796" s="428"/>
      <c r="Q1796" s="399"/>
      <c r="R1796" s="428"/>
      <c r="S1796" s="399" t="s">
        <v>7044</v>
      </c>
      <c r="T1796" s="399"/>
      <c r="U1796" s="399"/>
      <c r="V1796" s="399"/>
      <c r="W1796" s="399"/>
      <c r="X1796" s="400"/>
      <c r="Y1796" s="399"/>
      <c r="Z1796" s="399"/>
      <c r="AA1796" s="399"/>
      <c r="AB1796" s="399"/>
      <c r="AC1796" s="532"/>
      <c r="AD1796" s="400"/>
      <c r="AE1796" s="399"/>
      <c r="AF1796" s="399"/>
      <c r="AG1796" s="399"/>
      <c r="AH1796" s="532"/>
      <c r="AI1796" s="399"/>
      <c r="AJ1796" s="400"/>
      <c r="AK1796" s="399"/>
      <c r="AL1796" s="399"/>
      <c r="AM1796" s="399"/>
      <c r="AN1796" s="399"/>
      <c r="AO1796" s="399"/>
      <c r="AP1796" s="399"/>
      <c r="AQ1796" s="399"/>
      <c r="AR1796" s="399"/>
      <c r="AS1796" s="399"/>
      <c r="AT1796" s="399"/>
      <c r="AU1796" s="399"/>
      <c r="AV1796" s="399"/>
      <c r="AW1796" s="411"/>
      <c r="AX1796" s="411"/>
      <c r="AY1796" s="411"/>
      <c r="AZ1796" s="411"/>
      <c r="BA1796" s="411"/>
      <c r="BB1796" s="399"/>
      <c r="BC1796" s="399" t="str">
        <f t="shared" si="37"/>
        <v/>
      </c>
      <c r="BD1796" s="399"/>
      <c r="BE1796" s="399"/>
      <c r="BF1796" s="399"/>
      <c r="BG1796" s="540"/>
      <c r="BH1796" s="407"/>
      <c r="BI1796" s="407"/>
      <c r="BJ1796" s="412"/>
      <c r="BK1796" s="46">
        <f t="shared" si="38"/>
        <v>1</v>
      </c>
      <c r="BL1796" s="46">
        <f t="shared" si="3"/>
        <v>0</v>
      </c>
      <c r="BM1796" s="46">
        <f t="shared" si="4"/>
        <v>1</v>
      </c>
      <c r="BN1796" s="46">
        <f t="shared" si="26"/>
        <v>0</v>
      </c>
    </row>
    <row r="1797" spans="1:66" ht="12.75" customHeight="1">
      <c r="A1797" s="399">
        <v>1814</v>
      </c>
      <c r="B1797" s="399" t="s">
        <v>6960</v>
      </c>
      <c r="C1797" s="399" t="str">
        <f t="shared" si="21"/>
        <v>Communication sent</v>
      </c>
      <c r="D1797" s="400" t="str">
        <f t="shared" si="34"/>
        <v>Communication sent</v>
      </c>
      <c r="E1797" s="399" t="str">
        <f t="shared" si="33"/>
        <v>Data Element</v>
      </c>
      <c r="F1797" s="400" t="str">
        <f t="shared" si="39"/>
        <v/>
      </c>
      <c r="G1797" s="400"/>
      <c r="H1797" s="400"/>
      <c r="I1797" s="400"/>
      <c r="J1797" s="400"/>
      <c r="K1797" s="402">
        <v>1</v>
      </c>
      <c r="L1797" s="401" t="s">
        <v>6955</v>
      </c>
      <c r="M1797" s="402" t="s">
        <v>6096</v>
      </c>
      <c r="N1797" s="400"/>
      <c r="O1797" s="428" t="s">
        <v>7058</v>
      </c>
      <c r="P1797" s="428" t="s">
        <v>7059</v>
      </c>
      <c r="Q1797" s="399" t="s">
        <v>7060</v>
      </c>
      <c r="R1797" s="428" t="s">
        <v>6960</v>
      </c>
      <c r="S1797" s="399"/>
      <c r="T1797" s="399" t="s">
        <v>7062</v>
      </c>
      <c r="U1797" s="399"/>
      <c r="V1797" s="399"/>
      <c r="W1797" s="399"/>
      <c r="X1797" s="400"/>
      <c r="Y1797" s="399"/>
      <c r="Z1797" s="399"/>
      <c r="AA1797" s="399"/>
      <c r="AB1797" s="399"/>
      <c r="AC1797" s="532"/>
      <c r="AD1797" s="400"/>
      <c r="AE1797" s="399"/>
      <c r="AF1797" s="399"/>
      <c r="AG1797" s="399"/>
      <c r="AH1797" s="532"/>
      <c r="AI1797" s="399"/>
      <c r="AJ1797" s="400"/>
      <c r="AK1797" s="399"/>
      <c r="AL1797" s="399"/>
      <c r="AM1797" s="399"/>
      <c r="AN1797" s="399"/>
      <c r="AO1797" s="399"/>
      <c r="AP1797" s="399"/>
      <c r="AQ1797" s="399"/>
      <c r="AR1797" s="399"/>
      <c r="AS1797" s="399"/>
      <c r="AT1797" s="399"/>
      <c r="AU1797" s="399"/>
      <c r="AV1797" s="399"/>
      <c r="AW1797" s="411"/>
      <c r="AX1797" s="411"/>
      <c r="AY1797" s="411"/>
      <c r="AZ1797" s="411"/>
      <c r="BA1797" s="411"/>
      <c r="BB1797" s="399"/>
      <c r="BC1797" s="399" t="str">
        <f t="shared" si="37"/>
        <v/>
      </c>
      <c r="BD1797" s="399"/>
      <c r="BE1797" s="399"/>
      <c r="BF1797" s="399"/>
      <c r="BG1797" s="540"/>
      <c r="BH1797" s="407"/>
      <c r="BI1797" s="407"/>
      <c r="BJ1797" s="412"/>
      <c r="BK1797" s="46">
        <f t="shared" si="38"/>
        <v>1</v>
      </c>
      <c r="BL1797" s="46">
        <f t="shared" si="3"/>
        <v>0</v>
      </c>
      <c r="BM1797" s="46">
        <f t="shared" si="4"/>
        <v>1</v>
      </c>
      <c r="BN1797" s="46">
        <f t="shared" si="26"/>
        <v>0</v>
      </c>
    </row>
    <row r="1798" spans="1:66" ht="12.75" customHeight="1">
      <c r="A1798" s="399">
        <v>1815</v>
      </c>
      <c r="B1798" s="399" t="s">
        <v>6971</v>
      </c>
      <c r="C1798" s="399" t="str">
        <f t="shared" si="21"/>
        <v>Communication method</v>
      </c>
      <c r="D1798" s="400" t="str">
        <f t="shared" si="34"/>
        <v>Communication method</v>
      </c>
      <c r="E1798" s="399" t="str">
        <f t="shared" si="33"/>
        <v>Data Element</v>
      </c>
      <c r="F1798" s="400" t="str">
        <f t="shared" si="39"/>
        <v/>
      </c>
      <c r="G1798" s="400"/>
      <c r="H1798" s="400"/>
      <c r="I1798" s="400"/>
      <c r="J1798" s="400"/>
      <c r="K1798" s="402">
        <v>1</v>
      </c>
      <c r="L1798" s="401" t="s">
        <v>6955</v>
      </c>
      <c r="M1798" s="402" t="s">
        <v>6096</v>
      </c>
      <c r="N1798" s="400"/>
      <c r="O1798" s="428" t="s">
        <v>7058</v>
      </c>
      <c r="P1798" s="428" t="s">
        <v>7072</v>
      </c>
      <c r="Q1798" s="399" t="s">
        <v>7073</v>
      </c>
      <c r="R1798" s="428" t="s">
        <v>6971</v>
      </c>
      <c r="S1798" s="399" t="s">
        <v>7023</v>
      </c>
      <c r="T1798" s="399" t="s">
        <v>7074</v>
      </c>
      <c r="U1798" s="399"/>
      <c r="V1798" s="399"/>
      <c r="W1798" s="399"/>
      <c r="X1798" s="400"/>
      <c r="Y1798" s="399"/>
      <c r="Z1798" s="399"/>
      <c r="AA1798" s="399"/>
      <c r="AB1798" s="399"/>
      <c r="AC1798" s="532"/>
      <c r="AD1798" s="400"/>
      <c r="AE1798" s="399"/>
      <c r="AF1798" s="399"/>
      <c r="AG1798" s="399"/>
      <c r="AH1798" s="532"/>
      <c r="AI1798" s="399"/>
      <c r="AJ1798" s="400"/>
      <c r="AK1798" s="399"/>
      <c r="AL1798" s="399"/>
      <c r="AM1798" s="399"/>
      <c r="AN1798" s="399"/>
      <c r="AO1798" s="399"/>
      <c r="AP1798" s="399"/>
      <c r="AQ1798" s="399"/>
      <c r="AR1798" s="399"/>
      <c r="AS1798" s="399"/>
      <c r="AT1798" s="399"/>
      <c r="AU1798" s="399"/>
      <c r="AV1798" s="399"/>
      <c r="AW1798" s="411"/>
      <c r="AX1798" s="411"/>
      <c r="AY1798" s="411"/>
      <c r="AZ1798" s="411"/>
      <c r="BA1798" s="411"/>
      <c r="BB1798" s="399"/>
      <c r="BC1798" s="399" t="str">
        <f t="shared" si="37"/>
        <v/>
      </c>
      <c r="BD1798" s="399"/>
      <c r="BE1798" s="399"/>
      <c r="BF1798" s="399"/>
      <c r="BG1798" s="540"/>
      <c r="BH1798" s="407"/>
      <c r="BI1798" s="407"/>
      <c r="BJ1798" s="412"/>
      <c r="BK1798" s="46">
        <f t="shared" si="38"/>
        <v>1</v>
      </c>
      <c r="BL1798" s="46">
        <f t="shared" si="3"/>
        <v>0</v>
      </c>
      <c r="BM1798" s="46">
        <f t="shared" si="4"/>
        <v>1</v>
      </c>
      <c r="BN1798" s="46">
        <f t="shared" si="26"/>
        <v>0</v>
      </c>
    </row>
    <row r="1799" spans="1:66" ht="12.75" customHeight="1">
      <c r="A1799" s="399">
        <v>1816</v>
      </c>
      <c r="B1799" s="399" t="s">
        <v>6980</v>
      </c>
      <c r="C1799" s="399" t="e">
        <f t="shared" ca="1" si="21"/>
        <v>#NAME?</v>
      </c>
      <c r="D1799" s="400" t="str">
        <f t="shared" si="34"/>
        <v>SMS</v>
      </c>
      <c r="E1799" s="399" t="str">
        <f t="shared" si="33"/>
        <v>Input Option</v>
      </c>
      <c r="F1799" s="400" t="str">
        <f t="shared" si="39"/>
        <v>Communication method</v>
      </c>
      <c r="G1799" s="400"/>
      <c r="H1799" s="400"/>
      <c r="I1799" s="400"/>
      <c r="J1799" s="400"/>
      <c r="K1799" s="402">
        <v>1</v>
      </c>
      <c r="L1799" s="401" t="s">
        <v>6955</v>
      </c>
      <c r="M1799" s="402" t="s">
        <v>6096</v>
      </c>
      <c r="N1799" s="400"/>
      <c r="O1799" s="428" t="s">
        <v>7058</v>
      </c>
      <c r="P1799" s="428"/>
      <c r="Q1799" s="399"/>
      <c r="R1799" s="428"/>
      <c r="S1799" s="399"/>
      <c r="T1799" s="399"/>
      <c r="U1799" s="399"/>
      <c r="V1799" s="399"/>
      <c r="W1799" s="399" t="s">
        <v>6983</v>
      </c>
      <c r="X1799" s="400"/>
      <c r="Y1799" s="399"/>
      <c r="Z1799" s="399"/>
      <c r="AA1799" s="399"/>
      <c r="AB1799" s="399"/>
      <c r="AC1799" s="532"/>
      <c r="AD1799" s="400"/>
      <c r="AE1799" s="399"/>
      <c r="AF1799" s="399"/>
      <c r="AG1799" s="399"/>
      <c r="AH1799" s="532"/>
      <c r="AI1799" s="399"/>
      <c r="AJ1799" s="400"/>
      <c r="AK1799" s="399"/>
      <c r="AL1799" s="399"/>
      <c r="AM1799" s="399"/>
      <c r="AN1799" s="399"/>
      <c r="AO1799" s="399"/>
      <c r="AP1799" s="399"/>
      <c r="AQ1799" s="399"/>
      <c r="AR1799" s="399"/>
      <c r="AS1799" s="399"/>
      <c r="AT1799" s="399"/>
      <c r="AU1799" s="399"/>
      <c r="AV1799" s="399"/>
      <c r="AW1799" s="411"/>
      <c r="AX1799" s="411"/>
      <c r="AY1799" s="411"/>
      <c r="AZ1799" s="411"/>
      <c r="BA1799" s="411"/>
      <c r="BB1799" s="399"/>
      <c r="BC1799" s="399" t="e">
        <f t="shared" ca="1" si="37"/>
        <v>#NAME?</v>
      </c>
      <c r="BD1799" s="399"/>
      <c r="BE1799" s="399"/>
      <c r="BF1799" s="399"/>
      <c r="BG1799" s="540"/>
      <c r="BH1799" s="407"/>
      <c r="BI1799" s="407"/>
      <c r="BJ1799" s="412"/>
      <c r="BK1799" s="46">
        <f t="shared" si="38"/>
        <v>1</v>
      </c>
      <c r="BL1799" s="46">
        <f t="shared" si="3"/>
        <v>0</v>
      </c>
      <c r="BM1799" s="46">
        <f t="shared" si="4"/>
        <v>1</v>
      </c>
      <c r="BN1799" s="46">
        <f t="shared" si="26"/>
        <v>0</v>
      </c>
    </row>
    <row r="1800" spans="1:66" ht="12.75" customHeight="1">
      <c r="A1800" s="399">
        <v>1817</v>
      </c>
      <c r="B1800" s="399" t="s">
        <v>7031</v>
      </c>
      <c r="C1800" s="399" t="str">
        <f t="shared" si="21"/>
        <v>Message received on error</v>
      </c>
      <c r="D1800" s="400" t="str">
        <f t="shared" si="34"/>
        <v>Message received on error</v>
      </c>
      <c r="E1800" s="399" t="str">
        <f t="shared" si="33"/>
        <v>Data Element</v>
      </c>
      <c r="F1800" s="400" t="str">
        <f t="shared" si="39"/>
        <v/>
      </c>
      <c r="G1800" s="400"/>
      <c r="H1800" s="400"/>
      <c r="I1800" s="400"/>
      <c r="J1800" s="400"/>
      <c r="K1800" s="402">
        <v>1</v>
      </c>
      <c r="L1800" s="401" t="s">
        <v>6955</v>
      </c>
      <c r="M1800" s="402" t="s">
        <v>6096</v>
      </c>
      <c r="N1800" s="400"/>
      <c r="O1800" s="428" t="s">
        <v>7058</v>
      </c>
      <c r="P1800" s="428"/>
      <c r="Q1800" s="399"/>
      <c r="R1800" s="428"/>
      <c r="S1800" s="399" t="s">
        <v>7031</v>
      </c>
      <c r="T1800" s="399"/>
      <c r="U1800" s="399"/>
      <c r="V1800" s="399"/>
      <c r="W1800" s="399"/>
      <c r="X1800" s="400"/>
      <c r="Y1800" s="399"/>
      <c r="Z1800" s="399"/>
      <c r="AA1800" s="399"/>
      <c r="AB1800" s="399"/>
      <c r="AC1800" s="532"/>
      <c r="AD1800" s="400"/>
      <c r="AE1800" s="399"/>
      <c r="AF1800" s="399"/>
      <c r="AG1800" s="399"/>
      <c r="AH1800" s="532"/>
      <c r="AI1800" s="399"/>
      <c r="AJ1800" s="400"/>
      <c r="AK1800" s="399"/>
      <c r="AL1800" s="399"/>
      <c r="AM1800" s="399"/>
      <c r="AN1800" s="399"/>
      <c r="AO1800" s="399"/>
      <c r="AP1800" s="399"/>
      <c r="AQ1800" s="399"/>
      <c r="AR1800" s="399"/>
      <c r="AS1800" s="399"/>
      <c r="AT1800" s="399"/>
      <c r="AU1800" s="399"/>
      <c r="AV1800" s="399"/>
      <c r="AW1800" s="411"/>
      <c r="AX1800" s="411"/>
      <c r="AY1800" s="411"/>
      <c r="AZ1800" s="411"/>
      <c r="BA1800" s="411"/>
      <c r="BB1800" s="399"/>
      <c r="BC1800" s="399" t="str">
        <f t="shared" si="37"/>
        <v/>
      </c>
      <c r="BD1800" s="399"/>
      <c r="BE1800" s="399"/>
      <c r="BF1800" s="399"/>
      <c r="BG1800" s="540"/>
      <c r="BH1800" s="407"/>
      <c r="BI1800" s="407"/>
      <c r="BJ1800" s="412"/>
      <c r="BK1800" s="46">
        <f t="shared" si="38"/>
        <v>1</v>
      </c>
      <c r="BL1800" s="46">
        <f t="shared" si="3"/>
        <v>0</v>
      </c>
      <c r="BM1800" s="46">
        <f t="shared" si="4"/>
        <v>1</v>
      </c>
      <c r="BN1800" s="46">
        <f t="shared" si="26"/>
        <v>0</v>
      </c>
    </row>
    <row r="1801" spans="1:66" ht="12.75" customHeight="1">
      <c r="A1801" s="399">
        <v>1818</v>
      </c>
      <c r="B1801" s="399" t="s">
        <v>7103</v>
      </c>
      <c r="C1801" s="399" t="e">
        <f t="shared" ca="1" si="21"/>
        <v>#NAME?</v>
      </c>
      <c r="D1801" s="400" t="str">
        <f t="shared" si="34"/>
        <v>Phone</v>
      </c>
      <c r="E1801" s="399" t="str">
        <f t="shared" si="33"/>
        <v>Input Option</v>
      </c>
      <c r="F1801" s="400" t="str">
        <f t="shared" si="39"/>
        <v>Message received on error</v>
      </c>
      <c r="G1801" s="400"/>
      <c r="H1801" s="400"/>
      <c r="I1801" s="400"/>
      <c r="J1801" s="400"/>
      <c r="K1801" s="402">
        <v>1</v>
      </c>
      <c r="L1801" s="401" t="s">
        <v>6955</v>
      </c>
      <c r="M1801" s="402" t="s">
        <v>6096</v>
      </c>
      <c r="N1801" s="400"/>
      <c r="O1801" s="428" t="s">
        <v>7058</v>
      </c>
      <c r="P1801" s="428"/>
      <c r="Q1801" s="399"/>
      <c r="R1801" s="428"/>
      <c r="S1801" s="399"/>
      <c r="T1801" s="399"/>
      <c r="U1801" s="399"/>
      <c r="V1801" s="399"/>
      <c r="W1801" s="399" t="s">
        <v>7105</v>
      </c>
      <c r="X1801" s="400"/>
      <c r="Y1801" s="399"/>
      <c r="Z1801" s="399"/>
      <c r="AA1801" s="399"/>
      <c r="AB1801" s="399"/>
      <c r="AC1801" s="532"/>
      <c r="AD1801" s="400"/>
      <c r="AE1801" s="399"/>
      <c r="AF1801" s="399"/>
      <c r="AG1801" s="399"/>
      <c r="AH1801" s="532"/>
      <c r="AI1801" s="399"/>
      <c r="AJ1801" s="400"/>
      <c r="AK1801" s="399"/>
      <c r="AL1801" s="399"/>
      <c r="AM1801" s="399"/>
      <c r="AN1801" s="399"/>
      <c r="AO1801" s="399"/>
      <c r="AP1801" s="399"/>
      <c r="AQ1801" s="399"/>
      <c r="AR1801" s="399"/>
      <c r="AS1801" s="399"/>
      <c r="AT1801" s="399"/>
      <c r="AU1801" s="399"/>
      <c r="AV1801" s="399"/>
      <c r="AW1801" s="411"/>
      <c r="AX1801" s="411"/>
      <c r="AY1801" s="411"/>
      <c r="AZ1801" s="411"/>
      <c r="BA1801" s="411"/>
      <c r="BB1801" s="399"/>
      <c r="BC1801" s="399" t="e">
        <f t="shared" ca="1" si="37"/>
        <v>#NAME?</v>
      </c>
      <c r="BD1801" s="399"/>
      <c r="BE1801" s="399"/>
      <c r="BF1801" s="399"/>
      <c r="BG1801" s="540"/>
      <c r="BH1801" s="407"/>
      <c r="BI1801" s="407"/>
      <c r="BJ1801" s="412"/>
      <c r="BK1801" s="46">
        <f t="shared" si="38"/>
        <v>1</v>
      </c>
      <c r="BL1801" s="46">
        <f t="shared" si="3"/>
        <v>0</v>
      </c>
      <c r="BM1801" s="46">
        <f t="shared" si="4"/>
        <v>1</v>
      </c>
      <c r="BN1801" s="46">
        <f t="shared" si="26"/>
        <v>0</v>
      </c>
    </row>
    <row r="1802" spans="1:66" ht="12.75" customHeight="1">
      <c r="A1802" s="399">
        <v>1819</v>
      </c>
      <c r="B1802" s="399" t="s">
        <v>7036</v>
      </c>
      <c r="C1802" s="399" t="str">
        <f t="shared" si="21"/>
        <v>Reason not contacted if client had given consent to be contacted</v>
      </c>
      <c r="D1802" s="400" t="str">
        <f t="shared" si="34"/>
        <v>Reason not contacted if client had given consent to be contacted</v>
      </c>
      <c r="E1802" s="399" t="str">
        <f t="shared" si="33"/>
        <v>Data Element</v>
      </c>
      <c r="F1802" s="400" t="str">
        <f t="shared" si="39"/>
        <v/>
      </c>
      <c r="G1802" s="400"/>
      <c r="H1802" s="400"/>
      <c r="I1802" s="400"/>
      <c r="J1802" s="400"/>
      <c r="K1802" s="402">
        <v>1</v>
      </c>
      <c r="L1802" s="401" t="s">
        <v>6955</v>
      </c>
      <c r="M1802" s="402" t="s">
        <v>6096</v>
      </c>
      <c r="N1802" s="400"/>
      <c r="O1802" s="428" t="s">
        <v>7058</v>
      </c>
      <c r="P1802" s="428"/>
      <c r="Q1802" s="399"/>
      <c r="R1802" s="428"/>
      <c r="S1802" s="399" t="s">
        <v>7036</v>
      </c>
      <c r="T1802" s="399"/>
      <c r="U1802" s="399"/>
      <c r="V1802" s="399"/>
      <c r="W1802" s="399"/>
      <c r="X1802" s="400"/>
      <c r="Y1802" s="399"/>
      <c r="Z1802" s="399"/>
      <c r="AA1802" s="399"/>
      <c r="AB1802" s="399"/>
      <c r="AC1802" s="532"/>
      <c r="AD1802" s="400"/>
      <c r="AE1802" s="399"/>
      <c r="AF1802" s="399"/>
      <c r="AG1802" s="399"/>
      <c r="AH1802" s="532"/>
      <c r="AI1802" s="399"/>
      <c r="AJ1802" s="400"/>
      <c r="AK1802" s="399"/>
      <c r="AL1802" s="399"/>
      <c r="AM1802" s="399"/>
      <c r="AN1802" s="399"/>
      <c r="AO1802" s="399"/>
      <c r="AP1802" s="399"/>
      <c r="AQ1802" s="399"/>
      <c r="AR1802" s="399"/>
      <c r="AS1802" s="399"/>
      <c r="AT1802" s="399"/>
      <c r="AU1802" s="399"/>
      <c r="AV1802" s="399"/>
      <c r="AW1802" s="411"/>
      <c r="AX1802" s="411"/>
      <c r="AY1802" s="411"/>
      <c r="AZ1802" s="411"/>
      <c r="BA1802" s="411"/>
      <c r="BB1802" s="399"/>
      <c r="BC1802" s="399" t="str">
        <f t="shared" si="37"/>
        <v/>
      </c>
      <c r="BD1802" s="399"/>
      <c r="BE1802" s="399"/>
      <c r="BF1802" s="399"/>
      <c r="BG1802" s="540"/>
      <c r="BH1802" s="407"/>
      <c r="BI1802" s="407"/>
      <c r="BJ1802" s="412"/>
      <c r="BK1802" s="46">
        <f t="shared" si="38"/>
        <v>1</v>
      </c>
      <c r="BL1802" s="46">
        <f t="shared" si="3"/>
        <v>0</v>
      </c>
      <c r="BM1802" s="46">
        <f t="shared" si="4"/>
        <v>1</v>
      </c>
      <c r="BN1802" s="46">
        <f t="shared" si="26"/>
        <v>0</v>
      </c>
    </row>
    <row r="1803" spans="1:66" ht="12.75" customHeight="1">
      <c r="A1803" s="399">
        <v>1820</v>
      </c>
      <c r="B1803" s="399" t="s">
        <v>7115</v>
      </c>
      <c r="C1803" s="399" t="str">
        <f t="shared" si="21"/>
        <v>Communication date</v>
      </c>
      <c r="D1803" s="400" t="str">
        <f t="shared" si="34"/>
        <v>Communication date</v>
      </c>
      <c r="E1803" s="399" t="str">
        <f t="shared" si="33"/>
        <v>Data Element</v>
      </c>
      <c r="F1803" s="400" t="str">
        <f t="shared" si="39"/>
        <v/>
      </c>
      <c r="G1803" s="400"/>
      <c r="H1803" s="400"/>
      <c r="I1803" s="400"/>
      <c r="J1803" s="400"/>
      <c r="K1803" s="402">
        <v>1</v>
      </c>
      <c r="L1803" s="401" t="s">
        <v>6955</v>
      </c>
      <c r="M1803" s="402" t="s">
        <v>6096</v>
      </c>
      <c r="N1803" s="402"/>
      <c r="O1803" s="428" t="s">
        <v>7058</v>
      </c>
      <c r="P1803" s="428" t="s">
        <v>7119</v>
      </c>
      <c r="Q1803" s="399" t="s">
        <v>7120</v>
      </c>
      <c r="R1803" s="428" t="s">
        <v>7115</v>
      </c>
      <c r="S1803" s="399"/>
      <c r="T1803" s="399" t="s">
        <v>7122</v>
      </c>
      <c r="U1803" s="399" t="s">
        <v>3513</v>
      </c>
      <c r="V1803" s="399"/>
      <c r="W1803" s="399"/>
      <c r="X1803" s="400"/>
      <c r="Y1803" s="399"/>
      <c r="Z1803" s="399"/>
      <c r="AA1803" s="399"/>
      <c r="AB1803" s="399"/>
      <c r="AC1803" s="532"/>
      <c r="AD1803" s="400"/>
      <c r="AE1803" s="399"/>
      <c r="AF1803" s="399"/>
      <c r="AG1803" s="399"/>
      <c r="AH1803" s="532"/>
      <c r="AI1803" s="399"/>
      <c r="AJ1803" s="400"/>
      <c r="AK1803" s="399"/>
      <c r="AL1803" s="399"/>
      <c r="AM1803" s="399"/>
      <c r="AN1803" s="399"/>
      <c r="AO1803" s="399"/>
      <c r="AP1803" s="399"/>
      <c r="AQ1803" s="399"/>
      <c r="AR1803" s="399"/>
      <c r="AS1803" s="399"/>
      <c r="AT1803" s="399"/>
      <c r="AU1803" s="399"/>
      <c r="AV1803" s="399"/>
      <c r="AW1803" s="411"/>
      <c r="AX1803" s="411"/>
      <c r="AY1803" s="411"/>
      <c r="AZ1803" s="411"/>
      <c r="BA1803" s="411"/>
      <c r="BB1803" s="399"/>
      <c r="BC1803" s="399" t="str">
        <f t="shared" si="37"/>
        <v/>
      </c>
      <c r="BD1803" s="399"/>
      <c r="BE1803" s="399"/>
      <c r="BF1803" s="399"/>
      <c r="BG1803" s="540"/>
      <c r="BH1803" s="407"/>
      <c r="BI1803" s="407"/>
      <c r="BJ1803" s="412"/>
      <c r="BK1803" s="46">
        <f t="shared" si="38"/>
        <v>1</v>
      </c>
      <c r="BL1803" s="46">
        <f t="shared" si="3"/>
        <v>0</v>
      </c>
      <c r="BM1803" s="46">
        <f t="shared" si="4"/>
        <v>1</v>
      </c>
      <c r="BN1803" s="46">
        <f t="shared" si="26"/>
        <v>0</v>
      </c>
    </row>
    <row r="1804" spans="1:66" ht="12.75" customHeight="1">
      <c r="A1804" s="399">
        <v>1821</v>
      </c>
      <c r="B1804" s="399" t="s">
        <v>7019</v>
      </c>
      <c r="C1804" s="399" t="str">
        <f t="shared" si="21"/>
        <v>Error received</v>
      </c>
      <c r="D1804" s="400" t="str">
        <f t="shared" si="34"/>
        <v>Error received</v>
      </c>
      <c r="E1804" s="399" t="str">
        <f t="shared" si="33"/>
        <v>Data Element</v>
      </c>
      <c r="F1804" s="400" t="str">
        <f t="shared" si="39"/>
        <v/>
      </c>
      <c r="G1804" s="400"/>
      <c r="H1804" s="400"/>
      <c r="I1804" s="400"/>
      <c r="J1804" s="400"/>
      <c r="K1804" s="402">
        <v>1</v>
      </c>
      <c r="L1804" s="401" t="s">
        <v>6955</v>
      </c>
      <c r="M1804" s="402" t="s">
        <v>6096</v>
      </c>
      <c r="N1804" s="402"/>
      <c r="O1804" s="428" t="s">
        <v>7058</v>
      </c>
      <c r="P1804" s="428" t="s">
        <v>7123</v>
      </c>
      <c r="Q1804" s="399" t="s">
        <v>7124</v>
      </c>
      <c r="R1804" s="428" t="s">
        <v>7019</v>
      </c>
      <c r="S1804" s="399" t="s">
        <v>7038</v>
      </c>
      <c r="T1804" s="399" t="s">
        <v>7125</v>
      </c>
      <c r="U1804" s="399" t="s">
        <v>3169</v>
      </c>
      <c r="V1804" s="399"/>
      <c r="W1804" s="399" t="s">
        <v>3170</v>
      </c>
      <c r="X1804" s="400"/>
      <c r="Y1804" s="399"/>
      <c r="Z1804" s="399"/>
      <c r="AA1804" s="399"/>
      <c r="AB1804" s="399"/>
      <c r="AC1804" s="532"/>
      <c r="AD1804" s="400"/>
      <c r="AE1804" s="399"/>
      <c r="AF1804" s="399"/>
      <c r="AG1804" s="399"/>
      <c r="AH1804" s="532"/>
      <c r="AI1804" s="399"/>
      <c r="AJ1804" s="400"/>
      <c r="AK1804" s="399"/>
      <c r="AL1804" s="399"/>
      <c r="AM1804" s="399"/>
      <c r="AN1804" s="399"/>
      <c r="AO1804" s="399"/>
      <c r="AP1804" s="399"/>
      <c r="AQ1804" s="399"/>
      <c r="AR1804" s="399"/>
      <c r="AS1804" s="399"/>
      <c r="AT1804" s="399"/>
      <c r="AU1804" s="399"/>
      <c r="AV1804" s="399"/>
      <c r="AW1804" s="411"/>
      <c r="AX1804" s="411"/>
      <c r="AY1804" s="411"/>
      <c r="AZ1804" s="411"/>
      <c r="BA1804" s="411"/>
      <c r="BB1804" s="399"/>
      <c r="BC1804" s="399" t="str">
        <f t="shared" si="37"/>
        <v/>
      </c>
      <c r="BD1804" s="399"/>
      <c r="BE1804" s="399"/>
      <c r="BF1804" s="399"/>
      <c r="BG1804" s="540"/>
      <c r="BH1804" s="407"/>
      <c r="BI1804" s="407"/>
      <c r="BJ1804" s="412"/>
      <c r="BK1804" s="46">
        <f t="shared" si="38"/>
        <v>1</v>
      </c>
      <c r="BL1804" s="46">
        <f t="shared" si="3"/>
        <v>0</v>
      </c>
      <c r="BM1804" s="46">
        <f t="shared" si="4"/>
        <v>1</v>
      </c>
      <c r="BN1804" s="46">
        <f t="shared" si="26"/>
        <v>0</v>
      </c>
    </row>
    <row r="1805" spans="1:66" ht="12.75" customHeight="1">
      <c r="A1805" s="399">
        <v>1822</v>
      </c>
      <c r="B1805" s="399" t="s">
        <v>7030</v>
      </c>
      <c r="C1805" s="399" t="str">
        <f t="shared" si="21"/>
        <v>Error message</v>
      </c>
      <c r="D1805" s="400" t="str">
        <f t="shared" si="34"/>
        <v>Error message</v>
      </c>
      <c r="E1805" s="399" t="str">
        <f t="shared" si="33"/>
        <v>Data Element</v>
      </c>
      <c r="F1805" s="400" t="str">
        <f t="shared" si="39"/>
        <v/>
      </c>
      <c r="G1805" s="400"/>
      <c r="H1805" s="400"/>
      <c r="I1805" s="400"/>
      <c r="J1805" s="400"/>
      <c r="K1805" s="402">
        <v>1</v>
      </c>
      <c r="L1805" s="401" t="s">
        <v>6955</v>
      </c>
      <c r="M1805" s="402" t="s">
        <v>6096</v>
      </c>
      <c r="N1805" s="402"/>
      <c r="O1805" s="428" t="s">
        <v>7058</v>
      </c>
      <c r="P1805" s="428" t="s">
        <v>7128</v>
      </c>
      <c r="Q1805" s="399" t="s">
        <v>7129</v>
      </c>
      <c r="R1805" s="428" t="s">
        <v>7030</v>
      </c>
      <c r="S1805" s="399" t="s">
        <v>7044</v>
      </c>
      <c r="T1805" s="399" t="s">
        <v>7131</v>
      </c>
      <c r="U1805" s="399"/>
      <c r="V1805" s="399"/>
      <c r="W1805" s="399"/>
      <c r="X1805" s="400"/>
      <c r="Y1805" s="399"/>
      <c r="Z1805" s="399"/>
      <c r="AA1805" s="399"/>
      <c r="AB1805" s="399"/>
      <c r="AC1805" s="532"/>
      <c r="AD1805" s="400"/>
      <c r="AE1805" s="399"/>
      <c r="AF1805" s="399"/>
      <c r="AG1805" s="399"/>
      <c r="AH1805" s="532"/>
      <c r="AI1805" s="399"/>
      <c r="AJ1805" s="400"/>
      <c r="AK1805" s="399"/>
      <c r="AL1805" s="399"/>
      <c r="AM1805" s="399"/>
      <c r="AN1805" s="399"/>
      <c r="AO1805" s="399"/>
      <c r="AP1805" s="399"/>
      <c r="AQ1805" s="399"/>
      <c r="AR1805" s="399"/>
      <c r="AS1805" s="399"/>
      <c r="AT1805" s="399"/>
      <c r="AU1805" s="399"/>
      <c r="AV1805" s="399"/>
      <c r="AW1805" s="411"/>
      <c r="AX1805" s="411"/>
      <c r="AY1805" s="411"/>
      <c r="AZ1805" s="411"/>
      <c r="BA1805" s="411"/>
      <c r="BB1805" s="399"/>
      <c r="BC1805" s="399" t="str">
        <f t="shared" si="37"/>
        <v/>
      </c>
      <c r="BD1805" s="399"/>
      <c r="BE1805" s="399"/>
      <c r="BF1805" s="399"/>
      <c r="BG1805" s="540"/>
      <c r="BH1805" s="407"/>
      <c r="BI1805" s="407"/>
      <c r="BJ1805" s="412"/>
      <c r="BK1805" s="46">
        <f t="shared" si="38"/>
        <v>1</v>
      </c>
      <c r="BL1805" s="46">
        <f t="shared" si="3"/>
        <v>0</v>
      </c>
      <c r="BM1805" s="46">
        <f t="shared" si="4"/>
        <v>1</v>
      </c>
      <c r="BN1805" s="46">
        <f t="shared" si="26"/>
        <v>0</v>
      </c>
    </row>
    <row r="1806" spans="1:66" ht="12.75" customHeight="1">
      <c r="A1806" s="399">
        <v>1823</v>
      </c>
      <c r="B1806" s="399" t="s">
        <v>7033</v>
      </c>
      <c r="C1806" s="399" t="str">
        <f t="shared" si="21"/>
        <v>Reason contact not made</v>
      </c>
      <c r="D1806" s="400" t="str">
        <f t="shared" si="34"/>
        <v>Reason contact not made</v>
      </c>
      <c r="E1806" s="399" t="str">
        <f t="shared" si="33"/>
        <v>Data Element</v>
      </c>
      <c r="F1806" s="400" t="str">
        <f t="shared" si="39"/>
        <v/>
      </c>
      <c r="G1806" s="400"/>
      <c r="H1806" s="400"/>
      <c r="I1806" s="400"/>
      <c r="J1806" s="400"/>
      <c r="K1806" s="402">
        <v>1</v>
      </c>
      <c r="L1806" s="401" t="s">
        <v>6955</v>
      </c>
      <c r="M1806" s="402" t="s">
        <v>6096</v>
      </c>
      <c r="N1806" s="402"/>
      <c r="O1806" s="428" t="s">
        <v>7058</v>
      </c>
      <c r="P1806" s="428" t="s">
        <v>7134</v>
      </c>
      <c r="Q1806" s="399" t="s">
        <v>7135</v>
      </c>
      <c r="R1806" s="428" t="s">
        <v>7033</v>
      </c>
      <c r="S1806" s="399" t="s">
        <v>7136</v>
      </c>
      <c r="T1806" s="399" t="s">
        <v>7137</v>
      </c>
      <c r="U1806" s="399" t="s">
        <v>6464</v>
      </c>
      <c r="V1806" s="399"/>
      <c r="W1806" s="399"/>
      <c r="X1806" s="400"/>
      <c r="Y1806" s="399"/>
      <c r="Z1806" s="399"/>
      <c r="AA1806" s="399"/>
      <c r="AB1806" s="399"/>
      <c r="AC1806" s="532"/>
      <c r="AD1806" s="400"/>
      <c r="AE1806" s="399"/>
      <c r="AF1806" s="399"/>
      <c r="AG1806" s="399"/>
      <c r="AH1806" s="532"/>
      <c r="AI1806" s="399"/>
      <c r="AJ1806" s="400"/>
      <c r="AK1806" s="399"/>
      <c r="AL1806" s="399"/>
      <c r="AM1806" s="399"/>
      <c r="AN1806" s="399"/>
      <c r="AO1806" s="399"/>
      <c r="AP1806" s="399"/>
      <c r="AQ1806" s="399"/>
      <c r="AR1806" s="399"/>
      <c r="AS1806" s="399"/>
      <c r="AT1806" s="399"/>
      <c r="AU1806" s="399"/>
      <c r="AV1806" s="399"/>
      <c r="AW1806" s="411"/>
      <c r="AX1806" s="411"/>
      <c r="AY1806" s="411"/>
      <c r="AZ1806" s="411"/>
      <c r="BA1806" s="411"/>
      <c r="BB1806" s="399"/>
      <c r="BC1806" s="399" t="str">
        <f t="shared" si="37"/>
        <v/>
      </c>
      <c r="BD1806" s="399"/>
      <c r="BE1806" s="399"/>
      <c r="BF1806" s="399"/>
      <c r="BG1806" s="540"/>
      <c r="BH1806" s="407"/>
      <c r="BI1806" s="407"/>
      <c r="BJ1806" s="412"/>
      <c r="BK1806" s="46">
        <f t="shared" si="38"/>
        <v>1</v>
      </c>
      <c r="BL1806" s="46">
        <f t="shared" si="3"/>
        <v>0</v>
      </c>
      <c r="BM1806" s="46">
        <f t="shared" si="4"/>
        <v>1</v>
      </c>
      <c r="BN1806" s="46">
        <f t="shared" si="26"/>
        <v>0</v>
      </c>
    </row>
    <row r="1807" spans="1:66" ht="12.75" customHeight="1">
      <c r="A1807" s="399">
        <v>1825</v>
      </c>
      <c r="B1807" s="399" t="s">
        <v>7038</v>
      </c>
      <c r="C1807" s="399" t="str">
        <f t="shared" si="21"/>
        <v>Reason for removal from list</v>
      </c>
      <c r="D1807" s="400" t="str">
        <f t="shared" si="34"/>
        <v>Reason for removal from list</v>
      </c>
      <c r="E1807" s="399" t="str">
        <f t="shared" si="33"/>
        <v>Data Element</v>
      </c>
      <c r="F1807" s="400" t="str">
        <f t="shared" si="39"/>
        <v/>
      </c>
      <c r="G1807" s="400"/>
      <c r="H1807" s="400"/>
      <c r="I1807" s="400"/>
      <c r="J1807" s="400"/>
      <c r="K1807" s="402">
        <v>1</v>
      </c>
      <c r="L1807" s="401" t="s">
        <v>6955</v>
      </c>
      <c r="M1807" s="402" t="s">
        <v>6096</v>
      </c>
      <c r="N1807" s="402"/>
      <c r="O1807" s="428" t="s">
        <v>7058</v>
      </c>
      <c r="P1807" s="428" t="s">
        <v>7146</v>
      </c>
      <c r="Q1807" s="399" t="s">
        <v>7147</v>
      </c>
      <c r="R1807" s="428" t="s">
        <v>7038</v>
      </c>
      <c r="S1807" s="399" t="s">
        <v>7038</v>
      </c>
      <c r="T1807" s="399" t="s">
        <v>7150</v>
      </c>
      <c r="U1807" s="399" t="s">
        <v>7038</v>
      </c>
      <c r="V1807" s="399"/>
      <c r="W1807" s="399"/>
      <c r="X1807" s="400"/>
      <c r="Y1807" s="399"/>
      <c r="Z1807" s="399"/>
      <c r="AA1807" s="399"/>
      <c r="AB1807" s="399"/>
      <c r="AC1807" s="532"/>
      <c r="AD1807" s="400"/>
      <c r="AE1807" s="399"/>
      <c r="AF1807" s="399"/>
      <c r="AG1807" s="399"/>
      <c r="AH1807" s="532"/>
      <c r="AI1807" s="399"/>
      <c r="AJ1807" s="400"/>
      <c r="AK1807" s="399"/>
      <c r="AL1807" s="399"/>
      <c r="AM1807" s="399"/>
      <c r="AN1807" s="399"/>
      <c r="AO1807" s="399"/>
      <c r="AP1807" s="399"/>
      <c r="AQ1807" s="399"/>
      <c r="AR1807" s="399"/>
      <c r="AS1807" s="399"/>
      <c r="AT1807" s="399"/>
      <c r="AU1807" s="399"/>
      <c r="AV1807" s="399"/>
      <c r="AW1807" s="411"/>
      <c r="AX1807" s="411"/>
      <c r="AY1807" s="411"/>
      <c r="AZ1807" s="411"/>
      <c r="BA1807" s="411"/>
      <c r="BB1807" s="399"/>
      <c r="BC1807" s="399" t="str">
        <f t="shared" si="37"/>
        <v/>
      </c>
      <c r="BD1807" s="399"/>
      <c r="BE1807" s="399"/>
      <c r="BF1807" s="399"/>
      <c r="BG1807" s="540"/>
      <c r="BH1807" s="407"/>
      <c r="BI1807" s="407"/>
      <c r="BJ1807" s="412"/>
      <c r="BK1807" s="46">
        <f t="shared" si="38"/>
        <v>1</v>
      </c>
      <c r="BL1807" s="46">
        <f t="shared" si="3"/>
        <v>0</v>
      </c>
      <c r="BM1807" s="46">
        <f t="shared" si="4"/>
        <v>1</v>
      </c>
      <c r="BN1807" s="46">
        <f t="shared" si="26"/>
        <v>0</v>
      </c>
    </row>
    <row r="1808" spans="1:66" ht="12.75" customHeight="1">
      <c r="A1808" s="399">
        <v>1826</v>
      </c>
      <c r="B1808" s="399" t="s">
        <v>7164</v>
      </c>
      <c r="C1808" s="399" t="e">
        <f t="shared" ca="1" si="21"/>
        <v>#NAME?</v>
      </c>
      <c r="D1808" s="400" t="str">
        <f t="shared" si="34"/>
        <v>Contact information is no longer valid</v>
      </c>
      <c r="E1808" s="409" t="s">
        <v>180</v>
      </c>
      <c r="F1808" s="400" t="str">
        <f t="shared" si="39"/>
        <v>Reason for removal from list</v>
      </c>
      <c r="G1808" s="400"/>
      <c r="H1808" s="400"/>
      <c r="I1808" s="400"/>
      <c r="J1808" s="400"/>
      <c r="K1808" s="402">
        <v>1</v>
      </c>
      <c r="L1808" s="401" t="s">
        <v>6955</v>
      </c>
      <c r="M1808" s="402" t="s">
        <v>6096</v>
      </c>
      <c r="N1808" s="400"/>
      <c r="O1808" s="428" t="s">
        <v>7058</v>
      </c>
      <c r="P1808" s="428"/>
      <c r="Q1808" s="399"/>
      <c r="R1808" s="428"/>
      <c r="S1808" s="399" t="s">
        <v>7165</v>
      </c>
      <c r="T1808" s="399"/>
      <c r="U1808" s="399"/>
      <c r="V1808" s="399"/>
      <c r="W1808" s="399"/>
      <c r="X1808" s="400"/>
      <c r="Y1808" s="399"/>
      <c r="Z1808" s="399"/>
      <c r="AA1808" s="399"/>
      <c r="AB1808" s="399"/>
      <c r="AC1808" s="532"/>
      <c r="AD1808" s="400"/>
      <c r="AE1808" s="399"/>
      <c r="AF1808" s="399"/>
      <c r="AG1808" s="399"/>
      <c r="AH1808" s="532"/>
      <c r="AI1808" s="399"/>
      <c r="AJ1808" s="400"/>
      <c r="AK1808" s="399"/>
      <c r="AL1808" s="399"/>
      <c r="AM1808" s="399"/>
      <c r="AN1808" s="399"/>
      <c r="AO1808" s="399"/>
      <c r="AP1808" s="399"/>
      <c r="AQ1808" s="399"/>
      <c r="AR1808" s="399"/>
      <c r="AS1808" s="399"/>
      <c r="AT1808" s="399"/>
      <c r="AU1808" s="399"/>
      <c r="AV1808" s="399"/>
      <c r="AW1808" s="411"/>
      <c r="AX1808" s="411"/>
      <c r="AY1808" s="411"/>
      <c r="AZ1808" s="411"/>
      <c r="BA1808" s="411"/>
      <c r="BB1808" s="399"/>
      <c r="BC1808" s="399" t="e">
        <f t="shared" ca="1" si="37"/>
        <v>#NAME?</v>
      </c>
      <c r="BD1808" s="399"/>
      <c r="BE1808" s="399"/>
      <c r="BF1808" s="399"/>
      <c r="BG1808" s="540"/>
      <c r="BH1808" s="407"/>
      <c r="BI1808" s="407"/>
      <c r="BJ1808" s="412"/>
      <c r="BK1808" s="46">
        <f t="shared" si="38"/>
        <v>1</v>
      </c>
      <c r="BL1808" s="46">
        <f t="shared" si="3"/>
        <v>0</v>
      </c>
      <c r="BM1808" s="46">
        <f t="shared" si="4"/>
        <v>1</v>
      </c>
      <c r="BN1808" s="46">
        <f t="shared" si="26"/>
        <v>0</v>
      </c>
    </row>
    <row r="1809" spans="1:66" ht="12.75" customHeight="1">
      <c r="A1809" s="399">
        <v>1827</v>
      </c>
      <c r="B1809" s="399" t="s">
        <v>7166</v>
      </c>
      <c r="C1809" s="399" t="e">
        <f t="shared" ca="1" si="21"/>
        <v>#NAME?</v>
      </c>
      <c r="D1809" s="400" t="str">
        <f t="shared" si="34"/>
        <v>Client has moved from the service area</v>
      </c>
      <c r="E1809" s="409" t="s">
        <v>180</v>
      </c>
      <c r="F1809" s="400" t="str">
        <f t="shared" si="39"/>
        <v>Reason for removal from list</v>
      </c>
      <c r="G1809" s="400"/>
      <c r="H1809" s="400"/>
      <c r="I1809" s="400"/>
      <c r="J1809" s="400"/>
      <c r="K1809" s="402">
        <v>1</v>
      </c>
      <c r="L1809" s="401" t="s">
        <v>6955</v>
      </c>
      <c r="M1809" s="402" t="s">
        <v>6096</v>
      </c>
      <c r="N1809" s="400"/>
      <c r="O1809" s="428" t="s">
        <v>7058</v>
      </c>
      <c r="P1809" s="428"/>
      <c r="Q1809" s="399"/>
      <c r="R1809" s="428"/>
      <c r="S1809" s="399" t="s">
        <v>7167</v>
      </c>
      <c r="T1809" s="399"/>
      <c r="U1809" s="399"/>
      <c r="V1809" s="399"/>
      <c r="W1809" s="399"/>
      <c r="X1809" s="400"/>
      <c r="Y1809" s="399"/>
      <c r="Z1809" s="399"/>
      <c r="AA1809" s="399"/>
      <c r="AB1809" s="399"/>
      <c r="AC1809" s="532"/>
      <c r="AD1809" s="400"/>
      <c r="AE1809" s="399"/>
      <c r="AF1809" s="399"/>
      <c r="AG1809" s="399"/>
      <c r="AH1809" s="532"/>
      <c r="AI1809" s="399"/>
      <c r="AJ1809" s="400"/>
      <c r="AK1809" s="399"/>
      <c r="AL1809" s="399"/>
      <c r="AM1809" s="399"/>
      <c r="AN1809" s="399"/>
      <c r="AO1809" s="399"/>
      <c r="AP1809" s="399"/>
      <c r="AQ1809" s="399"/>
      <c r="AR1809" s="399"/>
      <c r="AS1809" s="399"/>
      <c r="AT1809" s="399"/>
      <c r="AU1809" s="399"/>
      <c r="AV1809" s="399"/>
      <c r="AW1809" s="411"/>
      <c r="AX1809" s="411"/>
      <c r="AY1809" s="411"/>
      <c r="AZ1809" s="411"/>
      <c r="BA1809" s="411"/>
      <c r="BB1809" s="399"/>
      <c r="BC1809" s="399" t="e">
        <f t="shared" ca="1" si="37"/>
        <v>#NAME?</v>
      </c>
      <c r="BD1809" s="399"/>
      <c r="BE1809" s="399"/>
      <c r="BF1809" s="399"/>
      <c r="BG1809" s="540"/>
      <c r="BH1809" s="407"/>
      <c r="BI1809" s="407"/>
      <c r="BJ1809" s="412"/>
      <c r="BK1809" s="46">
        <f t="shared" si="38"/>
        <v>1</v>
      </c>
      <c r="BL1809" s="46">
        <f t="shared" si="3"/>
        <v>0</v>
      </c>
      <c r="BM1809" s="46">
        <f t="shared" si="4"/>
        <v>1</v>
      </c>
      <c r="BN1809" s="46">
        <f t="shared" si="26"/>
        <v>0</v>
      </c>
    </row>
    <row r="1810" spans="1:66" ht="12.75" customHeight="1">
      <c r="A1810" s="399">
        <v>1828</v>
      </c>
      <c r="B1810" s="399" t="s">
        <v>7168</v>
      </c>
      <c r="C1810" s="399" t="e">
        <f t="shared" ca="1" si="21"/>
        <v>#NAME?</v>
      </c>
      <c r="D1810" s="400" t="str">
        <f t="shared" si="34"/>
        <v>Client asks to not be contacted again.</v>
      </c>
      <c r="E1810" s="409" t="s">
        <v>180</v>
      </c>
      <c r="F1810" s="400" t="str">
        <f t="shared" si="39"/>
        <v>Reason for removal from list</v>
      </c>
      <c r="G1810" s="400"/>
      <c r="H1810" s="400"/>
      <c r="I1810" s="400"/>
      <c r="J1810" s="400"/>
      <c r="K1810" s="402">
        <v>1</v>
      </c>
      <c r="L1810" s="401" t="s">
        <v>6955</v>
      </c>
      <c r="M1810" s="402" t="s">
        <v>6096</v>
      </c>
      <c r="N1810" s="400"/>
      <c r="O1810" s="428" t="s">
        <v>7058</v>
      </c>
      <c r="P1810" s="428"/>
      <c r="Q1810" s="399"/>
      <c r="R1810" s="428"/>
      <c r="S1810" s="399" t="s">
        <v>7169</v>
      </c>
      <c r="T1810" s="399"/>
      <c r="U1810" s="399"/>
      <c r="V1810" s="399"/>
      <c r="W1810" s="399"/>
      <c r="X1810" s="400"/>
      <c r="Y1810" s="399"/>
      <c r="Z1810" s="399"/>
      <c r="AA1810" s="399"/>
      <c r="AB1810" s="399"/>
      <c r="AC1810" s="532"/>
      <c r="AD1810" s="400"/>
      <c r="AE1810" s="399"/>
      <c r="AF1810" s="399"/>
      <c r="AG1810" s="399"/>
      <c r="AH1810" s="532"/>
      <c r="AI1810" s="399"/>
      <c r="AJ1810" s="400"/>
      <c r="AK1810" s="399"/>
      <c r="AL1810" s="399"/>
      <c r="AM1810" s="399"/>
      <c r="AN1810" s="399"/>
      <c r="AO1810" s="399"/>
      <c r="AP1810" s="399"/>
      <c r="AQ1810" s="399"/>
      <c r="AR1810" s="399"/>
      <c r="AS1810" s="399"/>
      <c r="AT1810" s="399"/>
      <c r="AU1810" s="399"/>
      <c r="AV1810" s="399"/>
      <c r="AW1810" s="411"/>
      <c r="AX1810" s="411"/>
      <c r="AY1810" s="411"/>
      <c r="AZ1810" s="411"/>
      <c r="BA1810" s="411"/>
      <c r="BB1810" s="399"/>
      <c r="BC1810" s="399" t="e">
        <f t="shared" ca="1" si="37"/>
        <v>#NAME?</v>
      </c>
      <c r="BD1810" s="399"/>
      <c r="BE1810" s="399"/>
      <c r="BF1810" s="399"/>
      <c r="BG1810" s="540"/>
      <c r="BH1810" s="407"/>
      <c r="BI1810" s="407"/>
      <c r="BJ1810" s="412"/>
      <c r="BK1810" s="46">
        <f t="shared" si="38"/>
        <v>1</v>
      </c>
      <c r="BL1810" s="46">
        <f t="shared" si="3"/>
        <v>0</v>
      </c>
      <c r="BM1810" s="46">
        <f t="shared" si="4"/>
        <v>1</v>
      </c>
      <c r="BN1810" s="46">
        <f t="shared" si="26"/>
        <v>0</v>
      </c>
    </row>
    <row r="1811" spans="1:66" ht="12.75" customHeight="1">
      <c r="A1811" s="399">
        <v>1829</v>
      </c>
      <c r="B1811" s="399" t="s">
        <v>7171</v>
      </c>
      <c r="C1811" s="399" t="e">
        <f t="shared" ca="1" si="21"/>
        <v>#NAME?</v>
      </c>
      <c r="D1811" s="400" t="str">
        <f t="shared" si="34"/>
        <v xml:space="preserve">Client deceased. </v>
      </c>
      <c r="E1811" s="409" t="s">
        <v>180</v>
      </c>
      <c r="F1811" s="400" t="str">
        <f t="shared" si="39"/>
        <v>Reason for removal from list</v>
      </c>
      <c r="G1811" s="400"/>
      <c r="H1811" s="400"/>
      <c r="I1811" s="400"/>
      <c r="J1811" s="400"/>
      <c r="K1811" s="402">
        <v>1</v>
      </c>
      <c r="L1811" s="401" t="s">
        <v>6955</v>
      </c>
      <c r="M1811" s="402" t="s">
        <v>6096</v>
      </c>
      <c r="N1811" s="400"/>
      <c r="O1811" s="428" t="s">
        <v>7058</v>
      </c>
      <c r="P1811" s="428"/>
      <c r="Q1811" s="399"/>
      <c r="R1811" s="428"/>
      <c r="S1811" s="399" t="s">
        <v>7172</v>
      </c>
      <c r="T1811" s="399"/>
      <c r="U1811" s="399"/>
      <c r="V1811" s="399"/>
      <c r="W1811" s="399"/>
      <c r="X1811" s="400"/>
      <c r="Y1811" s="399"/>
      <c r="Z1811" s="399"/>
      <c r="AA1811" s="399"/>
      <c r="AB1811" s="399"/>
      <c r="AC1811" s="532"/>
      <c r="AD1811" s="400"/>
      <c r="AE1811" s="399"/>
      <c r="AF1811" s="399"/>
      <c r="AG1811" s="399"/>
      <c r="AH1811" s="532"/>
      <c r="AI1811" s="399"/>
      <c r="AJ1811" s="400"/>
      <c r="AK1811" s="399"/>
      <c r="AL1811" s="399"/>
      <c r="AM1811" s="399"/>
      <c r="AN1811" s="399"/>
      <c r="AO1811" s="399"/>
      <c r="AP1811" s="399"/>
      <c r="AQ1811" s="399"/>
      <c r="AR1811" s="399"/>
      <c r="AS1811" s="399"/>
      <c r="AT1811" s="399"/>
      <c r="AU1811" s="399"/>
      <c r="AV1811" s="399"/>
      <c r="AW1811" s="411"/>
      <c r="AX1811" s="411"/>
      <c r="AY1811" s="411"/>
      <c r="AZ1811" s="411"/>
      <c r="BA1811" s="411"/>
      <c r="BB1811" s="399"/>
      <c r="BC1811" s="399" t="e">
        <f t="shared" ca="1" si="37"/>
        <v>#NAME?</v>
      </c>
      <c r="BD1811" s="399"/>
      <c r="BE1811" s="399"/>
      <c r="BF1811" s="399"/>
      <c r="BG1811" s="540"/>
      <c r="BH1811" s="407"/>
      <c r="BI1811" s="407"/>
      <c r="BJ1811" s="412"/>
      <c r="BK1811" s="46">
        <f t="shared" si="38"/>
        <v>1</v>
      </c>
      <c r="BL1811" s="46">
        <f t="shared" si="3"/>
        <v>0</v>
      </c>
      <c r="BM1811" s="46">
        <f t="shared" si="4"/>
        <v>1</v>
      </c>
      <c r="BN1811" s="46">
        <f t="shared" si="26"/>
        <v>0</v>
      </c>
    </row>
    <row r="1812" spans="1:66" ht="12.75" customHeight="1">
      <c r="A1812" s="399">
        <v>1830</v>
      </c>
      <c r="B1812" s="399" t="s">
        <v>7174</v>
      </c>
      <c r="C1812" s="399" t="str">
        <f t="shared" si="21"/>
        <v>Deceased</v>
      </c>
      <c r="D1812" s="400" t="str">
        <f t="shared" si="34"/>
        <v>Deceased</v>
      </c>
      <c r="E1812" s="399" t="str">
        <f t="shared" ref="E1812:E1814" si="40">IF(AND(ISBLANK(W1812)=FALSE,OR(U1812="MC",U1812="")),"Input Option","Data Element")</f>
        <v>Data Element</v>
      </c>
      <c r="F1812" s="400" t="str">
        <f t="shared" si="39"/>
        <v/>
      </c>
      <c r="G1812" s="400"/>
      <c r="H1812" s="400"/>
      <c r="I1812" s="400"/>
      <c r="J1812" s="400"/>
      <c r="K1812" s="402">
        <v>1</v>
      </c>
      <c r="L1812" s="401" t="s">
        <v>6955</v>
      </c>
      <c r="M1812" s="402" t="s">
        <v>6096</v>
      </c>
      <c r="N1812" s="402"/>
      <c r="O1812" s="428" t="s">
        <v>7058</v>
      </c>
      <c r="P1812" s="428" t="s">
        <v>7180</v>
      </c>
      <c r="Q1812" s="399" t="s">
        <v>7181</v>
      </c>
      <c r="R1812" s="428" t="s">
        <v>7174</v>
      </c>
      <c r="S1812" s="399" t="s">
        <v>7174</v>
      </c>
      <c r="T1812" s="399" t="s">
        <v>7183</v>
      </c>
      <c r="U1812" s="399" t="s">
        <v>3169</v>
      </c>
      <c r="V1812" s="399"/>
      <c r="W1812" s="399" t="s">
        <v>3170</v>
      </c>
      <c r="X1812" s="400"/>
      <c r="Y1812" s="399"/>
      <c r="Z1812" s="399"/>
      <c r="AA1812" s="399"/>
      <c r="AB1812" s="399"/>
      <c r="AC1812" s="532"/>
      <c r="AD1812" s="400"/>
      <c r="AE1812" s="399"/>
      <c r="AF1812" s="399"/>
      <c r="AG1812" s="399"/>
      <c r="AH1812" s="532"/>
      <c r="AI1812" s="399"/>
      <c r="AJ1812" s="400"/>
      <c r="AK1812" s="399"/>
      <c r="AL1812" s="399" t="s">
        <v>7184</v>
      </c>
      <c r="AM1812" s="399"/>
      <c r="AN1812" s="399"/>
      <c r="AO1812" s="409" t="s">
        <v>3100</v>
      </c>
      <c r="AP1812" s="409" t="s">
        <v>3101</v>
      </c>
      <c r="AQ1812" s="399"/>
      <c r="AR1812" s="399"/>
      <c r="AS1812" s="399"/>
      <c r="AT1812" s="399" t="s">
        <v>7185</v>
      </c>
      <c r="AU1812" s="399" t="s">
        <v>7186</v>
      </c>
      <c r="AV1812" s="399">
        <v>397709008</v>
      </c>
      <c r="AW1812" s="411"/>
      <c r="AX1812" s="411"/>
      <c r="AY1812" s="411"/>
      <c r="AZ1812" s="411"/>
      <c r="BA1812" s="411"/>
      <c r="BB1812" s="399"/>
      <c r="BC1812" s="399" t="str">
        <f t="shared" si="37"/>
        <v/>
      </c>
      <c r="BD1812" s="399">
        <v>159</v>
      </c>
      <c r="BE1812" s="399"/>
      <c r="BF1812" s="399"/>
      <c r="BG1812" s="540"/>
      <c r="BH1812" s="407" t="s">
        <v>7185</v>
      </c>
      <c r="BI1812" s="407">
        <v>397709008</v>
      </c>
      <c r="BJ1812" s="412"/>
      <c r="BK1812" s="46">
        <f t="shared" si="38"/>
        <v>1</v>
      </c>
      <c r="BL1812" s="46">
        <f t="shared" si="3"/>
        <v>1</v>
      </c>
      <c r="BM1812" s="46">
        <f t="shared" si="4"/>
        <v>0</v>
      </c>
      <c r="BN1812" s="46">
        <f t="shared" si="26"/>
        <v>0</v>
      </c>
    </row>
    <row r="1813" spans="1:66" ht="12.75" customHeight="1">
      <c r="A1813" s="399">
        <v>1831</v>
      </c>
      <c r="B1813" s="399" t="s">
        <v>7187</v>
      </c>
      <c r="C1813" s="399" t="str">
        <f t="shared" si="21"/>
        <v>Date_of_Death</v>
      </c>
      <c r="D1813" s="400" t="str">
        <f t="shared" si="34"/>
        <v>Date_of_Death</v>
      </c>
      <c r="E1813" s="399" t="str">
        <f t="shared" si="40"/>
        <v>Data Element</v>
      </c>
      <c r="F1813" s="400" t="str">
        <f t="shared" si="39"/>
        <v/>
      </c>
      <c r="G1813" s="400"/>
      <c r="H1813" s="400"/>
      <c r="I1813" s="400"/>
      <c r="J1813" s="400"/>
      <c r="K1813" s="402">
        <v>1</v>
      </c>
      <c r="L1813" s="401" t="s">
        <v>6955</v>
      </c>
      <c r="M1813" s="402" t="s">
        <v>6096</v>
      </c>
      <c r="N1813" s="400"/>
      <c r="O1813" s="428" t="s">
        <v>7058</v>
      </c>
      <c r="P1813" s="428"/>
      <c r="Q1813" s="399"/>
      <c r="R1813" s="428" t="s">
        <v>7187</v>
      </c>
      <c r="S1813" s="399" t="s">
        <v>7188</v>
      </c>
      <c r="T1813" s="399" t="s">
        <v>7189</v>
      </c>
      <c r="U1813" s="399" t="s">
        <v>140</v>
      </c>
      <c r="V1813" s="399"/>
      <c r="W1813" s="399"/>
      <c r="X1813" s="400"/>
      <c r="Y1813" s="399" t="s">
        <v>113</v>
      </c>
      <c r="Z1813" s="399" t="s">
        <v>7191</v>
      </c>
      <c r="AA1813" s="399"/>
      <c r="AB1813" s="399" t="s">
        <v>7192</v>
      </c>
      <c r="AC1813" s="532" t="s">
        <v>7193</v>
      </c>
      <c r="AD1813" s="400"/>
      <c r="AE1813" s="399"/>
      <c r="AF1813" s="399"/>
      <c r="AG1813" s="399"/>
      <c r="AH1813" s="532"/>
      <c r="AI1813" s="399"/>
      <c r="AJ1813" s="400"/>
      <c r="AK1813" s="399"/>
      <c r="AL1813" s="409" t="s">
        <v>7194</v>
      </c>
      <c r="AM1813" s="409"/>
      <c r="AN1813" s="409"/>
      <c r="AO1813" s="409" t="s">
        <v>3100</v>
      </c>
      <c r="AP1813" s="409" t="s">
        <v>3101</v>
      </c>
      <c r="AQ1813" s="399"/>
      <c r="AR1813" s="399"/>
      <c r="AS1813" s="399"/>
      <c r="AT1813" s="399"/>
      <c r="AU1813" s="399"/>
      <c r="AV1813" s="399"/>
      <c r="AW1813" s="411"/>
      <c r="AX1813" s="411"/>
      <c r="AY1813" s="411"/>
      <c r="AZ1813" s="411"/>
      <c r="BA1813" s="411"/>
      <c r="BB1813" s="399"/>
      <c r="BC1813" s="399" t="str">
        <f t="shared" si="37"/>
        <v/>
      </c>
      <c r="BD1813" s="399"/>
      <c r="BE1813" s="399"/>
      <c r="BF1813" s="399"/>
      <c r="BG1813" s="540"/>
      <c r="BH1813" s="407"/>
      <c r="BI1813" s="407"/>
      <c r="BJ1813" s="412"/>
      <c r="BK1813" s="46">
        <f t="shared" si="38"/>
        <v>1</v>
      </c>
      <c r="BL1813" s="46">
        <f t="shared" si="3"/>
        <v>1</v>
      </c>
      <c r="BM1813" s="46">
        <f t="shared" si="4"/>
        <v>0</v>
      </c>
      <c r="BN1813" s="46">
        <f t="shared" si="26"/>
        <v>0</v>
      </c>
    </row>
    <row r="1814" spans="1:66" ht="12.75" customHeight="1">
      <c r="A1814" s="399">
        <v>1832</v>
      </c>
      <c r="B1814" s="399" t="s">
        <v>7196</v>
      </c>
      <c r="C1814" s="399" t="str">
        <f t="shared" si="21"/>
        <v>Cause_Death</v>
      </c>
      <c r="D1814" s="400" t="str">
        <f t="shared" si="34"/>
        <v>Cause_Death</v>
      </c>
      <c r="E1814" s="399" t="str">
        <f t="shared" si="40"/>
        <v>Data Element</v>
      </c>
      <c r="F1814" s="400" t="str">
        <f t="shared" si="39"/>
        <v/>
      </c>
      <c r="G1814" s="400"/>
      <c r="H1814" s="400"/>
      <c r="I1814" s="400"/>
      <c r="J1814" s="400"/>
      <c r="K1814" s="402">
        <v>1</v>
      </c>
      <c r="L1814" s="401" t="s">
        <v>6955</v>
      </c>
      <c r="M1814" s="402" t="s">
        <v>6096</v>
      </c>
      <c r="N1814" s="400"/>
      <c r="O1814" s="428" t="s">
        <v>7058</v>
      </c>
      <c r="P1814" s="428" t="s">
        <v>7197</v>
      </c>
      <c r="Q1814" s="399" t="s">
        <v>7198</v>
      </c>
      <c r="R1814" s="428" t="s">
        <v>7196</v>
      </c>
      <c r="S1814" s="399" t="s">
        <v>7199</v>
      </c>
      <c r="T1814" s="399" t="s">
        <v>7200</v>
      </c>
      <c r="U1814" s="399" t="s">
        <v>111</v>
      </c>
      <c r="V1814" s="399"/>
      <c r="W1814" s="399"/>
      <c r="X1814" s="400"/>
      <c r="Y1814" s="399"/>
      <c r="Z1814" s="399"/>
      <c r="AA1814" s="399"/>
      <c r="AB1814" s="399" t="s">
        <v>7192</v>
      </c>
      <c r="AC1814" s="532" t="s">
        <v>7193</v>
      </c>
      <c r="AD1814" s="400"/>
      <c r="AE1814" s="399"/>
      <c r="AF1814" s="399"/>
      <c r="AG1814" s="399"/>
      <c r="AH1814" s="532"/>
      <c r="AI1814" s="399"/>
      <c r="AJ1814" s="400"/>
      <c r="AK1814" s="399"/>
      <c r="AL1814" s="399"/>
      <c r="AM1814" s="399"/>
      <c r="AN1814" s="399"/>
      <c r="AO1814" s="399"/>
      <c r="AP1814" s="399"/>
      <c r="AQ1814" s="399"/>
      <c r="AR1814" s="399"/>
      <c r="AS1814" s="399"/>
      <c r="AT1814" s="399"/>
      <c r="AU1814" s="399"/>
      <c r="AV1814" s="399">
        <v>184305005</v>
      </c>
      <c r="AW1814" s="411"/>
      <c r="AX1814" s="411"/>
      <c r="AY1814" s="411"/>
      <c r="AZ1814" s="411"/>
      <c r="BA1814" s="411"/>
      <c r="BB1814" s="399"/>
      <c r="BC1814" s="399" t="str">
        <f t="shared" si="37"/>
        <v/>
      </c>
      <c r="BD1814" s="399">
        <v>1599</v>
      </c>
      <c r="BE1814" s="399"/>
      <c r="BF1814" s="399"/>
      <c r="BG1814" s="540"/>
      <c r="BH1814" s="407"/>
      <c r="BI1814" s="407">
        <v>184305005</v>
      </c>
      <c r="BJ1814" s="412"/>
      <c r="BK1814" s="46">
        <f t="shared" si="38"/>
        <v>1</v>
      </c>
      <c r="BL1814" s="46">
        <f t="shared" si="3"/>
        <v>0</v>
      </c>
      <c r="BM1814" s="46">
        <f t="shared" si="4"/>
        <v>1</v>
      </c>
      <c r="BN1814" s="46">
        <f t="shared" si="26"/>
        <v>0</v>
      </c>
    </row>
  </sheetData>
  <autoFilter ref="AK1773" xr:uid="{00000000-0009-0000-0000-000002000000}"/>
  <customSheetViews>
    <customSheetView guid="{1910C54C-1C24-4895-9296-FDD18CE4A0F0}" filter="1" showAutoFilter="1">
      <pageMargins left="0.7" right="0.7" top="0.75" bottom="0.75" header="0.3" footer="0.3"/>
      <autoFilter ref="L1:BN1687" xr:uid="{00000000-0000-0000-0000-000000000000}">
        <filterColumn colId="0">
          <filters>
            <filter val="1. Registration"/>
          </filters>
        </filterColumn>
      </autoFilter>
    </customSheetView>
    <customSheetView guid="{8AA4F55A-FEF3-4277-8DDB-4428DA111FD8}" filter="1" showAutoFilter="1">
      <pageMargins left="0.7" right="0.7" top="0.75" bottom="0.75" header="0.3" footer="0.3"/>
      <autoFilter ref="L12:BN1814" xr:uid="{00000000-0000-0000-0000-000000000000}">
        <filterColumn colId="0">
          <filters>
            <filter val="1. Registration"/>
          </filters>
        </filterColumn>
      </autoFilter>
    </customSheetView>
    <customSheetView guid="{EF1711DB-6701-4D1C-A0EA-CB328F58ABF2}" filter="1" showAutoFilter="1">
      <pageMargins left="0.7" right="0.7" top="0.75" bottom="0.75" header="0.3" footer="0.3"/>
      <autoFilter ref="A2:BN1814" xr:uid="{00000000-0000-0000-0000-000000000000}">
        <filterColumn colId="12">
          <filters>
            <filter val="Female Medical History"/>
            <filter val="General Family Planning"/>
            <filter val="Medical (non-sexual) History"/>
            <filter val="Registration"/>
          </filters>
        </filterColumn>
      </autoFilter>
    </customSheetView>
    <customSheetView guid="{ED94E422-E2CE-49DE-9A56-EFCA444D8146}" filter="1" showAutoFilter="1">
      <pageMargins left="0.7" right="0.7" top="0.75" bottom="0.75" header="0.3" footer="0.3"/>
      <autoFilter ref="A2:BN1814" xr:uid="{00000000-0000-0000-0000-000000000000}">
        <filterColumn colId="12">
          <filters>
            <filter val="Medical (non-sexual) History"/>
            <filter val="Registration"/>
          </filters>
        </filterColumn>
      </autoFilter>
    </customSheetView>
    <customSheetView guid="{FACB19E6-FC98-4934-AE2A-EEABF8ADE7D5}" filter="1" showAutoFilter="1">
      <pageMargins left="0.7" right="0.7" top="0.75" bottom="0.75" header="0.3" footer="0.3"/>
      <autoFilter ref="A2:BN1814" xr:uid="{00000000-0000-0000-0000-000000000000}">
        <filterColumn colId="12">
          <filters>
            <filter val="Medical (non-sexual) History"/>
            <filter val="HIV"/>
          </filters>
        </filterColumn>
      </autoFilter>
    </customSheetView>
    <customSheetView guid="{B18787EF-CC1A-4487-9F48-4287F85C0F52}" filter="1" showAutoFilter="1">
      <pageMargins left="0.7" right="0.7" top="0.75" bottom="0.75" header="0.3" footer="0.3"/>
      <autoFilter ref="A2:BN1814" xr:uid="{00000000-0000-0000-0000-000000000000}">
        <filterColumn colId="12">
          <filters>
            <filter val="Medical (non-sexual) History"/>
            <filter val="Demographic"/>
          </filters>
        </filterColumn>
      </autoFilter>
    </customSheetView>
    <customSheetView guid="{BE7DBD03-0E81-40ED-AE8C-B768A309632F}" filter="1" showAutoFilter="1">
      <pageMargins left="0.7" right="0.7" top="0.75" bottom="0.75" header="0.3" footer="0.3"/>
      <autoFilter ref="A2:BN1814" xr:uid="{00000000-0000-0000-0000-000000000000}">
        <filterColumn colId="12">
          <filters>
            <filter val="Medical (non-sexual) History"/>
            <filter val="Medications"/>
          </filters>
        </filterColumn>
      </autoFilter>
    </customSheetView>
    <customSheetView guid="{4F2FDEFB-DF96-46BD-A184-2D8210E77127}" filter="1" showAutoFilter="1">
      <pageMargins left="0.7" right="0.7" top="0.75" bottom="0.75" header="0.3" footer="0.3"/>
      <autoFilter ref="A2:BN1814" xr:uid="{00000000-0000-0000-0000-000000000000}">
        <filterColumn colId="11">
          <filters>
            <filter val="1. Registration"/>
            <filter val="1. Registration-optional"/>
            <filter val="4. Referral"/>
            <filter val="8. Follow up tracking"/>
            <filter val="FP.2. Counseling"/>
            <filter val="FP.3.Service Provision"/>
          </filters>
        </filterColumn>
        <filterColumn colId="12">
          <filters blank="1">
            <filter val="Demographic"/>
            <filter val="Medical (non-sexual) History"/>
          </filters>
        </filterColumn>
        <filterColumn colId="63">
          <filters blank="1">
            <filter val="0"/>
          </filters>
        </filterColumn>
      </autoFilter>
    </customSheetView>
    <customSheetView guid="{E10B6E4B-A987-4A94-AFF8-BE609F944E2A}" filter="1" showAutoFilter="1">
      <pageMargins left="0.7" right="0.7" top="0.75" bottom="0.75" header="0.3" footer="0.3"/>
      <autoFilter ref="A2:BN1814" xr:uid="{00000000-0000-0000-0000-000000000000}">
        <filterColumn colId="12">
          <filters>
            <filter val="Medical (non-sexual) History"/>
            <filter val="Contraception"/>
          </filters>
        </filterColumn>
      </autoFilter>
    </customSheetView>
    <customSheetView guid="{9793C38F-CBEA-450D-93D7-F0FDF0CD177B}" filter="1" showAutoFilter="1">
      <pageMargins left="0.7" right="0.7" top="0.75" bottom="0.75" header="0.3" footer="0.3"/>
      <autoFilter ref="A2:BN1814" xr:uid="{00000000-0000-0000-0000-000000000000}"/>
    </customSheetView>
    <customSheetView guid="{5ED98765-8C1E-4E68-B213-514D8A13B7AC}" filter="1" showAutoFilter="1">
      <pageMargins left="0.7" right="0.7" top="0.75" bottom="0.75" header="0.3" footer="0.3"/>
      <autoFilter ref="A2:BN1814" xr:uid="{00000000-0000-0000-0000-000000000000}">
        <filterColumn colId="11">
          <filters>
            <filter val="1. Registration"/>
            <filter val="1. Registration-optional"/>
            <filter val="4. Referral"/>
            <filter val="8. Follow up tracking"/>
            <filter val="FP.2. Counseling"/>
            <filter val="FP.3.Service Provision"/>
          </filters>
        </filterColumn>
        <filterColumn colId="12">
          <filters>
            <filter val="Contraception"/>
            <filter val="General Family Planning"/>
            <filter val="Medical (non-sexual) History"/>
            <filter val="Pregnancy"/>
            <filter val="Registration"/>
          </filters>
        </filterColumn>
        <filterColumn colId="44">
          <filters blank="1">
            <filter val="abortion or SAB plus date; or just use what is below"/>
            <filter val="assume manual exam; is this self or other medical provider.  x"/>
            <filter val="can this be a positive screen on a DV screening tool?"/>
            <filter val="can you ask what this means?"/>
            <filter val="day plus intercourse"/>
            <filter val="day plus intercourse plus unprotection"/>
            <filter val="day plus menses"/>
            <filter val="day plus SAB or TAB (from above)"/>
            <filter val="delivery date"/>
            <filter val="doesnt exist; could combine something like sexually active with last date"/>
            <filter val="Done"/>
            <filter val="double check for loinc code"/>
            <filter val="for what? STI? pregnancy?"/>
            <filter val="history of plus extopic"/>
            <filter val="history plus pelvic surgery"/>
            <filter val="i dont know what this means"/>
            <filter val="i think that this can be ammenorhea ; need to confirm"/>
            <filter val="in what time frame"/>
            <filter val="is this the test OR a positive result"/>
            <filter val="need to confirm with SME"/>
            <filter val="needs code plus date"/>
            <filter val="no idea what this means"/>
            <filter val="not sure what this is trying to ascertain; would be different for maker and user of test"/>
            <filter val="PT test??"/>
            <filter val="same as 1409"/>
            <filter val="same as urine;codes are different"/>
            <filter val="should be menses plus date"/>
            <filter val="talked with JS"/>
            <filter val="talked with JS; confirmed implant snomed code"/>
            <filter val="Talked with JS; date plus z30.430"/>
            <filter val="this means personal risk.. not a clear diagnosis"/>
            <filter val="used wet prep for dx for lOINC; done"/>
            <filter val="what are the risk factors"/>
            <filter val="what does recent mean"/>
            <filter val="X ; first code that was populated is for measuring, not the value"/>
            <filter val="x no way to indicate severe"/>
            <filter val="x OBS in SNOMED; USE LOINC PANEL ALSO; AT INTAKE; panel name for at exit is 86653-3"/>
          </filters>
        </filterColumn>
      </autoFilter>
    </customSheetView>
    <customSheetView guid="{D4BDEF3A-8CAC-4565-941A-DB5D7F9E88E7}" filter="1" showAutoFilter="1">
      <pageMargins left="0.7" right="0.7" top="0.75" bottom="0.75" header="0.3" footer="0.3"/>
      <autoFilter ref="A2:BN1814" xr:uid="{00000000-0000-0000-0000-000000000000}">
        <filterColumn colId="12">
          <filters blank="1">
            <filter val="Contraception"/>
            <filter val="Female Medical History"/>
            <filter val="General Family Planning"/>
            <filter val="Medical (non-sexual) History"/>
            <filter val="Misc"/>
            <filter val="Pregnancy"/>
            <filter val="Sexual History"/>
          </filters>
        </filterColumn>
      </autoFilter>
    </customSheetView>
    <customSheetView guid="{069225CF-E28B-41D1-860B-F29D7295507C}" filter="1" showAutoFilter="1">
      <pageMargins left="0.7" right="0.7" top="0.75" bottom="0.75" header="0.3" footer="0.3"/>
      <autoFilter ref="A2:BN1814" xr:uid="{00000000-0000-0000-0000-000000000000}"/>
    </customSheetView>
    <customSheetView guid="{1E811070-77C9-4C62-A6DE-C4D4FBC50D43}" filter="1" showAutoFilter="1">
      <pageMargins left="0.7" right="0.7" top="0.75" bottom="0.75" header="0.3" footer="0.3"/>
      <autoFilter ref="A2:BN1814" xr:uid="{00000000-0000-0000-0000-000000000000}">
        <filterColumn colId="12">
          <filters>
            <filter val="Medical (non-sexual) History"/>
            <filter val="Pregnancy"/>
          </filters>
        </filterColumn>
      </autoFilter>
    </customSheetView>
    <customSheetView guid="{327BF662-AC2B-46DC-9C16-2DAC9F1D6CF6}" filter="1" showAutoFilter="1">
      <pageMargins left="0.7" right="0.7" top="0.75" bottom="0.75" header="0.3" footer="0.3"/>
      <autoFilter ref="A2:BN1814" xr:uid="{00000000-0000-0000-0000-000000000000}">
        <filterColumn colId="52">
          <filters>
            <filter val="All pregnancy tests look at HCG levels and are highly sensitive. Needs clarification."/>
            <filter val="Dependent on 1687 mapping"/>
            <filter val="How should we be populating these methods? Use LOINC codes?"/>
            <filter val="limited to the next year"/>
            <filter val="Not sure how to FHIR-map this. Should it be a procedure? A communication? A medication? Maybe we create a new contraceptive method resource?"/>
            <filter val="Potential Modeling Change: This could have answers along with the question. The answers could be the LOINC or the SNOMED answers. SNOMED 68732003 = Non-virginal, 309842008 = Virgin"/>
            <filter val="WIll be specific to a country, therefore codes would most likely be local?"/>
          </filters>
        </filterColumn>
      </autoFilter>
    </customSheetView>
    <customSheetView guid="{EA0A6E36-CD1D-4617-9419-60E10C05CEB9}" filter="1" showAutoFilter="1">
      <pageMargins left="0.7" right="0.7" top="0.75" bottom="0.75" header="0.3" footer="0.3"/>
      <autoFilter ref="A2:BN1814" xr:uid="{00000000-0000-0000-0000-000000000000}">
        <filterColumn colId="10">
          <filters>
            <filter val="1"/>
          </filters>
        </filterColumn>
        <filterColumn colId="12">
          <filters>
            <filter val="Demographic"/>
            <filter val="Female Medical History"/>
            <filter val="HIV"/>
            <filter val="Medical (non-sexual) History"/>
            <filter val="Misc"/>
          </filters>
        </filterColumn>
      </autoFilter>
    </customSheetView>
    <customSheetView guid="{025DE35C-4EC1-4233-A96E-C6EC919EDEB0}" filter="1" showAutoFilter="1">
      <pageMargins left="0.7" right="0.7" top="0.75" bottom="0.75" header="0.3" footer="0.3"/>
      <autoFilter ref="V1711" xr:uid="{00000000-0000-0000-0000-000000000000}"/>
    </customSheetView>
    <customSheetView guid="{21890E29-07F1-4CCD-9E6E-3D2BD5037CC1}" filter="1" showAutoFilter="1">
      <pageMargins left="0.7" right="0.7" top="0.75" bottom="0.75" header="0.3" footer="0.3"/>
      <autoFilter ref="V1711" xr:uid="{00000000-0000-0000-0000-000000000000}"/>
    </customSheetView>
  </customSheetViews>
  <conditionalFormatting sqref="B1:C1814 D1:D1722 AK1 AK3:AK1716 AL1716 AK1718:AL1718 AK1720:AK1814 D1724:D1814 AL1734">
    <cfRule type="expression" dxfId="16" priority="1">
      <formula>COUNTIF(B:B,B1)&gt;1</formula>
    </cfRule>
  </conditionalFormatting>
  <conditionalFormatting sqref="R1:R1814">
    <cfRule type="expression" dxfId="15" priority="2">
      <formula>COUNTIF(R:R,R1)&gt;1</formula>
    </cfRule>
  </conditionalFormatting>
  <conditionalFormatting sqref="S1:S1814">
    <cfRule type="expression" dxfId="14" priority="3">
      <formula>COUNTIF(S:S,S1)&gt;1</formula>
    </cfRule>
  </conditionalFormatting>
  <conditionalFormatting sqref="A1:A1814">
    <cfRule type="expression" dxfId="13" priority="4">
      <formula>COUNTIF(A:A,A1)&gt;1</formula>
    </cfRule>
  </conditionalFormatting>
  <conditionalFormatting sqref="AT1231:AT1814">
    <cfRule type="expression" dxfId="12" priority="5">
      <formula>OR(NOT(AR1231=""),NOT(AY1231=""))</formula>
    </cfRule>
  </conditionalFormatting>
  <conditionalFormatting sqref="AV1231:AV1814">
    <cfRule type="expression" dxfId="11" priority="6">
      <formula>OR(NOT(AR1231=""),NOT(AY1231=""))</formula>
    </cfRule>
  </conditionalFormatting>
  <conditionalFormatting sqref="AW1231:AW1814">
    <cfRule type="expression" dxfId="10" priority="7">
      <formula>OR(NOT(AR1231=""),NOT(AY1231=""))</formula>
    </cfRule>
  </conditionalFormatting>
  <conditionalFormatting sqref="AX1231:AX1814">
    <cfRule type="expression" dxfId="9" priority="8">
      <formula>OR(NOT(AR1231=""),NOT(AY1231=""))</formula>
    </cfRule>
  </conditionalFormatting>
  <dataValidations count="1">
    <dataValidation type="list" allowBlank="1" sqref="U5:U6 U1231:U1232" xr:uid="{00000000-0002-0000-0200-000001000000}">
      <formula1>"Text,Integer,Decimal,MC (select one),MC (select multiple),Date,Time,Note,Calculation,Image,Checkbox,Toaster Message,QR Code"</formula1>
    </dataValidation>
  </dataValidations>
  <hyperlinks>
    <hyperlink ref="AW1233" r:id="rId1" xr:uid="{00000000-0004-0000-0200-000000000000}"/>
    <hyperlink ref="AQ1244" r:id="rId2" xr:uid="{00000000-0004-0000-0200-000001000000}"/>
    <hyperlink ref="AQ1245" r:id="rId3" xr:uid="{00000000-0004-0000-0200-000002000000}"/>
    <hyperlink ref="AQ1246" r:id="rId4" xr:uid="{00000000-0004-0000-0200-000003000000}"/>
    <hyperlink ref="AQ1247" r:id="rId5" xr:uid="{00000000-0004-0000-0200-000004000000}"/>
    <hyperlink ref="AQ1249" r:id="rId6" xr:uid="{00000000-0004-0000-0200-000005000000}"/>
    <hyperlink ref="AQ1250" r:id="rId7" xr:uid="{00000000-0004-0000-0200-000006000000}"/>
    <hyperlink ref="AQ1251" r:id="rId8" xr:uid="{00000000-0004-0000-0200-000007000000}"/>
    <hyperlink ref="AQ1252" r:id="rId9" xr:uid="{00000000-0004-0000-0200-000008000000}"/>
    <hyperlink ref="AQ1253" r:id="rId10" xr:uid="{00000000-0004-0000-0200-000009000000}"/>
    <hyperlink ref="AO1256" r:id="rId11" xr:uid="{00000000-0004-0000-0200-00000A000000}"/>
    <hyperlink ref="AO1257" r:id="rId12" xr:uid="{00000000-0004-0000-0200-00000B000000}"/>
    <hyperlink ref="AO1258" r:id="rId13" xr:uid="{00000000-0004-0000-0200-00000C000000}"/>
    <hyperlink ref="AO1259" r:id="rId14" xr:uid="{00000000-0004-0000-0200-00000D000000}"/>
    <hyperlink ref="AQ1352" r:id="rId15" xr:uid="{00000000-0004-0000-0200-00000E000000}"/>
    <hyperlink ref="AV1391" r:id="rId16" xr:uid="{00000000-0004-0000-0200-00000F000000}"/>
    <hyperlink ref="AQ1615" r:id="rId17" xr:uid="{00000000-0004-0000-0200-000010000000}"/>
    <hyperlink ref="AQ1715" r:id="rId18" xr:uid="{00000000-0004-0000-0200-000011000000}"/>
    <hyperlink ref="AQ1735" r:id="rId19" xr:uid="{00000000-0004-0000-0200-000012000000}"/>
    <hyperlink ref="AQ1736" r:id="rId20" xr:uid="{00000000-0004-0000-0200-000013000000}"/>
    <hyperlink ref="AQ1737" r:id="rId21" xr:uid="{00000000-0004-0000-0200-000014000000}"/>
    <hyperlink ref="AQ1746" r:id="rId22" xr:uid="{00000000-0004-0000-0200-000015000000}"/>
    <hyperlink ref="AQ1747" r:id="rId23" xr:uid="{00000000-0004-0000-0200-000016000000}"/>
  </hyperlinks>
  <pageMargins left="0.7" right="0.7" top="0.75" bottom="0.75" header="0" footer="0"/>
  <pageSetup orientation="landscape"/>
  <legacyDrawing r:id="rId24"/>
  <extLst>
    <ext xmlns:x14="http://schemas.microsoft.com/office/spreadsheetml/2009/9/main" uri="{CCE6A557-97BC-4b89-ADB6-D9C93CAAB3DF}">
      <x14:dataValidations xmlns:xm="http://schemas.microsoft.com/office/excel/2006/main" count="2">
        <x14:dataValidation type="list" allowBlank="1" xr:uid="{00000000-0002-0000-0200-000000000000}">
          <x14:formula1>
            <xm:f>Setup!$K:$K</xm:f>
          </x14:formula1>
          <xm:sqref>AZ1231:AZ1814</xm:sqref>
        </x14:dataValidation>
        <x14:dataValidation type="list" allowBlank="1" xr:uid="{00000000-0002-0000-0200-000002000000}">
          <x14:formula1>
            <xm:f>Setup!$E:$E</xm:f>
          </x14:formula1>
          <xm:sqref>AY1231:AY1814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U946"/>
  <sheetViews>
    <sheetView tabSelected="1" workbookViewId="0">
      <pane xSplit="11" ySplit="2" topLeftCell="AU3" activePane="bottomRight" state="frozen"/>
      <selection pane="topRight" activeCell="L1" sqref="L1"/>
      <selection pane="bottomLeft" activeCell="A3" sqref="A3"/>
      <selection pane="bottomRight" activeCell="BB11" sqref="BB11"/>
    </sheetView>
  </sheetViews>
  <sheetFormatPr baseColWidth="10" defaultColWidth="14.5" defaultRowHeight="15" customHeight="1"/>
  <cols>
    <col min="1" max="1" width="7.1640625" customWidth="1"/>
    <col min="2" max="2" width="27" customWidth="1"/>
    <col min="3" max="3" width="9.6640625" hidden="1" customWidth="1"/>
    <col min="4" max="5" width="16.6640625" hidden="1" customWidth="1"/>
    <col min="6" max="6" width="9.83203125" customWidth="1"/>
    <col min="7" max="7" width="7.5" hidden="1" customWidth="1"/>
    <col min="8" max="8" width="26.1640625" customWidth="1"/>
    <col min="9" max="9" width="17" hidden="1" customWidth="1"/>
    <col min="10" max="10" width="16.1640625" hidden="1" customWidth="1"/>
    <col min="11" max="11" width="21.5" customWidth="1"/>
    <col min="12" max="12" width="9.5" hidden="1" customWidth="1"/>
    <col min="13" max="13" width="7.1640625" hidden="1" customWidth="1"/>
    <col min="14" max="14" width="34.1640625" customWidth="1"/>
    <col min="15" max="15" width="10" customWidth="1"/>
    <col min="16" max="16" width="16" customWidth="1"/>
    <col min="17" max="17" width="20.6640625" customWidth="1"/>
    <col min="18" max="18" width="21.33203125" customWidth="1"/>
    <col min="19" max="19" width="22.33203125" customWidth="1"/>
    <col min="20" max="23" width="14.83203125" customWidth="1"/>
    <col min="24" max="24" width="21.6640625" customWidth="1"/>
    <col min="25" max="25" width="22.83203125" customWidth="1"/>
    <col min="26" max="30" width="14.83203125" customWidth="1"/>
    <col min="31" max="31" width="30.1640625" customWidth="1"/>
    <col min="32" max="32" width="22.6640625" customWidth="1"/>
    <col min="33" max="35" width="14.83203125" customWidth="1"/>
    <col min="36" max="36" width="13.83203125" customWidth="1"/>
    <col min="37" max="37" width="29.83203125" customWidth="1"/>
    <col min="38" max="38" width="15.5" customWidth="1"/>
    <col min="39" max="39" width="21" customWidth="1"/>
    <col min="40" max="40" width="9.5" customWidth="1"/>
    <col min="41" max="41" width="18.83203125" customWidth="1"/>
    <col min="42" max="42" width="24.5" customWidth="1"/>
    <col min="43" max="43" width="20.83203125" customWidth="1"/>
    <col min="44" max="45" width="14.5" customWidth="1"/>
    <col min="46" max="46" width="10" customWidth="1"/>
    <col min="47" max="48" width="12" customWidth="1"/>
    <col min="49" max="49" width="13.5" customWidth="1"/>
    <col min="50" max="50" width="8.83203125" customWidth="1"/>
    <col min="51" max="51" width="14.83203125" hidden="1" customWidth="1"/>
    <col min="52" max="52" width="14.83203125" customWidth="1"/>
    <col min="53" max="53" width="9" customWidth="1"/>
    <col min="54" max="54" width="20.1640625" customWidth="1"/>
    <col min="55" max="55" width="10" customWidth="1"/>
    <col min="56" max="56" width="10.83203125" customWidth="1"/>
    <col min="57" max="57" width="12" customWidth="1"/>
    <col min="58" max="58" width="14.83203125" hidden="1" customWidth="1"/>
    <col min="59" max="59" width="16" customWidth="1"/>
    <col min="60" max="61" width="11.5" customWidth="1"/>
    <col min="62" max="62" width="11.1640625" customWidth="1"/>
    <col min="63" max="64" width="13.5" customWidth="1"/>
    <col min="65" max="65" width="19.5" customWidth="1"/>
    <col min="66" max="66" width="13.83203125" customWidth="1"/>
    <col min="67" max="70" width="14.83203125" customWidth="1"/>
    <col min="71" max="73" width="14.83203125" hidden="1" customWidth="1"/>
    <col min="74" max="75" width="9" hidden="1" customWidth="1"/>
    <col min="76" max="76" width="9" customWidth="1"/>
    <col min="77" max="77" width="21.33203125" customWidth="1"/>
    <col min="78" max="84" width="9" customWidth="1"/>
    <col min="85" max="85" width="13.1640625" hidden="1" customWidth="1"/>
    <col min="86" max="99" width="9" hidden="1" customWidth="1"/>
  </cols>
  <sheetData>
    <row r="1" spans="1:99" ht="56.25" customHeight="1">
      <c r="A1" s="1" t="s">
        <v>0</v>
      </c>
      <c r="B1" s="2" t="s">
        <v>3050</v>
      </c>
      <c r="C1" s="2"/>
      <c r="D1" s="1" t="s">
        <v>1</v>
      </c>
      <c r="E1" s="1" t="s">
        <v>1</v>
      </c>
      <c r="F1" s="2" t="s">
        <v>3051</v>
      </c>
      <c r="G1" s="2"/>
      <c r="H1" s="2" t="s">
        <v>9</v>
      </c>
      <c r="I1" s="1" t="s">
        <v>4</v>
      </c>
      <c r="J1" s="1" t="s">
        <v>6</v>
      </c>
      <c r="K1" s="1" t="s">
        <v>13</v>
      </c>
      <c r="L1" s="2" t="s">
        <v>3052</v>
      </c>
      <c r="M1" s="2" t="s">
        <v>3053</v>
      </c>
      <c r="N1" s="1" t="s">
        <v>8</v>
      </c>
      <c r="O1" s="1" t="s">
        <v>10</v>
      </c>
      <c r="P1" s="1" t="s">
        <v>10</v>
      </c>
      <c r="Q1" s="4" t="s">
        <v>15</v>
      </c>
      <c r="R1" s="1" t="s">
        <v>16</v>
      </c>
      <c r="S1" s="1" t="s">
        <v>17</v>
      </c>
      <c r="T1" s="1" t="s">
        <v>18</v>
      </c>
      <c r="U1" s="5" t="s">
        <v>25</v>
      </c>
      <c r="V1" s="1" t="s">
        <v>19</v>
      </c>
      <c r="W1" s="1" t="s">
        <v>20</v>
      </c>
      <c r="X1" s="1" t="s">
        <v>21</v>
      </c>
      <c r="Y1" s="1" t="s">
        <v>22</v>
      </c>
      <c r="Z1" s="1" t="s">
        <v>23</v>
      </c>
      <c r="AA1" s="1" t="s">
        <v>24</v>
      </c>
      <c r="AB1" s="1" t="s">
        <v>26</v>
      </c>
      <c r="AC1" s="1" t="s">
        <v>27</v>
      </c>
      <c r="AD1" s="385" t="s">
        <v>28</v>
      </c>
      <c r="AE1" s="385" t="s">
        <v>29</v>
      </c>
      <c r="AF1" s="1" t="s">
        <v>31</v>
      </c>
      <c r="AG1" s="1" t="s">
        <v>32</v>
      </c>
      <c r="AH1" s="1" t="s">
        <v>30</v>
      </c>
      <c r="AI1" s="1"/>
      <c r="AJ1" s="2" t="s">
        <v>36</v>
      </c>
      <c r="AK1" s="2" t="s">
        <v>3054</v>
      </c>
      <c r="AL1" s="2" t="s">
        <v>3055</v>
      </c>
      <c r="AM1" s="2" t="s">
        <v>3056</v>
      </c>
      <c r="AN1" s="1" t="s">
        <v>49</v>
      </c>
      <c r="AO1" s="2" t="s">
        <v>3057</v>
      </c>
      <c r="AP1" s="2" t="s">
        <v>3058</v>
      </c>
      <c r="AQ1" s="2"/>
      <c r="AR1" s="2" t="s">
        <v>3059</v>
      </c>
      <c r="AS1" s="2"/>
      <c r="AT1" s="10" t="str">
        <f>HYPERLINK("https://unitsofmeasure.org/ucum.html","If the term is a standard unit of measurement, list the unit in the format following the hyperlink.")</f>
        <v>If the term is a standard unit of measurement, list the unit in the format following the hyperlink.</v>
      </c>
      <c r="AU1" s="1"/>
      <c r="AV1" s="1"/>
      <c r="AW1" s="1"/>
      <c r="AX1" s="2" t="s">
        <v>3060</v>
      </c>
      <c r="AY1" s="2" t="s">
        <v>58</v>
      </c>
      <c r="AZ1" s="2" t="s">
        <v>3061</v>
      </c>
      <c r="BA1" s="2"/>
      <c r="BB1" s="2" t="s">
        <v>3062</v>
      </c>
      <c r="BC1" s="1" t="s">
        <v>39</v>
      </c>
      <c r="BD1" s="1"/>
      <c r="BE1" s="386" t="s">
        <v>51</v>
      </c>
      <c r="BF1" s="387" t="s">
        <v>34</v>
      </c>
      <c r="BG1" s="386" t="s">
        <v>51</v>
      </c>
      <c r="BH1" s="386" t="s">
        <v>51</v>
      </c>
      <c r="BI1" s="386" t="s">
        <v>53</v>
      </c>
      <c r="BJ1" s="2" t="s">
        <v>54</v>
      </c>
      <c r="BK1" s="2" t="s">
        <v>55</v>
      </c>
      <c r="BL1" s="2" t="s">
        <v>3063</v>
      </c>
      <c r="BM1" s="2" t="s">
        <v>56</v>
      </c>
      <c r="BN1" s="2" t="s">
        <v>57</v>
      </c>
      <c r="BO1" s="1" t="s">
        <v>60</v>
      </c>
      <c r="BP1" s="1"/>
      <c r="BQ1" s="1"/>
      <c r="BR1" s="1"/>
      <c r="BS1" s="14" t="s">
        <v>34</v>
      </c>
      <c r="BT1" s="16" t="s">
        <v>35</v>
      </c>
      <c r="BU1" s="16" t="s">
        <v>35</v>
      </c>
      <c r="BV1" s="17"/>
      <c r="BW1" s="17"/>
      <c r="BX1" s="17"/>
      <c r="BY1" s="388"/>
      <c r="BZ1" s="17"/>
      <c r="CA1" s="389"/>
      <c r="CB1" s="389" t="s">
        <v>3064</v>
      </c>
      <c r="CC1" s="389" t="s">
        <v>3065</v>
      </c>
      <c r="CD1" s="389" t="s">
        <v>3066</v>
      </c>
      <c r="CE1" s="389" t="s">
        <v>3067</v>
      </c>
      <c r="CF1" s="389" t="s">
        <v>3068</v>
      </c>
      <c r="CG1" s="17"/>
      <c r="CH1" s="17"/>
      <c r="CI1" s="17"/>
      <c r="CJ1" s="17"/>
      <c r="CK1" s="17"/>
      <c r="CL1" s="17"/>
      <c r="CM1" s="17"/>
      <c r="CN1" s="17"/>
      <c r="CO1" s="17"/>
      <c r="CP1" s="17"/>
      <c r="CQ1" s="17"/>
      <c r="CR1" s="17"/>
      <c r="CS1" s="17"/>
      <c r="CT1" s="17"/>
      <c r="CU1" s="17"/>
    </row>
    <row r="2" spans="1:99" ht="12.75" customHeight="1">
      <c r="A2" s="18" t="s">
        <v>40</v>
      </c>
      <c r="B2" s="20" t="s">
        <v>41</v>
      </c>
      <c r="C2" s="20" t="s">
        <v>3069</v>
      </c>
      <c r="D2" s="20" t="s">
        <v>80</v>
      </c>
      <c r="E2" s="20" t="s">
        <v>85</v>
      </c>
      <c r="F2" s="18" t="s">
        <v>42</v>
      </c>
      <c r="G2" s="20" t="s">
        <v>3070</v>
      </c>
      <c r="H2" s="18" t="s">
        <v>43</v>
      </c>
      <c r="I2" s="18" t="s">
        <v>44</v>
      </c>
      <c r="J2" s="18" t="s">
        <v>47</v>
      </c>
      <c r="K2" s="18" t="s">
        <v>93</v>
      </c>
      <c r="L2" s="20" t="s">
        <v>94</v>
      </c>
      <c r="M2" s="18" t="s">
        <v>48</v>
      </c>
      <c r="N2" s="23" t="s">
        <v>50</v>
      </c>
      <c r="O2" s="23" t="s">
        <v>97</v>
      </c>
      <c r="P2" s="23" t="s">
        <v>98</v>
      </c>
      <c r="Q2" s="23" t="s">
        <v>59</v>
      </c>
      <c r="R2" s="23" t="s">
        <v>61</v>
      </c>
      <c r="S2" s="23" t="s">
        <v>62</v>
      </c>
      <c r="T2" s="23" t="s">
        <v>63</v>
      </c>
      <c r="U2" s="26" t="s">
        <v>3071</v>
      </c>
      <c r="V2" s="26" t="s">
        <v>64</v>
      </c>
      <c r="W2" s="23" t="s">
        <v>65</v>
      </c>
      <c r="X2" s="23" t="s">
        <v>66</v>
      </c>
      <c r="Y2" s="26" t="s">
        <v>67</v>
      </c>
      <c r="Z2" s="23" t="s">
        <v>68</v>
      </c>
      <c r="AA2" s="23" t="s">
        <v>69</v>
      </c>
      <c r="AB2" s="390" t="s">
        <v>70</v>
      </c>
      <c r="AC2" s="23" t="s">
        <v>71</v>
      </c>
      <c r="AD2" s="23" t="s">
        <v>73</v>
      </c>
      <c r="AE2" s="390" t="s">
        <v>74</v>
      </c>
      <c r="AF2" s="23" t="s">
        <v>76</v>
      </c>
      <c r="AG2" s="23" t="s">
        <v>77</v>
      </c>
      <c r="AH2" s="23" t="s">
        <v>75</v>
      </c>
      <c r="AI2" s="23" t="s">
        <v>72</v>
      </c>
      <c r="AJ2" s="30" t="s">
        <v>107</v>
      </c>
      <c r="AK2" s="30" t="s">
        <v>89</v>
      </c>
      <c r="AL2" s="31" t="s">
        <v>3072</v>
      </c>
      <c r="AM2" s="31" t="s">
        <v>117</v>
      </c>
      <c r="AN2" s="31" t="s">
        <v>119</v>
      </c>
      <c r="AO2" s="31" t="s">
        <v>114</v>
      </c>
      <c r="AP2" s="31" t="s">
        <v>3073</v>
      </c>
      <c r="AQ2" s="391" t="s">
        <v>3074</v>
      </c>
      <c r="AR2" s="31" t="s">
        <v>3075</v>
      </c>
      <c r="AS2" s="31" t="s">
        <v>3076</v>
      </c>
      <c r="AT2" s="31" t="s">
        <v>116</v>
      </c>
      <c r="AU2" s="392" t="s">
        <v>3077</v>
      </c>
      <c r="AV2" s="392" t="s">
        <v>3078</v>
      </c>
      <c r="AW2" s="392" t="s">
        <v>3079</v>
      </c>
      <c r="AX2" s="393" t="s">
        <v>3080</v>
      </c>
      <c r="AY2" s="36" t="s">
        <v>131</v>
      </c>
      <c r="AZ2" s="393" t="s">
        <v>3081</v>
      </c>
      <c r="BA2" s="393" t="s">
        <v>3082</v>
      </c>
      <c r="BB2" s="33" t="s">
        <v>120</v>
      </c>
      <c r="BC2" s="35" t="s">
        <v>91</v>
      </c>
      <c r="BD2" s="33" t="s">
        <v>122</v>
      </c>
      <c r="BE2" s="394" t="str">
        <f>HYPERLINK("https://icd.who.int/browse10/2016/en","ICD-10-WHO")</f>
        <v>ICD-10-WHO</v>
      </c>
      <c r="BF2" s="395" t="s">
        <v>81</v>
      </c>
      <c r="BG2" s="394" t="str">
        <f>HYPERLINK("https://browser.ihtsdotools.org/?","SNOMED-CT")</f>
        <v>SNOMED-CT</v>
      </c>
      <c r="BH2" s="394" t="str">
        <f>HYPERLINK("search.loinc.org","LOINC")</f>
        <v>LOINC</v>
      </c>
      <c r="BI2" s="396" t="str">
        <f>HYPERLINK("https://mor.nlm.nih.gov/RxNav/","RxNorm")</f>
        <v>RxNorm</v>
      </c>
      <c r="BJ2" s="33" t="s">
        <v>126</v>
      </c>
      <c r="BK2" s="35" t="s">
        <v>128</v>
      </c>
      <c r="BL2" s="33" t="s">
        <v>3083</v>
      </c>
      <c r="BM2" s="35" t="s">
        <v>129</v>
      </c>
      <c r="BN2" s="36" t="s">
        <v>130</v>
      </c>
      <c r="BO2" s="38" t="s">
        <v>132</v>
      </c>
      <c r="BP2" s="38" t="s">
        <v>84</v>
      </c>
      <c r="BQ2" s="38" t="s">
        <v>86</v>
      </c>
      <c r="BR2" s="38" t="s">
        <v>87</v>
      </c>
      <c r="BS2" s="39" t="s">
        <v>135</v>
      </c>
      <c r="BT2" s="40" t="s">
        <v>143</v>
      </c>
      <c r="BU2" s="40" t="s">
        <v>147</v>
      </c>
      <c r="BV2" s="41" t="s">
        <v>3084</v>
      </c>
      <c r="BW2" s="41" t="s">
        <v>3085</v>
      </c>
      <c r="BX2" s="41" t="s">
        <v>3086</v>
      </c>
      <c r="BY2" s="41" t="s">
        <v>3087</v>
      </c>
      <c r="BZ2" s="41" t="s">
        <v>148</v>
      </c>
      <c r="CA2" s="41" t="s">
        <v>3088</v>
      </c>
      <c r="CB2" s="41" t="s">
        <v>152</v>
      </c>
      <c r="CC2" s="397" t="s">
        <v>3089</v>
      </c>
      <c r="CD2" s="397" t="s">
        <v>3090</v>
      </c>
      <c r="CE2" s="41" t="s">
        <v>154</v>
      </c>
      <c r="CF2" s="41" t="s">
        <v>155</v>
      </c>
      <c r="CG2" s="398" t="s">
        <v>3091</v>
      </c>
      <c r="CH2" s="398"/>
      <c r="CI2" s="398"/>
      <c r="CJ2" s="398"/>
      <c r="CK2" s="398"/>
      <c r="CL2" s="398"/>
      <c r="CM2" s="398"/>
      <c r="CN2" s="398"/>
      <c r="CO2" s="398"/>
      <c r="CP2" s="398"/>
      <c r="CQ2" s="398"/>
      <c r="CR2" s="398"/>
      <c r="CS2" s="398"/>
      <c r="CT2" s="398"/>
      <c r="CU2" s="398"/>
    </row>
    <row r="3" spans="1:99" ht="12.75" customHeight="1">
      <c r="A3" s="399">
        <v>1229</v>
      </c>
      <c r="B3" s="399" t="s">
        <v>3092</v>
      </c>
      <c r="C3" s="399">
        <f t="shared" ref="C3:C118" si="0">A3</f>
        <v>1229</v>
      </c>
      <c r="D3" s="399" t="str">
        <f t="shared" ref="D3:D118" si="1">IF(F3="Input Option",CONCAT("       ",E3),E3)</f>
        <v>Client first name</v>
      </c>
      <c r="E3" s="399" t="str">
        <f t="shared" ref="E3:E118" si="2">IF(Q3="",IF(V3="",Q3,V3),Q3)</f>
        <v>Client first name</v>
      </c>
      <c r="F3" s="399" t="str">
        <f t="shared" ref="F3:F12" si="3">IF(AND(ISBLANK(V3)=FALSE,OR(T3="MC",T3="")),"Input Option","Data Element")</f>
        <v>Data Element</v>
      </c>
      <c r="G3" s="400">
        <f t="shared" ref="G3:G118" si="4">LEN(B3)</f>
        <v>17</v>
      </c>
      <c r="H3" s="400" t="str">
        <f t="shared" ref="H3:H110" si="5">IF(F3="Input Option",IF(H2="",B2,H2),"")</f>
        <v/>
      </c>
      <c r="I3" s="400"/>
      <c r="J3" s="400"/>
      <c r="K3" s="401" t="s">
        <v>99</v>
      </c>
      <c r="L3" s="402" t="s">
        <v>3093</v>
      </c>
      <c r="M3" s="400"/>
      <c r="N3" s="403" t="s">
        <v>3094</v>
      </c>
      <c r="O3" s="403" t="s">
        <v>3095</v>
      </c>
      <c r="P3" s="404" t="s">
        <v>3096</v>
      </c>
      <c r="Q3" s="405" t="s">
        <v>3092</v>
      </c>
      <c r="R3" s="405" t="s">
        <v>109</v>
      </c>
      <c r="S3" s="405" t="s">
        <v>3097</v>
      </c>
      <c r="T3" s="405" t="s">
        <v>111</v>
      </c>
      <c r="U3" s="405"/>
      <c r="V3" s="405"/>
      <c r="W3" s="405"/>
      <c r="X3" s="404" t="s">
        <v>113</v>
      </c>
      <c r="Y3" s="405" t="s">
        <v>112</v>
      </c>
      <c r="Z3" s="405" t="s">
        <v>113</v>
      </c>
      <c r="AA3" s="405" t="s">
        <v>3098</v>
      </c>
      <c r="AB3" s="406"/>
      <c r="AC3" s="407"/>
      <c r="AD3" s="407"/>
      <c r="AE3" s="408"/>
      <c r="AF3" s="407"/>
      <c r="AG3" s="404"/>
      <c r="AH3" s="399"/>
      <c r="AI3" s="400"/>
      <c r="AJ3" s="399"/>
      <c r="AK3" s="409" t="s">
        <v>3099</v>
      </c>
      <c r="AL3" s="409"/>
      <c r="AM3" s="410" t="s">
        <v>3100</v>
      </c>
      <c r="AN3" s="399" t="s">
        <v>3101</v>
      </c>
      <c r="AO3" s="399"/>
      <c r="AP3" s="409" t="s">
        <v>3102</v>
      </c>
      <c r="AQ3" s="409" t="s">
        <v>3103</v>
      </c>
      <c r="AR3" s="399"/>
      <c r="AS3" s="399"/>
      <c r="AT3" s="399"/>
      <c r="AU3" s="399" t="s">
        <v>3092</v>
      </c>
      <c r="AV3" s="399" t="str">
        <f t="shared" ref="AV3:AV118" si="6">IF(AU3="","", IF(AND(B3=AU3),"Same","Changed"))</f>
        <v>Same</v>
      </c>
      <c r="AW3" s="399"/>
      <c r="AX3" s="409" t="s">
        <v>3104</v>
      </c>
      <c r="AY3" s="399" t="str">
        <f t="shared" ref="AY3:AY118" si="7">IF(B3=D3,"",CONCATENATE(CHAR(34), D3,CHAR(34), "-&gt;", CHAR(34), B3,CHAR(34)))</f>
        <v/>
      </c>
      <c r="AZ3" s="409" t="s">
        <v>3105</v>
      </c>
      <c r="BA3" s="409">
        <v>1</v>
      </c>
      <c r="BB3" s="399"/>
      <c r="BC3" s="399"/>
      <c r="BD3" s="399"/>
      <c r="BE3" s="411"/>
      <c r="BF3" s="411"/>
      <c r="BG3" s="411"/>
      <c r="BH3" s="411"/>
      <c r="BI3" s="411"/>
      <c r="BJ3" s="399" t="s">
        <v>3106</v>
      </c>
      <c r="BK3" s="399"/>
      <c r="BL3" s="399"/>
      <c r="BM3" s="399"/>
      <c r="BN3" s="399"/>
      <c r="BO3" s="399"/>
      <c r="BP3" s="399" t="s">
        <v>115</v>
      </c>
      <c r="BQ3" s="399" t="s">
        <v>118</v>
      </c>
      <c r="BR3" s="399" t="s">
        <v>109</v>
      </c>
      <c r="BS3" s="407"/>
      <c r="BT3" s="407"/>
      <c r="BU3" s="412"/>
      <c r="BV3" s="46" t="str">
        <f t="shared" ref="BV3:BV946" si="8">IF(AND(OR(F3="Data Element", F3="Calculation"),OR(CC3=1,CF3=1),OR(BA3=1,BA3="ST")), LEFT(AK3,FIND(".",AK3)-1),"")</f>
        <v>Patient</v>
      </c>
      <c r="BW3" s="46" t="str">
        <f t="shared" ref="BW3:BW946" si="9">IF(F3="Input Option", VLOOKUP(H3,B:BV,71,FALSE),"")</f>
        <v/>
      </c>
      <c r="BX3" s="46" t="str">
        <f t="shared" ref="BX3:BX946" si="10">IF(BV3&lt;&gt;"",BV3,IF(BW3&lt;&gt;"",BW3,""))</f>
        <v>Patient</v>
      </c>
      <c r="BY3" s="43" t="str">
        <f t="shared" ref="BY3:BY946" si="11">IF(OR(F3="Data Element",F3="Calculation"),AP3,IF(F3="Input Option",VLOOKUP(H3,B:AP,41,FALSE),""))</f>
        <v>WHO-Core Patient</v>
      </c>
      <c r="BZ3" s="46">
        <f t="shared" ref="BZ3:BZ946" si="12">1</f>
        <v>1</v>
      </c>
      <c r="CA3" s="46">
        <f t="shared" ref="CA3:CA946" si="13">IF(F3="Data Element",IF(OR(F4="Input Option",AR3&lt;&gt;""),1,0),"")</f>
        <v>0</v>
      </c>
      <c r="CB3" s="46">
        <f t="shared" ref="CB3:CB946" si="14">IF(CF3=1,0,IF(OR(F3="Data Element",F3="Calculation"),IF(AND(AK3&lt;&gt;"", AM3&lt;&gt;"",AN3&lt;&gt;"",OR(BE3&lt;&gt;"",BG3&lt;&gt;"",BH3&lt;&gt;"", BI3&lt;&gt;"",BJ3&lt;&gt;"")),1,0),IF(F3="Input Option",IF(OR(AND(BC3&lt;&gt;"",BB3&lt;&gt;""),BE3&lt;&gt;"",BG3&lt;&gt;"",BH3&lt;&gt;"",BI3&lt;&gt;"",BJ3&lt;&gt;""),1,0),1)))</f>
        <v>1</v>
      </c>
      <c r="CC3" s="46">
        <f t="shared" ref="CC3:CC946" si="15">IF(CF3=1,0,IF(OR(F3="Data Element",F3="Calculation"),IF(AND(AK3&lt;&gt;"", AM3&lt;&gt;"",AN3&lt;&gt;""),1,0),1))</f>
        <v>1</v>
      </c>
      <c r="CD3" s="46">
        <f t="shared" ref="CD3:CD946" si="16">IF(CF3=1,0,IF(OR(F3="Data Element",F3="Calculation"),IF(OR(BE3&lt;&gt;"",BG3&lt;&gt;"",BH3&lt;&gt;"", BI3&lt;&gt;"",BJ3&lt;&gt;""),1,0),IF(F3="Input Option",IF(OR(AND(BC3&lt;&gt;"",BB3&lt;&gt;""),BE3&lt;&gt;"",BG3&lt;&gt;"",BH3&lt;&gt;"",BI3&lt;&gt;"",BJ3&lt;&gt;""),1,0),1)))</f>
        <v>1</v>
      </c>
      <c r="CE3" s="46">
        <f t="shared" ref="CE3:CE946" si="17">BZ3-(CF3+CB3)</f>
        <v>0</v>
      </c>
      <c r="CF3" s="46">
        <f t="shared" ref="CF3:CF946" si="18">IFERROR(SEARCH("extens",AM3),0)</f>
        <v>0</v>
      </c>
      <c r="CG3" s="46" t="str">
        <f ca="1">IFERROR(__xludf.DUMMYFUNCTION("if(OR(BH3="""",LEFT(BH3,2)=""LA""),"""",IMPORTXML(CONCATENATE(""https://loinc.org/"",BH3,""/""),""//span[@id='lcn']""))"),"")</f>
        <v/>
      </c>
      <c r="CH3" s="46"/>
      <c r="CI3" s="46"/>
      <c r="CJ3" s="46"/>
      <c r="CK3" s="46"/>
      <c r="CL3" s="46"/>
      <c r="CM3" s="46"/>
      <c r="CN3" s="46"/>
      <c r="CO3" s="46"/>
      <c r="CP3" s="46"/>
      <c r="CQ3" s="46"/>
      <c r="CR3" s="46"/>
      <c r="CS3" s="46"/>
      <c r="CT3" s="46"/>
      <c r="CU3" s="46"/>
    </row>
    <row r="4" spans="1:99" ht="12.75" customHeight="1">
      <c r="A4" s="399">
        <v>1230</v>
      </c>
      <c r="B4" s="399" t="s">
        <v>3107</v>
      </c>
      <c r="C4" s="399">
        <f t="shared" si="0"/>
        <v>1230</v>
      </c>
      <c r="D4" s="399" t="str">
        <f t="shared" si="1"/>
        <v>Client last name</v>
      </c>
      <c r="E4" s="399" t="str">
        <f t="shared" si="2"/>
        <v>Client last name</v>
      </c>
      <c r="F4" s="399" t="str">
        <f t="shared" si="3"/>
        <v>Data Element</v>
      </c>
      <c r="G4" s="400">
        <f t="shared" si="4"/>
        <v>16</v>
      </c>
      <c r="H4" s="400" t="str">
        <f t="shared" si="5"/>
        <v/>
      </c>
      <c r="I4" s="400"/>
      <c r="J4" s="400"/>
      <c r="K4" s="401" t="s">
        <v>99</v>
      </c>
      <c r="L4" s="402" t="s">
        <v>3093</v>
      </c>
      <c r="M4" s="400"/>
      <c r="N4" s="403" t="s">
        <v>3094</v>
      </c>
      <c r="O4" s="403" t="s">
        <v>3108</v>
      </c>
      <c r="P4" s="404" t="s">
        <v>3109</v>
      </c>
      <c r="Q4" s="405" t="s">
        <v>3107</v>
      </c>
      <c r="R4" s="405" t="s">
        <v>125</v>
      </c>
      <c r="S4" s="405" t="s">
        <v>3110</v>
      </c>
      <c r="T4" s="405" t="s">
        <v>111</v>
      </c>
      <c r="U4" s="405"/>
      <c r="V4" s="405"/>
      <c r="W4" s="405"/>
      <c r="X4" s="404" t="s">
        <v>113</v>
      </c>
      <c r="Y4" s="405" t="s">
        <v>112</v>
      </c>
      <c r="Z4" s="405" t="s">
        <v>113</v>
      </c>
      <c r="AA4" s="405" t="s">
        <v>3098</v>
      </c>
      <c r="AB4" s="406"/>
      <c r="AC4" s="407"/>
      <c r="AD4" s="407"/>
      <c r="AE4" s="408"/>
      <c r="AF4" s="407" t="s">
        <v>3111</v>
      </c>
      <c r="AG4" s="404"/>
      <c r="AH4" s="399"/>
      <c r="AI4" s="400"/>
      <c r="AJ4" s="399"/>
      <c r="AK4" s="409" t="s">
        <v>3112</v>
      </c>
      <c r="AL4" s="409"/>
      <c r="AM4" s="410" t="s">
        <v>3100</v>
      </c>
      <c r="AN4" s="399" t="s">
        <v>3101</v>
      </c>
      <c r="AO4" s="399"/>
      <c r="AP4" s="409" t="s">
        <v>3102</v>
      </c>
      <c r="AQ4" s="409" t="s">
        <v>3103</v>
      </c>
      <c r="AR4" s="399"/>
      <c r="AS4" s="399"/>
      <c r="AT4" s="399"/>
      <c r="AU4" s="399" t="s">
        <v>3107</v>
      </c>
      <c r="AV4" s="399" t="str">
        <f t="shared" si="6"/>
        <v>Same</v>
      </c>
      <c r="AW4" s="399"/>
      <c r="AX4" s="409" t="s">
        <v>3104</v>
      </c>
      <c r="AY4" s="399" t="str">
        <f t="shared" si="7"/>
        <v/>
      </c>
      <c r="AZ4" s="409" t="s">
        <v>3105</v>
      </c>
      <c r="BA4" s="409">
        <v>1</v>
      </c>
      <c r="BB4" s="399"/>
      <c r="BC4" s="399"/>
      <c r="BD4" s="399"/>
      <c r="BE4" s="411"/>
      <c r="BF4" s="411"/>
      <c r="BG4" s="411" t="s">
        <v>3113</v>
      </c>
      <c r="BH4" s="411"/>
      <c r="BI4" s="411"/>
      <c r="BJ4" s="399" t="s">
        <v>3106</v>
      </c>
      <c r="BK4" s="399"/>
      <c r="BL4" s="399"/>
      <c r="BM4" s="399"/>
      <c r="BN4" s="399"/>
      <c r="BO4" s="399"/>
      <c r="BP4" s="399" t="s">
        <v>115</v>
      </c>
      <c r="BQ4" s="399" t="s">
        <v>118</v>
      </c>
      <c r="BR4" s="399" t="s">
        <v>125</v>
      </c>
      <c r="BS4" s="407"/>
      <c r="BT4" s="407"/>
      <c r="BU4" s="412"/>
      <c r="BV4" s="46" t="str">
        <f t="shared" si="8"/>
        <v>Patient</v>
      </c>
      <c r="BW4" s="46" t="str">
        <f t="shared" si="9"/>
        <v/>
      </c>
      <c r="BX4" s="46" t="str">
        <f t="shared" si="10"/>
        <v>Patient</v>
      </c>
      <c r="BY4" s="43" t="str">
        <f t="shared" si="11"/>
        <v>WHO-Core Patient</v>
      </c>
      <c r="BZ4" s="46">
        <f t="shared" si="12"/>
        <v>1</v>
      </c>
      <c r="CA4" s="46">
        <f t="shared" si="13"/>
        <v>0</v>
      </c>
      <c r="CB4" s="46">
        <f t="shared" si="14"/>
        <v>1</v>
      </c>
      <c r="CC4" s="46">
        <f t="shared" si="15"/>
        <v>1</v>
      </c>
      <c r="CD4" s="46">
        <f t="shared" si="16"/>
        <v>1</v>
      </c>
      <c r="CE4" s="46">
        <f t="shared" si="17"/>
        <v>0</v>
      </c>
      <c r="CF4" s="46">
        <f t="shared" si="18"/>
        <v>0</v>
      </c>
      <c r="CG4" s="46" t="str">
        <f ca="1">IFERROR(__xludf.DUMMYFUNCTION("if(OR(BH4="""",LEFT(BH4,2)=""LA""),"""",IMPORTXML(CONCATENATE(""https://loinc.org/"",BH4,""/""),""//span[@id='lcn']""))"),"")</f>
        <v/>
      </c>
      <c r="CH4" s="46"/>
      <c r="CI4" s="46"/>
      <c r="CJ4" s="46"/>
      <c r="CK4" s="46"/>
      <c r="CL4" s="46"/>
      <c r="CM4" s="46"/>
      <c r="CN4" s="46"/>
      <c r="CO4" s="46"/>
      <c r="CP4" s="46"/>
      <c r="CQ4" s="46"/>
      <c r="CR4" s="46"/>
      <c r="CS4" s="46"/>
      <c r="CT4" s="46"/>
      <c r="CU4" s="46"/>
    </row>
    <row r="5" spans="1:99" ht="12.75" customHeight="1">
      <c r="A5" s="413">
        <v>2313</v>
      </c>
      <c r="B5" s="399" t="s">
        <v>3115</v>
      </c>
      <c r="C5" s="399">
        <f t="shared" si="0"/>
        <v>2313</v>
      </c>
      <c r="D5" s="399" t="str">
        <f t="shared" si="1"/>
        <v>Visit type</v>
      </c>
      <c r="E5" s="399" t="str">
        <f t="shared" si="2"/>
        <v>Visit type</v>
      </c>
      <c r="F5" s="399" t="str">
        <f t="shared" si="3"/>
        <v>Data Element</v>
      </c>
      <c r="G5" s="400">
        <f t="shared" si="4"/>
        <v>10</v>
      </c>
      <c r="H5" s="400" t="str">
        <f t="shared" si="5"/>
        <v/>
      </c>
      <c r="I5" s="400"/>
      <c r="J5" s="400"/>
      <c r="K5" s="401" t="s">
        <v>99</v>
      </c>
      <c r="L5" s="402" t="s">
        <v>3117</v>
      </c>
      <c r="M5" s="400"/>
      <c r="N5" s="403" t="s">
        <v>3094</v>
      </c>
      <c r="O5" s="403" t="s">
        <v>3118</v>
      </c>
      <c r="P5" s="404"/>
      <c r="Q5" s="405" t="s">
        <v>3115</v>
      </c>
      <c r="R5" s="405" t="s">
        <v>3119</v>
      </c>
      <c r="S5" s="405" t="s">
        <v>3120</v>
      </c>
      <c r="T5" s="405" t="s">
        <v>3121</v>
      </c>
      <c r="U5" s="405" t="s">
        <v>3122</v>
      </c>
      <c r="V5" s="405"/>
      <c r="W5" s="405"/>
      <c r="X5" s="405" t="s">
        <v>208</v>
      </c>
      <c r="Y5" s="404"/>
      <c r="Z5" s="405" t="s">
        <v>113</v>
      </c>
      <c r="AA5" s="405" t="s">
        <v>3098</v>
      </c>
      <c r="AB5" s="406"/>
      <c r="AC5" s="407"/>
      <c r="AD5" s="407"/>
      <c r="AE5" s="408"/>
      <c r="AF5" s="407"/>
      <c r="AG5" s="404"/>
      <c r="AH5" s="399"/>
      <c r="AI5" s="400"/>
      <c r="AJ5" s="399" t="s">
        <v>1787</v>
      </c>
      <c r="AK5" s="409" t="s">
        <v>3123</v>
      </c>
      <c r="AL5" s="409"/>
      <c r="AM5" s="409" t="s">
        <v>3100</v>
      </c>
      <c r="AN5" s="409" t="s">
        <v>3101</v>
      </c>
      <c r="AO5" s="399" t="s">
        <v>1787</v>
      </c>
      <c r="AP5" s="409" t="s">
        <v>3124</v>
      </c>
      <c r="AQ5" s="409" t="s">
        <v>3103</v>
      </c>
      <c r="AR5" s="399"/>
      <c r="AS5" s="399"/>
      <c r="AT5" s="399"/>
      <c r="AU5" s="399"/>
      <c r="AV5" s="399" t="str">
        <f t="shared" si="6"/>
        <v/>
      </c>
      <c r="AW5" s="399"/>
      <c r="AX5" s="409" t="s">
        <v>3104</v>
      </c>
      <c r="AY5" s="399" t="str">
        <f t="shared" si="7"/>
        <v/>
      </c>
      <c r="AZ5" s="409" t="s">
        <v>3105</v>
      </c>
      <c r="BA5" s="409" t="s">
        <v>3125</v>
      </c>
      <c r="BB5" s="399"/>
      <c r="BC5" s="399" t="s">
        <v>1787</v>
      </c>
      <c r="BD5" s="399" t="s">
        <v>1787</v>
      </c>
      <c r="BE5" s="411"/>
      <c r="BF5" s="411" t="s">
        <v>1787</v>
      </c>
      <c r="BG5" s="411"/>
      <c r="BH5" s="411"/>
      <c r="BI5" s="411"/>
      <c r="BJ5" s="409" t="s">
        <v>3106</v>
      </c>
      <c r="BK5" s="399" t="s">
        <v>1787</v>
      </c>
      <c r="BL5" s="399"/>
      <c r="BM5" s="399" t="s">
        <v>1787</v>
      </c>
      <c r="BN5" s="399" t="s">
        <v>1787</v>
      </c>
      <c r="BO5" s="399" t="s">
        <v>1787</v>
      </c>
      <c r="BP5" s="399" t="s">
        <v>1787</v>
      </c>
      <c r="BQ5" s="399" t="s">
        <v>1787</v>
      </c>
      <c r="BR5" s="399" t="s">
        <v>1787</v>
      </c>
      <c r="BS5" s="407"/>
      <c r="BT5" s="407"/>
      <c r="BU5" s="412"/>
      <c r="BV5" s="46" t="str">
        <f t="shared" si="8"/>
        <v>Appointment</v>
      </c>
      <c r="BW5" s="46" t="str">
        <f t="shared" si="9"/>
        <v/>
      </c>
      <c r="BX5" s="46" t="str">
        <f t="shared" si="10"/>
        <v>Appointment</v>
      </c>
      <c r="BY5" s="43" t="str">
        <f t="shared" si="11"/>
        <v>WHO-Core Appointment (Visit)</v>
      </c>
      <c r="BZ5" s="46">
        <f t="shared" si="12"/>
        <v>1</v>
      </c>
      <c r="CA5" s="46">
        <f t="shared" si="13"/>
        <v>1</v>
      </c>
      <c r="CB5" s="46">
        <f t="shared" si="14"/>
        <v>1</v>
      </c>
      <c r="CC5" s="46">
        <f t="shared" si="15"/>
        <v>1</v>
      </c>
      <c r="CD5" s="46">
        <f t="shared" si="16"/>
        <v>1</v>
      </c>
      <c r="CE5" s="46">
        <f t="shared" si="17"/>
        <v>0</v>
      </c>
      <c r="CF5" s="46">
        <f t="shared" si="18"/>
        <v>0</v>
      </c>
      <c r="CG5" s="46" t="str">
        <f ca="1">IFERROR(__xludf.DUMMYFUNCTION("if(OR(BH5="""",LEFT(BH5,2)=""LA""),"""",IMPORTXML(CONCATENATE(""https://loinc.org/"",BH5,""/""),""//span[@id='lcn']""))"),"")</f>
        <v/>
      </c>
      <c r="CH5" s="46"/>
      <c r="CI5" s="46"/>
      <c r="CJ5" s="46"/>
      <c r="CK5" s="46"/>
      <c r="CL5" s="46"/>
      <c r="CM5" s="46"/>
      <c r="CN5" s="46"/>
      <c r="CO5" s="46"/>
      <c r="CP5" s="46"/>
      <c r="CQ5" s="46"/>
      <c r="CR5" s="46"/>
      <c r="CS5" s="46"/>
      <c r="CT5" s="46"/>
      <c r="CU5" s="46"/>
    </row>
    <row r="6" spans="1:99" ht="12.75" customHeight="1">
      <c r="A6" s="409">
        <v>2314</v>
      </c>
      <c r="B6" s="399" t="s">
        <v>3127</v>
      </c>
      <c r="C6" s="399">
        <f t="shared" si="0"/>
        <v>2314</v>
      </c>
      <c r="D6" s="399" t="e">
        <f t="shared" ca="1" si="1"/>
        <v>#NAME?</v>
      </c>
      <c r="E6" s="399" t="str">
        <f t="shared" si="2"/>
        <v>Returning client</v>
      </c>
      <c r="F6" s="399" t="str">
        <f t="shared" si="3"/>
        <v>Input Option</v>
      </c>
      <c r="G6" s="400">
        <f t="shared" si="4"/>
        <v>23</v>
      </c>
      <c r="H6" s="399" t="str">
        <f t="shared" si="5"/>
        <v>Visit type</v>
      </c>
      <c r="I6" s="400"/>
      <c r="J6" s="400"/>
      <c r="K6" s="401" t="s">
        <v>99</v>
      </c>
      <c r="L6" s="402" t="s">
        <v>3117</v>
      </c>
      <c r="M6" s="400"/>
      <c r="N6" s="403" t="s">
        <v>3094</v>
      </c>
      <c r="O6" s="403" t="s">
        <v>3128</v>
      </c>
      <c r="P6" s="404"/>
      <c r="Q6" s="414"/>
      <c r="R6" s="414"/>
      <c r="S6" s="414"/>
      <c r="T6" s="405"/>
      <c r="U6" s="405"/>
      <c r="V6" s="405" t="s">
        <v>3129</v>
      </c>
      <c r="W6" s="405"/>
      <c r="X6" s="405"/>
      <c r="Y6" s="404"/>
      <c r="Z6" s="405"/>
      <c r="AA6" s="405"/>
      <c r="AB6" s="406"/>
      <c r="AC6" s="407"/>
      <c r="AD6" s="407"/>
      <c r="AE6" s="408"/>
      <c r="AF6" s="407"/>
      <c r="AG6" s="404"/>
      <c r="AH6" s="399"/>
      <c r="AI6" s="400"/>
      <c r="AJ6" s="399" t="s">
        <v>1787</v>
      </c>
      <c r="AK6" s="399"/>
      <c r="AL6" s="399" t="s">
        <v>1787</v>
      </c>
      <c r="AM6" s="399"/>
      <c r="AN6" s="399" t="s">
        <v>1787</v>
      </c>
      <c r="AO6" s="399" t="s">
        <v>1787</v>
      </c>
      <c r="AP6" s="399"/>
      <c r="AQ6" s="409" t="s">
        <v>3130</v>
      </c>
      <c r="AR6" s="399"/>
      <c r="AS6" s="399"/>
      <c r="AT6" s="399"/>
      <c r="AU6" s="399"/>
      <c r="AV6" s="399" t="str">
        <f t="shared" si="6"/>
        <v/>
      </c>
      <c r="AW6" s="399"/>
      <c r="AX6" s="409" t="s">
        <v>3104</v>
      </c>
      <c r="AY6" s="399" t="e">
        <f t="shared" ca="1" si="7"/>
        <v>#NAME?</v>
      </c>
      <c r="AZ6" s="409" t="s">
        <v>3105</v>
      </c>
      <c r="BA6" s="409" t="s">
        <v>3125</v>
      </c>
      <c r="BB6" s="415" t="s">
        <v>3131</v>
      </c>
      <c r="BC6" s="409" t="s">
        <v>3132</v>
      </c>
      <c r="BD6" s="399" t="s">
        <v>1787</v>
      </c>
      <c r="BE6" s="411"/>
      <c r="BF6" s="411" t="s">
        <v>1787</v>
      </c>
      <c r="BG6" s="411"/>
      <c r="BH6" s="411"/>
      <c r="BI6" s="411"/>
      <c r="BJ6" s="409" t="s">
        <v>3133</v>
      </c>
      <c r="BK6" s="399" t="s">
        <v>1787</v>
      </c>
      <c r="BL6" s="399"/>
      <c r="BM6" s="399" t="s">
        <v>1787</v>
      </c>
      <c r="BN6" s="399" t="s">
        <v>1787</v>
      </c>
      <c r="BO6" s="399" t="s">
        <v>1787</v>
      </c>
      <c r="BP6" s="399" t="s">
        <v>1787</v>
      </c>
      <c r="BQ6" s="399" t="s">
        <v>1787</v>
      </c>
      <c r="BR6" s="399" t="s">
        <v>1787</v>
      </c>
      <c r="BS6" s="407"/>
      <c r="BT6" s="407"/>
      <c r="BU6" s="412"/>
      <c r="BV6" s="46" t="str">
        <f t="shared" si="8"/>
        <v/>
      </c>
      <c r="BW6" s="46">
        <f t="shared" si="9"/>
        <v>0</v>
      </c>
      <c r="BX6" s="46">
        <f t="shared" si="10"/>
        <v>0</v>
      </c>
      <c r="BY6" s="43" t="str">
        <f t="shared" si="11"/>
        <v>WHO-Core Appointment (Visit)</v>
      </c>
      <c r="BZ6" s="46">
        <f t="shared" si="12"/>
        <v>1</v>
      </c>
      <c r="CA6" s="46" t="str">
        <f t="shared" si="13"/>
        <v/>
      </c>
      <c r="CB6" s="46">
        <f t="shared" si="14"/>
        <v>1</v>
      </c>
      <c r="CC6" s="46">
        <f t="shared" si="15"/>
        <v>1</v>
      </c>
      <c r="CD6" s="46">
        <f t="shared" si="16"/>
        <v>1</v>
      </c>
      <c r="CE6" s="46">
        <f t="shared" si="17"/>
        <v>0</v>
      </c>
      <c r="CF6" s="46">
        <f t="shared" si="18"/>
        <v>0</v>
      </c>
      <c r="CG6" s="46" t="str">
        <f ca="1">IFERROR(__xludf.DUMMYFUNCTION("if(OR(BH6="""",LEFT(BH6,2)=""LA""),"""",IMPORTXML(CONCATENATE(""https://loinc.org/"",BH6,""/""),""//span[@id='lcn']""))"),"")</f>
        <v/>
      </c>
      <c r="CH6" s="46"/>
      <c r="CI6" s="46"/>
      <c r="CJ6" s="46"/>
      <c r="CK6" s="46"/>
      <c r="CL6" s="46"/>
      <c r="CM6" s="46"/>
      <c r="CN6" s="46"/>
      <c r="CO6" s="46"/>
      <c r="CP6" s="46"/>
      <c r="CQ6" s="46"/>
      <c r="CR6" s="46"/>
      <c r="CS6" s="46"/>
      <c r="CT6" s="46"/>
      <c r="CU6" s="46"/>
    </row>
    <row r="7" spans="1:99" ht="12.75" customHeight="1">
      <c r="A7" s="413">
        <v>2315</v>
      </c>
      <c r="B7" s="399" t="s">
        <v>3134</v>
      </c>
      <c r="C7" s="399">
        <f t="shared" si="0"/>
        <v>2315</v>
      </c>
      <c r="D7" s="399" t="e">
        <f t="shared" ca="1" si="1"/>
        <v>#NAME?</v>
      </c>
      <c r="E7" s="399" t="str">
        <f t="shared" si="2"/>
        <v>Follow up appointment</v>
      </c>
      <c r="F7" s="399" t="str">
        <f t="shared" si="3"/>
        <v>Input Option</v>
      </c>
      <c r="G7" s="400">
        <f t="shared" si="4"/>
        <v>28</v>
      </c>
      <c r="H7" s="399" t="str">
        <f t="shared" si="5"/>
        <v>Visit type</v>
      </c>
      <c r="I7" s="400"/>
      <c r="J7" s="400"/>
      <c r="K7" s="401" t="s">
        <v>99</v>
      </c>
      <c r="L7" s="402" t="s">
        <v>3117</v>
      </c>
      <c r="M7" s="400"/>
      <c r="N7" s="403" t="s">
        <v>3094</v>
      </c>
      <c r="O7" s="403" t="s">
        <v>3135</v>
      </c>
      <c r="P7" s="404"/>
      <c r="Q7" s="405"/>
      <c r="R7" s="405"/>
      <c r="S7" s="405"/>
      <c r="T7" s="407"/>
      <c r="U7" s="407"/>
      <c r="V7" s="403" t="s">
        <v>3136</v>
      </c>
      <c r="W7" s="403"/>
      <c r="X7" s="407"/>
      <c r="Y7" s="404"/>
      <c r="Z7" s="407"/>
      <c r="AA7" s="403"/>
      <c r="AB7" s="408"/>
      <c r="AC7" s="403"/>
      <c r="AD7" s="403"/>
      <c r="AE7" s="406"/>
      <c r="AF7" s="403"/>
      <c r="AG7" s="404"/>
      <c r="AH7" s="399"/>
      <c r="AI7" s="400"/>
      <c r="AJ7" s="399" t="s">
        <v>1787</v>
      </c>
      <c r="AK7" s="399"/>
      <c r="AL7" s="399" t="s">
        <v>1787</v>
      </c>
      <c r="AM7" s="399"/>
      <c r="AN7" s="399" t="s">
        <v>1787</v>
      </c>
      <c r="AO7" s="399" t="s">
        <v>1787</v>
      </c>
      <c r="AP7" s="399"/>
      <c r="AQ7" s="409" t="s">
        <v>3130</v>
      </c>
      <c r="AR7" s="399"/>
      <c r="AS7" s="399"/>
      <c r="AT7" s="399"/>
      <c r="AU7" s="399"/>
      <c r="AV7" s="399" t="str">
        <f t="shared" si="6"/>
        <v/>
      </c>
      <c r="AW7" s="399"/>
      <c r="AX7" s="409" t="s">
        <v>3104</v>
      </c>
      <c r="AY7" s="399" t="e">
        <f t="shared" ca="1" si="7"/>
        <v>#NAME?</v>
      </c>
      <c r="AZ7" s="409" t="s">
        <v>3105</v>
      </c>
      <c r="BA7" s="409" t="s">
        <v>3125</v>
      </c>
      <c r="BB7" s="416" t="s">
        <v>3137</v>
      </c>
      <c r="BC7" s="409" t="s">
        <v>3138</v>
      </c>
      <c r="BD7" s="399" t="s">
        <v>1787</v>
      </c>
      <c r="BE7" s="411"/>
      <c r="BF7" s="411" t="s">
        <v>1787</v>
      </c>
      <c r="BG7" s="411"/>
      <c r="BH7" s="411"/>
      <c r="BI7" s="411"/>
      <c r="BJ7" s="399" t="s">
        <v>1787</v>
      </c>
      <c r="BK7" s="399" t="s">
        <v>1787</v>
      </c>
      <c r="BL7" s="399"/>
      <c r="BM7" s="399" t="s">
        <v>1787</v>
      </c>
      <c r="BN7" s="399" t="s">
        <v>1787</v>
      </c>
      <c r="BO7" s="399" t="s">
        <v>1787</v>
      </c>
      <c r="BP7" s="399" t="s">
        <v>1787</v>
      </c>
      <c r="BQ7" s="399" t="s">
        <v>1787</v>
      </c>
      <c r="BR7" s="399" t="s">
        <v>1787</v>
      </c>
      <c r="BS7" s="407"/>
      <c r="BT7" s="407"/>
      <c r="BU7" s="412"/>
      <c r="BV7" s="46" t="str">
        <f t="shared" si="8"/>
        <v/>
      </c>
      <c r="BW7" s="46">
        <f t="shared" si="9"/>
        <v>0</v>
      </c>
      <c r="BX7" s="46">
        <f t="shared" si="10"/>
        <v>0</v>
      </c>
      <c r="BY7" s="43" t="str">
        <f t="shared" si="11"/>
        <v>WHO-Core Appointment (Visit)</v>
      </c>
      <c r="BZ7" s="46">
        <f t="shared" si="12"/>
        <v>1</v>
      </c>
      <c r="CA7" s="46" t="str">
        <f t="shared" si="13"/>
        <v/>
      </c>
      <c r="CB7" s="46">
        <f t="shared" si="14"/>
        <v>1</v>
      </c>
      <c r="CC7" s="46">
        <f t="shared" si="15"/>
        <v>1</v>
      </c>
      <c r="CD7" s="46">
        <f t="shared" si="16"/>
        <v>1</v>
      </c>
      <c r="CE7" s="46">
        <f t="shared" si="17"/>
        <v>0</v>
      </c>
      <c r="CF7" s="46">
        <f t="shared" si="18"/>
        <v>0</v>
      </c>
      <c r="CG7" s="46" t="str">
        <f ca="1">IFERROR(__xludf.DUMMYFUNCTION("if(OR(BH7="""",LEFT(BH7,2)=""LA""),"""",IMPORTXML(CONCATENATE(""https://loinc.org/"",BH7,""/""),""//span[@id='lcn']""))"),"")</f>
        <v/>
      </c>
      <c r="CH7" s="46"/>
      <c r="CI7" s="46"/>
      <c r="CJ7" s="46"/>
      <c r="CK7" s="46"/>
      <c r="CL7" s="46"/>
      <c r="CM7" s="46"/>
      <c r="CN7" s="46"/>
      <c r="CO7" s="46"/>
      <c r="CP7" s="46"/>
      <c r="CQ7" s="46"/>
      <c r="CR7" s="46"/>
      <c r="CS7" s="46"/>
      <c r="CT7" s="46"/>
      <c r="CU7" s="46"/>
    </row>
    <row r="8" spans="1:99" ht="12.75" customHeight="1">
      <c r="A8" s="409">
        <v>2316</v>
      </c>
      <c r="B8" s="399" t="s">
        <v>3139</v>
      </c>
      <c r="C8" s="399">
        <f t="shared" si="0"/>
        <v>2316</v>
      </c>
      <c r="D8" s="399" t="e">
        <f t="shared" ca="1" si="1"/>
        <v>#NAME?</v>
      </c>
      <c r="E8" s="399" t="str">
        <f t="shared" si="2"/>
        <v xml:space="preserve">Referral </v>
      </c>
      <c r="F8" s="399" t="str">
        <f t="shared" si="3"/>
        <v>Input Option</v>
      </c>
      <c r="G8" s="400">
        <f t="shared" si="4"/>
        <v>16</v>
      </c>
      <c r="H8" s="399" t="str">
        <f t="shared" si="5"/>
        <v>Visit type</v>
      </c>
      <c r="I8" s="400"/>
      <c r="J8" s="400"/>
      <c r="K8" s="401" t="s">
        <v>99</v>
      </c>
      <c r="L8" s="402" t="s">
        <v>3117</v>
      </c>
      <c r="M8" s="400"/>
      <c r="N8" s="403" t="s">
        <v>3094</v>
      </c>
      <c r="O8" s="403" t="s">
        <v>3140</v>
      </c>
      <c r="P8" s="404"/>
      <c r="Q8" s="405"/>
      <c r="R8" s="405"/>
      <c r="S8" s="405"/>
      <c r="T8" s="405"/>
      <c r="U8" s="405"/>
      <c r="V8" s="405" t="s">
        <v>3141</v>
      </c>
      <c r="W8" s="405"/>
      <c r="X8" s="405"/>
      <c r="Y8" s="404"/>
      <c r="Z8" s="405"/>
      <c r="AA8" s="405"/>
      <c r="AB8" s="406"/>
      <c r="AC8" s="407"/>
      <c r="AD8" s="407"/>
      <c r="AE8" s="408"/>
      <c r="AF8" s="407"/>
      <c r="AG8" s="404"/>
      <c r="AH8" s="399"/>
      <c r="AI8" s="400"/>
      <c r="AJ8" s="399" t="s">
        <v>1787</v>
      </c>
      <c r="AK8" s="399"/>
      <c r="AL8" s="399" t="s">
        <v>1787</v>
      </c>
      <c r="AM8" s="399"/>
      <c r="AN8" s="399" t="s">
        <v>1787</v>
      </c>
      <c r="AO8" s="399" t="s">
        <v>1787</v>
      </c>
      <c r="AP8" s="399"/>
      <c r="AQ8" s="409" t="s">
        <v>3130</v>
      </c>
      <c r="AR8" s="399"/>
      <c r="AS8" s="399"/>
      <c r="AT8" s="399"/>
      <c r="AU8" s="399"/>
      <c r="AV8" s="399" t="str">
        <f t="shared" si="6"/>
        <v/>
      </c>
      <c r="AW8" s="399"/>
      <c r="AX8" s="409" t="s">
        <v>3104</v>
      </c>
      <c r="AY8" s="399" t="e">
        <f t="shared" ca="1" si="7"/>
        <v>#NAME?</v>
      </c>
      <c r="AZ8" s="409" t="s">
        <v>3105</v>
      </c>
      <c r="BA8" s="409" t="s">
        <v>3125</v>
      </c>
      <c r="BB8" s="415" t="s">
        <v>3131</v>
      </c>
      <c r="BC8" s="409" t="s">
        <v>3142</v>
      </c>
      <c r="BD8" s="399" t="s">
        <v>1787</v>
      </c>
      <c r="BE8" s="411"/>
      <c r="BF8" s="411" t="s">
        <v>1787</v>
      </c>
      <c r="BG8" s="411"/>
      <c r="BH8" s="411"/>
      <c r="BI8" s="411"/>
      <c r="BJ8" s="409" t="s">
        <v>3133</v>
      </c>
      <c r="BK8" s="399" t="s">
        <v>1787</v>
      </c>
      <c r="BL8" s="399"/>
      <c r="BM8" s="399" t="s">
        <v>1787</v>
      </c>
      <c r="BN8" s="399" t="s">
        <v>1787</v>
      </c>
      <c r="BO8" s="399" t="s">
        <v>1787</v>
      </c>
      <c r="BP8" s="399" t="s">
        <v>1787</v>
      </c>
      <c r="BQ8" s="399" t="s">
        <v>1787</v>
      </c>
      <c r="BR8" s="399" t="s">
        <v>1787</v>
      </c>
      <c r="BS8" s="407"/>
      <c r="BT8" s="407"/>
      <c r="BU8" s="412"/>
      <c r="BV8" s="46" t="str">
        <f t="shared" si="8"/>
        <v/>
      </c>
      <c r="BW8" s="46">
        <f t="shared" si="9"/>
        <v>0</v>
      </c>
      <c r="BX8" s="46">
        <f t="shared" si="10"/>
        <v>0</v>
      </c>
      <c r="BY8" s="43" t="str">
        <f t="shared" si="11"/>
        <v>WHO-Core Appointment (Visit)</v>
      </c>
      <c r="BZ8" s="46">
        <f t="shared" si="12"/>
        <v>1</v>
      </c>
      <c r="CA8" s="46" t="str">
        <f t="shared" si="13"/>
        <v/>
      </c>
      <c r="CB8" s="46">
        <f t="shared" si="14"/>
        <v>1</v>
      </c>
      <c r="CC8" s="46">
        <f t="shared" si="15"/>
        <v>1</v>
      </c>
      <c r="CD8" s="46">
        <f t="shared" si="16"/>
        <v>1</v>
      </c>
      <c r="CE8" s="46">
        <f t="shared" si="17"/>
        <v>0</v>
      </c>
      <c r="CF8" s="46">
        <f t="shared" si="18"/>
        <v>0</v>
      </c>
      <c r="CG8" s="46" t="str">
        <f ca="1">IFERROR(__xludf.DUMMYFUNCTION("if(OR(BH8="""",LEFT(BH8,2)=""LA""),"""",IMPORTXML(CONCATENATE(""https://loinc.org/"",BH8,""/""),""//span[@id='lcn']""))"),"")</f>
        <v/>
      </c>
      <c r="CH8" s="46"/>
      <c r="CI8" s="46"/>
      <c r="CJ8" s="46"/>
      <c r="CK8" s="46"/>
      <c r="CL8" s="46"/>
      <c r="CM8" s="46"/>
      <c r="CN8" s="46"/>
      <c r="CO8" s="46"/>
      <c r="CP8" s="46"/>
      <c r="CQ8" s="46"/>
      <c r="CR8" s="46"/>
      <c r="CS8" s="46"/>
      <c r="CT8" s="46"/>
      <c r="CU8" s="46"/>
    </row>
    <row r="9" spans="1:99" ht="12.75" customHeight="1">
      <c r="A9" s="413">
        <v>2317</v>
      </c>
      <c r="B9" s="399" t="s">
        <v>3143</v>
      </c>
      <c r="C9" s="399">
        <f t="shared" si="0"/>
        <v>2317</v>
      </c>
      <c r="D9" s="399" t="e">
        <f t="shared" ca="1" si="1"/>
        <v>#NAME?</v>
      </c>
      <c r="E9" s="399" t="str">
        <f t="shared" si="2"/>
        <v>New client</v>
      </c>
      <c r="F9" s="399" t="str">
        <f t="shared" si="3"/>
        <v>Input Option</v>
      </c>
      <c r="G9" s="400">
        <f t="shared" si="4"/>
        <v>17</v>
      </c>
      <c r="H9" s="399" t="str">
        <f t="shared" si="5"/>
        <v>Visit type</v>
      </c>
      <c r="I9" s="400"/>
      <c r="J9" s="400"/>
      <c r="K9" s="401" t="s">
        <v>99</v>
      </c>
      <c r="L9" s="402" t="s">
        <v>3117</v>
      </c>
      <c r="M9" s="400"/>
      <c r="N9" s="403" t="s">
        <v>3094</v>
      </c>
      <c r="O9" s="403" t="s">
        <v>3144</v>
      </c>
      <c r="P9" s="404"/>
      <c r="Q9" s="407"/>
      <c r="R9" s="404"/>
      <c r="S9" s="407"/>
      <c r="T9" s="407"/>
      <c r="U9" s="407"/>
      <c r="V9" s="403" t="s">
        <v>3145</v>
      </c>
      <c r="W9" s="403"/>
      <c r="X9" s="407"/>
      <c r="Y9" s="404"/>
      <c r="Z9" s="407"/>
      <c r="AA9" s="403"/>
      <c r="AB9" s="408"/>
      <c r="AC9" s="403"/>
      <c r="AD9" s="403"/>
      <c r="AE9" s="406"/>
      <c r="AF9" s="403"/>
      <c r="AG9" s="404"/>
      <c r="AH9" s="399"/>
      <c r="AI9" s="400"/>
      <c r="AJ9" s="399" t="s">
        <v>1787</v>
      </c>
      <c r="AK9" s="399"/>
      <c r="AL9" s="399" t="s">
        <v>1787</v>
      </c>
      <c r="AM9" s="399"/>
      <c r="AN9" s="399" t="s">
        <v>1787</v>
      </c>
      <c r="AO9" s="399" t="s">
        <v>1787</v>
      </c>
      <c r="AP9" s="399"/>
      <c r="AQ9" s="409" t="s">
        <v>3130</v>
      </c>
      <c r="AR9" s="399"/>
      <c r="AS9" s="399"/>
      <c r="AT9" s="399"/>
      <c r="AU9" s="399"/>
      <c r="AV9" s="399" t="str">
        <f t="shared" si="6"/>
        <v/>
      </c>
      <c r="AW9" s="399"/>
      <c r="AX9" s="409" t="s">
        <v>3104</v>
      </c>
      <c r="AY9" s="399" t="e">
        <f t="shared" ca="1" si="7"/>
        <v>#NAME?</v>
      </c>
      <c r="AZ9" s="409" t="s">
        <v>3105</v>
      </c>
      <c r="BA9" s="409" t="s">
        <v>3125</v>
      </c>
      <c r="BB9" s="415" t="s">
        <v>3131</v>
      </c>
      <c r="BC9" s="409" t="s">
        <v>3146</v>
      </c>
      <c r="BD9" s="399" t="s">
        <v>1787</v>
      </c>
      <c r="BE9" s="411"/>
      <c r="BF9" s="411" t="s">
        <v>1787</v>
      </c>
      <c r="BG9" s="411"/>
      <c r="BH9" s="411"/>
      <c r="BI9" s="411"/>
      <c r="BJ9" s="409" t="s">
        <v>3133</v>
      </c>
      <c r="BK9" s="399" t="s">
        <v>1787</v>
      </c>
      <c r="BL9" s="399"/>
      <c r="BM9" s="399" t="s">
        <v>1787</v>
      </c>
      <c r="BN9" s="399" t="s">
        <v>1787</v>
      </c>
      <c r="BO9" s="399" t="s">
        <v>1787</v>
      </c>
      <c r="BP9" s="399" t="s">
        <v>1787</v>
      </c>
      <c r="BQ9" s="399" t="s">
        <v>1787</v>
      </c>
      <c r="BR9" s="399" t="s">
        <v>1787</v>
      </c>
      <c r="BS9" s="407"/>
      <c r="BT9" s="407"/>
      <c r="BU9" s="412"/>
      <c r="BV9" s="46" t="str">
        <f t="shared" si="8"/>
        <v/>
      </c>
      <c r="BW9" s="46">
        <f t="shared" si="9"/>
        <v>0</v>
      </c>
      <c r="BX9" s="46">
        <f t="shared" si="10"/>
        <v>0</v>
      </c>
      <c r="BY9" s="43" t="str">
        <f t="shared" si="11"/>
        <v>WHO-Core Appointment (Visit)</v>
      </c>
      <c r="BZ9" s="46">
        <f t="shared" si="12"/>
        <v>1</v>
      </c>
      <c r="CA9" s="46" t="str">
        <f t="shared" si="13"/>
        <v/>
      </c>
      <c r="CB9" s="46">
        <f t="shared" si="14"/>
        <v>1</v>
      </c>
      <c r="CC9" s="46">
        <f t="shared" si="15"/>
        <v>1</v>
      </c>
      <c r="CD9" s="46">
        <f t="shared" si="16"/>
        <v>1</v>
      </c>
      <c r="CE9" s="46">
        <f t="shared" si="17"/>
        <v>0</v>
      </c>
      <c r="CF9" s="46">
        <f t="shared" si="18"/>
        <v>0</v>
      </c>
      <c r="CG9" s="46" t="str">
        <f ca="1">IFERROR(__xludf.DUMMYFUNCTION("if(OR(BH9="""",LEFT(BH9,2)=""LA""),"""",IMPORTXML(CONCATENATE(""https://loinc.org/"",BH9,""/""),""//span[@id='lcn']""))"),"")</f>
        <v/>
      </c>
      <c r="CH9" s="46"/>
      <c r="CI9" s="46"/>
      <c r="CJ9" s="46"/>
      <c r="CK9" s="46"/>
      <c r="CL9" s="46"/>
      <c r="CM9" s="46"/>
      <c r="CN9" s="46"/>
      <c r="CO9" s="46"/>
      <c r="CP9" s="46"/>
      <c r="CQ9" s="46"/>
      <c r="CR9" s="46"/>
      <c r="CS9" s="46"/>
      <c r="CT9" s="46"/>
      <c r="CU9" s="46"/>
    </row>
    <row r="10" spans="1:99" ht="12.75" customHeight="1">
      <c r="A10" s="409">
        <v>2318</v>
      </c>
      <c r="B10" s="399" t="s">
        <v>3147</v>
      </c>
      <c r="C10" s="399">
        <f t="shared" si="0"/>
        <v>2318</v>
      </c>
      <c r="D10" s="399" t="e">
        <f t="shared" ca="1" si="1"/>
        <v>#NAME?</v>
      </c>
      <c r="E10" s="399" t="str">
        <f t="shared" si="2"/>
        <v>First visit for symptoms</v>
      </c>
      <c r="F10" s="399" t="str">
        <f t="shared" si="3"/>
        <v>Input Option</v>
      </c>
      <c r="G10" s="400">
        <f t="shared" si="4"/>
        <v>31</v>
      </c>
      <c r="H10" s="399" t="str">
        <f t="shared" si="5"/>
        <v>Visit type</v>
      </c>
      <c r="I10" s="400"/>
      <c r="J10" s="400"/>
      <c r="K10" s="401" t="s">
        <v>99</v>
      </c>
      <c r="L10" s="402" t="s">
        <v>3117</v>
      </c>
      <c r="M10" s="400"/>
      <c r="N10" s="403" t="s">
        <v>3094</v>
      </c>
      <c r="O10" s="403" t="s">
        <v>3148</v>
      </c>
      <c r="P10" s="404"/>
      <c r="Q10" s="407"/>
      <c r="R10" s="404"/>
      <c r="S10" s="407"/>
      <c r="T10" s="407"/>
      <c r="U10" s="407"/>
      <c r="V10" s="403" t="s">
        <v>3149</v>
      </c>
      <c r="W10" s="403"/>
      <c r="X10" s="407"/>
      <c r="Y10" s="404"/>
      <c r="Z10" s="407"/>
      <c r="AA10" s="403"/>
      <c r="AB10" s="408"/>
      <c r="AC10" s="403"/>
      <c r="AD10" s="403"/>
      <c r="AE10" s="406"/>
      <c r="AF10" s="403"/>
      <c r="AG10" s="404"/>
      <c r="AH10" s="399"/>
      <c r="AI10" s="400"/>
      <c r="AJ10" s="399" t="s">
        <v>1787</v>
      </c>
      <c r="AK10" s="399"/>
      <c r="AL10" s="399" t="s">
        <v>1787</v>
      </c>
      <c r="AM10" s="399"/>
      <c r="AN10" s="399" t="s">
        <v>1787</v>
      </c>
      <c r="AO10" s="399" t="s">
        <v>1787</v>
      </c>
      <c r="AP10" s="399"/>
      <c r="AQ10" s="409" t="s">
        <v>3130</v>
      </c>
      <c r="AR10" s="399"/>
      <c r="AS10" s="399"/>
      <c r="AT10" s="399"/>
      <c r="AU10" s="399"/>
      <c r="AV10" s="399" t="str">
        <f t="shared" si="6"/>
        <v/>
      </c>
      <c r="AW10" s="399"/>
      <c r="AX10" s="409" t="s">
        <v>3104</v>
      </c>
      <c r="AY10" s="399" t="e">
        <f t="shared" ca="1" si="7"/>
        <v>#NAME?</v>
      </c>
      <c r="AZ10" s="409" t="s">
        <v>3105</v>
      </c>
      <c r="BA10" s="409" t="s">
        <v>3125</v>
      </c>
      <c r="BB10" s="415" t="s">
        <v>3131</v>
      </c>
      <c r="BC10" s="409" t="s">
        <v>3149</v>
      </c>
      <c r="BD10" s="399" t="s">
        <v>1787</v>
      </c>
      <c r="BE10" s="411"/>
      <c r="BF10" s="411" t="s">
        <v>1787</v>
      </c>
      <c r="BG10" s="411"/>
      <c r="BH10" s="411"/>
      <c r="BI10" s="411"/>
      <c r="BJ10" s="409" t="s">
        <v>3133</v>
      </c>
      <c r="BK10" s="399" t="s">
        <v>1787</v>
      </c>
      <c r="BL10" s="399"/>
      <c r="BM10" s="399" t="s">
        <v>1787</v>
      </c>
      <c r="BN10" s="399" t="s">
        <v>1787</v>
      </c>
      <c r="BO10" s="399" t="s">
        <v>1787</v>
      </c>
      <c r="BP10" s="399" t="s">
        <v>1787</v>
      </c>
      <c r="BQ10" s="399" t="s">
        <v>1787</v>
      </c>
      <c r="BR10" s="399" t="s">
        <v>1787</v>
      </c>
      <c r="BS10" s="407"/>
      <c r="BT10" s="407"/>
      <c r="BU10" s="412"/>
      <c r="BV10" s="46" t="str">
        <f t="shared" si="8"/>
        <v/>
      </c>
      <c r="BW10" s="46">
        <f t="shared" si="9"/>
        <v>0</v>
      </c>
      <c r="BX10" s="46">
        <f t="shared" si="10"/>
        <v>0</v>
      </c>
      <c r="BY10" s="43" t="str">
        <f t="shared" si="11"/>
        <v>WHO-Core Appointment (Visit)</v>
      </c>
      <c r="BZ10" s="46">
        <f t="shared" si="12"/>
        <v>1</v>
      </c>
      <c r="CA10" s="46" t="str">
        <f t="shared" si="13"/>
        <v/>
      </c>
      <c r="CB10" s="46">
        <f t="shared" si="14"/>
        <v>1</v>
      </c>
      <c r="CC10" s="46">
        <f t="shared" si="15"/>
        <v>1</v>
      </c>
      <c r="CD10" s="46">
        <f t="shared" si="16"/>
        <v>1</v>
      </c>
      <c r="CE10" s="46">
        <f t="shared" si="17"/>
        <v>0</v>
      </c>
      <c r="CF10" s="46">
        <f t="shared" si="18"/>
        <v>0</v>
      </c>
      <c r="CG10" s="46" t="str">
        <f ca="1">IFERROR(__xludf.DUMMYFUNCTION("if(OR(BH10="""",LEFT(BH10,2)=""LA""),"""",IMPORTXML(CONCATENATE(""https://loinc.org/"",BH10,""/""),""//span[@id='lcn']""))"),"")</f>
        <v/>
      </c>
      <c r="CH10" s="46"/>
      <c r="CI10" s="46"/>
      <c r="CJ10" s="46"/>
      <c r="CK10" s="46"/>
      <c r="CL10" s="46"/>
      <c r="CM10" s="46"/>
      <c r="CN10" s="46"/>
      <c r="CO10" s="46"/>
      <c r="CP10" s="46"/>
      <c r="CQ10" s="46"/>
      <c r="CR10" s="46"/>
      <c r="CS10" s="46"/>
      <c r="CT10" s="46"/>
      <c r="CU10" s="46"/>
    </row>
    <row r="11" spans="1:99" ht="12.75" customHeight="1">
      <c r="A11" s="413">
        <v>2319</v>
      </c>
      <c r="B11" s="399" t="s">
        <v>3150</v>
      </c>
      <c r="C11" s="399">
        <f t="shared" si="0"/>
        <v>2319</v>
      </c>
      <c r="D11" s="399" t="e">
        <f t="shared" ca="1" si="1"/>
        <v>#NAME?</v>
      </c>
      <c r="E11" s="399" t="str">
        <f t="shared" si="2"/>
        <v>Follow up for STI management</v>
      </c>
      <c r="F11" s="399" t="str">
        <f t="shared" si="3"/>
        <v>Input Option</v>
      </c>
      <c r="G11" s="400">
        <f t="shared" si="4"/>
        <v>35</v>
      </c>
      <c r="H11" s="399" t="str">
        <f t="shared" si="5"/>
        <v>Visit type</v>
      </c>
      <c r="I11" s="400"/>
      <c r="J11" s="400"/>
      <c r="K11" s="401" t="s">
        <v>99</v>
      </c>
      <c r="L11" s="402" t="s">
        <v>3117</v>
      </c>
      <c r="M11" s="400"/>
      <c r="N11" s="403" t="s">
        <v>3094</v>
      </c>
      <c r="O11" s="403" t="s">
        <v>3151</v>
      </c>
      <c r="P11" s="404"/>
      <c r="Q11" s="407"/>
      <c r="R11" s="404"/>
      <c r="S11" s="407"/>
      <c r="T11" s="407"/>
      <c r="U11" s="407"/>
      <c r="V11" s="403" t="s">
        <v>3152</v>
      </c>
      <c r="W11" s="403"/>
      <c r="X11" s="407"/>
      <c r="Y11" s="404"/>
      <c r="Z11" s="407"/>
      <c r="AA11" s="403"/>
      <c r="AB11" s="408"/>
      <c r="AC11" s="403"/>
      <c r="AD11" s="403"/>
      <c r="AE11" s="406"/>
      <c r="AF11" s="403"/>
      <c r="AG11" s="404"/>
      <c r="AH11" s="399"/>
      <c r="AI11" s="400"/>
      <c r="AJ11" s="399" t="s">
        <v>1787</v>
      </c>
      <c r="AK11" s="399"/>
      <c r="AL11" s="399" t="s">
        <v>1787</v>
      </c>
      <c r="AM11" s="399"/>
      <c r="AN11" s="399" t="s">
        <v>1787</v>
      </c>
      <c r="AO11" s="399" t="s">
        <v>1787</v>
      </c>
      <c r="AP11" s="399"/>
      <c r="AQ11" s="409" t="s">
        <v>3130</v>
      </c>
      <c r="AR11" s="399"/>
      <c r="AS11" s="399"/>
      <c r="AT11" s="399"/>
      <c r="AU11" s="399"/>
      <c r="AV11" s="399" t="str">
        <f t="shared" si="6"/>
        <v/>
      </c>
      <c r="AW11" s="399"/>
      <c r="AX11" s="409" t="s">
        <v>3104</v>
      </c>
      <c r="AY11" s="399" t="e">
        <f t="shared" ca="1" si="7"/>
        <v>#NAME?</v>
      </c>
      <c r="AZ11" s="409" t="s">
        <v>3105</v>
      </c>
      <c r="BA11" s="409" t="s">
        <v>3125</v>
      </c>
      <c r="BB11" s="415" t="s">
        <v>3131</v>
      </c>
      <c r="BC11" s="409" t="s">
        <v>3153</v>
      </c>
      <c r="BD11" s="399" t="s">
        <v>1787</v>
      </c>
      <c r="BE11" s="411"/>
      <c r="BF11" s="411" t="s">
        <v>1787</v>
      </c>
      <c r="BG11" s="411"/>
      <c r="BH11" s="411"/>
      <c r="BI11" s="411"/>
      <c r="BJ11" s="409" t="s">
        <v>3133</v>
      </c>
      <c r="BK11" s="399" t="s">
        <v>1787</v>
      </c>
      <c r="BL11" s="399"/>
      <c r="BM11" s="399" t="s">
        <v>1787</v>
      </c>
      <c r="BN11" s="399" t="s">
        <v>1787</v>
      </c>
      <c r="BO11" s="399" t="s">
        <v>1787</v>
      </c>
      <c r="BP11" s="399" t="s">
        <v>1787</v>
      </c>
      <c r="BQ11" s="399" t="s">
        <v>1787</v>
      </c>
      <c r="BR11" s="399" t="s">
        <v>1787</v>
      </c>
      <c r="BS11" s="407"/>
      <c r="BT11" s="407"/>
      <c r="BU11" s="412"/>
      <c r="BV11" s="46" t="str">
        <f t="shared" si="8"/>
        <v/>
      </c>
      <c r="BW11" s="46">
        <f t="shared" si="9"/>
        <v>0</v>
      </c>
      <c r="BX11" s="46">
        <f t="shared" si="10"/>
        <v>0</v>
      </c>
      <c r="BY11" s="43" t="str">
        <f t="shared" si="11"/>
        <v>WHO-Core Appointment (Visit)</v>
      </c>
      <c r="BZ11" s="46">
        <f t="shared" si="12"/>
        <v>1</v>
      </c>
      <c r="CA11" s="46" t="str">
        <f t="shared" si="13"/>
        <v/>
      </c>
      <c r="CB11" s="46">
        <f t="shared" si="14"/>
        <v>1</v>
      </c>
      <c r="CC11" s="46">
        <f t="shared" si="15"/>
        <v>1</v>
      </c>
      <c r="CD11" s="46">
        <f t="shared" si="16"/>
        <v>1</v>
      </c>
      <c r="CE11" s="46">
        <f t="shared" si="17"/>
        <v>0</v>
      </c>
      <c r="CF11" s="46">
        <f t="shared" si="18"/>
        <v>0</v>
      </c>
      <c r="CG11" s="46" t="str">
        <f ca="1">IFERROR(__xludf.DUMMYFUNCTION("if(OR(BH11="""",LEFT(BH11,2)=""LA""),"""",IMPORTXML(CONCATENATE(""https://loinc.org/"",BH11,""/""),""//span[@id='lcn']""))"),"")</f>
        <v/>
      </c>
      <c r="CH11" s="46"/>
      <c r="CI11" s="46"/>
      <c r="CJ11" s="46"/>
      <c r="CK11" s="46"/>
      <c r="CL11" s="46"/>
      <c r="CM11" s="46"/>
      <c r="CN11" s="46"/>
      <c r="CO11" s="46"/>
      <c r="CP11" s="46"/>
      <c r="CQ11" s="46"/>
      <c r="CR11" s="46"/>
      <c r="CS11" s="46"/>
      <c r="CT11" s="46"/>
      <c r="CU11" s="46"/>
    </row>
    <row r="12" spans="1:99" ht="12.75" customHeight="1">
      <c r="A12" s="399">
        <v>1236</v>
      </c>
      <c r="B12" s="399" t="s">
        <v>3154</v>
      </c>
      <c r="C12" s="399">
        <f t="shared" si="0"/>
        <v>1236</v>
      </c>
      <c r="D12" s="399" t="str">
        <f t="shared" si="1"/>
        <v>Visit Date</v>
      </c>
      <c r="E12" s="399" t="str">
        <f t="shared" si="2"/>
        <v>Visit Date</v>
      </c>
      <c r="F12" s="399" t="str">
        <f t="shared" si="3"/>
        <v>Data Element</v>
      </c>
      <c r="G12" s="400">
        <f t="shared" si="4"/>
        <v>10</v>
      </c>
      <c r="H12" s="400" t="str">
        <f t="shared" si="5"/>
        <v/>
      </c>
      <c r="I12" s="400"/>
      <c r="J12" s="400"/>
      <c r="K12" s="401" t="s">
        <v>99</v>
      </c>
      <c r="L12" s="402" t="s">
        <v>3117</v>
      </c>
      <c r="M12" s="400"/>
      <c r="N12" s="403" t="s">
        <v>3094</v>
      </c>
      <c r="O12" s="403" t="s">
        <v>3155</v>
      </c>
      <c r="P12" s="404" t="s">
        <v>3156</v>
      </c>
      <c r="Q12" s="407" t="s">
        <v>3154</v>
      </c>
      <c r="R12" s="404"/>
      <c r="S12" s="407" t="s">
        <v>3157</v>
      </c>
      <c r="T12" s="407" t="s">
        <v>3158</v>
      </c>
      <c r="U12" s="407"/>
      <c r="V12" s="403"/>
      <c r="W12" s="403"/>
      <c r="X12" s="407" t="s">
        <v>113</v>
      </c>
      <c r="Y12" s="404" t="s">
        <v>3159</v>
      </c>
      <c r="Z12" s="407" t="s">
        <v>113</v>
      </c>
      <c r="AA12" s="403" t="s">
        <v>3098</v>
      </c>
      <c r="AB12" s="408"/>
      <c r="AC12" s="403"/>
      <c r="AD12" s="403"/>
      <c r="AE12" s="406"/>
      <c r="AF12" s="403" t="s">
        <v>3160</v>
      </c>
      <c r="AG12" s="404"/>
      <c r="AH12" s="399"/>
      <c r="AI12" s="400"/>
      <c r="AJ12" s="399"/>
      <c r="AK12" s="399" t="s">
        <v>3161</v>
      </c>
      <c r="AL12" s="399"/>
      <c r="AM12" s="399" t="s">
        <v>3100</v>
      </c>
      <c r="AN12" s="399" t="s">
        <v>3101</v>
      </c>
      <c r="AO12" s="399"/>
      <c r="AP12" s="409" t="s">
        <v>3124</v>
      </c>
      <c r="AQ12" s="409" t="s">
        <v>3103</v>
      </c>
      <c r="AR12" s="399"/>
      <c r="AS12" s="399"/>
      <c r="AT12" s="399"/>
      <c r="AU12" s="399" t="s">
        <v>3154</v>
      </c>
      <c r="AV12" s="399" t="str">
        <f t="shared" si="6"/>
        <v>Same</v>
      </c>
      <c r="AW12" s="399"/>
      <c r="AX12" s="409" t="s">
        <v>3104</v>
      </c>
      <c r="AY12" s="399" t="str">
        <f t="shared" si="7"/>
        <v/>
      </c>
      <c r="AZ12" s="409" t="s">
        <v>3105</v>
      </c>
      <c r="BA12" s="409">
        <v>1</v>
      </c>
      <c r="BB12" s="399"/>
      <c r="BC12" s="399"/>
      <c r="BD12" s="399" t="s">
        <v>3162</v>
      </c>
      <c r="BE12" s="411"/>
      <c r="BF12" s="411"/>
      <c r="BG12" s="411"/>
      <c r="BH12" s="411" t="s">
        <v>3163</v>
      </c>
      <c r="BI12" s="411"/>
      <c r="BJ12" s="399"/>
      <c r="BK12" s="399"/>
      <c r="BL12" s="399"/>
      <c r="BM12" s="399"/>
      <c r="BN12" s="399"/>
      <c r="BO12" s="399"/>
      <c r="BP12" s="399"/>
      <c r="BQ12" s="399"/>
      <c r="BR12" s="399"/>
      <c r="BS12" s="407"/>
      <c r="BT12" s="407"/>
      <c r="BU12" s="412"/>
      <c r="BV12" s="46" t="str">
        <f t="shared" si="8"/>
        <v>Appointment</v>
      </c>
      <c r="BW12" s="46" t="str">
        <f t="shared" si="9"/>
        <v/>
      </c>
      <c r="BX12" s="46" t="str">
        <f t="shared" si="10"/>
        <v>Appointment</v>
      </c>
      <c r="BY12" s="43" t="str">
        <f t="shared" si="11"/>
        <v>WHO-Core Appointment (Visit)</v>
      </c>
      <c r="BZ12" s="46">
        <f t="shared" si="12"/>
        <v>1</v>
      </c>
      <c r="CA12" s="46">
        <f t="shared" si="13"/>
        <v>0</v>
      </c>
      <c r="CB12" s="46">
        <f t="shared" si="14"/>
        <v>1</v>
      </c>
      <c r="CC12" s="46">
        <f t="shared" si="15"/>
        <v>1</v>
      </c>
      <c r="CD12" s="46">
        <f t="shared" si="16"/>
        <v>1</v>
      </c>
      <c r="CE12" s="46">
        <f t="shared" si="17"/>
        <v>0</v>
      </c>
      <c r="CF12" s="46">
        <f t="shared" si="18"/>
        <v>0</v>
      </c>
      <c r="CG12" s="46" t="str">
        <f ca="1">IFERROR(__xludf.DUMMYFUNCTION("if(OR(BH12="""",LEFT(BH12,2)=""LA""),"""",IMPORTXML(CONCATENATE(""https://loinc.org/"",BH12,""/""),""//span[@id='lcn']""))"),"Visit date")</f>
        <v>Visit date</v>
      </c>
      <c r="CH12" s="46"/>
      <c r="CI12" s="46"/>
      <c r="CJ12" s="46"/>
      <c r="CK12" s="46"/>
      <c r="CL12" s="46"/>
      <c r="CM12" s="46"/>
      <c r="CN12" s="46"/>
      <c r="CO12" s="46"/>
      <c r="CP12" s="46"/>
      <c r="CQ12" s="46"/>
      <c r="CR12" s="46"/>
      <c r="CS12" s="46"/>
      <c r="CT12" s="46"/>
      <c r="CU12" s="46"/>
    </row>
    <row r="13" spans="1:99" ht="12.75" customHeight="1">
      <c r="A13" s="409">
        <v>1238</v>
      </c>
      <c r="B13" s="399" t="s">
        <v>3141</v>
      </c>
      <c r="C13" s="399">
        <f t="shared" si="0"/>
        <v>1238</v>
      </c>
      <c r="D13" s="399" t="str">
        <f t="shared" si="1"/>
        <v xml:space="preserve">Referral </v>
      </c>
      <c r="E13" s="399" t="str">
        <f t="shared" si="2"/>
        <v xml:space="preserve">Referral </v>
      </c>
      <c r="F13" s="409" t="s">
        <v>3164</v>
      </c>
      <c r="G13" s="400">
        <f t="shared" si="4"/>
        <v>9</v>
      </c>
      <c r="H13" s="400" t="str">
        <f t="shared" si="5"/>
        <v/>
      </c>
      <c r="I13" s="400"/>
      <c r="J13" s="400"/>
      <c r="K13" s="401" t="s">
        <v>99</v>
      </c>
      <c r="L13" s="402" t="s">
        <v>3142</v>
      </c>
      <c r="M13" s="400"/>
      <c r="N13" s="403" t="s">
        <v>3165</v>
      </c>
      <c r="O13" s="403" t="s">
        <v>3166</v>
      </c>
      <c r="P13" s="404" t="s">
        <v>3167</v>
      </c>
      <c r="Q13" s="407" t="s">
        <v>3141</v>
      </c>
      <c r="R13" s="404"/>
      <c r="S13" s="407" t="s">
        <v>3168</v>
      </c>
      <c r="T13" s="407" t="s">
        <v>3169</v>
      </c>
      <c r="U13" s="407"/>
      <c r="V13" s="403" t="s">
        <v>3170</v>
      </c>
      <c r="W13" s="403"/>
      <c r="X13" s="407" t="s">
        <v>208</v>
      </c>
      <c r="Y13" s="404"/>
      <c r="Z13" s="407"/>
      <c r="AA13" s="403" t="s">
        <v>1889</v>
      </c>
      <c r="AB13" s="408"/>
      <c r="AC13" s="403"/>
      <c r="AD13" s="403"/>
      <c r="AE13" s="406"/>
      <c r="AF13" s="403"/>
      <c r="AG13" s="404"/>
      <c r="AH13" s="399"/>
      <c r="AI13" s="400"/>
      <c r="AJ13" s="399"/>
      <c r="AK13" s="399"/>
      <c r="AL13" s="407"/>
      <c r="AM13" s="407"/>
      <c r="AN13" s="407"/>
      <c r="AO13" s="399"/>
      <c r="AP13" s="409"/>
      <c r="AQ13" s="409" t="s">
        <v>115</v>
      </c>
      <c r="AR13" s="399"/>
      <c r="AS13" s="399"/>
      <c r="AT13" s="399"/>
      <c r="AU13" s="399" t="s">
        <v>3171</v>
      </c>
      <c r="AV13" s="399" t="str">
        <f t="shared" si="6"/>
        <v>Changed</v>
      </c>
      <c r="AW13" s="399"/>
      <c r="AX13" s="409" t="s">
        <v>3104</v>
      </c>
      <c r="AY13" s="399" t="str">
        <f t="shared" si="7"/>
        <v/>
      </c>
      <c r="AZ13" s="409" t="s">
        <v>3105</v>
      </c>
      <c r="BA13" s="409">
        <v>1</v>
      </c>
      <c r="BB13" s="399"/>
      <c r="BC13" s="399"/>
      <c r="BD13" s="399"/>
      <c r="BE13" s="411"/>
      <c r="BF13" s="411"/>
      <c r="BG13" s="411"/>
      <c r="BH13" s="411"/>
      <c r="BI13" s="411"/>
      <c r="BJ13" s="409" t="s">
        <v>3106</v>
      </c>
      <c r="BK13" s="399"/>
      <c r="BL13" s="399"/>
      <c r="BM13" s="399"/>
      <c r="BN13" s="399"/>
      <c r="BO13" s="399"/>
      <c r="BP13" s="399"/>
      <c r="BQ13" s="399"/>
      <c r="BR13" s="399"/>
      <c r="BS13" s="407"/>
      <c r="BT13" s="407"/>
      <c r="BU13" s="412"/>
      <c r="BV13" s="46" t="str">
        <f t="shared" si="8"/>
        <v/>
      </c>
      <c r="BW13" s="46" t="str">
        <f t="shared" si="9"/>
        <v/>
      </c>
      <c r="BX13" s="46" t="str">
        <f t="shared" si="10"/>
        <v/>
      </c>
      <c r="BY13" s="43" t="str">
        <f t="shared" si="11"/>
        <v/>
      </c>
      <c r="BZ13" s="46">
        <f t="shared" si="12"/>
        <v>1</v>
      </c>
      <c r="CA13" s="46" t="str">
        <f t="shared" si="13"/>
        <v/>
      </c>
      <c r="CB13" s="46">
        <f t="shared" si="14"/>
        <v>1</v>
      </c>
      <c r="CC13" s="46">
        <f t="shared" si="15"/>
        <v>1</v>
      </c>
      <c r="CD13" s="46">
        <f t="shared" si="16"/>
        <v>1</v>
      </c>
      <c r="CE13" s="46">
        <f t="shared" si="17"/>
        <v>0</v>
      </c>
      <c r="CF13" s="46">
        <f t="shared" si="18"/>
        <v>0</v>
      </c>
      <c r="CG13" s="46" t="str">
        <f ca="1">IFERROR(__xludf.DUMMYFUNCTION("if(OR(BH13="""",LEFT(BH13,2)=""LA""),"""",IMPORTXML(CONCATENATE(""https://loinc.org/"",BH13,""/""),""//span[@id='lcn']""))"),"")</f>
        <v/>
      </c>
      <c r="CH13" s="46"/>
      <c r="CI13" s="46"/>
      <c r="CJ13" s="46"/>
      <c r="CK13" s="46"/>
      <c r="CL13" s="46"/>
      <c r="CM13" s="46"/>
      <c r="CN13" s="46"/>
      <c r="CO13" s="46"/>
      <c r="CP13" s="46"/>
      <c r="CQ13" s="46"/>
      <c r="CR13" s="46"/>
      <c r="CS13" s="46"/>
      <c r="CT13" s="46"/>
      <c r="CU13" s="46"/>
    </row>
    <row r="14" spans="1:99" ht="12.75" customHeight="1">
      <c r="A14" s="399">
        <v>1239</v>
      </c>
      <c r="B14" s="399" t="s">
        <v>3172</v>
      </c>
      <c r="C14" s="399">
        <f t="shared" si="0"/>
        <v>1239</v>
      </c>
      <c r="D14" s="399" t="str">
        <f t="shared" si="1"/>
        <v>Referred by</v>
      </c>
      <c r="E14" s="399" t="str">
        <f t="shared" si="2"/>
        <v>Referred by</v>
      </c>
      <c r="F14" s="399" t="str">
        <f t="shared" ref="F14:F18" si="19">IF(AND(ISBLANK(V14)=FALSE,OR(T14="MC",T14="")),"Input Option","Data Element")</f>
        <v>Data Element</v>
      </c>
      <c r="G14" s="400">
        <f t="shared" si="4"/>
        <v>11</v>
      </c>
      <c r="H14" s="400" t="str">
        <f t="shared" si="5"/>
        <v/>
      </c>
      <c r="I14" s="400"/>
      <c r="J14" s="400"/>
      <c r="K14" s="401" t="s">
        <v>99</v>
      </c>
      <c r="L14" s="402" t="s">
        <v>3142</v>
      </c>
      <c r="M14" s="400"/>
      <c r="N14" s="403" t="s">
        <v>3165</v>
      </c>
      <c r="O14" s="403" t="s">
        <v>3173</v>
      </c>
      <c r="P14" s="404" t="s">
        <v>3174</v>
      </c>
      <c r="Q14" s="407" t="s">
        <v>3172</v>
      </c>
      <c r="R14" s="404" t="s">
        <v>3175</v>
      </c>
      <c r="S14" s="407" t="s">
        <v>3176</v>
      </c>
      <c r="T14" s="407" t="s">
        <v>3121</v>
      </c>
      <c r="U14" s="407" t="s">
        <v>3177</v>
      </c>
      <c r="V14" s="403"/>
      <c r="W14" s="403"/>
      <c r="X14" s="407" t="s">
        <v>208</v>
      </c>
      <c r="Y14" s="404"/>
      <c r="Z14" s="407"/>
      <c r="AA14" s="403" t="s">
        <v>3178</v>
      </c>
      <c r="AB14" s="408" t="s">
        <v>3179</v>
      </c>
      <c r="AC14" s="403"/>
      <c r="AD14" s="403"/>
      <c r="AE14" s="406"/>
      <c r="AF14" s="403"/>
      <c r="AG14" s="404"/>
      <c r="AH14" s="399"/>
      <c r="AI14" s="400"/>
      <c r="AJ14" s="399"/>
      <c r="AK14" s="417" t="s">
        <v>3180</v>
      </c>
      <c r="AL14" s="409" t="s">
        <v>3181</v>
      </c>
      <c r="AM14" s="409" t="s">
        <v>155</v>
      </c>
      <c r="AN14" s="399" t="s">
        <v>3101</v>
      </c>
      <c r="AO14" s="399"/>
      <c r="AP14" s="409" t="s">
        <v>3182</v>
      </c>
      <c r="AQ14" s="409" t="s">
        <v>3130</v>
      </c>
      <c r="AR14" s="399"/>
      <c r="AS14" s="399"/>
      <c r="AT14" s="399"/>
      <c r="AU14" s="399" t="s">
        <v>3172</v>
      </c>
      <c r="AV14" s="399" t="str">
        <f t="shared" si="6"/>
        <v>Same</v>
      </c>
      <c r="AW14" s="399"/>
      <c r="AX14" s="409" t="s">
        <v>3104</v>
      </c>
      <c r="AY14" s="399" t="str">
        <f t="shared" si="7"/>
        <v/>
      </c>
      <c r="AZ14" s="409" t="s">
        <v>3105</v>
      </c>
      <c r="BA14" s="409">
        <v>1</v>
      </c>
      <c r="BB14" s="399"/>
      <c r="BC14" s="399"/>
      <c r="BD14" s="409" t="s">
        <v>3162</v>
      </c>
      <c r="BE14" s="411"/>
      <c r="BF14" s="411"/>
      <c r="BG14" s="411"/>
      <c r="BH14" s="411"/>
      <c r="BI14" s="411"/>
      <c r="BJ14" s="409" t="s">
        <v>3106</v>
      </c>
      <c r="BK14" s="399"/>
      <c r="BL14" s="399"/>
      <c r="BM14" s="409" t="s">
        <v>3183</v>
      </c>
      <c r="BN14" s="399"/>
      <c r="BO14" s="399"/>
      <c r="BP14" s="399"/>
      <c r="BQ14" s="399"/>
      <c r="BR14" s="399"/>
      <c r="BS14" s="407"/>
      <c r="BT14" s="407"/>
      <c r="BU14" s="412"/>
      <c r="BV14" s="46" t="str">
        <f t="shared" si="8"/>
        <v>ServiceRequest</v>
      </c>
      <c r="BW14" s="46" t="str">
        <f t="shared" si="9"/>
        <v/>
      </c>
      <c r="BX14" s="46" t="str">
        <f t="shared" si="10"/>
        <v>ServiceRequest</v>
      </c>
      <c r="BY14" s="43" t="str">
        <f t="shared" si="11"/>
        <v>WHO-Core ServiceRequest (Referral)</v>
      </c>
      <c r="BZ14" s="46">
        <f t="shared" si="12"/>
        <v>1</v>
      </c>
      <c r="CA14" s="46">
        <f t="shared" si="13"/>
        <v>1</v>
      </c>
      <c r="CB14" s="46">
        <f t="shared" si="14"/>
        <v>0</v>
      </c>
      <c r="CC14" s="46">
        <f t="shared" si="15"/>
        <v>0</v>
      </c>
      <c r="CD14" s="46">
        <f t="shared" si="16"/>
        <v>0</v>
      </c>
      <c r="CE14" s="46">
        <f t="shared" si="17"/>
        <v>0</v>
      </c>
      <c r="CF14" s="46">
        <f t="shared" si="18"/>
        <v>1</v>
      </c>
      <c r="CG14" s="46" t="str">
        <f ca="1">IFERROR(__xludf.DUMMYFUNCTION("if(OR(BH14="""",LEFT(BH14,2)=""LA""),"""",IMPORTXML(CONCATENATE(""https://loinc.org/"",BH14,""/""),""//span[@id='lcn']""))"),"")</f>
        <v/>
      </c>
      <c r="CH14" s="46"/>
      <c r="CI14" s="46"/>
      <c r="CJ14" s="46"/>
      <c r="CK14" s="46"/>
      <c r="CL14" s="46"/>
      <c r="CM14" s="46"/>
      <c r="CN14" s="46"/>
      <c r="CO14" s="46"/>
      <c r="CP14" s="46"/>
      <c r="CQ14" s="46"/>
      <c r="CR14" s="46"/>
      <c r="CS14" s="46"/>
      <c r="CT14" s="46"/>
      <c r="CU14" s="46"/>
    </row>
    <row r="15" spans="1:99" ht="12.75" customHeight="1">
      <c r="A15" s="399">
        <v>1240</v>
      </c>
      <c r="B15" s="399" t="s">
        <v>3184</v>
      </c>
      <c r="C15" s="399">
        <f t="shared" si="0"/>
        <v>1240</v>
      </c>
      <c r="D15" s="399" t="e">
        <f t="shared" ca="1" si="1"/>
        <v>#NAME?</v>
      </c>
      <c r="E15" s="399" t="str">
        <f t="shared" si="2"/>
        <v>Community</v>
      </c>
      <c r="F15" s="399" t="str">
        <f t="shared" si="19"/>
        <v>Input Option</v>
      </c>
      <c r="G15" s="400">
        <f t="shared" si="4"/>
        <v>16</v>
      </c>
      <c r="H15" s="399" t="str">
        <f t="shared" si="5"/>
        <v>Referred by</v>
      </c>
      <c r="I15" s="400"/>
      <c r="J15" s="400"/>
      <c r="K15" s="401" t="s">
        <v>99</v>
      </c>
      <c r="L15" s="402" t="s">
        <v>3142</v>
      </c>
      <c r="M15" s="400"/>
      <c r="N15" s="403" t="s">
        <v>3165</v>
      </c>
      <c r="O15" s="403" t="s">
        <v>3185</v>
      </c>
      <c r="P15" s="404" t="s">
        <v>3186</v>
      </c>
      <c r="Q15" s="407"/>
      <c r="R15" s="404"/>
      <c r="S15" s="407"/>
      <c r="T15" s="407"/>
      <c r="U15" s="407"/>
      <c r="V15" s="403" t="s">
        <v>3187</v>
      </c>
      <c r="W15" s="403"/>
      <c r="X15" s="407"/>
      <c r="Y15" s="404"/>
      <c r="Z15" s="407"/>
      <c r="AA15" s="403"/>
      <c r="AB15" s="408"/>
      <c r="AC15" s="403"/>
      <c r="AD15" s="403"/>
      <c r="AE15" s="406"/>
      <c r="AF15" s="403"/>
      <c r="AG15" s="404"/>
      <c r="AH15" s="399"/>
      <c r="AI15" s="400"/>
      <c r="AJ15" s="399"/>
      <c r="AK15" s="399"/>
      <c r="AL15" s="399"/>
      <c r="AM15" s="399"/>
      <c r="AN15" s="399"/>
      <c r="AO15" s="399"/>
      <c r="AP15" s="399"/>
      <c r="AQ15" s="409" t="s">
        <v>3130</v>
      </c>
      <c r="AR15" s="399"/>
      <c r="AS15" s="399"/>
      <c r="AT15" s="399"/>
      <c r="AU15" s="399" t="s">
        <v>3184</v>
      </c>
      <c r="AV15" s="399" t="str">
        <f t="shared" si="6"/>
        <v>Same</v>
      </c>
      <c r="AW15" s="399"/>
      <c r="AX15" s="409" t="s">
        <v>3104</v>
      </c>
      <c r="AY15" s="399" t="e">
        <f t="shared" ca="1" si="7"/>
        <v>#NAME?</v>
      </c>
      <c r="AZ15" s="409" t="s">
        <v>3105</v>
      </c>
      <c r="BA15" s="409">
        <v>1</v>
      </c>
      <c r="BB15" s="415" t="s">
        <v>3131</v>
      </c>
      <c r="BC15" s="409" t="s">
        <v>3187</v>
      </c>
      <c r="BD15" s="409" t="s">
        <v>3188</v>
      </c>
      <c r="BE15" s="411"/>
      <c r="BF15" s="411"/>
      <c r="BG15" s="411"/>
      <c r="BH15" s="411"/>
      <c r="BI15" s="411"/>
      <c r="BJ15" s="409" t="s">
        <v>3106</v>
      </c>
      <c r="BK15" s="399"/>
      <c r="BL15" s="399"/>
      <c r="BM15" s="409" t="s">
        <v>3189</v>
      </c>
      <c r="BN15" s="399"/>
      <c r="BO15" s="399"/>
      <c r="BP15" s="399"/>
      <c r="BQ15" s="399"/>
      <c r="BR15" s="399"/>
      <c r="BS15" s="407"/>
      <c r="BT15" s="407"/>
      <c r="BU15" s="412"/>
      <c r="BV15" s="46" t="str">
        <f t="shared" si="8"/>
        <v/>
      </c>
      <c r="BW15" s="46">
        <f t="shared" si="9"/>
        <v>0</v>
      </c>
      <c r="BX15" s="46">
        <f t="shared" si="10"/>
        <v>0</v>
      </c>
      <c r="BY15" s="43" t="str">
        <f t="shared" si="11"/>
        <v>WHO-Core ServiceRequest (Referral)</v>
      </c>
      <c r="BZ15" s="46">
        <f t="shared" si="12"/>
        <v>1</v>
      </c>
      <c r="CA15" s="46" t="str">
        <f t="shared" si="13"/>
        <v/>
      </c>
      <c r="CB15" s="46">
        <f t="shared" si="14"/>
        <v>1</v>
      </c>
      <c r="CC15" s="46">
        <f t="shared" si="15"/>
        <v>1</v>
      </c>
      <c r="CD15" s="46">
        <f t="shared" si="16"/>
        <v>1</v>
      </c>
      <c r="CE15" s="46">
        <f t="shared" si="17"/>
        <v>0</v>
      </c>
      <c r="CF15" s="46">
        <f t="shared" si="18"/>
        <v>0</v>
      </c>
      <c r="CG15" s="46" t="str">
        <f ca="1">IFERROR(__xludf.DUMMYFUNCTION("if(OR(BH15="""",LEFT(BH15,2)=""LA""),"""",IMPORTXML(CONCATENATE(""https://loinc.org/"",BH15,""/""),""//span[@id='lcn']""))"),"")</f>
        <v/>
      </c>
      <c r="CH15" s="46"/>
      <c r="CI15" s="46"/>
      <c r="CJ15" s="46"/>
      <c r="CK15" s="46"/>
      <c r="CL15" s="46"/>
      <c r="CM15" s="46"/>
      <c r="CN15" s="46"/>
      <c r="CO15" s="46"/>
      <c r="CP15" s="46"/>
      <c r="CQ15" s="46"/>
      <c r="CR15" s="46"/>
      <c r="CS15" s="46"/>
      <c r="CT15" s="46"/>
      <c r="CU15" s="46"/>
    </row>
    <row r="16" spans="1:99" ht="12.75" customHeight="1">
      <c r="A16" s="399">
        <v>1241</v>
      </c>
      <c r="B16" s="399" t="s">
        <v>3191</v>
      </c>
      <c r="C16" s="399">
        <f t="shared" si="0"/>
        <v>1241</v>
      </c>
      <c r="D16" s="399" t="e">
        <f t="shared" ca="1" si="1"/>
        <v>#NAME?</v>
      </c>
      <c r="E16" s="399" t="str">
        <f t="shared" si="2"/>
        <v>Facility</v>
      </c>
      <c r="F16" s="399" t="str">
        <f t="shared" si="19"/>
        <v>Input Option</v>
      </c>
      <c r="G16" s="400">
        <f t="shared" si="4"/>
        <v>15</v>
      </c>
      <c r="H16" s="399" t="str">
        <f t="shared" si="5"/>
        <v>Referred by</v>
      </c>
      <c r="I16" s="400"/>
      <c r="J16" s="400"/>
      <c r="K16" s="401" t="s">
        <v>99</v>
      </c>
      <c r="L16" s="402" t="s">
        <v>3142</v>
      </c>
      <c r="M16" s="400"/>
      <c r="N16" s="403" t="s">
        <v>3165</v>
      </c>
      <c r="O16" s="403" t="s">
        <v>3193</v>
      </c>
      <c r="P16" s="404" t="s">
        <v>3194</v>
      </c>
      <c r="Q16" s="407"/>
      <c r="R16" s="404"/>
      <c r="S16" s="407"/>
      <c r="T16" s="407"/>
      <c r="U16" s="407"/>
      <c r="V16" s="403" t="s">
        <v>2745</v>
      </c>
      <c r="W16" s="403"/>
      <c r="X16" s="407"/>
      <c r="Y16" s="404"/>
      <c r="Z16" s="407"/>
      <c r="AA16" s="403"/>
      <c r="AB16" s="408"/>
      <c r="AC16" s="403"/>
      <c r="AD16" s="403"/>
      <c r="AE16" s="406"/>
      <c r="AF16" s="403"/>
      <c r="AG16" s="404"/>
      <c r="AH16" s="399"/>
      <c r="AI16" s="400"/>
      <c r="AJ16" s="399"/>
      <c r="AK16" s="399"/>
      <c r="AL16" s="399"/>
      <c r="AM16" s="399"/>
      <c r="AN16" s="399"/>
      <c r="AO16" s="399"/>
      <c r="AP16" s="399"/>
      <c r="AQ16" s="409" t="s">
        <v>3130</v>
      </c>
      <c r="AR16" s="399"/>
      <c r="AS16" s="399"/>
      <c r="AT16" s="399"/>
      <c r="AU16" s="399" t="s">
        <v>3191</v>
      </c>
      <c r="AV16" s="399" t="str">
        <f t="shared" si="6"/>
        <v>Same</v>
      </c>
      <c r="AW16" s="399"/>
      <c r="AX16" s="409" t="s">
        <v>3104</v>
      </c>
      <c r="AY16" s="399" t="e">
        <f t="shared" ca="1" si="7"/>
        <v>#NAME?</v>
      </c>
      <c r="AZ16" s="409" t="s">
        <v>3105</v>
      </c>
      <c r="BA16" s="409">
        <v>1</v>
      </c>
      <c r="BB16" s="415" t="s">
        <v>3131</v>
      </c>
      <c r="BC16" s="409" t="s">
        <v>2745</v>
      </c>
      <c r="BD16" s="409" t="s">
        <v>3162</v>
      </c>
      <c r="BE16" s="411"/>
      <c r="BF16" s="411"/>
      <c r="BG16" s="418" t="s">
        <v>3196</v>
      </c>
      <c r="BH16" s="411"/>
      <c r="BI16" s="411"/>
      <c r="BJ16" s="409" t="s">
        <v>3106</v>
      </c>
      <c r="BK16" s="399"/>
      <c r="BL16" s="399"/>
      <c r="BM16" s="409" t="s">
        <v>3197</v>
      </c>
      <c r="BN16" s="399"/>
      <c r="BO16" s="399"/>
      <c r="BP16" s="399"/>
      <c r="BQ16" s="399"/>
      <c r="BR16" s="399"/>
      <c r="BS16" s="407"/>
      <c r="BT16" s="407"/>
      <c r="BU16" s="412"/>
      <c r="BV16" s="46" t="str">
        <f t="shared" si="8"/>
        <v/>
      </c>
      <c r="BW16" s="46">
        <f t="shared" si="9"/>
        <v>0</v>
      </c>
      <c r="BX16" s="46">
        <f t="shared" si="10"/>
        <v>0</v>
      </c>
      <c r="BY16" s="43" t="str">
        <f t="shared" si="11"/>
        <v>WHO-Core ServiceRequest (Referral)</v>
      </c>
      <c r="BZ16" s="46">
        <f t="shared" si="12"/>
        <v>1</v>
      </c>
      <c r="CA16" s="46" t="str">
        <f t="shared" si="13"/>
        <v/>
      </c>
      <c r="CB16" s="46">
        <f t="shared" si="14"/>
        <v>1</v>
      </c>
      <c r="CC16" s="46">
        <f t="shared" si="15"/>
        <v>1</v>
      </c>
      <c r="CD16" s="46">
        <f t="shared" si="16"/>
        <v>1</v>
      </c>
      <c r="CE16" s="46">
        <f t="shared" si="17"/>
        <v>0</v>
      </c>
      <c r="CF16" s="46">
        <f t="shared" si="18"/>
        <v>0</v>
      </c>
      <c r="CG16" s="46" t="str">
        <f ca="1">IFERROR(__xludf.DUMMYFUNCTION("if(OR(BH16="""",LEFT(BH16,2)=""LA""),"""",IMPORTXML(CONCATENATE(""https://loinc.org/"",BH16,""/""),""//span[@id='lcn']""))"),"")</f>
        <v/>
      </c>
      <c r="CH16" s="46"/>
      <c r="CI16" s="46"/>
      <c r="CJ16" s="46"/>
      <c r="CK16" s="46"/>
      <c r="CL16" s="46"/>
      <c r="CM16" s="46"/>
      <c r="CN16" s="46"/>
      <c r="CO16" s="46"/>
      <c r="CP16" s="46"/>
      <c r="CQ16" s="46"/>
      <c r="CR16" s="46"/>
      <c r="CS16" s="46"/>
      <c r="CT16" s="46"/>
      <c r="CU16" s="46"/>
    </row>
    <row r="17" spans="1:99" ht="12.75" customHeight="1">
      <c r="A17" s="399">
        <v>1242</v>
      </c>
      <c r="B17" s="409" t="s">
        <v>3198</v>
      </c>
      <c r="C17" s="399">
        <f t="shared" si="0"/>
        <v>1242</v>
      </c>
      <c r="D17" s="399" t="str">
        <f t="shared" si="1"/>
        <v>Unique identification</v>
      </c>
      <c r="E17" s="399" t="str">
        <f t="shared" si="2"/>
        <v>Unique identification</v>
      </c>
      <c r="F17" s="399" t="str">
        <f t="shared" si="19"/>
        <v>Data Element</v>
      </c>
      <c r="G17" s="400">
        <f t="shared" si="4"/>
        <v>29</v>
      </c>
      <c r="H17" s="400" t="str">
        <f t="shared" si="5"/>
        <v/>
      </c>
      <c r="I17" s="400"/>
      <c r="J17" s="400"/>
      <c r="K17" s="401" t="s">
        <v>99</v>
      </c>
      <c r="L17" s="402" t="s">
        <v>3093</v>
      </c>
      <c r="M17" s="400"/>
      <c r="N17" s="403" t="s">
        <v>3199</v>
      </c>
      <c r="O17" s="403" t="s">
        <v>3200</v>
      </c>
      <c r="P17" s="404" t="s">
        <v>3201</v>
      </c>
      <c r="Q17" s="407" t="s">
        <v>3202</v>
      </c>
      <c r="R17" s="404" t="s">
        <v>101</v>
      </c>
      <c r="S17" s="407" t="s">
        <v>3203</v>
      </c>
      <c r="T17" s="407" t="s">
        <v>103</v>
      </c>
      <c r="U17" s="407"/>
      <c r="V17" s="403"/>
      <c r="W17" s="403"/>
      <c r="X17" s="404" t="s">
        <v>113</v>
      </c>
      <c r="Y17" s="407" t="s">
        <v>3204</v>
      </c>
      <c r="Z17" s="403" t="s">
        <v>208</v>
      </c>
      <c r="AA17" s="403" t="s">
        <v>3098</v>
      </c>
      <c r="AB17" s="406" t="s">
        <v>3205</v>
      </c>
      <c r="AC17" s="403"/>
      <c r="AD17" s="403"/>
      <c r="AE17" s="406"/>
      <c r="AF17" s="403"/>
      <c r="AG17" s="404"/>
      <c r="AH17" s="399"/>
      <c r="AI17" s="400"/>
      <c r="AJ17" s="399"/>
      <c r="AK17" s="399" t="s">
        <v>3206</v>
      </c>
      <c r="AL17" s="399"/>
      <c r="AM17" s="399" t="s">
        <v>3100</v>
      </c>
      <c r="AN17" s="399" t="s">
        <v>3101</v>
      </c>
      <c r="AO17" s="399"/>
      <c r="AP17" s="409" t="s">
        <v>3102</v>
      </c>
      <c r="AQ17" s="409" t="s">
        <v>3103</v>
      </c>
      <c r="AR17" s="399"/>
      <c r="AS17" s="399"/>
      <c r="AT17" s="399"/>
      <c r="AU17" s="399" t="s">
        <v>3202</v>
      </c>
      <c r="AV17" s="399" t="str">
        <f t="shared" si="6"/>
        <v>Changed</v>
      </c>
      <c r="AW17" s="399"/>
      <c r="AX17" s="409" t="s">
        <v>3104</v>
      </c>
      <c r="AY17" s="399" t="str">
        <f t="shared" si="7"/>
        <v>"Unique identification"-&gt;"Patient Unique identification"</v>
      </c>
      <c r="AZ17" s="409" t="s">
        <v>3105</v>
      </c>
      <c r="BA17" s="409">
        <v>1</v>
      </c>
      <c r="BB17" s="399"/>
      <c r="BC17" s="399"/>
      <c r="BD17" s="399"/>
      <c r="BE17" s="411"/>
      <c r="BF17" s="411"/>
      <c r="BG17" s="411"/>
      <c r="BH17" s="411"/>
      <c r="BI17" s="411"/>
      <c r="BJ17" s="399" t="s">
        <v>3106</v>
      </c>
      <c r="BK17" s="399"/>
      <c r="BL17" s="399"/>
      <c r="BM17" s="399"/>
      <c r="BN17" s="399"/>
      <c r="BO17" s="399"/>
      <c r="BP17" s="399"/>
      <c r="BQ17" s="399" t="s">
        <v>105</v>
      </c>
      <c r="BR17" s="399"/>
      <c r="BS17" s="407"/>
      <c r="BT17" s="407"/>
      <c r="BU17" s="412"/>
      <c r="BV17" s="46" t="str">
        <f t="shared" si="8"/>
        <v>Patient</v>
      </c>
      <c r="BW17" s="46" t="str">
        <f t="shared" si="9"/>
        <v/>
      </c>
      <c r="BX17" s="46" t="str">
        <f t="shared" si="10"/>
        <v>Patient</v>
      </c>
      <c r="BY17" s="43" t="str">
        <f t="shared" si="11"/>
        <v>WHO-Core Patient</v>
      </c>
      <c r="BZ17" s="46">
        <f t="shared" si="12"/>
        <v>1</v>
      </c>
      <c r="CA17" s="46">
        <f t="shared" si="13"/>
        <v>0</v>
      </c>
      <c r="CB17" s="46">
        <f t="shared" si="14"/>
        <v>1</v>
      </c>
      <c r="CC17" s="46">
        <f t="shared" si="15"/>
        <v>1</v>
      </c>
      <c r="CD17" s="46">
        <f t="shared" si="16"/>
        <v>1</v>
      </c>
      <c r="CE17" s="46">
        <f t="shared" si="17"/>
        <v>0</v>
      </c>
      <c r="CF17" s="46">
        <f t="shared" si="18"/>
        <v>0</v>
      </c>
      <c r="CG17" s="46" t="str">
        <f ca="1">IFERROR(__xludf.DUMMYFUNCTION("if(OR(BH17="""",LEFT(BH17,2)=""LA""),"""",IMPORTXML(CONCATENATE(""https://loinc.org/"",BH17,""/""),""//span[@id='lcn']""))"),"")</f>
        <v/>
      </c>
      <c r="CH17" s="46"/>
      <c r="CI17" s="46"/>
      <c r="CJ17" s="46"/>
      <c r="CK17" s="46"/>
      <c r="CL17" s="46"/>
      <c r="CM17" s="46"/>
      <c r="CN17" s="46"/>
      <c r="CO17" s="46"/>
      <c r="CP17" s="46"/>
      <c r="CQ17" s="46"/>
      <c r="CR17" s="46"/>
      <c r="CS17" s="46"/>
      <c r="CT17" s="46"/>
      <c r="CU17" s="46"/>
    </row>
    <row r="18" spans="1:99" ht="12.75" customHeight="1">
      <c r="A18" s="399">
        <v>1244</v>
      </c>
      <c r="B18" s="399" t="s">
        <v>3209</v>
      </c>
      <c r="C18" s="399">
        <f t="shared" si="0"/>
        <v>1244</v>
      </c>
      <c r="D18" s="399" t="str">
        <f t="shared" si="1"/>
        <v xml:space="preserve">Date of birth </v>
      </c>
      <c r="E18" s="399" t="str">
        <f t="shared" si="2"/>
        <v xml:space="preserve">Date of birth </v>
      </c>
      <c r="F18" s="399" t="str">
        <f t="shared" si="19"/>
        <v>Data Element</v>
      </c>
      <c r="G18" s="400">
        <f t="shared" si="4"/>
        <v>14</v>
      </c>
      <c r="H18" s="400" t="str">
        <f t="shared" si="5"/>
        <v/>
      </c>
      <c r="I18" s="400"/>
      <c r="J18" s="400"/>
      <c r="K18" s="401" t="s">
        <v>99</v>
      </c>
      <c r="L18" s="402" t="s">
        <v>3093</v>
      </c>
      <c r="M18" s="400"/>
      <c r="N18" s="403" t="s">
        <v>3199</v>
      </c>
      <c r="O18" s="403" t="s">
        <v>3210</v>
      </c>
      <c r="P18" s="404" t="s">
        <v>3211</v>
      </c>
      <c r="Q18" s="407" t="s">
        <v>3209</v>
      </c>
      <c r="R18" s="404" t="s">
        <v>138</v>
      </c>
      <c r="S18" s="407" t="s">
        <v>3212</v>
      </c>
      <c r="T18" s="407" t="s">
        <v>140</v>
      </c>
      <c r="U18" s="407"/>
      <c r="V18" s="403" t="s">
        <v>140</v>
      </c>
      <c r="W18" s="403"/>
      <c r="X18" s="407" t="s">
        <v>113</v>
      </c>
      <c r="Y18" s="403" t="s">
        <v>3213</v>
      </c>
      <c r="Z18" s="405" t="s">
        <v>113</v>
      </c>
      <c r="AA18" s="403" t="s">
        <v>3178</v>
      </c>
      <c r="AB18" s="408" t="s">
        <v>3214</v>
      </c>
      <c r="AC18" s="403"/>
      <c r="AD18" s="403" t="s">
        <v>3215</v>
      </c>
      <c r="AE18" s="419" t="s">
        <v>3216</v>
      </c>
      <c r="AF18" s="403" t="s">
        <v>3217</v>
      </c>
      <c r="AG18" s="404"/>
      <c r="AH18" s="399"/>
      <c r="AI18" s="400"/>
      <c r="AJ18" s="399"/>
      <c r="AK18" s="399" t="s">
        <v>145</v>
      </c>
      <c r="AL18" s="399"/>
      <c r="AM18" s="399" t="s">
        <v>3100</v>
      </c>
      <c r="AN18" s="399" t="s">
        <v>3101</v>
      </c>
      <c r="AO18" s="399"/>
      <c r="AP18" s="409" t="s">
        <v>3102</v>
      </c>
      <c r="AQ18" s="409" t="s">
        <v>3103</v>
      </c>
      <c r="AR18" s="399"/>
      <c r="AS18" s="399"/>
      <c r="AT18" s="399"/>
      <c r="AU18" s="399" t="s">
        <v>3209</v>
      </c>
      <c r="AV18" s="399" t="str">
        <f t="shared" si="6"/>
        <v>Same</v>
      </c>
      <c r="AW18" s="399"/>
      <c r="AX18" s="409" t="s">
        <v>3104</v>
      </c>
      <c r="AY18" s="399" t="str">
        <f t="shared" si="7"/>
        <v/>
      </c>
      <c r="AZ18" s="409" t="s">
        <v>3105</v>
      </c>
      <c r="BA18" s="409">
        <v>1</v>
      </c>
      <c r="BB18" s="399"/>
      <c r="BC18" s="399" t="s">
        <v>3218</v>
      </c>
      <c r="BD18" s="399"/>
      <c r="BE18" s="411"/>
      <c r="BF18" s="411"/>
      <c r="BG18" s="411"/>
      <c r="BH18" s="411" t="s">
        <v>3219</v>
      </c>
      <c r="BI18" s="411"/>
      <c r="BJ18" s="399" t="s">
        <v>3106</v>
      </c>
      <c r="BK18" s="399"/>
      <c r="BL18" s="399"/>
      <c r="BM18" s="399"/>
      <c r="BN18" s="399"/>
      <c r="BO18" s="399"/>
      <c r="BP18" s="399"/>
      <c r="BQ18" s="399" t="s">
        <v>118</v>
      </c>
      <c r="BR18" s="399" t="s">
        <v>144</v>
      </c>
      <c r="BS18" s="407"/>
      <c r="BT18" s="407"/>
      <c r="BU18" s="412"/>
      <c r="BV18" s="46" t="str">
        <f t="shared" si="8"/>
        <v>Patient</v>
      </c>
      <c r="BW18" s="46" t="str">
        <f t="shared" si="9"/>
        <v/>
      </c>
      <c r="BX18" s="46" t="str">
        <f t="shared" si="10"/>
        <v>Patient</v>
      </c>
      <c r="BY18" s="43" t="str">
        <f t="shared" si="11"/>
        <v>WHO-Core Patient</v>
      </c>
      <c r="BZ18" s="46">
        <f t="shared" si="12"/>
        <v>1</v>
      </c>
      <c r="CA18" s="46">
        <f t="shared" si="13"/>
        <v>0</v>
      </c>
      <c r="CB18" s="46">
        <f t="shared" si="14"/>
        <v>1</v>
      </c>
      <c r="CC18" s="46">
        <f t="shared" si="15"/>
        <v>1</v>
      </c>
      <c r="CD18" s="46">
        <f t="shared" si="16"/>
        <v>1</v>
      </c>
      <c r="CE18" s="46">
        <f t="shared" si="17"/>
        <v>0</v>
      </c>
      <c r="CF18" s="46">
        <f t="shared" si="18"/>
        <v>0</v>
      </c>
      <c r="CG18" s="46" t="str">
        <f ca="1">IFERROR(__xludf.DUMMYFUNCTION("if(OR(BH18="""",LEFT(BH18,2)=""LA""),"""",IMPORTXML(CONCATENATE(""https://loinc.org/"",BH18,""/""),""//span[@id='lcn']""))"),"Birth date")</f>
        <v>Birth date</v>
      </c>
      <c r="CH18" s="46"/>
      <c r="CI18" s="46"/>
      <c r="CJ18" s="46"/>
      <c r="CK18" s="46"/>
      <c r="CL18" s="46"/>
      <c r="CM18" s="46"/>
      <c r="CN18" s="46"/>
      <c r="CO18" s="46"/>
      <c r="CP18" s="46"/>
      <c r="CQ18" s="46"/>
      <c r="CR18" s="46"/>
      <c r="CS18" s="46"/>
      <c r="CT18" s="46"/>
      <c r="CU18" s="46"/>
    </row>
    <row r="19" spans="1:99" ht="12.75" customHeight="1">
      <c r="A19" s="399">
        <v>1245</v>
      </c>
      <c r="B19" s="399" t="s">
        <v>3220</v>
      </c>
      <c r="C19" s="399">
        <f t="shared" si="0"/>
        <v>1245</v>
      </c>
      <c r="D19" s="399" t="str">
        <f t="shared" si="1"/>
        <v>Date of birth unknown</v>
      </c>
      <c r="E19" s="399" t="str">
        <f t="shared" si="2"/>
        <v>Date of birth unknown</v>
      </c>
      <c r="F19" s="409" t="s">
        <v>3164</v>
      </c>
      <c r="G19" s="400">
        <f t="shared" si="4"/>
        <v>21</v>
      </c>
      <c r="H19" s="400" t="str">
        <f t="shared" si="5"/>
        <v/>
      </c>
      <c r="I19" s="400"/>
      <c r="J19" s="400"/>
      <c r="K19" s="401" t="s">
        <v>99</v>
      </c>
      <c r="L19" s="402" t="s">
        <v>3093</v>
      </c>
      <c r="M19" s="400"/>
      <c r="N19" s="403" t="s">
        <v>3199</v>
      </c>
      <c r="O19" s="403" t="s">
        <v>3221</v>
      </c>
      <c r="P19" s="404" t="s">
        <v>3222</v>
      </c>
      <c r="Q19" s="407" t="s">
        <v>3220</v>
      </c>
      <c r="R19" s="405" t="s">
        <v>150</v>
      </c>
      <c r="S19" s="407" t="s">
        <v>3223</v>
      </c>
      <c r="T19" s="407" t="s">
        <v>3169</v>
      </c>
      <c r="U19" s="407"/>
      <c r="V19" s="403" t="s">
        <v>3170</v>
      </c>
      <c r="W19" s="403"/>
      <c r="X19" s="407" t="s">
        <v>113</v>
      </c>
      <c r="Y19" s="403" t="s">
        <v>3213</v>
      </c>
      <c r="Z19" s="405" t="s">
        <v>113</v>
      </c>
      <c r="AA19" s="405" t="s">
        <v>3178</v>
      </c>
      <c r="AB19" s="406"/>
      <c r="AC19" s="407"/>
      <c r="AD19" s="407"/>
      <c r="AE19" s="408"/>
      <c r="AF19" s="407"/>
      <c r="AG19" s="404"/>
      <c r="AH19" s="399"/>
      <c r="AI19" s="400"/>
      <c r="AJ19" s="399"/>
      <c r="AK19" s="399"/>
      <c r="AL19" s="399"/>
      <c r="AM19" s="399"/>
      <c r="AN19" s="399"/>
      <c r="AO19" s="399"/>
      <c r="AP19" s="399"/>
      <c r="AQ19" s="409" t="s">
        <v>115</v>
      </c>
      <c r="AR19" s="399"/>
      <c r="AS19" s="399"/>
      <c r="AT19" s="399"/>
      <c r="AU19" s="399" t="s">
        <v>3220</v>
      </c>
      <c r="AV19" s="399" t="str">
        <f t="shared" si="6"/>
        <v>Same</v>
      </c>
      <c r="AW19" s="399"/>
      <c r="AX19" s="409" t="s">
        <v>3104</v>
      </c>
      <c r="AY19" s="399" t="str">
        <f t="shared" si="7"/>
        <v/>
      </c>
      <c r="AZ19" s="409" t="s">
        <v>3105</v>
      </c>
      <c r="BA19" s="409">
        <v>1</v>
      </c>
      <c r="BB19" s="399"/>
      <c r="BC19" s="399"/>
      <c r="BD19" s="399"/>
      <c r="BE19" s="411"/>
      <c r="BF19" s="411"/>
      <c r="BG19" s="411"/>
      <c r="BH19" s="411"/>
      <c r="BI19" s="411"/>
      <c r="BJ19" s="399" t="s">
        <v>3106</v>
      </c>
      <c r="BK19" s="399"/>
      <c r="BL19" s="399"/>
      <c r="BM19" s="399" t="s">
        <v>3224</v>
      </c>
      <c r="BN19" s="399" t="s">
        <v>3225</v>
      </c>
      <c r="BO19" s="399"/>
      <c r="BP19" s="399" t="s">
        <v>156</v>
      </c>
      <c r="BQ19" s="399" t="s">
        <v>156</v>
      </c>
      <c r="BR19" s="399" t="s">
        <v>156</v>
      </c>
      <c r="BS19" s="407"/>
      <c r="BT19" s="407"/>
      <c r="BU19" s="412"/>
      <c r="BV19" s="46" t="str">
        <f t="shared" si="8"/>
        <v/>
      </c>
      <c r="BW19" s="46" t="str">
        <f t="shared" si="9"/>
        <v/>
      </c>
      <c r="BX19" s="46" t="str">
        <f t="shared" si="10"/>
        <v/>
      </c>
      <c r="BY19" s="43" t="str">
        <f t="shared" si="11"/>
        <v/>
      </c>
      <c r="BZ19" s="46">
        <f t="shared" si="12"/>
        <v>1</v>
      </c>
      <c r="CA19" s="46" t="str">
        <f t="shared" si="13"/>
        <v/>
      </c>
      <c r="CB19" s="46">
        <f t="shared" si="14"/>
        <v>1</v>
      </c>
      <c r="CC19" s="46">
        <f t="shared" si="15"/>
        <v>1</v>
      </c>
      <c r="CD19" s="46">
        <f t="shared" si="16"/>
        <v>1</v>
      </c>
      <c r="CE19" s="46">
        <f t="shared" si="17"/>
        <v>0</v>
      </c>
      <c r="CF19" s="46">
        <f t="shared" si="18"/>
        <v>0</v>
      </c>
      <c r="CG19" s="46" t="str">
        <f ca="1">IFERROR(__xludf.DUMMYFUNCTION("if(OR(BH19="""",LEFT(BH19,2)=""LA""),"""",IMPORTXML(CONCATENATE(""https://loinc.org/"",BH19,""/""),""//span[@id='lcn']""))"),"")</f>
        <v/>
      </c>
      <c r="CH19" s="46"/>
      <c r="CI19" s="46"/>
      <c r="CJ19" s="46"/>
      <c r="CK19" s="46"/>
      <c r="CL19" s="46"/>
      <c r="CM19" s="46"/>
      <c r="CN19" s="46"/>
      <c r="CO19" s="46"/>
      <c r="CP19" s="46"/>
      <c r="CQ19" s="46"/>
      <c r="CR19" s="46"/>
      <c r="CS19" s="46"/>
      <c r="CT19" s="46"/>
      <c r="CU19" s="46"/>
    </row>
    <row r="20" spans="1:99" ht="12.75" customHeight="1">
      <c r="A20" s="399">
        <v>1246</v>
      </c>
      <c r="B20" s="399" t="s">
        <v>3226</v>
      </c>
      <c r="C20" s="399">
        <f t="shared" si="0"/>
        <v>1246</v>
      </c>
      <c r="D20" s="399" t="str">
        <f t="shared" si="1"/>
        <v>Estimated age</v>
      </c>
      <c r="E20" s="399" t="str">
        <f t="shared" si="2"/>
        <v>Estimated age</v>
      </c>
      <c r="F20" s="399" t="str">
        <f>IF(AND(ISBLANK(V20)=FALSE,OR(T20="MC",T20="")),"Input Option","Data Element")</f>
        <v>Data Element</v>
      </c>
      <c r="G20" s="400">
        <f t="shared" si="4"/>
        <v>13</v>
      </c>
      <c r="H20" s="400" t="str">
        <f t="shared" si="5"/>
        <v/>
      </c>
      <c r="I20" s="400"/>
      <c r="J20" s="400"/>
      <c r="K20" s="401" t="s">
        <v>99</v>
      </c>
      <c r="L20" s="402" t="s">
        <v>3093</v>
      </c>
      <c r="M20" s="400"/>
      <c r="N20" s="403" t="s">
        <v>3199</v>
      </c>
      <c r="O20" s="403" t="s">
        <v>3227</v>
      </c>
      <c r="P20" s="404" t="s">
        <v>3228</v>
      </c>
      <c r="Q20" s="407" t="s">
        <v>3226</v>
      </c>
      <c r="R20" s="404" t="s">
        <v>166</v>
      </c>
      <c r="S20" s="407" t="s">
        <v>3229</v>
      </c>
      <c r="T20" s="407" t="s">
        <v>164</v>
      </c>
      <c r="U20" s="407"/>
      <c r="V20" s="403" t="s">
        <v>168</v>
      </c>
      <c r="W20" s="403"/>
      <c r="X20" s="407" t="s">
        <v>3230</v>
      </c>
      <c r="Y20" s="403" t="s">
        <v>3213</v>
      </c>
      <c r="Z20" s="405" t="s">
        <v>113</v>
      </c>
      <c r="AA20" s="405" t="s">
        <v>3178</v>
      </c>
      <c r="AB20" s="420" t="s">
        <v>3231</v>
      </c>
      <c r="AC20" s="421"/>
      <c r="AD20" s="407"/>
      <c r="AE20" s="408"/>
      <c r="AF20" s="407"/>
      <c r="AG20" s="404"/>
      <c r="AH20" s="399"/>
      <c r="AI20" s="400"/>
      <c r="AJ20" s="399"/>
      <c r="AK20" s="409" t="s">
        <v>3232</v>
      </c>
      <c r="AL20" s="409" t="s">
        <v>3233</v>
      </c>
      <c r="AM20" s="409" t="s">
        <v>155</v>
      </c>
      <c r="AN20" s="409" t="s">
        <v>3101</v>
      </c>
      <c r="AO20" s="399"/>
      <c r="AP20" s="409" t="s">
        <v>3102</v>
      </c>
      <c r="AQ20" s="409" t="s">
        <v>3103</v>
      </c>
      <c r="AR20" s="399"/>
      <c r="AS20" s="399"/>
      <c r="AT20" s="399"/>
      <c r="AU20" s="399" t="s">
        <v>3226</v>
      </c>
      <c r="AV20" s="399" t="str">
        <f t="shared" si="6"/>
        <v>Same</v>
      </c>
      <c r="AW20" s="399"/>
      <c r="AX20" s="409" t="s">
        <v>3104</v>
      </c>
      <c r="AY20" s="399" t="str">
        <f t="shared" si="7"/>
        <v/>
      </c>
      <c r="AZ20" s="409" t="s">
        <v>3105</v>
      </c>
      <c r="BA20" s="409">
        <v>1</v>
      </c>
      <c r="BB20" s="399"/>
      <c r="BC20" s="399"/>
      <c r="BD20" s="399"/>
      <c r="BE20" s="411"/>
      <c r="BF20" s="411"/>
      <c r="BG20" s="411"/>
      <c r="BH20" s="411"/>
      <c r="BI20" s="411"/>
      <c r="BJ20" s="399" t="s">
        <v>3106</v>
      </c>
      <c r="BK20" s="399"/>
      <c r="BL20" s="399"/>
      <c r="BM20" s="399"/>
      <c r="BN20" s="399"/>
      <c r="BO20" s="399"/>
      <c r="BP20" s="399" t="s">
        <v>156</v>
      </c>
      <c r="BQ20" s="399" t="s">
        <v>156</v>
      </c>
      <c r="BR20" s="399" t="s">
        <v>156</v>
      </c>
      <c r="BS20" s="407"/>
      <c r="BT20" s="407"/>
      <c r="BU20" s="412"/>
      <c r="BV20" s="46" t="str">
        <f t="shared" si="8"/>
        <v>Patient</v>
      </c>
      <c r="BW20" s="46" t="str">
        <f t="shared" si="9"/>
        <v/>
      </c>
      <c r="BX20" s="46" t="str">
        <f t="shared" si="10"/>
        <v>Patient</v>
      </c>
      <c r="BY20" s="43" t="str">
        <f t="shared" si="11"/>
        <v>WHO-Core Patient</v>
      </c>
      <c r="BZ20" s="46">
        <f t="shared" si="12"/>
        <v>1</v>
      </c>
      <c r="CA20" s="46">
        <f t="shared" si="13"/>
        <v>0</v>
      </c>
      <c r="CB20" s="46">
        <f t="shared" si="14"/>
        <v>0</v>
      </c>
      <c r="CC20" s="46">
        <f t="shared" si="15"/>
        <v>0</v>
      </c>
      <c r="CD20" s="46">
        <f t="shared" si="16"/>
        <v>0</v>
      </c>
      <c r="CE20" s="46">
        <f t="shared" si="17"/>
        <v>0</v>
      </c>
      <c r="CF20" s="46">
        <f t="shared" si="18"/>
        <v>1</v>
      </c>
      <c r="CG20" s="46" t="str">
        <f ca="1">IFERROR(__xludf.DUMMYFUNCTION("if(OR(BH20="""",LEFT(BH20,2)=""LA""),"""",IMPORTXML(CONCATENATE(""https://loinc.org/"",BH20,""/""),""//span[@id='lcn']""))"),"")</f>
        <v/>
      </c>
      <c r="CH20" s="46"/>
      <c r="CI20" s="46"/>
      <c r="CJ20" s="46"/>
      <c r="CK20" s="46"/>
      <c r="CL20" s="46"/>
      <c r="CM20" s="46"/>
      <c r="CN20" s="46"/>
      <c r="CO20" s="46"/>
      <c r="CP20" s="46"/>
      <c r="CQ20" s="46"/>
      <c r="CR20" s="46"/>
      <c r="CS20" s="46"/>
      <c r="CT20" s="46"/>
      <c r="CU20" s="46"/>
    </row>
    <row r="21" spans="1:99" ht="12.75" customHeight="1">
      <c r="A21" s="422">
        <v>1843</v>
      </c>
      <c r="B21" s="423" t="s">
        <v>3234</v>
      </c>
      <c r="C21" s="399">
        <f t="shared" si="0"/>
        <v>1843</v>
      </c>
      <c r="D21" s="399" t="str">
        <f t="shared" si="1"/>
        <v>Age (calculated)</v>
      </c>
      <c r="E21" s="399" t="str">
        <f t="shared" si="2"/>
        <v>Age (calculated)</v>
      </c>
      <c r="F21" s="409" t="s">
        <v>3164</v>
      </c>
      <c r="G21" s="400">
        <f t="shared" si="4"/>
        <v>16</v>
      </c>
      <c r="H21" s="400" t="str">
        <f t="shared" si="5"/>
        <v/>
      </c>
      <c r="I21" s="400"/>
      <c r="J21" s="400"/>
      <c r="K21" s="401" t="s">
        <v>99</v>
      </c>
      <c r="L21" s="402" t="s">
        <v>3093</v>
      </c>
      <c r="M21" s="400"/>
      <c r="N21" s="403" t="s">
        <v>3199</v>
      </c>
      <c r="O21" s="403" t="s">
        <v>3235</v>
      </c>
      <c r="P21" s="404" t="s">
        <v>3236</v>
      </c>
      <c r="Q21" s="407" t="s">
        <v>3234</v>
      </c>
      <c r="R21" s="404" t="s">
        <v>158</v>
      </c>
      <c r="S21" s="407" t="s">
        <v>3237</v>
      </c>
      <c r="T21" s="407" t="s">
        <v>168</v>
      </c>
      <c r="U21" s="407"/>
      <c r="V21" s="403" t="s">
        <v>203</v>
      </c>
      <c r="W21" s="403"/>
      <c r="X21" s="407" t="s">
        <v>208</v>
      </c>
      <c r="Y21" s="403"/>
      <c r="Z21" s="405" t="s">
        <v>208</v>
      </c>
      <c r="AA21" s="405" t="s">
        <v>203</v>
      </c>
      <c r="AB21" s="406"/>
      <c r="AC21" s="407"/>
      <c r="AD21" s="407"/>
      <c r="AE21" s="408"/>
      <c r="AF21" s="407"/>
      <c r="AG21" s="404"/>
      <c r="AH21" s="399"/>
      <c r="AI21" s="400"/>
      <c r="AJ21" s="399" t="s">
        <v>1787</v>
      </c>
      <c r="AK21" s="399"/>
      <c r="AL21" s="399" t="s">
        <v>1787</v>
      </c>
      <c r="AM21" s="399"/>
      <c r="AN21" s="399" t="s">
        <v>1787</v>
      </c>
      <c r="AO21" s="399" t="s">
        <v>1787</v>
      </c>
      <c r="AP21" s="399"/>
      <c r="AQ21" s="409" t="s">
        <v>115</v>
      </c>
      <c r="AR21" s="399"/>
      <c r="AS21" s="399"/>
      <c r="AT21" s="399"/>
      <c r="AU21" s="399"/>
      <c r="AV21" s="399" t="str">
        <f t="shared" si="6"/>
        <v/>
      </c>
      <c r="AW21" s="399"/>
      <c r="AX21" s="409" t="s">
        <v>3104</v>
      </c>
      <c r="AY21" s="399" t="str">
        <f t="shared" si="7"/>
        <v/>
      </c>
      <c r="AZ21" s="409" t="s">
        <v>3105</v>
      </c>
      <c r="BA21" s="409">
        <v>1</v>
      </c>
      <c r="BB21" s="399"/>
      <c r="BC21" s="399" t="s">
        <v>1787</v>
      </c>
      <c r="BD21" s="399" t="s">
        <v>1787</v>
      </c>
      <c r="BE21" s="411"/>
      <c r="BF21" s="411" t="s">
        <v>1787</v>
      </c>
      <c r="BG21" s="411"/>
      <c r="BH21" s="411"/>
      <c r="BI21" s="411"/>
      <c r="BJ21" s="409" t="s">
        <v>3106</v>
      </c>
      <c r="BK21" s="399" t="s">
        <v>1787</v>
      </c>
      <c r="BL21" s="399"/>
      <c r="BM21" s="399" t="s">
        <v>1787</v>
      </c>
      <c r="BN21" s="399" t="s">
        <v>1787</v>
      </c>
      <c r="BO21" s="399" t="s">
        <v>1787</v>
      </c>
      <c r="BP21" s="399" t="s">
        <v>1787</v>
      </c>
      <c r="BQ21" s="399" t="s">
        <v>1787</v>
      </c>
      <c r="BR21" s="399" t="s">
        <v>1787</v>
      </c>
      <c r="BS21" s="407"/>
      <c r="BT21" s="407"/>
      <c r="BU21" s="412"/>
      <c r="BV21" s="46" t="str">
        <f t="shared" si="8"/>
        <v/>
      </c>
      <c r="BW21" s="46" t="str">
        <f t="shared" si="9"/>
        <v/>
      </c>
      <c r="BX21" s="46" t="str">
        <f t="shared" si="10"/>
        <v/>
      </c>
      <c r="BY21" s="43" t="str">
        <f t="shared" si="11"/>
        <v/>
      </c>
      <c r="BZ21" s="46">
        <f t="shared" si="12"/>
        <v>1</v>
      </c>
      <c r="CA21" s="46" t="str">
        <f t="shared" si="13"/>
        <v/>
      </c>
      <c r="CB21" s="46">
        <f t="shared" si="14"/>
        <v>1</v>
      </c>
      <c r="CC21" s="46">
        <f t="shared" si="15"/>
        <v>1</v>
      </c>
      <c r="CD21" s="46">
        <f t="shared" si="16"/>
        <v>1</v>
      </c>
      <c r="CE21" s="46">
        <f t="shared" si="17"/>
        <v>0</v>
      </c>
      <c r="CF21" s="46">
        <f t="shared" si="18"/>
        <v>0</v>
      </c>
      <c r="CG21" s="46" t="str">
        <f ca="1">IFERROR(__xludf.DUMMYFUNCTION("if(OR(BH21="""",LEFT(BH21,2)=""LA""),"""",IMPORTXML(CONCATENATE(""https://loinc.org/"",BH21,""/""),""//span[@id='lcn']""))"),"")</f>
        <v/>
      </c>
      <c r="CH21" s="46"/>
      <c r="CI21" s="46"/>
      <c r="CJ21" s="46"/>
      <c r="CK21" s="46"/>
      <c r="CL21" s="46"/>
      <c r="CM21" s="46"/>
      <c r="CN21" s="46"/>
      <c r="CO21" s="46"/>
      <c r="CP21" s="46"/>
      <c r="CQ21" s="46"/>
      <c r="CR21" s="46"/>
      <c r="CS21" s="46"/>
      <c r="CT21" s="46"/>
      <c r="CU21" s="46"/>
    </row>
    <row r="22" spans="1:99" ht="12.75" customHeight="1">
      <c r="A22" s="399">
        <v>1247</v>
      </c>
      <c r="B22" s="399" t="s">
        <v>3238</v>
      </c>
      <c r="C22" s="399">
        <f t="shared" si="0"/>
        <v>1247</v>
      </c>
      <c r="D22" s="399" t="str">
        <f t="shared" si="1"/>
        <v>Gender</v>
      </c>
      <c r="E22" s="399" t="str">
        <f t="shared" si="2"/>
        <v>Gender</v>
      </c>
      <c r="F22" s="399" t="str">
        <f t="shared" ref="F22:F117" si="20">IF(AND(ISBLANK(V22)=FALSE,OR(T22="MC",T22="")),"Input Option","Data Element")</f>
        <v>Data Element</v>
      </c>
      <c r="G22" s="400">
        <f t="shared" si="4"/>
        <v>6</v>
      </c>
      <c r="H22" s="400" t="str">
        <f t="shared" si="5"/>
        <v/>
      </c>
      <c r="I22" s="400"/>
      <c r="J22" s="400"/>
      <c r="K22" s="401" t="s">
        <v>99</v>
      </c>
      <c r="L22" s="402" t="s">
        <v>3093</v>
      </c>
      <c r="M22" s="400"/>
      <c r="N22" s="403" t="s">
        <v>3199</v>
      </c>
      <c r="O22" s="403" t="s">
        <v>3239</v>
      </c>
      <c r="P22" s="404" t="s">
        <v>3240</v>
      </c>
      <c r="Q22" s="407" t="s">
        <v>3238</v>
      </c>
      <c r="R22" s="407" t="s">
        <v>3241</v>
      </c>
      <c r="S22" s="403" t="s">
        <v>3242</v>
      </c>
      <c r="T22" s="407" t="s">
        <v>3121</v>
      </c>
      <c r="U22" s="407" t="s">
        <v>3243</v>
      </c>
      <c r="V22" s="404"/>
      <c r="W22" s="404"/>
      <c r="X22" s="403" t="s">
        <v>208</v>
      </c>
      <c r="Y22" s="404"/>
      <c r="Z22" s="403" t="s">
        <v>113</v>
      </c>
      <c r="AA22" s="403" t="s">
        <v>3098</v>
      </c>
      <c r="AB22" s="406"/>
      <c r="AC22" s="403"/>
      <c r="AD22" s="403" t="s">
        <v>3244</v>
      </c>
      <c r="AE22" s="406" t="s">
        <v>3245</v>
      </c>
      <c r="AF22" s="403"/>
      <c r="AG22" s="420" t="s">
        <v>3246</v>
      </c>
      <c r="AH22" s="399"/>
      <c r="AI22" s="400"/>
      <c r="AJ22" s="399"/>
      <c r="AK22" s="399" t="s">
        <v>3241</v>
      </c>
      <c r="AL22" s="399"/>
      <c r="AM22" s="399" t="s">
        <v>3100</v>
      </c>
      <c r="AN22" s="399" t="s">
        <v>3101</v>
      </c>
      <c r="AO22" s="399"/>
      <c r="AP22" s="409" t="s">
        <v>3102</v>
      </c>
      <c r="AQ22" s="409" t="s">
        <v>3103</v>
      </c>
      <c r="AR22" s="399"/>
      <c r="AS22" s="399"/>
      <c r="AT22" s="399"/>
      <c r="AU22" s="399" t="s">
        <v>3238</v>
      </c>
      <c r="AV22" s="399" t="str">
        <f t="shared" si="6"/>
        <v>Same</v>
      </c>
      <c r="AW22" s="399"/>
      <c r="AX22" s="409" t="s">
        <v>3104</v>
      </c>
      <c r="AY22" s="399" t="str">
        <f t="shared" si="7"/>
        <v/>
      </c>
      <c r="AZ22" s="409" t="s">
        <v>3105</v>
      </c>
      <c r="BA22" s="409">
        <v>1</v>
      </c>
      <c r="BB22" s="399"/>
      <c r="BC22" s="399" t="s">
        <v>3218</v>
      </c>
      <c r="BD22" s="399"/>
      <c r="BE22" s="411"/>
      <c r="BF22" s="411"/>
      <c r="BG22" s="411"/>
      <c r="BH22" s="411"/>
      <c r="BI22" s="411"/>
      <c r="BJ22" s="399" t="s">
        <v>3106</v>
      </c>
      <c r="BK22" s="399"/>
      <c r="BL22" s="399"/>
      <c r="BM22" s="399"/>
      <c r="BN22" s="399"/>
      <c r="BO22" s="399"/>
      <c r="BP22" s="399"/>
      <c r="BQ22" s="399" t="s">
        <v>3247</v>
      </c>
      <c r="BR22" s="399" t="s">
        <v>3248</v>
      </c>
      <c r="BS22" s="407"/>
      <c r="BT22" s="407"/>
      <c r="BU22" s="412"/>
      <c r="BV22" s="46" t="str">
        <f t="shared" si="8"/>
        <v>Patient</v>
      </c>
      <c r="BW22" s="46" t="str">
        <f t="shared" si="9"/>
        <v/>
      </c>
      <c r="BX22" s="46" t="str">
        <f t="shared" si="10"/>
        <v>Patient</v>
      </c>
      <c r="BY22" s="43" t="str">
        <f t="shared" si="11"/>
        <v>WHO-Core Patient</v>
      </c>
      <c r="BZ22" s="46">
        <f t="shared" si="12"/>
        <v>1</v>
      </c>
      <c r="CA22" s="46">
        <f t="shared" si="13"/>
        <v>1</v>
      </c>
      <c r="CB22" s="46">
        <f t="shared" si="14"/>
        <v>1</v>
      </c>
      <c r="CC22" s="46">
        <f t="shared" si="15"/>
        <v>1</v>
      </c>
      <c r="CD22" s="46">
        <f t="shared" si="16"/>
        <v>1</v>
      </c>
      <c r="CE22" s="46">
        <f t="shared" si="17"/>
        <v>0</v>
      </c>
      <c r="CF22" s="46">
        <f t="shared" si="18"/>
        <v>0</v>
      </c>
      <c r="CG22" s="46" t="str">
        <f ca="1">IFERROR(__xludf.DUMMYFUNCTION("if(OR(BH22="""",LEFT(BH22,2)=""LA""),"""",IMPORTXML(CONCATENATE(""https://loinc.org/"",BH22,""/""),""//span[@id='lcn']""))"),"")</f>
        <v/>
      </c>
      <c r="CH22" s="46"/>
      <c r="CI22" s="46"/>
      <c r="CJ22" s="46"/>
      <c r="CK22" s="46"/>
      <c r="CL22" s="46"/>
      <c r="CM22" s="46"/>
      <c r="CN22" s="46"/>
      <c r="CO22" s="46"/>
      <c r="CP22" s="46"/>
      <c r="CQ22" s="46"/>
      <c r="CR22" s="46"/>
      <c r="CS22" s="46"/>
      <c r="CT22" s="46"/>
      <c r="CU22" s="46"/>
    </row>
    <row r="23" spans="1:99" ht="12.75" customHeight="1">
      <c r="A23" s="399">
        <v>1248</v>
      </c>
      <c r="B23" s="399" t="s">
        <v>3249</v>
      </c>
      <c r="C23" s="399">
        <f t="shared" si="0"/>
        <v>1248</v>
      </c>
      <c r="D23" s="399" t="e">
        <f t="shared" ca="1" si="1"/>
        <v>#NAME?</v>
      </c>
      <c r="E23" s="399" t="str">
        <f t="shared" si="2"/>
        <v>Female</v>
      </c>
      <c r="F23" s="399" t="str">
        <f t="shared" si="20"/>
        <v>Input Option</v>
      </c>
      <c r="G23" s="400">
        <f t="shared" si="4"/>
        <v>13</v>
      </c>
      <c r="H23" s="399" t="str">
        <f t="shared" si="5"/>
        <v>Gender</v>
      </c>
      <c r="I23" s="400"/>
      <c r="J23" s="400"/>
      <c r="K23" s="401" t="s">
        <v>99</v>
      </c>
      <c r="L23" s="402" t="s">
        <v>3093</v>
      </c>
      <c r="M23" s="400"/>
      <c r="N23" s="403" t="s">
        <v>3199</v>
      </c>
      <c r="O23" s="403" t="s">
        <v>3250</v>
      </c>
      <c r="P23" s="404" t="s">
        <v>3251</v>
      </c>
      <c r="Q23" s="407"/>
      <c r="R23" s="407"/>
      <c r="S23" s="403"/>
      <c r="T23" s="407"/>
      <c r="U23" s="407"/>
      <c r="V23" s="407" t="s">
        <v>3252</v>
      </c>
      <c r="W23" s="407"/>
      <c r="X23" s="403"/>
      <c r="Y23" s="404"/>
      <c r="Z23" s="403"/>
      <c r="AA23" s="403"/>
      <c r="AB23" s="406"/>
      <c r="AC23" s="403"/>
      <c r="AD23" s="403"/>
      <c r="AE23" s="406"/>
      <c r="AF23" s="403"/>
      <c r="AG23" s="404"/>
      <c r="AH23" s="399"/>
      <c r="AI23" s="400"/>
      <c r="AJ23" s="399"/>
      <c r="AK23" s="399"/>
      <c r="AL23" s="399"/>
      <c r="AM23" s="399"/>
      <c r="AN23" s="399"/>
      <c r="AO23" s="399"/>
      <c r="AP23" s="399"/>
      <c r="AQ23" s="409" t="s">
        <v>3130</v>
      </c>
      <c r="AR23" s="399"/>
      <c r="AS23" s="399"/>
      <c r="AT23" s="399"/>
      <c r="AU23" s="399" t="s">
        <v>3249</v>
      </c>
      <c r="AV23" s="399" t="str">
        <f t="shared" si="6"/>
        <v>Same</v>
      </c>
      <c r="AW23" s="399"/>
      <c r="AX23" s="409" t="s">
        <v>3104</v>
      </c>
      <c r="AY23" s="399" t="e">
        <f t="shared" ca="1" si="7"/>
        <v>#NAME?</v>
      </c>
      <c r="AZ23" s="409" t="s">
        <v>3105</v>
      </c>
      <c r="BA23" s="409">
        <v>1</v>
      </c>
      <c r="BB23" s="415" t="s">
        <v>3253</v>
      </c>
      <c r="BC23" s="399" t="s">
        <v>3254</v>
      </c>
      <c r="BD23" s="399"/>
      <c r="BE23" s="411"/>
      <c r="BF23" s="411"/>
      <c r="BG23" s="411"/>
      <c r="BH23" s="411"/>
      <c r="BI23" s="411"/>
      <c r="BJ23" s="399"/>
      <c r="BK23" s="399"/>
      <c r="BL23" s="399"/>
      <c r="BM23" s="399"/>
      <c r="BN23" s="399"/>
      <c r="BO23" s="399"/>
      <c r="BP23" s="399"/>
      <c r="BQ23" s="399"/>
      <c r="BR23" s="399"/>
      <c r="BS23" s="407"/>
      <c r="BT23" s="407"/>
      <c r="BU23" s="412"/>
      <c r="BV23" s="46" t="str">
        <f t="shared" si="8"/>
        <v/>
      </c>
      <c r="BW23" s="46">
        <f t="shared" si="9"/>
        <v>0</v>
      </c>
      <c r="BX23" s="46">
        <f t="shared" si="10"/>
        <v>0</v>
      </c>
      <c r="BY23" s="43" t="str">
        <f t="shared" si="11"/>
        <v>WHO-Core Patient</v>
      </c>
      <c r="BZ23" s="46">
        <f t="shared" si="12"/>
        <v>1</v>
      </c>
      <c r="CA23" s="46" t="str">
        <f t="shared" si="13"/>
        <v/>
      </c>
      <c r="CB23" s="46">
        <f t="shared" si="14"/>
        <v>1</v>
      </c>
      <c r="CC23" s="46">
        <f t="shared" si="15"/>
        <v>1</v>
      </c>
      <c r="CD23" s="46">
        <f t="shared" si="16"/>
        <v>1</v>
      </c>
      <c r="CE23" s="46">
        <f t="shared" si="17"/>
        <v>0</v>
      </c>
      <c r="CF23" s="46">
        <f t="shared" si="18"/>
        <v>0</v>
      </c>
      <c r="CG23" s="46" t="str">
        <f ca="1">IFERROR(__xludf.DUMMYFUNCTION("if(OR(BH23="""",LEFT(BH23,2)=""LA""),"""",IMPORTXML(CONCATENATE(""https://loinc.org/"",BH23,""/""),""//span[@id='lcn']""))"),"")</f>
        <v/>
      </c>
      <c r="CH23" s="46"/>
      <c r="CI23" s="46"/>
      <c r="CJ23" s="46"/>
      <c r="CK23" s="46"/>
      <c r="CL23" s="46"/>
      <c r="CM23" s="46"/>
      <c r="CN23" s="46"/>
      <c r="CO23" s="46"/>
      <c r="CP23" s="46"/>
      <c r="CQ23" s="46"/>
      <c r="CR23" s="46"/>
      <c r="CS23" s="46"/>
      <c r="CT23" s="46"/>
      <c r="CU23" s="46"/>
    </row>
    <row r="24" spans="1:99" ht="12.75" customHeight="1">
      <c r="A24" s="399">
        <v>1249</v>
      </c>
      <c r="B24" s="399" t="s">
        <v>3255</v>
      </c>
      <c r="C24" s="399">
        <f t="shared" si="0"/>
        <v>1249</v>
      </c>
      <c r="D24" s="399" t="e">
        <f t="shared" ca="1" si="1"/>
        <v>#NAME?</v>
      </c>
      <c r="E24" s="399" t="str">
        <f t="shared" si="2"/>
        <v>Male</v>
      </c>
      <c r="F24" s="399" t="str">
        <f t="shared" si="20"/>
        <v>Input Option</v>
      </c>
      <c r="G24" s="400">
        <f t="shared" si="4"/>
        <v>11</v>
      </c>
      <c r="H24" s="399" t="str">
        <f t="shared" si="5"/>
        <v>Gender</v>
      </c>
      <c r="I24" s="400"/>
      <c r="J24" s="400"/>
      <c r="K24" s="401" t="s">
        <v>99</v>
      </c>
      <c r="L24" s="402" t="s">
        <v>3093</v>
      </c>
      <c r="M24" s="400"/>
      <c r="N24" s="403" t="s">
        <v>3199</v>
      </c>
      <c r="O24" s="403" t="s">
        <v>3256</v>
      </c>
      <c r="P24" s="404" t="s">
        <v>3257</v>
      </c>
      <c r="Q24" s="407"/>
      <c r="R24" s="407"/>
      <c r="S24" s="403"/>
      <c r="T24" s="407"/>
      <c r="U24" s="407"/>
      <c r="V24" s="407" t="s">
        <v>3258</v>
      </c>
      <c r="W24" s="407"/>
      <c r="X24" s="403"/>
      <c r="Y24" s="404"/>
      <c r="Z24" s="403"/>
      <c r="AA24" s="403"/>
      <c r="AB24" s="406"/>
      <c r="AC24" s="403"/>
      <c r="AD24" s="403"/>
      <c r="AE24" s="406"/>
      <c r="AF24" s="403"/>
      <c r="AG24" s="404"/>
      <c r="AH24" s="399"/>
      <c r="AI24" s="400"/>
      <c r="AJ24" s="399"/>
      <c r="AK24" s="399"/>
      <c r="AL24" s="399"/>
      <c r="AM24" s="399"/>
      <c r="AN24" s="399"/>
      <c r="AO24" s="399"/>
      <c r="AP24" s="399"/>
      <c r="AQ24" s="409" t="s">
        <v>3130</v>
      </c>
      <c r="AR24" s="399"/>
      <c r="AS24" s="399"/>
      <c r="AT24" s="399"/>
      <c r="AU24" s="399" t="s">
        <v>3255</v>
      </c>
      <c r="AV24" s="399" t="str">
        <f t="shared" si="6"/>
        <v>Same</v>
      </c>
      <c r="AW24" s="399"/>
      <c r="AX24" s="409" t="s">
        <v>3104</v>
      </c>
      <c r="AY24" s="399" t="e">
        <f t="shared" ca="1" si="7"/>
        <v>#NAME?</v>
      </c>
      <c r="AZ24" s="409" t="s">
        <v>3105</v>
      </c>
      <c r="BA24" s="409">
        <v>1</v>
      </c>
      <c r="BB24" s="415" t="s">
        <v>3253</v>
      </c>
      <c r="BC24" s="399" t="s">
        <v>3259</v>
      </c>
      <c r="BD24" s="399"/>
      <c r="BE24" s="411"/>
      <c r="BF24" s="411"/>
      <c r="BG24" s="411"/>
      <c r="BH24" s="411"/>
      <c r="BI24" s="411"/>
      <c r="BJ24" s="399"/>
      <c r="BK24" s="399"/>
      <c r="BL24" s="399"/>
      <c r="BM24" s="399"/>
      <c r="BN24" s="399"/>
      <c r="BO24" s="399"/>
      <c r="BP24" s="399"/>
      <c r="BQ24" s="399"/>
      <c r="BR24" s="399"/>
      <c r="BS24" s="407"/>
      <c r="BT24" s="407"/>
      <c r="BU24" s="412"/>
      <c r="BV24" s="46" t="str">
        <f t="shared" si="8"/>
        <v/>
      </c>
      <c r="BW24" s="46">
        <f t="shared" si="9"/>
        <v>0</v>
      </c>
      <c r="BX24" s="46">
        <f t="shared" si="10"/>
        <v>0</v>
      </c>
      <c r="BY24" s="43" t="str">
        <f t="shared" si="11"/>
        <v>WHO-Core Patient</v>
      </c>
      <c r="BZ24" s="46">
        <f t="shared" si="12"/>
        <v>1</v>
      </c>
      <c r="CA24" s="46" t="str">
        <f t="shared" si="13"/>
        <v/>
      </c>
      <c r="CB24" s="46">
        <f t="shared" si="14"/>
        <v>1</v>
      </c>
      <c r="CC24" s="46">
        <f t="shared" si="15"/>
        <v>1</v>
      </c>
      <c r="CD24" s="46">
        <f t="shared" si="16"/>
        <v>1</v>
      </c>
      <c r="CE24" s="46">
        <f t="shared" si="17"/>
        <v>0</v>
      </c>
      <c r="CF24" s="46">
        <f t="shared" si="18"/>
        <v>0</v>
      </c>
      <c r="CG24" s="46" t="str">
        <f ca="1">IFERROR(__xludf.DUMMYFUNCTION("if(OR(BH24="""",LEFT(BH24,2)=""LA""),"""",IMPORTXML(CONCATENATE(""https://loinc.org/"",BH24,""/""),""//span[@id='lcn']""))"),"")</f>
        <v/>
      </c>
      <c r="CH24" s="46"/>
      <c r="CI24" s="46"/>
      <c r="CJ24" s="46"/>
      <c r="CK24" s="46"/>
      <c r="CL24" s="46"/>
      <c r="CM24" s="46"/>
      <c r="CN24" s="46"/>
      <c r="CO24" s="46"/>
      <c r="CP24" s="46"/>
      <c r="CQ24" s="46"/>
      <c r="CR24" s="46"/>
      <c r="CS24" s="46"/>
      <c r="CT24" s="46"/>
      <c r="CU24" s="46"/>
    </row>
    <row r="25" spans="1:99" ht="12.75" customHeight="1">
      <c r="A25" s="399">
        <v>1250</v>
      </c>
      <c r="B25" s="399" t="s">
        <v>2005</v>
      </c>
      <c r="C25" s="399">
        <f t="shared" si="0"/>
        <v>1250</v>
      </c>
      <c r="D25" s="399" t="e">
        <f t="shared" ca="1" si="1"/>
        <v>#NAME?</v>
      </c>
      <c r="E25" s="399" t="str">
        <f t="shared" si="2"/>
        <v>Other</v>
      </c>
      <c r="F25" s="399" t="str">
        <f t="shared" si="20"/>
        <v>Input Option</v>
      </c>
      <c r="G25" s="400">
        <f t="shared" si="4"/>
        <v>12</v>
      </c>
      <c r="H25" s="399" t="str">
        <f t="shared" si="5"/>
        <v>Gender</v>
      </c>
      <c r="I25" s="400"/>
      <c r="J25" s="400"/>
      <c r="K25" s="401" t="s">
        <v>99</v>
      </c>
      <c r="L25" s="402" t="s">
        <v>3093</v>
      </c>
      <c r="M25" s="400"/>
      <c r="N25" s="403" t="s">
        <v>3199</v>
      </c>
      <c r="O25" s="403" t="s">
        <v>3260</v>
      </c>
      <c r="P25" s="404" t="s">
        <v>3261</v>
      </c>
      <c r="Q25" s="407"/>
      <c r="R25" s="407"/>
      <c r="S25" s="407"/>
      <c r="T25" s="407"/>
      <c r="U25" s="407"/>
      <c r="V25" s="407" t="s">
        <v>1387</v>
      </c>
      <c r="W25" s="407"/>
      <c r="X25" s="403"/>
      <c r="Y25" s="404"/>
      <c r="Z25" s="403"/>
      <c r="AA25" s="403"/>
      <c r="AB25" s="406"/>
      <c r="AC25" s="403"/>
      <c r="AD25" s="403"/>
      <c r="AE25" s="406"/>
      <c r="AF25" s="403" t="s">
        <v>3262</v>
      </c>
      <c r="AG25" s="404"/>
      <c r="AH25" s="399"/>
      <c r="AI25" s="400"/>
      <c r="AJ25" s="399"/>
      <c r="AK25" s="399"/>
      <c r="AL25" s="399"/>
      <c r="AM25" s="399"/>
      <c r="AN25" s="399"/>
      <c r="AO25" s="399"/>
      <c r="AP25" s="399"/>
      <c r="AQ25" s="409" t="s">
        <v>3130</v>
      </c>
      <c r="AR25" s="399"/>
      <c r="AS25" s="399"/>
      <c r="AT25" s="399"/>
      <c r="AU25" s="399" t="s">
        <v>2005</v>
      </c>
      <c r="AV25" s="399" t="str">
        <f t="shared" si="6"/>
        <v>Same</v>
      </c>
      <c r="AW25" s="399"/>
      <c r="AX25" s="409" t="s">
        <v>3104</v>
      </c>
      <c r="AY25" s="399" t="e">
        <f t="shared" ca="1" si="7"/>
        <v>#NAME?</v>
      </c>
      <c r="AZ25" s="409" t="s">
        <v>3105</v>
      </c>
      <c r="BA25" s="409">
        <v>1</v>
      </c>
      <c r="BB25" s="415" t="s">
        <v>3253</v>
      </c>
      <c r="BC25" s="399" t="s">
        <v>3263</v>
      </c>
      <c r="BD25" s="399"/>
      <c r="BE25" s="411"/>
      <c r="BF25" s="411"/>
      <c r="BG25" s="411"/>
      <c r="BH25" s="411"/>
      <c r="BI25" s="411"/>
      <c r="BJ25" s="399"/>
      <c r="BK25" s="399"/>
      <c r="BL25" s="399"/>
      <c r="BM25" s="399"/>
      <c r="BN25" s="399"/>
      <c r="BO25" s="399"/>
      <c r="BP25" s="399"/>
      <c r="BQ25" s="399"/>
      <c r="BR25" s="399"/>
      <c r="BS25" s="407"/>
      <c r="BT25" s="407"/>
      <c r="BU25" s="412"/>
      <c r="BV25" s="46" t="str">
        <f t="shared" si="8"/>
        <v/>
      </c>
      <c r="BW25" s="46">
        <f t="shared" si="9"/>
        <v>0</v>
      </c>
      <c r="BX25" s="46">
        <f t="shared" si="10"/>
        <v>0</v>
      </c>
      <c r="BY25" s="43" t="str">
        <f t="shared" si="11"/>
        <v>WHO-Core Patient</v>
      </c>
      <c r="BZ25" s="46">
        <f t="shared" si="12"/>
        <v>1</v>
      </c>
      <c r="CA25" s="46" t="str">
        <f t="shared" si="13"/>
        <v/>
      </c>
      <c r="CB25" s="46">
        <f t="shared" si="14"/>
        <v>1</v>
      </c>
      <c r="CC25" s="46">
        <f t="shared" si="15"/>
        <v>1</v>
      </c>
      <c r="CD25" s="46">
        <f t="shared" si="16"/>
        <v>1</v>
      </c>
      <c r="CE25" s="46">
        <f t="shared" si="17"/>
        <v>0</v>
      </c>
      <c r="CF25" s="46">
        <f t="shared" si="18"/>
        <v>0</v>
      </c>
      <c r="CG25" s="46" t="str">
        <f ca="1">IFERROR(__xludf.DUMMYFUNCTION("if(OR(BH25="""",LEFT(BH25,2)=""LA""),"""",IMPORTXML(CONCATENATE(""https://loinc.org/"",BH25,""/""),""//span[@id='lcn']""))"),"")</f>
        <v/>
      </c>
      <c r="CH25" s="46"/>
      <c r="CI25" s="46"/>
      <c r="CJ25" s="46"/>
      <c r="CK25" s="46"/>
      <c r="CL25" s="46"/>
      <c r="CM25" s="46"/>
      <c r="CN25" s="46"/>
      <c r="CO25" s="46"/>
      <c r="CP25" s="46"/>
      <c r="CQ25" s="46"/>
      <c r="CR25" s="46"/>
      <c r="CS25" s="46"/>
      <c r="CT25" s="46"/>
      <c r="CU25" s="46"/>
    </row>
    <row r="26" spans="1:99" ht="12.75" customHeight="1">
      <c r="A26" s="399">
        <v>1251</v>
      </c>
      <c r="B26" s="399" t="s">
        <v>3264</v>
      </c>
      <c r="C26" s="399">
        <f t="shared" si="0"/>
        <v>1251</v>
      </c>
      <c r="D26" s="399" t="str">
        <f t="shared" si="1"/>
        <v>Marital Status</v>
      </c>
      <c r="E26" s="399" t="str">
        <f t="shared" si="2"/>
        <v>Marital Status</v>
      </c>
      <c r="F26" s="399" t="str">
        <f t="shared" si="20"/>
        <v>Data Element</v>
      </c>
      <c r="G26" s="400">
        <f t="shared" si="4"/>
        <v>14</v>
      </c>
      <c r="H26" s="400" t="str">
        <f t="shared" si="5"/>
        <v/>
      </c>
      <c r="I26" s="400"/>
      <c r="J26" s="400"/>
      <c r="K26" s="401" t="s">
        <v>99</v>
      </c>
      <c r="L26" s="402" t="s">
        <v>3093</v>
      </c>
      <c r="M26" s="400"/>
      <c r="N26" s="403" t="s">
        <v>3199</v>
      </c>
      <c r="O26" s="404" t="s">
        <v>3265</v>
      </c>
      <c r="P26" s="404" t="s">
        <v>3266</v>
      </c>
      <c r="Q26" s="404" t="s">
        <v>3264</v>
      </c>
      <c r="R26" s="404"/>
      <c r="S26" s="403" t="s">
        <v>3267</v>
      </c>
      <c r="T26" s="407" t="s">
        <v>3121</v>
      </c>
      <c r="U26" s="407" t="s">
        <v>3243</v>
      </c>
      <c r="V26" s="404"/>
      <c r="W26" s="404"/>
      <c r="X26" s="404" t="s">
        <v>208</v>
      </c>
      <c r="Y26" s="404"/>
      <c r="Z26" s="404" t="s">
        <v>113</v>
      </c>
      <c r="AA26" s="404" t="s">
        <v>1889</v>
      </c>
      <c r="AB26" s="406"/>
      <c r="AC26" s="404"/>
      <c r="AD26" s="404"/>
      <c r="AE26" s="406"/>
      <c r="AF26" s="403" t="s">
        <v>3268</v>
      </c>
      <c r="AG26" s="404"/>
      <c r="AH26" s="399"/>
      <c r="AI26" s="400"/>
      <c r="AJ26" s="399"/>
      <c r="AK26" s="409" t="s">
        <v>3269</v>
      </c>
      <c r="AL26" s="399"/>
      <c r="AM26" s="399" t="s">
        <v>3100</v>
      </c>
      <c r="AN26" s="399" t="s">
        <v>3101</v>
      </c>
      <c r="AO26" s="399"/>
      <c r="AP26" s="409" t="s">
        <v>3102</v>
      </c>
      <c r="AQ26" s="409" t="s">
        <v>3103</v>
      </c>
      <c r="AR26" s="399"/>
      <c r="AS26" s="399"/>
      <c r="AT26" s="399"/>
      <c r="AU26" s="399" t="s">
        <v>3264</v>
      </c>
      <c r="AV26" s="399" t="str">
        <f t="shared" si="6"/>
        <v>Same</v>
      </c>
      <c r="AW26" s="399"/>
      <c r="AX26" s="409" t="s">
        <v>3104</v>
      </c>
      <c r="AY26" s="399" t="str">
        <f t="shared" si="7"/>
        <v/>
      </c>
      <c r="AZ26" s="409" t="s">
        <v>3105</v>
      </c>
      <c r="BA26" s="409">
        <v>1</v>
      </c>
      <c r="BB26" s="399"/>
      <c r="BC26" s="399"/>
      <c r="BD26" s="399"/>
      <c r="BE26" s="411"/>
      <c r="BF26" s="411"/>
      <c r="BG26" s="411"/>
      <c r="BH26" s="411"/>
      <c r="BI26" s="411"/>
      <c r="BJ26" s="399" t="s">
        <v>3106</v>
      </c>
      <c r="BK26" s="399"/>
      <c r="BL26" s="399"/>
      <c r="BM26" s="399"/>
      <c r="BN26" s="399"/>
      <c r="BO26" s="399"/>
      <c r="BP26" s="399"/>
      <c r="BQ26" s="399"/>
      <c r="BR26" s="399"/>
      <c r="BS26" s="407"/>
      <c r="BT26" s="407"/>
      <c r="BU26" s="412"/>
      <c r="BV26" s="46" t="str">
        <f t="shared" si="8"/>
        <v>Patient</v>
      </c>
      <c r="BW26" s="46" t="str">
        <f t="shared" si="9"/>
        <v/>
      </c>
      <c r="BX26" s="46" t="str">
        <f t="shared" si="10"/>
        <v>Patient</v>
      </c>
      <c r="BY26" s="43" t="str">
        <f t="shared" si="11"/>
        <v>WHO-Core Patient</v>
      </c>
      <c r="BZ26" s="46">
        <f t="shared" si="12"/>
        <v>1</v>
      </c>
      <c r="CA26" s="46">
        <f t="shared" si="13"/>
        <v>1</v>
      </c>
      <c r="CB26" s="46">
        <f t="shared" si="14"/>
        <v>1</v>
      </c>
      <c r="CC26" s="46">
        <f t="shared" si="15"/>
        <v>1</v>
      </c>
      <c r="CD26" s="46">
        <f t="shared" si="16"/>
        <v>1</v>
      </c>
      <c r="CE26" s="46">
        <f t="shared" si="17"/>
        <v>0</v>
      </c>
      <c r="CF26" s="46">
        <f t="shared" si="18"/>
        <v>0</v>
      </c>
      <c r="CG26" s="46" t="str">
        <f ca="1">IFERROR(__xludf.DUMMYFUNCTION("if(OR(BH26="""",LEFT(BH26,2)=""LA""),"""",IMPORTXML(CONCATENATE(""https://loinc.org/"",BH26,""/""),""//span[@id='lcn']""))"),"")</f>
        <v/>
      </c>
      <c r="CH26" s="46"/>
      <c r="CI26" s="46"/>
      <c r="CJ26" s="46"/>
      <c r="CK26" s="46"/>
      <c r="CL26" s="46"/>
      <c r="CM26" s="46"/>
      <c r="CN26" s="46"/>
      <c r="CO26" s="46"/>
      <c r="CP26" s="46"/>
      <c r="CQ26" s="46"/>
      <c r="CR26" s="46"/>
      <c r="CS26" s="46"/>
      <c r="CT26" s="46"/>
      <c r="CU26" s="46"/>
    </row>
    <row r="27" spans="1:99" ht="12.75" customHeight="1">
      <c r="A27" s="399">
        <v>1252</v>
      </c>
      <c r="B27" s="399" t="s">
        <v>3270</v>
      </c>
      <c r="C27" s="399">
        <f t="shared" si="0"/>
        <v>1252</v>
      </c>
      <c r="D27" s="399" t="e">
        <f t="shared" ca="1" si="1"/>
        <v>#NAME?</v>
      </c>
      <c r="E27" s="399" t="str">
        <f t="shared" si="2"/>
        <v>Unmarried</v>
      </c>
      <c r="F27" s="399" t="str">
        <f t="shared" si="20"/>
        <v>Input Option</v>
      </c>
      <c r="G27" s="400">
        <f t="shared" si="4"/>
        <v>16</v>
      </c>
      <c r="H27" s="399" t="str">
        <f t="shared" si="5"/>
        <v>Marital Status</v>
      </c>
      <c r="I27" s="400"/>
      <c r="J27" s="400"/>
      <c r="K27" s="401" t="s">
        <v>99</v>
      </c>
      <c r="L27" s="402" t="s">
        <v>3093</v>
      </c>
      <c r="M27" s="400"/>
      <c r="N27" s="403" t="s">
        <v>3199</v>
      </c>
      <c r="O27" s="403" t="s">
        <v>3271</v>
      </c>
      <c r="P27" s="404" t="s">
        <v>3186</v>
      </c>
      <c r="Q27" s="407"/>
      <c r="R27" s="404"/>
      <c r="S27" s="403"/>
      <c r="T27" s="407"/>
      <c r="U27" s="407"/>
      <c r="V27" s="407" t="s">
        <v>3272</v>
      </c>
      <c r="W27" s="407"/>
      <c r="X27" s="403"/>
      <c r="Y27" s="403"/>
      <c r="Z27" s="404" t="s">
        <v>113</v>
      </c>
      <c r="AA27" s="403"/>
      <c r="AB27" s="406"/>
      <c r="AC27" s="403"/>
      <c r="AD27" s="403"/>
      <c r="AE27" s="406"/>
      <c r="AF27" s="404"/>
      <c r="AG27" s="403"/>
      <c r="AH27" s="399"/>
      <c r="AI27" s="400"/>
      <c r="AJ27" s="399"/>
      <c r="AK27" s="399"/>
      <c r="AL27" s="399"/>
      <c r="AM27" s="399"/>
      <c r="AN27" s="399"/>
      <c r="AO27" s="399"/>
      <c r="AP27" s="399"/>
      <c r="AQ27" s="409" t="s">
        <v>3130</v>
      </c>
      <c r="AR27" s="399"/>
      <c r="AS27" s="399"/>
      <c r="AT27" s="399"/>
      <c r="AU27" s="399" t="s">
        <v>3270</v>
      </c>
      <c r="AV27" s="399" t="str">
        <f t="shared" si="6"/>
        <v>Same</v>
      </c>
      <c r="AW27" s="399"/>
      <c r="AX27" s="409" t="s">
        <v>3104</v>
      </c>
      <c r="AY27" s="399" t="e">
        <f t="shared" ca="1" si="7"/>
        <v>#NAME?</v>
      </c>
      <c r="AZ27" s="409" t="s">
        <v>3105</v>
      </c>
      <c r="BA27" s="409">
        <v>1</v>
      </c>
      <c r="BB27" s="399" t="s">
        <v>3273</v>
      </c>
      <c r="BC27" s="399" t="s">
        <v>3274</v>
      </c>
      <c r="BD27" s="399"/>
      <c r="BE27" s="411"/>
      <c r="BF27" s="411"/>
      <c r="BG27" s="411"/>
      <c r="BH27" s="411"/>
      <c r="BI27" s="411"/>
      <c r="BJ27" s="399"/>
      <c r="BK27" s="399"/>
      <c r="BL27" s="399"/>
      <c r="BM27" s="399"/>
      <c r="BN27" s="399"/>
      <c r="BO27" s="399">
        <v>5615</v>
      </c>
      <c r="BP27" s="399"/>
      <c r="BQ27" s="399"/>
      <c r="BR27" s="399" t="s">
        <v>3275</v>
      </c>
      <c r="BS27" s="407"/>
      <c r="BT27" s="407"/>
      <c r="BU27" s="412"/>
      <c r="BV27" s="46" t="str">
        <f t="shared" si="8"/>
        <v/>
      </c>
      <c r="BW27" s="46">
        <f t="shared" si="9"/>
        <v>0</v>
      </c>
      <c r="BX27" s="46">
        <f t="shared" si="10"/>
        <v>0</v>
      </c>
      <c r="BY27" s="43" t="str">
        <f t="shared" si="11"/>
        <v>WHO-Core Patient</v>
      </c>
      <c r="BZ27" s="46">
        <f t="shared" si="12"/>
        <v>1</v>
      </c>
      <c r="CA27" s="46" t="str">
        <f t="shared" si="13"/>
        <v/>
      </c>
      <c r="CB27" s="46">
        <f t="shared" si="14"/>
        <v>1</v>
      </c>
      <c r="CC27" s="46">
        <f t="shared" si="15"/>
        <v>1</v>
      </c>
      <c r="CD27" s="46">
        <f t="shared" si="16"/>
        <v>1</v>
      </c>
      <c r="CE27" s="46">
        <f t="shared" si="17"/>
        <v>0</v>
      </c>
      <c r="CF27" s="46">
        <f t="shared" si="18"/>
        <v>0</v>
      </c>
      <c r="CG27" s="46" t="str">
        <f ca="1">IFERROR(__xludf.DUMMYFUNCTION("if(OR(BH27="""",LEFT(BH27,2)=""LA""),"""",IMPORTXML(CONCATENATE(""https://loinc.org/"",BH27,""/""),""//span[@id='lcn']""))"),"")</f>
        <v/>
      </c>
      <c r="CH27" s="46"/>
      <c r="CI27" s="46"/>
      <c r="CJ27" s="46"/>
      <c r="CK27" s="46"/>
      <c r="CL27" s="46"/>
      <c r="CM27" s="46"/>
      <c r="CN27" s="46"/>
      <c r="CO27" s="46"/>
      <c r="CP27" s="46"/>
      <c r="CQ27" s="46"/>
      <c r="CR27" s="46"/>
      <c r="CS27" s="46"/>
      <c r="CT27" s="46"/>
      <c r="CU27" s="46"/>
    </row>
    <row r="28" spans="1:99" ht="12.75" customHeight="1">
      <c r="A28" s="399">
        <v>1253</v>
      </c>
      <c r="B28" s="399" t="s">
        <v>3276</v>
      </c>
      <c r="C28" s="399">
        <f t="shared" si="0"/>
        <v>1253</v>
      </c>
      <c r="D28" s="399" t="e">
        <f t="shared" ca="1" si="1"/>
        <v>#NAME?</v>
      </c>
      <c r="E28" s="399" t="str">
        <f t="shared" si="2"/>
        <v>Married</v>
      </c>
      <c r="F28" s="399" t="str">
        <f t="shared" si="20"/>
        <v>Input Option</v>
      </c>
      <c r="G28" s="400">
        <f t="shared" si="4"/>
        <v>14</v>
      </c>
      <c r="H28" s="399" t="str">
        <f t="shared" si="5"/>
        <v>Marital Status</v>
      </c>
      <c r="I28" s="400"/>
      <c r="J28" s="400"/>
      <c r="K28" s="401" t="s">
        <v>99</v>
      </c>
      <c r="L28" s="402" t="s">
        <v>3093</v>
      </c>
      <c r="M28" s="400"/>
      <c r="N28" s="403" t="s">
        <v>3199</v>
      </c>
      <c r="O28" s="403" t="s">
        <v>3277</v>
      </c>
      <c r="P28" s="404" t="s">
        <v>3194</v>
      </c>
      <c r="Q28" s="407"/>
      <c r="R28" s="404"/>
      <c r="S28" s="403" t="s">
        <v>3278</v>
      </c>
      <c r="T28" s="407"/>
      <c r="U28" s="407"/>
      <c r="V28" s="407" t="s">
        <v>3279</v>
      </c>
      <c r="W28" s="407"/>
      <c r="X28" s="403"/>
      <c r="Y28" s="403"/>
      <c r="Z28" s="404" t="s">
        <v>113</v>
      </c>
      <c r="AA28" s="403"/>
      <c r="AB28" s="406"/>
      <c r="AC28" s="403"/>
      <c r="AD28" s="403"/>
      <c r="AE28" s="406"/>
      <c r="AF28" s="404"/>
      <c r="AG28" s="403"/>
      <c r="AH28" s="399"/>
      <c r="AI28" s="400"/>
      <c r="AJ28" s="399"/>
      <c r="AK28" s="399"/>
      <c r="AL28" s="399"/>
      <c r="AM28" s="399"/>
      <c r="AN28" s="399"/>
      <c r="AO28" s="399"/>
      <c r="AP28" s="399"/>
      <c r="AQ28" s="409" t="s">
        <v>3130</v>
      </c>
      <c r="AR28" s="399"/>
      <c r="AS28" s="399"/>
      <c r="AT28" s="399"/>
      <c r="AU28" s="399" t="s">
        <v>3276</v>
      </c>
      <c r="AV28" s="399" t="str">
        <f t="shared" si="6"/>
        <v>Same</v>
      </c>
      <c r="AW28" s="399"/>
      <c r="AX28" s="409" t="s">
        <v>3104</v>
      </c>
      <c r="AY28" s="399" t="e">
        <f t="shared" ca="1" si="7"/>
        <v>#NAME?</v>
      </c>
      <c r="AZ28" s="409" t="s">
        <v>3105</v>
      </c>
      <c r="BA28" s="409">
        <v>1</v>
      </c>
      <c r="BB28" s="399" t="s">
        <v>3273</v>
      </c>
      <c r="BC28" s="399" t="s">
        <v>3280</v>
      </c>
      <c r="BD28" s="399"/>
      <c r="BE28" s="411"/>
      <c r="BF28" s="411"/>
      <c r="BG28" s="411"/>
      <c r="BH28" s="411"/>
      <c r="BI28" s="411"/>
      <c r="BJ28" s="399"/>
      <c r="BK28" s="399"/>
      <c r="BL28" s="399"/>
      <c r="BM28" s="399"/>
      <c r="BN28" s="399"/>
      <c r="BO28" s="399">
        <v>1055</v>
      </c>
      <c r="BP28" s="399"/>
      <c r="BQ28" s="399"/>
      <c r="BR28" s="399" t="s">
        <v>3281</v>
      </c>
      <c r="BS28" s="407"/>
      <c r="BT28" s="407"/>
      <c r="BU28" s="412"/>
      <c r="BV28" s="46" t="str">
        <f t="shared" si="8"/>
        <v/>
      </c>
      <c r="BW28" s="46">
        <f t="shared" si="9"/>
        <v>0</v>
      </c>
      <c r="BX28" s="46">
        <f t="shared" si="10"/>
        <v>0</v>
      </c>
      <c r="BY28" s="43" t="str">
        <f t="shared" si="11"/>
        <v>WHO-Core Patient</v>
      </c>
      <c r="BZ28" s="46">
        <f t="shared" si="12"/>
        <v>1</v>
      </c>
      <c r="CA28" s="46" t="str">
        <f t="shared" si="13"/>
        <v/>
      </c>
      <c r="CB28" s="46">
        <f t="shared" si="14"/>
        <v>1</v>
      </c>
      <c r="CC28" s="46">
        <f t="shared" si="15"/>
        <v>1</v>
      </c>
      <c r="CD28" s="46">
        <f t="shared" si="16"/>
        <v>1</v>
      </c>
      <c r="CE28" s="46">
        <f t="shared" si="17"/>
        <v>0</v>
      </c>
      <c r="CF28" s="46">
        <f t="shared" si="18"/>
        <v>0</v>
      </c>
      <c r="CG28" s="46" t="str">
        <f ca="1">IFERROR(__xludf.DUMMYFUNCTION("if(OR(BH28="""",LEFT(BH28,2)=""LA""),"""",IMPORTXML(CONCATENATE(""https://loinc.org/"",BH28,""/""),""//span[@id='lcn']""))"),"")</f>
        <v/>
      </c>
      <c r="CH28" s="46"/>
      <c r="CI28" s="46"/>
      <c r="CJ28" s="46"/>
      <c r="CK28" s="46"/>
      <c r="CL28" s="46"/>
      <c r="CM28" s="46"/>
      <c r="CN28" s="46"/>
      <c r="CO28" s="46"/>
      <c r="CP28" s="46"/>
      <c r="CQ28" s="46"/>
      <c r="CR28" s="46"/>
      <c r="CS28" s="46"/>
      <c r="CT28" s="46"/>
      <c r="CU28" s="46"/>
    </row>
    <row r="29" spans="1:99" ht="12.75" customHeight="1">
      <c r="A29" s="399">
        <v>1254</v>
      </c>
      <c r="B29" s="399" t="s">
        <v>3282</v>
      </c>
      <c r="C29" s="399">
        <f t="shared" si="0"/>
        <v>1254</v>
      </c>
      <c r="D29" s="399" t="e">
        <f t="shared" ca="1" si="1"/>
        <v>#NAME?</v>
      </c>
      <c r="E29" s="399" t="str">
        <f t="shared" si="2"/>
        <v xml:space="preserve">Divorced </v>
      </c>
      <c r="F29" s="399" t="str">
        <f t="shared" si="20"/>
        <v>Input Option</v>
      </c>
      <c r="G29" s="400">
        <f t="shared" si="4"/>
        <v>16</v>
      </c>
      <c r="H29" s="399" t="str">
        <f t="shared" si="5"/>
        <v>Marital Status</v>
      </c>
      <c r="I29" s="400"/>
      <c r="J29" s="400"/>
      <c r="K29" s="401" t="s">
        <v>99</v>
      </c>
      <c r="L29" s="402" t="s">
        <v>3093</v>
      </c>
      <c r="M29" s="400"/>
      <c r="N29" s="403" t="s">
        <v>3199</v>
      </c>
      <c r="O29" s="403" t="s">
        <v>3283</v>
      </c>
      <c r="P29" s="404" t="s">
        <v>3284</v>
      </c>
      <c r="Q29" s="407"/>
      <c r="R29" s="404"/>
      <c r="S29" s="403"/>
      <c r="T29" s="407"/>
      <c r="U29" s="407"/>
      <c r="V29" s="407" t="s">
        <v>3285</v>
      </c>
      <c r="W29" s="407"/>
      <c r="X29" s="403"/>
      <c r="Y29" s="403"/>
      <c r="Z29" s="404" t="s">
        <v>113</v>
      </c>
      <c r="AA29" s="403"/>
      <c r="AB29" s="406"/>
      <c r="AC29" s="403"/>
      <c r="AD29" s="403"/>
      <c r="AE29" s="406"/>
      <c r="AF29" s="404"/>
      <c r="AG29" s="403"/>
      <c r="AH29" s="399"/>
      <c r="AI29" s="400"/>
      <c r="AJ29" s="399"/>
      <c r="AK29" s="399"/>
      <c r="AL29" s="399"/>
      <c r="AM29" s="399"/>
      <c r="AN29" s="399"/>
      <c r="AO29" s="399"/>
      <c r="AP29" s="399"/>
      <c r="AQ29" s="409" t="s">
        <v>3130</v>
      </c>
      <c r="AR29" s="399"/>
      <c r="AS29" s="399"/>
      <c r="AT29" s="399"/>
      <c r="AU29" s="399" t="s">
        <v>3282</v>
      </c>
      <c r="AV29" s="399" t="str">
        <f t="shared" si="6"/>
        <v>Same</v>
      </c>
      <c r="AW29" s="399"/>
      <c r="AX29" s="409" t="s">
        <v>3104</v>
      </c>
      <c r="AY29" s="399" t="e">
        <f t="shared" ca="1" si="7"/>
        <v>#NAME?</v>
      </c>
      <c r="AZ29" s="409" t="s">
        <v>3105</v>
      </c>
      <c r="BA29" s="409">
        <v>1</v>
      </c>
      <c r="BB29" s="399" t="s">
        <v>3273</v>
      </c>
      <c r="BC29" s="399" t="s">
        <v>3286</v>
      </c>
      <c r="BD29" s="399"/>
      <c r="BE29" s="411"/>
      <c r="BF29" s="411"/>
      <c r="BG29" s="411"/>
      <c r="BH29" s="411"/>
      <c r="BI29" s="411"/>
      <c r="BJ29" s="399"/>
      <c r="BK29" s="399"/>
      <c r="BL29" s="399"/>
      <c r="BM29" s="399"/>
      <c r="BN29" s="399"/>
      <c r="BO29" s="399">
        <v>1058</v>
      </c>
      <c r="BP29" s="399"/>
      <c r="BQ29" s="399"/>
      <c r="BR29" s="399" t="s">
        <v>3287</v>
      </c>
      <c r="BS29" s="407"/>
      <c r="BT29" s="407"/>
      <c r="BU29" s="412"/>
      <c r="BV29" s="46" t="str">
        <f t="shared" si="8"/>
        <v/>
      </c>
      <c r="BW29" s="46">
        <f t="shared" si="9"/>
        <v>0</v>
      </c>
      <c r="BX29" s="46">
        <f t="shared" si="10"/>
        <v>0</v>
      </c>
      <c r="BY29" s="43" t="str">
        <f t="shared" si="11"/>
        <v>WHO-Core Patient</v>
      </c>
      <c r="BZ29" s="46">
        <f t="shared" si="12"/>
        <v>1</v>
      </c>
      <c r="CA29" s="46" t="str">
        <f t="shared" si="13"/>
        <v/>
      </c>
      <c r="CB29" s="46">
        <f t="shared" si="14"/>
        <v>1</v>
      </c>
      <c r="CC29" s="46">
        <f t="shared" si="15"/>
        <v>1</v>
      </c>
      <c r="CD29" s="46">
        <f t="shared" si="16"/>
        <v>1</v>
      </c>
      <c r="CE29" s="46">
        <f t="shared" si="17"/>
        <v>0</v>
      </c>
      <c r="CF29" s="46">
        <f t="shared" si="18"/>
        <v>0</v>
      </c>
      <c r="CG29" s="46" t="str">
        <f ca="1">IFERROR(__xludf.DUMMYFUNCTION("if(OR(BH29="""",LEFT(BH29,2)=""LA""),"""",IMPORTXML(CONCATENATE(""https://loinc.org/"",BH29,""/""),""//span[@id='lcn']""))"),"")</f>
        <v/>
      </c>
      <c r="CH29" s="46"/>
      <c r="CI29" s="46"/>
      <c r="CJ29" s="46"/>
      <c r="CK29" s="46"/>
      <c r="CL29" s="46"/>
      <c r="CM29" s="46"/>
      <c r="CN29" s="46"/>
      <c r="CO29" s="46"/>
      <c r="CP29" s="46"/>
      <c r="CQ29" s="46"/>
      <c r="CR29" s="46"/>
      <c r="CS29" s="46"/>
      <c r="CT29" s="46"/>
      <c r="CU29" s="46"/>
    </row>
    <row r="30" spans="1:99" ht="12.75" customHeight="1">
      <c r="A30" s="399">
        <v>1255</v>
      </c>
      <c r="B30" s="399" t="s">
        <v>3288</v>
      </c>
      <c r="C30" s="399">
        <f t="shared" si="0"/>
        <v>1255</v>
      </c>
      <c r="D30" s="399" t="e">
        <f t="shared" ca="1" si="1"/>
        <v>#NAME?</v>
      </c>
      <c r="E30" s="399" t="str">
        <f t="shared" si="2"/>
        <v xml:space="preserve">Widowed
</v>
      </c>
      <c r="F30" s="399" t="str">
        <f t="shared" si="20"/>
        <v>Input Option</v>
      </c>
      <c r="G30" s="400">
        <f t="shared" si="4"/>
        <v>15</v>
      </c>
      <c r="H30" s="399" t="str">
        <f t="shared" si="5"/>
        <v>Marital Status</v>
      </c>
      <c r="I30" s="400"/>
      <c r="J30" s="400"/>
      <c r="K30" s="401" t="s">
        <v>99</v>
      </c>
      <c r="L30" s="402" t="s">
        <v>3093</v>
      </c>
      <c r="M30" s="400"/>
      <c r="N30" s="403" t="s">
        <v>3199</v>
      </c>
      <c r="O30" s="403" t="s">
        <v>3289</v>
      </c>
      <c r="P30" s="404" t="s">
        <v>3290</v>
      </c>
      <c r="Q30" s="407"/>
      <c r="R30" s="404"/>
      <c r="S30" s="403"/>
      <c r="T30" s="407"/>
      <c r="U30" s="407"/>
      <c r="V30" s="407" t="s">
        <v>3291</v>
      </c>
      <c r="W30" s="407"/>
      <c r="X30" s="403"/>
      <c r="Y30" s="403"/>
      <c r="Z30" s="404" t="s">
        <v>113</v>
      </c>
      <c r="AA30" s="403"/>
      <c r="AB30" s="406"/>
      <c r="AC30" s="403"/>
      <c r="AD30" s="403"/>
      <c r="AE30" s="406"/>
      <c r="AF30" s="404"/>
      <c r="AG30" s="403"/>
      <c r="AH30" s="399"/>
      <c r="AI30" s="400"/>
      <c r="AJ30" s="399"/>
      <c r="AK30" s="399"/>
      <c r="AL30" s="399"/>
      <c r="AM30" s="399"/>
      <c r="AN30" s="399"/>
      <c r="AO30" s="399"/>
      <c r="AP30" s="399"/>
      <c r="AQ30" s="409" t="s">
        <v>3130</v>
      </c>
      <c r="AR30" s="399"/>
      <c r="AS30" s="399"/>
      <c r="AT30" s="399"/>
      <c r="AU30" s="399" t="s">
        <v>3288</v>
      </c>
      <c r="AV30" s="399" t="str">
        <f t="shared" si="6"/>
        <v>Same</v>
      </c>
      <c r="AW30" s="399"/>
      <c r="AX30" s="409" t="s">
        <v>3104</v>
      </c>
      <c r="AY30" s="399" t="e">
        <f t="shared" ca="1" si="7"/>
        <v>#NAME?</v>
      </c>
      <c r="AZ30" s="409" t="s">
        <v>3105</v>
      </c>
      <c r="BA30" s="409">
        <v>1</v>
      </c>
      <c r="BB30" s="399" t="s">
        <v>3273</v>
      </c>
      <c r="BC30" s="399" t="s">
        <v>3292</v>
      </c>
      <c r="BD30" s="399"/>
      <c r="BE30" s="411"/>
      <c r="BF30" s="411"/>
      <c r="BG30" s="411"/>
      <c r="BH30" s="411"/>
      <c r="BI30" s="411"/>
      <c r="BJ30" s="399"/>
      <c r="BK30" s="399"/>
      <c r="BL30" s="399"/>
      <c r="BM30" s="399"/>
      <c r="BN30" s="399"/>
      <c r="BO30" s="399">
        <v>1059</v>
      </c>
      <c r="BP30" s="399"/>
      <c r="BQ30" s="399"/>
      <c r="BR30" s="399" t="s">
        <v>3293</v>
      </c>
      <c r="BS30" s="407"/>
      <c r="BT30" s="407"/>
      <c r="BU30" s="412"/>
      <c r="BV30" s="46" t="str">
        <f t="shared" si="8"/>
        <v/>
      </c>
      <c r="BW30" s="46">
        <f t="shared" si="9"/>
        <v>0</v>
      </c>
      <c r="BX30" s="46">
        <f t="shared" si="10"/>
        <v>0</v>
      </c>
      <c r="BY30" s="43" t="str">
        <f t="shared" si="11"/>
        <v>WHO-Core Patient</v>
      </c>
      <c r="BZ30" s="46">
        <f t="shared" si="12"/>
        <v>1</v>
      </c>
      <c r="CA30" s="46" t="str">
        <f t="shared" si="13"/>
        <v/>
      </c>
      <c r="CB30" s="46">
        <f t="shared" si="14"/>
        <v>1</v>
      </c>
      <c r="CC30" s="46">
        <f t="shared" si="15"/>
        <v>1</v>
      </c>
      <c r="CD30" s="46">
        <f t="shared" si="16"/>
        <v>1</v>
      </c>
      <c r="CE30" s="46">
        <f t="shared" si="17"/>
        <v>0</v>
      </c>
      <c r="CF30" s="46">
        <f t="shared" si="18"/>
        <v>0</v>
      </c>
      <c r="CG30" s="46" t="str">
        <f ca="1">IFERROR(__xludf.DUMMYFUNCTION("if(OR(BH30="""",LEFT(BH30,2)=""LA""),"""",IMPORTXML(CONCATENATE(""https://loinc.org/"",BH30,""/""),""//span[@id='lcn']""))"),"")</f>
        <v/>
      </c>
      <c r="CH30" s="46"/>
      <c r="CI30" s="46"/>
      <c r="CJ30" s="46"/>
      <c r="CK30" s="46"/>
      <c r="CL30" s="46"/>
      <c r="CM30" s="46"/>
      <c r="CN30" s="46"/>
      <c r="CO30" s="46"/>
      <c r="CP30" s="46"/>
      <c r="CQ30" s="46"/>
      <c r="CR30" s="46"/>
      <c r="CS30" s="46"/>
      <c r="CT30" s="46"/>
      <c r="CU30" s="46"/>
    </row>
    <row r="31" spans="1:99" ht="12.75" customHeight="1">
      <c r="A31" s="399">
        <v>1256</v>
      </c>
      <c r="B31" s="399" t="s">
        <v>1162</v>
      </c>
      <c r="C31" s="399">
        <f t="shared" si="0"/>
        <v>1256</v>
      </c>
      <c r="D31" s="399" t="e">
        <f t="shared" ca="1" si="1"/>
        <v>#NAME?</v>
      </c>
      <c r="E31" s="399" t="str">
        <f t="shared" si="2"/>
        <v>Unknown</v>
      </c>
      <c r="F31" s="399" t="str">
        <f t="shared" si="20"/>
        <v>Input Option</v>
      </c>
      <c r="G31" s="400">
        <f t="shared" si="4"/>
        <v>14</v>
      </c>
      <c r="H31" s="399" t="str">
        <f t="shared" si="5"/>
        <v>Marital Status</v>
      </c>
      <c r="I31" s="400"/>
      <c r="J31" s="400"/>
      <c r="K31" s="401" t="s">
        <v>99</v>
      </c>
      <c r="L31" s="402" t="s">
        <v>3093</v>
      </c>
      <c r="M31" s="400"/>
      <c r="N31" s="403" t="s">
        <v>3199</v>
      </c>
      <c r="O31" s="403" t="s">
        <v>3294</v>
      </c>
      <c r="P31" s="404" t="s">
        <v>3295</v>
      </c>
      <c r="Q31" s="407"/>
      <c r="R31" s="404"/>
      <c r="S31" s="403"/>
      <c r="T31" s="407"/>
      <c r="U31" s="407"/>
      <c r="V31" s="407" t="s">
        <v>936</v>
      </c>
      <c r="W31" s="407"/>
      <c r="X31" s="403"/>
      <c r="Y31" s="403"/>
      <c r="Z31" s="404" t="s">
        <v>113</v>
      </c>
      <c r="AA31" s="403"/>
      <c r="AB31" s="406"/>
      <c r="AC31" s="403"/>
      <c r="AD31" s="403"/>
      <c r="AE31" s="406"/>
      <c r="AF31" s="404"/>
      <c r="AG31" s="403"/>
      <c r="AH31" s="399"/>
      <c r="AI31" s="400"/>
      <c r="AJ31" s="399"/>
      <c r="AK31" s="399"/>
      <c r="AL31" s="399"/>
      <c r="AM31" s="399"/>
      <c r="AN31" s="399"/>
      <c r="AO31" s="399"/>
      <c r="AP31" s="399"/>
      <c r="AQ31" s="409" t="s">
        <v>3130</v>
      </c>
      <c r="AR31" s="399"/>
      <c r="AS31" s="399"/>
      <c r="AT31" s="399"/>
      <c r="AU31" s="399" t="s">
        <v>1162</v>
      </c>
      <c r="AV31" s="399" t="str">
        <f t="shared" si="6"/>
        <v>Same</v>
      </c>
      <c r="AW31" s="399"/>
      <c r="AX31" s="409" t="s">
        <v>3104</v>
      </c>
      <c r="AY31" s="399" t="e">
        <f t="shared" ca="1" si="7"/>
        <v>#NAME?</v>
      </c>
      <c r="AZ31" s="409" t="s">
        <v>3105</v>
      </c>
      <c r="BA31" s="409">
        <v>1</v>
      </c>
      <c r="BB31" s="399" t="s">
        <v>3273</v>
      </c>
      <c r="BC31" s="399" t="s">
        <v>3296</v>
      </c>
      <c r="BD31" s="399"/>
      <c r="BE31" s="411"/>
      <c r="BF31" s="411"/>
      <c r="BG31" s="411"/>
      <c r="BH31" s="411"/>
      <c r="BI31" s="411"/>
      <c r="BJ31" s="399"/>
      <c r="BK31" s="399"/>
      <c r="BL31" s="399"/>
      <c r="BM31" s="399"/>
      <c r="BN31" s="399"/>
      <c r="BO31" s="399"/>
      <c r="BP31" s="399"/>
      <c r="BQ31" s="399"/>
      <c r="BR31" s="399"/>
      <c r="BS31" s="407"/>
      <c r="BT31" s="407"/>
      <c r="BU31" s="412"/>
      <c r="BV31" s="46" t="str">
        <f t="shared" si="8"/>
        <v/>
      </c>
      <c r="BW31" s="46">
        <f t="shared" si="9"/>
        <v>0</v>
      </c>
      <c r="BX31" s="46">
        <f t="shared" si="10"/>
        <v>0</v>
      </c>
      <c r="BY31" s="43" t="str">
        <f t="shared" si="11"/>
        <v>WHO-Core Patient</v>
      </c>
      <c r="BZ31" s="46">
        <f t="shared" si="12"/>
        <v>1</v>
      </c>
      <c r="CA31" s="46" t="str">
        <f t="shared" si="13"/>
        <v/>
      </c>
      <c r="CB31" s="46">
        <f t="shared" si="14"/>
        <v>1</v>
      </c>
      <c r="CC31" s="46">
        <f t="shared" si="15"/>
        <v>1</v>
      </c>
      <c r="CD31" s="46">
        <f t="shared" si="16"/>
        <v>1</v>
      </c>
      <c r="CE31" s="46">
        <f t="shared" si="17"/>
        <v>0</v>
      </c>
      <c r="CF31" s="46">
        <f t="shared" si="18"/>
        <v>0</v>
      </c>
      <c r="CG31" s="46" t="str">
        <f ca="1">IFERROR(__xludf.DUMMYFUNCTION("if(OR(BH31="""",LEFT(BH31,2)=""LA""),"""",IMPORTXML(CONCATENATE(""https://loinc.org/"",BH31,""/""),""//span[@id='lcn']""))"),"")</f>
        <v/>
      </c>
      <c r="CH31" s="46"/>
      <c r="CI31" s="46"/>
      <c r="CJ31" s="46"/>
      <c r="CK31" s="46"/>
      <c r="CL31" s="46"/>
      <c r="CM31" s="46"/>
      <c r="CN31" s="46"/>
      <c r="CO31" s="46"/>
      <c r="CP31" s="46"/>
      <c r="CQ31" s="46"/>
      <c r="CR31" s="46"/>
      <c r="CS31" s="46"/>
      <c r="CT31" s="46"/>
      <c r="CU31" s="46"/>
    </row>
    <row r="32" spans="1:99" ht="12.75" customHeight="1">
      <c r="A32" s="409">
        <v>1844</v>
      </c>
      <c r="B32" s="409" t="s">
        <v>3297</v>
      </c>
      <c r="C32" s="399">
        <f t="shared" si="0"/>
        <v>1844</v>
      </c>
      <c r="D32" s="399" t="str">
        <f t="shared" si="1"/>
        <v>[Administrative Area]</v>
      </c>
      <c r="E32" s="399" t="str">
        <f t="shared" si="2"/>
        <v>[Administrative Area]</v>
      </c>
      <c r="F32" s="399" t="str">
        <f t="shared" si="20"/>
        <v>Data Element</v>
      </c>
      <c r="G32" s="400">
        <f t="shared" si="4"/>
        <v>19</v>
      </c>
      <c r="H32" s="400" t="str">
        <f t="shared" si="5"/>
        <v/>
      </c>
      <c r="I32" s="400"/>
      <c r="J32" s="400"/>
      <c r="K32" s="401" t="s">
        <v>99</v>
      </c>
      <c r="L32" s="402" t="s">
        <v>3093</v>
      </c>
      <c r="M32" s="400"/>
      <c r="N32" s="403" t="s">
        <v>3199</v>
      </c>
      <c r="O32" s="404" t="s">
        <v>3298</v>
      </c>
      <c r="P32" s="404" t="s">
        <v>3299</v>
      </c>
      <c r="Q32" s="404" t="s">
        <v>3300</v>
      </c>
      <c r="R32" s="404"/>
      <c r="S32" s="403" t="s">
        <v>3301</v>
      </c>
      <c r="T32" s="424" t="s">
        <v>111</v>
      </c>
      <c r="U32" s="404"/>
      <c r="V32" s="404"/>
      <c r="W32" s="404"/>
      <c r="X32" s="404"/>
      <c r="Y32" s="404"/>
      <c r="Z32" s="404" t="s">
        <v>113</v>
      </c>
      <c r="AA32" s="404" t="s">
        <v>3098</v>
      </c>
      <c r="AB32" s="406"/>
      <c r="AC32" s="404"/>
      <c r="AD32" s="404"/>
      <c r="AE32" s="406"/>
      <c r="AF32" s="403"/>
      <c r="AG32" s="404"/>
      <c r="AH32" s="399"/>
      <c r="AI32" s="400"/>
      <c r="AJ32" s="399" t="s">
        <v>1787</v>
      </c>
      <c r="AK32" s="409" t="s">
        <v>3302</v>
      </c>
      <c r="AL32" s="409"/>
      <c r="AM32" s="409" t="s">
        <v>3100</v>
      </c>
      <c r="AN32" s="409" t="s">
        <v>3101</v>
      </c>
      <c r="AO32" s="399" t="s">
        <v>1787</v>
      </c>
      <c r="AP32" s="409" t="s">
        <v>3102</v>
      </c>
      <c r="AQ32" s="409" t="s">
        <v>3103</v>
      </c>
      <c r="AR32" s="399"/>
      <c r="AS32" s="399"/>
      <c r="AT32" s="399"/>
      <c r="AU32" s="399"/>
      <c r="AV32" s="399" t="str">
        <f t="shared" si="6"/>
        <v/>
      </c>
      <c r="AW32" s="399"/>
      <c r="AX32" s="409" t="s">
        <v>3104</v>
      </c>
      <c r="AY32" s="399" t="str">
        <f t="shared" si="7"/>
        <v>"[Administrative Area]"-&gt;"Administrative Area"</v>
      </c>
      <c r="AZ32" s="409" t="s">
        <v>3105</v>
      </c>
      <c r="BA32" s="409">
        <v>1</v>
      </c>
      <c r="BB32" s="399"/>
      <c r="BC32" s="399" t="s">
        <v>1787</v>
      </c>
      <c r="BD32" s="399" t="s">
        <v>1787</v>
      </c>
      <c r="BE32" s="411"/>
      <c r="BF32" s="411" t="s">
        <v>1787</v>
      </c>
      <c r="BG32" s="411"/>
      <c r="BH32" s="411"/>
      <c r="BI32" s="411"/>
      <c r="BJ32" s="409" t="s">
        <v>3106</v>
      </c>
      <c r="BK32" s="399" t="s">
        <v>1787</v>
      </c>
      <c r="BL32" s="399"/>
      <c r="BM32" s="399" t="s">
        <v>1787</v>
      </c>
      <c r="BN32" s="399" t="s">
        <v>1787</v>
      </c>
      <c r="BO32" s="399" t="s">
        <v>1787</v>
      </c>
      <c r="BP32" s="399" t="s">
        <v>1787</v>
      </c>
      <c r="BQ32" s="399" t="s">
        <v>1787</v>
      </c>
      <c r="BR32" s="399" t="s">
        <v>1787</v>
      </c>
      <c r="BS32" s="407"/>
      <c r="BT32" s="407"/>
      <c r="BU32" s="412"/>
      <c r="BV32" s="46" t="str">
        <f t="shared" si="8"/>
        <v>Patient</v>
      </c>
      <c r="BW32" s="46" t="str">
        <f t="shared" si="9"/>
        <v/>
      </c>
      <c r="BX32" s="46" t="str">
        <f t="shared" si="10"/>
        <v>Patient</v>
      </c>
      <c r="BY32" s="43" t="str">
        <f t="shared" si="11"/>
        <v>WHO-Core Patient</v>
      </c>
      <c r="BZ32" s="46">
        <f t="shared" si="12"/>
        <v>1</v>
      </c>
      <c r="CA32" s="46">
        <f t="shared" si="13"/>
        <v>0</v>
      </c>
      <c r="CB32" s="46">
        <f t="shared" si="14"/>
        <v>1</v>
      </c>
      <c r="CC32" s="46">
        <f t="shared" si="15"/>
        <v>1</v>
      </c>
      <c r="CD32" s="46">
        <f t="shared" si="16"/>
        <v>1</v>
      </c>
      <c r="CE32" s="46">
        <f t="shared" si="17"/>
        <v>0</v>
      </c>
      <c r="CF32" s="46">
        <f t="shared" si="18"/>
        <v>0</v>
      </c>
      <c r="CG32" s="46" t="str">
        <f ca="1">IFERROR(__xludf.DUMMYFUNCTION("if(OR(BH32="""",LEFT(BH32,2)=""LA""),"""",IMPORTXML(CONCATENATE(""https://loinc.org/"",BH32,""/""),""//span[@id='lcn']""))"),"")</f>
        <v/>
      </c>
      <c r="CH32" s="46"/>
      <c r="CI32" s="46"/>
      <c r="CJ32" s="46"/>
      <c r="CK32" s="46"/>
      <c r="CL32" s="46"/>
      <c r="CM32" s="46"/>
      <c r="CN32" s="46"/>
      <c r="CO32" s="46"/>
      <c r="CP32" s="46"/>
      <c r="CQ32" s="46"/>
      <c r="CR32" s="46"/>
      <c r="CS32" s="46"/>
      <c r="CT32" s="46"/>
      <c r="CU32" s="46"/>
    </row>
    <row r="33" spans="1:99" ht="12.75" customHeight="1">
      <c r="A33" s="399">
        <v>1721</v>
      </c>
      <c r="B33" s="409" t="s">
        <v>3303</v>
      </c>
      <c r="C33" s="399">
        <f t="shared" si="0"/>
        <v>1721</v>
      </c>
      <c r="D33" s="399" t="str">
        <f t="shared" si="1"/>
        <v>Client address</v>
      </c>
      <c r="E33" s="399" t="str">
        <f t="shared" si="2"/>
        <v>Client address</v>
      </c>
      <c r="F33" s="399" t="str">
        <f t="shared" si="20"/>
        <v>Data Element</v>
      </c>
      <c r="G33" s="400">
        <f t="shared" si="4"/>
        <v>19</v>
      </c>
      <c r="H33" s="400" t="str">
        <f t="shared" si="5"/>
        <v/>
      </c>
      <c r="I33" s="400"/>
      <c r="J33" s="400"/>
      <c r="K33" s="401" t="s">
        <v>99</v>
      </c>
      <c r="L33" s="402" t="s">
        <v>3093</v>
      </c>
      <c r="M33" s="400"/>
      <c r="N33" s="403" t="s">
        <v>3199</v>
      </c>
      <c r="O33" s="404" t="s">
        <v>3304</v>
      </c>
      <c r="P33" s="404" t="s">
        <v>3305</v>
      </c>
      <c r="Q33" s="404" t="s">
        <v>3306</v>
      </c>
      <c r="R33" s="404"/>
      <c r="S33" s="403"/>
      <c r="T33" s="404" t="s">
        <v>111</v>
      </c>
      <c r="U33" s="404"/>
      <c r="V33" s="404"/>
      <c r="W33" s="404"/>
      <c r="X33" s="404"/>
      <c r="Y33" s="404"/>
      <c r="Z33" s="404" t="s">
        <v>113</v>
      </c>
      <c r="AA33" s="404" t="s">
        <v>1889</v>
      </c>
      <c r="AB33" s="406"/>
      <c r="AC33" s="404"/>
      <c r="AD33" s="404"/>
      <c r="AE33" s="406"/>
      <c r="AF33" s="403"/>
      <c r="AG33" s="404"/>
      <c r="AH33" s="399"/>
      <c r="AI33" s="400"/>
      <c r="AJ33" s="399"/>
      <c r="AK33" s="399" t="s">
        <v>3307</v>
      </c>
      <c r="AL33" s="399"/>
      <c r="AM33" s="399" t="s">
        <v>3100</v>
      </c>
      <c r="AN33" s="399" t="s">
        <v>3101</v>
      </c>
      <c r="AO33" s="399"/>
      <c r="AP33" s="409" t="s">
        <v>3102</v>
      </c>
      <c r="AQ33" s="409" t="s">
        <v>3103</v>
      </c>
      <c r="AR33" s="399"/>
      <c r="AS33" s="399"/>
      <c r="AT33" s="399"/>
      <c r="AU33" s="399" t="s">
        <v>3306</v>
      </c>
      <c r="AV33" s="399" t="str">
        <f t="shared" si="6"/>
        <v>Changed</v>
      </c>
      <c r="AW33" s="399"/>
      <c r="AX33" s="409" t="s">
        <v>3104</v>
      </c>
      <c r="AY33" s="399" t="str">
        <f t="shared" si="7"/>
        <v>"Client address"-&gt;"Client address line"</v>
      </c>
      <c r="AZ33" s="409" t="s">
        <v>3105</v>
      </c>
      <c r="BA33" s="409">
        <v>1</v>
      </c>
      <c r="BB33" s="399"/>
      <c r="BC33" s="399"/>
      <c r="BD33" s="399"/>
      <c r="BE33" s="411"/>
      <c r="BF33" s="411"/>
      <c r="BG33" s="411"/>
      <c r="BH33" s="411"/>
      <c r="BI33" s="411"/>
      <c r="BJ33" s="399" t="s">
        <v>3106</v>
      </c>
      <c r="BK33" s="399"/>
      <c r="BL33" s="399"/>
      <c r="BM33" s="399"/>
      <c r="BN33" s="399"/>
      <c r="BO33" s="399"/>
      <c r="BP33" s="399" t="s">
        <v>115</v>
      </c>
      <c r="BQ33" s="399" t="s">
        <v>192</v>
      </c>
      <c r="BR33" s="399" t="s">
        <v>193</v>
      </c>
      <c r="BS33" s="407"/>
      <c r="BT33" s="407"/>
      <c r="BU33" s="412"/>
      <c r="BV33" s="46" t="str">
        <f t="shared" si="8"/>
        <v>Patient</v>
      </c>
      <c r="BW33" s="46" t="str">
        <f t="shared" si="9"/>
        <v/>
      </c>
      <c r="BX33" s="46" t="str">
        <f t="shared" si="10"/>
        <v>Patient</v>
      </c>
      <c r="BY33" s="43" t="str">
        <f t="shared" si="11"/>
        <v>WHO-Core Patient</v>
      </c>
      <c r="BZ33" s="46">
        <f t="shared" si="12"/>
        <v>1</v>
      </c>
      <c r="CA33" s="46">
        <f t="shared" si="13"/>
        <v>0</v>
      </c>
      <c r="CB33" s="46">
        <f t="shared" si="14"/>
        <v>1</v>
      </c>
      <c r="CC33" s="46">
        <f t="shared" si="15"/>
        <v>1</v>
      </c>
      <c r="CD33" s="46">
        <f t="shared" si="16"/>
        <v>1</v>
      </c>
      <c r="CE33" s="46">
        <f t="shared" si="17"/>
        <v>0</v>
      </c>
      <c r="CF33" s="46">
        <f t="shared" si="18"/>
        <v>0</v>
      </c>
      <c r="CG33" s="46" t="str">
        <f ca="1">IFERROR(__xludf.DUMMYFUNCTION("if(OR(BH33="""",LEFT(BH33,2)=""LA""),"""",IMPORTXML(CONCATENATE(""https://loinc.org/"",BH33,""/""),""//span[@id='lcn']""))"),"")</f>
        <v/>
      </c>
      <c r="CH33" s="46"/>
      <c r="CI33" s="46"/>
      <c r="CJ33" s="46"/>
      <c r="CK33" s="46"/>
      <c r="CL33" s="46"/>
      <c r="CM33" s="46"/>
      <c r="CN33" s="46"/>
      <c r="CO33" s="46"/>
      <c r="CP33" s="46"/>
      <c r="CQ33" s="46"/>
      <c r="CR33" s="46"/>
      <c r="CS33" s="46"/>
      <c r="CT33" s="46"/>
      <c r="CU33" s="46"/>
    </row>
    <row r="34" spans="1:99" ht="12.75" customHeight="1">
      <c r="A34" s="399">
        <v>1729</v>
      </c>
      <c r="B34" s="399" t="s">
        <v>3308</v>
      </c>
      <c r="C34" s="399">
        <f t="shared" si="0"/>
        <v>1729</v>
      </c>
      <c r="D34" s="399" t="str">
        <f t="shared" si="1"/>
        <v>Communication consent</v>
      </c>
      <c r="E34" s="399" t="str">
        <f t="shared" si="2"/>
        <v>Communication consent</v>
      </c>
      <c r="F34" s="399" t="str">
        <f t="shared" si="20"/>
        <v>Data Element</v>
      </c>
      <c r="G34" s="400">
        <f t="shared" si="4"/>
        <v>21</v>
      </c>
      <c r="H34" s="400" t="str">
        <f t="shared" si="5"/>
        <v/>
      </c>
      <c r="I34" s="400"/>
      <c r="J34" s="400"/>
      <c r="K34" s="401" t="s">
        <v>99</v>
      </c>
      <c r="L34" s="402" t="s">
        <v>3093</v>
      </c>
      <c r="M34" s="400"/>
      <c r="N34" s="403" t="s">
        <v>3199</v>
      </c>
      <c r="O34" s="404" t="s">
        <v>3309</v>
      </c>
      <c r="P34" s="404" t="s">
        <v>3310</v>
      </c>
      <c r="Q34" s="404" t="s">
        <v>3308</v>
      </c>
      <c r="R34" s="404"/>
      <c r="S34" s="403" t="s">
        <v>3311</v>
      </c>
      <c r="T34" s="404" t="s">
        <v>3169</v>
      </c>
      <c r="U34" s="404"/>
      <c r="V34" s="404" t="s">
        <v>3170</v>
      </c>
      <c r="W34" s="404"/>
      <c r="X34" s="404"/>
      <c r="Y34" s="404"/>
      <c r="Z34" s="404" t="s">
        <v>113</v>
      </c>
      <c r="AA34" s="404" t="s">
        <v>1889</v>
      </c>
      <c r="AB34" s="425"/>
      <c r="AC34" s="404"/>
      <c r="AD34" s="404"/>
      <c r="AE34" s="406"/>
      <c r="AF34" s="403"/>
      <c r="AG34" s="404"/>
      <c r="AH34" s="399"/>
      <c r="AI34" s="400"/>
      <c r="AJ34" s="399"/>
      <c r="AK34" s="409" t="s">
        <v>3312</v>
      </c>
      <c r="AL34" s="409" t="s">
        <v>3313</v>
      </c>
      <c r="AM34" s="409" t="s">
        <v>3314</v>
      </c>
      <c r="AN34" s="409" t="s">
        <v>3101</v>
      </c>
      <c r="AO34" s="399"/>
      <c r="AP34" s="409" t="s">
        <v>3102</v>
      </c>
      <c r="AQ34" s="409" t="s">
        <v>3103</v>
      </c>
      <c r="AR34" s="399"/>
      <c r="AS34" s="399"/>
      <c r="AT34" s="399"/>
      <c r="AU34" s="399" t="s">
        <v>3308</v>
      </c>
      <c r="AV34" s="399" t="str">
        <f t="shared" si="6"/>
        <v>Same</v>
      </c>
      <c r="AW34" s="399"/>
      <c r="AX34" s="409" t="s">
        <v>3104</v>
      </c>
      <c r="AY34" s="399" t="str">
        <f t="shared" si="7"/>
        <v/>
      </c>
      <c r="AZ34" s="409" t="s">
        <v>3105</v>
      </c>
      <c r="BA34" s="409">
        <v>1</v>
      </c>
      <c r="BB34" s="399"/>
      <c r="BC34" s="399"/>
      <c r="BD34" s="399"/>
      <c r="BE34" s="411"/>
      <c r="BF34" s="411"/>
      <c r="BG34" s="411"/>
      <c r="BH34" s="411"/>
      <c r="BI34" s="411"/>
      <c r="BJ34" s="399" t="s">
        <v>3106</v>
      </c>
      <c r="BK34" s="399"/>
      <c r="BL34" s="399"/>
      <c r="BM34" s="399"/>
      <c r="BN34" s="399"/>
      <c r="BO34" s="399"/>
      <c r="BP34" s="399"/>
      <c r="BQ34" s="399"/>
      <c r="BR34" s="399"/>
      <c r="BS34" s="407"/>
      <c r="BT34" s="407"/>
      <c r="BU34" s="412"/>
      <c r="BV34" s="46" t="str">
        <f t="shared" si="8"/>
        <v>Patient</v>
      </c>
      <c r="BW34" s="46" t="str">
        <f t="shared" si="9"/>
        <v/>
      </c>
      <c r="BX34" s="46" t="str">
        <f t="shared" si="10"/>
        <v>Patient</v>
      </c>
      <c r="BY34" s="43" t="str">
        <f t="shared" si="11"/>
        <v>WHO-Core Patient</v>
      </c>
      <c r="BZ34" s="46">
        <f t="shared" si="12"/>
        <v>1</v>
      </c>
      <c r="CA34" s="46">
        <f t="shared" si="13"/>
        <v>0</v>
      </c>
      <c r="CB34" s="46">
        <f t="shared" si="14"/>
        <v>0</v>
      </c>
      <c r="CC34" s="46">
        <f t="shared" si="15"/>
        <v>0</v>
      </c>
      <c r="CD34" s="46">
        <f t="shared" si="16"/>
        <v>0</v>
      </c>
      <c r="CE34" s="46">
        <f t="shared" si="17"/>
        <v>0</v>
      </c>
      <c r="CF34" s="46">
        <f t="shared" si="18"/>
        <v>1</v>
      </c>
      <c r="CG34" s="46" t="str">
        <f ca="1">IFERROR(__xludf.DUMMYFUNCTION("if(OR(BH34="""",LEFT(BH34,2)=""LA""),"""",IMPORTXML(CONCATENATE(""https://loinc.org/"",BH34,""/""),""//span[@id='lcn']""))"),"")</f>
        <v/>
      </c>
      <c r="CH34" s="46"/>
      <c r="CI34" s="46"/>
      <c r="CJ34" s="46"/>
      <c r="CK34" s="46"/>
      <c r="CL34" s="46"/>
      <c r="CM34" s="46"/>
      <c r="CN34" s="46"/>
      <c r="CO34" s="46"/>
      <c r="CP34" s="46"/>
      <c r="CQ34" s="46"/>
      <c r="CR34" s="46"/>
      <c r="CS34" s="46"/>
      <c r="CT34" s="46"/>
      <c r="CU34" s="46"/>
    </row>
    <row r="35" spans="1:99" ht="12.75" customHeight="1">
      <c r="A35" s="399">
        <v>1730</v>
      </c>
      <c r="B35" s="399" t="s">
        <v>3315</v>
      </c>
      <c r="C35" s="399">
        <f t="shared" si="0"/>
        <v>1730</v>
      </c>
      <c r="D35" s="399" t="str">
        <f t="shared" si="1"/>
        <v>Reminder messages</v>
      </c>
      <c r="E35" s="399" t="str">
        <f t="shared" si="2"/>
        <v>Reminder messages</v>
      </c>
      <c r="F35" s="399" t="str">
        <f t="shared" si="20"/>
        <v>Data Element</v>
      </c>
      <c r="G35" s="400">
        <f t="shared" si="4"/>
        <v>17</v>
      </c>
      <c r="H35" s="400" t="str">
        <f t="shared" si="5"/>
        <v/>
      </c>
      <c r="I35" s="400"/>
      <c r="J35" s="400"/>
      <c r="K35" s="401" t="s">
        <v>99</v>
      </c>
      <c r="L35" s="402" t="s">
        <v>3093</v>
      </c>
      <c r="M35" s="400"/>
      <c r="N35" s="403" t="s">
        <v>3199</v>
      </c>
      <c r="O35" s="404" t="s">
        <v>3316</v>
      </c>
      <c r="P35" s="404" t="s">
        <v>3317</v>
      </c>
      <c r="Q35" s="404" t="s">
        <v>3315</v>
      </c>
      <c r="R35" s="404"/>
      <c r="S35" s="403" t="s">
        <v>3318</v>
      </c>
      <c r="T35" s="404" t="s">
        <v>3169</v>
      </c>
      <c r="U35" s="404"/>
      <c r="V35" s="404" t="s">
        <v>3170</v>
      </c>
      <c r="W35" s="404"/>
      <c r="X35" s="404"/>
      <c r="Y35" s="404"/>
      <c r="Z35" s="404" t="s">
        <v>113</v>
      </c>
      <c r="AA35" s="404" t="s">
        <v>3178</v>
      </c>
      <c r="AB35" s="420" t="s">
        <v>3319</v>
      </c>
      <c r="AC35" s="426"/>
      <c r="AD35" s="404"/>
      <c r="AE35" s="406"/>
      <c r="AF35" s="403"/>
      <c r="AG35" s="404"/>
      <c r="AH35" s="399"/>
      <c r="AI35" s="400"/>
      <c r="AJ35" s="399"/>
      <c r="AK35" s="399" t="s">
        <v>3320</v>
      </c>
      <c r="AL35" s="409" t="s">
        <v>3313</v>
      </c>
      <c r="AM35" s="409" t="s">
        <v>3314</v>
      </c>
      <c r="AN35" s="409" t="s">
        <v>3101</v>
      </c>
      <c r="AO35" s="399"/>
      <c r="AP35" s="409" t="s">
        <v>3102</v>
      </c>
      <c r="AQ35" s="409" t="s">
        <v>3103</v>
      </c>
      <c r="AR35" s="399"/>
      <c r="AS35" s="399"/>
      <c r="AT35" s="399"/>
      <c r="AU35" s="399" t="s">
        <v>3315</v>
      </c>
      <c r="AV35" s="399" t="str">
        <f t="shared" si="6"/>
        <v>Same</v>
      </c>
      <c r="AW35" s="399"/>
      <c r="AX35" s="409" t="s">
        <v>3104</v>
      </c>
      <c r="AY35" s="399" t="str">
        <f t="shared" si="7"/>
        <v/>
      </c>
      <c r="AZ35" s="409" t="s">
        <v>3105</v>
      </c>
      <c r="BA35" s="409">
        <v>1</v>
      </c>
      <c r="BB35" s="399"/>
      <c r="BC35" s="399"/>
      <c r="BD35" s="399"/>
      <c r="BE35" s="411"/>
      <c r="BF35" s="411"/>
      <c r="BG35" s="411"/>
      <c r="BH35" s="411"/>
      <c r="BI35" s="411"/>
      <c r="BJ35" s="399" t="s">
        <v>3106</v>
      </c>
      <c r="BK35" s="399"/>
      <c r="BL35" s="399"/>
      <c r="BM35" s="399"/>
      <c r="BN35" s="399"/>
      <c r="BO35" s="399"/>
      <c r="BP35" s="399"/>
      <c r="BQ35" s="399"/>
      <c r="BR35" s="399"/>
      <c r="BS35" s="407"/>
      <c r="BT35" s="407"/>
      <c r="BU35" s="412"/>
      <c r="BV35" s="46" t="str">
        <f t="shared" si="8"/>
        <v>Patient</v>
      </c>
      <c r="BW35" s="46" t="str">
        <f t="shared" si="9"/>
        <v/>
      </c>
      <c r="BX35" s="46" t="str">
        <f t="shared" si="10"/>
        <v>Patient</v>
      </c>
      <c r="BY35" s="43" t="str">
        <f t="shared" si="11"/>
        <v>WHO-Core Patient</v>
      </c>
      <c r="BZ35" s="46">
        <f t="shared" si="12"/>
        <v>1</v>
      </c>
      <c r="CA35" s="46">
        <f t="shared" si="13"/>
        <v>0</v>
      </c>
      <c r="CB35" s="46">
        <f t="shared" si="14"/>
        <v>0</v>
      </c>
      <c r="CC35" s="46">
        <f t="shared" si="15"/>
        <v>0</v>
      </c>
      <c r="CD35" s="46">
        <f t="shared" si="16"/>
        <v>0</v>
      </c>
      <c r="CE35" s="46">
        <f t="shared" si="17"/>
        <v>0</v>
      </c>
      <c r="CF35" s="46">
        <f t="shared" si="18"/>
        <v>1</v>
      </c>
      <c r="CG35" s="46" t="str">
        <f ca="1">IFERROR(__xludf.DUMMYFUNCTION("if(OR(BH35="""",LEFT(BH35,2)=""LA""),"""",IMPORTXML(CONCATENATE(""https://loinc.org/"",BH35,""/""),""//span[@id='lcn']""))"),"")</f>
        <v/>
      </c>
      <c r="CH35" s="46"/>
      <c r="CI35" s="46"/>
      <c r="CJ35" s="46"/>
      <c r="CK35" s="46"/>
      <c r="CL35" s="46"/>
      <c r="CM35" s="46"/>
      <c r="CN35" s="46"/>
      <c r="CO35" s="46"/>
      <c r="CP35" s="46"/>
      <c r="CQ35" s="46"/>
      <c r="CR35" s="46"/>
      <c r="CS35" s="46"/>
      <c r="CT35" s="46"/>
      <c r="CU35" s="46"/>
    </row>
    <row r="36" spans="1:99" ht="12.75" customHeight="1">
      <c r="A36" s="399">
        <v>1731</v>
      </c>
      <c r="B36" s="399" t="s">
        <v>3322</v>
      </c>
      <c r="C36" s="399">
        <f t="shared" si="0"/>
        <v>1731</v>
      </c>
      <c r="D36" s="399" t="str">
        <f t="shared" si="1"/>
        <v>Communication preferences</v>
      </c>
      <c r="E36" s="399" t="str">
        <f t="shared" si="2"/>
        <v>Communication preferences</v>
      </c>
      <c r="F36" s="399" t="str">
        <f t="shared" si="20"/>
        <v>Data Element</v>
      </c>
      <c r="G36" s="400">
        <f t="shared" si="4"/>
        <v>25</v>
      </c>
      <c r="H36" s="400" t="str">
        <f t="shared" si="5"/>
        <v/>
      </c>
      <c r="I36" s="400"/>
      <c r="J36" s="400"/>
      <c r="K36" s="401" t="s">
        <v>99</v>
      </c>
      <c r="L36" s="402" t="s">
        <v>3093</v>
      </c>
      <c r="M36" s="400"/>
      <c r="N36" s="403" t="s">
        <v>3199</v>
      </c>
      <c r="O36" s="404" t="s">
        <v>3323</v>
      </c>
      <c r="P36" s="404" t="s">
        <v>3324</v>
      </c>
      <c r="Q36" s="420" t="s">
        <v>3322</v>
      </c>
      <c r="R36" s="404"/>
      <c r="S36" s="403" t="s">
        <v>3325</v>
      </c>
      <c r="T36" s="404" t="s">
        <v>3121</v>
      </c>
      <c r="U36" s="420" t="s">
        <v>3326</v>
      </c>
      <c r="V36" s="404"/>
      <c r="W36" s="404"/>
      <c r="X36" s="404"/>
      <c r="Y36" s="404"/>
      <c r="Z36" s="404" t="s">
        <v>113</v>
      </c>
      <c r="AA36" s="404" t="s">
        <v>3178</v>
      </c>
      <c r="AB36" s="420" t="s">
        <v>3319</v>
      </c>
      <c r="AC36" s="426"/>
      <c r="AD36" s="404"/>
      <c r="AE36" s="406"/>
      <c r="AF36" s="403"/>
      <c r="AG36" s="404"/>
      <c r="AH36" s="399"/>
      <c r="AI36" s="400"/>
      <c r="AJ36" s="399"/>
      <c r="AK36" s="399" t="s">
        <v>3327</v>
      </c>
      <c r="AL36" s="409" t="s">
        <v>3328</v>
      </c>
      <c r="AM36" s="409" t="s">
        <v>3329</v>
      </c>
      <c r="AN36" s="409" t="s">
        <v>3101</v>
      </c>
      <c r="AO36" s="399"/>
      <c r="AP36" s="409" t="s">
        <v>3102</v>
      </c>
      <c r="AQ36" s="409" t="s">
        <v>3103</v>
      </c>
      <c r="AR36" s="399"/>
      <c r="AS36" s="399"/>
      <c r="AT36" s="399"/>
      <c r="AU36" s="399" t="s">
        <v>3322</v>
      </c>
      <c r="AV36" s="399" t="str">
        <f t="shared" si="6"/>
        <v>Same</v>
      </c>
      <c r="AW36" s="399"/>
      <c r="AX36" s="409" t="s">
        <v>3104</v>
      </c>
      <c r="AY36" s="399" t="str">
        <f t="shared" si="7"/>
        <v/>
      </c>
      <c r="AZ36" s="409" t="s">
        <v>3105</v>
      </c>
      <c r="BA36" s="409">
        <v>1</v>
      </c>
      <c r="BB36" s="399"/>
      <c r="BC36" s="399"/>
      <c r="BD36" s="399"/>
      <c r="BE36" s="411"/>
      <c r="BF36" s="411"/>
      <c r="BG36" s="411"/>
      <c r="BH36" s="411"/>
      <c r="BI36" s="411"/>
      <c r="BJ36" s="399" t="s">
        <v>3106</v>
      </c>
      <c r="BK36" s="399"/>
      <c r="BL36" s="399"/>
      <c r="BM36" s="399"/>
      <c r="BN36" s="399"/>
      <c r="BO36" s="399"/>
      <c r="BP36" s="399"/>
      <c r="BQ36" s="399"/>
      <c r="BR36" s="399"/>
      <c r="BS36" s="407"/>
      <c r="BT36" s="407"/>
      <c r="BU36" s="412"/>
      <c r="BV36" s="46" t="str">
        <f t="shared" si="8"/>
        <v>Patient</v>
      </c>
      <c r="BW36" s="46" t="str">
        <f t="shared" si="9"/>
        <v/>
      </c>
      <c r="BX36" s="46" t="str">
        <f t="shared" si="10"/>
        <v>Patient</v>
      </c>
      <c r="BY36" s="43" t="str">
        <f t="shared" si="11"/>
        <v>WHO-Core Patient</v>
      </c>
      <c r="BZ36" s="46">
        <f t="shared" si="12"/>
        <v>1</v>
      </c>
      <c r="CA36" s="46">
        <f t="shared" si="13"/>
        <v>0</v>
      </c>
      <c r="CB36" s="46">
        <f t="shared" si="14"/>
        <v>1</v>
      </c>
      <c r="CC36" s="46">
        <f t="shared" si="15"/>
        <v>1</v>
      </c>
      <c r="CD36" s="46">
        <f t="shared" si="16"/>
        <v>1</v>
      </c>
      <c r="CE36" s="46">
        <f t="shared" si="17"/>
        <v>0</v>
      </c>
      <c r="CF36" s="46">
        <f t="shared" si="18"/>
        <v>0</v>
      </c>
      <c r="CG36" s="46" t="str">
        <f ca="1">IFERROR(__xludf.DUMMYFUNCTION("if(OR(BH36="""",LEFT(BH36,2)=""LA""),"""",IMPORTXML(CONCATENATE(""https://loinc.org/"",BH36,""/""),""//span[@id='lcn']""))"),"")</f>
        <v/>
      </c>
      <c r="CH36" s="46"/>
      <c r="CI36" s="46"/>
      <c r="CJ36" s="46"/>
      <c r="CK36" s="46"/>
      <c r="CL36" s="46"/>
      <c r="CM36" s="46"/>
      <c r="CN36" s="46"/>
      <c r="CO36" s="46"/>
      <c r="CP36" s="46"/>
      <c r="CQ36" s="46"/>
      <c r="CR36" s="46"/>
      <c r="CS36" s="46"/>
      <c r="CT36" s="46"/>
      <c r="CU36" s="46"/>
    </row>
    <row r="37" spans="1:99" ht="12.75" customHeight="1">
      <c r="A37" s="399">
        <v>1362</v>
      </c>
      <c r="B37" s="409" t="s">
        <v>3331</v>
      </c>
      <c r="C37" s="399">
        <f t="shared" si="0"/>
        <v>1362</v>
      </c>
      <c r="D37" s="399" t="str">
        <f t="shared" si="1"/>
        <v>Reason for visit</v>
      </c>
      <c r="E37" s="399" t="str">
        <f t="shared" si="2"/>
        <v>Reason for visit</v>
      </c>
      <c r="F37" s="399" t="str">
        <f t="shared" si="20"/>
        <v>Data Element</v>
      </c>
      <c r="G37" s="400">
        <f t="shared" si="4"/>
        <v>32</v>
      </c>
      <c r="H37" s="400" t="str">
        <f t="shared" si="5"/>
        <v/>
      </c>
      <c r="I37" s="400"/>
      <c r="J37" s="400"/>
      <c r="K37" s="401" t="s">
        <v>3333</v>
      </c>
      <c r="L37" s="402" t="s">
        <v>3334</v>
      </c>
      <c r="M37" s="400"/>
      <c r="N37" s="427" t="s">
        <v>3335</v>
      </c>
      <c r="O37" s="428"/>
      <c r="P37" s="403" t="s">
        <v>3336</v>
      </c>
      <c r="Q37" s="405" t="s">
        <v>3337</v>
      </c>
      <c r="R37" s="403"/>
      <c r="S37" s="405" t="s">
        <v>3338</v>
      </c>
      <c r="T37" s="405" t="s">
        <v>3339</v>
      </c>
      <c r="U37" s="429" t="s">
        <v>3326</v>
      </c>
      <c r="V37" s="407"/>
      <c r="W37" s="405"/>
      <c r="X37" s="405" t="s">
        <v>208</v>
      </c>
      <c r="Y37" s="403"/>
      <c r="Z37" s="403" t="s">
        <v>113</v>
      </c>
      <c r="AA37" s="403" t="s">
        <v>3098</v>
      </c>
      <c r="AB37" s="408"/>
      <c r="AC37" s="407"/>
      <c r="AD37" s="403"/>
      <c r="AE37" s="408"/>
      <c r="AF37" s="407"/>
      <c r="AG37" s="407"/>
      <c r="AH37" s="399"/>
      <c r="AI37" s="400"/>
      <c r="AJ37" s="399"/>
      <c r="AK37" s="430" t="s">
        <v>3340</v>
      </c>
      <c r="AL37" s="399"/>
      <c r="AM37" s="399" t="s">
        <v>3100</v>
      </c>
      <c r="AN37" s="399" t="s">
        <v>3101</v>
      </c>
      <c r="AO37" s="409" t="s">
        <v>3341</v>
      </c>
      <c r="AP37" s="409" t="s">
        <v>3342</v>
      </c>
      <c r="AQ37" s="409" t="s">
        <v>3103</v>
      </c>
      <c r="AR37" s="399"/>
      <c r="AS37" s="399"/>
      <c r="AT37" s="399"/>
      <c r="AU37" s="399" t="s">
        <v>3337</v>
      </c>
      <c r="AV37" s="399" t="str">
        <f t="shared" si="6"/>
        <v>Changed</v>
      </c>
      <c r="AW37" s="399"/>
      <c r="AX37" s="409" t="s">
        <v>3343</v>
      </c>
      <c r="AY37" s="399" t="str">
        <f t="shared" si="7"/>
        <v>"Reason for visit"-&gt;"Reason for family planning visit"</v>
      </c>
      <c r="AZ37" s="399"/>
      <c r="BA37" s="409">
        <v>1</v>
      </c>
      <c r="BB37" s="399"/>
      <c r="BC37" s="399"/>
      <c r="BD37" s="399"/>
      <c r="BE37" s="411"/>
      <c r="BF37" s="411"/>
      <c r="BG37" s="411"/>
      <c r="BH37" s="411"/>
      <c r="BI37" s="411"/>
      <c r="BJ37" s="409" t="s">
        <v>3106</v>
      </c>
      <c r="BK37" s="399"/>
      <c r="BL37" s="399"/>
      <c r="BM37" s="399"/>
      <c r="BN37" s="399"/>
      <c r="BO37" s="399"/>
      <c r="BP37" s="399"/>
      <c r="BQ37" s="399"/>
      <c r="BR37" s="399"/>
      <c r="BS37" s="407"/>
      <c r="BT37" s="407"/>
      <c r="BU37" s="412"/>
      <c r="BV37" s="46" t="str">
        <f t="shared" si="8"/>
        <v>Encounter</v>
      </c>
      <c r="BW37" s="46" t="str">
        <f t="shared" si="9"/>
        <v/>
      </c>
      <c r="BX37" s="46" t="str">
        <f t="shared" si="10"/>
        <v>Encounter</v>
      </c>
      <c r="BY37" s="43" t="str">
        <f t="shared" si="11"/>
        <v>WHO-FP Encounter</v>
      </c>
      <c r="BZ37" s="46">
        <f t="shared" si="12"/>
        <v>1</v>
      </c>
      <c r="CA37" s="46">
        <f t="shared" si="13"/>
        <v>1</v>
      </c>
      <c r="CB37" s="46">
        <f t="shared" si="14"/>
        <v>1</v>
      </c>
      <c r="CC37" s="46">
        <f t="shared" si="15"/>
        <v>1</v>
      </c>
      <c r="CD37" s="46">
        <f t="shared" si="16"/>
        <v>1</v>
      </c>
      <c r="CE37" s="46">
        <f t="shared" si="17"/>
        <v>0</v>
      </c>
      <c r="CF37" s="46">
        <f t="shared" si="18"/>
        <v>0</v>
      </c>
      <c r="CG37" s="46" t="str">
        <f ca="1">IFERROR(__xludf.DUMMYFUNCTION("if(OR(BH37="""",LEFT(BH37,2)=""LA""),"""",IMPORTXML(CONCATENATE(""https://loinc.org/"",BH37,""/""),""//span[@id='lcn']""))"),"")</f>
        <v/>
      </c>
      <c r="CH37" s="46"/>
      <c r="CI37" s="46"/>
      <c r="CJ37" s="46"/>
      <c r="CK37" s="46"/>
      <c r="CL37" s="46"/>
      <c r="CM37" s="46"/>
      <c r="CN37" s="46"/>
      <c r="CO37" s="46"/>
      <c r="CP37" s="46"/>
      <c r="CQ37" s="46"/>
      <c r="CR37" s="46"/>
      <c r="CS37" s="46"/>
      <c r="CT37" s="46"/>
      <c r="CU37" s="46"/>
    </row>
    <row r="38" spans="1:99" ht="12.75" customHeight="1">
      <c r="A38" s="399">
        <v>1363</v>
      </c>
      <c r="B38" s="399" t="s">
        <v>3344</v>
      </c>
      <c r="C38" s="399">
        <f t="shared" si="0"/>
        <v>1363</v>
      </c>
      <c r="D38" s="399" t="e">
        <f t="shared" ca="1" si="1"/>
        <v>#NAME?</v>
      </c>
      <c r="E38" s="399" t="str">
        <f t="shared" si="2"/>
        <v>Stopping contraception</v>
      </c>
      <c r="F38" s="399" t="str">
        <f t="shared" si="20"/>
        <v>Input Option</v>
      </c>
      <c r="G38" s="400">
        <f t="shared" si="4"/>
        <v>29</v>
      </c>
      <c r="H38" s="399" t="str">
        <f t="shared" si="5"/>
        <v>Reason for family planning visit</v>
      </c>
      <c r="I38" s="400"/>
      <c r="J38" s="400"/>
      <c r="K38" s="401" t="s">
        <v>3333</v>
      </c>
      <c r="L38" s="402" t="s">
        <v>3334</v>
      </c>
      <c r="M38" s="400"/>
      <c r="N38" s="427" t="s">
        <v>3335</v>
      </c>
      <c r="O38" s="428"/>
      <c r="P38" s="403" t="s">
        <v>3345</v>
      </c>
      <c r="Q38" s="405"/>
      <c r="R38" s="403"/>
      <c r="S38" s="405" t="s">
        <v>3346</v>
      </c>
      <c r="T38" s="405"/>
      <c r="U38" s="431"/>
      <c r="V38" s="432" t="s">
        <v>3347</v>
      </c>
      <c r="W38" s="405"/>
      <c r="X38" s="405" t="s">
        <v>208</v>
      </c>
      <c r="Y38" s="403"/>
      <c r="Z38" s="403" t="s">
        <v>113</v>
      </c>
      <c r="AA38" s="403" t="s">
        <v>3178</v>
      </c>
      <c r="AB38" s="408"/>
      <c r="AC38" s="407"/>
      <c r="AD38" s="403"/>
      <c r="AE38" s="406"/>
      <c r="AF38" s="407"/>
      <c r="AG38" s="407"/>
      <c r="AH38" s="399"/>
      <c r="AI38" s="400"/>
      <c r="AJ38" s="399"/>
      <c r="AK38" s="399"/>
      <c r="AL38" s="399"/>
      <c r="AM38" s="399"/>
      <c r="AN38" s="399"/>
      <c r="AO38" s="399"/>
      <c r="AP38" s="399"/>
      <c r="AQ38" s="409" t="s">
        <v>3130</v>
      </c>
      <c r="AR38" s="399"/>
      <c r="AS38" s="399"/>
      <c r="AT38" s="399"/>
      <c r="AU38" s="399" t="s">
        <v>3344</v>
      </c>
      <c r="AV38" s="399" t="str">
        <f t="shared" si="6"/>
        <v>Same</v>
      </c>
      <c r="AW38" s="399"/>
      <c r="AX38" s="409" t="s">
        <v>3343</v>
      </c>
      <c r="AY38" s="399" t="e">
        <f t="shared" ca="1" si="7"/>
        <v>#NAME?</v>
      </c>
      <c r="AZ38" s="399"/>
      <c r="BA38" s="409">
        <v>1</v>
      </c>
      <c r="BB38" s="399"/>
      <c r="BC38" s="399"/>
      <c r="BD38" s="399" t="s">
        <v>3348</v>
      </c>
      <c r="BE38" s="411"/>
      <c r="BF38" s="411"/>
      <c r="BG38" s="411" t="s">
        <v>3349</v>
      </c>
      <c r="BH38" s="411"/>
      <c r="BI38" s="411"/>
      <c r="BJ38" s="399"/>
      <c r="BK38" s="399"/>
      <c r="BL38" s="399"/>
      <c r="BM38" s="399"/>
      <c r="BN38" s="399" t="s">
        <v>3350</v>
      </c>
      <c r="BO38" s="399"/>
      <c r="BP38" s="399"/>
      <c r="BQ38" s="399"/>
      <c r="BR38" s="399"/>
      <c r="BS38" s="407"/>
      <c r="BT38" s="407"/>
      <c r="BU38" s="412"/>
      <c r="BV38" s="46" t="str">
        <f t="shared" si="8"/>
        <v/>
      </c>
      <c r="BW38" s="46">
        <f t="shared" si="9"/>
        <v>0</v>
      </c>
      <c r="BX38" s="46">
        <f t="shared" si="10"/>
        <v>0</v>
      </c>
      <c r="BY38" s="43" t="str">
        <f t="shared" si="11"/>
        <v>WHO-FP Encounter</v>
      </c>
      <c r="BZ38" s="46">
        <f t="shared" si="12"/>
        <v>1</v>
      </c>
      <c r="CA38" s="46" t="str">
        <f t="shared" si="13"/>
        <v/>
      </c>
      <c r="CB38" s="46">
        <f t="shared" si="14"/>
        <v>1</v>
      </c>
      <c r="CC38" s="46">
        <f t="shared" si="15"/>
        <v>1</v>
      </c>
      <c r="CD38" s="46">
        <f t="shared" si="16"/>
        <v>1</v>
      </c>
      <c r="CE38" s="46">
        <f t="shared" si="17"/>
        <v>0</v>
      </c>
      <c r="CF38" s="46">
        <f t="shared" si="18"/>
        <v>0</v>
      </c>
      <c r="CG38" s="46" t="str">
        <f ca="1">IFERROR(__xludf.DUMMYFUNCTION("if(OR(BH38="""",LEFT(BH38,2)=""LA""),"""",IMPORTXML(CONCATENATE(""https://loinc.org/"",BH38,""/""),""//span[@id='lcn']""))"),"")</f>
        <v/>
      </c>
      <c r="CH38" s="46"/>
      <c r="CI38" s="46"/>
      <c r="CJ38" s="46"/>
      <c r="CK38" s="46"/>
      <c r="CL38" s="46"/>
      <c r="CM38" s="46"/>
      <c r="CN38" s="46"/>
      <c r="CO38" s="46"/>
      <c r="CP38" s="46"/>
      <c r="CQ38" s="46"/>
      <c r="CR38" s="46"/>
      <c r="CS38" s="46"/>
      <c r="CT38" s="46"/>
      <c r="CU38" s="46"/>
    </row>
    <row r="39" spans="1:99" ht="12.75" customHeight="1">
      <c r="A39" s="399">
        <v>1364</v>
      </c>
      <c r="B39" s="399" t="s">
        <v>3351</v>
      </c>
      <c r="C39" s="399">
        <f t="shared" si="0"/>
        <v>1364</v>
      </c>
      <c r="D39" s="399" t="e">
        <f t="shared" ca="1" si="1"/>
        <v>#NAME?</v>
      </c>
      <c r="E39" s="399" t="str">
        <f t="shared" si="2"/>
        <v>Contraception counseling</v>
      </c>
      <c r="F39" s="399" t="str">
        <f t="shared" si="20"/>
        <v>Input Option</v>
      </c>
      <c r="G39" s="400">
        <f t="shared" si="4"/>
        <v>31</v>
      </c>
      <c r="H39" s="399" t="str">
        <f t="shared" si="5"/>
        <v>Reason for family planning visit</v>
      </c>
      <c r="I39" s="400"/>
      <c r="J39" s="400"/>
      <c r="K39" s="401" t="s">
        <v>3333</v>
      </c>
      <c r="L39" s="402" t="s">
        <v>3334</v>
      </c>
      <c r="M39" s="400"/>
      <c r="N39" s="427" t="s">
        <v>3335</v>
      </c>
      <c r="O39" s="428"/>
      <c r="P39" s="403" t="s">
        <v>3352</v>
      </c>
      <c r="Q39" s="407"/>
      <c r="R39" s="407"/>
      <c r="S39" s="432" t="s">
        <v>3353</v>
      </c>
      <c r="T39" s="407"/>
      <c r="U39" s="407"/>
      <c r="V39" s="405" t="s">
        <v>3354</v>
      </c>
      <c r="W39" s="405"/>
      <c r="X39" s="405" t="s">
        <v>208</v>
      </c>
      <c r="Y39" s="407"/>
      <c r="Z39" s="403" t="s">
        <v>113</v>
      </c>
      <c r="AA39" s="407" t="s">
        <v>1889</v>
      </c>
      <c r="AB39" s="408"/>
      <c r="AC39" s="407"/>
      <c r="AD39" s="407"/>
      <c r="AE39" s="408"/>
      <c r="AF39" s="407"/>
      <c r="AG39" s="407"/>
      <c r="AH39" s="399"/>
      <c r="AI39" s="400"/>
      <c r="AJ39" s="399"/>
      <c r="AK39" s="399"/>
      <c r="AL39" s="399"/>
      <c r="AM39" s="399"/>
      <c r="AN39" s="399"/>
      <c r="AO39" s="399"/>
      <c r="AP39" s="399"/>
      <c r="AQ39" s="409" t="s">
        <v>3130</v>
      </c>
      <c r="AR39" s="399"/>
      <c r="AS39" s="399"/>
      <c r="AT39" s="399"/>
      <c r="AU39" s="399" t="s">
        <v>3351</v>
      </c>
      <c r="AV39" s="399" t="str">
        <f t="shared" si="6"/>
        <v>Same</v>
      </c>
      <c r="AW39" s="399"/>
      <c r="AX39" s="409" t="s">
        <v>3343</v>
      </c>
      <c r="AY39" s="399" t="e">
        <f t="shared" ca="1" si="7"/>
        <v>#NAME?</v>
      </c>
      <c r="AZ39" s="399"/>
      <c r="BA39" s="409">
        <v>1</v>
      </c>
      <c r="BB39" s="399"/>
      <c r="BC39" s="399"/>
      <c r="BD39" s="399" t="s">
        <v>3162</v>
      </c>
      <c r="BE39" s="411" t="s">
        <v>3355</v>
      </c>
      <c r="BF39" s="411"/>
      <c r="BG39" s="411" t="s">
        <v>3356</v>
      </c>
      <c r="BH39" s="411"/>
      <c r="BI39" s="411"/>
      <c r="BJ39" s="399"/>
      <c r="BK39" s="399"/>
      <c r="BL39" s="399"/>
      <c r="BM39" s="399"/>
      <c r="BN39" s="399"/>
      <c r="BO39" s="399"/>
      <c r="BP39" s="399"/>
      <c r="BQ39" s="399"/>
      <c r="BR39" s="399"/>
      <c r="BS39" s="407"/>
      <c r="BT39" s="407"/>
      <c r="BU39" s="412"/>
      <c r="BV39" s="46" t="str">
        <f t="shared" si="8"/>
        <v/>
      </c>
      <c r="BW39" s="46">
        <f t="shared" si="9"/>
        <v>0</v>
      </c>
      <c r="BX39" s="46">
        <f t="shared" si="10"/>
        <v>0</v>
      </c>
      <c r="BY39" s="43" t="str">
        <f t="shared" si="11"/>
        <v>WHO-FP Encounter</v>
      </c>
      <c r="BZ39" s="46">
        <f t="shared" si="12"/>
        <v>1</v>
      </c>
      <c r="CA39" s="46" t="str">
        <f t="shared" si="13"/>
        <v/>
      </c>
      <c r="CB39" s="46">
        <f t="shared" si="14"/>
        <v>1</v>
      </c>
      <c r="CC39" s="46">
        <f t="shared" si="15"/>
        <v>1</v>
      </c>
      <c r="CD39" s="46">
        <f t="shared" si="16"/>
        <v>1</v>
      </c>
      <c r="CE39" s="46">
        <f t="shared" si="17"/>
        <v>0</v>
      </c>
      <c r="CF39" s="46">
        <f t="shared" si="18"/>
        <v>0</v>
      </c>
      <c r="CG39" s="46" t="str">
        <f ca="1">IFERROR(__xludf.DUMMYFUNCTION("if(OR(BH39="""",LEFT(BH39,2)=""LA""),"""",IMPORTXML(CONCATENATE(""https://loinc.org/"",BH39,""/""),""//span[@id='lcn']""))"),"")</f>
        <v/>
      </c>
      <c r="CH39" s="46"/>
      <c r="CI39" s="46"/>
      <c r="CJ39" s="46"/>
      <c r="CK39" s="46"/>
      <c r="CL39" s="46"/>
      <c r="CM39" s="46"/>
      <c r="CN39" s="46"/>
      <c r="CO39" s="46"/>
      <c r="CP39" s="46"/>
      <c r="CQ39" s="46"/>
      <c r="CR39" s="46"/>
      <c r="CS39" s="46"/>
      <c r="CT39" s="46"/>
      <c r="CU39" s="46"/>
    </row>
    <row r="40" spans="1:99" ht="12.75" customHeight="1">
      <c r="A40" s="399">
        <v>1365</v>
      </c>
      <c r="B40" s="399" t="s">
        <v>3357</v>
      </c>
      <c r="C40" s="399">
        <f t="shared" si="0"/>
        <v>1365</v>
      </c>
      <c r="D40" s="399" t="e">
        <f t="shared" ca="1" si="1"/>
        <v>#NAME?</v>
      </c>
      <c r="E40" s="399" t="str">
        <f t="shared" si="2"/>
        <v>Starting contraception</v>
      </c>
      <c r="F40" s="399" t="str">
        <f t="shared" si="20"/>
        <v>Input Option</v>
      </c>
      <c r="G40" s="400">
        <f t="shared" si="4"/>
        <v>29</v>
      </c>
      <c r="H40" s="399" t="str">
        <f t="shared" si="5"/>
        <v>Reason for family planning visit</v>
      </c>
      <c r="I40" s="400"/>
      <c r="J40" s="400"/>
      <c r="K40" s="401" t="s">
        <v>3333</v>
      </c>
      <c r="L40" s="402" t="s">
        <v>3334</v>
      </c>
      <c r="M40" s="400"/>
      <c r="N40" s="427" t="s">
        <v>3335</v>
      </c>
      <c r="O40" s="428"/>
      <c r="P40" s="403" t="s">
        <v>3358</v>
      </c>
      <c r="Q40" s="407"/>
      <c r="R40" s="407"/>
      <c r="S40" s="407" t="s">
        <v>3359</v>
      </c>
      <c r="T40" s="407"/>
      <c r="U40" s="407"/>
      <c r="V40" s="403" t="s">
        <v>3360</v>
      </c>
      <c r="W40" s="405"/>
      <c r="X40" s="405" t="s">
        <v>208</v>
      </c>
      <c r="Y40" s="407"/>
      <c r="Z40" s="403" t="s">
        <v>113</v>
      </c>
      <c r="AA40" s="407" t="s">
        <v>1889</v>
      </c>
      <c r="AB40" s="408"/>
      <c r="AC40" s="407"/>
      <c r="AD40" s="407"/>
      <c r="AE40" s="408" t="s">
        <v>3361</v>
      </c>
      <c r="AF40" s="407"/>
      <c r="AG40" s="407"/>
      <c r="AH40" s="399"/>
      <c r="AI40" s="400"/>
      <c r="AJ40" s="399"/>
      <c r="AK40" s="399"/>
      <c r="AL40" s="399"/>
      <c r="AM40" s="399"/>
      <c r="AN40" s="399"/>
      <c r="AO40" s="399"/>
      <c r="AP40" s="399"/>
      <c r="AQ40" s="409" t="s">
        <v>3130</v>
      </c>
      <c r="AR40" s="399"/>
      <c r="AS40" s="399"/>
      <c r="AT40" s="399"/>
      <c r="AU40" s="399" t="s">
        <v>3357</v>
      </c>
      <c r="AV40" s="399" t="str">
        <f t="shared" si="6"/>
        <v>Same</v>
      </c>
      <c r="AW40" s="399"/>
      <c r="AX40" s="409" t="s">
        <v>3343</v>
      </c>
      <c r="AY40" s="399" t="e">
        <f t="shared" ca="1" si="7"/>
        <v>#NAME?</v>
      </c>
      <c r="AZ40" s="399"/>
      <c r="BA40" s="409">
        <v>1</v>
      </c>
      <c r="BB40" s="399"/>
      <c r="BC40" s="399"/>
      <c r="BD40" s="399" t="s">
        <v>3162</v>
      </c>
      <c r="BE40" s="411" t="s">
        <v>3362</v>
      </c>
      <c r="BF40" s="411"/>
      <c r="BG40" s="411"/>
      <c r="BH40" s="411"/>
      <c r="BI40" s="411"/>
      <c r="BJ40" s="399"/>
      <c r="BK40" s="399"/>
      <c r="BL40" s="399"/>
      <c r="BM40" s="399"/>
      <c r="BN40" s="399"/>
      <c r="BO40" s="399"/>
      <c r="BP40" s="399"/>
      <c r="BQ40" s="399"/>
      <c r="BR40" s="399"/>
      <c r="BS40" s="407"/>
      <c r="BT40" s="407"/>
      <c r="BU40" s="412"/>
      <c r="BV40" s="46" t="str">
        <f t="shared" si="8"/>
        <v/>
      </c>
      <c r="BW40" s="46">
        <f t="shared" si="9"/>
        <v>0</v>
      </c>
      <c r="BX40" s="46">
        <f t="shared" si="10"/>
        <v>0</v>
      </c>
      <c r="BY40" s="43" t="str">
        <f t="shared" si="11"/>
        <v>WHO-FP Encounter</v>
      </c>
      <c r="BZ40" s="46">
        <f t="shared" si="12"/>
        <v>1</v>
      </c>
      <c r="CA40" s="46" t="str">
        <f t="shared" si="13"/>
        <v/>
      </c>
      <c r="CB40" s="46">
        <f t="shared" si="14"/>
        <v>1</v>
      </c>
      <c r="CC40" s="46">
        <f t="shared" si="15"/>
        <v>1</v>
      </c>
      <c r="CD40" s="46">
        <f t="shared" si="16"/>
        <v>1</v>
      </c>
      <c r="CE40" s="46">
        <f t="shared" si="17"/>
        <v>0</v>
      </c>
      <c r="CF40" s="46">
        <f t="shared" si="18"/>
        <v>0</v>
      </c>
      <c r="CG40" s="46" t="str">
        <f ca="1">IFERROR(__xludf.DUMMYFUNCTION("if(OR(BH40="""",LEFT(BH40,2)=""LA""),"""",IMPORTXML(CONCATENATE(""https://loinc.org/"",BH40,""/""),""//span[@id='lcn']""))"),"")</f>
        <v/>
      </c>
      <c r="CH40" s="46"/>
      <c r="CI40" s="46"/>
      <c r="CJ40" s="46"/>
      <c r="CK40" s="46"/>
      <c r="CL40" s="46"/>
      <c r="CM40" s="46"/>
      <c r="CN40" s="46"/>
      <c r="CO40" s="46"/>
      <c r="CP40" s="46"/>
      <c r="CQ40" s="46"/>
      <c r="CR40" s="46"/>
      <c r="CS40" s="46"/>
      <c r="CT40" s="46"/>
      <c r="CU40" s="46"/>
    </row>
    <row r="41" spans="1:99" ht="12.75" customHeight="1">
      <c r="A41" s="409">
        <v>1366</v>
      </c>
      <c r="B41" s="399" t="s">
        <v>3363</v>
      </c>
      <c r="C41" s="399">
        <f t="shared" si="0"/>
        <v>1366</v>
      </c>
      <c r="D41" s="399" t="e">
        <f t="shared" ca="1" si="1"/>
        <v>#NAME?</v>
      </c>
      <c r="E41" s="399" t="str">
        <f t="shared" si="2"/>
        <v>Contraceptive continuation</v>
      </c>
      <c r="F41" s="399" t="str">
        <f t="shared" si="20"/>
        <v>Input Option</v>
      </c>
      <c r="G41" s="400">
        <f t="shared" si="4"/>
        <v>33</v>
      </c>
      <c r="H41" s="399" t="str">
        <f t="shared" si="5"/>
        <v>Reason for family planning visit</v>
      </c>
      <c r="I41" s="400"/>
      <c r="J41" s="400"/>
      <c r="K41" s="401" t="s">
        <v>3333</v>
      </c>
      <c r="L41" s="402" t="s">
        <v>3334</v>
      </c>
      <c r="M41" s="400"/>
      <c r="N41" s="427" t="s">
        <v>3335</v>
      </c>
      <c r="O41" s="428"/>
      <c r="P41" s="403" t="s">
        <v>3364</v>
      </c>
      <c r="Q41" s="407"/>
      <c r="R41" s="407"/>
      <c r="S41" s="432" t="s">
        <v>3365</v>
      </c>
      <c r="T41" s="421"/>
      <c r="U41" s="407"/>
      <c r="V41" s="429" t="s">
        <v>3366</v>
      </c>
      <c r="W41" s="407"/>
      <c r="X41" s="405" t="s">
        <v>208</v>
      </c>
      <c r="Y41" s="407"/>
      <c r="Z41" s="403" t="s">
        <v>113</v>
      </c>
      <c r="AA41" s="407" t="s">
        <v>1889</v>
      </c>
      <c r="AB41" s="408"/>
      <c r="AC41" s="407"/>
      <c r="AD41" s="407"/>
      <c r="AE41" s="406" t="s">
        <v>3361</v>
      </c>
      <c r="AF41" s="407"/>
      <c r="AG41" s="407"/>
      <c r="AH41" s="399"/>
      <c r="AI41" s="400"/>
      <c r="AJ41" s="399"/>
      <c r="AK41" s="399"/>
      <c r="AL41" s="399"/>
      <c r="AM41" s="399"/>
      <c r="AN41" s="399"/>
      <c r="AO41" s="399"/>
      <c r="AP41" s="399"/>
      <c r="AQ41" s="409" t="s">
        <v>3130</v>
      </c>
      <c r="AR41" s="399"/>
      <c r="AS41" s="399"/>
      <c r="AT41" s="399"/>
      <c r="AU41" s="399" t="s">
        <v>3367</v>
      </c>
      <c r="AV41" s="399" t="str">
        <f t="shared" si="6"/>
        <v>Changed</v>
      </c>
      <c r="AW41" s="399"/>
      <c r="AX41" s="409" t="s">
        <v>3343</v>
      </c>
      <c r="AY41" s="399" t="e">
        <f t="shared" ca="1" si="7"/>
        <v>#NAME?</v>
      </c>
      <c r="AZ41" s="399"/>
      <c r="BA41" s="409">
        <v>1</v>
      </c>
      <c r="BB41" s="399"/>
      <c r="BC41" s="399"/>
      <c r="BD41" s="399"/>
      <c r="BE41" s="411" t="s">
        <v>3368</v>
      </c>
      <c r="BF41" s="411"/>
      <c r="BG41" s="433" t="s">
        <v>3369</v>
      </c>
      <c r="BH41" s="411"/>
      <c r="BI41" s="411"/>
      <c r="BJ41" s="399"/>
      <c r="BK41" s="399"/>
      <c r="BL41" s="399"/>
      <c r="BM41" s="409" t="s">
        <v>3370</v>
      </c>
      <c r="BN41" s="399"/>
      <c r="BO41" s="399"/>
      <c r="BP41" s="399"/>
      <c r="BQ41" s="399"/>
      <c r="BR41" s="399"/>
      <c r="BS41" s="407"/>
      <c r="BT41" s="407"/>
      <c r="BU41" s="412"/>
      <c r="BV41" s="46" t="str">
        <f t="shared" si="8"/>
        <v/>
      </c>
      <c r="BW41" s="46">
        <f t="shared" si="9"/>
        <v>0</v>
      </c>
      <c r="BX41" s="46">
        <f t="shared" si="10"/>
        <v>0</v>
      </c>
      <c r="BY41" s="43" t="str">
        <f t="shared" si="11"/>
        <v>WHO-FP Encounter</v>
      </c>
      <c r="BZ41" s="46">
        <f t="shared" si="12"/>
        <v>1</v>
      </c>
      <c r="CA41" s="46" t="str">
        <f t="shared" si="13"/>
        <v/>
      </c>
      <c r="CB41" s="46">
        <f t="shared" si="14"/>
        <v>1</v>
      </c>
      <c r="CC41" s="46">
        <f t="shared" si="15"/>
        <v>1</v>
      </c>
      <c r="CD41" s="46">
        <f t="shared" si="16"/>
        <v>1</v>
      </c>
      <c r="CE41" s="46">
        <f t="shared" si="17"/>
        <v>0</v>
      </c>
      <c r="CF41" s="46">
        <f t="shared" si="18"/>
        <v>0</v>
      </c>
      <c r="CG41" s="46" t="str">
        <f ca="1">IFERROR(__xludf.DUMMYFUNCTION("if(OR(BH41="""",LEFT(BH41,2)=""LA""),"""",IMPORTXML(CONCATENATE(""https://loinc.org/"",BH41,""/""),""//span[@id='lcn']""))"),"")</f>
        <v/>
      </c>
      <c r="CH41" s="46"/>
      <c r="CI41" s="46"/>
      <c r="CJ41" s="46"/>
      <c r="CK41" s="46"/>
      <c r="CL41" s="46"/>
      <c r="CM41" s="46"/>
      <c r="CN41" s="46"/>
      <c r="CO41" s="46"/>
      <c r="CP41" s="46"/>
      <c r="CQ41" s="46"/>
      <c r="CR41" s="46"/>
      <c r="CS41" s="46"/>
      <c r="CT41" s="46"/>
      <c r="CU41" s="46"/>
    </row>
    <row r="42" spans="1:99" ht="12.75" customHeight="1">
      <c r="A42" s="409">
        <v>1367</v>
      </c>
      <c r="B42" s="399" t="s">
        <v>3371</v>
      </c>
      <c r="C42" s="399">
        <f t="shared" si="0"/>
        <v>1367</v>
      </c>
      <c r="D42" s="399" t="e">
        <f t="shared" ca="1" si="1"/>
        <v>#NAME?</v>
      </c>
      <c r="E42" s="399" t="str">
        <f t="shared" si="2"/>
        <v>Emergency contraception</v>
      </c>
      <c r="F42" s="399" t="str">
        <f t="shared" si="20"/>
        <v>Input Option</v>
      </c>
      <c r="G42" s="400">
        <f t="shared" si="4"/>
        <v>30</v>
      </c>
      <c r="H42" s="399" t="str">
        <f t="shared" si="5"/>
        <v>Reason for family planning visit</v>
      </c>
      <c r="I42" s="400"/>
      <c r="J42" s="400"/>
      <c r="K42" s="401" t="s">
        <v>3333</v>
      </c>
      <c r="L42" s="402" t="s">
        <v>3334</v>
      </c>
      <c r="M42" s="400"/>
      <c r="N42" s="427" t="s">
        <v>3335</v>
      </c>
      <c r="O42" s="428"/>
      <c r="P42" s="403" t="s">
        <v>3372</v>
      </c>
      <c r="Q42" s="407"/>
      <c r="R42" s="407"/>
      <c r="S42" s="432" t="s">
        <v>3373</v>
      </c>
      <c r="T42" s="407"/>
      <c r="U42" s="407"/>
      <c r="V42" s="403" t="s">
        <v>3374</v>
      </c>
      <c r="W42" s="405"/>
      <c r="X42" s="405" t="s">
        <v>208</v>
      </c>
      <c r="Y42" s="407"/>
      <c r="Z42" s="403" t="s">
        <v>113</v>
      </c>
      <c r="AA42" s="407" t="s">
        <v>1889</v>
      </c>
      <c r="AB42" s="408"/>
      <c r="AC42" s="407"/>
      <c r="AD42" s="407"/>
      <c r="AE42" s="408"/>
      <c r="AF42" s="407"/>
      <c r="AG42" s="407"/>
      <c r="AH42" s="399"/>
      <c r="AI42" s="400"/>
      <c r="AJ42" s="399"/>
      <c r="AK42" s="399"/>
      <c r="AL42" s="399"/>
      <c r="AM42" s="399"/>
      <c r="AN42" s="399"/>
      <c r="AO42" s="399"/>
      <c r="AP42" s="399"/>
      <c r="AQ42" s="409" t="s">
        <v>3130</v>
      </c>
      <c r="AR42" s="399"/>
      <c r="AS42" s="399"/>
      <c r="AT42" s="399"/>
      <c r="AU42" s="399" t="s">
        <v>3371</v>
      </c>
      <c r="AV42" s="399" t="str">
        <f t="shared" si="6"/>
        <v>Same</v>
      </c>
      <c r="AW42" s="399"/>
      <c r="AX42" s="409" t="s">
        <v>3343</v>
      </c>
      <c r="AY42" s="399" t="e">
        <f t="shared" ca="1" si="7"/>
        <v>#NAME?</v>
      </c>
      <c r="AZ42" s="399"/>
      <c r="BA42" s="409">
        <v>1</v>
      </c>
      <c r="BB42" s="399"/>
      <c r="BC42" s="399"/>
      <c r="BD42" s="399" t="s">
        <v>3162</v>
      </c>
      <c r="BE42" s="411" t="s">
        <v>3375</v>
      </c>
      <c r="BF42" s="411"/>
      <c r="BG42" s="418" t="s">
        <v>3376</v>
      </c>
      <c r="BH42" s="433" t="s">
        <v>3377</v>
      </c>
      <c r="BI42" s="411"/>
      <c r="BJ42" s="399"/>
      <c r="BK42" s="399"/>
      <c r="BL42" s="399"/>
      <c r="BM42" s="399"/>
      <c r="BN42" s="399"/>
      <c r="BO42" s="399"/>
      <c r="BP42" s="399"/>
      <c r="BQ42" s="399"/>
      <c r="BR42" s="399"/>
      <c r="BS42" s="407"/>
      <c r="BT42" s="407"/>
      <c r="BU42" s="412"/>
      <c r="BV42" s="46" t="str">
        <f t="shared" si="8"/>
        <v/>
      </c>
      <c r="BW42" s="46">
        <f t="shared" si="9"/>
        <v>0</v>
      </c>
      <c r="BX42" s="46">
        <f t="shared" si="10"/>
        <v>0</v>
      </c>
      <c r="BY42" s="43" t="str">
        <f t="shared" si="11"/>
        <v>WHO-FP Encounter</v>
      </c>
      <c r="BZ42" s="46">
        <f t="shared" si="12"/>
        <v>1</v>
      </c>
      <c r="CA42" s="46" t="str">
        <f t="shared" si="13"/>
        <v/>
      </c>
      <c r="CB42" s="46">
        <f t="shared" si="14"/>
        <v>1</v>
      </c>
      <c r="CC42" s="46">
        <f t="shared" si="15"/>
        <v>1</v>
      </c>
      <c r="CD42" s="46">
        <f t="shared" si="16"/>
        <v>1</v>
      </c>
      <c r="CE42" s="46">
        <f t="shared" si="17"/>
        <v>0</v>
      </c>
      <c r="CF42" s="46">
        <f t="shared" si="18"/>
        <v>0</v>
      </c>
      <c r="CG42" s="46" t="str">
        <f ca="1">IFERROR(__xludf.DUMMYFUNCTION("if(OR(BH42="""",LEFT(BH42,2)=""LA""),"""",IMPORTXML(CONCATENATE(""https://loinc.org/"",BH42,""/""),""//span[@id='lcn']""))"),"")</f>
        <v/>
      </c>
      <c r="CH42" s="46"/>
      <c r="CI42" s="46"/>
      <c r="CJ42" s="46"/>
      <c r="CK42" s="46"/>
      <c r="CL42" s="46"/>
      <c r="CM42" s="46"/>
      <c r="CN42" s="46"/>
      <c r="CO42" s="46"/>
      <c r="CP42" s="46"/>
      <c r="CQ42" s="46"/>
      <c r="CR42" s="46"/>
      <c r="CS42" s="46"/>
      <c r="CT42" s="46"/>
      <c r="CU42" s="46"/>
    </row>
    <row r="43" spans="1:99" ht="12.75" customHeight="1">
      <c r="A43" s="409">
        <v>1368</v>
      </c>
      <c r="B43" s="409" t="s">
        <v>3378</v>
      </c>
      <c r="C43" s="399">
        <f t="shared" si="0"/>
        <v>1368</v>
      </c>
      <c r="D43" s="399" t="e">
        <f t="shared" ca="1" si="1"/>
        <v>#NAME?</v>
      </c>
      <c r="E43" s="399" t="str">
        <f t="shared" si="2"/>
        <v>Issues and concerns</v>
      </c>
      <c r="F43" s="399" t="str">
        <f t="shared" si="20"/>
        <v>Input Option</v>
      </c>
      <c r="G43" s="400">
        <f t="shared" si="4"/>
        <v>40</v>
      </c>
      <c r="H43" s="399" t="str">
        <f t="shared" si="5"/>
        <v>Reason for family planning visit</v>
      </c>
      <c r="I43" s="400"/>
      <c r="J43" s="400"/>
      <c r="K43" s="401" t="s">
        <v>3333</v>
      </c>
      <c r="L43" s="402" t="s">
        <v>3334</v>
      </c>
      <c r="M43" s="400"/>
      <c r="N43" s="427" t="s">
        <v>3335</v>
      </c>
      <c r="O43" s="428"/>
      <c r="P43" s="403" t="s">
        <v>3379</v>
      </c>
      <c r="Q43" s="403"/>
      <c r="R43" s="403"/>
      <c r="S43" s="405" t="s">
        <v>3380</v>
      </c>
      <c r="T43" s="405"/>
      <c r="U43" s="431"/>
      <c r="V43" s="403" t="s">
        <v>3381</v>
      </c>
      <c r="W43" s="407"/>
      <c r="X43" s="405" t="s">
        <v>208</v>
      </c>
      <c r="Y43" s="407"/>
      <c r="Z43" s="403" t="s">
        <v>113</v>
      </c>
      <c r="AA43" s="403" t="s">
        <v>1889</v>
      </c>
      <c r="AB43" s="408"/>
      <c r="AC43" s="407"/>
      <c r="AD43" s="403"/>
      <c r="AE43" s="406"/>
      <c r="AF43" s="407"/>
      <c r="AG43" s="407"/>
      <c r="AH43" s="399"/>
      <c r="AI43" s="400"/>
      <c r="AJ43" s="399"/>
      <c r="AK43" s="399"/>
      <c r="AL43" s="399"/>
      <c r="AM43" s="399"/>
      <c r="AN43" s="399"/>
      <c r="AO43" s="399"/>
      <c r="AP43" s="399"/>
      <c r="AQ43" s="409" t="s">
        <v>3130</v>
      </c>
      <c r="AR43" s="399"/>
      <c r="AS43" s="399"/>
      <c r="AT43" s="399"/>
      <c r="AU43" s="399" t="s">
        <v>3378</v>
      </c>
      <c r="AV43" s="399" t="str">
        <f t="shared" si="6"/>
        <v>Same</v>
      </c>
      <c r="AW43" s="399"/>
      <c r="AX43" s="409" t="s">
        <v>3343</v>
      </c>
      <c r="AY43" s="399" t="e">
        <f t="shared" ca="1" si="7"/>
        <v>#NAME?</v>
      </c>
      <c r="AZ43" s="399"/>
      <c r="BA43" s="409">
        <v>1</v>
      </c>
      <c r="BB43" s="399"/>
      <c r="BC43" s="399"/>
      <c r="BD43" s="409" t="s">
        <v>3382</v>
      </c>
      <c r="BE43" s="411" t="s">
        <v>3383</v>
      </c>
      <c r="BF43" s="411"/>
      <c r="BG43" s="411"/>
      <c r="BH43" s="411"/>
      <c r="BI43" s="411"/>
      <c r="BJ43" s="399"/>
      <c r="BK43" s="399"/>
      <c r="BL43" s="399"/>
      <c r="BM43" s="399"/>
      <c r="BN43" s="399"/>
      <c r="BO43" s="399"/>
      <c r="BP43" s="399"/>
      <c r="BQ43" s="399"/>
      <c r="BR43" s="399"/>
      <c r="BS43" s="407"/>
      <c r="BT43" s="407"/>
      <c r="BU43" s="412"/>
      <c r="BV43" s="46" t="str">
        <f t="shared" si="8"/>
        <v/>
      </c>
      <c r="BW43" s="46">
        <f t="shared" si="9"/>
        <v>0</v>
      </c>
      <c r="BX43" s="46">
        <f t="shared" si="10"/>
        <v>0</v>
      </c>
      <c r="BY43" s="43" t="str">
        <f t="shared" si="11"/>
        <v>WHO-FP Encounter</v>
      </c>
      <c r="BZ43" s="46">
        <f t="shared" si="12"/>
        <v>1</v>
      </c>
      <c r="CA43" s="46" t="str">
        <f t="shared" si="13"/>
        <v/>
      </c>
      <c r="CB43" s="46">
        <f t="shared" si="14"/>
        <v>1</v>
      </c>
      <c r="CC43" s="46">
        <f t="shared" si="15"/>
        <v>1</v>
      </c>
      <c r="CD43" s="46">
        <f t="shared" si="16"/>
        <v>1</v>
      </c>
      <c r="CE43" s="46">
        <f t="shared" si="17"/>
        <v>0</v>
      </c>
      <c r="CF43" s="46">
        <f t="shared" si="18"/>
        <v>0</v>
      </c>
      <c r="CG43" s="46" t="str">
        <f ca="1">IFERROR(__xludf.DUMMYFUNCTION("if(OR(BH43="""",LEFT(BH43,2)=""LA""),"""",IMPORTXML(CONCATENATE(""https://loinc.org/"",BH43,""/""),""//span[@id='lcn']""))"),"")</f>
        <v/>
      </c>
      <c r="CH43" s="46"/>
      <c r="CI43" s="46"/>
      <c r="CJ43" s="46"/>
      <c r="CK43" s="46"/>
      <c r="CL43" s="46"/>
      <c r="CM43" s="46"/>
      <c r="CN43" s="46"/>
      <c r="CO43" s="46"/>
      <c r="CP43" s="46"/>
      <c r="CQ43" s="46"/>
      <c r="CR43" s="46"/>
      <c r="CS43" s="46"/>
      <c r="CT43" s="46"/>
      <c r="CU43" s="46"/>
    </row>
    <row r="44" spans="1:99" ht="12.75" customHeight="1">
      <c r="A44" s="399">
        <v>1369</v>
      </c>
      <c r="B44" s="399" t="s">
        <v>3384</v>
      </c>
      <c r="C44" s="399">
        <f t="shared" si="0"/>
        <v>1369</v>
      </c>
      <c r="D44" s="399" t="e">
        <f t="shared" ca="1" si="1"/>
        <v>#NAME?</v>
      </c>
      <c r="E44" s="399" t="str">
        <f t="shared" si="2"/>
        <v>Implant removal</v>
      </c>
      <c r="F44" s="399" t="str">
        <f t="shared" si="20"/>
        <v>Input Option</v>
      </c>
      <c r="G44" s="400">
        <f t="shared" si="4"/>
        <v>22</v>
      </c>
      <c r="H44" s="399" t="str">
        <f t="shared" si="5"/>
        <v>Reason for family planning visit</v>
      </c>
      <c r="I44" s="400"/>
      <c r="J44" s="400"/>
      <c r="K44" s="401" t="s">
        <v>3333</v>
      </c>
      <c r="L44" s="402" t="s">
        <v>3334</v>
      </c>
      <c r="M44" s="400"/>
      <c r="N44" s="427" t="s">
        <v>3335</v>
      </c>
      <c r="O44" s="428"/>
      <c r="P44" s="405" t="s">
        <v>3385</v>
      </c>
      <c r="Q44" s="403"/>
      <c r="R44" s="403"/>
      <c r="S44" s="405" t="s">
        <v>3386</v>
      </c>
      <c r="T44" s="405"/>
      <c r="U44" s="431"/>
      <c r="V44" s="403" t="s">
        <v>3387</v>
      </c>
      <c r="W44" s="407"/>
      <c r="X44" s="405" t="s">
        <v>208</v>
      </c>
      <c r="Y44" s="407"/>
      <c r="Z44" s="403" t="s">
        <v>113</v>
      </c>
      <c r="AA44" s="403" t="s">
        <v>3178</v>
      </c>
      <c r="AB44" s="408"/>
      <c r="AC44" s="407"/>
      <c r="AD44" s="403" t="s">
        <v>3388</v>
      </c>
      <c r="AE44" s="406"/>
      <c r="AF44" s="432" t="s">
        <v>3389</v>
      </c>
      <c r="AG44" s="421"/>
      <c r="AH44" s="399"/>
      <c r="AI44" s="400"/>
      <c r="AJ44" s="399"/>
      <c r="AK44" s="399"/>
      <c r="AL44" s="399"/>
      <c r="AM44" s="399"/>
      <c r="AN44" s="399"/>
      <c r="AO44" s="399"/>
      <c r="AP44" s="399"/>
      <c r="AQ44" s="409" t="s">
        <v>3130</v>
      </c>
      <c r="AR44" s="399"/>
      <c r="AS44" s="399"/>
      <c r="AT44" s="399"/>
      <c r="AU44" s="399" t="s">
        <v>3384</v>
      </c>
      <c r="AV44" s="399" t="str">
        <f t="shared" si="6"/>
        <v>Same</v>
      </c>
      <c r="AW44" s="399"/>
      <c r="AX44" s="409" t="s">
        <v>3343</v>
      </c>
      <c r="AY44" s="399" t="e">
        <f t="shared" ca="1" si="7"/>
        <v>#NAME?</v>
      </c>
      <c r="AZ44" s="399"/>
      <c r="BA44" s="409">
        <v>1</v>
      </c>
      <c r="BB44" s="399"/>
      <c r="BC44" s="399"/>
      <c r="BD44" s="399" t="s">
        <v>3162</v>
      </c>
      <c r="BE44" s="411" t="s">
        <v>3391</v>
      </c>
      <c r="BF44" s="411"/>
      <c r="BG44" s="411"/>
      <c r="BH44" s="411"/>
      <c r="BI44" s="411"/>
      <c r="BJ44" s="399"/>
      <c r="BK44" s="399"/>
      <c r="BL44" s="399"/>
      <c r="BM44" s="399"/>
      <c r="BN44" s="399"/>
      <c r="BO44" s="399"/>
      <c r="BP44" s="399"/>
      <c r="BQ44" s="399"/>
      <c r="BR44" s="399"/>
      <c r="BS44" s="407"/>
      <c r="BT44" s="407"/>
      <c r="BU44" s="412"/>
      <c r="BV44" s="46" t="str">
        <f t="shared" si="8"/>
        <v/>
      </c>
      <c r="BW44" s="46">
        <f t="shared" si="9"/>
        <v>0</v>
      </c>
      <c r="BX44" s="46">
        <f t="shared" si="10"/>
        <v>0</v>
      </c>
      <c r="BY44" s="43" t="str">
        <f t="shared" si="11"/>
        <v>WHO-FP Encounter</v>
      </c>
      <c r="BZ44" s="46">
        <f t="shared" si="12"/>
        <v>1</v>
      </c>
      <c r="CA44" s="46" t="str">
        <f t="shared" si="13"/>
        <v/>
      </c>
      <c r="CB44" s="46">
        <f t="shared" si="14"/>
        <v>1</v>
      </c>
      <c r="CC44" s="46">
        <f t="shared" si="15"/>
        <v>1</v>
      </c>
      <c r="CD44" s="46">
        <f t="shared" si="16"/>
        <v>1</v>
      </c>
      <c r="CE44" s="46">
        <f t="shared" si="17"/>
        <v>0</v>
      </c>
      <c r="CF44" s="46">
        <f t="shared" si="18"/>
        <v>0</v>
      </c>
      <c r="CG44" s="46" t="str">
        <f ca="1">IFERROR(__xludf.DUMMYFUNCTION("if(OR(BH44="""",LEFT(BH44,2)=""LA""),"""",IMPORTXML(CONCATENATE(""https://loinc.org/"",BH44,""/""),""//span[@id='lcn']""))"),"")</f>
        <v/>
      </c>
      <c r="CH44" s="46"/>
      <c r="CI44" s="46"/>
      <c r="CJ44" s="46"/>
      <c r="CK44" s="46"/>
      <c r="CL44" s="46"/>
      <c r="CM44" s="46"/>
      <c r="CN44" s="46"/>
      <c r="CO44" s="46"/>
      <c r="CP44" s="46"/>
      <c r="CQ44" s="46"/>
      <c r="CR44" s="46"/>
      <c r="CS44" s="46"/>
      <c r="CT44" s="46"/>
      <c r="CU44" s="46"/>
    </row>
    <row r="45" spans="1:99" ht="12.75" customHeight="1">
      <c r="A45" s="399">
        <v>1370</v>
      </c>
      <c r="B45" s="399" t="s">
        <v>3392</v>
      </c>
      <c r="C45" s="399">
        <f t="shared" si="0"/>
        <v>1370</v>
      </c>
      <c r="D45" s="399" t="e">
        <f t="shared" ca="1" si="1"/>
        <v>#NAME?</v>
      </c>
      <c r="E45" s="399" t="str">
        <f t="shared" si="2"/>
        <v>IUD Removal</v>
      </c>
      <c r="F45" s="399" t="str">
        <f t="shared" si="20"/>
        <v>Input Option</v>
      </c>
      <c r="G45" s="400">
        <f t="shared" si="4"/>
        <v>18</v>
      </c>
      <c r="H45" s="399" t="str">
        <f t="shared" si="5"/>
        <v>Reason for family planning visit</v>
      </c>
      <c r="I45" s="400"/>
      <c r="J45" s="400"/>
      <c r="K45" s="401" t="s">
        <v>3333</v>
      </c>
      <c r="L45" s="402" t="s">
        <v>3334</v>
      </c>
      <c r="M45" s="400"/>
      <c r="N45" s="427" t="s">
        <v>3335</v>
      </c>
      <c r="O45" s="428"/>
      <c r="P45" s="405" t="s">
        <v>3394</v>
      </c>
      <c r="Q45" s="403"/>
      <c r="R45" s="403"/>
      <c r="S45" s="405" t="s">
        <v>3395</v>
      </c>
      <c r="T45" s="405"/>
      <c r="U45" s="431"/>
      <c r="V45" s="403" t="s">
        <v>3396</v>
      </c>
      <c r="W45" s="407"/>
      <c r="X45" s="405" t="s">
        <v>208</v>
      </c>
      <c r="Y45" s="407"/>
      <c r="Z45" s="403" t="s">
        <v>113</v>
      </c>
      <c r="AA45" s="403" t="s">
        <v>3178</v>
      </c>
      <c r="AB45" s="408"/>
      <c r="AC45" s="407"/>
      <c r="AD45" s="403" t="s">
        <v>3388</v>
      </c>
      <c r="AE45" s="406"/>
      <c r="AF45" s="407"/>
      <c r="AG45" s="407"/>
      <c r="AH45" s="399"/>
      <c r="AI45" s="400"/>
      <c r="AJ45" s="399"/>
      <c r="AK45" s="399"/>
      <c r="AL45" s="399"/>
      <c r="AM45" s="399"/>
      <c r="AN45" s="399"/>
      <c r="AO45" s="399"/>
      <c r="AP45" s="399"/>
      <c r="AQ45" s="409" t="s">
        <v>3130</v>
      </c>
      <c r="AR45" s="399"/>
      <c r="AS45" s="399"/>
      <c r="AT45" s="399"/>
      <c r="AU45" s="399" t="s">
        <v>3392</v>
      </c>
      <c r="AV45" s="399" t="str">
        <f t="shared" si="6"/>
        <v>Same</v>
      </c>
      <c r="AW45" s="399"/>
      <c r="AX45" s="409" t="s">
        <v>3343</v>
      </c>
      <c r="AY45" s="399" t="e">
        <f t="shared" ca="1" si="7"/>
        <v>#NAME?</v>
      </c>
      <c r="AZ45" s="399"/>
      <c r="BA45" s="409">
        <v>1</v>
      </c>
      <c r="BB45" s="399"/>
      <c r="BC45" s="399"/>
      <c r="BD45" s="399" t="s">
        <v>3162</v>
      </c>
      <c r="BE45" s="411" t="s">
        <v>3397</v>
      </c>
      <c r="BF45" s="411"/>
      <c r="BG45" s="411"/>
      <c r="BH45" s="411"/>
      <c r="BI45" s="411"/>
      <c r="BJ45" s="399"/>
      <c r="BK45" s="399"/>
      <c r="BL45" s="399"/>
      <c r="BM45" s="399"/>
      <c r="BN45" s="399"/>
      <c r="BO45" s="399"/>
      <c r="BP45" s="399"/>
      <c r="BQ45" s="399"/>
      <c r="BR45" s="399"/>
      <c r="BS45" s="407"/>
      <c r="BT45" s="407"/>
      <c r="BU45" s="412"/>
      <c r="BV45" s="46" t="str">
        <f t="shared" si="8"/>
        <v/>
      </c>
      <c r="BW45" s="46">
        <f t="shared" si="9"/>
        <v>0</v>
      </c>
      <c r="BX45" s="46">
        <f t="shared" si="10"/>
        <v>0</v>
      </c>
      <c r="BY45" s="43" t="str">
        <f t="shared" si="11"/>
        <v>WHO-FP Encounter</v>
      </c>
      <c r="BZ45" s="46">
        <f t="shared" si="12"/>
        <v>1</v>
      </c>
      <c r="CA45" s="46" t="str">
        <f t="shared" si="13"/>
        <v/>
      </c>
      <c r="CB45" s="46">
        <f t="shared" si="14"/>
        <v>1</v>
      </c>
      <c r="CC45" s="46">
        <f t="shared" si="15"/>
        <v>1</v>
      </c>
      <c r="CD45" s="46">
        <f t="shared" si="16"/>
        <v>1</v>
      </c>
      <c r="CE45" s="46">
        <f t="shared" si="17"/>
        <v>0</v>
      </c>
      <c r="CF45" s="46">
        <f t="shared" si="18"/>
        <v>0</v>
      </c>
      <c r="CG45" s="46" t="str">
        <f ca="1">IFERROR(__xludf.DUMMYFUNCTION("if(OR(BH45="""",LEFT(BH45,2)=""LA""),"""",IMPORTXML(CONCATENATE(""https://loinc.org/"",BH45,""/""),""//span[@id='lcn']""))"),"")</f>
        <v/>
      </c>
      <c r="CH45" s="46"/>
      <c r="CI45" s="46"/>
      <c r="CJ45" s="46"/>
      <c r="CK45" s="46"/>
      <c r="CL45" s="46"/>
      <c r="CM45" s="46"/>
      <c r="CN45" s="46"/>
      <c r="CO45" s="46"/>
      <c r="CP45" s="46"/>
      <c r="CQ45" s="46"/>
      <c r="CR45" s="46"/>
      <c r="CS45" s="46"/>
      <c r="CT45" s="46"/>
      <c r="CU45" s="46"/>
    </row>
    <row r="46" spans="1:99" ht="12.75" customHeight="1">
      <c r="A46" s="399">
        <v>1371</v>
      </c>
      <c r="B46" s="409" t="s">
        <v>3398</v>
      </c>
      <c r="C46" s="399">
        <f t="shared" si="0"/>
        <v>1371</v>
      </c>
      <c r="D46" s="399" t="e">
        <f t="shared" ca="1" si="1"/>
        <v>#NAME?</v>
      </c>
      <c r="E46" s="399" t="str">
        <f t="shared" si="2"/>
        <v>Method switch</v>
      </c>
      <c r="F46" s="399" t="str">
        <f t="shared" si="20"/>
        <v>Input Option</v>
      </c>
      <c r="G46" s="400">
        <f t="shared" si="4"/>
        <v>34</v>
      </c>
      <c r="H46" s="399" t="str">
        <f t="shared" si="5"/>
        <v>Reason for family planning visit</v>
      </c>
      <c r="I46" s="400"/>
      <c r="J46" s="400"/>
      <c r="K46" s="401" t="s">
        <v>3333</v>
      </c>
      <c r="L46" s="402" t="s">
        <v>3334</v>
      </c>
      <c r="M46" s="400"/>
      <c r="N46" s="427" t="s">
        <v>3335</v>
      </c>
      <c r="O46" s="428"/>
      <c r="P46" s="405" t="s">
        <v>3399</v>
      </c>
      <c r="Q46" s="405"/>
      <c r="R46" s="403"/>
      <c r="S46" s="405" t="s">
        <v>3400</v>
      </c>
      <c r="T46" s="405"/>
      <c r="U46" s="431"/>
      <c r="V46" s="429" t="s">
        <v>3401</v>
      </c>
      <c r="W46" s="407"/>
      <c r="X46" s="405" t="s">
        <v>208</v>
      </c>
      <c r="Y46" s="403"/>
      <c r="Z46" s="403" t="s">
        <v>113</v>
      </c>
      <c r="AA46" s="403" t="s">
        <v>3178</v>
      </c>
      <c r="AB46" s="408"/>
      <c r="AC46" s="407"/>
      <c r="AD46" s="403"/>
      <c r="AE46" s="406"/>
      <c r="AF46" s="407"/>
      <c r="AG46" s="407"/>
      <c r="AH46" s="399"/>
      <c r="AI46" s="400"/>
      <c r="AJ46" s="399"/>
      <c r="AK46" s="399"/>
      <c r="AL46" s="399"/>
      <c r="AM46" s="399"/>
      <c r="AN46" s="399"/>
      <c r="AO46" s="399"/>
      <c r="AP46" s="399"/>
      <c r="AQ46" s="409" t="s">
        <v>3130</v>
      </c>
      <c r="AR46" s="399"/>
      <c r="AS46" s="399"/>
      <c r="AT46" s="399"/>
      <c r="AU46" s="399" t="s">
        <v>3402</v>
      </c>
      <c r="AV46" s="399" t="str">
        <f t="shared" si="6"/>
        <v>Changed</v>
      </c>
      <c r="AW46" s="399"/>
      <c r="AX46" s="409" t="s">
        <v>3343</v>
      </c>
      <c r="AY46" s="399" t="e">
        <f t="shared" ca="1" si="7"/>
        <v>#NAME?</v>
      </c>
      <c r="AZ46" s="399"/>
      <c r="BA46" s="409">
        <v>1</v>
      </c>
      <c r="BB46" s="399"/>
      <c r="BC46" s="399"/>
      <c r="BD46" s="409" t="s">
        <v>3188</v>
      </c>
      <c r="BE46" s="411"/>
      <c r="BF46" s="411"/>
      <c r="BG46" s="434" t="s">
        <v>3403</v>
      </c>
      <c r="BH46" s="411"/>
      <c r="BI46" s="411"/>
      <c r="BJ46" s="399"/>
      <c r="BK46" s="399"/>
      <c r="BL46" s="409" t="s">
        <v>3162</v>
      </c>
      <c r="BM46" s="435" t="s">
        <v>3404</v>
      </c>
      <c r="BN46" s="399"/>
      <c r="BO46" s="399"/>
      <c r="BP46" s="399"/>
      <c r="BQ46" s="399"/>
      <c r="BR46" s="399"/>
      <c r="BS46" s="407"/>
      <c r="BT46" s="407"/>
      <c r="BU46" s="412"/>
      <c r="BV46" s="46" t="str">
        <f t="shared" si="8"/>
        <v/>
      </c>
      <c r="BW46" s="46">
        <f t="shared" si="9"/>
        <v>0</v>
      </c>
      <c r="BX46" s="46">
        <f t="shared" si="10"/>
        <v>0</v>
      </c>
      <c r="BY46" s="43" t="str">
        <f t="shared" si="11"/>
        <v>WHO-FP Encounter</v>
      </c>
      <c r="BZ46" s="46">
        <f t="shared" si="12"/>
        <v>1</v>
      </c>
      <c r="CA46" s="46" t="str">
        <f t="shared" si="13"/>
        <v/>
      </c>
      <c r="CB46" s="46">
        <f t="shared" si="14"/>
        <v>1</v>
      </c>
      <c r="CC46" s="46">
        <f t="shared" si="15"/>
        <v>1</v>
      </c>
      <c r="CD46" s="46">
        <f t="shared" si="16"/>
        <v>1</v>
      </c>
      <c r="CE46" s="46">
        <f t="shared" si="17"/>
        <v>0</v>
      </c>
      <c r="CF46" s="46">
        <f t="shared" si="18"/>
        <v>0</v>
      </c>
      <c r="CG46" s="46" t="str">
        <f ca="1">IFERROR(__xludf.DUMMYFUNCTION("if(OR(BH46="""",LEFT(BH46,2)=""LA""),"""",IMPORTXML(CONCATENATE(""https://loinc.org/"",BH46,""/""),""//span[@id='lcn']""))"),"")</f>
        <v/>
      </c>
      <c r="CH46" s="46"/>
      <c r="CI46" s="46"/>
      <c r="CJ46" s="46"/>
      <c r="CK46" s="46"/>
      <c r="CL46" s="46"/>
      <c r="CM46" s="46"/>
      <c r="CN46" s="46"/>
      <c r="CO46" s="46"/>
      <c r="CP46" s="46"/>
      <c r="CQ46" s="46"/>
      <c r="CR46" s="46"/>
      <c r="CS46" s="46"/>
      <c r="CT46" s="46"/>
      <c r="CU46" s="46"/>
    </row>
    <row r="47" spans="1:99" ht="12.75" customHeight="1">
      <c r="A47" s="409">
        <v>1372</v>
      </c>
      <c r="B47" s="409" t="s">
        <v>3405</v>
      </c>
      <c r="C47" s="399">
        <f t="shared" si="0"/>
        <v>1372</v>
      </c>
      <c r="D47" s="399" t="str">
        <f t="shared" si="1"/>
        <v>Reason for stopping method</v>
      </c>
      <c r="E47" s="399" t="str">
        <f t="shared" si="2"/>
        <v>Reason for stopping method</v>
      </c>
      <c r="F47" s="399" t="str">
        <f t="shared" si="20"/>
        <v>Data Element</v>
      </c>
      <c r="G47" s="400">
        <f t="shared" si="4"/>
        <v>40</v>
      </c>
      <c r="H47" s="400" t="str">
        <f t="shared" si="5"/>
        <v/>
      </c>
      <c r="I47" s="400"/>
      <c r="J47" s="400"/>
      <c r="K47" s="401" t="s">
        <v>3333</v>
      </c>
      <c r="L47" s="402" t="s">
        <v>3334</v>
      </c>
      <c r="M47" s="400"/>
      <c r="N47" s="427" t="s">
        <v>3335</v>
      </c>
      <c r="O47" s="428"/>
      <c r="P47" s="405" t="s">
        <v>3406</v>
      </c>
      <c r="Q47" s="403" t="s">
        <v>3407</v>
      </c>
      <c r="R47" s="403"/>
      <c r="S47" s="403" t="s">
        <v>3408</v>
      </c>
      <c r="T47" s="405" t="s">
        <v>3339</v>
      </c>
      <c r="U47" s="429" t="s">
        <v>3326</v>
      </c>
      <c r="V47" s="407"/>
      <c r="W47" s="407"/>
      <c r="X47" s="405" t="s">
        <v>208</v>
      </c>
      <c r="Y47" s="403"/>
      <c r="Z47" s="403" t="s">
        <v>113</v>
      </c>
      <c r="AA47" s="403" t="s">
        <v>3178</v>
      </c>
      <c r="AB47" s="432" t="s">
        <v>3409</v>
      </c>
      <c r="AC47" s="421"/>
      <c r="AD47" s="436"/>
      <c r="AE47" s="406"/>
      <c r="AF47" s="407"/>
      <c r="AG47" s="407"/>
      <c r="AH47" s="399"/>
      <c r="AI47" s="400"/>
      <c r="AJ47" s="399"/>
      <c r="AK47" s="409" t="s">
        <v>3410</v>
      </c>
      <c r="AL47" s="409" t="s">
        <v>3181</v>
      </c>
      <c r="AM47" s="409" t="s">
        <v>3100</v>
      </c>
      <c r="AN47" s="399" t="s">
        <v>3101</v>
      </c>
      <c r="AO47" s="399"/>
      <c r="AP47" s="409" t="s">
        <v>3411</v>
      </c>
      <c r="AQ47" s="409" t="s">
        <v>3103</v>
      </c>
      <c r="AR47" s="415" t="s">
        <v>3412</v>
      </c>
      <c r="AS47" s="409" t="s">
        <v>3413</v>
      </c>
      <c r="AT47" s="399"/>
      <c r="AU47" s="399" t="s">
        <v>3405</v>
      </c>
      <c r="AV47" s="399" t="str">
        <f t="shared" si="6"/>
        <v>Same</v>
      </c>
      <c r="AW47" s="399"/>
      <c r="AX47" s="409" t="s">
        <v>3343</v>
      </c>
      <c r="AY47" s="399" t="str">
        <f t="shared" si="7"/>
        <v>"Reason for stopping method"-&gt;"Reason for stopping contraception method"</v>
      </c>
      <c r="AZ47" s="399"/>
      <c r="BA47" s="409">
        <v>1</v>
      </c>
      <c r="BB47" s="399"/>
      <c r="BC47" s="399"/>
      <c r="BD47" s="409" t="s">
        <v>3415</v>
      </c>
      <c r="BE47" s="411"/>
      <c r="BF47" s="411"/>
      <c r="BG47" s="411"/>
      <c r="BH47" s="434" t="s">
        <v>3416</v>
      </c>
      <c r="BI47" s="411"/>
      <c r="BJ47" s="399"/>
      <c r="BK47" s="399"/>
      <c r="BL47" s="399"/>
      <c r="BM47" s="409" t="s">
        <v>3417</v>
      </c>
      <c r="BN47" s="399"/>
      <c r="BO47" s="399"/>
      <c r="BP47" s="399"/>
      <c r="BQ47" s="399"/>
      <c r="BR47" s="399"/>
      <c r="BS47" s="407"/>
      <c r="BT47" s="407"/>
      <c r="BU47" s="412"/>
      <c r="BV47" s="46" t="str">
        <f t="shared" si="8"/>
        <v>Observation</v>
      </c>
      <c r="BW47" s="46" t="str">
        <f t="shared" si="9"/>
        <v/>
      </c>
      <c r="BX47" s="46" t="str">
        <f t="shared" si="10"/>
        <v>Observation</v>
      </c>
      <c r="BY47" s="43" t="str">
        <f t="shared" si="11"/>
        <v>WHO-FP Observation (Reason for Stopping Contraception)</v>
      </c>
      <c r="BZ47" s="46">
        <f t="shared" si="12"/>
        <v>1</v>
      </c>
      <c r="CA47" s="46">
        <f t="shared" si="13"/>
        <v>1</v>
      </c>
      <c r="CB47" s="46">
        <f t="shared" si="14"/>
        <v>1</v>
      </c>
      <c r="CC47" s="46">
        <f t="shared" si="15"/>
        <v>1</v>
      </c>
      <c r="CD47" s="46">
        <f t="shared" si="16"/>
        <v>1</v>
      </c>
      <c r="CE47" s="46">
        <f t="shared" si="17"/>
        <v>0</v>
      </c>
      <c r="CF47" s="46">
        <f t="shared" si="18"/>
        <v>0</v>
      </c>
      <c r="CG47" s="46" t="str">
        <f ca="1">IFERROR(__xludf.DUMMYFUNCTION("if(OR(BH47="""",LEFT(BH47,2)=""LA""),"""",IMPORTXML(CONCATENATE(""https://loinc.org/"",BH47,""/""),""//span[@id='lcn']""))"),"Reason for no birth control / Example list of reasons for why birth control 
(contraceptive methods) is not used")</f>
        <v>Reason for no birth control / Example list of reasons for why birth control 
(contraceptive methods) is not used</v>
      </c>
      <c r="CH47" s="46"/>
      <c r="CI47" s="46"/>
      <c r="CJ47" s="46"/>
      <c r="CK47" s="46"/>
      <c r="CL47" s="46"/>
      <c r="CM47" s="46"/>
      <c r="CN47" s="46"/>
      <c r="CO47" s="46"/>
      <c r="CP47" s="46"/>
      <c r="CQ47" s="46"/>
      <c r="CR47" s="46"/>
      <c r="CS47" s="46"/>
      <c r="CT47" s="46"/>
      <c r="CU47" s="46"/>
    </row>
    <row r="48" spans="1:99" ht="12.75" customHeight="1">
      <c r="A48" s="409">
        <v>1845</v>
      </c>
      <c r="B48" s="399" t="s">
        <v>3419</v>
      </c>
      <c r="C48" s="399">
        <f t="shared" si="0"/>
        <v>1845</v>
      </c>
      <c r="D48" s="399" t="str">
        <f t="shared" si="1"/>
        <v>Other (specify)</v>
      </c>
      <c r="E48" s="399" t="str">
        <f t="shared" si="2"/>
        <v>Other (specify)</v>
      </c>
      <c r="F48" s="399" t="str">
        <f t="shared" si="20"/>
        <v>Data Element</v>
      </c>
      <c r="G48" s="400">
        <f t="shared" si="4"/>
        <v>44</v>
      </c>
      <c r="H48" s="400" t="str">
        <f t="shared" si="5"/>
        <v/>
      </c>
      <c r="I48" s="400"/>
      <c r="J48" s="400"/>
      <c r="K48" s="401" t="s">
        <v>3333</v>
      </c>
      <c r="L48" s="402" t="s">
        <v>3334</v>
      </c>
      <c r="M48" s="400"/>
      <c r="N48" s="427" t="s">
        <v>3335</v>
      </c>
      <c r="O48" s="428"/>
      <c r="P48" s="437" t="s">
        <v>3420</v>
      </c>
      <c r="Q48" s="407" t="s">
        <v>405</v>
      </c>
      <c r="R48" s="407"/>
      <c r="S48" s="407" t="s">
        <v>3421</v>
      </c>
      <c r="T48" s="407" t="s">
        <v>111</v>
      </c>
      <c r="U48" s="407"/>
      <c r="V48" s="407"/>
      <c r="W48" s="407"/>
      <c r="X48" s="407" t="s">
        <v>208</v>
      </c>
      <c r="Y48" s="407"/>
      <c r="Z48" s="407" t="s">
        <v>113</v>
      </c>
      <c r="AA48" s="407" t="s">
        <v>3178</v>
      </c>
      <c r="AB48" s="432" t="s">
        <v>3422</v>
      </c>
      <c r="AC48" s="421"/>
      <c r="AD48" s="421"/>
      <c r="AE48" s="408"/>
      <c r="AF48" s="407"/>
      <c r="AG48" s="407"/>
      <c r="AH48" s="399"/>
      <c r="AI48" s="400"/>
      <c r="AJ48" s="399" t="s">
        <v>1787</v>
      </c>
      <c r="AK48" s="409" t="s">
        <v>3410</v>
      </c>
      <c r="AL48" s="409" t="s">
        <v>3423</v>
      </c>
      <c r="AM48" s="409" t="s">
        <v>3100</v>
      </c>
      <c r="AN48" s="399" t="s">
        <v>3101</v>
      </c>
      <c r="AO48" s="399" t="s">
        <v>1787</v>
      </c>
      <c r="AP48" s="409" t="s">
        <v>3411</v>
      </c>
      <c r="AQ48" s="409" t="s">
        <v>3424</v>
      </c>
      <c r="AR48" s="399"/>
      <c r="AS48" s="399"/>
      <c r="AT48" s="399"/>
      <c r="AU48" s="399"/>
      <c r="AV48" s="399" t="str">
        <f t="shared" si="6"/>
        <v/>
      </c>
      <c r="AW48" s="399"/>
      <c r="AX48" s="409" t="s">
        <v>3343</v>
      </c>
      <c r="AY48" s="399" t="str">
        <f t="shared" si="7"/>
        <v>"Other (specify)"-&gt;"Other (specify) - Reason for stopping method"</v>
      </c>
      <c r="AZ48" s="399"/>
      <c r="BA48" s="409">
        <v>1</v>
      </c>
      <c r="BB48" s="399"/>
      <c r="BC48" s="399" t="s">
        <v>1787</v>
      </c>
      <c r="BD48" s="399" t="s">
        <v>1787</v>
      </c>
      <c r="BE48" s="411"/>
      <c r="BF48" s="411" t="s">
        <v>1787</v>
      </c>
      <c r="BG48" s="411"/>
      <c r="BH48" s="411"/>
      <c r="BI48" s="411"/>
      <c r="BJ48" s="409" t="s">
        <v>3106</v>
      </c>
      <c r="BK48" s="399" t="s">
        <v>1787</v>
      </c>
      <c r="BL48" s="399"/>
      <c r="BM48" s="399" t="s">
        <v>1787</v>
      </c>
      <c r="BN48" s="399" t="s">
        <v>1787</v>
      </c>
      <c r="BO48" s="399" t="s">
        <v>1787</v>
      </c>
      <c r="BP48" s="399" t="s">
        <v>1787</v>
      </c>
      <c r="BQ48" s="399" t="s">
        <v>1787</v>
      </c>
      <c r="BR48" s="399" t="s">
        <v>1787</v>
      </c>
      <c r="BS48" s="407"/>
      <c r="BT48" s="407"/>
      <c r="BU48" s="412"/>
      <c r="BV48" s="46" t="str">
        <f t="shared" si="8"/>
        <v>Observation</v>
      </c>
      <c r="BW48" s="46" t="str">
        <f t="shared" si="9"/>
        <v/>
      </c>
      <c r="BX48" s="46" t="str">
        <f t="shared" si="10"/>
        <v>Observation</v>
      </c>
      <c r="BY48" s="43" t="str">
        <f t="shared" si="11"/>
        <v>WHO-FP Observation (Reason for Stopping Contraception)</v>
      </c>
      <c r="BZ48" s="46">
        <f t="shared" si="12"/>
        <v>1</v>
      </c>
      <c r="CA48" s="46">
        <f t="shared" si="13"/>
        <v>0</v>
      </c>
      <c r="CB48" s="46">
        <f t="shared" si="14"/>
        <v>1</v>
      </c>
      <c r="CC48" s="46">
        <f t="shared" si="15"/>
        <v>1</v>
      </c>
      <c r="CD48" s="46">
        <f t="shared" si="16"/>
        <v>1</v>
      </c>
      <c r="CE48" s="46">
        <f t="shared" si="17"/>
        <v>0</v>
      </c>
      <c r="CF48" s="46">
        <f t="shared" si="18"/>
        <v>0</v>
      </c>
      <c r="CG48" s="46" t="str">
        <f ca="1">IFERROR(__xludf.DUMMYFUNCTION("if(OR(BH48="""",LEFT(BH48,2)=""LA""),"""",IMPORTXML(CONCATENATE(""https://loinc.org/"",BH48,""/""),""//span[@id='lcn']""))"),"")</f>
        <v/>
      </c>
      <c r="CH48" s="46"/>
      <c r="CI48" s="46"/>
      <c r="CJ48" s="46"/>
      <c r="CK48" s="46"/>
      <c r="CL48" s="46"/>
      <c r="CM48" s="46"/>
      <c r="CN48" s="46"/>
      <c r="CO48" s="46"/>
      <c r="CP48" s="46"/>
      <c r="CQ48" s="46"/>
      <c r="CR48" s="46"/>
      <c r="CS48" s="46"/>
      <c r="CT48" s="46"/>
      <c r="CU48" s="46"/>
    </row>
    <row r="49" spans="1:99" ht="12.75" customHeight="1">
      <c r="A49" s="409">
        <v>1846</v>
      </c>
      <c r="B49" s="399" t="s">
        <v>3426</v>
      </c>
      <c r="C49" s="399">
        <f t="shared" si="0"/>
        <v>1846</v>
      </c>
      <c r="D49" s="399" t="str">
        <f t="shared" si="1"/>
        <v>Pregnancy intention</v>
      </c>
      <c r="E49" s="399" t="str">
        <f t="shared" si="2"/>
        <v>Pregnancy intention</v>
      </c>
      <c r="F49" s="399" t="str">
        <f t="shared" si="20"/>
        <v>Data Element</v>
      </c>
      <c r="G49" s="400">
        <f t="shared" si="4"/>
        <v>19</v>
      </c>
      <c r="H49" s="400" t="str">
        <f t="shared" si="5"/>
        <v/>
      </c>
      <c r="I49" s="400"/>
      <c r="J49" s="400"/>
      <c r="K49" s="401" t="s">
        <v>3333</v>
      </c>
      <c r="L49" s="402" t="s">
        <v>3334</v>
      </c>
      <c r="M49" s="400"/>
      <c r="N49" s="427" t="s">
        <v>3335</v>
      </c>
      <c r="O49" s="428"/>
      <c r="P49" s="407" t="s">
        <v>3427</v>
      </c>
      <c r="Q49" s="407" t="s">
        <v>3426</v>
      </c>
      <c r="R49" s="407"/>
      <c r="S49" s="407" t="s">
        <v>3428</v>
      </c>
      <c r="T49" s="407" t="s">
        <v>3339</v>
      </c>
      <c r="U49" s="407" t="s">
        <v>3243</v>
      </c>
      <c r="V49" s="407"/>
      <c r="W49" s="407"/>
      <c r="X49" s="407" t="s">
        <v>208</v>
      </c>
      <c r="Y49" s="407"/>
      <c r="Z49" s="407" t="s">
        <v>113</v>
      </c>
      <c r="AA49" s="407" t="s">
        <v>1889</v>
      </c>
      <c r="AB49" s="408"/>
      <c r="AC49" s="407"/>
      <c r="AD49" s="407"/>
      <c r="AE49" s="408"/>
      <c r="AF49" s="407" t="s">
        <v>3429</v>
      </c>
      <c r="AG49" s="407"/>
      <c r="AH49" s="399"/>
      <c r="AI49" s="400"/>
      <c r="AJ49" s="399" t="s">
        <v>1787</v>
      </c>
      <c r="AK49" s="409" t="s">
        <v>3410</v>
      </c>
      <c r="AL49" s="409" t="s">
        <v>3181</v>
      </c>
      <c r="AM49" s="409" t="s">
        <v>3100</v>
      </c>
      <c r="AN49" s="399" t="s">
        <v>3101</v>
      </c>
      <c r="AO49" s="399" t="s">
        <v>1787</v>
      </c>
      <c r="AP49" s="409" t="s">
        <v>3430</v>
      </c>
      <c r="AQ49" s="409" t="s">
        <v>3130</v>
      </c>
      <c r="AR49" s="399"/>
      <c r="AS49" s="399"/>
      <c r="AT49" s="399"/>
      <c r="AU49" s="399"/>
      <c r="AV49" s="399" t="str">
        <f t="shared" si="6"/>
        <v/>
      </c>
      <c r="AW49" s="399"/>
      <c r="AX49" s="409" t="s">
        <v>3343</v>
      </c>
      <c r="AY49" s="399" t="str">
        <f t="shared" si="7"/>
        <v/>
      </c>
      <c r="AZ49" s="399"/>
      <c r="BA49" s="409">
        <v>1</v>
      </c>
      <c r="BB49" s="399"/>
      <c r="BC49" s="399" t="s">
        <v>1787</v>
      </c>
      <c r="BD49" s="409" t="s">
        <v>3431</v>
      </c>
      <c r="BE49" s="411"/>
      <c r="BF49" s="411" t="s">
        <v>1787</v>
      </c>
      <c r="BG49" s="411"/>
      <c r="BH49" s="434" t="s">
        <v>3432</v>
      </c>
      <c r="BI49" s="411"/>
      <c r="BJ49" s="399" t="s">
        <v>1787</v>
      </c>
      <c r="BK49" s="399" t="s">
        <v>1787</v>
      </c>
      <c r="BL49" s="399"/>
      <c r="BM49" s="438" t="str">
        <f>HYPERLINK("https://build.fhir.org/ig/HL7/fhir-ips/StructureDefinition-Observation-pregnancy-status-uv-ips.html","Observation resource? See IPS Pregnancy resource for suggestion. Might extend IPS Pregnancy Status value set?")</f>
        <v>Observation resource? See IPS Pregnancy resource for suggestion. Might extend IPS Pregnancy Status value set?</v>
      </c>
      <c r="BN49" s="399" t="s">
        <v>1787</v>
      </c>
      <c r="BO49" s="399" t="s">
        <v>1787</v>
      </c>
      <c r="BP49" s="399" t="s">
        <v>1787</v>
      </c>
      <c r="BQ49" s="399" t="s">
        <v>1787</v>
      </c>
      <c r="BR49" s="399" t="s">
        <v>1787</v>
      </c>
      <c r="BS49" s="407"/>
      <c r="BT49" s="407"/>
      <c r="BU49" s="412"/>
      <c r="BV49" s="46" t="str">
        <f t="shared" si="8"/>
        <v>Observation</v>
      </c>
      <c r="BW49" s="46" t="str">
        <f t="shared" si="9"/>
        <v/>
      </c>
      <c r="BX49" s="46" t="str">
        <f t="shared" si="10"/>
        <v>Observation</v>
      </c>
      <c r="BY49" s="43" t="str">
        <f t="shared" si="11"/>
        <v>WHO-FP Observation (Pregnancy Intention)</v>
      </c>
      <c r="BZ49" s="46">
        <f t="shared" si="12"/>
        <v>1</v>
      </c>
      <c r="CA49" s="46">
        <f t="shared" si="13"/>
        <v>1</v>
      </c>
      <c r="CB49" s="46">
        <f t="shared" si="14"/>
        <v>1</v>
      </c>
      <c r="CC49" s="46">
        <f t="shared" si="15"/>
        <v>1</v>
      </c>
      <c r="CD49" s="46">
        <f t="shared" si="16"/>
        <v>1</v>
      </c>
      <c r="CE49" s="46">
        <f t="shared" si="17"/>
        <v>0</v>
      </c>
      <c r="CF49" s="46">
        <f t="shared" si="18"/>
        <v>0</v>
      </c>
      <c r="CG49" s="46" t="str">
        <f ca="1">IFERROR(__xludf.DUMMYFUNCTION("if(OR(BH49="""",LEFT(BH49,2)=""LA""),"""",IMPORTXML(CONCATENATE(""https://loinc.org/"",BH49,""/""),""//span[@id='lcn']""))"),"Pregnancy intention in the next year - Reported")</f>
        <v>Pregnancy intention in the next year - Reported</v>
      </c>
      <c r="CH49" s="46"/>
      <c r="CI49" s="46"/>
      <c r="CJ49" s="46"/>
      <c r="CK49" s="46"/>
      <c r="CL49" s="46"/>
      <c r="CM49" s="46"/>
      <c r="CN49" s="46"/>
      <c r="CO49" s="46"/>
      <c r="CP49" s="46"/>
      <c r="CQ49" s="46"/>
      <c r="CR49" s="46"/>
      <c r="CS49" s="46"/>
      <c r="CT49" s="46"/>
      <c r="CU49" s="46"/>
    </row>
    <row r="50" spans="1:99" ht="12.75" customHeight="1">
      <c r="A50" s="409">
        <v>1847</v>
      </c>
      <c r="B50" s="399" t="s">
        <v>3433</v>
      </c>
      <c r="C50" s="399">
        <f t="shared" si="0"/>
        <v>1847</v>
      </c>
      <c r="D50" s="399" t="e">
        <f t="shared" ca="1" si="1"/>
        <v>#NAME?</v>
      </c>
      <c r="E50" s="399" t="str">
        <f t="shared" si="2"/>
        <v>Yes, I want to become pregnant    </v>
      </c>
      <c r="F50" s="399" t="str">
        <f t="shared" si="20"/>
        <v>Input Option</v>
      </c>
      <c r="G50" s="400">
        <f t="shared" si="4"/>
        <v>41</v>
      </c>
      <c r="H50" s="399" t="str">
        <f t="shared" si="5"/>
        <v>Pregnancy intention</v>
      </c>
      <c r="I50" s="400"/>
      <c r="J50" s="400"/>
      <c r="K50" s="401" t="s">
        <v>3333</v>
      </c>
      <c r="L50" s="402" t="s">
        <v>3334</v>
      </c>
      <c r="M50" s="400"/>
      <c r="N50" s="427" t="s">
        <v>3335</v>
      </c>
      <c r="O50" s="428"/>
      <c r="P50" s="407" t="s">
        <v>3434</v>
      </c>
      <c r="Q50" s="407"/>
      <c r="R50" s="407"/>
      <c r="S50" s="407"/>
      <c r="T50" s="407"/>
      <c r="U50" s="407"/>
      <c r="V50" s="432" t="s">
        <v>3435</v>
      </c>
      <c r="W50" s="407"/>
      <c r="X50" s="407" t="s">
        <v>208</v>
      </c>
      <c r="Y50" s="407"/>
      <c r="Z50" s="407" t="s">
        <v>113</v>
      </c>
      <c r="AA50" s="407" t="s">
        <v>1889</v>
      </c>
      <c r="AB50" s="408"/>
      <c r="AC50" s="407"/>
      <c r="AD50" s="407"/>
      <c r="AE50" s="408"/>
      <c r="AF50" s="407"/>
      <c r="AG50" s="407"/>
      <c r="AH50" s="399"/>
      <c r="AI50" s="400"/>
      <c r="AJ50" s="399" t="s">
        <v>1787</v>
      </c>
      <c r="AK50" s="399"/>
      <c r="AL50" s="399" t="s">
        <v>1787</v>
      </c>
      <c r="AM50" s="399"/>
      <c r="AN50" s="399" t="s">
        <v>1787</v>
      </c>
      <c r="AO50" s="399" t="s">
        <v>1787</v>
      </c>
      <c r="AP50" s="399"/>
      <c r="AQ50" s="409" t="s">
        <v>3130</v>
      </c>
      <c r="AR50" s="399"/>
      <c r="AS50" s="399"/>
      <c r="AT50" s="399"/>
      <c r="AU50" s="399"/>
      <c r="AV50" s="399" t="str">
        <f t="shared" si="6"/>
        <v/>
      </c>
      <c r="AW50" s="399"/>
      <c r="AX50" s="409" t="s">
        <v>3343</v>
      </c>
      <c r="AY50" s="399" t="e">
        <f t="shared" ca="1" si="7"/>
        <v>#NAME?</v>
      </c>
      <c r="AZ50" s="399"/>
      <c r="BA50" s="409">
        <v>1</v>
      </c>
      <c r="BB50" s="399"/>
      <c r="BC50" s="399" t="s">
        <v>1787</v>
      </c>
      <c r="BD50" s="409" t="s">
        <v>3431</v>
      </c>
      <c r="BE50" s="411"/>
      <c r="BF50" s="411" t="s">
        <v>1787</v>
      </c>
      <c r="BG50" s="411"/>
      <c r="BH50" s="434" t="s">
        <v>3436</v>
      </c>
      <c r="BI50" s="411"/>
      <c r="BJ50" s="399" t="s">
        <v>1787</v>
      </c>
      <c r="BK50" s="399" t="s">
        <v>1787</v>
      </c>
      <c r="BL50" s="399"/>
      <c r="BM50" s="399" t="s">
        <v>1787</v>
      </c>
      <c r="BN50" s="399" t="s">
        <v>1787</v>
      </c>
      <c r="BO50" s="399" t="s">
        <v>1787</v>
      </c>
      <c r="BP50" s="399" t="s">
        <v>1787</v>
      </c>
      <c r="BQ50" s="399" t="s">
        <v>1787</v>
      </c>
      <c r="BR50" s="399" t="s">
        <v>1787</v>
      </c>
      <c r="BS50" s="407"/>
      <c r="BT50" s="407"/>
      <c r="BU50" s="412"/>
      <c r="BV50" s="46" t="str">
        <f t="shared" si="8"/>
        <v/>
      </c>
      <c r="BW50" s="46">
        <f t="shared" si="9"/>
        <v>0</v>
      </c>
      <c r="BX50" s="46">
        <f t="shared" si="10"/>
        <v>0</v>
      </c>
      <c r="BY50" s="43" t="str">
        <f t="shared" si="11"/>
        <v>WHO-FP Observation (Pregnancy Intention)</v>
      </c>
      <c r="BZ50" s="46">
        <f t="shared" si="12"/>
        <v>1</v>
      </c>
      <c r="CA50" s="46" t="str">
        <f t="shared" si="13"/>
        <v/>
      </c>
      <c r="CB50" s="46">
        <f t="shared" si="14"/>
        <v>1</v>
      </c>
      <c r="CC50" s="46">
        <f t="shared" si="15"/>
        <v>1</v>
      </c>
      <c r="CD50" s="46">
        <f t="shared" si="16"/>
        <v>1</v>
      </c>
      <c r="CE50" s="46">
        <f t="shared" si="17"/>
        <v>0</v>
      </c>
      <c r="CF50" s="46">
        <f t="shared" si="18"/>
        <v>0</v>
      </c>
      <c r="CG50" s="46" t="str">
        <f ca="1">IFERROR(__xludf.DUMMYFUNCTION("if(OR(BH50="""",LEFT(BH50,2)=""LA""),"""",IMPORTXML(CONCATENATE(""https://loinc.org/"",BH50,""/""),""//span[@id='lcn']""))"),"")</f>
        <v/>
      </c>
      <c r="CH50" s="46"/>
      <c r="CI50" s="46"/>
      <c r="CJ50" s="46"/>
      <c r="CK50" s="46"/>
      <c r="CL50" s="46"/>
      <c r="CM50" s="46"/>
      <c r="CN50" s="46"/>
      <c r="CO50" s="46"/>
      <c r="CP50" s="46"/>
      <c r="CQ50" s="46"/>
      <c r="CR50" s="46"/>
      <c r="CS50" s="46"/>
      <c r="CT50" s="46"/>
      <c r="CU50" s="46"/>
    </row>
    <row r="51" spans="1:99" ht="12.75" customHeight="1">
      <c r="A51" s="409">
        <v>1848</v>
      </c>
      <c r="B51" s="399" t="s">
        <v>3437</v>
      </c>
      <c r="C51" s="399">
        <f t="shared" si="0"/>
        <v>1848</v>
      </c>
      <c r="D51" s="399" t="e">
        <f t="shared" ca="1" si="1"/>
        <v>#NAME?</v>
      </c>
      <c r="E51" s="399" t="str">
        <f t="shared" si="2"/>
        <v>I'm OK either way    </v>
      </c>
      <c r="F51" s="399" t="str">
        <f t="shared" si="20"/>
        <v>Input Option</v>
      </c>
      <c r="G51" s="400">
        <f t="shared" si="4"/>
        <v>28</v>
      </c>
      <c r="H51" s="399" t="str">
        <f t="shared" si="5"/>
        <v>Pregnancy intention</v>
      </c>
      <c r="I51" s="400"/>
      <c r="J51" s="400"/>
      <c r="K51" s="401" t="s">
        <v>3333</v>
      </c>
      <c r="L51" s="402" t="s">
        <v>3334</v>
      </c>
      <c r="M51" s="400"/>
      <c r="N51" s="427" t="s">
        <v>3335</v>
      </c>
      <c r="O51" s="428"/>
      <c r="P51" s="407" t="s">
        <v>3438</v>
      </c>
      <c r="Q51" s="407"/>
      <c r="R51" s="407"/>
      <c r="S51" s="407"/>
      <c r="T51" s="407"/>
      <c r="U51" s="407"/>
      <c r="V51" s="432" t="s">
        <v>3439</v>
      </c>
      <c r="W51" s="407"/>
      <c r="X51" s="407" t="s">
        <v>208</v>
      </c>
      <c r="Y51" s="407"/>
      <c r="Z51" s="407" t="s">
        <v>113</v>
      </c>
      <c r="AA51" s="407" t="s">
        <v>1889</v>
      </c>
      <c r="AB51" s="408"/>
      <c r="AC51" s="407"/>
      <c r="AD51" s="407"/>
      <c r="AE51" s="408"/>
      <c r="AF51" s="407"/>
      <c r="AG51" s="407"/>
      <c r="AH51" s="399"/>
      <c r="AI51" s="400"/>
      <c r="AJ51" s="399" t="s">
        <v>1787</v>
      </c>
      <c r="AK51" s="399"/>
      <c r="AL51" s="399" t="s">
        <v>1787</v>
      </c>
      <c r="AM51" s="399"/>
      <c r="AN51" s="399" t="s">
        <v>1787</v>
      </c>
      <c r="AO51" s="399" t="s">
        <v>1787</v>
      </c>
      <c r="AP51" s="399"/>
      <c r="AQ51" s="409" t="s">
        <v>3130</v>
      </c>
      <c r="AR51" s="399"/>
      <c r="AS51" s="399"/>
      <c r="AT51" s="399"/>
      <c r="AU51" s="399"/>
      <c r="AV51" s="399" t="str">
        <f t="shared" si="6"/>
        <v/>
      </c>
      <c r="AW51" s="399"/>
      <c r="AX51" s="409" t="s">
        <v>3343</v>
      </c>
      <c r="AY51" s="399" t="e">
        <f t="shared" ca="1" si="7"/>
        <v>#NAME?</v>
      </c>
      <c r="AZ51" s="399"/>
      <c r="BA51" s="409">
        <v>1</v>
      </c>
      <c r="BB51" s="399"/>
      <c r="BC51" s="399" t="s">
        <v>1787</v>
      </c>
      <c r="BD51" s="409" t="s">
        <v>3431</v>
      </c>
      <c r="BE51" s="411"/>
      <c r="BF51" s="411" t="s">
        <v>1787</v>
      </c>
      <c r="BG51" s="411"/>
      <c r="BH51" s="434" t="s">
        <v>3440</v>
      </c>
      <c r="BI51" s="411"/>
      <c r="BJ51" s="399" t="s">
        <v>1787</v>
      </c>
      <c r="BK51" s="399" t="s">
        <v>1787</v>
      </c>
      <c r="BL51" s="399"/>
      <c r="BM51" s="399" t="s">
        <v>1787</v>
      </c>
      <c r="BN51" s="399" t="s">
        <v>1787</v>
      </c>
      <c r="BO51" s="399" t="s">
        <v>1787</v>
      </c>
      <c r="BP51" s="399" t="s">
        <v>1787</v>
      </c>
      <c r="BQ51" s="399" t="s">
        <v>1787</v>
      </c>
      <c r="BR51" s="399" t="s">
        <v>1787</v>
      </c>
      <c r="BS51" s="407"/>
      <c r="BT51" s="407"/>
      <c r="BU51" s="412"/>
      <c r="BV51" s="46" t="str">
        <f t="shared" si="8"/>
        <v/>
      </c>
      <c r="BW51" s="46">
        <f t="shared" si="9"/>
        <v>0</v>
      </c>
      <c r="BX51" s="46">
        <f t="shared" si="10"/>
        <v>0</v>
      </c>
      <c r="BY51" s="43" t="str">
        <f t="shared" si="11"/>
        <v>WHO-FP Observation (Pregnancy Intention)</v>
      </c>
      <c r="BZ51" s="46">
        <f t="shared" si="12"/>
        <v>1</v>
      </c>
      <c r="CA51" s="46" t="str">
        <f t="shared" si="13"/>
        <v/>
      </c>
      <c r="CB51" s="46">
        <f t="shared" si="14"/>
        <v>1</v>
      </c>
      <c r="CC51" s="46">
        <f t="shared" si="15"/>
        <v>1</v>
      </c>
      <c r="CD51" s="46">
        <f t="shared" si="16"/>
        <v>1</v>
      </c>
      <c r="CE51" s="46">
        <f t="shared" si="17"/>
        <v>0</v>
      </c>
      <c r="CF51" s="46">
        <f t="shared" si="18"/>
        <v>0</v>
      </c>
      <c r="CG51" s="46" t="str">
        <f ca="1">IFERROR(__xludf.DUMMYFUNCTION("if(OR(BH51="""",LEFT(BH51,2)=""LA""),"""",IMPORTXML(CONCATENATE(""https://loinc.org/"",BH51,""/""),""//span[@id='lcn']""))"),"")</f>
        <v/>
      </c>
      <c r="CH51" s="46"/>
      <c r="CI51" s="46"/>
      <c r="CJ51" s="46"/>
      <c r="CK51" s="46"/>
      <c r="CL51" s="46"/>
      <c r="CM51" s="46"/>
      <c r="CN51" s="46"/>
      <c r="CO51" s="46"/>
      <c r="CP51" s="46"/>
      <c r="CQ51" s="46"/>
      <c r="CR51" s="46"/>
      <c r="CS51" s="46"/>
      <c r="CT51" s="46"/>
      <c r="CU51" s="46"/>
    </row>
    <row r="52" spans="1:99" ht="12.75" customHeight="1">
      <c r="A52" s="409">
        <v>1849</v>
      </c>
      <c r="B52" s="399" t="s">
        <v>3441</v>
      </c>
      <c r="C52" s="399">
        <f t="shared" si="0"/>
        <v>1849</v>
      </c>
      <c r="D52" s="399" t="e">
        <f t="shared" ca="1" si="1"/>
        <v>#NAME?</v>
      </c>
      <c r="E52" s="399" t="str">
        <f t="shared" si="2"/>
        <v>No, I don't want to become pregnant    </v>
      </c>
      <c r="F52" s="399" t="str">
        <f t="shared" si="20"/>
        <v>Input Option</v>
      </c>
      <c r="G52" s="400">
        <f t="shared" si="4"/>
        <v>46</v>
      </c>
      <c r="H52" s="399" t="str">
        <f t="shared" si="5"/>
        <v>Pregnancy intention</v>
      </c>
      <c r="I52" s="400"/>
      <c r="J52" s="400"/>
      <c r="K52" s="401" t="s">
        <v>3333</v>
      </c>
      <c r="L52" s="402" t="s">
        <v>3334</v>
      </c>
      <c r="M52" s="400"/>
      <c r="N52" s="427" t="s">
        <v>3335</v>
      </c>
      <c r="O52" s="428"/>
      <c r="P52" s="407" t="s">
        <v>3442</v>
      </c>
      <c r="Q52" s="407"/>
      <c r="R52" s="407"/>
      <c r="S52" s="407"/>
      <c r="T52" s="407"/>
      <c r="U52" s="407"/>
      <c r="V52" s="432" t="s">
        <v>3443</v>
      </c>
      <c r="W52" s="407"/>
      <c r="X52" s="407" t="s">
        <v>208</v>
      </c>
      <c r="Y52" s="407"/>
      <c r="Z52" s="407" t="s">
        <v>113</v>
      </c>
      <c r="AA52" s="407" t="s">
        <v>1889</v>
      </c>
      <c r="AB52" s="408"/>
      <c r="AC52" s="407"/>
      <c r="AD52" s="407"/>
      <c r="AE52" s="408"/>
      <c r="AF52" s="407"/>
      <c r="AG52" s="407"/>
      <c r="AH52" s="399"/>
      <c r="AI52" s="400"/>
      <c r="AJ52" s="399" t="s">
        <v>1787</v>
      </c>
      <c r="AK52" s="399"/>
      <c r="AL52" s="399" t="s">
        <v>1787</v>
      </c>
      <c r="AM52" s="399"/>
      <c r="AN52" s="399" t="s">
        <v>1787</v>
      </c>
      <c r="AO52" s="399" t="s">
        <v>1787</v>
      </c>
      <c r="AP52" s="399"/>
      <c r="AQ52" s="409" t="s">
        <v>3130</v>
      </c>
      <c r="AR52" s="399"/>
      <c r="AS52" s="399"/>
      <c r="AT52" s="399"/>
      <c r="AU52" s="399"/>
      <c r="AV52" s="399" t="str">
        <f t="shared" si="6"/>
        <v/>
      </c>
      <c r="AW52" s="399"/>
      <c r="AX52" s="409" t="s">
        <v>3343</v>
      </c>
      <c r="AY52" s="399" t="e">
        <f t="shared" ca="1" si="7"/>
        <v>#NAME?</v>
      </c>
      <c r="AZ52" s="399"/>
      <c r="BA52" s="409">
        <v>1</v>
      </c>
      <c r="BB52" s="399"/>
      <c r="BC52" s="399" t="s">
        <v>1787</v>
      </c>
      <c r="BD52" s="409" t="s">
        <v>3431</v>
      </c>
      <c r="BE52" s="411"/>
      <c r="BF52" s="411" t="s">
        <v>1787</v>
      </c>
      <c r="BG52" s="411"/>
      <c r="BH52" s="434" t="s">
        <v>3444</v>
      </c>
      <c r="BI52" s="411"/>
      <c r="BJ52" s="399" t="s">
        <v>1787</v>
      </c>
      <c r="BK52" s="399" t="s">
        <v>1787</v>
      </c>
      <c r="BL52" s="399"/>
      <c r="BM52" s="399" t="s">
        <v>1787</v>
      </c>
      <c r="BN52" s="399" t="s">
        <v>1787</v>
      </c>
      <c r="BO52" s="399" t="s">
        <v>1787</v>
      </c>
      <c r="BP52" s="399" t="s">
        <v>1787</v>
      </c>
      <c r="BQ52" s="399" t="s">
        <v>1787</v>
      </c>
      <c r="BR52" s="399" t="s">
        <v>1787</v>
      </c>
      <c r="BS52" s="407"/>
      <c r="BT52" s="407"/>
      <c r="BU52" s="412"/>
      <c r="BV52" s="46" t="str">
        <f t="shared" si="8"/>
        <v/>
      </c>
      <c r="BW52" s="46">
        <f t="shared" si="9"/>
        <v>0</v>
      </c>
      <c r="BX52" s="46">
        <f t="shared" si="10"/>
        <v>0</v>
      </c>
      <c r="BY52" s="43" t="str">
        <f t="shared" si="11"/>
        <v>WHO-FP Observation (Pregnancy Intention)</v>
      </c>
      <c r="BZ52" s="46">
        <f t="shared" si="12"/>
        <v>1</v>
      </c>
      <c r="CA52" s="46" t="str">
        <f t="shared" si="13"/>
        <v/>
      </c>
      <c r="CB52" s="46">
        <f t="shared" si="14"/>
        <v>1</v>
      </c>
      <c r="CC52" s="46">
        <f t="shared" si="15"/>
        <v>1</v>
      </c>
      <c r="CD52" s="46">
        <f t="shared" si="16"/>
        <v>1</v>
      </c>
      <c r="CE52" s="46">
        <f t="shared" si="17"/>
        <v>0</v>
      </c>
      <c r="CF52" s="46">
        <f t="shared" si="18"/>
        <v>0</v>
      </c>
      <c r="CG52" s="46" t="str">
        <f ca="1">IFERROR(__xludf.DUMMYFUNCTION("if(OR(BH52="""",LEFT(BH52,2)=""LA""),"""",IMPORTXML(CONCATENATE(""https://loinc.org/"",BH52,""/""),""//span[@id='lcn']""))"),"")</f>
        <v/>
      </c>
      <c r="CH52" s="46"/>
      <c r="CI52" s="46"/>
      <c r="CJ52" s="46"/>
      <c r="CK52" s="46"/>
      <c r="CL52" s="46"/>
      <c r="CM52" s="46"/>
      <c r="CN52" s="46"/>
      <c r="CO52" s="46"/>
      <c r="CP52" s="46"/>
      <c r="CQ52" s="46"/>
      <c r="CR52" s="46"/>
      <c r="CS52" s="46"/>
      <c r="CT52" s="46"/>
      <c r="CU52" s="46"/>
    </row>
    <row r="53" spans="1:99" ht="12.75" customHeight="1">
      <c r="A53" s="409">
        <v>1850</v>
      </c>
      <c r="B53" s="399" t="s">
        <v>3445</v>
      </c>
      <c r="C53" s="399">
        <f t="shared" si="0"/>
        <v>1850</v>
      </c>
      <c r="D53" s="399" t="e">
        <f t="shared" ca="1" si="1"/>
        <v>#NAME?</v>
      </c>
      <c r="E53" s="399" t="str">
        <f t="shared" si="2"/>
        <v>Unsure    </v>
      </c>
      <c r="F53" s="399" t="str">
        <f t="shared" si="20"/>
        <v>Input Option</v>
      </c>
      <c r="G53" s="400">
        <f t="shared" si="4"/>
        <v>17</v>
      </c>
      <c r="H53" s="399" t="str">
        <f t="shared" si="5"/>
        <v>Pregnancy intention</v>
      </c>
      <c r="I53" s="400"/>
      <c r="J53" s="400"/>
      <c r="K53" s="401" t="s">
        <v>3333</v>
      </c>
      <c r="L53" s="402" t="s">
        <v>3334</v>
      </c>
      <c r="M53" s="400"/>
      <c r="N53" s="427" t="s">
        <v>3335</v>
      </c>
      <c r="O53" s="428"/>
      <c r="P53" s="407" t="s">
        <v>3446</v>
      </c>
      <c r="Q53" s="407"/>
      <c r="R53" s="407"/>
      <c r="S53" s="407"/>
      <c r="T53" s="407"/>
      <c r="U53" s="407"/>
      <c r="V53" s="407" t="s">
        <v>3447</v>
      </c>
      <c r="W53" s="407"/>
      <c r="X53" s="407" t="s">
        <v>208</v>
      </c>
      <c r="Y53" s="407"/>
      <c r="Z53" s="407" t="s">
        <v>113</v>
      </c>
      <c r="AA53" s="407" t="s">
        <v>1889</v>
      </c>
      <c r="AB53" s="408"/>
      <c r="AC53" s="407"/>
      <c r="AD53" s="407"/>
      <c r="AE53" s="408"/>
      <c r="AF53" s="407"/>
      <c r="AG53" s="407"/>
      <c r="AH53" s="399"/>
      <c r="AI53" s="400"/>
      <c r="AJ53" s="399" t="s">
        <v>1787</v>
      </c>
      <c r="AK53" s="399"/>
      <c r="AL53" s="399" t="s">
        <v>1787</v>
      </c>
      <c r="AM53" s="399"/>
      <c r="AN53" s="399" t="s">
        <v>1787</v>
      </c>
      <c r="AO53" s="399" t="s">
        <v>1787</v>
      </c>
      <c r="AP53" s="399"/>
      <c r="AQ53" s="409" t="s">
        <v>3130</v>
      </c>
      <c r="AR53" s="399"/>
      <c r="AS53" s="399"/>
      <c r="AT53" s="399"/>
      <c r="AU53" s="399"/>
      <c r="AV53" s="399" t="str">
        <f t="shared" si="6"/>
        <v/>
      </c>
      <c r="AW53" s="399"/>
      <c r="AX53" s="409" t="s">
        <v>3343</v>
      </c>
      <c r="AY53" s="399" t="e">
        <f t="shared" ca="1" si="7"/>
        <v>#NAME?</v>
      </c>
      <c r="AZ53" s="399"/>
      <c r="BA53" s="409">
        <v>1</v>
      </c>
      <c r="BB53" s="399"/>
      <c r="BC53" s="399" t="s">
        <v>1787</v>
      </c>
      <c r="BD53" s="409" t="s">
        <v>3162</v>
      </c>
      <c r="BE53" s="411"/>
      <c r="BF53" s="411" t="s">
        <v>1787</v>
      </c>
      <c r="BG53" s="411"/>
      <c r="BH53" s="434" t="s">
        <v>3448</v>
      </c>
      <c r="BI53" s="411"/>
      <c r="BJ53" s="399" t="s">
        <v>1787</v>
      </c>
      <c r="BK53" s="399" t="s">
        <v>1787</v>
      </c>
      <c r="BL53" s="399"/>
      <c r="BM53" s="399" t="s">
        <v>1787</v>
      </c>
      <c r="BN53" s="399" t="s">
        <v>1787</v>
      </c>
      <c r="BO53" s="399" t="s">
        <v>1787</v>
      </c>
      <c r="BP53" s="399" t="s">
        <v>1787</v>
      </c>
      <c r="BQ53" s="399" t="s">
        <v>1787</v>
      </c>
      <c r="BR53" s="399" t="s">
        <v>1787</v>
      </c>
      <c r="BS53" s="407"/>
      <c r="BT53" s="407"/>
      <c r="BU53" s="412"/>
      <c r="BV53" s="46" t="str">
        <f t="shared" si="8"/>
        <v/>
      </c>
      <c r="BW53" s="46">
        <f t="shared" si="9"/>
        <v>0</v>
      </c>
      <c r="BX53" s="46">
        <f t="shared" si="10"/>
        <v>0</v>
      </c>
      <c r="BY53" s="43" t="str">
        <f t="shared" si="11"/>
        <v>WHO-FP Observation (Pregnancy Intention)</v>
      </c>
      <c r="BZ53" s="46">
        <f t="shared" si="12"/>
        <v>1</v>
      </c>
      <c r="CA53" s="46" t="str">
        <f t="shared" si="13"/>
        <v/>
      </c>
      <c r="CB53" s="46">
        <f t="shared" si="14"/>
        <v>1</v>
      </c>
      <c r="CC53" s="46">
        <f t="shared" si="15"/>
        <v>1</v>
      </c>
      <c r="CD53" s="46">
        <f t="shared" si="16"/>
        <v>1</v>
      </c>
      <c r="CE53" s="46">
        <f t="shared" si="17"/>
        <v>0</v>
      </c>
      <c r="CF53" s="46">
        <f t="shared" si="18"/>
        <v>0</v>
      </c>
      <c r="CG53" s="46" t="str">
        <f ca="1">IFERROR(__xludf.DUMMYFUNCTION("if(OR(BH53="""",LEFT(BH53,2)=""LA""),"""",IMPORTXML(CONCATENATE(""https://loinc.org/"",BH53,""/""),""//span[@id='lcn']""))"),"")</f>
        <v/>
      </c>
      <c r="CH53" s="46"/>
      <c r="CI53" s="46"/>
      <c r="CJ53" s="46"/>
      <c r="CK53" s="46"/>
      <c r="CL53" s="46"/>
      <c r="CM53" s="46"/>
      <c r="CN53" s="46"/>
      <c r="CO53" s="46"/>
      <c r="CP53" s="46"/>
      <c r="CQ53" s="46"/>
      <c r="CR53" s="46"/>
      <c r="CS53" s="46"/>
      <c r="CT53" s="46"/>
      <c r="CU53" s="46"/>
    </row>
    <row r="54" spans="1:99" ht="12.75" customHeight="1">
      <c r="A54" s="399">
        <v>1263</v>
      </c>
      <c r="B54" s="399" t="s">
        <v>3449</v>
      </c>
      <c r="C54" s="399">
        <f t="shared" si="0"/>
        <v>1263</v>
      </c>
      <c r="D54" s="399" t="str">
        <f t="shared" si="1"/>
        <v>Body height</v>
      </c>
      <c r="E54" s="399" t="str">
        <f t="shared" si="2"/>
        <v>Body height</v>
      </c>
      <c r="F54" s="399" t="str">
        <f t="shared" si="20"/>
        <v>Data Element</v>
      </c>
      <c r="G54" s="400">
        <f t="shared" si="4"/>
        <v>11</v>
      </c>
      <c r="H54" s="400" t="str">
        <f t="shared" si="5"/>
        <v/>
      </c>
      <c r="I54" s="400"/>
      <c r="J54" s="400"/>
      <c r="K54" s="401" t="s">
        <v>3333</v>
      </c>
      <c r="L54" s="402" t="s">
        <v>3450</v>
      </c>
      <c r="M54" s="400"/>
      <c r="N54" s="407" t="s">
        <v>3451</v>
      </c>
      <c r="O54" s="428"/>
      <c r="P54" s="403" t="s">
        <v>3452</v>
      </c>
      <c r="Q54" s="403" t="s">
        <v>3449</v>
      </c>
      <c r="R54" s="407"/>
      <c r="S54" s="405" t="s">
        <v>3453</v>
      </c>
      <c r="T54" s="405" t="s">
        <v>1318</v>
      </c>
      <c r="U54" s="431"/>
      <c r="V54" s="407"/>
      <c r="W54" s="407"/>
      <c r="X54" s="403"/>
      <c r="Y54" s="405" t="s">
        <v>3454</v>
      </c>
      <c r="Z54" s="403" t="s">
        <v>113</v>
      </c>
      <c r="AA54" s="407" t="s">
        <v>1889</v>
      </c>
      <c r="AB54" s="432" t="s">
        <v>3455</v>
      </c>
      <c r="AC54" s="421"/>
      <c r="AD54" s="403"/>
      <c r="AE54" s="406"/>
      <c r="AF54" s="407"/>
      <c r="AG54" s="407"/>
      <c r="AH54" s="399"/>
      <c r="AI54" s="400"/>
      <c r="AJ54" s="399"/>
      <c r="AK54" s="409" t="s">
        <v>3410</v>
      </c>
      <c r="AL54" s="409" t="s">
        <v>3456</v>
      </c>
      <c r="AM54" s="415" t="s">
        <v>3457</v>
      </c>
      <c r="AN54" s="399" t="s">
        <v>3101</v>
      </c>
      <c r="AO54" s="410" t="s">
        <v>3458</v>
      </c>
      <c r="AP54" s="409" t="s">
        <v>3459</v>
      </c>
      <c r="AQ54" s="409" t="s">
        <v>3130</v>
      </c>
      <c r="AR54" s="399"/>
      <c r="AS54" s="399"/>
      <c r="AT54" s="409" t="s">
        <v>3460</v>
      </c>
      <c r="AU54" s="399" t="s">
        <v>3449</v>
      </c>
      <c r="AV54" s="399" t="str">
        <f t="shared" si="6"/>
        <v>Same</v>
      </c>
      <c r="AW54" s="399"/>
      <c r="AX54" s="409" t="s">
        <v>3104</v>
      </c>
      <c r="AY54" s="399" t="str">
        <f t="shared" si="7"/>
        <v/>
      </c>
      <c r="AZ54" s="409" t="s">
        <v>3105</v>
      </c>
      <c r="BA54" s="409">
        <v>1</v>
      </c>
      <c r="BB54" s="399"/>
      <c r="BC54" s="399"/>
      <c r="BD54" s="399" t="s">
        <v>3162</v>
      </c>
      <c r="BE54" s="411"/>
      <c r="BF54" s="411"/>
      <c r="BG54" s="411" t="s">
        <v>3461</v>
      </c>
      <c r="BH54" s="434" t="s">
        <v>3462</v>
      </c>
      <c r="BI54" s="411"/>
      <c r="BJ54" s="399"/>
      <c r="BK54" s="399"/>
      <c r="BL54" s="399"/>
      <c r="BM54" s="399"/>
      <c r="BN54" s="399"/>
      <c r="BO54" s="399">
        <v>5090</v>
      </c>
      <c r="BP54" s="399"/>
      <c r="BQ54" s="399" t="s">
        <v>1313</v>
      </c>
      <c r="BR54" s="399" t="s">
        <v>1314</v>
      </c>
      <c r="BS54" s="407"/>
      <c r="BT54" s="407"/>
      <c r="BU54" s="412"/>
      <c r="BV54" s="46" t="str">
        <f t="shared" si="8"/>
        <v>Observation</v>
      </c>
      <c r="BW54" s="46" t="str">
        <f t="shared" si="9"/>
        <v/>
      </c>
      <c r="BX54" s="46" t="str">
        <f t="shared" si="10"/>
        <v>Observation</v>
      </c>
      <c r="BY54" s="43" t="str">
        <f t="shared" si="11"/>
        <v>WHO-Core Observation (Body Height)</v>
      </c>
      <c r="BZ54" s="46">
        <f t="shared" si="12"/>
        <v>1</v>
      </c>
      <c r="CA54" s="46">
        <f t="shared" si="13"/>
        <v>0</v>
      </c>
      <c r="CB54" s="46">
        <f t="shared" si="14"/>
        <v>1</v>
      </c>
      <c r="CC54" s="46">
        <f t="shared" si="15"/>
        <v>1</v>
      </c>
      <c r="CD54" s="46">
        <f t="shared" si="16"/>
        <v>1</v>
      </c>
      <c r="CE54" s="46">
        <f t="shared" si="17"/>
        <v>0</v>
      </c>
      <c r="CF54" s="46">
        <f t="shared" si="18"/>
        <v>0</v>
      </c>
      <c r="CG54" s="46" t="str">
        <f ca="1">IFERROR(__xludf.DUMMYFUNCTION("if(OR(BH54="""",LEFT(BH54,2)=""LA""),"""",IMPORTXML(CONCATENATE(""https://loinc.org/"",BH54,""/""),""//span[@id='lcn']""))"),"Body height")</f>
        <v>Body height</v>
      </c>
      <c r="CH54" s="46"/>
      <c r="CI54" s="46"/>
      <c r="CJ54" s="46"/>
      <c r="CK54" s="46"/>
      <c r="CL54" s="46"/>
      <c r="CM54" s="46"/>
      <c r="CN54" s="46"/>
      <c r="CO54" s="46"/>
      <c r="CP54" s="46"/>
      <c r="CQ54" s="46"/>
      <c r="CR54" s="46"/>
      <c r="CS54" s="46"/>
      <c r="CT54" s="46"/>
      <c r="CU54" s="46"/>
    </row>
    <row r="55" spans="1:99" ht="12.75" customHeight="1">
      <c r="A55" s="399">
        <v>1264</v>
      </c>
      <c r="B55" s="399" t="s">
        <v>3463</v>
      </c>
      <c r="C55" s="399">
        <f t="shared" si="0"/>
        <v>1264</v>
      </c>
      <c r="D55" s="399" t="str">
        <f t="shared" si="1"/>
        <v>Body weight</v>
      </c>
      <c r="E55" s="399" t="str">
        <f t="shared" si="2"/>
        <v>Body weight</v>
      </c>
      <c r="F55" s="399" t="str">
        <f t="shared" si="20"/>
        <v>Data Element</v>
      </c>
      <c r="G55" s="400">
        <f t="shared" si="4"/>
        <v>11</v>
      </c>
      <c r="H55" s="400" t="str">
        <f t="shared" si="5"/>
        <v/>
      </c>
      <c r="I55" s="400"/>
      <c r="J55" s="400"/>
      <c r="K55" s="401" t="s">
        <v>3333</v>
      </c>
      <c r="L55" s="402" t="s">
        <v>3450</v>
      </c>
      <c r="M55" s="400"/>
      <c r="N55" s="407" t="s">
        <v>3451</v>
      </c>
      <c r="O55" s="428"/>
      <c r="P55" s="403" t="s">
        <v>3464</v>
      </c>
      <c r="Q55" s="403" t="s">
        <v>3463</v>
      </c>
      <c r="R55" s="407"/>
      <c r="S55" s="407" t="s">
        <v>3465</v>
      </c>
      <c r="T55" s="403" t="s">
        <v>1318</v>
      </c>
      <c r="U55" s="407"/>
      <c r="V55" s="407"/>
      <c r="W55" s="407"/>
      <c r="X55" s="403"/>
      <c r="Y55" s="405" t="s">
        <v>3466</v>
      </c>
      <c r="Z55" s="403" t="s">
        <v>113</v>
      </c>
      <c r="AA55" s="407" t="s">
        <v>1889</v>
      </c>
      <c r="AB55" s="408"/>
      <c r="AC55" s="407"/>
      <c r="AD55" s="403"/>
      <c r="AE55" s="406"/>
      <c r="AF55" s="407" t="s">
        <v>3467</v>
      </c>
      <c r="AG55" s="407"/>
      <c r="AH55" s="399"/>
      <c r="AI55" s="400"/>
      <c r="AJ55" s="399"/>
      <c r="AK55" s="409" t="s">
        <v>3410</v>
      </c>
      <c r="AL55" s="409" t="s">
        <v>3456</v>
      </c>
      <c r="AM55" s="415" t="s">
        <v>3468</v>
      </c>
      <c r="AN55" s="399" t="s">
        <v>3101</v>
      </c>
      <c r="AO55" s="410" t="s">
        <v>3458</v>
      </c>
      <c r="AP55" s="409" t="s">
        <v>3469</v>
      </c>
      <c r="AQ55" s="409" t="s">
        <v>3130</v>
      </c>
      <c r="AR55" s="399"/>
      <c r="AS55" s="399"/>
      <c r="AT55" s="409" t="s">
        <v>3467</v>
      </c>
      <c r="AU55" s="399" t="s">
        <v>3463</v>
      </c>
      <c r="AV55" s="399" t="str">
        <f t="shared" si="6"/>
        <v>Same</v>
      </c>
      <c r="AW55" s="399"/>
      <c r="AX55" s="409" t="s">
        <v>3104</v>
      </c>
      <c r="AY55" s="399" t="str">
        <f t="shared" si="7"/>
        <v/>
      </c>
      <c r="AZ55" s="409" t="s">
        <v>3105</v>
      </c>
      <c r="BA55" s="409">
        <v>1</v>
      </c>
      <c r="BB55" s="399"/>
      <c r="BC55" s="399"/>
      <c r="BD55" s="409" t="s">
        <v>3470</v>
      </c>
      <c r="BE55" s="411"/>
      <c r="BF55" s="411"/>
      <c r="BG55" s="411" t="s">
        <v>3471</v>
      </c>
      <c r="BH55" s="434" t="s">
        <v>3472</v>
      </c>
      <c r="BI55" s="411"/>
      <c r="BJ55" s="399"/>
      <c r="BK55" s="399"/>
      <c r="BL55" s="399"/>
      <c r="BM55" s="399"/>
      <c r="BN55" s="399"/>
      <c r="BO55" s="399">
        <v>5089</v>
      </c>
      <c r="BP55" s="399"/>
      <c r="BQ55" s="399"/>
      <c r="BR55" s="399"/>
      <c r="BS55" s="407"/>
      <c r="BT55" s="407"/>
      <c r="BU55" s="412"/>
      <c r="BV55" s="46" t="str">
        <f t="shared" si="8"/>
        <v>Observation</v>
      </c>
      <c r="BW55" s="46" t="str">
        <f t="shared" si="9"/>
        <v/>
      </c>
      <c r="BX55" s="46" t="str">
        <f t="shared" si="10"/>
        <v>Observation</v>
      </c>
      <c r="BY55" s="43" t="str">
        <f t="shared" si="11"/>
        <v>WHO-Core Observation (Body Weight)</v>
      </c>
      <c r="BZ55" s="46">
        <f t="shared" si="12"/>
        <v>1</v>
      </c>
      <c r="CA55" s="46">
        <f t="shared" si="13"/>
        <v>0</v>
      </c>
      <c r="CB55" s="46">
        <f t="shared" si="14"/>
        <v>1</v>
      </c>
      <c r="CC55" s="46">
        <f t="shared" si="15"/>
        <v>1</v>
      </c>
      <c r="CD55" s="46">
        <f t="shared" si="16"/>
        <v>1</v>
      </c>
      <c r="CE55" s="46">
        <f t="shared" si="17"/>
        <v>0</v>
      </c>
      <c r="CF55" s="46">
        <f t="shared" si="18"/>
        <v>0</v>
      </c>
      <c r="CG55" s="46" t="str">
        <f ca="1">IFERROR(__xludf.DUMMYFUNCTION("if(OR(BH55="""",LEFT(BH55,2)=""LA""),"""",IMPORTXML(CONCATENATE(""https://loinc.org/"",BH55,""/""),""//span[@id='lcn']""))"),"Body weight")</f>
        <v>Body weight</v>
      </c>
      <c r="CH55" s="46"/>
      <c r="CI55" s="46"/>
      <c r="CJ55" s="46"/>
      <c r="CK55" s="46"/>
      <c r="CL55" s="46"/>
      <c r="CM55" s="46"/>
      <c r="CN55" s="46"/>
      <c r="CO55" s="46"/>
      <c r="CP55" s="46"/>
      <c r="CQ55" s="46"/>
      <c r="CR55" s="46"/>
      <c r="CS55" s="46"/>
      <c r="CT55" s="46"/>
      <c r="CU55" s="46"/>
    </row>
    <row r="56" spans="1:99" ht="12.75" customHeight="1">
      <c r="A56" s="409">
        <v>1851</v>
      </c>
      <c r="B56" s="399" t="s">
        <v>3474</v>
      </c>
      <c r="C56" s="399">
        <f t="shared" si="0"/>
        <v>1851</v>
      </c>
      <c r="D56" s="399" t="str">
        <f t="shared" si="1"/>
        <v>Number of births</v>
      </c>
      <c r="E56" s="399" t="str">
        <f t="shared" si="2"/>
        <v>Number of births</v>
      </c>
      <c r="F56" s="399" t="str">
        <f t="shared" si="20"/>
        <v>Data Element</v>
      </c>
      <c r="G56" s="400">
        <f t="shared" si="4"/>
        <v>16</v>
      </c>
      <c r="H56" s="400" t="str">
        <f t="shared" si="5"/>
        <v/>
      </c>
      <c r="I56" s="400"/>
      <c r="J56" s="400"/>
      <c r="K56" s="409" t="s">
        <v>3475</v>
      </c>
      <c r="L56" s="402" t="s">
        <v>3476</v>
      </c>
      <c r="M56" s="400"/>
      <c r="N56" s="427" t="s">
        <v>3477</v>
      </c>
      <c r="O56" s="428"/>
      <c r="P56" s="405" t="s">
        <v>3478</v>
      </c>
      <c r="Q56" s="405" t="s">
        <v>3474</v>
      </c>
      <c r="R56" s="403"/>
      <c r="S56" s="403" t="s">
        <v>3479</v>
      </c>
      <c r="T56" s="403" t="s">
        <v>168</v>
      </c>
      <c r="U56" s="407"/>
      <c r="V56" s="407"/>
      <c r="W56" s="407"/>
      <c r="X56" s="407"/>
      <c r="Y56" s="407"/>
      <c r="Z56" s="403" t="s">
        <v>113</v>
      </c>
      <c r="AA56" s="440" t="s">
        <v>3480</v>
      </c>
      <c r="AB56" s="406" t="s">
        <v>3482</v>
      </c>
      <c r="AC56" s="403"/>
      <c r="AD56" s="403"/>
      <c r="AE56" s="406"/>
      <c r="AF56" s="407"/>
      <c r="AG56" s="407"/>
      <c r="AH56" s="399"/>
      <c r="AI56" s="400"/>
      <c r="AJ56" s="399" t="s">
        <v>1787</v>
      </c>
      <c r="AK56" s="409" t="s">
        <v>3410</v>
      </c>
      <c r="AL56" s="409" t="s">
        <v>168</v>
      </c>
      <c r="AM56" s="409" t="s">
        <v>3100</v>
      </c>
      <c r="AN56" s="399" t="s">
        <v>3101</v>
      </c>
      <c r="AO56" s="399" t="s">
        <v>1787</v>
      </c>
      <c r="AP56" s="409" t="s">
        <v>3483</v>
      </c>
      <c r="AQ56" s="409" t="s">
        <v>3130</v>
      </c>
      <c r="AR56" s="399"/>
      <c r="AS56" s="399"/>
      <c r="AT56" s="399"/>
      <c r="AU56" s="399"/>
      <c r="AV56" s="399" t="str">
        <f t="shared" si="6"/>
        <v/>
      </c>
      <c r="AW56" s="399"/>
      <c r="AX56" s="409" t="s">
        <v>3104</v>
      </c>
      <c r="AY56" s="399" t="str">
        <f t="shared" si="7"/>
        <v/>
      </c>
      <c r="AZ56" s="399"/>
      <c r="BA56" s="409">
        <v>1</v>
      </c>
      <c r="BB56" s="399"/>
      <c r="BC56" s="399" t="s">
        <v>1787</v>
      </c>
      <c r="BD56" s="399" t="s">
        <v>1787</v>
      </c>
      <c r="BE56" s="411"/>
      <c r="BF56" s="411" t="s">
        <v>1787</v>
      </c>
      <c r="BG56" s="418" t="s">
        <v>3484</v>
      </c>
      <c r="BH56" s="434" t="s">
        <v>3485</v>
      </c>
      <c r="BI56" s="411"/>
      <c r="BJ56" s="399" t="s">
        <v>1787</v>
      </c>
      <c r="BK56" s="409" t="s">
        <v>3486</v>
      </c>
      <c r="BL56" s="399"/>
      <c r="BM56" s="399" t="s">
        <v>1787</v>
      </c>
      <c r="BN56" s="399" t="s">
        <v>1787</v>
      </c>
      <c r="BO56" s="399" t="s">
        <v>1787</v>
      </c>
      <c r="BP56" s="399" t="s">
        <v>1787</v>
      </c>
      <c r="BQ56" s="399" t="s">
        <v>1787</v>
      </c>
      <c r="BR56" s="399" t="s">
        <v>1787</v>
      </c>
      <c r="BS56" s="407"/>
      <c r="BT56" s="407"/>
      <c r="BU56" s="412"/>
      <c r="BV56" s="46" t="str">
        <f t="shared" si="8"/>
        <v>Observation</v>
      </c>
      <c r="BW56" s="46" t="str">
        <f t="shared" si="9"/>
        <v/>
      </c>
      <c r="BX56" s="46" t="str">
        <f t="shared" si="10"/>
        <v>Observation</v>
      </c>
      <c r="BY56" s="43" t="str">
        <f t="shared" si="11"/>
        <v>WHO-Core Observation (Number of births)</v>
      </c>
      <c r="BZ56" s="46">
        <f t="shared" si="12"/>
        <v>1</v>
      </c>
      <c r="CA56" s="46">
        <f t="shared" si="13"/>
        <v>0</v>
      </c>
      <c r="CB56" s="46">
        <f t="shared" si="14"/>
        <v>1</v>
      </c>
      <c r="CC56" s="46">
        <f t="shared" si="15"/>
        <v>1</v>
      </c>
      <c r="CD56" s="46">
        <f t="shared" si="16"/>
        <v>1</v>
      </c>
      <c r="CE56" s="46">
        <f t="shared" si="17"/>
        <v>0</v>
      </c>
      <c r="CF56" s="46">
        <f t="shared" si="18"/>
        <v>0</v>
      </c>
      <c r="CG56" s="46" t="str">
        <f ca="1">IFERROR(__xludf.DUMMYFUNCTION("if(OR(BH56="""",LEFT(BH56,2)=""LA""),"""",IMPORTXML(CONCATENATE(""https://loinc.org/"",BH56,""/""),""//span[@id='lcn']""))"),"[#] Births total")</f>
        <v>[#] Births total</v>
      </c>
      <c r="CH56" s="46"/>
      <c r="CI56" s="46"/>
      <c r="CJ56" s="46"/>
      <c r="CK56" s="46"/>
      <c r="CL56" s="46"/>
      <c r="CM56" s="46"/>
      <c r="CN56" s="46"/>
      <c r="CO56" s="46"/>
      <c r="CP56" s="46"/>
      <c r="CQ56" s="46"/>
      <c r="CR56" s="46"/>
      <c r="CS56" s="46"/>
      <c r="CT56" s="46"/>
      <c r="CU56" s="46"/>
    </row>
    <row r="57" spans="1:99" ht="12.75" customHeight="1">
      <c r="A57" s="399">
        <v>1268</v>
      </c>
      <c r="B57" s="399" t="s">
        <v>3488</v>
      </c>
      <c r="C57" s="399">
        <f t="shared" si="0"/>
        <v>1268</v>
      </c>
      <c r="D57" s="399" t="str">
        <f t="shared" si="1"/>
        <v>Number of pregnancies</v>
      </c>
      <c r="E57" s="399" t="str">
        <f t="shared" si="2"/>
        <v>Number of pregnancies</v>
      </c>
      <c r="F57" s="399" t="str">
        <f t="shared" si="20"/>
        <v>Data Element</v>
      </c>
      <c r="G57" s="400">
        <f t="shared" si="4"/>
        <v>21</v>
      </c>
      <c r="H57" s="400" t="str">
        <f t="shared" si="5"/>
        <v/>
      </c>
      <c r="I57" s="400"/>
      <c r="J57" s="400"/>
      <c r="K57" s="401" t="s">
        <v>3333</v>
      </c>
      <c r="L57" s="402" t="s">
        <v>3489</v>
      </c>
      <c r="M57" s="400"/>
      <c r="N57" s="427" t="s">
        <v>3477</v>
      </c>
      <c r="O57" s="428"/>
      <c r="P57" s="403" t="s">
        <v>3490</v>
      </c>
      <c r="Q57" s="405" t="s">
        <v>3488</v>
      </c>
      <c r="R57" s="403"/>
      <c r="S57" s="403" t="s">
        <v>3491</v>
      </c>
      <c r="T57" s="405" t="s">
        <v>168</v>
      </c>
      <c r="U57" s="431"/>
      <c r="V57" s="407"/>
      <c r="W57" s="407"/>
      <c r="X57" s="407" t="s">
        <v>3492</v>
      </c>
      <c r="Y57" s="407"/>
      <c r="Z57" s="403" t="s">
        <v>113</v>
      </c>
      <c r="AA57" s="440" t="s">
        <v>3493</v>
      </c>
      <c r="AB57" s="406" t="s">
        <v>3482</v>
      </c>
      <c r="AC57" s="403"/>
      <c r="AD57" s="403"/>
      <c r="AE57" s="406"/>
      <c r="AF57" s="407"/>
      <c r="AG57" s="407"/>
      <c r="AH57" s="399"/>
      <c r="AI57" s="400"/>
      <c r="AJ57" s="399"/>
      <c r="AK57" s="409" t="s">
        <v>3410</v>
      </c>
      <c r="AL57" s="409" t="s">
        <v>168</v>
      </c>
      <c r="AM57" s="409" t="s">
        <v>3100</v>
      </c>
      <c r="AN57" s="409" t="s">
        <v>3101</v>
      </c>
      <c r="AO57" s="399"/>
      <c r="AP57" s="409" t="s">
        <v>3495</v>
      </c>
      <c r="AQ57" s="409" t="s">
        <v>3130</v>
      </c>
      <c r="AR57" s="399"/>
      <c r="AS57" s="399"/>
      <c r="AT57" s="399"/>
      <c r="AU57" s="399" t="s">
        <v>3488</v>
      </c>
      <c r="AV57" s="399" t="str">
        <f t="shared" si="6"/>
        <v>Same</v>
      </c>
      <c r="AW57" s="399"/>
      <c r="AX57" s="409" t="s">
        <v>3104</v>
      </c>
      <c r="AY57" s="399" t="str">
        <f t="shared" si="7"/>
        <v/>
      </c>
      <c r="AZ57" s="409" t="s">
        <v>3105</v>
      </c>
      <c r="BA57" s="409">
        <v>1</v>
      </c>
      <c r="BB57" s="399"/>
      <c r="BC57" s="399"/>
      <c r="BD57" s="399" t="s">
        <v>3162</v>
      </c>
      <c r="BE57" s="411"/>
      <c r="BF57" s="411"/>
      <c r="BG57" s="411"/>
      <c r="BH57" s="411" t="s">
        <v>3496</v>
      </c>
      <c r="BI57" s="411"/>
      <c r="BJ57" s="399"/>
      <c r="BK57" s="399"/>
      <c r="BL57" s="399"/>
      <c r="BM57" s="399"/>
      <c r="BN57" s="399"/>
      <c r="BO57" s="399"/>
      <c r="BP57" s="399"/>
      <c r="BQ57" s="399"/>
      <c r="BR57" s="399"/>
      <c r="BS57" s="407"/>
      <c r="BT57" s="407"/>
      <c r="BU57" s="412"/>
      <c r="BV57" s="46" t="str">
        <f t="shared" si="8"/>
        <v>Observation</v>
      </c>
      <c r="BW57" s="46" t="str">
        <f t="shared" si="9"/>
        <v/>
      </c>
      <c r="BX57" s="46" t="str">
        <f t="shared" si="10"/>
        <v>Observation</v>
      </c>
      <c r="BY57" s="43" t="str">
        <f t="shared" si="11"/>
        <v>WHO-Core Observation (Number of Pregnancies)</v>
      </c>
      <c r="BZ57" s="46">
        <f t="shared" si="12"/>
        <v>1</v>
      </c>
      <c r="CA57" s="46">
        <f t="shared" si="13"/>
        <v>0</v>
      </c>
      <c r="CB57" s="46">
        <f t="shared" si="14"/>
        <v>1</v>
      </c>
      <c r="CC57" s="46">
        <f t="shared" si="15"/>
        <v>1</v>
      </c>
      <c r="CD57" s="46">
        <f t="shared" si="16"/>
        <v>1</v>
      </c>
      <c r="CE57" s="46">
        <f t="shared" si="17"/>
        <v>0</v>
      </c>
      <c r="CF57" s="46">
        <f t="shared" si="18"/>
        <v>0</v>
      </c>
      <c r="CG57" s="46" t="str">
        <f ca="1">IFERROR(__xludf.DUMMYFUNCTION("if(OR(BH57="""",LEFT(BH57,2)=""LA""),"""",IMPORTXML(CONCATENATE(""https://loinc.org/"",BH57,""/""),""//span[@id='lcn']""))"),"[#] Pregnancies")</f>
        <v>[#] Pregnancies</v>
      </c>
      <c r="CH57" s="46"/>
      <c r="CI57" s="46"/>
      <c r="CJ57" s="46"/>
      <c r="CK57" s="46"/>
      <c r="CL57" s="46"/>
      <c r="CM57" s="46"/>
      <c r="CN57" s="46"/>
      <c r="CO57" s="46"/>
      <c r="CP57" s="46"/>
      <c r="CQ57" s="46"/>
      <c r="CR57" s="46"/>
      <c r="CS57" s="46"/>
      <c r="CT57" s="46"/>
      <c r="CU57" s="46"/>
    </row>
    <row r="58" spans="1:99" ht="12.75" customHeight="1">
      <c r="A58" s="399">
        <v>1282</v>
      </c>
      <c r="B58" s="399" t="s">
        <v>3498</v>
      </c>
      <c r="C58" s="399">
        <f t="shared" si="0"/>
        <v>1282</v>
      </c>
      <c r="D58" s="399" t="str">
        <f t="shared" si="1"/>
        <v>Ever had sex - Reported</v>
      </c>
      <c r="E58" s="399" t="str">
        <f t="shared" si="2"/>
        <v>Ever had sex - Reported</v>
      </c>
      <c r="F58" s="399" t="str">
        <f t="shared" si="20"/>
        <v>Data Element</v>
      </c>
      <c r="G58" s="400">
        <f t="shared" si="4"/>
        <v>23</v>
      </c>
      <c r="H58" s="400" t="str">
        <f t="shared" si="5"/>
        <v/>
      </c>
      <c r="I58" s="400"/>
      <c r="J58" s="400"/>
      <c r="K58" s="401" t="s">
        <v>3333</v>
      </c>
      <c r="L58" s="402" t="s">
        <v>3499</v>
      </c>
      <c r="M58" s="400"/>
      <c r="N58" s="427" t="s">
        <v>3477</v>
      </c>
      <c r="O58" s="428"/>
      <c r="P58" s="403" t="s">
        <v>3500</v>
      </c>
      <c r="Q58" s="403" t="s">
        <v>3498</v>
      </c>
      <c r="R58" s="403"/>
      <c r="S58" s="403" t="s">
        <v>3501</v>
      </c>
      <c r="T58" s="403" t="s">
        <v>3169</v>
      </c>
      <c r="U58" s="407"/>
      <c r="V58" s="407" t="s">
        <v>3170</v>
      </c>
      <c r="W58" s="407"/>
      <c r="X58" s="403" t="s">
        <v>208</v>
      </c>
      <c r="Y58" s="403"/>
      <c r="Z58" s="403" t="s">
        <v>113</v>
      </c>
      <c r="AA58" s="403" t="s">
        <v>1889</v>
      </c>
      <c r="AB58" s="408"/>
      <c r="AC58" s="407"/>
      <c r="AD58" s="403"/>
      <c r="AE58" s="406"/>
      <c r="AF58" s="432" t="s">
        <v>3502</v>
      </c>
      <c r="AG58" s="407"/>
      <c r="AH58" s="399"/>
      <c r="AI58" s="400"/>
      <c r="AJ58" s="399"/>
      <c r="AK58" s="409" t="s">
        <v>3410</v>
      </c>
      <c r="AL58" s="409" t="s">
        <v>3169</v>
      </c>
      <c r="AM58" s="409" t="s">
        <v>3100</v>
      </c>
      <c r="AN58" s="409" t="s">
        <v>3101</v>
      </c>
      <c r="AO58" s="399"/>
      <c r="AP58" s="409" t="s">
        <v>3503</v>
      </c>
      <c r="AQ58" s="409" t="s">
        <v>3130</v>
      </c>
      <c r="AR58" s="399"/>
      <c r="AS58" s="399"/>
      <c r="AT58" s="399"/>
      <c r="AU58" s="399" t="s">
        <v>3498</v>
      </c>
      <c r="AV58" s="399" t="str">
        <f t="shared" si="6"/>
        <v>Same</v>
      </c>
      <c r="AW58" s="399"/>
      <c r="AX58" s="409" t="s">
        <v>3104</v>
      </c>
      <c r="AY58" s="399" t="str">
        <f t="shared" si="7"/>
        <v/>
      </c>
      <c r="AZ58" s="409" t="s">
        <v>3105</v>
      </c>
      <c r="BA58" s="409">
        <v>1</v>
      </c>
      <c r="BB58" s="399"/>
      <c r="BC58" s="399"/>
      <c r="BD58" s="399" t="s">
        <v>3162</v>
      </c>
      <c r="BE58" s="411"/>
      <c r="BF58" s="411"/>
      <c r="BG58" s="434" t="s">
        <v>3504</v>
      </c>
      <c r="BH58" s="411"/>
      <c r="BI58" s="411"/>
      <c r="BJ58" s="399"/>
      <c r="BK58" s="399"/>
      <c r="BL58" s="399"/>
      <c r="BM58" s="409" t="s">
        <v>3505</v>
      </c>
      <c r="BN58" s="399"/>
      <c r="BO58" s="399"/>
      <c r="BP58" s="399"/>
      <c r="BQ58" s="399"/>
      <c r="BR58" s="399"/>
      <c r="BS58" s="407"/>
      <c r="BT58" s="407"/>
      <c r="BU58" s="412"/>
      <c r="BV58" s="46" t="str">
        <f t="shared" si="8"/>
        <v>Observation</v>
      </c>
      <c r="BW58" s="46" t="str">
        <f t="shared" si="9"/>
        <v/>
      </c>
      <c r="BX58" s="46" t="str">
        <f t="shared" si="10"/>
        <v>Observation</v>
      </c>
      <c r="BY58" s="43" t="str">
        <f t="shared" si="11"/>
        <v>WHO-Core Observation (Sexual History)</v>
      </c>
      <c r="BZ58" s="46">
        <f t="shared" si="12"/>
        <v>1</v>
      </c>
      <c r="CA58" s="46">
        <f t="shared" si="13"/>
        <v>0</v>
      </c>
      <c r="CB58" s="46">
        <f t="shared" si="14"/>
        <v>1</v>
      </c>
      <c r="CC58" s="46">
        <f t="shared" si="15"/>
        <v>1</v>
      </c>
      <c r="CD58" s="46">
        <f t="shared" si="16"/>
        <v>1</v>
      </c>
      <c r="CE58" s="46">
        <f t="shared" si="17"/>
        <v>0</v>
      </c>
      <c r="CF58" s="46">
        <f t="shared" si="18"/>
        <v>0</v>
      </c>
      <c r="CG58" s="46" t="str">
        <f ca="1">IFERROR(__xludf.DUMMYFUNCTION("if(OR(BH58="""",LEFT(BH58,2)=""LA""),"""",IMPORTXML(CONCATENATE(""https://loinc.org/"",BH58,""/""),""//span[@id='lcn']""))"),"")</f>
        <v/>
      </c>
      <c r="CH58" s="46"/>
      <c r="CI58" s="46"/>
      <c r="CJ58" s="46"/>
      <c r="CK58" s="46"/>
      <c r="CL58" s="46"/>
      <c r="CM58" s="46"/>
      <c r="CN58" s="46"/>
      <c r="CO58" s="46"/>
      <c r="CP58" s="46"/>
      <c r="CQ58" s="46"/>
      <c r="CR58" s="46"/>
      <c r="CS58" s="46"/>
      <c r="CT58" s="46"/>
      <c r="CU58" s="46"/>
    </row>
    <row r="59" spans="1:99" ht="12.75" customHeight="1">
      <c r="A59" s="399">
        <v>1283</v>
      </c>
      <c r="B59" s="399" t="s">
        <v>3507</v>
      </c>
      <c r="C59" s="399">
        <f t="shared" si="0"/>
        <v>1283</v>
      </c>
      <c r="D59" s="399" t="str">
        <f t="shared" si="1"/>
        <v>Date of last sexual intercourse</v>
      </c>
      <c r="E59" s="399" t="str">
        <f t="shared" si="2"/>
        <v>Date of last sexual intercourse</v>
      </c>
      <c r="F59" s="399" t="str">
        <f t="shared" si="20"/>
        <v>Data Element</v>
      </c>
      <c r="G59" s="400">
        <f t="shared" si="4"/>
        <v>31</v>
      </c>
      <c r="H59" s="400" t="str">
        <f t="shared" si="5"/>
        <v/>
      </c>
      <c r="I59" s="400"/>
      <c r="J59" s="400"/>
      <c r="K59" s="401" t="s">
        <v>3333</v>
      </c>
      <c r="L59" s="402" t="s">
        <v>3499</v>
      </c>
      <c r="M59" s="400"/>
      <c r="N59" s="427" t="s">
        <v>3477</v>
      </c>
      <c r="O59" s="428"/>
      <c r="P59" s="403" t="s">
        <v>3509</v>
      </c>
      <c r="Q59" s="403" t="s">
        <v>3507</v>
      </c>
      <c r="R59" s="403"/>
      <c r="S59" s="403" t="s">
        <v>3510</v>
      </c>
      <c r="T59" s="403" t="s">
        <v>140</v>
      </c>
      <c r="U59" s="407"/>
      <c r="V59" s="407"/>
      <c r="W59" s="407"/>
      <c r="X59" s="403" t="s">
        <v>113</v>
      </c>
      <c r="Y59" s="403" t="s">
        <v>3511</v>
      </c>
      <c r="Z59" s="403" t="s">
        <v>113</v>
      </c>
      <c r="AA59" s="403" t="s">
        <v>3178</v>
      </c>
      <c r="AB59" s="406" t="s">
        <v>3512</v>
      </c>
      <c r="AC59" s="407"/>
      <c r="AD59" s="403"/>
      <c r="AE59" s="406"/>
      <c r="AF59" s="407"/>
      <c r="AG59" s="407"/>
      <c r="AH59" s="399"/>
      <c r="AI59" s="400"/>
      <c r="AJ59" s="399"/>
      <c r="AK59" s="409" t="s">
        <v>3410</v>
      </c>
      <c r="AL59" s="409" t="s">
        <v>3513</v>
      </c>
      <c r="AM59" s="409" t="s">
        <v>3100</v>
      </c>
      <c r="AN59" s="409" t="s">
        <v>3101</v>
      </c>
      <c r="AO59" s="399"/>
      <c r="AP59" s="399"/>
      <c r="AQ59" s="409" t="s">
        <v>115</v>
      </c>
      <c r="AR59" s="399"/>
      <c r="AS59" s="399"/>
      <c r="AT59" s="399"/>
      <c r="AU59" s="399" t="s">
        <v>3507</v>
      </c>
      <c r="AV59" s="399" t="str">
        <f t="shared" si="6"/>
        <v>Same</v>
      </c>
      <c r="AW59" s="399"/>
      <c r="AX59" s="409" t="s">
        <v>3104</v>
      </c>
      <c r="AY59" s="399" t="str">
        <f t="shared" si="7"/>
        <v/>
      </c>
      <c r="AZ59" s="409" t="s">
        <v>3105</v>
      </c>
      <c r="BA59" s="409">
        <v>0</v>
      </c>
      <c r="BB59" s="399"/>
      <c r="BC59" s="399"/>
      <c r="BD59" s="399" t="s">
        <v>3514</v>
      </c>
      <c r="BE59" s="411"/>
      <c r="BF59" s="411"/>
      <c r="BG59" s="411" t="s">
        <v>3515</v>
      </c>
      <c r="BH59" s="411"/>
      <c r="BI59" s="411"/>
      <c r="BJ59" s="399"/>
      <c r="BK59" s="399"/>
      <c r="BL59" s="399"/>
      <c r="BM59" s="399"/>
      <c r="BN59" s="399"/>
      <c r="BO59" s="399"/>
      <c r="BP59" s="399"/>
      <c r="BQ59" s="399"/>
      <c r="BR59" s="399"/>
      <c r="BS59" s="407"/>
      <c r="BT59" s="407"/>
      <c r="BU59" s="412"/>
      <c r="BV59" s="46" t="str">
        <f t="shared" si="8"/>
        <v/>
      </c>
      <c r="BW59" s="46" t="str">
        <f t="shared" si="9"/>
        <v/>
      </c>
      <c r="BX59" s="46" t="str">
        <f t="shared" si="10"/>
        <v/>
      </c>
      <c r="BY59" s="43">
        <f t="shared" si="11"/>
        <v>0</v>
      </c>
      <c r="BZ59" s="46">
        <f t="shared" si="12"/>
        <v>1</v>
      </c>
      <c r="CA59" s="46">
        <f t="shared" si="13"/>
        <v>0</v>
      </c>
      <c r="CB59" s="46">
        <f t="shared" si="14"/>
        <v>1</v>
      </c>
      <c r="CC59" s="46">
        <f t="shared" si="15"/>
        <v>1</v>
      </c>
      <c r="CD59" s="46">
        <f t="shared" si="16"/>
        <v>1</v>
      </c>
      <c r="CE59" s="46">
        <f t="shared" si="17"/>
        <v>0</v>
      </c>
      <c r="CF59" s="46">
        <f t="shared" si="18"/>
        <v>0</v>
      </c>
      <c r="CG59" s="46" t="str">
        <f ca="1">IFERROR(__xludf.DUMMYFUNCTION("if(OR(BH59="""",LEFT(BH59,2)=""LA""),"""",IMPORTXML(CONCATENATE(""https://loinc.org/"",BH59,""/""),""//span[@id='lcn']""))"),"")</f>
        <v/>
      </c>
      <c r="CH59" s="46"/>
      <c r="CI59" s="46"/>
      <c r="CJ59" s="46"/>
      <c r="CK59" s="46"/>
      <c r="CL59" s="46"/>
      <c r="CM59" s="46"/>
      <c r="CN59" s="46"/>
      <c r="CO59" s="46"/>
      <c r="CP59" s="46"/>
      <c r="CQ59" s="46"/>
      <c r="CR59" s="46"/>
      <c r="CS59" s="46"/>
      <c r="CT59" s="46"/>
      <c r="CU59" s="46"/>
    </row>
    <row r="60" spans="1:99" ht="12.75" customHeight="1">
      <c r="A60" s="399">
        <v>1284</v>
      </c>
      <c r="B60" s="399" t="s">
        <v>3516</v>
      </c>
      <c r="C60" s="399">
        <f t="shared" si="0"/>
        <v>1284</v>
      </c>
      <c r="D60" s="399" t="str">
        <f t="shared" si="1"/>
        <v>Never used contraception</v>
      </c>
      <c r="E60" s="399" t="str">
        <f t="shared" si="2"/>
        <v>Never used contraception</v>
      </c>
      <c r="F60" s="399" t="str">
        <f t="shared" si="20"/>
        <v>Data Element</v>
      </c>
      <c r="G60" s="400">
        <f t="shared" si="4"/>
        <v>24</v>
      </c>
      <c r="H60" s="400" t="str">
        <f t="shared" si="5"/>
        <v/>
      </c>
      <c r="I60" s="400"/>
      <c r="J60" s="400"/>
      <c r="K60" s="402" t="s">
        <v>3475</v>
      </c>
      <c r="L60" s="402" t="s">
        <v>3517</v>
      </c>
      <c r="M60" s="400"/>
      <c r="N60" s="427" t="s">
        <v>3477</v>
      </c>
      <c r="O60" s="441" t="s">
        <v>3518</v>
      </c>
      <c r="P60" s="440" t="s">
        <v>3519</v>
      </c>
      <c r="Q60" s="403" t="s">
        <v>3516</v>
      </c>
      <c r="R60" s="403"/>
      <c r="S60" s="403" t="s">
        <v>3520</v>
      </c>
      <c r="T60" s="403" t="s">
        <v>3169</v>
      </c>
      <c r="U60" s="407"/>
      <c r="V60" s="407" t="s">
        <v>3170</v>
      </c>
      <c r="W60" s="407"/>
      <c r="X60" s="403" t="s">
        <v>208</v>
      </c>
      <c r="Y60" s="403"/>
      <c r="Z60" s="403" t="s">
        <v>113</v>
      </c>
      <c r="AA60" s="440" t="s">
        <v>3521</v>
      </c>
      <c r="AB60" s="408"/>
      <c r="AC60" s="407"/>
      <c r="AD60" s="403"/>
      <c r="AE60" s="406" t="s">
        <v>3522</v>
      </c>
      <c r="AF60" s="432" t="s">
        <v>3523</v>
      </c>
      <c r="AG60" s="421"/>
      <c r="AH60" s="399"/>
      <c r="AI60" s="400"/>
      <c r="AJ60" s="399"/>
      <c r="AK60" s="409" t="s">
        <v>3410</v>
      </c>
      <c r="AL60" s="409" t="s">
        <v>3169</v>
      </c>
      <c r="AM60" s="409" t="s">
        <v>3100</v>
      </c>
      <c r="AN60" s="409" t="s">
        <v>3101</v>
      </c>
      <c r="AO60" s="399"/>
      <c r="AP60" s="409" t="s">
        <v>3524</v>
      </c>
      <c r="AQ60" s="409" t="s">
        <v>3130</v>
      </c>
      <c r="AR60" s="399"/>
      <c r="AS60" s="399"/>
      <c r="AT60" s="399"/>
      <c r="AU60" s="399" t="s">
        <v>3516</v>
      </c>
      <c r="AV60" s="399" t="str">
        <f t="shared" si="6"/>
        <v>Same</v>
      </c>
      <c r="AW60" s="399"/>
      <c r="AX60" s="409" t="s">
        <v>3104</v>
      </c>
      <c r="AY60" s="399" t="str">
        <f t="shared" si="7"/>
        <v/>
      </c>
      <c r="AZ60" s="409" t="s">
        <v>3105</v>
      </c>
      <c r="BA60" s="409">
        <v>1</v>
      </c>
      <c r="BB60" s="399"/>
      <c r="BC60" s="399"/>
      <c r="BD60" s="399" t="s">
        <v>3162</v>
      </c>
      <c r="BE60" s="411"/>
      <c r="BF60" s="411"/>
      <c r="BG60" s="434" t="s">
        <v>3525</v>
      </c>
      <c r="BH60" s="411"/>
      <c r="BI60" s="411"/>
      <c r="BJ60" s="399"/>
      <c r="BK60" s="399"/>
      <c r="BL60" s="399"/>
      <c r="BM60" s="399"/>
      <c r="BN60" s="399"/>
      <c r="BO60" s="399"/>
      <c r="BP60" s="399"/>
      <c r="BQ60" s="399"/>
      <c r="BR60" s="399"/>
      <c r="BS60" s="407"/>
      <c r="BT60" s="407"/>
      <c r="BU60" s="412"/>
      <c r="BV60" s="46" t="str">
        <f t="shared" si="8"/>
        <v>Observation</v>
      </c>
      <c r="BW60" s="46" t="str">
        <f t="shared" si="9"/>
        <v/>
      </c>
      <c r="BX60" s="46" t="str">
        <f t="shared" si="10"/>
        <v>Observation</v>
      </c>
      <c r="BY60" s="43" t="str">
        <f t="shared" si="11"/>
        <v>WHO-Core Observation (Never used contraception)</v>
      </c>
      <c r="BZ60" s="46">
        <f t="shared" si="12"/>
        <v>1</v>
      </c>
      <c r="CA60" s="46">
        <f t="shared" si="13"/>
        <v>0</v>
      </c>
      <c r="CB60" s="46">
        <f t="shared" si="14"/>
        <v>1</v>
      </c>
      <c r="CC60" s="46">
        <f t="shared" si="15"/>
        <v>1</v>
      </c>
      <c r="CD60" s="46">
        <f t="shared" si="16"/>
        <v>1</v>
      </c>
      <c r="CE60" s="46">
        <f t="shared" si="17"/>
        <v>0</v>
      </c>
      <c r="CF60" s="46">
        <f t="shared" si="18"/>
        <v>0</v>
      </c>
      <c r="CG60" s="46" t="str">
        <f ca="1">IFERROR(__xludf.DUMMYFUNCTION("if(OR(BH60="""",LEFT(BH60,2)=""LA""),"""",IMPORTXML(CONCATENATE(""https://loinc.org/"",BH60,""/""),""//span[@id='lcn']""))"),"")</f>
        <v/>
      </c>
      <c r="CH60" s="46"/>
      <c r="CI60" s="46"/>
      <c r="CJ60" s="46"/>
      <c r="CK60" s="46"/>
      <c r="CL60" s="46"/>
      <c r="CM60" s="46"/>
      <c r="CN60" s="46"/>
      <c r="CO60" s="46"/>
      <c r="CP60" s="46"/>
      <c r="CQ60" s="46"/>
      <c r="CR60" s="46"/>
      <c r="CS60" s="46"/>
      <c r="CT60" s="46"/>
      <c r="CU60" s="46"/>
    </row>
    <row r="61" spans="1:99" ht="12.75" customHeight="1">
      <c r="A61" s="399">
        <v>1286</v>
      </c>
      <c r="B61" s="409" t="s">
        <v>3526</v>
      </c>
      <c r="C61" s="399">
        <f t="shared" si="0"/>
        <v>1286</v>
      </c>
      <c r="D61" s="399" t="str">
        <f t="shared" si="1"/>
        <v>Method at intake</v>
      </c>
      <c r="E61" s="399" t="str">
        <f t="shared" si="2"/>
        <v>Method at intake</v>
      </c>
      <c r="F61" s="399" t="str">
        <f t="shared" si="20"/>
        <v>Data Element</v>
      </c>
      <c r="G61" s="400">
        <f t="shared" si="4"/>
        <v>52</v>
      </c>
      <c r="H61" s="400" t="str">
        <f t="shared" si="5"/>
        <v/>
      </c>
      <c r="I61" s="400"/>
      <c r="J61" s="400"/>
      <c r="K61" s="401" t="s">
        <v>3333</v>
      </c>
      <c r="L61" s="402" t="s">
        <v>3517</v>
      </c>
      <c r="M61" s="400"/>
      <c r="N61" s="427" t="s">
        <v>3477</v>
      </c>
      <c r="O61" s="428"/>
      <c r="P61" s="403" t="s">
        <v>3527</v>
      </c>
      <c r="Q61" s="403" t="s">
        <v>3528</v>
      </c>
      <c r="R61" s="403"/>
      <c r="S61" s="403" t="s">
        <v>3529</v>
      </c>
      <c r="T61" s="403" t="s">
        <v>3339</v>
      </c>
      <c r="U61" s="432" t="s">
        <v>3326</v>
      </c>
      <c r="V61" s="403"/>
      <c r="W61" s="407"/>
      <c r="X61" s="403" t="s">
        <v>208</v>
      </c>
      <c r="Y61" s="403"/>
      <c r="Z61" s="403" t="s">
        <v>113</v>
      </c>
      <c r="AA61" s="403" t="s">
        <v>3098</v>
      </c>
      <c r="AB61" s="432" t="s">
        <v>3530</v>
      </c>
      <c r="AC61" s="407"/>
      <c r="AD61" s="403" t="s">
        <v>3531</v>
      </c>
      <c r="AE61" s="406"/>
      <c r="AF61" s="407" t="s">
        <v>3532</v>
      </c>
      <c r="AG61" s="432" t="s">
        <v>3533</v>
      </c>
      <c r="AH61" s="399"/>
      <c r="AI61" s="400"/>
      <c r="AJ61" s="399"/>
      <c r="AK61" s="409" t="s">
        <v>3534</v>
      </c>
      <c r="AL61" s="409"/>
      <c r="AM61" s="409" t="s">
        <v>3100</v>
      </c>
      <c r="AN61" s="409" t="s">
        <v>3101</v>
      </c>
      <c r="AO61" s="399"/>
      <c r="AP61" s="409" t="s">
        <v>3535</v>
      </c>
      <c r="AQ61" s="409" t="s">
        <v>3103</v>
      </c>
      <c r="AR61" s="409" t="s">
        <v>3536</v>
      </c>
      <c r="AS61" s="409"/>
      <c r="AT61" s="399"/>
      <c r="AU61" s="399" t="s">
        <v>3537</v>
      </c>
      <c r="AV61" s="399" t="str">
        <f t="shared" si="6"/>
        <v>Changed</v>
      </c>
      <c r="AW61" s="399"/>
      <c r="AX61" s="409" t="s">
        <v>3104</v>
      </c>
      <c r="AY61" s="399" t="str">
        <f t="shared" si="7"/>
        <v>"Method at intake"-&gt;"Device-based Birth control method reported at intake"</v>
      </c>
      <c r="AZ61" s="409" t="s">
        <v>3105</v>
      </c>
      <c r="BA61" s="409">
        <v>1</v>
      </c>
      <c r="BB61" s="399"/>
      <c r="BC61" s="399"/>
      <c r="BD61" s="409" t="s">
        <v>3538</v>
      </c>
      <c r="BE61" s="411"/>
      <c r="BF61" s="411"/>
      <c r="BG61" s="411"/>
      <c r="BH61" s="411" t="s">
        <v>3539</v>
      </c>
      <c r="BI61" s="411"/>
      <c r="BJ61" s="399"/>
      <c r="BK61" s="399"/>
      <c r="BL61" s="399"/>
      <c r="BM61" s="399"/>
      <c r="BN61" s="399"/>
      <c r="BO61" s="399"/>
      <c r="BP61" s="399"/>
      <c r="BQ61" s="399"/>
      <c r="BR61" s="399"/>
      <c r="BS61" s="407"/>
      <c r="BT61" s="407"/>
      <c r="BU61" s="412"/>
      <c r="BV61" s="46" t="str">
        <f t="shared" si="8"/>
        <v>DeviceUseStatement</v>
      </c>
      <c r="BW61" s="46" t="str">
        <f t="shared" si="9"/>
        <v/>
      </c>
      <c r="BX61" s="46" t="str">
        <f t="shared" si="10"/>
        <v>DeviceUseStatement</v>
      </c>
      <c r="BY61" s="43" t="str">
        <f t="shared" si="11"/>
        <v>WHO-Core DeviceUseStatement (Intake Contraceptive Method)</v>
      </c>
      <c r="BZ61" s="46">
        <f t="shared" si="12"/>
        <v>1</v>
      </c>
      <c r="CA61" s="46">
        <f t="shared" si="13"/>
        <v>1</v>
      </c>
      <c r="CB61" s="46">
        <f t="shared" si="14"/>
        <v>1</v>
      </c>
      <c r="CC61" s="46">
        <f t="shared" si="15"/>
        <v>1</v>
      </c>
      <c r="CD61" s="46">
        <f t="shared" si="16"/>
        <v>1</v>
      </c>
      <c r="CE61" s="46">
        <f t="shared" si="17"/>
        <v>0</v>
      </c>
      <c r="CF61" s="46">
        <f t="shared" si="18"/>
        <v>0</v>
      </c>
      <c r="CG61" s="46" t="str">
        <f ca="1">IFERROR(__xludf.DUMMYFUNCTION("if(OR(BH61="""",LEFT(BH61,2)=""LA""),"""",IMPORTXML(CONCATENATE(""https://loinc.org/"",BH61,""/""),""//span[@id='lcn']""))"),"Birth control method at intake Reported --at intake")</f>
        <v>Birth control method at intake Reported --at intake</v>
      </c>
      <c r="CH61" s="46"/>
      <c r="CI61" s="46"/>
      <c r="CJ61" s="46"/>
      <c r="CK61" s="46"/>
      <c r="CL61" s="46"/>
      <c r="CM61" s="46"/>
      <c r="CN61" s="46"/>
      <c r="CO61" s="46"/>
      <c r="CP61" s="46"/>
      <c r="CQ61" s="46"/>
      <c r="CR61" s="46"/>
      <c r="CS61" s="46"/>
      <c r="CT61" s="46"/>
      <c r="CU61" s="46"/>
    </row>
    <row r="62" spans="1:99" ht="12.75" customHeight="1">
      <c r="A62" s="399">
        <v>1287</v>
      </c>
      <c r="B62" s="409" t="s">
        <v>3540</v>
      </c>
      <c r="C62" s="399">
        <f t="shared" si="0"/>
        <v>1287</v>
      </c>
      <c r="D62" s="399" t="e">
        <f t="shared" ca="1" si="1"/>
        <v>#NAME?</v>
      </c>
      <c r="E62" s="399" t="str">
        <f t="shared" si="2"/>
        <v>No method</v>
      </c>
      <c r="F62" s="399" t="str">
        <f t="shared" si="20"/>
        <v>Input Option</v>
      </c>
      <c r="G62" s="400">
        <f t="shared" si="4"/>
        <v>29</v>
      </c>
      <c r="H62" s="399" t="str">
        <f t="shared" si="5"/>
        <v>Device-based Birth control method reported at intake</v>
      </c>
      <c r="I62" s="400"/>
      <c r="J62" s="400"/>
      <c r="K62" s="401" t="s">
        <v>3333</v>
      </c>
      <c r="L62" s="402" t="s">
        <v>3517</v>
      </c>
      <c r="M62" s="400"/>
      <c r="N62" s="427" t="s">
        <v>3477</v>
      </c>
      <c r="O62" s="428"/>
      <c r="P62" s="403" t="s">
        <v>3541</v>
      </c>
      <c r="Q62" s="403"/>
      <c r="R62" s="407"/>
      <c r="S62" s="442" t="s">
        <v>3542</v>
      </c>
      <c r="T62" s="407"/>
      <c r="U62" s="407"/>
      <c r="V62" s="407" t="s">
        <v>3543</v>
      </c>
      <c r="W62" s="407"/>
      <c r="X62" s="407" t="s">
        <v>113</v>
      </c>
      <c r="Y62" s="403" t="s">
        <v>3544</v>
      </c>
      <c r="Z62" s="407" t="s">
        <v>113</v>
      </c>
      <c r="AA62" s="403" t="s">
        <v>3178</v>
      </c>
      <c r="AB62" s="408"/>
      <c r="AC62" s="407"/>
      <c r="AD62" s="403"/>
      <c r="AE62" s="406"/>
      <c r="AF62" s="407" t="s">
        <v>3545</v>
      </c>
      <c r="AG62" s="407"/>
      <c r="AH62" s="399"/>
      <c r="AI62" s="400"/>
      <c r="AJ62" s="399"/>
      <c r="AK62" s="399"/>
      <c r="AL62" s="399"/>
      <c r="AM62" s="399"/>
      <c r="AN62" s="399"/>
      <c r="AO62" s="399"/>
      <c r="AP62" s="409"/>
      <c r="AQ62" s="409" t="s">
        <v>3130</v>
      </c>
      <c r="AR62" s="409" t="s">
        <v>3536</v>
      </c>
      <c r="AS62" s="409"/>
      <c r="AT62" s="399"/>
      <c r="AU62" s="399" t="s">
        <v>3546</v>
      </c>
      <c r="AV62" s="399" t="str">
        <f t="shared" si="6"/>
        <v>Changed</v>
      </c>
      <c r="AW62" s="399"/>
      <c r="AX62" s="409" t="s">
        <v>3104</v>
      </c>
      <c r="AY62" s="399" t="e">
        <f t="shared" ca="1" si="7"/>
        <v>#NAME?</v>
      </c>
      <c r="AZ62" s="409" t="s">
        <v>3105</v>
      </c>
      <c r="BA62" s="409">
        <v>1</v>
      </c>
      <c r="BB62" s="399"/>
      <c r="BC62" s="399"/>
      <c r="BD62" s="399" t="s">
        <v>1673</v>
      </c>
      <c r="BE62" s="411"/>
      <c r="BF62" s="411"/>
      <c r="BG62" s="411" t="s">
        <v>3349</v>
      </c>
      <c r="BH62" s="411"/>
      <c r="BI62" s="411"/>
      <c r="BJ62" s="399"/>
      <c r="BK62" s="399"/>
      <c r="BL62" s="399"/>
      <c r="BM62" s="399"/>
      <c r="BN62" s="399"/>
      <c r="BO62" s="399"/>
      <c r="BP62" s="399"/>
      <c r="BQ62" s="399"/>
      <c r="BR62" s="399"/>
      <c r="BS62" s="407"/>
      <c r="BT62" s="407"/>
      <c r="BU62" s="412"/>
      <c r="BV62" s="46" t="str">
        <f t="shared" si="8"/>
        <v/>
      </c>
      <c r="BW62" s="46">
        <f t="shared" si="9"/>
        <v>0</v>
      </c>
      <c r="BX62" s="46">
        <f t="shared" si="10"/>
        <v>0</v>
      </c>
      <c r="BY62" s="43" t="str">
        <f t="shared" si="11"/>
        <v>WHO-Core DeviceUseStatement (Intake Contraceptive Method)</v>
      </c>
      <c r="BZ62" s="46">
        <f t="shared" si="12"/>
        <v>1</v>
      </c>
      <c r="CA62" s="46" t="str">
        <f t="shared" si="13"/>
        <v/>
      </c>
      <c r="CB62" s="46">
        <f t="shared" si="14"/>
        <v>1</v>
      </c>
      <c r="CC62" s="46">
        <f t="shared" si="15"/>
        <v>1</v>
      </c>
      <c r="CD62" s="46">
        <f t="shared" si="16"/>
        <v>1</v>
      </c>
      <c r="CE62" s="46">
        <f t="shared" si="17"/>
        <v>0</v>
      </c>
      <c r="CF62" s="46">
        <f t="shared" si="18"/>
        <v>0</v>
      </c>
      <c r="CG62" s="46" t="str">
        <f ca="1">IFERROR(__xludf.DUMMYFUNCTION("if(OR(BH62="""",LEFT(BH62,2)=""LA""),"""",IMPORTXML(CONCATENATE(""https://loinc.org/"",BH62,""/""),""//span[@id='lcn']""))"),"")</f>
        <v/>
      </c>
      <c r="CH62" s="46"/>
      <c r="CI62" s="46"/>
      <c r="CJ62" s="46"/>
      <c r="CK62" s="46"/>
      <c r="CL62" s="46"/>
      <c r="CM62" s="46"/>
      <c r="CN62" s="46"/>
      <c r="CO62" s="46"/>
      <c r="CP62" s="46"/>
      <c r="CQ62" s="46"/>
      <c r="CR62" s="46"/>
      <c r="CS62" s="46"/>
      <c r="CT62" s="46"/>
      <c r="CU62" s="46"/>
    </row>
    <row r="63" spans="1:99" ht="12.75" customHeight="1">
      <c r="A63" s="399">
        <v>1300</v>
      </c>
      <c r="B63" s="399" t="s">
        <v>3547</v>
      </c>
      <c r="C63" s="399">
        <f t="shared" si="0"/>
        <v>1300</v>
      </c>
      <c r="D63" s="399" t="e">
        <f t="shared" ca="1" si="1"/>
        <v>#NAME?</v>
      </c>
      <c r="E63" s="399" t="str">
        <f t="shared" si="2"/>
        <v>Levonorgestrel IUD (LNG-IUD)</v>
      </c>
      <c r="F63" s="399" t="str">
        <f t="shared" si="20"/>
        <v>Input Option</v>
      </c>
      <c r="G63" s="400">
        <f t="shared" si="4"/>
        <v>35</v>
      </c>
      <c r="H63" s="399" t="str">
        <f t="shared" si="5"/>
        <v>Device-based Birth control method reported at intake</v>
      </c>
      <c r="I63" s="400"/>
      <c r="J63" s="400"/>
      <c r="K63" s="401" t="s">
        <v>3333</v>
      </c>
      <c r="L63" s="402" t="s">
        <v>3517</v>
      </c>
      <c r="M63" s="400"/>
      <c r="N63" s="427" t="s">
        <v>3477</v>
      </c>
      <c r="O63" s="428"/>
      <c r="P63" s="403" t="s">
        <v>3548</v>
      </c>
      <c r="Q63" s="414"/>
      <c r="R63" s="407"/>
      <c r="S63" s="443" t="s">
        <v>3549</v>
      </c>
      <c r="T63" s="421"/>
      <c r="U63" s="407"/>
      <c r="V63" s="432" t="s">
        <v>3550</v>
      </c>
      <c r="W63" s="407"/>
      <c r="X63" s="407" t="s">
        <v>208</v>
      </c>
      <c r="Y63" s="403"/>
      <c r="Z63" s="407" t="s">
        <v>113</v>
      </c>
      <c r="AA63" s="403" t="s">
        <v>3178</v>
      </c>
      <c r="AB63" s="432" t="s">
        <v>3552</v>
      </c>
      <c r="AC63" s="407"/>
      <c r="AD63" s="407"/>
      <c r="AE63" s="408"/>
      <c r="AF63" s="407"/>
      <c r="AG63" s="407"/>
      <c r="AH63" s="399"/>
      <c r="AI63" s="400"/>
      <c r="AJ63" s="399"/>
      <c r="AK63" s="399"/>
      <c r="AL63" s="399"/>
      <c r="AM63" s="399"/>
      <c r="AN63" s="399"/>
      <c r="AO63" s="399"/>
      <c r="AP63" s="409"/>
      <c r="AQ63" s="409" t="s">
        <v>3130</v>
      </c>
      <c r="AR63" s="409" t="s">
        <v>3536</v>
      </c>
      <c r="AS63" s="409"/>
      <c r="AT63" s="399"/>
      <c r="AU63" s="399" t="s">
        <v>3547</v>
      </c>
      <c r="AV63" s="399" t="str">
        <f t="shared" si="6"/>
        <v>Same</v>
      </c>
      <c r="AW63" s="399"/>
      <c r="AX63" s="409" t="s">
        <v>3104</v>
      </c>
      <c r="AY63" s="399" t="e">
        <f t="shared" ca="1" si="7"/>
        <v>#NAME?</v>
      </c>
      <c r="AZ63" s="409" t="s">
        <v>3105</v>
      </c>
      <c r="BA63" s="409">
        <v>1</v>
      </c>
      <c r="BB63" s="399"/>
      <c r="BC63" s="399"/>
      <c r="BD63" s="399" t="s">
        <v>1673</v>
      </c>
      <c r="BE63" s="411"/>
      <c r="BF63" s="411"/>
      <c r="BG63" s="411" t="s">
        <v>3553</v>
      </c>
      <c r="BH63" s="411" t="s">
        <v>3554</v>
      </c>
      <c r="BI63" s="434" t="s">
        <v>3555</v>
      </c>
      <c r="BJ63" s="399"/>
      <c r="BK63" s="399"/>
      <c r="BL63" s="399"/>
      <c r="BM63" s="399"/>
      <c r="BN63" s="399"/>
      <c r="BO63" s="399"/>
      <c r="BP63" s="399"/>
      <c r="BQ63" s="399"/>
      <c r="BR63" s="399"/>
      <c r="BS63" s="407"/>
      <c r="BT63" s="407"/>
      <c r="BU63" s="412"/>
      <c r="BV63" s="46" t="str">
        <f t="shared" si="8"/>
        <v/>
      </c>
      <c r="BW63" s="46">
        <f t="shared" si="9"/>
        <v>0</v>
      </c>
      <c r="BX63" s="46">
        <f t="shared" si="10"/>
        <v>0</v>
      </c>
      <c r="BY63" s="43" t="str">
        <f t="shared" si="11"/>
        <v>WHO-Core DeviceUseStatement (Intake Contraceptive Method)</v>
      </c>
      <c r="BZ63" s="46">
        <f t="shared" si="12"/>
        <v>1</v>
      </c>
      <c r="CA63" s="46" t="str">
        <f t="shared" si="13"/>
        <v/>
      </c>
      <c r="CB63" s="46">
        <f t="shared" si="14"/>
        <v>1</v>
      </c>
      <c r="CC63" s="46">
        <f t="shared" si="15"/>
        <v>1</v>
      </c>
      <c r="CD63" s="46">
        <f t="shared" si="16"/>
        <v>1</v>
      </c>
      <c r="CE63" s="46">
        <f t="shared" si="17"/>
        <v>0</v>
      </c>
      <c r="CF63" s="46">
        <f t="shared" si="18"/>
        <v>0</v>
      </c>
      <c r="CG63" s="46" t="str">
        <f ca="1">IFERROR(__xludf.DUMMYFUNCTION("if(OR(BH63="""",LEFT(BH63,2)=""LA""),"""",IMPORTXML(CONCATENATE(""https://loinc.org/"",BH63,""/""),""//span[@id='lcn']""))"),"")</f>
        <v/>
      </c>
      <c r="CH63" s="46"/>
      <c r="CI63" s="46"/>
      <c r="CJ63" s="46"/>
      <c r="CK63" s="46"/>
      <c r="CL63" s="46"/>
      <c r="CM63" s="46"/>
      <c r="CN63" s="46"/>
      <c r="CO63" s="46"/>
      <c r="CP63" s="46"/>
      <c r="CQ63" s="46"/>
      <c r="CR63" s="46"/>
      <c r="CS63" s="46"/>
      <c r="CT63" s="46"/>
      <c r="CU63" s="46"/>
    </row>
    <row r="64" spans="1:99" ht="12.75" customHeight="1">
      <c r="A64" s="399">
        <v>1301</v>
      </c>
      <c r="B64" s="399" t="s">
        <v>3556</v>
      </c>
      <c r="C64" s="399">
        <f t="shared" si="0"/>
        <v>1301</v>
      </c>
      <c r="D64" s="399" t="e">
        <f t="shared" ca="1" si="1"/>
        <v>#NAME?</v>
      </c>
      <c r="E64" s="399" t="str">
        <f t="shared" si="2"/>
        <v>Copper-bearing intrauterine device (Cu-IUD)</v>
      </c>
      <c r="F64" s="399" t="str">
        <f t="shared" si="20"/>
        <v>Input Option</v>
      </c>
      <c r="G64" s="400">
        <f t="shared" si="4"/>
        <v>50</v>
      </c>
      <c r="H64" s="399" t="str">
        <f t="shared" si="5"/>
        <v>Device-based Birth control method reported at intake</v>
      </c>
      <c r="I64" s="400"/>
      <c r="J64" s="400"/>
      <c r="K64" s="401" t="s">
        <v>3333</v>
      </c>
      <c r="L64" s="402" t="s">
        <v>3517</v>
      </c>
      <c r="M64" s="400"/>
      <c r="N64" s="427" t="s">
        <v>3477</v>
      </c>
      <c r="O64" s="428"/>
      <c r="P64" s="403" t="s">
        <v>3557</v>
      </c>
      <c r="Q64" s="407"/>
      <c r="R64" s="407"/>
      <c r="S64" s="443" t="s">
        <v>3558</v>
      </c>
      <c r="T64" s="421"/>
      <c r="U64" s="407"/>
      <c r="V64" s="432" t="s">
        <v>3559</v>
      </c>
      <c r="W64" s="407"/>
      <c r="X64" s="407" t="s">
        <v>208</v>
      </c>
      <c r="Y64" s="403"/>
      <c r="Z64" s="407" t="s">
        <v>113</v>
      </c>
      <c r="AA64" s="403" t="s">
        <v>3178</v>
      </c>
      <c r="AB64" s="432" t="s">
        <v>3552</v>
      </c>
      <c r="AC64" s="407"/>
      <c r="AD64" s="407"/>
      <c r="AE64" s="408"/>
      <c r="AF64" s="407"/>
      <c r="AG64" s="407"/>
      <c r="AH64" s="399"/>
      <c r="AI64" s="400"/>
      <c r="AJ64" s="399"/>
      <c r="AK64" s="399"/>
      <c r="AL64" s="399"/>
      <c r="AM64" s="399"/>
      <c r="AN64" s="399"/>
      <c r="AO64" s="399"/>
      <c r="AP64" s="409"/>
      <c r="AQ64" s="409" t="s">
        <v>3130</v>
      </c>
      <c r="AR64" s="409" t="s">
        <v>3536</v>
      </c>
      <c r="AS64" s="409"/>
      <c r="AT64" s="399"/>
      <c r="AU64" s="399" t="s">
        <v>3560</v>
      </c>
      <c r="AV64" s="399" t="str">
        <f t="shared" si="6"/>
        <v>Changed</v>
      </c>
      <c r="AW64" s="409" t="s">
        <v>3561</v>
      </c>
      <c r="AX64" s="409" t="s">
        <v>3104</v>
      </c>
      <c r="AY64" s="399" t="e">
        <f t="shared" ca="1" si="7"/>
        <v>#NAME?</v>
      </c>
      <c r="AZ64" s="409" t="s">
        <v>3105</v>
      </c>
      <c r="BA64" s="409">
        <v>1</v>
      </c>
      <c r="BB64" s="399"/>
      <c r="BC64" s="399"/>
      <c r="BD64" s="399" t="s">
        <v>1673</v>
      </c>
      <c r="BE64" s="411"/>
      <c r="BF64" s="411"/>
      <c r="BG64" s="411" t="s">
        <v>3562</v>
      </c>
      <c r="BH64" s="411" t="s">
        <v>3563</v>
      </c>
      <c r="BI64" s="411"/>
      <c r="BJ64" s="399"/>
      <c r="BK64" s="399"/>
      <c r="BL64" s="399"/>
      <c r="BM64" s="399"/>
      <c r="BN64" s="399"/>
      <c r="BO64" s="399"/>
      <c r="BP64" s="399"/>
      <c r="BQ64" s="399"/>
      <c r="BR64" s="399"/>
      <c r="BS64" s="407"/>
      <c r="BT64" s="407"/>
      <c r="BU64" s="412"/>
      <c r="BV64" s="46" t="str">
        <f t="shared" si="8"/>
        <v/>
      </c>
      <c r="BW64" s="46">
        <f t="shared" si="9"/>
        <v>0</v>
      </c>
      <c r="BX64" s="46">
        <f t="shared" si="10"/>
        <v>0</v>
      </c>
      <c r="BY64" s="43" t="str">
        <f t="shared" si="11"/>
        <v>WHO-Core DeviceUseStatement (Intake Contraceptive Method)</v>
      </c>
      <c r="BZ64" s="46">
        <f t="shared" si="12"/>
        <v>1</v>
      </c>
      <c r="CA64" s="46" t="str">
        <f t="shared" si="13"/>
        <v/>
      </c>
      <c r="CB64" s="46">
        <f t="shared" si="14"/>
        <v>1</v>
      </c>
      <c r="CC64" s="46">
        <f t="shared" si="15"/>
        <v>1</v>
      </c>
      <c r="CD64" s="46">
        <f t="shared" si="16"/>
        <v>1</v>
      </c>
      <c r="CE64" s="46">
        <f t="shared" si="17"/>
        <v>0</v>
      </c>
      <c r="CF64" s="46">
        <f t="shared" si="18"/>
        <v>0</v>
      </c>
      <c r="CG64" s="46" t="str">
        <f ca="1">IFERROR(__xludf.DUMMYFUNCTION("if(OR(BH64="""",LEFT(BH64,2)=""LA""),"""",IMPORTXML(CONCATENATE(""https://loinc.org/"",BH64,""/""),""//span[@id='lcn']""))"),"")</f>
        <v/>
      </c>
      <c r="CH64" s="46"/>
      <c r="CI64" s="46"/>
      <c r="CJ64" s="46"/>
      <c r="CK64" s="46"/>
      <c r="CL64" s="46"/>
      <c r="CM64" s="46"/>
      <c r="CN64" s="46"/>
      <c r="CO64" s="46"/>
      <c r="CP64" s="46"/>
      <c r="CQ64" s="46"/>
      <c r="CR64" s="46"/>
      <c r="CS64" s="46"/>
      <c r="CT64" s="46"/>
      <c r="CU64" s="46"/>
    </row>
    <row r="65" spans="1:99" ht="12.75" customHeight="1">
      <c r="A65" s="399">
        <v>1302</v>
      </c>
      <c r="B65" s="399" t="s">
        <v>3564</v>
      </c>
      <c r="C65" s="399">
        <f t="shared" si="0"/>
        <v>1302</v>
      </c>
      <c r="D65" s="399" t="e">
        <f t="shared" ca="1" si="1"/>
        <v>#NAME?</v>
      </c>
      <c r="E65" s="399" t="str">
        <f t="shared" si="2"/>
        <v>Unspecified IUD</v>
      </c>
      <c r="F65" s="399" t="str">
        <f t="shared" si="20"/>
        <v>Input Option</v>
      </c>
      <c r="G65" s="400">
        <f t="shared" si="4"/>
        <v>22</v>
      </c>
      <c r="H65" s="399" t="str">
        <f t="shared" si="5"/>
        <v>Device-based Birth control method reported at intake</v>
      </c>
      <c r="I65" s="400"/>
      <c r="J65" s="400"/>
      <c r="K65" s="401" t="s">
        <v>3333</v>
      </c>
      <c r="L65" s="402" t="s">
        <v>3517</v>
      </c>
      <c r="M65" s="400"/>
      <c r="N65" s="427" t="s">
        <v>3477</v>
      </c>
      <c r="O65" s="428"/>
      <c r="P65" s="403" t="s">
        <v>3565</v>
      </c>
      <c r="Q65" s="407"/>
      <c r="R65" s="407"/>
      <c r="S65" s="443" t="s">
        <v>3566</v>
      </c>
      <c r="T65" s="421"/>
      <c r="U65" s="407"/>
      <c r="V65" s="432" t="s">
        <v>3567</v>
      </c>
      <c r="W65" s="407"/>
      <c r="X65" s="407" t="s">
        <v>208</v>
      </c>
      <c r="Y65" s="403"/>
      <c r="Z65" s="407" t="s">
        <v>113</v>
      </c>
      <c r="AA65" s="403" t="s">
        <v>3178</v>
      </c>
      <c r="AB65" s="432" t="s">
        <v>3552</v>
      </c>
      <c r="AC65" s="407"/>
      <c r="AD65" s="407"/>
      <c r="AE65" s="408"/>
      <c r="AF65" s="407"/>
      <c r="AG65" s="407"/>
      <c r="AH65" s="399"/>
      <c r="AI65" s="400"/>
      <c r="AJ65" s="399"/>
      <c r="AK65" s="399"/>
      <c r="AL65" s="399"/>
      <c r="AM65" s="399"/>
      <c r="AN65" s="399"/>
      <c r="AO65" s="399"/>
      <c r="AP65" s="409"/>
      <c r="AQ65" s="409" t="s">
        <v>3130</v>
      </c>
      <c r="AR65" s="409" t="s">
        <v>3536</v>
      </c>
      <c r="AS65" s="409"/>
      <c r="AT65" s="399"/>
      <c r="AU65" s="399" t="s">
        <v>3564</v>
      </c>
      <c r="AV65" s="399" t="str">
        <f t="shared" si="6"/>
        <v>Same</v>
      </c>
      <c r="AW65" s="399"/>
      <c r="AX65" s="409" t="s">
        <v>3104</v>
      </c>
      <c r="AY65" s="399" t="e">
        <f t="shared" ca="1" si="7"/>
        <v>#NAME?</v>
      </c>
      <c r="AZ65" s="409" t="s">
        <v>3105</v>
      </c>
      <c r="BA65" s="409">
        <v>1</v>
      </c>
      <c r="BB65" s="399"/>
      <c r="BC65" s="399"/>
      <c r="BD65" s="399" t="s">
        <v>1673</v>
      </c>
      <c r="BE65" s="411"/>
      <c r="BF65" s="411"/>
      <c r="BG65" s="411" t="s">
        <v>3568</v>
      </c>
      <c r="BH65" s="411" t="s">
        <v>3569</v>
      </c>
      <c r="BI65" s="411"/>
      <c r="BJ65" s="399"/>
      <c r="BK65" s="399"/>
      <c r="BL65" s="399"/>
      <c r="BM65" s="399"/>
      <c r="BN65" s="399"/>
      <c r="BO65" s="399">
        <v>5275</v>
      </c>
      <c r="BP65" s="399"/>
      <c r="BQ65" s="399"/>
      <c r="BR65" s="399" t="s">
        <v>2791</v>
      </c>
      <c r="BS65" s="407"/>
      <c r="BT65" s="407"/>
      <c r="BU65" s="412"/>
      <c r="BV65" s="46" t="str">
        <f t="shared" si="8"/>
        <v/>
      </c>
      <c r="BW65" s="46">
        <f t="shared" si="9"/>
        <v>0</v>
      </c>
      <c r="BX65" s="46">
        <f t="shared" si="10"/>
        <v>0</v>
      </c>
      <c r="BY65" s="43" t="str">
        <f t="shared" si="11"/>
        <v>WHO-Core DeviceUseStatement (Intake Contraceptive Method)</v>
      </c>
      <c r="BZ65" s="46">
        <f t="shared" si="12"/>
        <v>1</v>
      </c>
      <c r="CA65" s="46" t="str">
        <f t="shared" si="13"/>
        <v/>
      </c>
      <c r="CB65" s="46">
        <f t="shared" si="14"/>
        <v>1</v>
      </c>
      <c r="CC65" s="46">
        <f t="shared" si="15"/>
        <v>1</v>
      </c>
      <c r="CD65" s="46">
        <f t="shared" si="16"/>
        <v>1</v>
      </c>
      <c r="CE65" s="46">
        <f t="shared" si="17"/>
        <v>0</v>
      </c>
      <c r="CF65" s="46">
        <f t="shared" si="18"/>
        <v>0</v>
      </c>
      <c r="CG65" s="46" t="str">
        <f ca="1">IFERROR(__xludf.DUMMYFUNCTION("if(OR(BH65="""",LEFT(BH65,2)=""LA""),"""",IMPORTXML(CONCATENATE(""https://loinc.org/"",BH65,""/""),""//span[@id='lcn']""))"),"")</f>
        <v/>
      </c>
      <c r="CH65" s="46"/>
      <c r="CI65" s="46"/>
      <c r="CJ65" s="46"/>
      <c r="CK65" s="46"/>
      <c r="CL65" s="46"/>
      <c r="CM65" s="46"/>
      <c r="CN65" s="46"/>
      <c r="CO65" s="46"/>
      <c r="CP65" s="46"/>
      <c r="CQ65" s="46"/>
      <c r="CR65" s="46"/>
      <c r="CS65" s="46"/>
      <c r="CT65" s="46"/>
      <c r="CU65" s="46"/>
    </row>
    <row r="66" spans="1:99" ht="12.75" customHeight="1">
      <c r="A66" s="399">
        <v>1297</v>
      </c>
      <c r="B66" s="399" t="s">
        <v>3570</v>
      </c>
      <c r="C66" s="399">
        <f t="shared" si="0"/>
        <v>1297</v>
      </c>
      <c r="D66" s="399" t="e">
        <f t="shared" ca="1" si="1"/>
        <v>#NAME?</v>
      </c>
      <c r="E66" s="399" t="str">
        <f t="shared" si="2"/>
        <v>Implant</v>
      </c>
      <c r="F66" s="399" t="str">
        <f t="shared" si="20"/>
        <v>Input Option</v>
      </c>
      <c r="G66" s="400">
        <f t="shared" si="4"/>
        <v>14</v>
      </c>
      <c r="H66" s="399" t="str">
        <f t="shared" si="5"/>
        <v>Device-based Birth control method reported at intake</v>
      </c>
      <c r="I66" s="400"/>
      <c r="J66" s="400"/>
      <c r="K66" s="401" t="s">
        <v>3333</v>
      </c>
      <c r="L66" s="402" t="s">
        <v>3517</v>
      </c>
      <c r="M66" s="400"/>
      <c r="N66" s="427" t="s">
        <v>3477</v>
      </c>
      <c r="O66" s="428"/>
      <c r="P66" s="403" t="s">
        <v>3571</v>
      </c>
      <c r="Q66" s="414"/>
      <c r="R66" s="407" t="s">
        <v>3572</v>
      </c>
      <c r="S66" s="442" t="s">
        <v>3573</v>
      </c>
      <c r="T66" s="407"/>
      <c r="U66" s="407"/>
      <c r="V66" s="407" t="s">
        <v>2785</v>
      </c>
      <c r="W66" s="407"/>
      <c r="X66" s="407" t="s">
        <v>208</v>
      </c>
      <c r="Y66" s="403"/>
      <c r="Z66" s="407" t="s">
        <v>113</v>
      </c>
      <c r="AA66" s="403" t="s">
        <v>3178</v>
      </c>
      <c r="AB66" s="432" t="s">
        <v>3552</v>
      </c>
      <c r="AC66" s="407"/>
      <c r="AD66" s="403"/>
      <c r="AE66" s="406"/>
      <c r="AF66" s="407"/>
      <c r="AG66" s="407"/>
      <c r="AH66" s="399"/>
      <c r="AI66" s="400"/>
      <c r="AJ66" s="399"/>
      <c r="AK66" s="399"/>
      <c r="AL66" s="399"/>
      <c r="AM66" s="399"/>
      <c r="AN66" s="399"/>
      <c r="AO66" s="399"/>
      <c r="AP66" s="409"/>
      <c r="AQ66" s="409" t="s">
        <v>3130</v>
      </c>
      <c r="AR66" s="409" t="s">
        <v>3536</v>
      </c>
      <c r="AS66" s="409"/>
      <c r="AT66" s="399"/>
      <c r="AU66" s="399" t="s">
        <v>3574</v>
      </c>
      <c r="AV66" s="399" t="str">
        <f t="shared" si="6"/>
        <v>Changed</v>
      </c>
      <c r="AW66" s="399"/>
      <c r="AX66" s="409" t="s">
        <v>3104</v>
      </c>
      <c r="AY66" s="399" t="e">
        <f t="shared" ca="1" si="7"/>
        <v>#NAME?</v>
      </c>
      <c r="AZ66" s="409" t="s">
        <v>3105</v>
      </c>
      <c r="BA66" s="409">
        <v>1</v>
      </c>
      <c r="BB66" s="399"/>
      <c r="BC66" s="399"/>
      <c r="BD66" s="399" t="s">
        <v>1673</v>
      </c>
      <c r="BE66" s="411"/>
      <c r="BF66" s="411"/>
      <c r="BG66" s="411" t="s">
        <v>3575</v>
      </c>
      <c r="BH66" s="411" t="s">
        <v>3576</v>
      </c>
      <c r="BI66" s="411"/>
      <c r="BJ66" s="399"/>
      <c r="BK66" s="399"/>
      <c r="BL66" s="399"/>
      <c r="BM66" s="399"/>
      <c r="BN66" s="399"/>
      <c r="BO66" s="399"/>
      <c r="BP66" s="399"/>
      <c r="BQ66" s="399"/>
      <c r="BR66" s="399"/>
      <c r="BS66" s="407"/>
      <c r="BT66" s="407"/>
      <c r="BU66" s="412"/>
      <c r="BV66" s="46" t="str">
        <f t="shared" si="8"/>
        <v/>
      </c>
      <c r="BW66" s="46">
        <f t="shared" si="9"/>
        <v>0</v>
      </c>
      <c r="BX66" s="46">
        <f t="shared" si="10"/>
        <v>0</v>
      </c>
      <c r="BY66" s="43" t="str">
        <f t="shared" si="11"/>
        <v>WHO-Core DeviceUseStatement (Intake Contraceptive Method)</v>
      </c>
      <c r="BZ66" s="46">
        <f t="shared" si="12"/>
        <v>1</v>
      </c>
      <c r="CA66" s="46" t="str">
        <f t="shared" si="13"/>
        <v/>
      </c>
      <c r="CB66" s="46">
        <f t="shared" si="14"/>
        <v>1</v>
      </c>
      <c r="CC66" s="46">
        <f t="shared" si="15"/>
        <v>1</v>
      </c>
      <c r="CD66" s="46">
        <f t="shared" si="16"/>
        <v>1</v>
      </c>
      <c r="CE66" s="46">
        <f t="shared" si="17"/>
        <v>0</v>
      </c>
      <c r="CF66" s="46">
        <f t="shared" si="18"/>
        <v>0</v>
      </c>
      <c r="CG66" s="46" t="str">
        <f ca="1">IFERROR(__xludf.DUMMYFUNCTION("if(OR(BH66="""",LEFT(BH66,2)=""LA""),"""",IMPORTXML(CONCATENATE(""https://loinc.org/"",BH66,""/""),""//span[@id='lcn']""))"),"")</f>
        <v/>
      </c>
      <c r="CH66" s="46"/>
      <c r="CI66" s="46"/>
      <c r="CJ66" s="46"/>
      <c r="CK66" s="46"/>
      <c r="CL66" s="46"/>
      <c r="CM66" s="46"/>
      <c r="CN66" s="46"/>
      <c r="CO66" s="46"/>
      <c r="CP66" s="46"/>
      <c r="CQ66" s="46"/>
      <c r="CR66" s="46"/>
      <c r="CS66" s="46"/>
      <c r="CT66" s="46"/>
      <c r="CU66" s="46"/>
    </row>
    <row r="67" spans="1:99" ht="12.75" customHeight="1">
      <c r="A67" s="399">
        <v>1852</v>
      </c>
      <c r="B67" s="399" t="s">
        <v>3577</v>
      </c>
      <c r="C67" s="399">
        <f t="shared" si="0"/>
        <v>1852</v>
      </c>
      <c r="D67" s="399" t="e">
        <f t="shared" ca="1" si="1"/>
        <v>#NAME?</v>
      </c>
      <c r="E67" s="399" t="str">
        <f t="shared" si="2"/>
        <v>Etonogestrel (ETG) one-rod implant</v>
      </c>
      <c r="F67" s="399" t="str">
        <f t="shared" si="20"/>
        <v>Input Option</v>
      </c>
      <c r="G67" s="400">
        <f t="shared" si="4"/>
        <v>41</v>
      </c>
      <c r="H67" s="399" t="str">
        <f t="shared" si="5"/>
        <v>Device-based Birth control method reported at intake</v>
      </c>
      <c r="I67" s="400"/>
      <c r="J67" s="400"/>
      <c r="K67" s="401" t="s">
        <v>3333</v>
      </c>
      <c r="L67" s="402" t="s">
        <v>3517</v>
      </c>
      <c r="M67" s="400"/>
      <c r="N67" s="427" t="s">
        <v>3477</v>
      </c>
      <c r="O67" s="428"/>
      <c r="P67" s="403" t="s">
        <v>3578</v>
      </c>
      <c r="Q67" s="414"/>
      <c r="R67" s="407" t="s">
        <v>3572</v>
      </c>
      <c r="S67" s="443" t="s">
        <v>3579</v>
      </c>
      <c r="T67" s="407"/>
      <c r="U67" s="407"/>
      <c r="V67" s="432" t="s">
        <v>3580</v>
      </c>
      <c r="W67" s="407"/>
      <c r="X67" s="407" t="s">
        <v>208</v>
      </c>
      <c r="Y67" s="403"/>
      <c r="Z67" s="407" t="s">
        <v>113</v>
      </c>
      <c r="AA67" s="403" t="s">
        <v>3178</v>
      </c>
      <c r="AB67" s="432" t="s">
        <v>3552</v>
      </c>
      <c r="AC67" s="407"/>
      <c r="AD67" s="403"/>
      <c r="AE67" s="406"/>
      <c r="AF67" s="407"/>
      <c r="AG67" s="407"/>
      <c r="AH67" s="399"/>
      <c r="AI67" s="400"/>
      <c r="AJ67" s="399" t="s">
        <v>1787</v>
      </c>
      <c r="AK67" s="399"/>
      <c r="AL67" s="399" t="s">
        <v>1787</v>
      </c>
      <c r="AM67" s="399"/>
      <c r="AN67" s="399" t="s">
        <v>1787</v>
      </c>
      <c r="AO67" s="399" t="s">
        <v>1787</v>
      </c>
      <c r="AP67" s="409"/>
      <c r="AQ67" s="409" t="s">
        <v>3130</v>
      </c>
      <c r="AR67" s="409" t="s">
        <v>3536</v>
      </c>
      <c r="AS67" s="409"/>
      <c r="AT67" s="399"/>
      <c r="AU67" s="399"/>
      <c r="AV67" s="399" t="str">
        <f t="shared" si="6"/>
        <v/>
      </c>
      <c r="AW67" s="399"/>
      <c r="AX67" s="409" t="s">
        <v>3104</v>
      </c>
      <c r="AY67" s="399" t="e">
        <f t="shared" ca="1" si="7"/>
        <v>#NAME?</v>
      </c>
      <c r="AZ67" s="409" t="s">
        <v>3105</v>
      </c>
      <c r="BA67" s="409">
        <v>1</v>
      </c>
      <c r="BB67" s="399"/>
      <c r="BC67" s="399" t="s">
        <v>1787</v>
      </c>
      <c r="BD67" s="409" t="s">
        <v>3162</v>
      </c>
      <c r="BE67" s="411"/>
      <c r="BF67" s="411" t="s">
        <v>1787</v>
      </c>
      <c r="BG67" s="434" t="s">
        <v>3581</v>
      </c>
      <c r="BH67" s="411"/>
      <c r="BI67" s="434" t="s">
        <v>3582</v>
      </c>
      <c r="BJ67" s="399" t="s">
        <v>1787</v>
      </c>
      <c r="BK67" s="399" t="s">
        <v>1787</v>
      </c>
      <c r="BL67" s="399"/>
      <c r="BM67" s="409" t="s">
        <v>3583</v>
      </c>
      <c r="BN67" s="399" t="s">
        <v>1787</v>
      </c>
      <c r="BO67" s="399" t="s">
        <v>1787</v>
      </c>
      <c r="BP67" s="399" t="s">
        <v>1787</v>
      </c>
      <c r="BQ67" s="399" t="s">
        <v>1787</v>
      </c>
      <c r="BR67" s="399" t="s">
        <v>1787</v>
      </c>
      <c r="BS67" s="407"/>
      <c r="BT67" s="407"/>
      <c r="BU67" s="412"/>
      <c r="BV67" s="46" t="str">
        <f t="shared" si="8"/>
        <v/>
      </c>
      <c r="BW67" s="46">
        <f t="shared" si="9"/>
        <v>0</v>
      </c>
      <c r="BX67" s="46">
        <f t="shared" si="10"/>
        <v>0</v>
      </c>
      <c r="BY67" s="43" t="str">
        <f t="shared" si="11"/>
        <v>WHO-Core DeviceUseStatement (Intake Contraceptive Method)</v>
      </c>
      <c r="BZ67" s="46">
        <f t="shared" si="12"/>
        <v>1</v>
      </c>
      <c r="CA67" s="46" t="str">
        <f t="shared" si="13"/>
        <v/>
      </c>
      <c r="CB67" s="46">
        <f t="shared" si="14"/>
        <v>1</v>
      </c>
      <c r="CC67" s="46">
        <f t="shared" si="15"/>
        <v>1</v>
      </c>
      <c r="CD67" s="46">
        <f t="shared" si="16"/>
        <v>1</v>
      </c>
      <c r="CE67" s="46">
        <f t="shared" si="17"/>
        <v>0</v>
      </c>
      <c r="CF67" s="46">
        <f t="shared" si="18"/>
        <v>0</v>
      </c>
      <c r="CG67" s="46" t="str">
        <f ca="1">IFERROR(__xludf.DUMMYFUNCTION("if(OR(BH67="""",LEFT(BH67,2)=""LA""),"""",IMPORTXML(CONCATENATE(""https://loinc.org/"",BH67,""/""),""//span[@id='lcn']""))"),"")</f>
        <v/>
      </c>
      <c r="CH67" s="46"/>
      <c r="CI67" s="46"/>
      <c r="CJ67" s="46"/>
      <c r="CK67" s="46"/>
      <c r="CL67" s="46"/>
      <c r="CM67" s="46"/>
      <c r="CN67" s="46"/>
      <c r="CO67" s="46"/>
      <c r="CP67" s="46"/>
      <c r="CQ67" s="46"/>
      <c r="CR67" s="46"/>
      <c r="CS67" s="46"/>
      <c r="CT67" s="46"/>
      <c r="CU67" s="46"/>
    </row>
    <row r="68" spans="1:99" ht="12.75" customHeight="1">
      <c r="A68" s="399">
        <v>1853</v>
      </c>
      <c r="B68" s="399" t="s">
        <v>3584</v>
      </c>
      <c r="C68" s="399">
        <f t="shared" si="0"/>
        <v>1853</v>
      </c>
      <c r="D68" s="399" t="e">
        <f t="shared" ca="1" si="1"/>
        <v>#NAME?</v>
      </c>
      <c r="E68" s="399" t="str">
        <f t="shared" si="2"/>
        <v>Levonorgestrel (LNG) two-rod implant</v>
      </c>
      <c r="F68" s="399" t="str">
        <f t="shared" si="20"/>
        <v>Input Option</v>
      </c>
      <c r="G68" s="400">
        <f t="shared" si="4"/>
        <v>43</v>
      </c>
      <c r="H68" s="399" t="str">
        <f t="shared" si="5"/>
        <v>Device-based Birth control method reported at intake</v>
      </c>
      <c r="I68" s="400"/>
      <c r="J68" s="400"/>
      <c r="K68" s="401" t="s">
        <v>3333</v>
      </c>
      <c r="L68" s="402" t="s">
        <v>3517</v>
      </c>
      <c r="M68" s="400"/>
      <c r="N68" s="427" t="s">
        <v>3477</v>
      </c>
      <c r="O68" s="428"/>
      <c r="P68" s="403" t="s">
        <v>3585</v>
      </c>
      <c r="Q68" s="414"/>
      <c r="R68" s="407"/>
      <c r="S68" s="443" t="s">
        <v>3586</v>
      </c>
      <c r="T68" s="407"/>
      <c r="U68" s="407"/>
      <c r="V68" s="432" t="s">
        <v>3587</v>
      </c>
      <c r="W68" s="421"/>
      <c r="X68" s="407"/>
      <c r="Y68" s="403"/>
      <c r="Z68" s="407"/>
      <c r="AA68" s="403"/>
      <c r="AB68" s="408"/>
      <c r="AC68" s="407"/>
      <c r="AD68" s="403"/>
      <c r="AE68" s="406"/>
      <c r="AF68" s="407"/>
      <c r="AG68" s="407"/>
      <c r="AH68" s="399"/>
      <c r="AI68" s="400"/>
      <c r="AJ68" s="399" t="s">
        <v>1787</v>
      </c>
      <c r="AK68" s="399"/>
      <c r="AL68" s="399" t="s">
        <v>1787</v>
      </c>
      <c r="AM68" s="399"/>
      <c r="AN68" s="399" t="s">
        <v>1787</v>
      </c>
      <c r="AO68" s="399" t="s">
        <v>1787</v>
      </c>
      <c r="AP68" s="409"/>
      <c r="AQ68" s="409" t="s">
        <v>3130</v>
      </c>
      <c r="AR68" s="409" t="s">
        <v>3536</v>
      </c>
      <c r="AS68" s="409"/>
      <c r="AT68" s="399"/>
      <c r="AU68" s="399"/>
      <c r="AV68" s="399" t="str">
        <f t="shared" si="6"/>
        <v/>
      </c>
      <c r="AW68" s="399"/>
      <c r="AX68" s="409" t="s">
        <v>3104</v>
      </c>
      <c r="AY68" s="399" t="e">
        <f t="shared" ca="1" si="7"/>
        <v>#NAME?</v>
      </c>
      <c r="AZ68" s="409" t="s">
        <v>3105</v>
      </c>
      <c r="BA68" s="409">
        <v>1</v>
      </c>
      <c r="BB68" s="415" t="s">
        <v>3131</v>
      </c>
      <c r="BC68" s="399" t="s">
        <v>3587</v>
      </c>
      <c r="BD68" s="409" t="s">
        <v>3162</v>
      </c>
      <c r="BE68" s="411"/>
      <c r="BF68" s="411" t="s">
        <v>1787</v>
      </c>
      <c r="BG68" s="411"/>
      <c r="BH68" s="411"/>
      <c r="BI68" s="411"/>
      <c r="BJ68" s="409" t="s">
        <v>3589</v>
      </c>
      <c r="BK68" s="399" t="s">
        <v>1787</v>
      </c>
      <c r="BL68" s="399"/>
      <c r="BM68" s="409" t="s">
        <v>3590</v>
      </c>
      <c r="BN68" s="399" t="s">
        <v>1787</v>
      </c>
      <c r="BO68" s="399" t="s">
        <v>1787</v>
      </c>
      <c r="BP68" s="399" t="s">
        <v>1787</v>
      </c>
      <c r="BQ68" s="399" t="s">
        <v>1787</v>
      </c>
      <c r="BR68" s="399" t="s">
        <v>1787</v>
      </c>
      <c r="BS68" s="407"/>
      <c r="BT68" s="407"/>
      <c r="BU68" s="412"/>
      <c r="BV68" s="46" t="str">
        <f t="shared" si="8"/>
        <v/>
      </c>
      <c r="BW68" s="46">
        <f t="shared" si="9"/>
        <v>0</v>
      </c>
      <c r="BX68" s="46">
        <f t="shared" si="10"/>
        <v>0</v>
      </c>
      <c r="BY68" s="43" t="str">
        <f t="shared" si="11"/>
        <v>WHO-Core DeviceUseStatement (Intake Contraceptive Method)</v>
      </c>
      <c r="BZ68" s="46">
        <f t="shared" si="12"/>
        <v>1</v>
      </c>
      <c r="CA68" s="46" t="str">
        <f t="shared" si="13"/>
        <v/>
      </c>
      <c r="CB68" s="46">
        <f t="shared" si="14"/>
        <v>1</v>
      </c>
      <c r="CC68" s="46">
        <f t="shared" si="15"/>
        <v>1</v>
      </c>
      <c r="CD68" s="46">
        <f t="shared" si="16"/>
        <v>1</v>
      </c>
      <c r="CE68" s="46">
        <f t="shared" si="17"/>
        <v>0</v>
      </c>
      <c r="CF68" s="46">
        <f t="shared" si="18"/>
        <v>0</v>
      </c>
      <c r="CG68" s="46" t="str">
        <f ca="1">IFERROR(__xludf.DUMMYFUNCTION("if(OR(BH68="""",LEFT(BH68,2)=""LA""),"""",IMPORTXML(CONCATENATE(""https://loinc.org/"",BH68,""/""),""//span[@id='lcn']""))"),"")</f>
        <v/>
      </c>
      <c r="CH68" s="46"/>
      <c r="CI68" s="46"/>
      <c r="CJ68" s="46"/>
      <c r="CK68" s="46"/>
      <c r="CL68" s="46"/>
      <c r="CM68" s="46"/>
      <c r="CN68" s="46"/>
      <c r="CO68" s="46"/>
      <c r="CP68" s="46"/>
      <c r="CQ68" s="46"/>
      <c r="CR68" s="46"/>
      <c r="CS68" s="46"/>
      <c r="CT68" s="46"/>
      <c r="CU68" s="46"/>
    </row>
    <row r="69" spans="1:99" ht="12.75" customHeight="1">
      <c r="A69" s="399">
        <v>1854</v>
      </c>
      <c r="B69" s="399" t="s">
        <v>3592</v>
      </c>
      <c r="C69" s="399">
        <f t="shared" si="0"/>
        <v>1854</v>
      </c>
      <c r="D69" s="399" t="e">
        <f t="shared" ca="1" si="1"/>
        <v>#NAME?</v>
      </c>
      <c r="E69" s="399" t="str">
        <f t="shared" si="2"/>
        <v>Combined contraceptive patch</v>
      </c>
      <c r="F69" s="399" t="str">
        <f t="shared" si="20"/>
        <v>Input Option</v>
      </c>
      <c r="G69" s="400">
        <f t="shared" si="4"/>
        <v>35</v>
      </c>
      <c r="H69" s="399" t="str">
        <f t="shared" si="5"/>
        <v>Device-based Birth control method reported at intake</v>
      </c>
      <c r="I69" s="400"/>
      <c r="J69" s="400"/>
      <c r="K69" s="401" t="s">
        <v>3333</v>
      </c>
      <c r="L69" s="402" t="s">
        <v>3517</v>
      </c>
      <c r="M69" s="400"/>
      <c r="N69" s="427" t="s">
        <v>3477</v>
      </c>
      <c r="O69" s="428"/>
      <c r="P69" s="403" t="s">
        <v>3593</v>
      </c>
      <c r="Q69" s="407"/>
      <c r="R69" s="407" t="s">
        <v>3594</v>
      </c>
      <c r="S69" s="432" t="s">
        <v>3595</v>
      </c>
      <c r="T69" s="421"/>
      <c r="U69" s="407"/>
      <c r="V69" s="444" t="s">
        <v>3596</v>
      </c>
      <c r="W69" s="407"/>
      <c r="X69" s="407" t="s">
        <v>208</v>
      </c>
      <c r="Y69" s="403"/>
      <c r="Z69" s="407" t="s">
        <v>113</v>
      </c>
      <c r="AA69" s="403" t="s">
        <v>3178</v>
      </c>
      <c r="AB69" s="432" t="s">
        <v>3552</v>
      </c>
      <c r="AC69" s="407"/>
      <c r="AD69" s="403"/>
      <c r="AE69" s="406"/>
      <c r="AF69" s="407"/>
      <c r="AG69" s="407"/>
      <c r="AH69" s="399"/>
      <c r="AI69" s="400"/>
      <c r="AJ69" s="399" t="s">
        <v>1787</v>
      </c>
      <c r="AK69" s="399"/>
      <c r="AL69" s="399" t="s">
        <v>1787</v>
      </c>
      <c r="AM69" s="399"/>
      <c r="AN69" s="399" t="s">
        <v>1787</v>
      </c>
      <c r="AO69" s="399" t="s">
        <v>1787</v>
      </c>
      <c r="AP69" s="409"/>
      <c r="AQ69" s="409" t="s">
        <v>3130</v>
      </c>
      <c r="AR69" s="409" t="s">
        <v>3536</v>
      </c>
      <c r="AS69" s="409"/>
      <c r="AT69" s="399"/>
      <c r="AU69" s="399"/>
      <c r="AV69" s="399" t="str">
        <f t="shared" si="6"/>
        <v/>
      </c>
      <c r="AW69" s="399"/>
      <c r="AX69" s="409" t="s">
        <v>3104</v>
      </c>
      <c r="AY69" s="399" t="e">
        <f t="shared" ca="1" si="7"/>
        <v>#NAME?</v>
      </c>
      <c r="AZ69" s="409" t="s">
        <v>3105</v>
      </c>
      <c r="BA69" s="409">
        <v>1</v>
      </c>
      <c r="BB69" s="399"/>
      <c r="BC69" s="399" t="s">
        <v>1787</v>
      </c>
      <c r="BD69" s="409" t="s">
        <v>3162</v>
      </c>
      <c r="BE69" s="411"/>
      <c r="BF69" s="411" t="s">
        <v>1787</v>
      </c>
      <c r="BG69" s="434" t="s">
        <v>3597</v>
      </c>
      <c r="BH69" s="434" t="s">
        <v>3598</v>
      </c>
      <c r="BI69" s="411"/>
      <c r="BJ69" s="409"/>
      <c r="BK69" s="399" t="s">
        <v>1787</v>
      </c>
      <c r="BL69" s="399"/>
      <c r="BM69" s="409" t="s">
        <v>3599</v>
      </c>
      <c r="BN69" s="399" t="s">
        <v>1787</v>
      </c>
      <c r="BO69" s="399" t="s">
        <v>1787</v>
      </c>
      <c r="BP69" s="399" t="s">
        <v>1787</v>
      </c>
      <c r="BQ69" s="399" t="s">
        <v>1787</v>
      </c>
      <c r="BR69" s="399" t="s">
        <v>1787</v>
      </c>
      <c r="BS69" s="407"/>
      <c r="BT69" s="407"/>
      <c r="BU69" s="412"/>
      <c r="BV69" s="46" t="str">
        <f t="shared" si="8"/>
        <v/>
      </c>
      <c r="BW69" s="46">
        <f t="shared" si="9"/>
        <v>0</v>
      </c>
      <c r="BX69" s="46">
        <f t="shared" si="10"/>
        <v>0</v>
      </c>
      <c r="BY69" s="43" t="str">
        <f t="shared" si="11"/>
        <v>WHO-Core DeviceUseStatement (Intake Contraceptive Method)</v>
      </c>
      <c r="BZ69" s="46">
        <f t="shared" si="12"/>
        <v>1</v>
      </c>
      <c r="CA69" s="46" t="str">
        <f t="shared" si="13"/>
        <v/>
      </c>
      <c r="CB69" s="46">
        <f t="shared" si="14"/>
        <v>1</v>
      </c>
      <c r="CC69" s="46">
        <f t="shared" si="15"/>
        <v>1</v>
      </c>
      <c r="CD69" s="46">
        <f t="shared" si="16"/>
        <v>1</v>
      </c>
      <c r="CE69" s="46">
        <f t="shared" si="17"/>
        <v>0</v>
      </c>
      <c r="CF69" s="46">
        <f t="shared" si="18"/>
        <v>0</v>
      </c>
      <c r="CG69" s="46" t="str">
        <f ca="1">IFERROR(__xludf.DUMMYFUNCTION("if(OR(BH69="""",LEFT(BH69,2)=""LA""),"""",IMPORTXML(CONCATENATE(""https://loinc.org/"",BH69,""/""),""//span[@id='lcn']""))"),"")</f>
        <v/>
      </c>
      <c r="CH69" s="46"/>
      <c r="CI69" s="46"/>
      <c r="CJ69" s="46"/>
      <c r="CK69" s="46"/>
      <c r="CL69" s="46"/>
      <c r="CM69" s="46"/>
      <c r="CN69" s="46"/>
      <c r="CO69" s="46"/>
      <c r="CP69" s="46"/>
      <c r="CQ69" s="46"/>
      <c r="CR69" s="46"/>
      <c r="CS69" s="46"/>
      <c r="CT69" s="46"/>
      <c r="CU69" s="46"/>
    </row>
    <row r="70" spans="1:99" ht="42.75" customHeight="1">
      <c r="A70" s="399">
        <v>1855</v>
      </c>
      <c r="B70" s="399" t="s">
        <v>3600</v>
      </c>
      <c r="C70" s="399">
        <f t="shared" si="0"/>
        <v>1855</v>
      </c>
      <c r="D70" s="399" t="e">
        <f t="shared" ca="1" si="1"/>
        <v>#NAME?</v>
      </c>
      <c r="E70" s="399" t="str">
        <f t="shared" si="2"/>
        <v>Combined contraceptive vaginal ring (CVR)</v>
      </c>
      <c r="F70" s="399" t="str">
        <f t="shared" si="20"/>
        <v>Input Option</v>
      </c>
      <c r="G70" s="400">
        <f t="shared" si="4"/>
        <v>48</v>
      </c>
      <c r="H70" s="399" t="str">
        <f t="shared" si="5"/>
        <v>Device-based Birth control method reported at intake</v>
      </c>
      <c r="I70" s="400"/>
      <c r="J70" s="400"/>
      <c r="K70" s="401" t="s">
        <v>3333</v>
      </c>
      <c r="L70" s="402" t="s">
        <v>3517</v>
      </c>
      <c r="M70" s="400"/>
      <c r="N70" s="427" t="s">
        <v>3477</v>
      </c>
      <c r="O70" s="428"/>
      <c r="P70" s="403" t="s">
        <v>3601</v>
      </c>
      <c r="Q70" s="407"/>
      <c r="R70" s="407" t="s">
        <v>3602</v>
      </c>
      <c r="S70" s="432" t="s">
        <v>3603</v>
      </c>
      <c r="T70" s="407"/>
      <c r="U70" s="407"/>
      <c r="V70" s="432" t="s">
        <v>3604</v>
      </c>
      <c r="W70" s="407"/>
      <c r="X70" s="407" t="s">
        <v>208</v>
      </c>
      <c r="Y70" s="403"/>
      <c r="Z70" s="407" t="s">
        <v>113</v>
      </c>
      <c r="AA70" s="403" t="s">
        <v>3178</v>
      </c>
      <c r="AB70" s="432" t="s">
        <v>3552</v>
      </c>
      <c r="AC70" s="407"/>
      <c r="AD70" s="403"/>
      <c r="AE70" s="406"/>
      <c r="AF70" s="407"/>
      <c r="AG70" s="407"/>
      <c r="AH70" s="399"/>
      <c r="AI70" s="400"/>
      <c r="AJ70" s="399" t="s">
        <v>1787</v>
      </c>
      <c r="AK70" s="399"/>
      <c r="AL70" s="399" t="s">
        <v>1787</v>
      </c>
      <c r="AM70" s="399"/>
      <c r="AN70" s="399" t="s">
        <v>1787</v>
      </c>
      <c r="AO70" s="399" t="s">
        <v>1787</v>
      </c>
      <c r="AP70" s="409"/>
      <c r="AQ70" s="409" t="s">
        <v>3130</v>
      </c>
      <c r="AR70" s="409" t="s">
        <v>3536</v>
      </c>
      <c r="AS70" s="409"/>
      <c r="AT70" s="399"/>
      <c r="AU70" s="399"/>
      <c r="AV70" s="399" t="str">
        <f t="shared" si="6"/>
        <v/>
      </c>
      <c r="AW70" s="399"/>
      <c r="AX70" s="409" t="s">
        <v>3104</v>
      </c>
      <c r="AY70" s="399" t="e">
        <f t="shared" ca="1" si="7"/>
        <v>#NAME?</v>
      </c>
      <c r="AZ70" s="399"/>
      <c r="BA70" s="409">
        <v>1</v>
      </c>
      <c r="BB70" s="399"/>
      <c r="BC70" s="399" t="s">
        <v>1787</v>
      </c>
      <c r="BD70" s="409" t="s">
        <v>3188</v>
      </c>
      <c r="BE70" s="411"/>
      <c r="BF70" s="411" t="s">
        <v>1787</v>
      </c>
      <c r="BG70" s="434" t="s">
        <v>3605</v>
      </c>
      <c r="BH70" s="434" t="s">
        <v>3606</v>
      </c>
      <c r="BI70" s="434" t="s">
        <v>3607</v>
      </c>
      <c r="BJ70" s="399" t="s">
        <v>1787</v>
      </c>
      <c r="BK70" s="409" t="s">
        <v>3608</v>
      </c>
      <c r="BL70" s="399"/>
      <c r="BM70" s="446" t="s">
        <v>3609</v>
      </c>
      <c r="BN70" s="399" t="s">
        <v>1787</v>
      </c>
      <c r="BO70" s="399" t="s">
        <v>1787</v>
      </c>
      <c r="BP70" s="399" t="s">
        <v>1787</v>
      </c>
      <c r="BQ70" s="399" t="s">
        <v>1787</v>
      </c>
      <c r="BR70" s="399" t="s">
        <v>1787</v>
      </c>
      <c r="BS70" s="407"/>
      <c r="BT70" s="407"/>
      <c r="BU70" s="412"/>
      <c r="BV70" s="46" t="str">
        <f t="shared" si="8"/>
        <v/>
      </c>
      <c r="BW70" s="46">
        <f t="shared" si="9"/>
        <v>0</v>
      </c>
      <c r="BX70" s="46">
        <f t="shared" si="10"/>
        <v>0</v>
      </c>
      <c r="BY70" s="43" t="str">
        <f t="shared" si="11"/>
        <v>WHO-Core DeviceUseStatement (Intake Contraceptive Method)</v>
      </c>
      <c r="BZ70" s="46">
        <f t="shared" si="12"/>
        <v>1</v>
      </c>
      <c r="CA70" s="46" t="str">
        <f t="shared" si="13"/>
        <v/>
      </c>
      <c r="CB70" s="46">
        <f t="shared" si="14"/>
        <v>1</v>
      </c>
      <c r="CC70" s="46">
        <f t="shared" si="15"/>
        <v>1</v>
      </c>
      <c r="CD70" s="46">
        <f t="shared" si="16"/>
        <v>1</v>
      </c>
      <c r="CE70" s="46">
        <f t="shared" si="17"/>
        <v>0</v>
      </c>
      <c r="CF70" s="46">
        <f t="shared" si="18"/>
        <v>0</v>
      </c>
      <c r="CG70" s="46" t="str">
        <f ca="1">IFERROR(__xludf.DUMMYFUNCTION("if(OR(BH70="""",LEFT(BH70,2)=""LA""),"""",IMPORTXML(CONCATENATE(""https://loinc.org/"",BH70,""/""),""//span[@id='lcn']""))"),"")</f>
        <v/>
      </c>
      <c r="CH70" s="46"/>
      <c r="CI70" s="46"/>
      <c r="CJ70" s="46"/>
      <c r="CK70" s="46"/>
      <c r="CL70" s="46"/>
      <c r="CM70" s="46"/>
      <c r="CN70" s="46"/>
      <c r="CO70" s="46"/>
      <c r="CP70" s="46"/>
      <c r="CQ70" s="46"/>
      <c r="CR70" s="46"/>
      <c r="CS70" s="46"/>
      <c r="CT70" s="46"/>
      <c r="CU70" s="46"/>
    </row>
    <row r="71" spans="1:99" ht="12.75" customHeight="1">
      <c r="A71" s="399">
        <v>1856</v>
      </c>
      <c r="B71" s="399" t="s">
        <v>3610</v>
      </c>
      <c r="C71" s="399">
        <f t="shared" si="0"/>
        <v>1856</v>
      </c>
      <c r="D71" s="399" t="e">
        <f t="shared" ca="1" si="1"/>
        <v>#NAME?</v>
      </c>
      <c r="E71" s="399" t="str">
        <f t="shared" si="2"/>
        <v>Progesterone-releasing vaginal ring (PVR)</v>
      </c>
      <c r="F71" s="399" t="str">
        <f t="shared" si="20"/>
        <v>Input Option</v>
      </c>
      <c r="G71" s="400">
        <f t="shared" si="4"/>
        <v>48</v>
      </c>
      <c r="H71" s="399" t="str">
        <f t="shared" si="5"/>
        <v>Device-based Birth control method reported at intake</v>
      </c>
      <c r="I71" s="400"/>
      <c r="J71" s="400"/>
      <c r="K71" s="401" t="s">
        <v>3333</v>
      </c>
      <c r="L71" s="402" t="s">
        <v>3517</v>
      </c>
      <c r="M71" s="400"/>
      <c r="N71" s="427" t="s">
        <v>3477</v>
      </c>
      <c r="O71" s="428"/>
      <c r="P71" s="403" t="s">
        <v>3611</v>
      </c>
      <c r="Q71" s="407"/>
      <c r="R71" s="407"/>
      <c r="S71" s="432" t="s">
        <v>3612</v>
      </c>
      <c r="T71" s="407"/>
      <c r="U71" s="407"/>
      <c r="V71" s="432" t="s">
        <v>3613</v>
      </c>
      <c r="W71" s="421"/>
      <c r="X71" s="407"/>
      <c r="Y71" s="403"/>
      <c r="Z71" s="407"/>
      <c r="AA71" s="403"/>
      <c r="AB71" s="408"/>
      <c r="AC71" s="407"/>
      <c r="AD71" s="407"/>
      <c r="AE71" s="408"/>
      <c r="AF71" s="407"/>
      <c r="AG71" s="407"/>
      <c r="AH71" s="399"/>
      <c r="AI71" s="400"/>
      <c r="AJ71" s="399" t="s">
        <v>1787</v>
      </c>
      <c r="AK71" s="399"/>
      <c r="AL71" s="399" t="s">
        <v>1787</v>
      </c>
      <c r="AM71" s="399"/>
      <c r="AN71" s="399" t="s">
        <v>1787</v>
      </c>
      <c r="AO71" s="399" t="s">
        <v>1787</v>
      </c>
      <c r="AP71" s="409"/>
      <c r="AQ71" s="409" t="s">
        <v>3130</v>
      </c>
      <c r="AR71" s="409" t="s">
        <v>3536</v>
      </c>
      <c r="AS71" s="409"/>
      <c r="AT71" s="399"/>
      <c r="AU71" s="399"/>
      <c r="AV71" s="399" t="str">
        <f t="shared" si="6"/>
        <v/>
      </c>
      <c r="AW71" s="399"/>
      <c r="AX71" s="409" t="s">
        <v>3104</v>
      </c>
      <c r="AY71" s="399" t="e">
        <f t="shared" ca="1" si="7"/>
        <v>#NAME?</v>
      </c>
      <c r="AZ71" s="409" t="s">
        <v>3105</v>
      </c>
      <c r="BA71" s="409">
        <v>1</v>
      </c>
      <c r="BB71" s="399"/>
      <c r="BC71" s="399" t="s">
        <v>1787</v>
      </c>
      <c r="BD71" s="409" t="s">
        <v>3162</v>
      </c>
      <c r="BE71" s="411"/>
      <c r="BF71" s="411" t="s">
        <v>1787</v>
      </c>
      <c r="BG71" s="411"/>
      <c r="BH71" s="411"/>
      <c r="BI71" s="434" t="s">
        <v>3614</v>
      </c>
      <c r="BJ71" s="399" t="s">
        <v>1787</v>
      </c>
      <c r="BK71" s="399" t="s">
        <v>1787</v>
      </c>
      <c r="BL71" s="399"/>
      <c r="BM71" s="409" t="s">
        <v>3615</v>
      </c>
      <c r="BN71" s="399" t="s">
        <v>1787</v>
      </c>
      <c r="BO71" s="399" t="s">
        <v>1787</v>
      </c>
      <c r="BP71" s="399" t="s">
        <v>1787</v>
      </c>
      <c r="BQ71" s="399" t="s">
        <v>1787</v>
      </c>
      <c r="BR71" s="399" t="s">
        <v>1787</v>
      </c>
      <c r="BS71" s="407"/>
      <c r="BT71" s="407"/>
      <c r="BU71" s="412"/>
      <c r="BV71" s="46" t="str">
        <f t="shared" si="8"/>
        <v/>
      </c>
      <c r="BW71" s="46">
        <f t="shared" si="9"/>
        <v>0</v>
      </c>
      <c r="BX71" s="46">
        <f t="shared" si="10"/>
        <v>0</v>
      </c>
      <c r="BY71" s="43" t="str">
        <f t="shared" si="11"/>
        <v>WHO-Core DeviceUseStatement (Intake Contraceptive Method)</v>
      </c>
      <c r="BZ71" s="46">
        <f t="shared" si="12"/>
        <v>1</v>
      </c>
      <c r="CA71" s="46" t="str">
        <f t="shared" si="13"/>
        <v/>
      </c>
      <c r="CB71" s="46">
        <f t="shared" si="14"/>
        <v>1</v>
      </c>
      <c r="CC71" s="46">
        <f t="shared" si="15"/>
        <v>1</v>
      </c>
      <c r="CD71" s="46">
        <f t="shared" si="16"/>
        <v>1</v>
      </c>
      <c r="CE71" s="46">
        <f t="shared" si="17"/>
        <v>0</v>
      </c>
      <c r="CF71" s="46">
        <f t="shared" si="18"/>
        <v>0</v>
      </c>
      <c r="CG71" s="46" t="str">
        <f ca="1">IFERROR(__xludf.DUMMYFUNCTION("if(OR(BH71="""",LEFT(BH71,2)=""LA""),"""",IMPORTXML(CONCATENATE(""https://loinc.org/"",BH71,""/""),""//span[@id='lcn']""))"),"")</f>
        <v/>
      </c>
      <c r="CH71" s="46"/>
      <c r="CI71" s="46"/>
      <c r="CJ71" s="46"/>
      <c r="CK71" s="46"/>
      <c r="CL71" s="46"/>
      <c r="CM71" s="46"/>
      <c r="CN71" s="46"/>
      <c r="CO71" s="46"/>
      <c r="CP71" s="46"/>
      <c r="CQ71" s="46"/>
      <c r="CR71" s="46"/>
      <c r="CS71" s="46"/>
      <c r="CT71" s="46"/>
      <c r="CU71" s="46"/>
    </row>
    <row r="72" spans="1:99" ht="12.75" customHeight="1">
      <c r="A72" s="399">
        <v>1305</v>
      </c>
      <c r="B72" s="399" t="s">
        <v>3617</v>
      </c>
      <c r="C72" s="399">
        <f t="shared" si="0"/>
        <v>1305</v>
      </c>
      <c r="D72" s="399" t="e">
        <f t="shared" ca="1" si="1"/>
        <v>#NAME?</v>
      </c>
      <c r="E72" s="399" t="str">
        <f t="shared" si="2"/>
        <v>Barrier method</v>
      </c>
      <c r="F72" s="399" t="str">
        <f t="shared" si="20"/>
        <v>Input Option</v>
      </c>
      <c r="G72" s="400">
        <f t="shared" si="4"/>
        <v>21</v>
      </c>
      <c r="H72" s="399" t="str">
        <f t="shared" si="5"/>
        <v>Device-based Birth control method reported at intake</v>
      </c>
      <c r="I72" s="400"/>
      <c r="J72" s="400"/>
      <c r="K72" s="401" t="s">
        <v>3333</v>
      </c>
      <c r="L72" s="402" t="s">
        <v>3517</v>
      </c>
      <c r="M72" s="400"/>
      <c r="N72" s="427" t="s">
        <v>3477</v>
      </c>
      <c r="O72" s="428"/>
      <c r="P72" s="403" t="s">
        <v>3618</v>
      </c>
      <c r="Q72" s="407"/>
      <c r="R72" s="407"/>
      <c r="S72" s="407" t="s">
        <v>3619</v>
      </c>
      <c r="T72" s="407"/>
      <c r="U72" s="407"/>
      <c r="V72" s="432" t="s">
        <v>3620</v>
      </c>
      <c r="W72" s="407"/>
      <c r="X72" s="407" t="s">
        <v>208</v>
      </c>
      <c r="Y72" s="403"/>
      <c r="Z72" s="407" t="s">
        <v>113</v>
      </c>
      <c r="AA72" s="403" t="s">
        <v>3178</v>
      </c>
      <c r="AB72" s="408"/>
      <c r="AC72" s="407"/>
      <c r="AD72" s="407"/>
      <c r="AE72" s="408"/>
      <c r="AF72" s="407"/>
      <c r="AG72" s="407"/>
      <c r="AH72" s="399"/>
      <c r="AI72" s="400"/>
      <c r="AJ72" s="399"/>
      <c r="AK72" s="399"/>
      <c r="AL72" s="399"/>
      <c r="AM72" s="399"/>
      <c r="AN72" s="399"/>
      <c r="AO72" s="399"/>
      <c r="AP72" s="409"/>
      <c r="AQ72" s="409" t="s">
        <v>3130</v>
      </c>
      <c r="AR72" s="409" t="s">
        <v>3536</v>
      </c>
      <c r="AS72" s="409"/>
      <c r="AT72" s="399"/>
      <c r="AU72" s="399" t="s">
        <v>3617</v>
      </c>
      <c r="AV72" s="399" t="str">
        <f t="shared" si="6"/>
        <v>Same</v>
      </c>
      <c r="AW72" s="399"/>
      <c r="AX72" s="409" t="s">
        <v>3104</v>
      </c>
      <c r="AY72" s="399" t="e">
        <f t="shared" ca="1" si="7"/>
        <v>#NAME?</v>
      </c>
      <c r="AZ72" s="409" t="s">
        <v>3105</v>
      </c>
      <c r="BA72" s="409">
        <v>1</v>
      </c>
      <c r="BB72" s="399"/>
      <c r="BC72" s="399"/>
      <c r="BD72" s="399" t="s">
        <v>1673</v>
      </c>
      <c r="BE72" s="411"/>
      <c r="BF72" s="411"/>
      <c r="BG72" s="411" t="s">
        <v>3621</v>
      </c>
      <c r="BH72" s="411"/>
      <c r="BI72" s="411"/>
      <c r="BJ72" s="399"/>
      <c r="BK72" s="399"/>
      <c r="BL72" s="399"/>
      <c r="BM72" s="399"/>
      <c r="BN72" s="399"/>
      <c r="BO72" s="399">
        <v>160694</v>
      </c>
      <c r="BP72" s="399"/>
      <c r="BQ72" s="399"/>
      <c r="BR72" s="399" t="s">
        <v>3622</v>
      </c>
      <c r="BS72" s="407"/>
      <c r="BT72" s="407"/>
      <c r="BU72" s="412"/>
      <c r="BV72" s="46" t="str">
        <f t="shared" si="8"/>
        <v/>
      </c>
      <c r="BW72" s="46">
        <f t="shared" si="9"/>
        <v>0</v>
      </c>
      <c r="BX72" s="46">
        <f t="shared" si="10"/>
        <v>0</v>
      </c>
      <c r="BY72" s="43" t="str">
        <f t="shared" si="11"/>
        <v>WHO-Core DeviceUseStatement (Intake Contraceptive Method)</v>
      </c>
      <c r="BZ72" s="46">
        <f t="shared" si="12"/>
        <v>1</v>
      </c>
      <c r="CA72" s="46" t="str">
        <f t="shared" si="13"/>
        <v/>
      </c>
      <c r="CB72" s="46">
        <f t="shared" si="14"/>
        <v>1</v>
      </c>
      <c r="CC72" s="46">
        <f t="shared" si="15"/>
        <v>1</v>
      </c>
      <c r="CD72" s="46">
        <f t="shared" si="16"/>
        <v>1</v>
      </c>
      <c r="CE72" s="46">
        <f t="shared" si="17"/>
        <v>0</v>
      </c>
      <c r="CF72" s="46">
        <f t="shared" si="18"/>
        <v>0</v>
      </c>
      <c r="CG72" s="46" t="str">
        <f ca="1">IFERROR(__xludf.DUMMYFUNCTION("if(OR(BH72="""",LEFT(BH72,2)=""LA""),"""",IMPORTXML(CONCATENATE(""https://loinc.org/"",BH72,""/""),""//span[@id='lcn']""))"),"")</f>
        <v/>
      </c>
      <c r="CH72" s="46"/>
      <c r="CI72" s="46"/>
      <c r="CJ72" s="46"/>
      <c r="CK72" s="46"/>
      <c r="CL72" s="46"/>
      <c r="CM72" s="46"/>
      <c r="CN72" s="46"/>
      <c r="CO72" s="46"/>
      <c r="CP72" s="46"/>
      <c r="CQ72" s="46"/>
      <c r="CR72" s="46"/>
      <c r="CS72" s="46"/>
      <c r="CT72" s="46"/>
      <c r="CU72" s="46"/>
    </row>
    <row r="73" spans="1:99" ht="12.75" customHeight="1">
      <c r="A73" s="399">
        <v>1306</v>
      </c>
      <c r="B73" s="399" t="s">
        <v>3623</v>
      </c>
      <c r="C73" s="399">
        <f t="shared" si="0"/>
        <v>1306</v>
      </c>
      <c r="D73" s="399" t="e">
        <f t="shared" ca="1" si="1"/>
        <v>#NAME?</v>
      </c>
      <c r="E73" s="399" t="str">
        <f t="shared" si="2"/>
        <v>Male condom</v>
      </c>
      <c r="F73" s="399" t="str">
        <f t="shared" si="20"/>
        <v>Input Option</v>
      </c>
      <c r="G73" s="400">
        <f t="shared" si="4"/>
        <v>18</v>
      </c>
      <c r="H73" s="399" t="str">
        <f t="shared" si="5"/>
        <v>Device-based Birth control method reported at intake</v>
      </c>
      <c r="I73" s="400"/>
      <c r="J73" s="400"/>
      <c r="K73" s="401" t="s">
        <v>3333</v>
      </c>
      <c r="L73" s="402" t="s">
        <v>3517</v>
      </c>
      <c r="M73" s="400"/>
      <c r="N73" s="427" t="s">
        <v>3477</v>
      </c>
      <c r="O73" s="428"/>
      <c r="P73" s="403" t="s">
        <v>3624</v>
      </c>
      <c r="Q73" s="407"/>
      <c r="R73" s="407"/>
      <c r="S73" s="407" t="s">
        <v>3625</v>
      </c>
      <c r="T73" s="407"/>
      <c r="U73" s="407"/>
      <c r="V73" s="407" t="s">
        <v>3626</v>
      </c>
      <c r="W73" s="407"/>
      <c r="X73" s="407" t="s">
        <v>208</v>
      </c>
      <c r="Y73" s="403"/>
      <c r="Z73" s="407" t="s">
        <v>113</v>
      </c>
      <c r="AA73" s="403" t="s">
        <v>3178</v>
      </c>
      <c r="AB73" s="408"/>
      <c r="AC73" s="407"/>
      <c r="AD73" s="407"/>
      <c r="AE73" s="408"/>
      <c r="AF73" s="407"/>
      <c r="AG73" s="407"/>
      <c r="AH73" s="399"/>
      <c r="AI73" s="400"/>
      <c r="AJ73" s="399"/>
      <c r="AK73" s="399"/>
      <c r="AL73" s="399"/>
      <c r="AM73" s="399"/>
      <c r="AN73" s="399"/>
      <c r="AO73" s="399"/>
      <c r="AP73" s="409"/>
      <c r="AQ73" s="409" t="s">
        <v>3130</v>
      </c>
      <c r="AR73" s="409" t="s">
        <v>3536</v>
      </c>
      <c r="AS73" s="409"/>
      <c r="AT73" s="399"/>
      <c r="AU73" s="399" t="s">
        <v>3627</v>
      </c>
      <c r="AV73" s="399" t="str">
        <f t="shared" si="6"/>
        <v>Changed</v>
      </c>
      <c r="AW73" s="399"/>
      <c r="AX73" s="409" t="s">
        <v>3104</v>
      </c>
      <c r="AY73" s="399" t="e">
        <f t="shared" ca="1" si="7"/>
        <v>#NAME?</v>
      </c>
      <c r="AZ73" s="409" t="s">
        <v>3105</v>
      </c>
      <c r="BA73" s="409">
        <v>1</v>
      </c>
      <c r="BB73" s="399"/>
      <c r="BC73" s="399"/>
      <c r="BD73" s="399" t="s">
        <v>1673</v>
      </c>
      <c r="BE73" s="411"/>
      <c r="BF73" s="411"/>
      <c r="BG73" s="411" t="s">
        <v>3628</v>
      </c>
      <c r="BH73" s="411"/>
      <c r="BI73" s="411"/>
      <c r="BJ73" s="399"/>
      <c r="BK73" s="399"/>
      <c r="BL73" s="399"/>
      <c r="BM73" s="399"/>
      <c r="BN73" s="399"/>
      <c r="BO73" s="399"/>
      <c r="BP73" s="399"/>
      <c r="BQ73" s="399"/>
      <c r="BR73" s="399"/>
      <c r="BS73" s="407"/>
      <c r="BT73" s="407"/>
      <c r="BU73" s="412"/>
      <c r="BV73" s="46" t="str">
        <f t="shared" si="8"/>
        <v/>
      </c>
      <c r="BW73" s="46">
        <f t="shared" si="9"/>
        <v>0</v>
      </c>
      <c r="BX73" s="46">
        <f t="shared" si="10"/>
        <v>0</v>
      </c>
      <c r="BY73" s="43" t="str">
        <f t="shared" si="11"/>
        <v>WHO-Core DeviceUseStatement (Intake Contraceptive Method)</v>
      </c>
      <c r="BZ73" s="46">
        <f t="shared" si="12"/>
        <v>1</v>
      </c>
      <c r="CA73" s="46" t="str">
        <f t="shared" si="13"/>
        <v/>
      </c>
      <c r="CB73" s="46">
        <f t="shared" si="14"/>
        <v>1</v>
      </c>
      <c r="CC73" s="46">
        <f t="shared" si="15"/>
        <v>1</v>
      </c>
      <c r="CD73" s="46">
        <f t="shared" si="16"/>
        <v>1</v>
      </c>
      <c r="CE73" s="46">
        <f t="shared" si="17"/>
        <v>0</v>
      </c>
      <c r="CF73" s="46">
        <f t="shared" si="18"/>
        <v>0</v>
      </c>
      <c r="CG73" s="46" t="str">
        <f ca="1">IFERROR(__xludf.DUMMYFUNCTION("if(OR(BH73="""",LEFT(BH73,2)=""LA""),"""",IMPORTXML(CONCATENATE(""https://loinc.org/"",BH73,""/""),""//span[@id='lcn']""))"),"")</f>
        <v/>
      </c>
      <c r="CH73" s="46"/>
      <c r="CI73" s="46"/>
      <c r="CJ73" s="46"/>
      <c r="CK73" s="46"/>
      <c r="CL73" s="46"/>
      <c r="CM73" s="46"/>
      <c r="CN73" s="46"/>
      <c r="CO73" s="46"/>
      <c r="CP73" s="46"/>
      <c r="CQ73" s="46"/>
      <c r="CR73" s="46"/>
      <c r="CS73" s="46"/>
      <c r="CT73" s="46"/>
      <c r="CU73" s="46"/>
    </row>
    <row r="74" spans="1:99" ht="12.75" customHeight="1">
      <c r="A74" s="399">
        <v>1307</v>
      </c>
      <c r="B74" s="399" t="s">
        <v>3629</v>
      </c>
      <c r="C74" s="399">
        <f t="shared" si="0"/>
        <v>1307</v>
      </c>
      <c r="D74" s="399" t="e">
        <f t="shared" ca="1" si="1"/>
        <v>#NAME?</v>
      </c>
      <c r="E74" s="399" t="str">
        <f t="shared" si="2"/>
        <v>Female condom</v>
      </c>
      <c r="F74" s="399" t="str">
        <f t="shared" si="20"/>
        <v>Input Option</v>
      </c>
      <c r="G74" s="400">
        <f t="shared" si="4"/>
        <v>20</v>
      </c>
      <c r="H74" s="399" t="str">
        <f t="shared" si="5"/>
        <v>Device-based Birth control method reported at intake</v>
      </c>
      <c r="I74" s="400"/>
      <c r="J74" s="400"/>
      <c r="K74" s="401" t="s">
        <v>3333</v>
      </c>
      <c r="L74" s="402" t="s">
        <v>3517</v>
      </c>
      <c r="M74" s="400"/>
      <c r="N74" s="427" t="s">
        <v>3477</v>
      </c>
      <c r="O74" s="428"/>
      <c r="P74" s="403" t="s">
        <v>3630</v>
      </c>
      <c r="Q74" s="414"/>
      <c r="R74" s="407"/>
      <c r="S74" s="442" t="s">
        <v>3631</v>
      </c>
      <c r="T74" s="407"/>
      <c r="U74" s="407"/>
      <c r="V74" s="447" t="s">
        <v>3632</v>
      </c>
      <c r="W74" s="407"/>
      <c r="X74" s="407" t="s">
        <v>208</v>
      </c>
      <c r="Y74" s="403"/>
      <c r="Z74" s="407" t="s">
        <v>113</v>
      </c>
      <c r="AA74" s="403" t="s">
        <v>3178</v>
      </c>
      <c r="AB74" s="432" t="s">
        <v>3552</v>
      </c>
      <c r="AC74" s="407"/>
      <c r="AD74" s="407"/>
      <c r="AE74" s="408"/>
      <c r="AF74" s="407"/>
      <c r="AG74" s="407"/>
      <c r="AH74" s="399"/>
      <c r="AI74" s="400"/>
      <c r="AJ74" s="399"/>
      <c r="AK74" s="399"/>
      <c r="AL74" s="399"/>
      <c r="AM74" s="399"/>
      <c r="AN74" s="399"/>
      <c r="AO74" s="399"/>
      <c r="AP74" s="409"/>
      <c r="AQ74" s="409" t="s">
        <v>3130</v>
      </c>
      <c r="AR74" s="409" t="s">
        <v>3536</v>
      </c>
      <c r="AS74" s="409"/>
      <c r="AT74" s="399"/>
      <c r="AU74" s="399" t="s">
        <v>3629</v>
      </c>
      <c r="AV74" s="399" t="str">
        <f t="shared" si="6"/>
        <v>Same</v>
      </c>
      <c r="AW74" s="399"/>
      <c r="AX74" s="409" t="s">
        <v>3104</v>
      </c>
      <c r="AY74" s="399" t="e">
        <f t="shared" ca="1" si="7"/>
        <v>#NAME?</v>
      </c>
      <c r="AZ74" s="409" t="s">
        <v>3105</v>
      </c>
      <c r="BA74" s="409">
        <v>1</v>
      </c>
      <c r="BB74" s="399"/>
      <c r="BC74" s="399"/>
      <c r="BD74" s="399" t="s">
        <v>1673</v>
      </c>
      <c r="BE74" s="411" t="s">
        <v>3633</v>
      </c>
      <c r="BF74" s="411"/>
      <c r="BG74" s="411" t="s">
        <v>3634</v>
      </c>
      <c r="BH74" s="411"/>
      <c r="BI74" s="411"/>
      <c r="BJ74" s="399"/>
      <c r="BK74" s="399"/>
      <c r="BL74" s="399"/>
      <c r="BM74" s="399"/>
      <c r="BN74" s="399"/>
      <c r="BO74" s="399"/>
      <c r="BP74" s="399"/>
      <c r="BQ74" s="399"/>
      <c r="BR74" s="399"/>
      <c r="BS74" s="407"/>
      <c r="BT74" s="407"/>
      <c r="BU74" s="412"/>
      <c r="BV74" s="46" t="str">
        <f t="shared" si="8"/>
        <v/>
      </c>
      <c r="BW74" s="46">
        <f t="shared" si="9"/>
        <v>0</v>
      </c>
      <c r="BX74" s="46">
        <f t="shared" si="10"/>
        <v>0</v>
      </c>
      <c r="BY74" s="43" t="str">
        <f t="shared" si="11"/>
        <v>WHO-Core DeviceUseStatement (Intake Contraceptive Method)</v>
      </c>
      <c r="BZ74" s="46">
        <f t="shared" si="12"/>
        <v>1</v>
      </c>
      <c r="CA74" s="46" t="str">
        <f t="shared" si="13"/>
        <v/>
      </c>
      <c r="CB74" s="46">
        <f t="shared" si="14"/>
        <v>1</v>
      </c>
      <c r="CC74" s="46">
        <f t="shared" si="15"/>
        <v>1</v>
      </c>
      <c r="CD74" s="46">
        <f t="shared" si="16"/>
        <v>1</v>
      </c>
      <c r="CE74" s="46">
        <f t="shared" si="17"/>
        <v>0</v>
      </c>
      <c r="CF74" s="46">
        <f t="shared" si="18"/>
        <v>0</v>
      </c>
      <c r="CG74" s="46" t="str">
        <f ca="1">IFERROR(__xludf.DUMMYFUNCTION("if(OR(BH74="""",LEFT(BH74,2)=""LA""),"""",IMPORTXML(CONCATENATE(""https://loinc.org/"",BH74,""/""),""//span[@id='lcn']""))"),"")</f>
        <v/>
      </c>
      <c r="CH74" s="46"/>
      <c r="CI74" s="46"/>
      <c r="CJ74" s="46"/>
      <c r="CK74" s="46"/>
      <c r="CL74" s="46"/>
      <c r="CM74" s="46"/>
      <c r="CN74" s="46"/>
      <c r="CO74" s="46"/>
      <c r="CP74" s="46"/>
      <c r="CQ74" s="46"/>
      <c r="CR74" s="46"/>
      <c r="CS74" s="46"/>
      <c r="CT74" s="46"/>
      <c r="CU74" s="46"/>
    </row>
    <row r="75" spans="1:99" ht="12.75" customHeight="1">
      <c r="A75" s="399">
        <v>1316</v>
      </c>
      <c r="B75" s="399" t="s">
        <v>3635</v>
      </c>
      <c r="C75" s="399">
        <f t="shared" si="0"/>
        <v>1316</v>
      </c>
      <c r="D75" s="399" t="str">
        <f t="shared" si="1"/>
        <v>Implant Date</v>
      </c>
      <c r="E75" s="399" t="str">
        <f t="shared" si="2"/>
        <v>Implant Date</v>
      </c>
      <c r="F75" s="399" t="str">
        <f t="shared" si="20"/>
        <v>Data Element</v>
      </c>
      <c r="G75" s="400">
        <f t="shared" si="4"/>
        <v>12</v>
      </c>
      <c r="H75" s="400" t="str">
        <f t="shared" si="5"/>
        <v/>
      </c>
      <c r="I75" s="400"/>
      <c r="J75" s="400"/>
      <c r="K75" s="401" t="s">
        <v>3333</v>
      </c>
      <c r="L75" s="402" t="s">
        <v>3517</v>
      </c>
      <c r="M75" s="400"/>
      <c r="N75" s="427" t="s">
        <v>3477</v>
      </c>
      <c r="O75" s="428"/>
      <c r="P75" s="403" t="s">
        <v>3636</v>
      </c>
      <c r="Q75" s="403" t="s">
        <v>3635</v>
      </c>
      <c r="R75" s="403"/>
      <c r="S75" s="403" t="s">
        <v>3637</v>
      </c>
      <c r="T75" s="403" t="s">
        <v>3158</v>
      </c>
      <c r="U75" s="407"/>
      <c r="V75" s="403"/>
      <c r="W75" s="407"/>
      <c r="X75" s="405" t="s">
        <v>113</v>
      </c>
      <c r="Y75" s="403" t="s">
        <v>3638</v>
      </c>
      <c r="Z75" s="403" t="s">
        <v>113</v>
      </c>
      <c r="AA75" s="405" t="s">
        <v>3178</v>
      </c>
      <c r="AB75" s="432" t="s">
        <v>3639</v>
      </c>
      <c r="AC75" s="448"/>
      <c r="AD75" s="449"/>
      <c r="AE75" s="429"/>
      <c r="AF75" s="431"/>
      <c r="AG75" s="407"/>
      <c r="AH75" s="399"/>
      <c r="AI75" s="400"/>
      <c r="AJ75" s="399"/>
      <c r="AK75" s="409" t="s">
        <v>3640</v>
      </c>
      <c r="AL75" s="409" t="s">
        <v>3513</v>
      </c>
      <c r="AM75" s="409" t="s">
        <v>3100</v>
      </c>
      <c r="AN75" s="409" t="s">
        <v>3101</v>
      </c>
      <c r="AO75" s="399"/>
      <c r="AP75" s="409" t="s">
        <v>3535</v>
      </c>
      <c r="AQ75" s="409" t="s">
        <v>3424</v>
      </c>
      <c r="AR75" s="399"/>
      <c r="AS75" s="399"/>
      <c r="AT75" s="399"/>
      <c r="AU75" s="399" t="s">
        <v>3635</v>
      </c>
      <c r="AV75" s="399" t="str">
        <f t="shared" si="6"/>
        <v>Same</v>
      </c>
      <c r="AW75" s="399"/>
      <c r="AX75" s="409" t="s">
        <v>3104</v>
      </c>
      <c r="AY75" s="399" t="str">
        <f t="shared" si="7"/>
        <v/>
      </c>
      <c r="AZ75" s="409" t="s">
        <v>3105</v>
      </c>
      <c r="BA75" s="409">
        <v>1</v>
      </c>
      <c r="BB75" s="399"/>
      <c r="BC75" s="399"/>
      <c r="BD75" s="399" t="s">
        <v>3641</v>
      </c>
      <c r="BE75" s="411"/>
      <c r="BF75" s="411"/>
      <c r="BG75" s="411" t="s">
        <v>3575</v>
      </c>
      <c r="BH75" s="411"/>
      <c r="BI75" s="411"/>
      <c r="BJ75" s="399"/>
      <c r="BK75" s="399"/>
      <c r="BL75" s="399"/>
      <c r="BM75" s="399"/>
      <c r="BN75" s="399"/>
      <c r="BO75" s="399"/>
      <c r="BP75" s="399"/>
      <c r="BQ75" s="399"/>
      <c r="BR75" s="399"/>
      <c r="BS75" s="407"/>
      <c r="BT75" s="407"/>
      <c r="BU75" s="412"/>
      <c r="BV75" s="46" t="str">
        <f t="shared" si="8"/>
        <v>DeviceUseStatement</v>
      </c>
      <c r="BW75" s="46" t="str">
        <f t="shared" si="9"/>
        <v/>
      </c>
      <c r="BX75" s="46" t="str">
        <f t="shared" si="10"/>
        <v>DeviceUseStatement</v>
      </c>
      <c r="BY75" s="43" t="str">
        <f t="shared" si="11"/>
        <v>WHO-Core DeviceUseStatement (Intake Contraceptive Method)</v>
      </c>
      <c r="BZ75" s="46">
        <f t="shared" si="12"/>
        <v>1</v>
      </c>
      <c r="CA75" s="46">
        <f t="shared" si="13"/>
        <v>0</v>
      </c>
      <c r="CB75" s="46">
        <f t="shared" si="14"/>
        <v>1</v>
      </c>
      <c r="CC75" s="46">
        <f t="shared" si="15"/>
        <v>1</v>
      </c>
      <c r="CD75" s="46">
        <f t="shared" si="16"/>
        <v>1</v>
      </c>
      <c r="CE75" s="46">
        <f t="shared" si="17"/>
        <v>0</v>
      </c>
      <c r="CF75" s="46">
        <f t="shared" si="18"/>
        <v>0</v>
      </c>
      <c r="CG75" s="46" t="str">
        <f ca="1">IFERROR(__xludf.DUMMYFUNCTION("if(OR(BH75="""",LEFT(BH75,2)=""LA""),"""",IMPORTXML(CONCATENATE(""https://loinc.org/"",BH75,""/""),""//span[@id='lcn']""))"),"")</f>
        <v/>
      </c>
      <c r="CH75" s="46"/>
      <c r="CI75" s="46"/>
      <c r="CJ75" s="46"/>
      <c r="CK75" s="46"/>
      <c r="CL75" s="46"/>
      <c r="CM75" s="46"/>
      <c r="CN75" s="46"/>
      <c r="CO75" s="46"/>
      <c r="CP75" s="46"/>
      <c r="CQ75" s="46"/>
      <c r="CR75" s="46"/>
      <c r="CS75" s="46"/>
      <c r="CT75" s="46"/>
      <c r="CU75" s="46"/>
    </row>
    <row r="76" spans="1:99" ht="12.75" customHeight="1">
      <c r="A76" s="399">
        <v>1317</v>
      </c>
      <c r="B76" s="399" t="s">
        <v>3642</v>
      </c>
      <c r="C76" s="399">
        <f t="shared" si="0"/>
        <v>1317</v>
      </c>
      <c r="D76" s="399" t="str">
        <f t="shared" si="1"/>
        <v>IUD Insertion Date</v>
      </c>
      <c r="E76" s="399" t="str">
        <f t="shared" si="2"/>
        <v>IUD Insertion Date</v>
      </c>
      <c r="F76" s="399" t="str">
        <f t="shared" si="20"/>
        <v>Data Element</v>
      </c>
      <c r="G76" s="400">
        <f t="shared" si="4"/>
        <v>18</v>
      </c>
      <c r="H76" s="400" t="str">
        <f t="shared" si="5"/>
        <v/>
      </c>
      <c r="I76" s="400"/>
      <c r="J76" s="400"/>
      <c r="K76" s="401" t="s">
        <v>3333</v>
      </c>
      <c r="L76" s="402" t="s">
        <v>3517</v>
      </c>
      <c r="M76" s="400"/>
      <c r="N76" s="427" t="s">
        <v>3477</v>
      </c>
      <c r="O76" s="428"/>
      <c r="P76" s="403" t="s">
        <v>3643</v>
      </c>
      <c r="Q76" s="403" t="s">
        <v>3642</v>
      </c>
      <c r="R76" s="403"/>
      <c r="S76" s="407" t="s">
        <v>3644</v>
      </c>
      <c r="T76" s="403" t="s">
        <v>3158</v>
      </c>
      <c r="U76" s="407"/>
      <c r="V76" s="403"/>
      <c r="W76" s="407"/>
      <c r="X76" s="405" t="s">
        <v>113</v>
      </c>
      <c r="Y76" s="403" t="s">
        <v>3638</v>
      </c>
      <c r="Z76" s="403" t="s">
        <v>113</v>
      </c>
      <c r="AA76" s="405" t="s">
        <v>3178</v>
      </c>
      <c r="AB76" s="432" t="s">
        <v>3645</v>
      </c>
      <c r="AC76" s="448"/>
      <c r="AD76" s="449"/>
      <c r="AE76" s="429"/>
      <c r="AF76" s="448"/>
      <c r="AG76" s="407"/>
      <c r="AH76" s="399"/>
      <c r="AI76" s="400"/>
      <c r="AJ76" s="399"/>
      <c r="AK76" s="409" t="s">
        <v>3640</v>
      </c>
      <c r="AL76" s="409" t="s">
        <v>3513</v>
      </c>
      <c r="AM76" s="409" t="s">
        <v>3100</v>
      </c>
      <c r="AN76" s="409" t="s">
        <v>3101</v>
      </c>
      <c r="AO76" s="399"/>
      <c r="AP76" s="409" t="s">
        <v>3535</v>
      </c>
      <c r="AQ76" s="409" t="s">
        <v>3424</v>
      </c>
      <c r="AR76" s="399"/>
      <c r="AS76" s="399"/>
      <c r="AT76" s="399"/>
      <c r="AU76" s="399" t="s">
        <v>3642</v>
      </c>
      <c r="AV76" s="399" t="str">
        <f t="shared" si="6"/>
        <v>Same</v>
      </c>
      <c r="AW76" s="399"/>
      <c r="AX76" s="409" t="s">
        <v>3104</v>
      </c>
      <c r="AY76" s="399" t="str">
        <f t="shared" si="7"/>
        <v/>
      </c>
      <c r="AZ76" s="409" t="s">
        <v>3105</v>
      </c>
      <c r="BA76" s="409">
        <v>1</v>
      </c>
      <c r="BB76" s="399"/>
      <c r="BC76" s="399"/>
      <c r="BD76" s="399" t="s">
        <v>3646</v>
      </c>
      <c r="BE76" s="434" t="s">
        <v>3647</v>
      </c>
      <c r="BF76" s="411"/>
      <c r="BG76" s="411"/>
      <c r="BH76" s="411"/>
      <c r="BI76" s="411"/>
      <c r="BJ76" s="409" t="s">
        <v>3106</v>
      </c>
      <c r="BK76" s="399"/>
      <c r="BL76" s="399"/>
      <c r="BM76" s="409" t="s">
        <v>3648</v>
      </c>
      <c r="BN76" s="399"/>
      <c r="BO76" s="399"/>
      <c r="BP76" s="399"/>
      <c r="BQ76" s="399"/>
      <c r="BR76" s="399"/>
      <c r="BS76" s="407"/>
      <c r="BT76" s="407"/>
      <c r="BU76" s="412"/>
      <c r="BV76" s="46" t="str">
        <f t="shared" si="8"/>
        <v>DeviceUseStatement</v>
      </c>
      <c r="BW76" s="46" t="str">
        <f t="shared" si="9"/>
        <v/>
      </c>
      <c r="BX76" s="46" t="str">
        <f t="shared" si="10"/>
        <v>DeviceUseStatement</v>
      </c>
      <c r="BY76" s="43" t="str">
        <f t="shared" si="11"/>
        <v>WHO-Core DeviceUseStatement (Intake Contraceptive Method)</v>
      </c>
      <c r="BZ76" s="46">
        <f t="shared" si="12"/>
        <v>1</v>
      </c>
      <c r="CA76" s="46">
        <f t="shared" si="13"/>
        <v>0</v>
      </c>
      <c r="CB76" s="46">
        <f t="shared" si="14"/>
        <v>1</v>
      </c>
      <c r="CC76" s="46">
        <f t="shared" si="15"/>
        <v>1</v>
      </c>
      <c r="CD76" s="46">
        <f t="shared" si="16"/>
        <v>1</v>
      </c>
      <c r="CE76" s="46">
        <f t="shared" si="17"/>
        <v>0</v>
      </c>
      <c r="CF76" s="46">
        <f t="shared" si="18"/>
        <v>0</v>
      </c>
      <c r="CG76" s="46" t="str">
        <f ca="1">IFERROR(__xludf.DUMMYFUNCTION("if(OR(BH76="""",LEFT(BH76,2)=""LA""),"""",IMPORTXML(CONCATENATE(""https://loinc.org/"",BH76,""/""),""//span[@id='lcn']""))"),"")</f>
        <v/>
      </c>
      <c r="CH76" s="46"/>
      <c r="CI76" s="46"/>
      <c r="CJ76" s="46"/>
      <c r="CK76" s="46"/>
      <c r="CL76" s="46"/>
      <c r="CM76" s="46"/>
      <c r="CN76" s="46"/>
      <c r="CO76" s="46"/>
      <c r="CP76" s="46"/>
      <c r="CQ76" s="46"/>
      <c r="CR76" s="46"/>
      <c r="CS76" s="46"/>
      <c r="CT76" s="46"/>
      <c r="CU76" s="46"/>
    </row>
    <row r="77" spans="1:99" ht="12.75" customHeight="1">
      <c r="A77" s="399">
        <v>2346</v>
      </c>
      <c r="B77" s="409" t="s">
        <v>3649</v>
      </c>
      <c r="C77" s="399">
        <f t="shared" si="0"/>
        <v>2346</v>
      </c>
      <c r="D77" s="399" t="str">
        <f t="shared" si="1"/>
        <v>Method at intake</v>
      </c>
      <c r="E77" s="399" t="str">
        <f t="shared" si="2"/>
        <v>Method at intake</v>
      </c>
      <c r="F77" s="399" t="str">
        <f t="shared" si="20"/>
        <v>Data Element</v>
      </c>
      <c r="G77" s="400">
        <f t="shared" si="4"/>
        <v>56</v>
      </c>
      <c r="H77" s="400" t="str">
        <f t="shared" si="5"/>
        <v/>
      </c>
      <c r="I77" s="400"/>
      <c r="J77" s="400"/>
      <c r="K77" s="401" t="s">
        <v>3333</v>
      </c>
      <c r="L77" s="402" t="s">
        <v>3517</v>
      </c>
      <c r="M77" s="400"/>
      <c r="N77" s="427" t="s">
        <v>3477</v>
      </c>
      <c r="O77" s="428"/>
      <c r="P77" s="403" t="s">
        <v>3527</v>
      </c>
      <c r="Q77" s="403" t="s">
        <v>3528</v>
      </c>
      <c r="R77" s="403"/>
      <c r="S77" s="403" t="s">
        <v>3529</v>
      </c>
      <c r="T77" s="403" t="s">
        <v>3339</v>
      </c>
      <c r="U77" s="432" t="s">
        <v>3326</v>
      </c>
      <c r="V77" s="403"/>
      <c r="W77" s="407"/>
      <c r="X77" s="403" t="s">
        <v>208</v>
      </c>
      <c r="Y77" s="403"/>
      <c r="Z77" s="403" t="s">
        <v>113</v>
      </c>
      <c r="AA77" s="403" t="s">
        <v>3098</v>
      </c>
      <c r="AB77" s="432" t="s">
        <v>3530</v>
      </c>
      <c r="AC77" s="407"/>
      <c r="AD77" s="403" t="s">
        <v>3531</v>
      </c>
      <c r="AE77" s="406"/>
      <c r="AF77" s="407" t="s">
        <v>3532</v>
      </c>
      <c r="AG77" s="432" t="s">
        <v>3533</v>
      </c>
      <c r="AH77" s="399"/>
      <c r="AI77" s="400"/>
      <c r="AJ77" s="399"/>
      <c r="AK77" s="409" t="s">
        <v>3650</v>
      </c>
      <c r="AL77" s="409" t="s">
        <v>3181</v>
      </c>
      <c r="AM77" s="409" t="s">
        <v>3100</v>
      </c>
      <c r="AN77" s="409" t="s">
        <v>3101</v>
      </c>
      <c r="AO77" s="399"/>
      <c r="AP77" s="409" t="s">
        <v>3651</v>
      </c>
      <c r="AQ77" s="409" t="s">
        <v>3424</v>
      </c>
      <c r="AR77" s="409" t="s">
        <v>3652</v>
      </c>
      <c r="AS77" s="409"/>
      <c r="AT77" s="399"/>
      <c r="AU77" s="399" t="s">
        <v>3537</v>
      </c>
      <c r="AV77" s="399" t="str">
        <f t="shared" si="6"/>
        <v>Changed</v>
      </c>
      <c r="AW77" s="399"/>
      <c r="AX77" s="409" t="s">
        <v>3104</v>
      </c>
      <c r="AY77" s="399" t="str">
        <f t="shared" si="7"/>
        <v>"Method at intake"-&gt;"Medication-based Birth control method reported at intake"</v>
      </c>
      <c r="AZ77" s="409" t="s">
        <v>3105</v>
      </c>
      <c r="BA77" s="409">
        <v>1</v>
      </c>
      <c r="BB77" s="399"/>
      <c r="BC77" s="399"/>
      <c r="BD77" s="409" t="s">
        <v>3538</v>
      </c>
      <c r="BE77" s="411"/>
      <c r="BF77" s="411"/>
      <c r="BG77" s="411"/>
      <c r="BH77" s="411" t="s">
        <v>3539</v>
      </c>
      <c r="BI77" s="411"/>
      <c r="BJ77" s="399"/>
      <c r="BK77" s="399"/>
      <c r="BL77" s="399"/>
      <c r="BM77" s="399"/>
      <c r="BN77" s="399"/>
      <c r="BO77" s="399"/>
      <c r="BP77" s="399"/>
      <c r="BQ77" s="399"/>
      <c r="BR77" s="399"/>
      <c r="BS77" s="407"/>
      <c r="BT77" s="407"/>
      <c r="BU77" s="412"/>
      <c r="BV77" s="46" t="str">
        <f t="shared" si="8"/>
        <v>MedicationStatement</v>
      </c>
      <c r="BW77" s="46" t="str">
        <f t="shared" si="9"/>
        <v/>
      </c>
      <c r="BX77" s="46" t="str">
        <f t="shared" si="10"/>
        <v>MedicationStatement</v>
      </c>
      <c r="BY77" s="43" t="str">
        <f t="shared" si="11"/>
        <v>WHO-Core MedicationStatement (Current Contraceptive Methods)</v>
      </c>
      <c r="BZ77" s="46">
        <f t="shared" si="12"/>
        <v>1</v>
      </c>
      <c r="CA77" s="46">
        <f t="shared" si="13"/>
        <v>1</v>
      </c>
      <c r="CB77" s="46">
        <f t="shared" si="14"/>
        <v>1</v>
      </c>
      <c r="CC77" s="46">
        <f t="shared" si="15"/>
        <v>1</v>
      </c>
      <c r="CD77" s="46">
        <f t="shared" si="16"/>
        <v>1</v>
      </c>
      <c r="CE77" s="46">
        <f t="shared" si="17"/>
        <v>0</v>
      </c>
      <c r="CF77" s="46">
        <f t="shared" si="18"/>
        <v>0</v>
      </c>
      <c r="CG77" s="46" t="str">
        <f ca="1">IFERROR(__xludf.DUMMYFUNCTION("if(OR(BH77="""",LEFT(BH77,2)=""LA""),"""",IMPORTXML(CONCATENATE(""https://loinc.org/"",BH77,""/""),""//span[@id='lcn']""))"),"Birth control method at intake Reported --at intake")</f>
        <v>Birth control method at intake Reported --at intake</v>
      </c>
      <c r="CH77" s="46"/>
      <c r="CI77" s="46"/>
      <c r="CJ77" s="46"/>
      <c r="CK77" s="46"/>
      <c r="CL77" s="46"/>
      <c r="CM77" s="46"/>
      <c r="CN77" s="46"/>
      <c r="CO77" s="46"/>
      <c r="CP77" s="46"/>
      <c r="CQ77" s="46"/>
      <c r="CR77" s="46"/>
      <c r="CS77" s="46"/>
      <c r="CT77" s="46"/>
      <c r="CU77" s="46"/>
    </row>
    <row r="78" spans="1:99" ht="12.75" customHeight="1">
      <c r="A78" s="399">
        <v>2347</v>
      </c>
      <c r="B78" s="409" t="s">
        <v>3653</v>
      </c>
      <c r="C78" s="399">
        <f t="shared" si="0"/>
        <v>2347</v>
      </c>
      <c r="D78" s="399" t="e">
        <f t="shared" ca="1" si="1"/>
        <v>#NAME?</v>
      </c>
      <c r="E78" s="399" t="str">
        <f t="shared" si="2"/>
        <v>No method</v>
      </c>
      <c r="F78" s="399" t="str">
        <f t="shared" si="20"/>
        <v>Input Option</v>
      </c>
      <c r="G78" s="400">
        <f t="shared" si="4"/>
        <v>33</v>
      </c>
      <c r="H78" s="399" t="str">
        <f t="shared" si="5"/>
        <v>Medication-based Birth control method reported at intake</v>
      </c>
      <c r="I78" s="400"/>
      <c r="J78" s="400"/>
      <c r="K78" s="401" t="s">
        <v>3333</v>
      </c>
      <c r="L78" s="402" t="s">
        <v>3517</v>
      </c>
      <c r="M78" s="400"/>
      <c r="N78" s="427" t="s">
        <v>3477</v>
      </c>
      <c r="O78" s="428"/>
      <c r="P78" s="403" t="s">
        <v>3541</v>
      </c>
      <c r="Q78" s="403"/>
      <c r="R78" s="407"/>
      <c r="S78" s="442" t="s">
        <v>3542</v>
      </c>
      <c r="T78" s="407"/>
      <c r="U78" s="407"/>
      <c r="V78" s="407" t="s">
        <v>3543</v>
      </c>
      <c r="W78" s="407"/>
      <c r="X78" s="407" t="s">
        <v>113</v>
      </c>
      <c r="Y78" s="403" t="s">
        <v>3544</v>
      </c>
      <c r="Z78" s="407" t="s">
        <v>113</v>
      </c>
      <c r="AA78" s="403" t="s">
        <v>3178</v>
      </c>
      <c r="AB78" s="408"/>
      <c r="AC78" s="407"/>
      <c r="AD78" s="403"/>
      <c r="AE78" s="406"/>
      <c r="AF78" s="407" t="s">
        <v>3545</v>
      </c>
      <c r="AG78" s="407"/>
      <c r="AH78" s="399"/>
      <c r="AI78" s="400"/>
      <c r="AJ78" s="399"/>
      <c r="AK78" s="399"/>
      <c r="AL78" s="399"/>
      <c r="AM78" s="399"/>
      <c r="AN78" s="399"/>
      <c r="AO78" s="399"/>
      <c r="AP78" s="409"/>
      <c r="AQ78" s="409" t="s">
        <v>3130</v>
      </c>
      <c r="AR78" s="409" t="s">
        <v>3652</v>
      </c>
      <c r="AS78" s="409"/>
      <c r="AT78" s="399"/>
      <c r="AU78" s="399" t="s">
        <v>3546</v>
      </c>
      <c r="AV78" s="399" t="str">
        <f t="shared" si="6"/>
        <v>Changed</v>
      </c>
      <c r="AW78" s="399"/>
      <c r="AX78" s="409" t="s">
        <v>3104</v>
      </c>
      <c r="AY78" s="399" t="e">
        <f t="shared" ca="1" si="7"/>
        <v>#NAME?</v>
      </c>
      <c r="AZ78" s="409" t="s">
        <v>3105</v>
      </c>
      <c r="BA78" s="409">
        <v>1</v>
      </c>
      <c r="BB78" s="399"/>
      <c r="BC78" s="399"/>
      <c r="BD78" s="399" t="s">
        <v>1673</v>
      </c>
      <c r="BE78" s="411"/>
      <c r="BF78" s="411"/>
      <c r="BG78" s="411" t="s">
        <v>3349</v>
      </c>
      <c r="BH78" s="411"/>
      <c r="BI78" s="411"/>
      <c r="BJ78" s="399"/>
      <c r="BK78" s="399"/>
      <c r="BL78" s="399"/>
      <c r="BM78" s="399"/>
      <c r="BN78" s="399"/>
      <c r="BO78" s="399"/>
      <c r="BP78" s="399"/>
      <c r="BQ78" s="399"/>
      <c r="BR78" s="399"/>
      <c r="BS78" s="407"/>
      <c r="BT78" s="407"/>
      <c r="BU78" s="412"/>
      <c r="BV78" s="46" t="str">
        <f t="shared" si="8"/>
        <v/>
      </c>
      <c r="BW78" s="46">
        <f t="shared" si="9"/>
        <v>0</v>
      </c>
      <c r="BX78" s="46">
        <f t="shared" si="10"/>
        <v>0</v>
      </c>
      <c r="BY78" s="43" t="str">
        <f t="shared" si="11"/>
        <v>WHO-Core MedicationStatement (Current Contraceptive Methods)</v>
      </c>
      <c r="BZ78" s="46">
        <f t="shared" si="12"/>
        <v>1</v>
      </c>
      <c r="CA78" s="46" t="str">
        <f t="shared" si="13"/>
        <v/>
      </c>
      <c r="CB78" s="46">
        <f t="shared" si="14"/>
        <v>1</v>
      </c>
      <c r="CC78" s="46">
        <f t="shared" si="15"/>
        <v>1</v>
      </c>
      <c r="CD78" s="46">
        <f t="shared" si="16"/>
        <v>1</v>
      </c>
      <c r="CE78" s="46">
        <f t="shared" si="17"/>
        <v>0</v>
      </c>
      <c r="CF78" s="46">
        <f t="shared" si="18"/>
        <v>0</v>
      </c>
      <c r="CG78" s="46" t="str">
        <f ca="1">IFERROR(__xludf.DUMMYFUNCTION("if(OR(BH78="""",LEFT(BH78,2)=""LA""),"""",IMPORTXML(CONCATENATE(""https://loinc.org/"",BH78,""/""),""//span[@id='lcn']""))"),"")</f>
        <v/>
      </c>
      <c r="CH78" s="46"/>
      <c r="CI78" s="46"/>
      <c r="CJ78" s="46"/>
      <c r="CK78" s="46"/>
      <c r="CL78" s="46"/>
      <c r="CM78" s="46"/>
      <c r="CN78" s="46"/>
      <c r="CO78" s="46"/>
      <c r="CP78" s="46"/>
      <c r="CQ78" s="46"/>
      <c r="CR78" s="46"/>
      <c r="CS78" s="46"/>
      <c r="CT78" s="46"/>
      <c r="CU78" s="46"/>
    </row>
    <row r="79" spans="1:99" ht="12.75" customHeight="1">
      <c r="A79" s="399">
        <v>1291</v>
      </c>
      <c r="B79" s="399" t="s">
        <v>3654</v>
      </c>
      <c r="C79" s="399">
        <f t="shared" si="0"/>
        <v>1291</v>
      </c>
      <c r="D79" s="399" t="e">
        <f t="shared" ca="1" si="1"/>
        <v>#NAME?</v>
      </c>
      <c r="E79" s="399" t="str">
        <f t="shared" si="2"/>
        <v>DMPA-IM 
 DMPA, administered intramuscularly</v>
      </c>
      <c r="F79" s="399" t="str">
        <f t="shared" si="20"/>
        <v>Input Option</v>
      </c>
      <c r="G79" s="400">
        <f t="shared" si="4"/>
        <v>51</v>
      </c>
      <c r="H79" s="399" t="str">
        <f t="shared" si="5"/>
        <v>Medication-based Birth control method reported at intake</v>
      </c>
      <c r="I79" s="400"/>
      <c r="J79" s="400"/>
      <c r="K79" s="401" t="s">
        <v>3333</v>
      </c>
      <c r="L79" s="402" t="s">
        <v>3517</v>
      </c>
      <c r="M79" s="400"/>
      <c r="N79" s="427" t="s">
        <v>3477</v>
      </c>
      <c r="O79" s="428"/>
      <c r="P79" s="403" t="s">
        <v>3655</v>
      </c>
      <c r="Q79" s="407"/>
      <c r="R79" s="407" t="s">
        <v>3656</v>
      </c>
      <c r="S79" s="432" t="s">
        <v>3657</v>
      </c>
      <c r="T79" s="421"/>
      <c r="U79" s="407"/>
      <c r="V79" s="432" t="s">
        <v>3658</v>
      </c>
      <c r="W79" s="407"/>
      <c r="X79" s="407" t="s">
        <v>208</v>
      </c>
      <c r="Y79" s="403"/>
      <c r="Z79" s="407" t="s">
        <v>113</v>
      </c>
      <c r="AA79" s="403" t="s">
        <v>3178</v>
      </c>
      <c r="AB79" s="432" t="s">
        <v>3552</v>
      </c>
      <c r="AC79" s="407"/>
      <c r="AD79" s="403"/>
      <c r="AE79" s="406"/>
      <c r="AF79" s="407"/>
      <c r="AG79" s="407"/>
      <c r="AH79" s="399"/>
      <c r="AI79" s="400"/>
      <c r="AJ79" s="399"/>
      <c r="AK79" s="399"/>
      <c r="AL79" s="399"/>
      <c r="AM79" s="399"/>
      <c r="AN79" s="399"/>
      <c r="AO79" s="399"/>
      <c r="AP79" s="409"/>
      <c r="AQ79" s="409" t="s">
        <v>3130</v>
      </c>
      <c r="AR79" s="409" t="s">
        <v>3652</v>
      </c>
      <c r="AS79" s="409"/>
      <c r="AT79" s="399"/>
      <c r="AU79" s="399" t="s">
        <v>3659</v>
      </c>
      <c r="AV79" s="399" t="str">
        <f t="shared" si="6"/>
        <v>Changed</v>
      </c>
      <c r="AW79" s="399"/>
      <c r="AX79" s="409" t="s">
        <v>3104</v>
      </c>
      <c r="AY79" s="399" t="e">
        <f t="shared" ca="1" si="7"/>
        <v>#NAME?</v>
      </c>
      <c r="AZ79" s="409" t="s">
        <v>3105</v>
      </c>
      <c r="BA79" s="409">
        <v>1</v>
      </c>
      <c r="BB79" s="399"/>
      <c r="BC79" s="399"/>
      <c r="BD79" s="399" t="s">
        <v>1673</v>
      </c>
      <c r="BE79" s="411"/>
      <c r="BF79" s="411"/>
      <c r="BG79" s="411"/>
      <c r="BH79" s="411" t="s">
        <v>3660</v>
      </c>
      <c r="BI79" s="411"/>
      <c r="BJ79" s="399"/>
      <c r="BK79" s="399"/>
      <c r="BL79" s="399"/>
      <c r="BM79" s="399"/>
      <c r="BN79" s="399"/>
      <c r="BO79" s="399"/>
      <c r="BP79" s="399"/>
      <c r="BQ79" s="399"/>
      <c r="BR79" s="399"/>
      <c r="BS79" s="407"/>
      <c r="BT79" s="407"/>
      <c r="BU79" s="412"/>
      <c r="BV79" s="46" t="str">
        <f t="shared" si="8"/>
        <v/>
      </c>
      <c r="BW79" s="46">
        <f t="shared" si="9"/>
        <v>0</v>
      </c>
      <c r="BX79" s="46">
        <f t="shared" si="10"/>
        <v>0</v>
      </c>
      <c r="BY79" s="43" t="str">
        <f t="shared" si="11"/>
        <v>WHO-Core MedicationStatement (Current Contraceptive Methods)</v>
      </c>
      <c r="BZ79" s="46">
        <f t="shared" si="12"/>
        <v>1</v>
      </c>
      <c r="CA79" s="46" t="str">
        <f t="shared" si="13"/>
        <v/>
      </c>
      <c r="CB79" s="46">
        <f t="shared" si="14"/>
        <v>1</v>
      </c>
      <c r="CC79" s="46">
        <f t="shared" si="15"/>
        <v>1</v>
      </c>
      <c r="CD79" s="46">
        <f t="shared" si="16"/>
        <v>1</v>
      </c>
      <c r="CE79" s="46">
        <f t="shared" si="17"/>
        <v>0</v>
      </c>
      <c r="CF79" s="46">
        <f t="shared" si="18"/>
        <v>0</v>
      </c>
      <c r="CG79" s="46" t="str">
        <f ca="1">IFERROR(__xludf.DUMMYFUNCTION("if(OR(BH79="""",LEFT(BH79,2)=""LA""),"""",IMPORTXML(CONCATENATE(""https://loinc.org/"",BH79,""/""),""//span[@id='lcn']""))"),"")</f>
        <v/>
      </c>
      <c r="CH79" s="46"/>
      <c r="CI79" s="46"/>
      <c r="CJ79" s="46"/>
      <c r="CK79" s="46"/>
      <c r="CL79" s="46"/>
      <c r="CM79" s="46"/>
      <c r="CN79" s="46"/>
      <c r="CO79" s="46"/>
      <c r="CP79" s="46"/>
      <c r="CQ79" s="46"/>
      <c r="CR79" s="46"/>
      <c r="CS79" s="46"/>
      <c r="CT79" s="46"/>
      <c r="CU79" s="46"/>
    </row>
    <row r="80" spans="1:99" ht="12.75" customHeight="1">
      <c r="A80" s="399">
        <v>1292</v>
      </c>
      <c r="B80" s="399" t="s">
        <v>3661</v>
      </c>
      <c r="C80" s="399">
        <f t="shared" si="0"/>
        <v>1292</v>
      </c>
      <c r="D80" s="399" t="e">
        <f t="shared" ca="1" si="1"/>
        <v>#NAME?</v>
      </c>
      <c r="E80" s="399" t="str">
        <f t="shared" si="2"/>
        <v>DMPA-SC 
DMPA, administered subcutaneously</v>
      </c>
      <c r="F80" s="399" t="str">
        <f t="shared" si="20"/>
        <v>Input Option</v>
      </c>
      <c r="G80" s="400">
        <f t="shared" si="4"/>
        <v>49</v>
      </c>
      <c r="H80" s="399" t="str">
        <f t="shared" si="5"/>
        <v>Medication-based Birth control method reported at intake</v>
      </c>
      <c r="I80" s="400"/>
      <c r="J80" s="400"/>
      <c r="K80" s="401" t="s">
        <v>3333</v>
      </c>
      <c r="L80" s="402" t="s">
        <v>3517</v>
      </c>
      <c r="M80" s="400"/>
      <c r="N80" s="427" t="s">
        <v>3477</v>
      </c>
      <c r="O80" s="428"/>
      <c r="P80" s="403" t="s">
        <v>3662</v>
      </c>
      <c r="Q80" s="407"/>
      <c r="R80" s="407" t="s">
        <v>3663</v>
      </c>
      <c r="S80" s="432" t="s">
        <v>3664</v>
      </c>
      <c r="T80" s="421"/>
      <c r="U80" s="407"/>
      <c r="V80" s="432" t="s">
        <v>3665</v>
      </c>
      <c r="W80" s="407"/>
      <c r="X80" s="407" t="s">
        <v>208</v>
      </c>
      <c r="Y80" s="403"/>
      <c r="Z80" s="407" t="s">
        <v>113</v>
      </c>
      <c r="AA80" s="403" t="s">
        <v>3178</v>
      </c>
      <c r="AB80" s="432" t="s">
        <v>3552</v>
      </c>
      <c r="AC80" s="407"/>
      <c r="AD80" s="407"/>
      <c r="AE80" s="408"/>
      <c r="AF80" s="407"/>
      <c r="AG80" s="407"/>
      <c r="AH80" s="399"/>
      <c r="AI80" s="400"/>
      <c r="AJ80" s="399"/>
      <c r="AK80" s="399"/>
      <c r="AL80" s="399"/>
      <c r="AM80" s="399"/>
      <c r="AN80" s="399"/>
      <c r="AO80" s="399"/>
      <c r="AP80" s="409"/>
      <c r="AQ80" s="409" t="s">
        <v>3130</v>
      </c>
      <c r="AR80" s="409" t="s">
        <v>3652</v>
      </c>
      <c r="AS80" s="409"/>
      <c r="AT80" s="399"/>
      <c r="AU80" s="399" t="s">
        <v>3666</v>
      </c>
      <c r="AV80" s="399" t="str">
        <f t="shared" si="6"/>
        <v>Changed</v>
      </c>
      <c r="AW80" s="399"/>
      <c r="AX80" s="409" t="s">
        <v>3104</v>
      </c>
      <c r="AY80" s="399" t="e">
        <f t="shared" ca="1" si="7"/>
        <v>#NAME?</v>
      </c>
      <c r="AZ80" s="409" t="s">
        <v>3105</v>
      </c>
      <c r="BA80" s="409">
        <v>1</v>
      </c>
      <c r="BB80" s="399"/>
      <c r="BC80" s="399"/>
      <c r="BD80" s="399" t="s">
        <v>1673</v>
      </c>
      <c r="BE80" s="411"/>
      <c r="BF80" s="411"/>
      <c r="BG80" s="411" t="s">
        <v>3667</v>
      </c>
      <c r="BH80" s="411"/>
      <c r="BI80" s="411"/>
      <c r="BJ80" s="399"/>
      <c r="BK80" s="399"/>
      <c r="BL80" s="399"/>
      <c r="BM80" s="399"/>
      <c r="BN80" s="399"/>
      <c r="BO80" s="399"/>
      <c r="BP80" s="399"/>
      <c r="BQ80" s="399"/>
      <c r="BR80" s="399"/>
      <c r="BS80" s="407"/>
      <c r="BT80" s="407"/>
      <c r="BU80" s="412"/>
      <c r="BV80" s="46" t="str">
        <f t="shared" si="8"/>
        <v/>
      </c>
      <c r="BW80" s="46">
        <f t="shared" si="9"/>
        <v>0</v>
      </c>
      <c r="BX80" s="46">
        <f t="shared" si="10"/>
        <v>0</v>
      </c>
      <c r="BY80" s="43" t="str">
        <f t="shared" si="11"/>
        <v>WHO-Core MedicationStatement (Current Contraceptive Methods)</v>
      </c>
      <c r="BZ80" s="46">
        <f t="shared" si="12"/>
        <v>1</v>
      </c>
      <c r="CA80" s="46" t="str">
        <f t="shared" si="13"/>
        <v/>
      </c>
      <c r="CB80" s="46">
        <f t="shared" si="14"/>
        <v>1</v>
      </c>
      <c r="CC80" s="46">
        <f t="shared" si="15"/>
        <v>1</v>
      </c>
      <c r="CD80" s="46">
        <f t="shared" si="16"/>
        <v>1</v>
      </c>
      <c r="CE80" s="46">
        <f t="shared" si="17"/>
        <v>0</v>
      </c>
      <c r="CF80" s="46">
        <f t="shared" si="18"/>
        <v>0</v>
      </c>
      <c r="CG80" s="46" t="str">
        <f ca="1">IFERROR(__xludf.DUMMYFUNCTION("if(OR(BH80="""",LEFT(BH80,2)=""LA""),"""",IMPORTXML(CONCATENATE(""https://loinc.org/"",BH80,""/""),""//span[@id='lcn']""))"),"")</f>
        <v/>
      </c>
      <c r="CH80" s="46"/>
      <c r="CI80" s="46"/>
      <c r="CJ80" s="46"/>
      <c r="CK80" s="46"/>
      <c r="CL80" s="46"/>
      <c r="CM80" s="46"/>
      <c r="CN80" s="46"/>
      <c r="CO80" s="46"/>
      <c r="CP80" s="46"/>
      <c r="CQ80" s="46"/>
      <c r="CR80" s="46"/>
      <c r="CS80" s="46"/>
      <c r="CT80" s="46"/>
      <c r="CU80" s="46"/>
    </row>
    <row r="81" spans="1:99" ht="12.75" customHeight="1">
      <c r="A81" s="399">
        <v>1296</v>
      </c>
      <c r="B81" s="399" t="s">
        <v>3668</v>
      </c>
      <c r="C81" s="399">
        <f t="shared" si="0"/>
        <v>1296</v>
      </c>
      <c r="D81" s="399" t="e">
        <f t="shared" ca="1" si="1"/>
        <v>#NAME?</v>
      </c>
      <c r="E81" s="399" t="str">
        <f t="shared" si="2"/>
        <v>Norethisterone enanthate (NET-EN) injectable</v>
      </c>
      <c r="F81" s="399" t="str">
        <f t="shared" si="20"/>
        <v>Input Option</v>
      </c>
      <c r="G81" s="400">
        <f t="shared" si="4"/>
        <v>51</v>
      </c>
      <c r="H81" s="399" t="str">
        <f t="shared" si="5"/>
        <v>Medication-based Birth control method reported at intake</v>
      </c>
      <c r="I81" s="400"/>
      <c r="J81" s="400"/>
      <c r="K81" s="401" t="s">
        <v>3333</v>
      </c>
      <c r="L81" s="402" t="s">
        <v>3517</v>
      </c>
      <c r="M81" s="400"/>
      <c r="N81" s="427" t="s">
        <v>3477</v>
      </c>
      <c r="O81" s="428"/>
      <c r="P81" s="403" t="s">
        <v>3669</v>
      </c>
      <c r="Q81" s="407"/>
      <c r="R81" s="407" t="s">
        <v>3670</v>
      </c>
      <c r="S81" s="432" t="s">
        <v>3671</v>
      </c>
      <c r="T81" s="421"/>
      <c r="U81" s="407"/>
      <c r="V81" s="432" t="s">
        <v>3672</v>
      </c>
      <c r="W81" s="407"/>
      <c r="X81" s="407" t="s">
        <v>208</v>
      </c>
      <c r="Y81" s="403"/>
      <c r="Z81" s="407" t="s">
        <v>113</v>
      </c>
      <c r="AA81" s="403" t="s">
        <v>3178</v>
      </c>
      <c r="AB81" s="432" t="s">
        <v>3552</v>
      </c>
      <c r="AC81" s="407"/>
      <c r="AD81" s="407"/>
      <c r="AE81" s="408"/>
      <c r="AF81" s="407"/>
      <c r="AG81" s="407"/>
      <c r="AH81" s="399"/>
      <c r="AI81" s="400"/>
      <c r="AJ81" s="399"/>
      <c r="AK81" s="399"/>
      <c r="AL81" s="399"/>
      <c r="AM81" s="399"/>
      <c r="AN81" s="399"/>
      <c r="AO81" s="399"/>
      <c r="AP81" s="409"/>
      <c r="AQ81" s="409" t="s">
        <v>3130</v>
      </c>
      <c r="AR81" s="409" t="s">
        <v>3652</v>
      </c>
      <c r="AS81" s="409"/>
      <c r="AT81" s="399"/>
      <c r="AU81" s="399" t="s">
        <v>3673</v>
      </c>
      <c r="AV81" s="399" t="str">
        <f t="shared" si="6"/>
        <v>Changed</v>
      </c>
      <c r="AW81" s="399"/>
      <c r="AX81" s="409" t="s">
        <v>3104</v>
      </c>
      <c r="AY81" s="399" t="e">
        <f t="shared" ca="1" si="7"/>
        <v>#NAME?</v>
      </c>
      <c r="AZ81" s="399"/>
      <c r="BA81" s="409">
        <v>1</v>
      </c>
      <c r="BB81" s="399"/>
      <c r="BC81" s="399"/>
      <c r="BD81" s="399" t="s">
        <v>1673</v>
      </c>
      <c r="BE81" s="411"/>
      <c r="BF81" s="411"/>
      <c r="BG81" s="434" t="s">
        <v>3674</v>
      </c>
      <c r="BH81" s="411"/>
      <c r="BI81" s="434" t="s">
        <v>3675</v>
      </c>
      <c r="BJ81" s="399"/>
      <c r="BK81" s="399"/>
      <c r="BL81" s="399"/>
      <c r="BM81" s="399"/>
      <c r="BN81" s="399"/>
      <c r="BO81" s="399"/>
      <c r="BP81" s="399"/>
      <c r="BQ81" s="399"/>
      <c r="BR81" s="399"/>
      <c r="BS81" s="407"/>
      <c r="BT81" s="407"/>
      <c r="BU81" s="412"/>
      <c r="BV81" s="46" t="str">
        <f t="shared" si="8"/>
        <v/>
      </c>
      <c r="BW81" s="46">
        <f t="shared" si="9"/>
        <v>0</v>
      </c>
      <c r="BX81" s="46">
        <f t="shared" si="10"/>
        <v>0</v>
      </c>
      <c r="BY81" s="43" t="str">
        <f t="shared" si="11"/>
        <v>WHO-Core MedicationStatement (Current Contraceptive Methods)</v>
      </c>
      <c r="BZ81" s="46">
        <f t="shared" si="12"/>
        <v>1</v>
      </c>
      <c r="CA81" s="46" t="str">
        <f t="shared" si="13"/>
        <v/>
      </c>
      <c r="CB81" s="46">
        <f t="shared" si="14"/>
        <v>1</v>
      </c>
      <c r="CC81" s="46">
        <f t="shared" si="15"/>
        <v>1</v>
      </c>
      <c r="CD81" s="46">
        <f t="shared" si="16"/>
        <v>1</v>
      </c>
      <c r="CE81" s="46">
        <f t="shared" si="17"/>
        <v>0</v>
      </c>
      <c r="CF81" s="46">
        <f t="shared" si="18"/>
        <v>0</v>
      </c>
      <c r="CG81" s="46" t="str">
        <f ca="1">IFERROR(__xludf.DUMMYFUNCTION("if(OR(BH81="""",LEFT(BH81,2)=""LA""),"""",IMPORTXML(CONCATENATE(""https://loinc.org/"",BH81,""/""),""//span[@id='lcn']""))"),"")</f>
        <v/>
      </c>
      <c r="CH81" s="46"/>
      <c r="CI81" s="46"/>
      <c r="CJ81" s="46"/>
      <c r="CK81" s="46"/>
      <c r="CL81" s="46"/>
      <c r="CM81" s="46"/>
      <c r="CN81" s="46"/>
      <c r="CO81" s="46"/>
      <c r="CP81" s="46"/>
      <c r="CQ81" s="46"/>
      <c r="CR81" s="46"/>
      <c r="CS81" s="46"/>
      <c r="CT81" s="46"/>
      <c r="CU81" s="46"/>
    </row>
    <row r="82" spans="1:99" ht="12.75" customHeight="1">
      <c r="A82" s="399">
        <v>1857</v>
      </c>
      <c r="B82" s="399" t="s">
        <v>3676</v>
      </c>
      <c r="C82" s="399">
        <f t="shared" si="0"/>
        <v>1857</v>
      </c>
      <c r="D82" s="399" t="e">
        <f t="shared" ca="1" si="1"/>
        <v>#NAME?</v>
      </c>
      <c r="E82" s="399" t="str">
        <f t="shared" si="2"/>
        <v>Emergency contraceptive pills (ECPs)</v>
      </c>
      <c r="F82" s="399" t="str">
        <f t="shared" si="20"/>
        <v>Input Option</v>
      </c>
      <c r="G82" s="400">
        <f t="shared" si="4"/>
        <v>43</v>
      </c>
      <c r="H82" s="399" t="str">
        <f t="shared" si="5"/>
        <v>Medication-based Birth control method reported at intake</v>
      </c>
      <c r="I82" s="400"/>
      <c r="J82" s="400"/>
      <c r="K82" s="401" t="s">
        <v>3333</v>
      </c>
      <c r="L82" s="402" t="s">
        <v>3517</v>
      </c>
      <c r="M82" s="400"/>
      <c r="N82" s="427" t="s">
        <v>3477</v>
      </c>
      <c r="O82" s="428"/>
      <c r="P82" s="403" t="s">
        <v>3677</v>
      </c>
      <c r="Q82" s="407"/>
      <c r="R82" s="407" t="s">
        <v>3374</v>
      </c>
      <c r="S82" s="443" t="s">
        <v>3678</v>
      </c>
      <c r="T82" s="407"/>
      <c r="U82" s="407"/>
      <c r="V82" s="432" t="s">
        <v>3679</v>
      </c>
      <c r="W82" s="407"/>
      <c r="X82" s="407" t="s">
        <v>208</v>
      </c>
      <c r="Y82" s="403"/>
      <c r="Z82" s="407" t="s">
        <v>113</v>
      </c>
      <c r="AA82" s="403" t="s">
        <v>3178</v>
      </c>
      <c r="AB82" s="432" t="s">
        <v>3552</v>
      </c>
      <c r="AC82" s="407"/>
      <c r="AD82" s="403"/>
      <c r="AE82" s="406"/>
      <c r="AF82" s="407"/>
      <c r="AG82" s="407"/>
      <c r="AH82" s="399"/>
      <c r="AI82" s="400"/>
      <c r="AJ82" s="399" t="s">
        <v>1787</v>
      </c>
      <c r="AK82" s="399"/>
      <c r="AL82" s="399" t="s">
        <v>1787</v>
      </c>
      <c r="AM82" s="399"/>
      <c r="AN82" s="399" t="s">
        <v>1787</v>
      </c>
      <c r="AO82" s="399" t="s">
        <v>1787</v>
      </c>
      <c r="AP82" s="409"/>
      <c r="AQ82" s="409" t="s">
        <v>3130</v>
      </c>
      <c r="AR82" s="409" t="s">
        <v>3652</v>
      </c>
      <c r="AS82" s="409"/>
      <c r="AT82" s="399"/>
      <c r="AU82" s="399"/>
      <c r="AV82" s="399" t="str">
        <f t="shared" si="6"/>
        <v/>
      </c>
      <c r="AW82" s="399"/>
      <c r="AX82" s="409" t="s">
        <v>3104</v>
      </c>
      <c r="AY82" s="399" t="e">
        <f t="shared" ca="1" si="7"/>
        <v>#NAME?</v>
      </c>
      <c r="AZ82" s="409" t="s">
        <v>3105</v>
      </c>
      <c r="BA82" s="409">
        <v>1</v>
      </c>
      <c r="BB82" s="399"/>
      <c r="BC82" s="399" t="s">
        <v>1787</v>
      </c>
      <c r="BD82" s="409" t="s">
        <v>3162</v>
      </c>
      <c r="BE82" s="411"/>
      <c r="BF82" s="411" t="s">
        <v>1787</v>
      </c>
      <c r="BG82" s="434" t="s">
        <v>3680</v>
      </c>
      <c r="BH82" s="434" t="s">
        <v>3681</v>
      </c>
      <c r="BI82" s="434" t="s">
        <v>3682</v>
      </c>
      <c r="BJ82" s="399" t="s">
        <v>1787</v>
      </c>
      <c r="BK82" s="399" t="s">
        <v>1787</v>
      </c>
      <c r="BL82" s="399"/>
      <c r="BM82" s="409" t="s">
        <v>3683</v>
      </c>
      <c r="BN82" s="399" t="s">
        <v>1787</v>
      </c>
      <c r="BO82" s="399" t="s">
        <v>1787</v>
      </c>
      <c r="BP82" s="399" t="s">
        <v>1787</v>
      </c>
      <c r="BQ82" s="399" t="s">
        <v>1787</v>
      </c>
      <c r="BR82" s="399" t="s">
        <v>1787</v>
      </c>
      <c r="BS82" s="407"/>
      <c r="BT82" s="407"/>
      <c r="BU82" s="412"/>
      <c r="BV82" s="46" t="str">
        <f t="shared" si="8"/>
        <v/>
      </c>
      <c r="BW82" s="46">
        <f t="shared" si="9"/>
        <v>0</v>
      </c>
      <c r="BX82" s="46">
        <f t="shared" si="10"/>
        <v>0</v>
      </c>
      <c r="BY82" s="43" t="str">
        <f t="shared" si="11"/>
        <v>WHO-Core MedicationStatement (Current Contraceptive Methods)</v>
      </c>
      <c r="BZ82" s="46">
        <f t="shared" si="12"/>
        <v>1</v>
      </c>
      <c r="CA82" s="46" t="str">
        <f t="shared" si="13"/>
        <v/>
      </c>
      <c r="CB82" s="46">
        <f t="shared" si="14"/>
        <v>1</v>
      </c>
      <c r="CC82" s="46">
        <f t="shared" si="15"/>
        <v>1</v>
      </c>
      <c r="CD82" s="46">
        <f t="shared" si="16"/>
        <v>1</v>
      </c>
      <c r="CE82" s="46">
        <f t="shared" si="17"/>
        <v>0</v>
      </c>
      <c r="CF82" s="46">
        <f t="shared" si="18"/>
        <v>0</v>
      </c>
      <c r="CG82" s="46" t="str">
        <f ca="1">IFERROR(__xludf.DUMMYFUNCTION("if(OR(BH82="""",LEFT(BH82,2)=""LA""),"""",IMPORTXML(CONCATENATE(""https://loinc.org/"",BH82,""/""),""//span[@id='lcn']""))"),"")</f>
        <v/>
      </c>
      <c r="CH82" s="46"/>
      <c r="CI82" s="46"/>
      <c r="CJ82" s="46"/>
      <c r="CK82" s="46"/>
      <c r="CL82" s="46"/>
      <c r="CM82" s="46"/>
      <c r="CN82" s="46"/>
      <c r="CO82" s="46"/>
      <c r="CP82" s="46"/>
      <c r="CQ82" s="46"/>
      <c r="CR82" s="46"/>
      <c r="CS82" s="46"/>
      <c r="CT82" s="46"/>
      <c r="CU82" s="46"/>
    </row>
    <row r="83" spans="1:99" ht="12.75" customHeight="1">
      <c r="A83" s="399">
        <v>1294</v>
      </c>
      <c r="B83" s="399" t="s">
        <v>3684</v>
      </c>
      <c r="C83" s="399">
        <f t="shared" si="0"/>
        <v>1294</v>
      </c>
      <c r="D83" s="399" t="e">
        <f t="shared" ca="1" si="1"/>
        <v>#NAME?</v>
      </c>
      <c r="E83" s="399" t="str">
        <f t="shared" si="2"/>
        <v>Progestogen-only pills (POP)</v>
      </c>
      <c r="F83" s="399" t="str">
        <f t="shared" si="20"/>
        <v>Input Option</v>
      </c>
      <c r="G83" s="400">
        <f t="shared" si="4"/>
        <v>35</v>
      </c>
      <c r="H83" s="399" t="str">
        <f t="shared" si="5"/>
        <v>Medication-based Birth control method reported at intake</v>
      </c>
      <c r="I83" s="400"/>
      <c r="J83" s="400"/>
      <c r="K83" s="401" t="s">
        <v>3333</v>
      </c>
      <c r="L83" s="402" t="s">
        <v>3517</v>
      </c>
      <c r="M83" s="400"/>
      <c r="N83" s="427" t="s">
        <v>3477</v>
      </c>
      <c r="O83" s="428"/>
      <c r="P83" s="403" t="s">
        <v>3685</v>
      </c>
      <c r="Q83" s="407"/>
      <c r="R83" s="407" t="s">
        <v>3686</v>
      </c>
      <c r="S83" s="443" t="s">
        <v>3687</v>
      </c>
      <c r="T83" s="407"/>
      <c r="U83" s="407"/>
      <c r="V83" s="432" t="s">
        <v>3688</v>
      </c>
      <c r="W83" s="407"/>
      <c r="X83" s="407" t="s">
        <v>208</v>
      </c>
      <c r="Y83" s="403"/>
      <c r="Z83" s="407" t="s">
        <v>113</v>
      </c>
      <c r="AA83" s="403" t="s">
        <v>3178</v>
      </c>
      <c r="AB83" s="432" t="s">
        <v>3552</v>
      </c>
      <c r="AC83" s="407"/>
      <c r="AD83" s="403"/>
      <c r="AE83" s="406"/>
      <c r="AF83" s="407"/>
      <c r="AG83" s="407"/>
      <c r="AH83" s="399"/>
      <c r="AI83" s="400"/>
      <c r="AJ83" s="399"/>
      <c r="AK83" s="399"/>
      <c r="AL83" s="399"/>
      <c r="AM83" s="399"/>
      <c r="AN83" s="399"/>
      <c r="AO83" s="399"/>
      <c r="AP83" s="409"/>
      <c r="AQ83" s="409" t="s">
        <v>3130</v>
      </c>
      <c r="AR83" s="409" t="s">
        <v>3652</v>
      </c>
      <c r="AS83" s="409"/>
      <c r="AT83" s="399"/>
      <c r="AU83" s="399" t="s">
        <v>3689</v>
      </c>
      <c r="AV83" s="399" t="str">
        <f t="shared" si="6"/>
        <v>Changed</v>
      </c>
      <c r="AW83" s="399"/>
      <c r="AX83" s="409" t="s">
        <v>3104</v>
      </c>
      <c r="AY83" s="399" t="e">
        <f t="shared" ca="1" si="7"/>
        <v>#NAME?</v>
      </c>
      <c r="AZ83" s="409" t="s">
        <v>3105</v>
      </c>
      <c r="BA83" s="409">
        <v>1</v>
      </c>
      <c r="BB83" s="399"/>
      <c r="BC83" s="399"/>
      <c r="BD83" s="399" t="s">
        <v>1673</v>
      </c>
      <c r="BE83" s="411"/>
      <c r="BF83" s="411"/>
      <c r="BG83" s="411" t="s">
        <v>3690</v>
      </c>
      <c r="BH83" s="411" t="s">
        <v>3691</v>
      </c>
      <c r="BI83" s="411"/>
      <c r="BJ83" s="399"/>
      <c r="BK83" s="399"/>
      <c r="BL83" s="399"/>
      <c r="BM83" s="399"/>
      <c r="BN83" s="399"/>
      <c r="BO83" s="399">
        <v>159784</v>
      </c>
      <c r="BP83" s="399"/>
      <c r="BQ83" s="399"/>
      <c r="BR83" s="399" t="s">
        <v>3692</v>
      </c>
      <c r="BS83" s="407"/>
      <c r="BT83" s="407"/>
      <c r="BU83" s="412"/>
      <c r="BV83" s="46" t="str">
        <f t="shared" si="8"/>
        <v/>
      </c>
      <c r="BW83" s="46">
        <f t="shared" si="9"/>
        <v>0</v>
      </c>
      <c r="BX83" s="46">
        <f t="shared" si="10"/>
        <v>0</v>
      </c>
      <c r="BY83" s="43" t="str">
        <f t="shared" si="11"/>
        <v>WHO-Core MedicationStatement (Current Contraceptive Methods)</v>
      </c>
      <c r="BZ83" s="46">
        <f t="shared" si="12"/>
        <v>1</v>
      </c>
      <c r="CA83" s="46" t="str">
        <f t="shared" si="13"/>
        <v/>
      </c>
      <c r="CB83" s="46">
        <f t="shared" si="14"/>
        <v>1</v>
      </c>
      <c r="CC83" s="46">
        <f t="shared" si="15"/>
        <v>1</v>
      </c>
      <c r="CD83" s="46">
        <f t="shared" si="16"/>
        <v>1</v>
      </c>
      <c r="CE83" s="46">
        <f t="shared" si="17"/>
        <v>0</v>
      </c>
      <c r="CF83" s="46">
        <f t="shared" si="18"/>
        <v>0</v>
      </c>
      <c r="CG83" s="46" t="str">
        <f ca="1">IFERROR(__xludf.DUMMYFUNCTION("if(OR(BH83="""",LEFT(BH83,2)=""LA""),"""",IMPORTXML(CONCATENATE(""https://loinc.org/"",BH83,""/""),""//span[@id='lcn']""))"),"")</f>
        <v/>
      </c>
      <c r="CH83" s="46"/>
      <c r="CI83" s="46"/>
      <c r="CJ83" s="46"/>
      <c r="CK83" s="46"/>
      <c r="CL83" s="46"/>
      <c r="CM83" s="46"/>
      <c r="CN83" s="46"/>
      <c r="CO83" s="46"/>
      <c r="CP83" s="46"/>
      <c r="CQ83" s="46"/>
      <c r="CR83" s="46"/>
      <c r="CS83" s="46"/>
      <c r="CT83" s="46"/>
      <c r="CU83" s="46"/>
    </row>
    <row r="84" spans="1:99" ht="12.75" customHeight="1">
      <c r="A84" s="399">
        <v>1288</v>
      </c>
      <c r="B84" s="399" t="s">
        <v>3693</v>
      </c>
      <c r="C84" s="399">
        <f t="shared" si="0"/>
        <v>1288</v>
      </c>
      <c r="D84" s="399" t="e">
        <f t="shared" ca="1" si="1"/>
        <v>#NAME?</v>
      </c>
      <c r="E84" s="399" t="str">
        <f t="shared" si="2"/>
        <v>Combined oral contraceptives (COCs)</v>
      </c>
      <c r="F84" s="399" t="str">
        <f t="shared" si="20"/>
        <v>Input Option</v>
      </c>
      <c r="G84" s="400">
        <f t="shared" si="4"/>
        <v>42</v>
      </c>
      <c r="H84" s="399" t="str">
        <f t="shared" si="5"/>
        <v>Medication-based Birth control method reported at intake</v>
      </c>
      <c r="I84" s="400"/>
      <c r="J84" s="400"/>
      <c r="K84" s="401" t="s">
        <v>3333</v>
      </c>
      <c r="L84" s="402" t="s">
        <v>3517</v>
      </c>
      <c r="M84" s="400"/>
      <c r="N84" s="427" t="s">
        <v>3477</v>
      </c>
      <c r="O84" s="428"/>
      <c r="P84" s="403" t="s">
        <v>3694</v>
      </c>
      <c r="Q84" s="414"/>
      <c r="R84" s="407" t="s">
        <v>3695</v>
      </c>
      <c r="S84" s="443" t="s">
        <v>3696</v>
      </c>
      <c r="T84" s="407"/>
      <c r="U84" s="407"/>
      <c r="V84" s="432" t="s">
        <v>3697</v>
      </c>
      <c r="W84" s="407"/>
      <c r="X84" s="407" t="s">
        <v>208</v>
      </c>
      <c r="Y84" s="403"/>
      <c r="Z84" s="407" t="s">
        <v>113</v>
      </c>
      <c r="AA84" s="403" t="s">
        <v>3178</v>
      </c>
      <c r="AB84" s="432" t="s">
        <v>3552</v>
      </c>
      <c r="AC84" s="407"/>
      <c r="AD84" s="403"/>
      <c r="AE84" s="406"/>
      <c r="AF84" s="407"/>
      <c r="AG84" s="407"/>
      <c r="AH84" s="399"/>
      <c r="AI84" s="400"/>
      <c r="AJ84" s="399"/>
      <c r="AK84" s="399"/>
      <c r="AL84" s="399"/>
      <c r="AM84" s="399"/>
      <c r="AN84" s="399"/>
      <c r="AO84" s="399"/>
      <c r="AP84" s="409"/>
      <c r="AQ84" s="409" t="s">
        <v>3130</v>
      </c>
      <c r="AR84" s="409" t="s">
        <v>3652</v>
      </c>
      <c r="AS84" s="409"/>
      <c r="AT84" s="399"/>
      <c r="AU84" s="399" t="s">
        <v>3698</v>
      </c>
      <c r="AV84" s="399" t="str">
        <f t="shared" si="6"/>
        <v>Changed</v>
      </c>
      <c r="AW84" s="399"/>
      <c r="AX84" s="409" t="s">
        <v>3104</v>
      </c>
      <c r="AY84" s="399" t="e">
        <f t="shared" ca="1" si="7"/>
        <v>#NAME?</v>
      </c>
      <c r="AZ84" s="409" t="s">
        <v>3105</v>
      </c>
      <c r="BA84" s="409">
        <v>1</v>
      </c>
      <c r="BB84" s="399"/>
      <c r="BC84" s="399"/>
      <c r="BD84" s="399" t="s">
        <v>1673</v>
      </c>
      <c r="BE84" s="411"/>
      <c r="BF84" s="411"/>
      <c r="BG84" s="411" t="s">
        <v>3699</v>
      </c>
      <c r="BH84" s="411" t="s">
        <v>3700</v>
      </c>
      <c r="BI84" s="411"/>
      <c r="BJ84" s="399"/>
      <c r="BK84" s="399"/>
      <c r="BL84" s="399"/>
      <c r="BM84" s="399"/>
      <c r="BN84" s="399"/>
      <c r="BO84" s="399">
        <v>159783</v>
      </c>
      <c r="BP84" s="399"/>
      <c r="BQ84" s="399"/>
      <c r="BR84" s="399" t="s">
        <v>3701</v>
      </c>
      <c r="BS84" s="407"/>
      <c r="BT84" s="407"/>
      <c r="BU84" s="412"/>
      <c r="BV84" s="46" t="str">
        <f t="shared" si="8"/>
        <v/>
      </c>
      <c r="BW84" s="46">
        <f t="shared" si="9"/>
        <v>0</v>
      </c>
      <c r="BX84" s="46">
        <f t="shared" si="10"/>
        <v>0</v>
      </c>
      <c r="BY84" s="43" t="str">
        <f t="shared" si="11"/>
        <v>WHO-Core MedicationStatement (Current Contraceptive Methods)</v>
      </c>
      <c r="BZ84" s="46">
        <f t="shared" si="12"/>
        <v>1</v>
      </c>
      <c r="CA84" s="46" t="str">
        <f t="shared" si="13"/>
        <v/>
      </c>
      <c r="CB84" s="46">
        <f t="shared" si="14"/>
        <v>1</v>
      </c>
      <c r="CC84" s="46">
        <f t="shared" si="15"/>
        <v>1</v>
      </c>
      <c r="CD84" s="46">
        <f t="shared" si="16"/>
        <v>1</v>
      </c>
      <c r="CE84" s="46">
        <f t="shared" si="17"/>
        <v>0</v>
      </c>
      <c r="CF84" s="46">
        <f t="shared" si="18"/>
        <v>0</v>
      </c>
      <c r="CG84" s="46" t="str">
        <f ca="1">IFERROR(__xludf.DUMMYFUNCTION("if(OR(BH84="""",LEFT(BH84,2)=""LA""),"""",IMPORTXML(CONCATENATE(""https://loinc.org/"",BH84,""/""),""//span[@id='lcn']""))"),"")</f>
        <v/>
      </c>
      <c r="CH84" s="46"/>
      <c r="CI84" s="46"/>
      <c r="CJ84" s="46"/>
      <c r="CK84" s="46"/>
      <c r="CL84" s="46"/>
      <c r="CM84" s="46"/>
      <c r="CN84" s="46"/>
      <c r="CO84" s="46"/>
      <c r="CP84" s="46"/>
      <c r="CQ84" s="46"/>
      <c r="CR84" s="46"/>
      <c r="CS84" s="46"/>
      <c r="CT84" s="46"/>
      <c r="CU84" s="46"/>
    </row>
    <row r="85" spans="1:99" ht="12.75" customHeight="1">
      <c r="A85" s="399">
        <v>1859</v>
      </c>
      <c r="B85" s="399" t="s">
        <v>3702</v>
      </c>
      <c r="C85" s="399">
        <f t="shared" si="0"/>
        <v>1859</v>
      </c>
      <c r="D85" s="399" t="e">
        <f t="shared" ca="1" si="1"/>
        <v>#NAME?</v>
      </c>
      <c r="E85" s="399" t="str">
        <f t="shared" si="2"/>
        <v>Combined injectable contraception</v>
      </c>
      <c r="F85" s="399" t="str">
        <f t="shared" si="20"/>
        <v>Input Option</v>
      </c>
      <c r="G85" s="400">
        <f t="shared" si="4"/>
        <v>40</v>
      </c>
      <c r="H85" s="399" t="str">
        <f t="shared" si="5"/>
        <v>Medication-based Birth control method reported at intake</v>
      </c>
      <c r="I85" s="400"/>
      <c r="J85" s="400"/>
      <c r="K85" s="401" t="s">
        <v>3333</v>
      </c>
      <c r="L85" s="402" t="s">
        <v>3517</v>
      </c>
      <c r="M85" s="400"/>
      <c r="N85" s="427" t="s">
        <v>3477</v>
      </c>
      <c r="O85" s="428"/>
      <c r="P85" s="403" t="s">
        <v>3703</v>
      </c>
      <c r="Q85" s="414"/>
      <c r="R85" s="407"/>
      <c r="S85" s="432" t="s">
        <v>3704</v>
      </c>
      <c r="T85" s="407"/>
      <c r="U85" s="407"/>
      <c r="V85" s="432" t="s">
        <v>3705</v>
      </c>
      <c r="W85" s="407"/>
      <c r="X85" s="407" t="s">
        <v>208</v>
      </c>
      <c r="Y85" s="403"/>
      <c r="Z85" s="407" t="s">
        <v>113</v>
      </c>
      <c r="AA85" s="403" t="s">
        <v>3178</v>
      </c>
      <c r="AB85" s="432" t="s">
        <v>3552</v>
      </c>
      <c r="AC85" s="407"/>
      <c r="AD85" s="407"/>
      <c r="AE85" s="408"/>
      <c r="AF85" s="407"/>
      <c r="AG85" s="407"/>
      <c r="AH85" s="399"/>
      <c r="AI85" s="400"/>
      <c r="AJ85" s="399" t="s">
        <v>1787</v>
      </c>
      <c r="AK85" s="399"/>
      <c r="AL85" s="399" t="s">
        <v>1787</v>
      </c>
      <c r="AM85" s="399"/>
      <c r="AN85" s="399" t="s">
        <v>1787</v>
      </c>
      <c r="AO85" s="399" t="s">
        <v>1787</v>
      </c>
      <c r="AP85" s="409"/>
      <c r="AQ85" s="409" t="s">
        <v>3130</v>
      </c>
      <c r="AR85" s="409" t="s">
        <v>3652</v>
      </c>
      <c r="AS85" s="409"/>
      <c r="AT85" s="399"/>
      <c r="AU85" s="399"/>
      <c r="AV85" s="399" t="str">
        <f t="shared" si="6"/>
        <v/>
      </c>
      <c r="AW85" s="399"/>
      <c r="AX85" s="409" t="s">
        <v>3104</v>
      </c>
      <c r="AY85" s="399" t="e">
        <f t="shared" ca="1" si="7"/>
        <v>#NAME?</v>
      </c>
      <c r="AZ85" s="409" t="s">
        <v>3105</v>
      </c>
      <c r="BA85" s="409">
        <v>1</v>
      </c>
      <c r="BB85" s="399"/>
      <c r="BC85" s="399" t="s">
        <v>1787</v>
      </c>
      <c r="BD85" s="399" t="s">
        <v>1787</v>
      </c>
      <c r="BE85" s="411"/>
      <c r="BF85" s="411" t="s">
        <v>1787</v>
      </c>
      <c r="BG85" s="434" t="s">
        <v>3706</v>
      </c>
      <c r="BH85" s="411"/>
      <c r="BI85" s="411"/>
      <c r="BJ85" s="399" t="s">
        <v>1787</v>
      </c>
      <c r="BK85" s="399" t="s">
        <v>1787</v>
      </c>
      <c r="BL85" s="399"/>
      <c r="BM85" s="409" t="s">
        <v>3707</v>
      </c>
      <c r="BN85" s="399" t="s">
        <v>1787</v>
      </c>
      <c r="BO85" s="399" t="s">
        <v>1787</v>
      </c>
      <c r="BP85" s="399" t="s">
        <v>1787</v>
      </c>
      <c r="BQ85" s="399" t="s">
        <v>1787</v>
      </c>
      <c r="BR85" s="399" t="s">
        <v>1787</v>
      </c>
      <c r="BS85" s="407"/>
      <c r="BT85" s="407"/>
      <c r="BU85" s="412"/>
      <c r="BV85" s="46" t="str">
        <f t="shared" si="8"/>
        <v/>
      </c>
      <c r="BW85" s="46">
        <f t="shared" si="9"/>
        <v>0</v>
      </c>
      <c r="BX85" s="46">
        <f t="shared" si="10"/>
        <v>0</v>
      </c>
      <c r="BY85" s="43" t="str">
        <f t="shared" si="11"/>
        <v>WHO-Core MedicationStatement (Current Contraceptive Methods)</v>
      </c>
      <c r="BZ85" s="46">
        <f t="shared" si="12"/>
        <v>1</v>
      </c>
      <c r="CA85" s="46" t="str">
        <f t="shared" si="13"/>
        <v/>
      </c>
      <c r="CB85" s="46">
        <f t="shared" si="14"/>
        <v>1</v>
      </c>
      <c r="CC85" s="46">
        <f t="shared" si="15"/>
        <v>1</v>
      </c>
      <c r="CD85" s="46">
        <f t="shared" si="16"/>
        <v>1</v>
      </c>
      <c r="CE85" s="46">
        <f t="shared" si="17"/>
        <v>0</v>
      </c>
      <c r="CF85" s="46">
        <f t="shared" si="18"/>
        <v>0</v>
      </c>
      <c r="CG85" s="46" t="str">
        <f ca="1">IFERROR(__xludf.DUMMYFUNCTION("if(OR(BH85="""",LEFT(BH85,2)=""LA""),"""",IMPORTXML(CONCATENATE(""https://loinc.org/"",BH85,""/""),""//span[@id='lcn']""))"),"")</f>
        <v/>
      </c>
      <c r="CH85" s="46"/>
      <c r="CI85" s="46"/>
      <c r="CJ85" s="46"/>
      <c r="CK85" s="46"/>
      <c r="CL85" s="46"/>
      <c r="CM85" s="46"/>
      <c r="CN85" s="46"/>
      <c r="CO85" s="46"/>
      <c r="CP85" s="46"/>
      <c r="CQ85" s="46"/>
      <c r="CR85" s="46"/>
      <c r="CS85" s="46"/>
      <c r="CT85" s="46"/>
      <c r="CU85" s="46"/>
    </row>
    <row r="86" spans="1:99" ht="12.75" customHeight="1">
      <c r="A86" s="399">
        <v>1315</v>
      </c>
      <c r="B86" s="399" t="s">
        <v>3708</v>
      </c>
      <c r="C86" s="399">
        <f t="shared" si="0"/>
        <v>1315</v>
      </c>
      <c r="D86" s="399" t="str">
        <f t="shared" si="1"/>
        <v>Injection Date</v>
      </c>
      <c r="E86" s="399" t="str">
        <f t="shared" si="2"/>
        <v>Injection Date</v>
      </c>
      <c r="F86" s="399" t="str">
        <f t="shared" si="20"/>
        <v>Data Element</v>
      </c>
      <c r="G86" s="400">
        <f t="shared" si="4"/>
        <v>14</v>
      </c>
      <c r="H86" s="400" t="str">
        <f t="shared" si="5"/>
        <v/>
      </c>
      <c r="I86" s="400"/>
      <c r="J86" s="400"/>
      <c r="K86" s="401" t="s">
        <v>3333</v>
      </c>
      <c r="L86" s="402" t="s">
        <v>3517</v>
      </c>
      <c r="M86" s="400"/>
      <c r="N86" s="427" t="s">
        <v>3477</v>
      </c>
      <c r="O86" s="428"/>
      <c r="P86" s="403" t="s">
        <v>3709</v>
      </c>
      <c r="Q86" s="407" t="s">
        <v>3708</v>
      </c>
      <c r="R86" s="403"/>
      <c r="S86" s="403" t="s">
        <v>3710</v>
      </c>
      <c r="T86" s="403" t="s">
        <v>3158</v>
      </c>
      <c r="U86" s="407"/>
      <c r="V86" s="403"/>
      <c r="W86" s="407"/>
      <c r="X86" s="405" t="s">
        <v>113</v>
      </c>
      <c r="Y86" s="403" t="s">
        <v>3638</v>
      </c>
      <c r="Z86" s="403" t="s">
        <v>113</v>
      </c>
      <c r="AA86" s="405" t="s">
        <v>3178</v>
      </c>
      <c r="AB86" s="432" t="s">
        <v>3711</v>
      </c>
      <c r="AC86" s="448"/>
      <c r="AD86" s="449"/>
      <c r="AE86" s="429"/>
      <c r="AF86" s="431"/>
      <c r="AG86" s="407"/>
      <c r="AH86" s="399"/>
      <c r="AI86" s="400"/>
      <c r="AJ86" s="399"/>
      <c r="AK86" s="409" t="s">
        <v>3712</v>
      </c>
      <c r="AL86" s="409" t="s">
        <v>3513</v>
      </c>
      <c r="AM86" s="409" t="s">
        <v>3100</v>
      </c>
      <c r="AN86" s="409" t="s">
        <v>3101</v>
      </c>
      <c r="AO86" s="399"/>
      <c r="AP86" s="409" t="s">
        <v>3651</v>
      </c>
      <c r="AQ86" s="409" t="s">
        <v>3424</v>
      </c>
      <c r="AR86" s="399"/>
      <c r="AS86" s="399"/>
      <c r="AT86" s="399"/>
      <c r="AU86" s="399" t="s">
        <v>3708</v>
      </c>
      <c r="AV86" s="399" t="str">
        <f t="shared" si="6"/>
        <v>Same</v>
      </c>
      <c r="AW86" s="399"/>
      <c r="AX86" s="409" t="s">
        <v>3104</v>
      </c>
      <c r="AY86" s="399" t="str">
        <f t="shared" si="7"/>
        <v/>
      </c>
      <c r="AZ86" s="409" t="s">
        <v>3105</v>
      </c>
      <c r="BA86" s="409">
        <v>1</v>
      </c>
      <c r="BB86" s="399"/>
      <c r="BC86" s="399"/>
      <c r="BD86" s="399" t="s">
        <v>3713</v>
      </c>
      <c r="BE86" s="411"/>
      <c r="BF86" s="411"/>
      <c r="BG86" s="411"/>
      <c r="BH86" s="411"/>
      <c r="BI86" s="411"/>
      <c r="BJ86" s="409" t="s">
        <v>3106</v>
      </c>
      <c r="BK86" s="399"/>
      <c r="BL86" s="399"/>
      <c r="BM86" s="399"/>
      <c r="BN86" s="399"/>
      <c r="BO86" s="399"/>
      <c r="BP86" s="399"/>
      <c r="BQ86" s="399"/>
      <c r="BR86" s="399"/>
      <c r="BS86" s="407"/>
      <c r="BT86" s="407"/>
      <c r="BU86" s="412"/>
      <c r="BV86" s="46" t="str">
        <f t="shared" si="8"/>
        <v>MedicationStatement</v>
      </c>
      <c r="BW86" s="46" t="str">
        <f t="shared" si="9"/>
        <v/>
      </c>
      <c r="BX86" s="46" t="str">
        <f t="shared" si="10"/>
        <v>MedicationStatement</v>
      </c>
      <c r="BY86" s="43" t="str">
        <f t="shared" si="11"/>
        <v>WHO-Core MedicationStatement (Current Contraceptive Methods)</v>
      </c>
      <c r="BZ86" s="46">
        <f t="shared" si="12"/>
        <v>1</v>
      </c>
      <c r="CA86" s="46">
        <f t="shared" si="13"/>
        <v>0</v>
      </c>
      <c r="CB86" s="46">
        <f t="shared" si="14"/>
        <v>1</v>
      </c>
      <c r="CC86" s="46">
        <f t="shared" si="15"/>
        <v>1</v>
      </c>
      <c r="CD86" s="46">
        <f t="shared" si="16"/>
        <v>1</v>
      </c>
      <c r="CE86" s="46">
        <f t="shared" si="17"/>
        <v>0</v>
      </c>
      <c r="CF86" s="46">
        <f t="shared" si="18"/>
        <v>0</v>
      </c>
      <c r="CG86" s="46" t="str">
        <f ca="1">IFERROR(__xludf.DUMMYFUNCTION("if(OR(BH86="""",LEFT(BH86,2)=""LA""),"""",IMPORTXML(CONCATENATE(""https://loinc.org/"",BH86,""/""),""//span[@id='lcn']""))"),"")</f>
        <v/>
      </c>
      <c r="CH86" s="46"/>
      <c r="CI86" s="46"/>
      <c r="CJ86" s="46"/>
      <c r="CK86" s="46"/>
      <c r="CL86" s="46"/>
      <c r="CM86" s="46"/>
      <c r="CN86" s="46"/>
      <c r="CO86" s="46"/>
      <c r="CP86" s="46"/>
      <c r="CQ86" s="46"/>
      <c r="CR86" s="46"/>
      <c r="CS86" s="46"/>
      <c r="CT86" s="46"/>
      <c r="CU86" s="46"/>
    </row>
    <row r="87" spans="1:99" ht="12.75" customHeight="1">
      <c r="A87" s="399">
        <v>2348</v>
      </c>
      <c r="B87" s="440" t="s">
        <v>3714</v>
      </c>
      <c r="C87" s="399">
        <f t="shared" si="0"/>
        <v>2348</v>
      </c>
      <c r="D87" s="450" t="str">
        <f t="shared" si="1"/>
        <v>Method at intake</v>
      </c>
      <c r="E87" s="450" t="str">
        <f t="shared" si="2"/>
        <v>Method at intake</v>
      </c>
      <c r="F87" s="403" t="str">
        <f t="shared" si="20"/>
        <v>Data Element</v>
      </c>
      <c r="G87" s="400">
        <f t="shared" si="4"/>
        <v>55</v>
      </c>
      <c r="H87" s="400" t="str">
        <f t="shared" si="5"/>
        <v/>
      </c>
      <c r="I87" s="407"/>
      <c r="J87" s="407"/>
      <c r="K87" s="404" t="s">
        <v>3333</v>
      </c>
      <c r="L87" s="451" t="s">
        <v>3517</v>
      </c>
      <c r="M87" s="407"/>
      <c r="N87" s="427" t="s">
        <v>3477</v>
      </c>
      <c r="O87" s="407"/>
      <c r="P87" s="403" t="s">
        <v>3527</v>
      </c>
      <c r="Q87" s="450" t="s">
        <v>3528</v>
      </c>
      <c r="R87" s="403"/>
      <c r="S87" s="403" t="s">
        <v>3529</v>
      </c>
      <c r="T87" s="403" t="s">
        <v>3339</v>
      </c>
      <c r="U87" s="432" t="s">
        <v>3326</v>
      </c>
      <c r="V87" s="403"/>
      <c r="W87" s="407"/>
      <c r="X87" s="403" t="s">
        <v>208</v>
      </c>
      <c r="Y87" s="403"/>
      <c r="Z87" s="403" t="s">
        <v>113</v>
      </c>
      <c r="AA87" s="403" t="s">
        <v>3098</v>
      </c>
      <c r="AB87" s="432" t="s">
        <v>3530</v>
      </c>
      <c r="AC87" s="407"/>
      <c r="AD87" s="403" t="s">
        <v>3531</v>
      </c>
      <c r="AE87" s="407"/>
      <c r="AF87" s="407" t="s">
        <v>3532</v>
      </c>
      <c r="AG87" s="432" t="s">
        <v>3533</v>
      </c>
      <c r="AH87" s="436"/>
      <c r="AI87" s="407"/>
      <c r="AJ87" s="403"/>
      <c r="AK87" s="440" t="s">
        <v>3715</v>
      </c>
      <c r="AL87" s="409"/>
      <c r="AM87" s="409" t="s">
        <v>3100</v>
      </c>
      <c r="AN87" s="409" t="s">
        <v>3101</v>
      </c>
      <c r="AO87" s="403"/>
      <c r="AP87" s="409" t="s">
        <v>3716</v>
      </c>
      <c r="AQ87" s="409" t="s">
        <v>3424</v>
      </c>
      <c r="AR87" s="409" t="s">
        <v>3717</v>
      </c>
      <c r="AS87" s="409"/>
      <c r="AT87" s="407"/>
      <c r="AU87" s="403" t="s">
        <v>3537</v>
      </c>
      <c r="AV87" s="403" t="str">
        <f t="shared" si="6"/>
        <v>Changed</v>
      </c>
      <c r="AW87" s="403"/>
      <c r="AX87" s="409" t="s">
        <v>3104</v>
      </c>
      <c r="AY87" s="407" t="str">
        <f t="shared" si="7"/>
        <v>"Method at intake"-&gt;"Procedure-based Birth control method reported at intake"</v>
      </c>
      <c r="AZ87" s="409" t="s">
        <v>3105</v>
      </c>
      <c r="BA87" s="409">
        <v>1</v>
      </c>
      <c r="BB87" s="399"/>
      <c r="BC87" s="403"/>
      <c r="BD87" s="403" t="s">
        <v>3538</v>
      </c>
      <c r="BE87" s="411"/>
      <c r="BF87" s="412"/>
      <c r="BG87" s="411"/>
      <c r="BH87" s="452" t="s">
        <v>3539</v>
      </c>
      <c r="BI87" s="411"/>
      <c r="BJ87" s="403"/>
      <c r="BK87" s="403"/>
      <c r="BL87" s="403"/>
      <c r="BM87" s="403"/>
      <c r="BN87" s="403"/>
      <c r="BO87" s="403"/>
      <c r="BP87" s="403"/>
      <c r="BQ87" s="403"/>
      <c r="BR87" s="403"/>
      <c r="BS87" s="407"/>
      <c r="BT87" s="407"/>
      <c r="BU87" s="412"/>
      <c r="BV87" s="46" t="str">
        <f t="shared" si="8"/>
        <v>Procedure</v>
      </c>
      <c r="BW87" s="46" t="str">
        <f t="shared" si="9"/>
        <v/>
      </c>
      <c r="BX87" s="46" t="str">
        <f t="shared" si="10"/>
        <v>Procedure</v>
      </c>
      <c r="BY87" s="43" t="str">
        <f t="shared" si="11"/>
        <v>WHO-Core Procedure (Intake Contraceptive Method)</v>
      </c>
      <c r="BZ87" s="46">
        <f t="shared" si="12"/>
        <v>1</v>
      </c>
      <c r="CA87" s="46">
        <f t="shared" si="13"/>
        <v>1</v>
      </c>
      <c r="CB87" s="46">
        <f t="shared" si="14"/>
        <v>1</v>
      </c>
      <c r="CC87" s="46">
        <f t="shared" si="15"/>
        <v>1</v>
      </c>
      <c r="CD87" s="46">
        <f t="shared" si="16"/>
        <v>1</v>
      </c>
      <c r="CE87" s="46">
        <f t="shared" si="17"/>
        <v>0</v>
      </c>
      <c r="CF87" s="46">
        <f t="shared" si="18"/>
        <v>0</v>
      </c>
      <c r="CG87" s="46" t="str">
        <f ca="1">IFERROR(__xludf.DUMMYFUNCTION("if(OR(BH87="""",LEFT(BH87,2)=""LA""),"""",IMPORTXML(CONCATENATE(""https://loinc.org/"",BH87,""/""),""//span[@id='lcn']""))"),"Birth control method at intake Reported --at intake")</f>
        <v>Birth control method at intake Reported --at intake</v>
      </c>
      <c r="CH87" s="46"/>
      <c r="CI87" s="46"/>
      <c r="CJ87" s="46"/>
      <c r="CK87" s="46"/>
      <c r="CL87" s="46"/>
      <c r="CM87" s="46"/>
      <c r="CN87" s="46"/>
      <c r="CO87" s="46"/>
      <c r="CP87" s="46"/>
      <c r="CQ87" s="46"/>
      <c r="CR87" s="46"/>
      <c r="CS87" s="46"/>
      <c r="CT87" s="46"/>
      <c r="CU87" s="46"/>
    </row>
    <row r="88" spans="1:99" ht="12.75" customHeight="1">
      <c r="A88" s="399">
        <v>2349</v>
      </c>
      <c r="B88" s="440" t="s">
        <v>3718</v>
      </c>
      <c r="C88" s="399">
        <f t="shared" si="0"/>
        <v>2349</v>
      </c>
      <c r="D88" s="450" t="e">
        <f t="shared" ca="1" si="1"/>
        <v>#NAME?</v>
      </c>
      <c r="E88" s="450" t="str">
        <f t="shared" si="2"/>
        <v>No method</v>
      </c>
      <c r="F88" s="403" t="str">
        <f t="shared" si="20"/>
        <v>Input Option</v>
      </c>
      <c r="G88" s="400">
        <f t="shared" si="4"/>
        <v>32</v>
      </c>
      <c r="H88" s="399" t="str">
        <f t="shared" si="5"/>
        <v>Procedure-based Birth control method reported at intake</v>
      </c>
      <c r="I88" s="421"/>
      <c r="J88" s="407"/>
      <c r="K88" s="404" t="s">
        <v>3333</v>
      </c>
      <c r="L88" s="451" t="s">
        <v>3517</v>
      </c>
      <c r="M88" s="407"/>
      <c r="N88" s="427" t="s">
        <v>3477</v>
      </c>
      <c r="O88" s="407"/>
      <c r="P88" s="403" t="s">
        <v>3541</v>
      </c>
      <c r="Q88" s="403"/>
      <c r="R88" s="407"/>
      <c r="S88" s="443" t="s">
        <v>3542</v>
      </c>
      <c r="T88" s="407"/>
      <c r="U88" s="407"/>
      <c r="V88" s="407" t="s">
        <v>3543</v>
      </c>
      <c r="W88" s="407"/>
      <c r="X88" s="407" t="s">
        <v>113</v>
      </c>
      <c r="Y88" s="403" t="s">
        <v>3544</v>
      </c>
      <c r="Z88" s="407" t="s">
        <v>113</v>
      </c>
      <c r="AA88" s="403" t="s">
        <v>3178</v>
      </c>
      <c r="AB88" s="407"/>
      <c r="AC88" s="407"/>
      <c r="AD88" s="403"/>
      <c r="AE88" s="407"/>
      <c r="AF88" s="407" t="s">
        <v>3545</v>
      </c>
      <c r="AG88" s="407"/>
      <c r="AH88" s="403"/>
      <c r="AI88" s="407"/>
      <c r="AJ88" s="403"/>
      <c r="AK88" s="399"/>
      <c r="AL88" s="403"/>
      <c r="AM88" s="403"/>
      <c r="AN88" s="403"/>
      <c r="AO88" s="403"/>
      <c r="AP88" s="409"/>
      <c r="AQ88" s="409" t="s">
        <v>3130</v>
      </c>
      <c r="AR88" s="409" t="s">
        <v>3717</v>
      </c>
      <c r="AS88" s="409"/>
      <c r="AT88" s="407"/>
      <c r="AU88" s="403" t="s">
        <v>3546</v>
      </c>
      <c r="AV88" s="403" t="str">
        <f t="shared" si="6"/>
        <v>Changed</v>
      </c>
      <c r="AW88" s="403"/>
      <c r="AX88" s="409" t="s">
        <v>3104</v>
      </c>
      <c r="AY88" s="407" t="e">
        <f t="shared" ca="1" si="7"/>
        <v>#NAME?</v>
      </c>
      <c r="AZ88" s="409" t="s">
        <v>3105</v>
      </c>
      <c r="BA88" s="409">
        <v>1</v>
      </c>
      <c r="BB88" s="399"/>
      <c r="BC88" s="403"/>
      <c r="BD88" s="403" t="s">
        <v>1673</v>
      </c>
      <c r="BE88" s="411"/>
      <c r="BF88" s="412"/>
      <c r="BG88" s="452" t="s">
        <v>3349</v>
      </c>
      <c r="BH88" s="411"/>
      <c r="BI88" s="411"/>
      <c r="BJ88" s="403"/>
      <c r="BK88" s="403"/>
      <c r="BL88" s="403"/>
      <c r="BM88" s="403"/>
      <c r="BN88" s="403"/>
      <c r="BO88" s="403"/>
      <c r="BP88" s="403"/>
      <c r="BQ88" s="403"/>
      <c r="BR88" s="403"/>
      <c r="BS88" s="407"/>
      <c r="BT88" s="407"/>
      <c r="BU88" s="412"/>
      <c r="BV88" s="46" t="str">
        <f t="shared" si="8"/>
        <v/>
      </c>
      <c r="BW88" s="46">
        <f t="shared" si="9"/>
        <v>0</v>
      </c>
      <c r="BX88" s="46">
        <f t="shared" si="10"/>
        <v>0</v>
      </c>
      <c r="BY88" s="43" t="str">
        <f t="shared" si="11"/>
        <v>WHO-Core Procedure (Intake Contraceptive Method)</v>
      </c>
      <c r="BZ88" s="46">
        <f t="shared" si="12"/>
        <v>1</v>
      </c>
      <c r="CA88" s="46" t="str">
        <f t="shared" si="13"/>
        <v/>
      </c>
      <c r="CB88" s="46">
        <f t="shared" si="14"/>
        <v>1</v>
      </c>
      <c r="CC88" s="46">
        <f t="shared" si="15"/>
        <v>1</v>
      </c>
      <c r="CD88" s="46">
        <f t="shared" si="16"/>
        <v>1</v>
      </c>
      <c r="CE88" s="46">
        <f t="shared" si="17"/>
        <v>0</v>
      </c>
      <c r="CF88" s="46">
        <f t="shared" si="18"/>
        <v>0</v>
      </c>
      <c r="CG88" s="46" t="str">
        <f ca="1">IFERROR(__xludf.DUMMYFUNCTION("if(OR(BH88="""",LEFT(BH88,2)=""LA""),"""",IMPORTXML(CONCATENATE(""https://loinc.org/"",BH88,""/""),""//span[@id='lcn']""))"),"")</f>
        <v/>
      </c>
      <c r="CH88" s="46"/>
      <c r="CI88" s="46"/>
      <c r="CJ88" s="46"/>
      <c r="CK88" s="46"/>
      <c r="CL88" s="46"/>
      <c r="CM88" s="46"/>
      <c r="CN88" s="46"/>
      <c r="CO88" s="46"/>
      <c r="CP88" s="46"/>
      <c r="CQ88" s="46"/>
      <c r="CR88" s="46"/>
      <c r="CS88" s="46"/>
      <c r="CT88" s="46"/>
      <c r="CU88" s="46"/>
    </row>
    <row r="89" spans="1:99" ht="12.75" customHeight="1">
      <c r="A89" s="399">
        <v>1298</v>
      </c>
      <c r="B89" s="399" t="s">
        <v>3719</v>
      </c>
      <c r="C89" s="399">
        <f t="shared" si="0"/>
        <v>1298</v>
      </c>
      <c r="D89" s="399" t="e">
        <f t="shared" ca="1" si="1"/>
        <v>#NAME?</v>
      </c>
      <c r="E89" s="399" t="str">
        <f t="shared" si="2"/>
        <v>Female sterilization</v>
      </c>
      <c r="F89" s="399" t="str">
        <f t="shared" si="20"/>
        <v>Input Option</v>
      </c>
      <c r="G89" s="400">
        <f t="shared" si="4"/>
        <v>27</v>
      </c>
      <c r="H89" s="399" t="str">
        <f t="shared" si="5"/>
        <v>Procedure-based Birth control method reported at intake</v>
      </c>
      <c r="I89" s="400"/>
      <c r="J89" s="400"/>
      <c r="K89" s="401" t="s">
        <v>3333</v>
      </c>
      <c r="L89" s="402" t="s">
        <v>3517</v>
      </c>
      <c r="M89" s="400"/>
      <c r="N89" s="427" t="s">
        <v>3477</v>
      </c>
      <c r="O89" s="428"/>
      <c r="P89" s="403" t="s">
        <v>3720</v>
      </c>
      <c r="Q89" s="407"/>
      <c r="R89" s="407"/>
      <c r="S89" s="407" t="s">
        <v>3721</v>
      </c>
      <c r="T89" s="407"/>
      <c r="U89" s="407"/>
      <c r="V89" s="432" t="s">
        <v>3722</v>
      </c>
      <c r="W89" s="407"/>
      <c r="X89" s="407" t="s">
        <v>208</v>
      </c>
      <c r="Y89" s="403"/>
      <c r="Z89" s="407" t="s">
        <v>113</v>
      </c>
      <c r="AA89" s="403" t="s">
        <v>3178</v>
      </c>
      <c r="AB89" s="432" t="s">
        <v>3552</v>
      </c>
      <c r="AC89" s="407"/>
      <c r="AD89" s="407"/>
      <c r="AE89" s="408"/>
      <c r="AF89" s="443" t="s">
        <v>3723</v>
      </c>
      <c r="AG89" s="407"/>
      <c r="AH89" s="399"/>
      <c r="AI89" s="400"/>
      <c r="AJ89" s="399"/>
      <c r="AK89" s="399"/>
      <c r="AL89" s="399"/>
      <c r="AM89" s="399"/>
      <c r="AN89" s="399"/>
      <c r="AO89" s="399"/>
      <c r="AP89" s="409"/>
      <c r="AQ89" s="409" t="s">
        <v>3130</v>
      </c>
      <c r="AR89" s="409" t="s">
        <v>3717</v>
      </c>
      <c r="AS89" s="409"/>
      <c r="AT89" s="399"/>
      <c r="AU89" s="399" t="s">
        <v>3719</v>
      </c>
      <c r="AV89" s="399" t="str">
        <f t="shared" si="6"/>
        <v>Same</v>
      </c>
      <c r="AW89" s="399"/>
      <c r="AX89" s="409" t="s">
        <v>3104</v>
      </c>
      <c r="AY89" s="399" t="e">
        <f t="shared" ca="1" si="7"/>
        <v>#NAME?</v>
      </c>
      <c r="AZ89" s="409" t="s">
        <v>3105</v>
      </c>
      <c r="BA89" s="409">
        <v>1</v>
      </c>
      <c r="BB89" s="399"/>
      <c r="BC89" s="399"/>
      <c r="BD89" s="399" t="s">
        <v>1673</v>
      </c>
      <c r="BE89" s="411"/>
      <c r="BF89" s="411"/>
      <c r="BG89" s="434" t="s">
        <v>3724</v>
      </c>
      <c r="BH89" s="411" t="s">
        <v>3725</v>
      </c>
      <c r="BI89" s="411"/>
      <c r="BJ89" s="399"/>
      <c r="BK89" s="399"/>
      <c r="BL89" s="399"/>
      <c r="BM89" s="399"/>
      <c r="BN89" s="399"/>
      <c r="BO89" s="399"/>
      <c r="BP89" s="399"/>
      <c r="BQ89" s="399"/>
      <c r="BR89" s="399"/>
      <c r="BS89" s="407"/>
      <c r="BT89" s="407"/>
      <c r="BU89" s="412"/>
      <c r="BV89" s="46" t="str">
        <f t="shared" si="8"/>
        <v/>
      </c>
      <c r="BW89" s="46">
        <f t="shared" si="9"/>
        <v>0</v>
      </c>
      <c r="BX89" s="46">
        <f t="shared" si="10"/>
        <v>0</v>
      </c>
      <c r="BY89" s="43" t="str">
        <f t="shared" si="11"/>
        <v>WHO-Core Procedure (Intake Contraceptive Method)</v>
      </c>
      <c r="BZ89" s="46">
        <f t="shared" si="12"/>
        <v>1</v>
      </c>
      <c r="CA89" s="46" t="str">
        <f t="shared" si="13"/>
        <v/>
      </c>
      <c r="CB89" s="46">
        <f t="shared" si="14"/>
        <v>1</v>
      </c>
      <c r="CC89" s="46">
        <f t="shared" si="15"/>
        <v>1</v>
      </c>
      <c r="CD89" s="46">
        <f t="shared" si="16"/>
        <v>1</v>
      </c>
      <c r="CE89" s="46">
        <f t="shared" si="17"/>
        <v>0</v>
      </c>
      <c r="CF89" s="46">
        <f t="shared" si="18"/>
        <v>0</v>
      </c>
      <c r="CG89" s="46" t="str">
        <f ca="1">IFERROR(__xludf.DUMMYFUNCTION("if(OR(BH89="""",LEFT(BH89,2)=""LA""),"""",IMPORTXML(CONCATENATE(""https://loinc.org/"",BH89,""/""),""//span[@id='lcn']""))"),"")</f>
        <v/>
      </c>
      <c r="CH89" s="46"/>
      <c r="CI89" s="46"/>
      <c r="CJ89" s="46"/>
      <c r="CK89" s="46"/>
      <c r="CL89" s="46"/>
      <c r="CM89" s="46"/>
      <c r="CN89" s="46"/>
      <c r="CO89" s="46"/>
      <c r="CP89" s="46"/>
      <c r="CQ89" s="46"/>
      <c r="CR89" s="46"/>
      <c r="CS89" s="46"/>
      <c r="CT89" s="46"/>
      <c r="CU89" s="46"/>
    </row>
    <row r="90" spans="1:99" ht="12.75" customHeight="1">
      <c r="A90" s="399">
        <v>1858</v>
      </c>
      <c r="B90" s="399" t="s">
        <v>3726</v>
      </c>
      <c r="C90" s="399">
        <f t="shared" si="0"/>
        <v>1858</v>
      </c>
      <c r="D90" s="399" t="e">
        <f t="shared" ca="1" si="1"/>
        <v>#NAME?</v>
      </c>
      <c r="E90" s="399" t="str">
        <f t="shared" si="2"/>
        <v>Male sterilization</v>
      </c>
      <c r="F90" s="399" t="str">
        <f t="shared" si="20"/>
        <v>Input Option</v>
      </c>
      <c r="G90" s="400">
        <f t="shared" si="4"/>
        <v>25</v>
      </c>
      <c r="H90" s="399" t="str">
        <f t="shared" si="5"/>
        <v>Procedure-based Birth control method reported at intake</v>
      </c>
      <c r="I90" s="400"/>
      <c r="J90" s="400"/>
      <c r="K90" s="401" t="s">
        <v>3333</v>
      </c>
      <c r="L90" s="402" t="s">
        <v>3517</v>
      </c>
      <c r="M90" s="400"/>
      <c r="N90" s="427" t="s">
        <v>3477</v>
      </c>
      <c r="O90" s="428"/>
      <c r="P90" s="403" t="s">
        <v>3727</v>
      </c>
      <c r="Q90" s="407"/>
      <c r="R90" s="407"/>
      <c r="S90" s="407" t="s">
        <v>3728</v>
      </c>
      <c r="T90" s="407"/>
      <c r="U90" s="407"/>
      <c r="V90" s="432" t="s">
        <v>3729</v>
      </c>
      <c r="W90" s="407"/>
      <c r="X90" s="407" t="s">
        <v>208</v>
      </c>
      <c r="Y90" s="403"/>
      <c r="Z90" s="407" t="s">
        <v>113</v>
      </c>
      <c r="AA90" s="403" t="s">
        <v>3178</v>
      </c>
      <c r="AB90" s="432" t="s">
        <v>3730</v>
      </c>
      <c r="AC90" s="407"/>
      <c r="AD90" s="407"/>
      <c r="AE90" s="408"/>
      <c r="AF90" s="442" t="s">
        <v>3731</v>
      </c>
      <c r="AG90" s="407"/>
      <c r="AH90" s="399"/>
      <c r="AI90" s="400"/>
      <c r="AJ90" s="399" t="s">
        <v>1787</v>
      </c>
      <c r="AK90" s="399"/>
      <c r="AL90" s="399" t="s">
        <v>1787</v>
      </c>
      <c r="AM90" s="399"/>
      <c r="AN90" s="399" t="s">
        <v>1787</v>
      </c>
      <c r="AO90" s="399" t="s">
        <v>1787</v>
      </c>
      <c r="AP90" s="409"/>
      <c r="AQ90" s="409" t="s">
        <v>3130</v>
      </c>
      <c r="AR90" s="409" t="s">
        <v>3717</v>
      </c>
      <c r="AS90" s="409"/>
      <c r="AT90" s="399"/>
      <c r="AU90" s="399"/>
      <c r="AV90" s="399" t="str">
        <f t="shared" si="6"/>
        <v/>
      </c>
      <c r="AW90" s="399"/>
      <c r="AX90" s="409" t="s">
        <v>3104</v>
      </c>
      <c r="AY90" s="399" t="e">
        <f t="shared" ca="1" si="7"/>
        <v>#NAME?</v>
      </c>
      <c r="AZ90" s="409" t="s">
        <v>3105</v>
      </c>
      <c r="BA90" s="409">
        <v>1</v>
      </c>
      <c r="BB90" s="399"/>
      <c r="BC90" s="399" t="s">
        <v>1787</v>
      </c>
      <c r="BD90" s="409" t="s">
        <v>3162</v>
      </c>
      <c r="BE90" s="411"/>
      <c r="BF90" s="411" t="s">
        <v>1787</v>
      </c>
      <c r="BG90" s="434" t="s">
        <v>3732</v>
      </c>
      <c r="BH90" s="411" t="s">
        <v>3733</v>
      </c>
      <c r="BI90" s="411"/>
      <c r="BJ90" s="399" t="s">
        <v>1787</v>
      </c>
      <c r="BK90" s="399" t="s">
        <v>1787</v>
      </c>
      <c r="BL90" s="399"/>
      <c r="BM90" s="409" t="s">
        <v>3734</v>
      </c>
      <c r="BN90" s="399" t="s">
        <v>1787</v>
      </c>
      <c r="BO90" s="399" t="s">
        <v>1787</v>
      </c>
      <c r="BP90" s="399" t="s">
        <v>1787</v>
      </c>
      <c r="BQ90" s="399" t="s">
        <v>1787</v>
      </c>
      <c r="BR90" s="399" t="s">
        <v>1787</v>
      </c>
      <c r="BS90" s="407"/>
      <c r="BT90" s="407"/>
      <c r="BU90" s="412"/>
      <c r="BV90" s="46" t="str">
        <f t="shared" si="8"/>
        <v/>
      </c>
      <c r="BW90" s="46">
        <f t="shared" si="9"/>
        <v>0</v>
      </c>
      <c r="BX90" s="46">
        <f t="shared" si="10"/>
        <v>0</v>
      </c>
      <c r="BY90" s="43" t="str">
        <f t="shared" si="11"/>
        <v>WHO-Core Procedure (Intake Contraceptive Method)</v>
      </c>
      <c r="BZ90" s="46">
        <f t="shared" si="12"/>
        <v>1</v>
      </c>
      <c r="CA90" s="46" t="str">
        <f t="shared" si="13"/>
        <v/>
      </c>
      <c r="CB90" s="46">
        <f t="shared" si="14"/>
        <v>1</v>
      </c>
      <c r="CC90" s="46">
        <f t="shared" si="15"/>
        <v>1</v>
      </c>
      <c r="CD90" s="46">
        <f t="shared" si="16"/>
        <v>1</v>
      </c>
      <c r="CE90" s="46">
        <f t="shared" si="17"/>
        <v>0</v>
      </c>
      <c r="CF90" s="46">
        <f t="shared" si="18"/>
        <v>0</v>
      </c>
      <c r="CG90" s="46" t="str">
        <f ca="1">IFERROR(__xludf.DUMMYFUNCTION("if(OR(BH90="""",LEFT(BH90,2)=""LA""),"""",IMPORTXML(CONCATENATE(""https://loinc.org/"",BH90,""/""),""//span[@id='lcn']""))"),"#N/A")</f>
        <v>#N/A</v>
      </c>
      <c r="CH90" s="46"/>
      <c r="CI90" s="46"/>
      <c r="CJ90" s="46"/>
      <c r="CK90" s="46"/>
      <c r="CL90" s="46"/>
      <c r="CM90" s="46"/>
      <c r="CN90" s="46"/>
      <c r="CO90" s="46"/>
      <c r="CP90" s="46"/>
      <c r="CQ90" s="46"/>
      <c r="CR90" s="46"/>
      <c r="CS90" s="46"/>
      <c r="CT90" s="46"/>
      <c r="CU90" s="46"/>
    </row>
    <row r="91" spans="1:99" ht="12.75" customHeight="1">
      <c r="A91" s="399">
        <v>1318</v>
      </c>
      <c r="B91" s="399" t="s">
        <v>3735</v>
      </c>
      <c r="C91" s="399">
        <f t="shared" si="0"/>
        <v>1318</v>
      </c>
      <c r="D91" s="399" t="str">
        <f t="shared" si="1"/>
        <v>Sterilization date</v>
      </c>
      <c r="E91" s="399" t="str">
        <f t="shared" si="2"/>
        <v>Sterilization date</v>
      </c>
      <c r="F91" s="399" t="str">
        <f t="shared" si="20"/>
        <v>Data Element</v>
      </c>
      <c r="G91" s="400">
        <f t="shared" si="4"/>
        <v>18</v>
      </c>
      <c r="H91" s="400" t="str">
        <f t="shared" si="5"/>
        <v/>
      </c>
      <c r="I91" s="400"/>
      <c r="J91" s="400"/>
      <c r="K91" s="401" t="s">
        <v>3333</v>
      </c>
      <c r="L91" s="402" t="s">
        <v>3517</v>
      </c>
      <c r="M91" s="400"/>
      <c r="N91" s="427" t="s">
        <v>3477</v>
      </c>
      <c r="O91" s="428"/>
      <c r="P91" s="403" t="s">
        <v>3736</v>
      </c>
      <c r="Q91" s="403" t="s">
        <v>3735</v>
      </c>
      <c r="R91" s="403"/>
      <c r="S91" s="407" t="s">
        <v>3737</v>
      </c>
      <c r="T91" s="403" t="s">
        <v>3158</v>
      </c>
      <c r="U91" s="407"/>
      <c r="V91" s="403"/>
      <c r="W91" s="407"/>
      <c r="X91" s="405" t="s">
        <v>113</v>
      </c>
      <c r="Y91" s="403" t="s">
        <v>3638</v>
      </c>
      <c r="Z91" s="403" t="s">
        <v>113</v>
      </c>
      <c r="AA91" s="405" t="s">
        <v>3178</v>
      </c>
      <c r="AB91" s="432" t="s">
        <v>3738</v>
      </c>
      <c r="AC91" s="448"/>
      <c r="AD91" s="449"/>
      <c r="AE91" s="429"/>
      <c r="AF91" s="448"/>
      <c r="AG91" s="407"/>
      <c r="AH91" s="399"/>
      <c r="AI91" s="400"/>
      <c r="AJ91" s="399"/>
      <c r="AK91" s="409" t="s">
        <v>3739</v>
      </c>
      <c r="AL91" s="409" t="s">
        <v>3513</v>
      </c>
      <c r="AM91" s="409" t="s">
        <v>3100</v>
      </c>
      <c r="AN91" s="409" t="s">
        <v>3101</v>
      </c>
      <c r="AO91" s="399"/>
      <c r="AP91" s="409" t="s">
        <v>3716</v>
      </c>
      <c r="AQ91" s="409" t="s">
        <v>3424</v>
      </c>
      <c r="AR91" s="399"/>
      <c r="AS91" s="399"/>
      <c r="AT91" s="399"/>
      <c r="AU91" s="399" t="s">
        <v>3735</v>
      </c>
      <c r="AV91" s="399" t="str">
        <f t="shared" si="6"/>
        <v>Same</v>
      </c>
      <c r="AW91" s="399"/>
      <c r="AX91" s="409" t="s">
        <v>3104</v>
      </c>
      <c r="AY91" s="399" t="str">
        <f t="shared" si="7"/>
        <v/>
      </c>
      <c r="AZ91" s="409" t="s">
        <v>3105</v>
      </c>
      <c r="BA91" s="409">
        <v>1</v>
      </c>
      <c r="BB91" s="399"/>
      <c r="BC91" s="399"/>
      <c r="BD91" s="399" t="s">
        <v>3713</v>
      </c>
      <c r="BE91" s="411"/>
      <c r="BF91" s="411"/>
      <c r="BG91" s="411"/>
      <c r="BH91" s="411"/>
      <c r="BI91" s="411"/>
      <c r="BJ91" s="409" t="s">
        <v>3106</v>
      </c>
      <c r="BK91" s="399"/>
      <c r="BL91" s="399"/>
      <c r="BM91" s="399"/>
      <c r="BN91" s="399"/>
      <c r="BO91" s="399"/>
      <c r="BP91" s="399"/>
      <c r="BQ91" s="399"/>
      <c r="BR91" s="399"/>
      <c r="BS91" s="407"/>
      <c r="BT91" s="407"/>
      <c r="BU91" s="412"/>
      <c r="BV91" s="46" t="str">
        <f t="shared" si="8"/>
        <v>Procedure</v>
      </c>
      <c r="BW91" s="46" t="str">
        <f t="shared" si="9"/>
        <v/>
      </c>
      <c r="BX91" s="46" t="str">
        <f t="shared" si="10"/>
        <v>Procedure</v>
      </c>
      <c r="BY91" s="43" t="str">
        <f t="shared" si="11"/>
        <v>WHO-Core Procedure (Intake Contraceptive Method)</v>
      </c>
      <c r="BZ91" s="46">
        <f t="shared" si="12"/>
        <v>1</v>
      </c>
      <c r="CA91" s="46">
        <f t="shared" si="13"/>
        <v>0</v>
      </c>
      <c r="CB91" s="46">
        <f t="shared" si="14"/>
        <v>1</v>
      </c>
      <c r="CC91" s="46">
        <f t="shared" si="15"/>
        <v>1</v>
      </c>
      <c r="CD91" s="46">
        <f t="shared" si="16"/>
        <v>1</v>
      </c>
      <c r="CE91" s="46">
        <f t="shared" si="17"/>
        <v>0</v>
      </c>
      <c r="CF91" s="46">
        <f t="shared" si="18"/>
        <v>0</v>
      </c>
      <c r="CG91" s="46" t="str">
        <f ca="1">IFERROR(__xludf.DUMMYFUNCTION("if(OR(BH91="""",LEFT(BH91,2)=""LA""),"""",IMPORTXML(CONCATENATE(""https://loinc.org/"",BH91,""/""),""//span[@id='lcn']""))"),"")</f>
        <v/>
      </c>
      <c r="CH91" s="46"/>
      <c r="CI91" s="46"/>
      <c r="CJ91" s="46"/>
      <c r="CK91" s="46"/>
      <c r="CL91" s="46"/>
      <c r="CM91" s="46"/>
      <c r="CN91" s="46"/>
      <c r="CO91" s="46"/>
      <c r="CP91" s="46"/>
      <c r="CQ91" s="46"/>
      <c r="CR91" s="46"/>
      <c r="CS91" s="46"/>
      <c r="CT91" s="46"/>
      <c r="CU91" s="46"/>
    </row>
    <row r="92" spans="1:99" ht="12.75" customHeight="1">
      <c r="A92" s="399">
        <v>2350</v>
      </c>
      <c r="B92" s="440" t="s">
        <v>3740</v>
      </c>
      <c r="C92" s="399">
        <f t="shared" si="0"/>
        <v>2350</v>
      </c>
      <c r="D92" s="450" t="str">
        <f t="shared" si="1"/>
        <v>Method at intake</v>
      </c>
      <c r="E92" s="450" t="str">
        <f t="shared" si="2"/>
        <v>Method at intake</v>
      </c>
      <c r="F92" s="403" t="str">
        <f t="shared" si="20"/>
        <v>Data Element</v>
      </c>
      <c r="G92" s="400">
        <f t="shared" si="4"/>
        <v>54</v>
      </c>
      <c r="H92" s="400" t="str">
        <f t="shared" si="5"/>
        <v/>
      </c>
      <c r="I92" s="407"/>
      <c r="J92" s="407"/>
      <c r="K92" s="404" t="s">
        <v>3333</v>
      </c>
      <c r="L92" s="451" t="s">
        <v>3517</v>
      </c>
      <c r="M92" s="407"/>
      <c r="N92" s="427" t="s">
        <v>3477</v>
      </c>
      <c r="O92" s="407"/>
      <c r="P92" s="403" t="s">
        <v>3527</v>
      </c>
      <c r="Q92" s="450" t="s">
        <v>3528</v>
      </c>
      <c r="R92" s="403"/>
      <c r="S92" s="403" t="s">
        <v>3529</v>
      </c>
      <c r="T92" s="403" t="s">
        <v>3339</v>
      </c>
      <c r="U92" s="432" t="s">
        <v>3326</v>
      </c>
      <c r="V92" s="403"/>
      <c r="W92" s="407"/>
      <c r="X92" s="403" t="s">
        <v>208</v>
      </c>
      <c r="Y92" s="403"/>
      <c r="Z92" s="403" t="s">
        <v>113</v>
      </c>
      <c r="AA92" s="403" t="s">
        <v>3098</v>
      </c>
      <c r="AB92" s="432" t="s">
        <v>3530</v>
      </c>
      <c r="AC92" s="407"/>
      <c r="AD92" s="403" t="s">
        <v>3531</v>
      </c>
      <c r="AE92" s="407"/>
      <c r="AF92" s="407" t="s">
        <v>3532</v>
      </c>
      <c r="AG92" s="432" t="s">
        <v>3533</v>
      </c>
      <c r="AH92" s="436"/>
      <c r="AI92" s="407"/>
      <c r="AJ92" s="403"/>
      <c r="AK92" s="440" t="s">
        <v>3741</v>
      </c>
      <c r="AL92" s="409"/>
      <c r="AM92" s="409" t="s">
        <v>3100</v>
      </c>
      <c r="AN92" s="409" t="s">
        <v>3101</v>
      </c>
      <c r="AO92" s="403"/>
      <c r="AP92" s="409" t="s">
        <v>3742</v>
      </c>
      <c r="AQ92" s="409" t="s">
        <v>3424</v>
      </c>
      <c r="AR92" s="409" t="s">
        <v>3743</v>
      </c>
      <c r="AS92" s="409"/>
      <c r="AT92" s="407"/>
      <c r="AU92" s="403" t="s">
        <v>3537</v>
      </c>
      <c r="AV92" s="403" t="str">
        <f t="shared" si="6"/>
        <v>Changed</v>
      </c>
      <c r="AW92" s="403"/>
      <c r="AX92" s="409" t="s">
        <v>3104</v>
      </c>
      <c r="AY92" s="407" t="str">
        <f t="shared" si="7"/>
        <v>"Method at intake"-&gt;"CarePlan-based Birth control method reported at intake"</v>
      </c>
      <c r="AZ92" s="409" t="s">
        <v>3105</v>
      </c>
      <c r="BA92" s="409">
        <v>1</v>
      </c>
      <c r="BB92" s="399"/>
      <c r="BC92" s="403"/>
      <c r="BD92" s="403" t="s">
        <v>3538</v>
      </c>
      <c r="BE92" s="411"/>
      <c r="BF92" s="412"/>
      <c r="BG92" s="411"/>
      <c r="BH92" s="452" t="s">
        <v>3539</v>
      </c>
      <c r="BI92" s="411"/>
      <c r="BJ92" s="403"/>
      <c r="BK92" s="403"/>
      <c r="BL92" s="403"/>
      <c r="BM92" s="403"/>
      <c r="BN92" s="403"/>
      <c r="BO92" s="403"/>
      <c r="BP92" s="403"/>
      <c r="BQ92" s="403"/>
      <c r="BR92" s="403"/>
      <c r="BS92" s="407"/>
      <c r="BT92" s="407"/>
      <c r="BU92" s="412"/>
      <c r="BV92" s="46" t="str">
        <f t="shared" si="8"/>
        <v>CarePlan</v>
      </c>
      <c r="BW92" s="46" t="str">
        <f t="shared" si="9"/>
        <v/>
      </c>
      <c r="BX92" s="46" t="str">
        <f t="shared" si="10"/>
        <v>CarePlan</v>
      </c>
      <c r="BY92" s="43" t="str">
        <f t="shared" si="11"/>
        <v>WHO-Core CarePlan (Intake Contraceptive Method)</v>
      </c>
      <c r="BZ92" s="46">
        <f t="shared" si="12"/>
        <v>1</v>
      </c>
      <c r="CA92" s="46">
        <f t="shared" si="13"/>
        <v>1</v>
      </c>
      <c r="CB92" s="46">
        <f t="shared" si="14"/>
        <v>1</v>
      </c>
      <c r="CC92" s="46">
        <f t="shared" si="15"/>
        <v>1</v>
      </c>
      <c r="CD92" s="46">
        <f t="shared" si="16"/>
        <v>1</v>
      </c>
      <c r="CE92" s="46">
        <f t="shared" si="17"/>
        <v>0</v>
      </c>
      <c r="CF92" s="46">
        <f t="shared" si="18"/>
        <v>0</v>
      </c>
      <c r="CG92" s="46" t="str">
        <f ca="1">IFERROR(__xludf.DUMMYFUNCTION("if(OR(BH92="""",LEFT(BH92,2)=""LA""),"""",IMPORTXML(CONCATENATE(""https://loinc.org/"",BH92,""/""),""//span[@id='lcn']""))"),"Birth control method at intake Reported --at intake")</f>
        <v>Birth control method at intake Reported --at intake</v>
      </c>
      <c r="CH92" s="46"/>
      <c r="CI92" s="46"/>
      <c r="CJ92" s="46"/>
      <c r="CK92" s="46"/>
      <c r="CL92" s="46"/>
      <c r="CM92" s="46"/>
      <c r="CN92" s="46"/>
      <c r="CO92" s="46"/>
      <c r="CP92" s="46"/>
      <c r="CQ92" s="46"/>
      <c r="CR92" s="46"/>
      <c r="CS92" s="46"/>
      <c r="CT92" s="46"/>
      <c r="CU92" s="46"/>
    </row>
    <row r="93" spans="1:99" ht="12.75" customHeight="1">
      <c r="A93" s="399">
        <v>2351</v>
      </c>
      <c r="B93" s="440" t="s">
        <v>3744</v>
      </c>
      <c r="C93" s="399">
        <f t="shared" si="0"/>
        <v>2351</v>
      </c>
      <c r="D93" s="450" t="e">
        <f t="shared" ca="1" si="1"/>
        <v>#NAME?</v>
      </c>
      <c r="E93" s="450" t="str">
        <f t="shared" si="2"/>
        <v>No method</v>
      </c>
      <c r="F93" s="403" t="str">
        <f t="shared" si="20"/>
        <v>Input Option</v>
      </c>
      <c r="G93" s="400">
        <f t="shared" si="4"/>
        <v>31</v>
      </c>
      <c r="H93" s="399" t="str">
        <f t="shared" si="5"/>
        <v>CarePlan-based Birth control method reported at intake</v>
      </c>
      <c r="I93" s="421"/>
      <c r="J93" s="407"/>
      <c r="K93" s="404" t="s">
        <v>3333</v>
      </c>
      <c r="L93" s="451" t="s">
        <v>3517</v>
      </c>
      <c r="M93" s="407"/>
      <c r="N93" s="427" t="s">
        <v>3477</v>
      </c>
      <c r="O93" s="407"/>
      <c r="P93" s="403" t="s">
        <v>3541</v>
      </c>
      <c r="Q93" s="403"/>
      <c r="R93" s="407"/>
      <c r="S93" s="443" t="s">
        <v>3542</v>
      </c>
      <c r="T93" s="407"/>
      <c r="U93" s="407"/>
      <c r="V93" s="407" t="s">
        <v>3543</v>
      </c>
      <c r="W93" s="407"/>
      <c r="X93" s="407" t="s">
        <v>113</v>
      </c>
      <c r="Y93" s="403" t="s">
        <v>3544</v>
      </c>
      <c r="Z93" s="407" t="s">
        <v>113</v>
      </c>
      <c r="AA93" s="403" t="s">
        <v>3178</v>
      </c>
      <c r="AB93" s="407"/>
      <c r="AC93" s="407"/>
      <c r="AD93" s="403"/>
      <c r="AE93" s="407"/>
      <c r="AF93" s="407" t="s">
        <v>3545</v>
      </c>
      <c r="AG93" s="407"/>
      <c r="AH93" s="403"/>
      <c r="AI93" s="407"/>
      <c r="AJ93" s="403"/>
      <c r="AK93" s="399"/>
      <c r="AL93" s="403"/>
      <c r="AM93" s="403"/>
      <c r="AN93" s="403"/>
      <c r="AO93" s="403"/>
      <c r="AP93" s="409"/>
      <c r="AQ93" s="409" t="s">
        <v>3130</v>
      </c>
      <c r="AR93" s="409" t="s">
        <v>3743</v>
      </c>
      <c r="AS93" s="409"/>
      <c r="AT93" s="407"/>
      <c r="AU93" s="403" t="s">
        <v>3546</v>
      </c>
      <c r="AV93" s="403" t="str">
        <f t="shared" si="6"/>
        <v>Changed</v>
      </c>
      <c r="AW93" s="403"/>
      <c r="AX93" s="409" t="s">
        <v>3104</v>
      </c>
      <c r="AY93" s="407" t="e">
        <f t="shared" ca="1" si="7"/>
        <v>#NAME?</v>
      </c>
      <c r="AZ93" s="409" t="s">
        <v>3105</v>
      </c>
      <c r="BA93" s="409">
        <v>1</v>
      </c>
      <c r="BB93" s="399"/>
      <c r="BC93" s="403"/>
      <c r="BD93" s="403" t="s">
        <v>1673</v>
      </c>
      <c r="BE93" s="411"/>
      <c r="BF93" s="412"/>
      <c r="BG93" s="452" t="s">
        <v>3349</v>
      </c>
      <c r="BH93" s="411"/>
      <c r="BI93" s="411"/>
      <c r="BJ93" s="403"/>
      <c r="BK93" s="403"/>
      <c r="BL93" s="403"/>
      <c r="BM93" s="403"/>
      <c r="BN93" s="403"/>
      <c r="BO93" s="403"/>
      <c r="BP93" s="403"/>
      <c r="BQ93" s="403"/>
      <c r="BR93" s="403"/>
      <c r="BS93" s="407"/>
      <c r="BT93" s="407"/>
      <c r="BU93" s="412"/>
      <c r="BV93" s="46" t="str">
        <f t="shared" si="8"/>
        <v/>
      </c>
      <c r="BW93" s="46">
        <f t="shared" si="9"/>
        <v>0</v>
      </c>
      <c r="BX93" s="46">
        <f t="shared" si="10"/>
        <v>0</v>
      </c>
      <c r="BY93" s="43" t="str">
        <f t="shared" si="11"/>
        <v>WHO-Core CarePlan (Intake Contraceptive Method)</v>
      </c>
      <c r="BZ93" s="46">
        <f t="shared" si="12"/>
        <v>1</v>
      </c>
      <c r="CA93" s="46" t="str">
        <f t="shared" si="13"/>
        <v/>
      </c>
      <c r="CB93" s="46">
        <f t="shared" si="14"/>
        <v>1</v>
      </c>
      <c r="CC93" s="46">
        <f t="shared" si="15"/>
        <v>1</v>
      </c>
      <c r="CD93" s="46">
        <f t="shared" si="16"/>
        <v>1</v>
      </c>
      <c r="CE93" s="46">
        <f t="shared" si="17"/>
        <v>0</v>
      </c>
      <c r="CF93" s="46">
        <f t="shared" si="18"/>
        <v>0</v>
      </c>
      <c r="CG93" s="46" t="str">
        <f ca="1">IFERROR(__xludf.DUMMYFUNCTION("if(OR(BH93="""",LEFT(BH93,2)=""LA""),"""",IMPORTXML(CONCATENATE(""https://loinc.org/"",BH93,""/""),""//span[@id='lcn']""))"),"")</f>
        <v/>
      </c>
      <c r="CH93" s="46"/>
      <c r="CI93" s="46"/>
      <c r="CJ93" s="46"/>
      <c r="CK93" s="46"/>
      <c r="CL93" s="46"/>
      <c r="CM93" s="46"/>
      <c r="CN93" s="46"/>
      <c r="CO93" s="46"/>
      <c r="CP93" s="46"/>
      <c r="CQ93" s="46"/>
      <c r="CR93" s="46"/>
      <c r="CS93" s="46"/>
      <c r="CT93" s="46"/>
      <c r="CU93" s="46"/>
    </row>
    <row r="94" spans="1:99" ht="12.75" customHeight="1">
      <c r="A94" s="399">
        <v>1309</v>
      </c>
      <c r="B94" s="399" t="s">
        <v>3745</v>
      </c>
      <c r="C94" s="399">
        <f t="shared" si="0"/>
        <v>1309</v>
      </c>
      <c r="D94" s="399" t="e">
        <f t="shared" ca="1" si="1"/>
        <v>#NAME?</v>
      </c>
      <c r="E94" s="399" t="str">
        <f t="shared" si="2"/>
        <v>Withdrawal</v>
      </c>
      <c r="F94" s="399" t="str">
        <f t="shared" si="20"/>
        <v>Input Option</v>
      </c>
      <c r="G94" s="400">
        <f t="shared" si="4"/>
        <v>17</v>
      </c>
      <c r="H94" s="399" t="str">
        <f t="shared" si="5"/>
        <v>CarePlan-based Birth control method reported at intake</v>
      </c>
      <c r="I94" s="400"/>
      <c r="J94" s="400"/>
      <c r="K94" s="401" t="s">
        <v>3333</v>
      </c>
      <c r="L94" s="402" t="s">
        <v>3517</v>
      </c>
      <c r="M94" s="400"/>
      <c r="N94" s="427" t="s">
        <v>3477</v>
      </c>
      <c r="O94" s="428"/>
      <c r="P94" s="403" t="s">
        <v>3746</v>
      </c>
      <c r="Q94" s="407"/>
      <c r="R94" s="407"/>
      <c r="S94" s="443" t="s">
        <v>3747</v>
      </c>
      <c r="T94" s="421"/>
      <c r="U94" s="407"/>
      <c r="V94" s="407" t="s">
        <v>3748</v>
      </c>
      <c r="W94" s="407"/>
      <c r="X94" s="407" t="s">
        <v>208</v>
      </c>
      <c r="Y94" s="403"/>
      <c r="Z94" s="407" t="s">
        <v>113</v>
      </c>
      <c r="AA94" s="403" t="s">
        <v>3178</v>
      </c>
      <c r="AB94" s="408"/>
      <c r="AC94" s="407"/>
      <c r="AD94" s="407"/>
      <c r="AE94" s="408"/>
      <c r="AF94" s="407"/>
      <c r="AG94" s="407"/>
      <c r="AH94" s="399"/>
      <c r="AI94" s="400"/>
      <c r="AJ94" s="399"/>
      <c r="AK94" s="399"/>
      <c r="AL94" s="399"/>
      <c r="AM94" s="399"/>
      <c r="AN94" s="399"/>
      <c r="AO94" s="399"/>
      <c r="AP94" s="409"/>
      <c r="AQ94" s="409" t="s">
        <v>3130</v>
      </c>
      <c r="AR94" s="409" t="s">
        <v>3743</v>
      </c>
      <c r="AS94" s="409"/>
      <c r="AT94" s="399"/>
      <c r="AU94" s="399" t="s">
        <v>3745</v>
      </c>
      <c r="AV94" s="399" t="str">
        <f t="shared" si="6"/>
        <v>Same</v>
      </c>
      <c r="AW94" s="399"/>
      <c r="AX94" s="409" t="s">
        <v>3104</v>
      </c>
      <c r="AY94" s="399" t="e">
        <f t="shared" ca="1" si="7"/>
        <v>#NAME?</v>
      </c>
      <c r="AZ94" s="409" t="s">
        <v>3105</v>
      </c>
      <c r="BA94" s="409">
        <v>1</v>
      </c>
      <c r="BB94" s="399"/>
      <c r="BC94" s="399"/>
      <c r="BD94" s="399" t="s">
        <v>1673</v>
      </c>
      <c r="BE94" s="411"/>
      <c r="BF94" s="411"/>
      <c r="BG94" s="411" t="s">
        <v>3749</v>
      </c>
      <c r="BH94" s="411" t="s">
        <v>3750</v>
      </c>
      <c r="BI94" s="411"/>
      <c r="BJ94" s="399"/>
      <c r="BK94" s="399"/>
      <c r="BL94" s="399"/>
      <c r="BM94" s="399"/>
      <c r="BN94" s="399"/>
      <c r="BO94" s="399"/>
      <c r="BP94" s="399"/>
      <c r="BQ94" s="399"/>
      <c r="BR94" s="399"/>
      <c r="BS94" s="407"/>
      <c r="BT94" s="407"/>
      <c r="BU94" s="412"/>
      <c r="BV94" s="46" t="str">
        <f t="shared" si="8"/>
        <v/>
      </c>
      <c r="BW94" s="46">
        <f t="shared" si="9"/>
        <v>0</v>
      </c>
      <c r="BX94" s="46">
        <f t="shared" si="10"/>
        <v>0</v>
      </c>
      <c r="BY94" s="43" t="str">
        <f t="shared" si="11"/>
        <v>WHO-Core CarePlan (Intake Contraceptive Method)</v>
      </c>
      <c r="BZ94" s="46">
        <f t="shared" si="12"/>
        <v>1</v>
      </c>
      <c r="CA94" s="46" t="str">
        <f t="shared" si="13"/>
        <v/>
      </c>
      <c r="CB94" s="46">
        <f t="shared" si="14"/>
        <v>1</v>
      </c>
      <c r="CC94" s="46">
        <f t="shared" si="15"/>
        <v>1</v>
      </c>
      <c r="CD94" s="46">
        <f t="shared" si="16"/>
        <v>1</v>
      </c>
      <c r="CE94" s="46">
        <f t="shared" si="17"/>
        <v>0</v>
      </c>
      <c r="CF94" s="46">
        <f t="shared" si="18"/>
        <v>0</v>
      </c>
      <c r="CG94" s="46" t="str">
        <f ca="1">IFERROR(__xludf.DUMMYFUNCTION("if(OR(BH94="""",LEFT(BH94,2)=""LA""),"""",IMPORTXML(CONCATENATE(""https://loinc.org/"",BH94,""/""),""//span[@id='lcn']""))"),"")</f>
        <v/>
      </c>
      <c r="CH94" s="46"/>
      <c r="CI94" s="46"/>
      <c r="CJ94" s="46"/>
      <c r="CK94" s="46"/>
      <c r="CL94" s="46"/>
      <c r="CM94" s="46"/>
      <c r="CN94" s="46"/>
      <c r="CO94" s="46"/>
      <c r="CP94" s="46"/>
      <c r="CQ94" s="46"/>
      <c r="CR94" s="46"/>
      <c r="CS94" s="46"/>
      <c r="CT94" s="46"/>
      <c r="CU94" s="46"/>
    </row>
    <row r="95" spans="1:99" ht="12.75" customHeight="1">
      <c r="A95" s="399">
        <v>1312</v>
      </c>
      <c r="B95" s="399" t="s">
        <v>3751</v>
      </c>
      <c r="C95" s="399">
        <f t="shared" si="0"/>
        <v>1312</v>
      </c>
      <c r="D95" s="399" t="e">
        <f t="shared" ca="1" si="1"/>
        <v>#NAME?</v>
      </c>
      <c r="E95" s="399" t="str">
        <f t="shared" si="2"/>
        <v>Fertility awareness-based methods (FAB)</v>
      </c>
      <c r="F95" s="399" t="str">
        <f t="shared" si="20"/>
        <v>Input Option</v>
      </c>
      <c r="G95" s="400">
        <f t="shared" si="4"/>
        <v>46</v>
      </c>
      <c r="H95" s="399" t="str">
        <f t="shared" si="5"/>
        <v>CarePlan-based Birth control method reported at intake</v>
      </c>
      <c r="I95" s="400"/>
      <c r="J95" s="400"/>
      <c r="K95" s="401" t="s">
        <v>3333</v>
      </c>
      <c r="L95" s="402" t="s">
        <v>3517</v>
      </c>
      <c r="M95" s="400"/>
      <c r="N95" s="427" t="s">
        <v>3477</v>
      </c>
      <c r="O95" s="428"/>
      <c r="P95" s="403" t="s">
        <v>3752</v>
      </c>
      <c r="Q95" s="407"/>
      <c r="R95" s="407"/>
      <c r="S95" s="443" t="s">
        <v>3753</v>
      </c>
      <c r="T95" s="421"/>
      <c r="U95" s="407"/>
      <c r="V95" s="432" t="s">
        <v>3754</v>
      </c>
      <c r="W95" s="407"/>
      <c r="X95" s="407" t="s">
        <v>208</v>
      </c>
      <c r="Y95" s="403"/>
      <c r="Z95" s="407" t="s">
        <v>113</v>
      </c>
      <c r="AA95" s="403" t="s">
        <v>3178</v>
      </c>
      <c r="AB95" s="432" t="s">
        <v>3552</v>
      </c>
      <c r="AC95" s="407"/>
      <c r="AD95" s="407"/>
      <c r="AE95" s="408"/>
      <c r="AF95" s="407"/>
      <c r="AG95" s="407"/>
      <c r="AH95" s="399"/>
      <c r="AI95" s="400"/>
      <c r="AJ95" s="399"/>
      <c r="AK95" s="399"/>
      <c r="AL95" s="399"/>
      <c r="AM95" s="399"/>
      <c r="AN95" s="399"/>
      <c r="AO95" s="399"/>
      <c r="AP95" s="409"/>
      <c r="AQ95" s="409" t="s">
        <v>3130</v>
      </c>
      <c r="AR95" s="409" t="s">
        <v>3743</v>
      </c>
      <c r="AS95" s="409"/>
      <c r="AT95" s="399"/>
      <c r="AU95" s="399" t="s">
        <v>3755</v>
      </c>
      <c r="AV95" s="399" t="str">
        <f t="shared" si="6"/>
        <v>Changed</v>
      </c>
      <c r="AW95" s="399"/>
      <c r="AX95" s="409" t="s">
        <v>3104</v>
      </c>
      <c r="AY95" s="399" t="e">
        <f t="shared" ca="1" si="7"/>
        <v>#NAME?</v>
      </c>
      <c r="AZ95" s="409" t="s">
        <v>3105</v>
      </c>
      <c r="BA95" s="409">
        <v>1</v>
      </c>
      <c r="BB95" s="399"/>
      <c r="BC95" s="399"/>
      <c r="BD95" s="399" t="s">
        <v>1673</v>
      </c>
      <c r="BE95" s="411"/>
      <c r="BF95" s="411"/>
      <c r="BG95" s="411" t="s">
        <v>3756</v>
      </c>
      <c r="BH95" s="411" t="s">
        <v>3757</v>
      </c>
      <c r="BI95" s="411"/>
      <c r="BJ95" s="399"/>
      <c r="BK95" s="399"/>
      <c r="BL95" s="399"/>
      <c r="BM95" s="399"/>
      <c r="BN95" s="399"/>
      <c r="BO95" s="399"/>
      <c r="BP95" s="399"/>
      <c r="BQ95" s="399"/>
      <c r="BR95" s="399"/>
      <c r="BS95" s="407"/>
      <c r="BT95" s="407"/>
      <c r="BU95" s="412"/>
      <c r="BV95" s="46" t="str">
        <f t="shared" si="8"/>
        <v/>
      </c>
      <c r="BW95" s="46">
        <f t="shared" si="9"/>
        <v>0</v>
      </c>
      <c r="BX95" s="46">
        <f t="shared" si="10"/>
        <v>0</v>
      </c>
      <c r="BY95" s="43" t="str">
        <f t="shared" si="11"/>
        <v>WHO-Core CarePlan (Intake Contraceptive Method)</v>
      </c>
      <c r="BZ95" s="46">
        <f t="shared" si="12"/>
        <v>1</v>
      </c>
      <c r="CA95" s="46" t="str">
        <f t="shared" si="13"/>
        <v/>
      </c>
      <c r="CB95" s="46">
        <f t="shared" si="14"/>
        <v>1</v>
      </c>
      <c r="CC95" s="46">
        <f t="shared" si="15"/>
        <v>1</v>
      </c>
      <c r="CD95" s="46">
        <f t="shared" si="16"/>
        <v>1</v>
      </c>
      <c r="CE95" s="46">
        <f t="shared" si="17"/>
        <v>0</v>
      </c>
      <c r="CF95" s="46">
        <f t="shared" si="18"/>
        <v>0</v>
      </c>
      <c r="CG95" s="46" t="str">
        <f ca="1">IFERROR(__xludf.DUMMYFUNCTION("if(OR(BH95="""",LEFT(BH95,2)=""LA""),"""",IMPORTXML(CONCATENATE(""https://loinc.org/"",BH95,""/""),""//span[@id='lcn']""))"),"")</f>
        <v/>
      </c>
      <c r="CH95" s="46"/>
      <c r="CI95" s="46"/>
      <c r="CJ95" s="46"/>
      <c r="CK95" s="46"/>
      <c r="CL95" s="46"/>
      <c r="CM95" s="46"/>
      <c r="CN95" s="46"/>
      <c r="CO95" s="46"/>
      <c r="CP95" s="46"/>
      <c r="CQ95" s="46"/>
      <c r="CR95" s="46"/>
      <c r="CS95" s="46"/>
      <c r="CT95" s="46"/>
      <c r="CU95" s="46"/>
    </row>
    <row r="96" spans="1:99" ht="12.75" customHeight="1">
      <c r="A96" s="399">
        <v>1313</v>
      </c>
      <c r="B96" s="399" t="s">
        <v>3758</v>
      </c>
      <c r="C96" s="399">
        <f t="shared" si="0"/>
        <v>1313</v>
      </c>
      <c r="D96" s="399" t="e">
        <f t="shared" ca="1" si="1"/>
        <v>#NAME?</v>
      </c>
      <c r="E96" s="399" t="str">
        <f t="shared" si="2"/>
        <v>Lactational amenorrhea method (LAM)</v>
      </c>
      <c r="F96" s="399" t="str">
        <f t="shared" si="20"/>
        <v>Input Option</v>
      </c>
      <c r="G96" s="400">
        <f t="shared" si="4"/>
        <v>42</v>
      </c>
      <c r="H96" s="399" t="str">
        <f t="shared" si="5"/>
        <v>CarePlan-based Birth control method reported at intake</v>
      </c>
      <c r="I96" s="400"/>
      <c r="J96" s="400"/>
      <c r="K96" s="401" t="s">
        <v>3333</v>
      </c>
      <c r="L96" s="402" t="s">
        <v>3517</v>
      </c>
      <c r="M96" s="400"/>
      <c r="N96" s="427" t="s">
        <v>3477</v>
      </c>
      <c r="O96" s="428"/>
      <c r="P96" s="403" t="s">
        <v>3759</v>
      </c>
      <c r="Q96" s="403"/>
      <c r="R96" s="407"/>
      <c r="S96" s="443" t="s">
        <v>3760</v>
      </c>
      <c r="T96" s="421"/>
      <c r="U96" s="407"/>
      <c r="V96" s="432" t="s">
        <v>3761</v>
      </c>
      <c r="W96" s="407"/>
      <c r="X96" s="407" t="s">
        <v>208</v>
      </c>
      <c r="Y96" s="403"/>
      <c r="Z96" s="407" t="s">
        <v>113</v>
      </c>
      <c r="AA96" s="403" t="s">
        <v>3178</v>
      </c>
      <c r="AB96" s="432" t="s">
        <v>3552</v>
      </c>
      <c r="AC96" s="407"/>
      <c r="AD96" s="407"/>
      <c r="AE96" s="408"/>
      <c r="AF96" s="407"/>
      <c r="AG96" s="407"/>
      <c r="AH96" s="399"/>
      <c r="AI96" s="400"/>
      <c r="AJ96" s="399"/>
      <c r="AK96" s="399"/>
      <c r="AL96" s="399"/>
      <c r="AM96" s="399"/>
      <c r="AN96" s="399"/>
      <c r="AO96" s="399"/>
      <c r="AP96" s="409"/>
      <c r="AQ96" s="409" t="s">
        <v>3130</v>
      </c>
      <c r="AR96" s="409" t="s">
        <v>3743</v>
      </c>
      <c r="AS96" s="409"/>
      <c r="AT96" s="399"/>
      <c r="AU96" s="399" t="s">
        <v>3762</v>
      </c>
      <c r="AV96" s="399" t="str">
        <f t="shared" si="6"/>
        <v>Changed</v>
      </c>
      <c r="AW96" s="399"/>
      <c r="AX96" s="409" t="s">
        <v>3104</v>
      </c>
      <c r="AY96" s="399" t="e">
        <f t="shared" ca="1" si="7"/>
        <v>#NAME?</v>
      </c>
      <c r="AZ96" s="409" t="s">
        <v>3105</v>
      </c>
      <c r="BA96" s="409">
        <v>1</v>
      </c>
      <c r="BB96" s="399"/>
      <c r="BC96" s="399"/>
      <c r="BD96" s="399" t="s">
        <v>1673</v>
      </c>
      <c r="BE96" s="411"/>
      <c r="BF96" s="411"/>
      <c r="BG96" s="411" t="s">
        <v>3763</v>
      </c>
      <c r="BH96" s="411" t="s">
        <v>3764</v>
      </c>
      <c r="BI96" s="411"/>
      <c r="BJ96" s="399"/>
      <c r="BK96" s="399"/>
      <c r="BL96" s="399"/>
      <c r="BM96" s="399"/>
      <c r="BN96" s="399"/>
      <c r="BO96" s="399"/>
      <c r="BP96" s="399"/>
      <c r="BQ96" s="399"/>
      <c r="BR96" s="399"/>
      <c r="BS96" s="407"/>
      <c r="BT96" s="407"/>
      <c r="BU96" s="412"/>
      <c r="BV96" s="46" t="str">
        <f t="shared" si="8"/>
        <v/>
      </c>
      <c r="BW96" s="46">
        <f t="shared" si="9"/>
        <v>0</v>
      </c>
      <c r="BX96" s="46">
        <f t="shared" si="10"/>
        <v>0</v>
      </c>
      <c r="BY96" s="43" t="str">
        <f t="shared" si="11"/>
        <v>WHO-Core CarePlan (Intake Contraceptive Method)</v>
      </c>
      <c r="BZ96" s="46">
        <f t="shared" si="12"/>
        <v>1</v>
      </c>
      <c r="CA96" s="46" t="str">
        <f t="shared" si="13"/>
        <v/>
      </c>
      <c r="CB96" s="46">
        <f t="shared" si="14"/>
        <v>1</v>
      </c>
      <c r="CC96" s="46">
        <f t="shared" si="15"/>
        <v>1</v>
      </c>
      <c r="CD96" s="46">
        <f t="shared" si="16"/>
        <v>1</v>
      </c>
      <c r="CE96" s="46">
        <f t="shared" si="17"/>
        <v>0</v>
      </c>
      <c r="CF96" s="46">
        <f t="shared" si="18"/>
        <v>0</v>
      </c>
      <c r="CG96" s="46" t="str">
        <f ca="1">IFERROR(__xludf.DUMMYFUNCTION("if(OR(BH96="""",LEFT(BH96,2)=""LA""),"""",IMPORTXML(CONCATENATE(""https://loinc.org/"",BH96,""/""),""//span[@id='lcn']""))"),"")</f>
        <v/>
      </c>
      <c r="CH96" s="46"/>
      <c r="CI96" s="46"/>
      <c r="CJ96" s="46"/>
      <c r="CK96" s="46"/>
      <c r="CL96" s="46"/>
      <c r="CM96" s="46"/>
      <c r="CN96" s="46"/>
      <c r="CO96" s="46"/>
      <c r="CP96" s="46"/>
      <c r="CQ96" s="46"/>
      <c r="CR96" s="46"/>
      <c r="CS96" s="46"/>
      <c r="CT96" s="46"/>
      <c r="CU96" s="46"/>
    </row>
    <row r="97" spans="1:99" ht="12.75" customHeight="1">
      <c r="A97" s="399">
        <v>1314</v>
      </c>
      <c r="B97" s="399" t="s">
        <v>3765</v>
      </c>
      <c r="C97" s="399">
        <f t="shared" si="0"/>
        <v>1314</v>
      </c>
      <c r="D97" s="399" t="e">
        <f t="shared" ca="1" si="1"/>
        <v>#NAME?</v>
      </c>
      <c r="E97" s="399" t="str">
        <f t="shared" si="2"/>
        <v>Male relying on female method</v>
      </c>
      <c r="F97" s="399" t="str">
        <f t="shared" si="20"/>
        <v>Input Option</v>
      </c>
      <c r="G97" s="400">
        <f t="shared" si="4"/>
        <v>36</v>
      </c>
      <c r="H97" s="399" t="str">
        <f t="shared" si="5"/>
        <v>CarePlan-based Birth control method reported at intake</v>
      </c>
      <c r="I97" s="400"/>
      <c r="J97" s="400"/>
      <c r="K97" s="401" t="s">
        <v>3333</v>
      </c>
      <c r="L97" s="402" t="s">
        <v>3517</v>
      </c>
      <c r="M97" s="400"/>
      <c r="N97" s="427" t="s">
        <v>3477</v>
      </c>
      <c r="O97" s="428"/>
      <c r="P97" s="403" t="s">
        <v>3766</v>
      </c>
      <c r="Q97" s="403"/>
      <c r="R97" s="407"/>
      <c r="S97" s="443" t="s">
        <v>3767</v>
      </c>
      <c r="T97" s="407"/>
      <c r="U97" s="407"/>
      <c r="V97" s="432" t="s">
        <v>3768</v>
      </c>
      <c r="W97" s="407"/>
      <c r="X97" s="407" t="s">
        <v>208</v>
      </c>
      <c r="Y97" s="403"/>
      <c r="Z97" s="407" t="s">
        <v>113</v>
      </c>
      <c r="AA97" s="403" t="s">
        <v>3178</v>
      </c>
      <c r="AB97" s="432" t="s">
        <v>3769</v>
      </c>
      <c r="AC97" s="407"/>
      <c r="AD97" s="407"/>
      <c r="AE97" s="408"/>
      <c r="AF97" s="407"/>
      <c r="AG97" s="407"/>
      <c r="AH97" s="399"/>
      <c r="AI97" s="400"/>
      <c r="AJ97" s="399"/>
      <c r="AK97" s="399"/>
      <c r="AL97" s="399"/>
      <c r="AM97" s="399"/>
      <c r="AN97" s="399"/>
      <c r="AO97" s="399"/>
      <c r="AP97" s="409"/>
      <c r="AQ97" s="409" t="s">
        <v>3130</v>
      </c>
      <c r="AR97" s="409" t="s">
        <v>3743</v>
      </c>
      <c r="AS97" s="409"/>
      <c r="AT97" s="399"/>
      <c r="AU97" s="399" t="s">
        <v>3765</v>
      </c>
      <c r="AV97" s="399" t="str">
        <f t="shared" si="6"/>
        <v>Same</v>
      </c>
      <c r="AW97" s="399"/>
      <c r="AX97" s="409" t="s">
        <v>3104</v>
      </c>
      <c r="AY97" s="399" t="e">
        <f t="shared" ca="1" si="7"/>
        <v>#NAME?</v>
      </c>
      <c r="AZ97" s="409" t="s">
        <v>3105</v>
      </c>
      <c r="BA97" s="409">
        <v>1</v>
      </c>
      <c r="BB97" s="399"/>
      <c r="BC97" s="399"/>
      <c r="BD97" s="399" t="s">
        <v>1673</v>
      </c>
      <c r="BE97" s="411"/>
      <c r="BF97" s="411"/>
      <c r="BG97" s="411" t="s">
        <v>3770</v>
      </c>
      <c r="BH97" s="411" t="s">
        <v>3771</v>
      </c>
      <c r="BI97" s="411"/>
      <c r="BJ97" s="399"/>
      <c r="BK97" s="399"/>
      <c r="BL97" s="399"/>
      <c r="BM97" s="399"/>
      <c r="BN97" s="399"/>
      <c r="BO97" s="399"/>
      <c r="BP97" s="399"/>
      <c r="BQ97" s="399"/>
      <c r="BR97" s="399"/>
      <c r="BS97" s="407"/>
      <c r="BT97" s="407"/>
      <c r="BU97" s="412"/>
      <c r="BV97" s="46" t="str">
        <f t="shared" si="8"/>
        <v/>
      </c>
      <c r="BW97" s="46">
        <f t="shared" si="9"/>
        <v>0</v>
      </c>
      <c r="BX97" s="46">
        <f t="shared" si="10"/>
        <v>0</v>
      </c>
      <c r="BY97" s="43" t="str">
        <f t="shared" si="11"/>
        <v>WHO-Core CarePlan (Intake Contraceptive Method)</v>
      </c>
      <c r="BZ97" s="46">
        <f t="shared" si="12"/>
        <v>1</v>
      </c>
      <c r="CA97" s="46" t="str">
        <f t="shared" si="13"/>
        <v/>
      </c>
      <c r="CB97" s="46">
        <f t="shared" si="14"/>
        <v>1</v>
      </c>
      <c r="CC97" s="46">
        <f t="shared" si="15"/>
        <v>1</v>
      </c>
      <c r="CD97" s="46">
        <f t="shared" si="16"/>
        <v>1</v>
      </c>
      <c r="CE97" s="46">
        <f t="shared" si="17"/>
        <v>0</v>
      </c>
      <c r="CF97" s="46">
        <f t="shared" si="18"/>
        <v>0</v>
      </c>
      <c r="CG97" s="46" t="str">
        <f ca="1">IFERROR(__xludf.DUMMYFUNCTION("if(OR(BH97="""",LEFT(BH97,2)=""LA""),"""",IMPORTXML(CONCATENATE(""https://loinc.org/"",BH97,""/""),""//span[@id='lcn']""))"),"")</f>
        <v/>
      </c>
      <c r="CH97" s="46"/>
      <c r="CI97" s="46"/>
      <c r="CJ97" s="46"/>
      <c r="CK97" s="46"/>
      <c r="CL97" s="46"/>
      <c r="CM97" s="46"/>
      <c r="CN97" s="46"/>
      <c r="CO97" s="46"/>
      <c r="CP97" s="46"/>
      <c r="CQ97" s="46"/>
      <c r="CR97" s="46"/>
      <c r="CS97" s="46"/>
      <c r="CT97" s="46"/>
      <c r="CU97" s="46"/>
    </row>
    <row r="98" spans="1:99" ht="12.75" customHeight="1">
      <c r="A98" s="399">
        <v>1319</v>
      </c>
      <c r="B98" s="399" t="s">
        <v>3772</v>
      </c>
      <c r="C98" s="399">
        <f t="shared" si="0"/>
        <v>1319</v>
      </c>
      <c r="D98" s="399" t="str">
        <f t="shared" si="1"/>
        <v>Reason for no contraceptive method - Reported at intake</v>
      </c>
      <c r="E98" s="399" t="str">
        <f t="shared" si="2"/>
        <v>Reason for no contraceptive method - Reported at intake</v>
      </c>
      <c r="F98" s="399" t="str">
        <f t="shared" si="20"/>
        <v>Data Element</v>
      </c>
      <c r="G98" s="400">
        <f t="shared" si="4"/>
        <v>55</v>
      </c>
      <c r="H98" s="400" t="str">
        <f t="shared" si="5"/>
        <v/>
      </c>
      <c r="I98" s="400"/>
      <c r="J98" s="400"/>
      <c r="K98" s="401" t="s">
        <v>3333</v>
      </c>
      <c r="L98" s="402" t="s">
        <v>3517</v>
      </c>
      <c r="M98" s="400"/>
      <c r="N98" s="427" t="s">
        <v>3477</v>
      </c>
      <c r="O98" s="428"/>
      <c r="P98" s="403" t="s">
        <v>3773</v>
      </c>
      <c r="Q98" s="432" t="s">
        <v>3772</v>
      </c>
      <c r="R98" s="403"/>
      <c r="S98" s="407" t="s">
        <v>3774</v>
      </c>
      <c r="T98" s="403" t="s">
        <v>3339</v>
      </c>
      <c r="U98" s="432" t="s">
        <v>3326</v>
      </c>
      <c r="V98" s="403"/>
      <c r="W98" s="407"/>
      <c r="X98" s="407" t="s">
        <v>208</v>
      </c>
      <c r="Y98" s="403"/>
      <c r="Z98" s="403" t="s">
        <v>113</v>
      </c>
      <c r="AA98" s="405" t="s">
        <v>1889</v>
      </c>
      <c r="AB98" s="432" t="s">
        <v>3775</v>
      </c>
      <c r="AC98" s="448"/>
      <c r="AD98" s="449"/>
      <c r="AE98" s="419"/>
      <c r="AF98" s="431"/>
      <c r="AG98" s="407"/>
      <c r="AH98" s="399"/>
      <c r="AI98" s="400"/>
      <c r="AJ98" s="399"/>
      <c r="AK98" s="409" t="s">
        <v>3410</v>
      </c>
      <c r="AL98" s="409" t="s">
        <v>3181</v>
      </c>
      <c r="AM98" s="409" t="s">
        <v>3100</v>
      </c>
      <c r="AN98" s="409" t="s">
        <v>3101</v>
      </c>
      <c r="AO98" s="399"/>
      <c r="AP98" s="409" t="s">
        <v>3776</v>
      </c>
      <c r="AQ98" s="409" t="s">
        <v>3130</v>
      </c>
      <c r="AR98" s="409" t="s">
        <v>3777</v>
      </c>
      <c r="AS98" s="409"/>
      <c r="AT98" s="399"/>
      <c r="AU98" s="399" t="s">
        <v>3772</v>
      </c>
      <c r="AV98" s="399" t="str">
        <f t="shared" si="6"/>
        <v>Same</v>
      </c>
      <c r="AW98" s="399"/>
      <c r="AX98" s="409" t="s">
        <v>3104</v>
      </c>
      <c r="AY98" s="399" t="str">
        <f t="shared" si="7"/>
        <v/>
      </c>
      <c r="AZ98" s="409" t="s">
        <v>3105</v>
      </c>
      <c r="BA98" s="409">
        <v>1</v>
      </c>
      <c r="BB98" s="399"/>
      <c r="BC98" s="399"/>
      <c r="BD98" s="399" t="s">
        <v>3778</v>
      </c>
      <c r="BE98" s="411"/>
      <c r="BF98" s="411"/>
      <c r="BG98" s="411" t="s">
        <v>3779</v>
      </c>
      <c r="BH98" s="434" t="s">
        <v>3780</v>
      </c>
      <c r="BI98" s="411"/>
      <c r="BJ98" s="399"/>
      <c r="BK98" s="399"/>
      <c r="BL98" s="399"/>
      <c r="BM98" s="410" t="s">
        <v>3781</v>
      </c>
      <c r="BN98" s="438" t="str">
        <f>HYPERLINK("https://github.com/who-int/Data-Dictionary-Mapping/issues/90","90")</f>
        <v>90</v>
      </c>
      <c r="BO98" s="399"/>
      <c r="BP98" s="399"/>
      <c r="BQ98" s="399"/>
      <c r="BR98" s="399"/>
      <c r="BS98" s="407"/>
      <c r="BT98" s="407"/>
      <c r="BU98" s="412"/>
      <c r="BV98" s="46" t="str">
        <f t="shared" si="8"/>
        <v>Observation</v>
      </c>
      <c r="BW98" s="46" t="str">
        <f t="shared" si="9"/>
        <v/>
      </c>
      <c r="BX98" s="46" t="str">
        <f t="shared" si="10"/>
        <v>Observation</v>
      </c>
      <c r="BY98" s="43" t="str">
        <f t="shared" si="11"/>
        <v>WHO-Core Observation (Reason for no contraceptive method at intake)</v>
      </c>
      <c r="BZ98" s="46">
        <f t="shared" si="12"/>
        <v>1</v>
      </c>
      <c r="CA98" s="46">
        <f t="shared" si="13"/>
        <v>1</v>
      </c>
      <c r="CB98" s="46">
        <f t="shared" si="14"/>
        <v>1</v>
      </c>
      <c r="CC98" s="46">
        <f t="shared" si="15"/>
        <v>1</v>
      </c>
      <c r="CD98" s="46">
        <f t="shared" si="16"/>
        <v>1</v>
      </c>
      <c r="CE98" s="46">
        <f t="shared" si="17"/>
        <v>0</v>
      </c>
      <c r="CF98" s="46">
        <f t="shared" si="18"/>
        <v>0</v>
      </c>
      <c r="CG98" s="46" t="str">
        <f ca="1">IFERROR(__xludf.DUMMYFUNCTION("if(OR(BH98="""",LEFT(BH98,2)=""LA""),"""",IMPORTXML(CONCATENATE(""https://loinc.org/"",BH98,""/""),""//span[@id='lcn']""))"),"Reason for no birth control use - Reported --at intake")</f>
        <v>Reason for no birth control use - Reported --at intake</v>
      </c>
      <c r="CH98" s="46"/>
      <c r="CI98" s="46"/>
      <c r="CJ98" s="46"/>
      <c r="CK98" s="46"/>
      <c r="CL98" s="46"/>
      <c r="CM98" s="46"/>
      <c r="CN98" s="46"/>
      <c r="CO98" s="46"/>
      <c r="CP98" s="46"/>
      <c r="CQ98" s="46"/>
      <c r="CR98" s="46"/>
      <c r="CS98" s="46"/>
      <c r="CT98" s="46"/>
      <c r="CU98" s="46"/>
    </row>
    <row r="99" spans="1:99" ht="12.75" customHeight="1">
      <c r="A99" s="399">
        <v>1320</v>
      </c>
      <c r="B99" s="399" t="s">
        <v>3782</v>
      </c>
      <c r="C99" s="399">
        <f t="shared" si="0"/>
        <v>1320</v>
      </c>
      <c r="D99" s="399" t="e">
        <f t="shared" ca="1" si="1"/>
        <v>#NAME?</v>
      </c>
      <c r="E99" s="399" t="str">
        <f t="shared" si="2"/>
        <v>Sexual abstinence    </v>
      </c>
      <c r="F99" s="399" t="str">
        <f t="shared" si="20"/>
        <v>Input Option</v>
      </c>
      <c r="G99" s="400">
        <f t="shared" si="4"/>
        <v>28</v>
      </c>
      <c r="H99" s="399" t="str">
        <f t="shared" si="5"/>
        <v>Reason for no contraceptive method - Reported at intake</v>
      </c>
      <c r="I99" s="400"/>
      <c r="J99" s="400"/>
      <c r="K99" s="401" t="s">
        <v>3333</v>
      </c>
      <c r="L99" s="402" t="s">
        <v>3517</v>
      </c>
      <c r="M99" s="400"/>
      <c r="N99" s="427" t="s">
        <v>3477</v>
      </c>
      <c r="O99" s="428"/>
      <c r="P99" s="403" t="s">
        <v>3783</v>
      </c>
      <c r="Q99" s="403"/>
      <c r="R99" s="403"/>
      <c r="S99" s="403" t="s">
        <v>3784</v>
      </c>
      <c r="T99" s="403"/>
      <c r="U99" s="407"/>
      <c r="V99" s="432" t="s">
        <v>3785</v>
      </c>
      <c r="W99" s="407"/>
      <c r="X99" s="407" t="s">
        <v>208</v>
      </c>
      <c r="Y99" s="403"/>
      <c r="Z99" s="405"/>
      <c r="AA99" s="405"/>
      <c r="AB99" s="408"/>
      <c r="AC99" s="431"/>
      <c r="AD99" s="405"/>
      <c r="AE99" s="408"/>
      <c r="AF99" s="407"/>
      <c r="AG99" s="407"/>
      <c r="AH99" s="399"/>
      <c r="AI99" s="400"/>
      <c r="AJ99" s="399"/>
      <c r="AK99" s="399"/>
      <c r="AL99" s="399"/>
      <c r="AM99" s="399"/>
      <c r="AN99" s="399"/>
      <c r="AO99" s="399"/>
      <c r="AP99" s="409"/>
      <c r="AQ99" s="409" t="s">
        <v>3130</v>
      </c>
      <c r="AR99" s="409" t="s">
        <v>3777</v>
      </c>
      <c r="AS99" s="409"/>
      <c r="AT99" s="399"/>
      <c r="AU99" s="399" t="s">
        <v>3782</v>
      </c>
      <c r="AV99" s="399" t="str">
        <f t="shared" si="6"/>
        <v>Same</v>
      </c>
      <c r="AW99" s="399"/>
      <c r="AX99" s="409" t="s">
        <v>3104</v>
      </c>
      <c r="AY99" s="399" t="e">
        <f t="shared" ca="1" si="7"/>
        <v>#NAME?</v>
      </c>
      <c r="AZ99" s="409" t="s">
        <v>3105</v>
      </c>
      <c r="BA99" s="409">
        <v>1</v>
      </c>
      <c r="BB99" s="399"/>
      <c r="BC99" s="399"/>
      <c r="BD99" s="399" t="s">
        <v>3162</v>
      </c>
      <c r="BE99" s="411"/>
      <c r="BF99" s="411"/>
      <c r="BG99" s="411" t="s">
        <v>3786</v>
      </c>
      <c r="BH99" s="411" t="s">
        <v>3787</v>
      </c>
      <c r="BI99" s="411"/>
      <c r="BJ99" s="399"/>
      <c r="BK99" s="399"/>
      <c r="BL99" s="399"/>
      <c r="BM99" s="399"/>
      <c r="BN99" s="399"/>
      <c r="BO99" s="399">
        <v>159524</v>
      </c>
      <c r="BP99" s="399"/>
      <c r="BQ99" s="399"/>
      <c r="BR99" s="399" t="s">
        <v>3788</v>
      </c>
      <c r="BS99" s="407"/>
      <c r="BT99" s="407"/>
      <c r="BU99" s="412"/>
      <c r="BV99" s="46" t="str">
        <f t="shared" si="8"/>
        <v/>
      </c>
      <c r="BW99" s="46">
        <f t="shared" si="9"/>
        <v>0</v>
      </c>
      <c r="BX99" s="46">
        <f t="shared" si="10"/>
        <v>0</v>
      </c>
      <c r="BY99" s="43" t="str">
        <f t="shared" si="11"/>
        <v>WHO-Core Observation (Reason for no contraceptive method at intake)</v>
      </c>
      <c r="BZ99" s="46">
        <f t="shared" si="12"/>
        <v>1</v>
      </c>
      <c r="CA99" s="46" t="str">
        <f t="shared" si="13"/>
        <v/>
      </c>
      <c r="CB99" s="46">
        <f t="shared" si="14"/>
        <v>1</v>
      </c>
      <c r="CC99" s="46">
        <f t="shared" si="15"/>
        <v>1</v>
      </c>
      <c r="CD99" s="46">
        <f t="shared" si="16"/>
        <v>1</v>
      </c>
      <c r="CE99" s="46">
        <f t="shared" si="17"/>
        <v>0</v>
      </c>
      <c r="CF99" s="46">
        <f t="shared" si="18"/>
        <v>0</v>
      </c>
      <c r="CG99" s="46" t="str">
        <f ca="1">IFERROR(__xludf.DUMMYFUNCTION("if(OR(BH99="""",LEFT(BH99,2)=""LA""),"""",IMPORTXML(CONCATENATE(""https://loinc.org/"",BH99,""/""),""//span[@id='lcn']""))"),"")</f>
        <v/>
      </c>
      <c r="CH99" s="46"/>
      <c r="CI99" s="46"/>
      <c r="CJ99" s="46"/>
      <c r="CK99" s="46"/>
      <c r="CL99" s="46"/>
      <c r="CM99" s="46"/>
      <c r="CN99" s="46"/>
      <c r="CO99" s="46"/>
      <c r="CP99" s="46"/>
      <c r="CQ99" s="46"/>
      <c r="CR99" s="46"/>
      <c r="CS99" s="46"/>
      <c r="CT99" s="46"/>
      <c r="CU99" s="46"/>
    </row>
    <row r="100" spans="1:99" ht="12.75" customHeight="1">
      <c r="A100" s="399">
        <v>1321</v>
      </c>
      <c r="B100" s="399" t="s">
        <v>3789</v>
      </c>
      <c r="C100" s="399">
        <f t="shared" si="0"/>
        <v>1321</v>
      </c>
      <c r="D100" s="399" t="e">
        <f t="shared" ca="1" si="1"/>
        <v>#NAME?</v>
      </c>
      <c r="E100" s="399" t="str">
        <f t="shared" si="2"/>
        <v>Side effects from contraception</v>
      </c>
      <c r="F100" s="399" t="str">
        <f t="shared" si="20"/>
        <v>Input Option</v>
      </c>
      <c r="G100" s="400">
        <f t="shared" si="4"/>
        <v>38</v>
      </c>
      <c r="H100" s="399" t="str">
        <f t="shared" si="5"/>
        <v>Reason for no contraceptive method - Reported at intake</v>
      </c>
      <c r="I100" s="400"/>
      <c r="J100" s="400"/>
      <c r="K100" s="401" t="s">
        <v>3333</v>
      </c>
      <c r="L100" s="402" t="s">
        <v>3517</v>
      </c>
      <c r="M100" s="400"/>
      <c r="N100" s="427" t="s">
        <v>3477</v>
      </c>
      <c r="O100" s="428"/>
      <c r="P100" s="403" t="s">
        <v>3790</v>
      </c>
      <c r="Q100" s="403"/>
      <c r="R100" s="403"/>
      <c r="S100" s="403"/>
      <c r="T100" s="403"/>
      <c r="U100" s="407"/>
      <c r="V100" s="432" t="s">
        <v>3791</v>
      </c>
      <c r="W100" s="407"/>
      <c r="X100" s="407" t="s">
        <v>208</v>
      </c>
      <c r="Y100" s="403"/>
      <c r="Z100" s="405"/>
      <c r="AA100" s="405"/>
      <c r="AB100" s="408"/>
      <c r="AC100" s="431"/>
      <c r="AD100" s="405"/>
      <c r="AE100" s="408"/>
      <c r="AF100" s="407"/>
      <c r="AG100" s="407"/>
      <c r="AH100" s="399"/>
      <c r="AI100" s="400"/>
      <c r="AJ100" s="399"/>
      <c r="AK100" s="399"/>
      <c r="AL100" s="399"/>
      <c r="AM100" s="399"/>
      <c r="AN100" s="399"/>
      <c r="AO100" s="399"/>
      <c r="AP100" s="409"/>
      <c r="AQ100" s="409" t="s">
        <v>3130</v>
      </c>
      <c r="AR100" s="409" t="s">
        <v>3777</v>
      </c>
      <c r="AS100" s="409"/>
      <c r="AT100" s="399"/>
      <c r="AU100" s="399" t="s">
        <v>3789</v>
      </c>
      <c r="AV100" s="399" t="str">
        <f t="shared" si="6"/>
        <v>Same</v>
      </c>
      <c r="AW100" s="399"/>
      <c r="AX100" s="409" t="s">
        <v>3104</v>
      </c>
      <c r="AY100" s="399" t="e">
        <f t="shared" ca="1" si="7"/>
        <v>#NAME?</v>
      </c>
      <c r="AZ100" s="409" t="s">
        <v>3105</v>
      </c>
      <c r="BA100" s="409">
        <v>1</v>
      </c>
      <c r="BB100" s="399"/>
      <c r="BC100" s="399"/>
      <c r="BD100" s="409" t="s">
        <v>3792</v>
      </c>
      <c r="BE100" s="411" t="s">
        <v>3793</v>
      </c>
      <c r="BF100" s="411"/>
      <c r="BG100" s="411"/>
      <c r="BH100" s="411"/>
      <c r="BI100" s="411"/>
      <c r="BJ100" s="399"/>
      <c r="BK100" s="399"/>
      <c r="BL100" s="399"/>
      <c r="BM100" s="409" t="s">
        <v>3794</v>
      </c>
      <c r="BN100" s="399"/>
      <c r="BO100" s="399"/>
      <c r="BP100" s="399"/>
      <c r="BQ100" s="399"/>
      <c r="BR100" s="399"/>
      <c r="BS100" s="407"/>
      <c r="BT100" s="407"/>
      <c r="BU100" s="412"/>
      <c r="BV100" s="46" t="str">
        <f t="shared" si="8"/>
        <v/>
      </c>
      <c r="BW100" s="46">
        <f t="shared" si="9"/>
        <v>0</v>
      </c>
      <c r="BX100" s="46">
        <f t="shared" si="10"/>
        <v>0</v>
      </c>
      <c r="BY100" s="43" t="str">
        <f t="shared" si="11"/>
        <v>WHO-Core Observation (Reason for no contraceptive method at intake)</v>
      </c>
      <c r="BZ100" s="46">
        <f t="shared" si="12"/>
        <v>1</v>
      </c>
      <c r="CA100" s="46" t="str">
        <f t="shared" si="13"/>
        <v/>
      </c>
      <c r="CB100" s="46">
        <f t="shared" si="14"/>
        <v>1</v>
      </c>
      <c r="CC100" s="46">
        <f t="shared" si="15"/>
        <v>1</v>
      </c>
      <c r="CD100" s="46">
        <f t="shared" si="16"/>
        <v>1</v>
      </c>
      <c r="CE100" s="46">
        <f t="shared" si="17"/>
        <v>0</v>
      </c>
      <c r="CF100" s="46">
        <f t="shared" si="18"/>
        <v>0</v>
      </c>
      <c r="CG100" s="46" t="str">
        <f ca="1">IFERROR(__xludf.DUMMYFUNCTION("if(OR(BH100="""",LEFT(BH100,2)=""LA""),"""",IMPORTXML(CONCATENATE(""https://loinc.org/"",BH100,""/""),""//span[@id='lcn']""))"),"")</f>
        <v/>
      </c>
      <c r="CH100" s="46"/>
      <c r="CI100" s="46"/>
      <c r="CJ100" s="46"/>
      <c r="CK100" s="46"/>
      <c r="CL100" s="46"/>
      <c r="CM100" s="46"/>
      <c r="CN100" s="46"/>
      <c r="CO100" s="46"/>
      <c r="CP100" s="46"/>
      <c r="CQ100" s="46"/>
      <c r="CR100" s="46"/>
      <c r="CS100" s="46"/>
      <c r="CT100" s="46"/>
      <c r="CU100" s="46"/>
    </row>
    <row r="101" spans="1:99" ht="12.75" customHeight="1">
      <c r="A101" s="399">
        <v>1322</v>
      </c>
      <c r="B101" s="399" t="s">
        <v>3795</v>
      </c>
      <c r="C101" s="399">
        <f t="shared" si="0"/>
        <v>1322</v>
      </c>
      <c r="D101" s="399" t="e">
        <f t="shared" ca="1" si="1"/>
        <v>#NAME?</v>
      </c>
      <c r="E101" s="399" t="str">
        <f t="shared" si="2"/>
        <v>Currently pregnant</v>
      </c>
      <c r="F101" s="399" t="str">
        <f t="shared" si="20"/>
        <v>Input Option</v>
      </c>
      <c r="G101" s="400">
        <f t="shared" si="4"/>
        <v>25</v>
      </c>
      <c r="H101" s="399" t="str">
        <f t="shared" si="5"/>
        <v>Reason for no contraceptive method - Reported at intake</v>
      </c>
      <c r="I101" s="400"/>
      <c r="J101" s="400"/>
      <c r="K101" s="401" t="s">
        <v>3333</v>
      </c>
      <c r="L101" s="402" t="s">
        <v>3517</v>
      </c>
      <c r="M101" s="400"/>
      <c r="N101" s="427" t="s">
        <v>3477</v>
      </c>
      <c r="O101" s="428"/>
      <c r="P101" s="403" t="s">
        <v>3796</v>
      </c>
      <c r="Q101" s="403"/>
      <c r="R101" s="403"/>
      <c r="S101" s="403"/>
      <c r="T101" s="403"/>
      <c r="U101" s="407"/>
      <c r="V101" s="432" t="s">
        <v>3797</v>
      </c>
      <c r="W101" s="407"/>
      <c r="X101" s="407" t="s">
        <v>208</v>
      </c>
      <c r="Y101" s="403"/>
      <c r="Z101" s="405"/>
      <c r="AA101" s="405"/>
      <c r="AB101" s="408"/>
      <c r="AC101" s="431"/>
      <c r="AD101" s="405"/>
      <c r="AE101" s="408"/>
      <c r="AF101" s="407"/>
      <c r="AG101" s="407"/>
      <c r="AH101" s="399"/>
      <c r="AI101" s="400"/>
      <c r="AJ101" s="399"/>
      <c r="AK101" s="399"/>
      <c r="AL101" s="399"/>
      <c r="AM101" s="399"/>
      <c r="AN101" s="399"/>
      <c r="AO101" s="399"/>
      <c r="AP101" s="409"/>
      <c r="AQ101" s="409" t="s">
        <v>3130</v>
      </c>
      <c r="AR101" s="409" t="s">
        <v>3777</v>
      </c>
      <c r="AS101" s="409"/>
      <c r="AT101" s="399"/>
      <c r="AU101" s="399" t="s">
        <v>3795</v>
      </c>
      <c r="AV101" s="399" t="str">
        <f t="shared" si="6"/>
        <v>Same</v>
      </c>
      <c r="AW101" s="399"/>
      <c r="AX101" s="409" t="s">
        <v>3104</v>
      </c>
      <c r="AY101" s="399" t="e">
        <f t="shared" ca="1" si="7"/>
        <v>#NAME?</v>
      </c>
      <c r="AZ101" s="409" t="s">
        <v>3105</v>
      </c>
      <c r="BA101" s="409">
        <v>1</v>
      </c>
      <c r="BB101" s="399"/>
      <c r="BC101" s="399"/>
      <c r="BD101" s="399" t="s">
        <v>3162</v>
      </c>
      <c r="BE101" s="411"/>
      <c r="BF101" s="411"/>
      <c r="BG101" s="411" t="s">
        <v>3798</v>
      </c>
      <c r="BH101" s="411"/>
      <c r="BI101" s="411"/>
      <c r="BJ101" s="399"/>
      <c r="BK101" s="399"/>
      <c r="BL101" s="399"/>
      <c r="BM101" s="399"/>
      <c r="BN101" s="399"/>
      <c r="BO101" s="399"/>
      <c r="BP101" s="399"/>
      <c r="BQ101" s="399"/>
      <c r="BR101" s="399"/>
      <c r="BS101" s="407"/>
      <c r="BT101" s="407"/>
      <c r="BU101" s="412"/>
      <c r="BV101" s="46" t="str">
        <f t="shared" si="8"/>
        <v/>
      </c>
      <c r="BW101" s="46">
        <f t="shared" si="9"/>
        <v>0</v>
      </c>
      <c r="BX101" s="46">
        <f t="shared" si="10"/>
        <v>0</v>
      </c>
      <c r="BY101" s="43" t="str">
        <f t="shared" si="11"/>
        <v>WHO-Core Observation (Reason for no contraceptive method at intake)</v>
      </c>
      <c r="BZ101" s="46">
        <f t="shared" si="12"/>
        <v>1</v>
      </c>
      <c r="CA101" s="46" t="str">
        <f t="shared" si="13"/>
        <v/>
      </c>
      <c r="CB101" s="46">
        <f t="shared" si="14"/>
        <v>1</v>
      </c>
      <c r="CC101" s="46">
        <f t="shared" si="15"/>
        <v>1</v>
      </c>
      <c r="CD101" s="46">
        <f t="shared" si="16"/>
        <v>1</v>
      </c>
      <c r="CE101" s="46">
        <f t="shared" si="17"/>
        <v>0</v>
      </c>
      <c r="CF101" s="46">
        <f t="shared" si="18"/>
        <v>0</v>
      </c>
      <c r="CG101" s="46" t="str">
        <f ca="1">IFERROR(__xludf.DUMMYFUNCTION("if(OR(BH101="""",LEFT(BH101,2)=""LA""),"""",IMPORTXML(CONCATENATE(""https://loinc.org/"",BH101,""/""),""//span[@id='lcn']""))"),"")</f>
        <v/>
      </c>
      <c r="CH101" s="46"/>
      <c r="CI101" s="46"/>
      <c r="CJ101" s="46"/>
      <c r="CK101" s="46"/>
      <c r="CL101" s="46"/>
      <c r="CM101" s="46"/>
      <c r="CN101" s="46"/>
      <c r="CO101" s="46"/>
      <c r="CP101" s="46"/>
      <c r="CQ101" s="46"/>
      <c r="CR101" s="46"/>
      <c r="CS101" s="46"/>
      <c r="CT101" s="46"/>
      <c r="CU101" s="46"/>
    </row>
    <row r="102" spans="1:99" ht="12.75" customHeight="1">
      <c r="A102" s="399">
        <v>1323</v>
      </c>
      <c r="B102" s="399" t="s">
        <v>3799</v>
      </c>
      <c r="C102" s="399">
        <f t="shared" si="0"/>
        <v>1323</v>
      </c>
      <c r="D102" s="399" t="e">
        <f t="shared" ca="1" si="1"/>
        <v>#NAME?</v>
      </c>
      <c r="E102" s="399" t="str">
        <f t="shared" si="2"/>
        <v>Same sex partner    </v>
      </c>
      <c r="F102" s="399" t="str">
        <f t="shared" si="20"/>
        <v>Input Option</v>
      </c>
      <c r="G102" s="400">
        <f t="shared" si="4"/>
        <v>27</v>
      </c>
      <c r="H102" s="399" t="str">
        <f t="shared" si="5"/>
        <v>Reason for no contraceptive method - Reported at intake</v>
      </c>
      <c r="I102" s="400"/>
      <c r="J102" s="400"/>
      <c r="K102" s="401" t="s">
        <v>3333</v>
      </c>
      <c r="L102" s="402" t="s">
        <v>3517</v>
      </c>
      <c r="M102" s="400"/>
      <c r="N102" s="427" t="s">
        <v>3477</v>
      </c>
      <c r="O102" s="428"/>
      <c r="P102" s="403" t="s">
        <v>3800</v>
      </c>
      <c r="Q102" s="403"/>
      <c r="R102" s="403"/>
      <c r="S102" s="403"/>
      <c r="T102" s="403"/>
      <c r="U102" s="407"/>
      <c r="V102" s="432" t="s">
        <v>3801</v>
      </c>
      <c r="W102" s="407"/>
      <c r="X102" s="407" t="s">
        <v>208</v>
      </c>
      <c r="Y102" s="403"/>
      <c r="Z102" s="405"/>
      <c r="AA102" s="405"/>
      <c r="AB102" s="408"/>
      <c r="AC102" s="431"/>
      <c r="AD102" s="405"/>
      <c r="AE102" s="408"/>
      <c r="AF102" s="407"/>
      <c r="AG102" s="407"/>
      <c r="AH102" s="399"/>
      <c r="AI102" s="400"/>
      <c r="AJ102" s="399"/>
      <c r="AK102" s="399"/>
      <c r="AL102" s="399"/>
      <c r="AM102" s="399"/>
      <c r="AN102" s="399"/>
      <c r="AO102" s="399"/>
      <c r="AP102" s="409"/>
      <c r="AQ102" s="409" t="s">
        <v>3130</v>
      </c>
      <c r="AR102" s="409" t="s">
        <v>3777</v>
      </c>
      <c r="AS102" s="409"/>
      <c r="AT102" s="399"/>
      <c r="AU102" s="399" t="s">
        <v>3799</v>
      </c>
      <c r="AV102" s="399" t="str">
        <f t="shared" si="6"/>
        <v>Same</v>
      </c>
      <c r="AW102" s="399"/>
      <c r="AX102" s="409" t="s">
        <v>3104</v>
      </c>
      <c r="AY102" s="399" t="e">
        <f t="shared" ca="1" si="7"/>
        <v>#NAME?</v>
      </c>
      <c r="AZ102" s="409" t="s">
        <v>3105</v>
      </c>
      <c r="BA102" s="409">
        <v>1</v>
      </c>
      <c r="BB102" s="399"/>
      <c r="BC102" s="399"/>
      <c r="BD102" s="399" t="s">
        <v>3162</v>
      </c>
      <c r="BE102" s="411"/>
      <c r="BF102" s="411"/>
      <c r="BG102" s="411" t="s">
        <v>3802</v>
      </c>
      <c r="BH102" s="411" t="s">
        <v>3803</v>
      </c>
      <c r="BI102" s="411"/>
      <c r="BJ102" s="399"/>
      <c r="BK102" s="399"/>
      <c r="BL102" s="399"/>
      <c r="BM102" s="399"/>
      <c r="BN102" s="399"/>
      <c r="BO102" s="399"/>
      <c r="BP102" s="399"/>
      <c r="BQ102" s="399"/>
      <c r="BR102" s="399"/>
      <c r="BS102" s="407"/>
      <c r="BT102" s="407"/>
      <c r="BU102" s="412"/>
      <c r="BV102" s="46" t="str">
        <f t="shared" si="8"/>
        <v/>
      </c>
      <c r="BW102" s="46">
        <f t="shared" si="9"/>
        <v>0</v>
      </c>
      <c r="BX102" s="46">
        <f t="shared" si="10"/>
        <v>0</v>
      </c>
      <c r="BY102" s="43" t="str">
        <f t="shared" si="11"/>
        <v>WHO-Core Observation (Reason for no contraceptive method at intake)</v>
      </c>
      <c r="BZ102" s="46">
        <f t="shared" si="12"/>
        <v>1</v>
      </c>
      <c r="CA102" s="46" t="str">
        <f t="shared" si="13"/>
        <v/>
      </c>
      <c r="CB102" s="46">
        <f t="shared" si="14"/>
        <v>1</v>
      </c>
      <c r="CC102" s="46">
        <f t="shared" si="15"/>
        <v>1</v>
      </c>
      <c r="CD102" s="46">
        <f t="shared" si="16"/>
        <v>1</v>
      </c>
      <c r="CE102" s="46">
        <f t="shared" si="17"/>
        <v>0</v>
      </c>
      <c r="CF102" s="46">
        <f t="shared" si="18"/>
        <v>0</v>
      </c>
      <c r="CG102" s="46" t="str">
        <f ca="1">IFERROR(__xludf.DUMMYFUNCTION("if(OR(BH102="""",LEFT(BH102,2)=""LA""),"""",IMPORTXML(CONCATENATE(""https://loinc.org/"",BH102,""/""),""//span[@id='lcn']""))"),"")</f>
        <v/>
      </c>
      <c r="CH102" s="46"/>
      <c r="CI102" s="46"/>
      <c r="CJ102" s="46"/>
      <c r="CK102" s="46"/>
      <c r="CL102" s="46"/>
      <c r="CM102" s="46"/>
      <c r="CN102" s="46"/>
      <c r="CO102" s="46"/>
      <c r="CP102" s="46"/>
      <c r="CQ102" s="46"/>
      <c r="CR102" s="46"/>
      <c r="CS102" s="46"/>
      <c r="CT102" s="46"/>
      <c r="CU102" s="46"/>
    </row>
    <row r="103" spans="1:99" ht="12.75" customHeight="1">
      <c r="A103" s="399">
        <v>1324</v>
      </c>
      <c r="B103" s="399" t="s">
        <v>3804</v>
      </c>
      <c r="C103" s="399">
        <f t="shared" si="0"/>
        <v>1324</v>
      </c>
      <c r="D103" s="399" t="e">
        <f t="shared" ca="1" si="1"/>
        <v>#NAME?</v>
      </c>
      <c r="E103" s="399" t="str">
        <f t="shared" si="2"/>
        <v>Other    </v>
      </c>
      <c r="F103" s="399" t="str">
        <f t="shared" si="20"/>
        <v>Input Option</v>
      </c>
      <c r="G103" s="400">
        <f t="shared" si="4"/>
        <v>16</v>
      </c>
      <c r="H103" s="399" t="str">
        <f t="shared" si="5"/>
        <v>Reason for no contraceptive method - Reported at intake</v>
      </c>
      <c r="I103" s="400"/>
      <c r="J103" s="400"/>
      <c r="K103" s="401" t="s">
        <v>3333</v>
      </c>
      <c r="L103" s="402" t="s">
        <v>3517</v>
      </c>
      <c r="M103" s="400"/>
      <c r="N103" s="427" t="s">
        <v>3477</v>
      </c>
      <c r="O103" s="428"/>
      <c r="P103" s="403" t="s">
        <v>3805</v>
      </c>
      <c r="Q103" s="403"/>
      <c r="R103" s="403"/>
      <c r="S103" s="403" t="s">
        <v>3806</v>
      </c>
      <c r="T103" s="403"/>
      <c r="U103" s="407"/>
      <c r="V103" s="407" t="s">
        <v>3807</v>
      </c>
      <c r="W103" s="407"/>
      <c r="X103" s="407" t="s">
        <v>208</v>
      </c>
      <c r="Y103" s="403"/>
      <c r="Z103" s="403"/>
      <c r="AA103" s="403"/>
      <c r="AB103" s="408"/>
      <c r="AC103" s="407"/>
      <c r="AD103" s="403"/>
      <c r="AE103" s="408"/>
      <c r="AF103" s="407"/>
      <c r="AG103" s="407"/>
      <c r="AH103" s="399"/>
      <c r="AI103" s="400"/>
      <c r="AJ103" s="399"/>
      <c r="AK103" s="399"/>
      <c r="AL103" s="399"/>
      <c r="AM103" s="399"/>
      <c r="AN103" s="399"/>
      <c r="AO103" s="399"/>
      <c r="AP103" s="409"/>
      <c r="AQ103" s="409" t="s">
        <v>3130</v>
      </c>
      <c r="AR103" s="409" t="s">
        <v>3777</v>
      </c>
      <c r="AS103" s="409"/>
      <c r="AT103" s="399"/>
      <c r="AU103" s="399" t="s">
        <v>3804</v>
      </c>
      <c r="AV103" s="399" t="str">
        <f t="shared" si="6"/>
        <v>Same</v>
      </c>
      <c r="AW103" s="399"/>
      <c r="AX103" s="409" t="s">
        <v>3104</v>
      </c>
      <c r="AY103" s="399" t="e">
        <f t="shared" ca="1" si="7"/>
        <v>#NAME?</v>
      </c>
      <c r="AZ103" s="409" t="s">
        <v>3105</v>
      </c>
      <c r="BA103" s="409">
        <v>1</v>
      </c>
      <c r="BB103" s="415" t="s">
        <v>3131</v>
      </c>
      <c r="BC103" s="409" t="s">
        <v>1387</v>
      </c>
      <c r="BD103" s="409" t="s">
        <v>3162</v>
      </c>
      <c r="BE103" s="411"/>
      <c r="BF103" s="411"/>
      <c r="BG103" s="411" t="s">
        <v>3808</v>
      </c>
      <c r="BH103" s="434" t="s">
        <v>3809</v>
      </c>
      <c r="BI103" s="411"/>
      <c r="BJ103" s="399"/>
      <c r="BK103" s="399"/>
      <c r="BL103" s="399"/>
      <c r="BM103" s="399"/>
      <c r="BN103" s="399" t="s">
        <v>3810</v>
      </c>
      <c r="BO103" s="399"/>
      <c r="BP103" s="399"/>
      <c r="BQ103" s="399"/>
      <c r="BR103" s="399"/>
      <c r="BS103" s="407"/>
      <c r="BT103" s="407"/>
      <c r="BU103" s="412"/>
      <c r="BV103" s="46" t="str">
        <f t="shared" si="8"/>
        <v/>
      </c>
      <c r="BW103" s="46">
        <f t="shared" si="9"/>
        <v>0</v>
      </c>
      <c r="BX103" s="46">
        <f t="shared" si="10"/>
        <v>0</v>
      </c>
      <c r="BY103" s="43" t="str">
        <f t="shared" si="11"/>
        <v>WHO-Core Observation (Reason for no contraceptive method at intake)</v>
      </c>
      <c r="BZ103" s="46">
        <f t="shared" si="12"/>
        <v>1</v>
      </c>
      <c r="CA103" s="46" t="str">
        <f t="shared" si="13"/>
        <v/>
      </c>
      <c r="CB103" s="46">
        <f t="shared" si="14"/>
        <v>1</v>
      </c>
      <c r="CC103" s="46">
        <f t="shared" si="15"/>
        <v>1</v>
      </c>
      <c r="CD103" s="46">
        <f t="shared" si="16"/>
        <v>1</v>
      </c>
      <c r="CE103" s="46">
        <f t="shared" si="17"/>
        <v>0</v>
      </c>
      <c r="CF103" s="46">
        <f t="shared" si="18"/>
        <v>0</v>
      </c>
      <c r="CG103" s="46" t="str">
        <f ca="1">IFERROR(__xludf.DUMMYFUNCTION("if(OR(BH103="""",LEFT(BH103,2)=""LA""),"""",IMPORTXML(CONCATENATE(""https://loinc.org/"",BH103,""/""),""//span[@id='lcn']""))"),"")</f>
        <v/>
      </c>
      <c r="CH103" s="46"/>
      <c r="CI103" s="46"/>
      <c r="CJ103" s="46"/>
      <c r="CK103" s="46"/>
      <c r="CL103" s="46"/>
      <c r="CM103" s="46"/>
      <c r="CN103" s="46"/>
      <c r="CO103" s="46"/>
      <c r="CP103" s="46"/>
      <c r="CQ103" s="46"/>
      <c r="CR103" s="46"/>
      <c r="CS103" s="46"/>
      <c r="CT103" s="46"/>
      <c r="CU103" s="46"/>
    </row>
    <row r="104" spans="1:99" ht="12.75" customHeight="1">
      <c r="A104" s="399">
        <v>1325</v>
      </c>
      <c r="B104" s="399" t="s">
        <v>3811</v>
      </c>
      <c r="C104" s="399">
        <f t="shared" si="0"/>
        <v>1325</v>
      </c>
      <c r="D104" s="399" t="e">
        <f t="shared" ca="1" si="1"/>
        <v>#NAME?</v>
      </c>
      <c r="E104" s="399" t="str">
        <f t="shared" si="2"/>
        <v>Out of stock</v>
      </c>
      <c r="F104" s="399" t="str">
        <f t="shared" si="20"/>
        <v>Input Option</v>
      </c>
      <c r="G104" s="400">
        <f t="shared" si="4"/>
        <v>19</v>
      </c>
      <c r="H104" s="399" t="str">
        <f t="shared" si="5"/>
        <v>Reason for no contraceptive method - Reported at intake</v>
      </c>
      <c r="I104" s="400"/>
      <c r="J104" s="400"/>
      <c r="K104" s="401" t="s">
        <v>3333</v>
      </c>
      <c r="L104" s="402" t="s">
        <v>3517</v>
      </c>
      <c r="M104" s="400"/>
      <c r="N104" s="427" t="s">
        <v>3477</v>
      </c>
      <c r="O104" s="428"/>
      <c r="P104" s="403" t="s">
        <v>3812</v>
      </c>
      <c r="Q104" s="403"/>
      <c r="R104" s="403"/>
      <c r="S104" s="403" t="s">
        <v>3813</v>
      </c>
      <c r="T104" s="403"/>
      <c r="U104" s="407"/>
      <c r="V104" s="407" t="s">
        <v>3814</v>
      </c>
      <c r="W104" s="407"/>
      <c r="X104" s="407" t="s">
        <v>208</v>
      </c>
      <c r="Y104" s="403"/>
      <c r="Z104" s="403"/>
      <c r="AA104" s="403"/>
      <c r="AB104" s="408"/>
      <c r="AC104" s="407"/>
      <c r="AD104" s="403"/>
      <c r="AE104" s="408"/>
      <c r="AF104" s="407"/>
      <c r="AG104" s="407"/>
      <c r="AH104" s="399"/>
      <c r="AI104" s="400"/>
      <c r="AJ104" s="399"/>
      <c r="AK104" s="399"/>
      <c r="AL104" s="399"/>
      <c r="AM104" s="399"/>
      <c r="AN104" s="399"/>
      <c r="AO104" s="399"/>
      <c r="AP104" s="409"/>
      <c r="AQ104" s="409" t="s">
        <v>3130</v>
      </c>
      <c r="AR104" s="409" t="s">
        <v>3777</v>
      </c>
      <c r="AS104" s="409"/>
      <c r="AT104" s="399"/>
      <c r="AU104" s="399" t="s">
        <v>3811</v>
      </c>
      <c r="AV104" s="399" t="str">
        <f t="shared" si="6"/>
        <v>Same</v>
      </c>
      <c r="AW104" s="399"/>
      <c r="AX104" s="409" t="s">
        <v>3104</v>
      </c>
      <c r="AY104" s="399" t="e">
        <f t="shared" ca="1" si="7"/>
        <v>#NAME?</v>
      </c>
      <c r="AZ104" s="409" t="s">
        <v>3105</v>
      </c>
      <c r="BA104" s="409">
        <v>1</v>
      </c>
      <c r="BB104" s="399"/>
      <c r="BC104" s="399"/>
      <c r="BD104" s="399" t="s">
        <v>3162</v>
      </c>
      <c r="BE104" s="411" t="s">
        <v>3815</v>
      </c>
      <c r="BF104" s="411"/>
      <c r="BG104" s="411" t="s">
        <v>3816</v>
      </c>
      <c r="BH104" s="411"/>
      <c r="BI104" s="411"/>
      <c r="BJ104" s="399"/>
      <c r="BK104" s="399"/>
      <c r="BL104" s="399"/>
      <c r="BM104" s="399"/>
      <c r="BN104" s="399"/>
      <c r="BO104" s="399">
        <v>1754</v>
      </c>
      <c r="BP104" s="399"/>
      <c r="BQ104" s="399"/>
      <c r="BR104" s="399" t="s">
        <v>2638</v>
      </c>
      <c r="BS104" s="407"/>
      <c r="BT104" s="407"/>
      <c r="BU104" s="412"/>
      <c r="BV104" s="46" t="str">
        <f t="shared" si="8"/>
        <v/>
      </c>
      <c r="BW104" s="46">
        <f t="shared" si="9"/>
        <v>0</v>
      </c>
      <c r="BX104" s="46">
        <f t="shared" si="10"/>
        <v>0</v>
      </c>
      <c r="BY104" s="43" t="str">
        <f t="shared" si="11"/>
        <v>WHO-Core Observation (Reason for no contraceptive method at intake)</v>
      </c>
      <c r="BZ104" s="46">
        <f t="shared" si="12"/>
        <v>1</v>
      </c>
      <c r="CA104" s="46" t="str">
        <f t="shared" si="13"/>
        <v/>
      </c>
      <c r="CB104" s="46">
        <f t="shared" si="14"/>
        <v>1</v>
      </c>
      <c r="CC104" s="46">
        <f t="shared" si="15"/>
        <v>1</v>
      </c>
      <c r="CD104" s="46">
        <f t="shared" si="16"/>
        <v>1</v>
      </c>
      <c r="CE104" s="46">
        <f t="shared" si="17"/>
        <v>0</v>
      </c>
      <c r="CF104" s="46">
        <f t="shared" si="18"/>
        <v>0</v>
      </c>
      <c r="CG104" s="46" t="str">
        <f ca="1">IFERROR(__xludf.DUMMYFUNCTION("if(OR(BH104="""",LEFT(BH104,2)=""LA""),"""",IMPORTXML(CONCATENATE(""https://loinc.org/"",BH104,""/""),""//span[@id='lcn']""))"),"")</f>
        <v/>
      </c>
      <c r="CH104" s="46"/>
      <c r="CI104" s="46"/>
      <c r="CJ104" s="46"/>
      <c r="CK104" s="46"/>
      <c r="CL104" s="46"/>
      <c r="CM104" s="46"/>
      <c r="CN104" s="46"/>
      <c r="CO104" s="46"/>
      <c r="CP104" s="46"/>
      <c r="CQ104" s="46"/>
      <c r="CR104" s="46"/>
      <c r="CS104" s="46"/>
      <c r="CT104" s="46"/>
      <c r="CU104" s="46"/>
    </row>
    <row r="105" spans="1:99" ht="12.75" customHeight="1">
      <c r="A105" s="399">
        <v>1326</v>
      </c>
      <c r="B105" s="399" t="s">
        <v>3817</v>
      </c>
      <c r="C105" s="399">
        <f t="shared" si="0"/>
        <v>1326</v>
      </c>
      <c r="D105" s="399" t="e">
        <f t="shared" ca="1" si="1"/>
        <v>#NAME?</v>
      </c>
      <c r="E105" s="399" t="str">
        <f t="shared" si="2"/>
        <v>Sterile for non-contraceptive reasons    </v>
      </c>
      <c r="F105" s="399" t="str">
        <f t="shared" si="20"/>
        <v>Input Option</v>
      </c>
      <c r="G105" s="400">
        <f t="shared" si="4"/>
        <v>48</v>
      </c>
      <c r="H105" s="399" t="str">
        <f t="shared" si="5"/>
        <v>Reason for no contraceptive method - Reported at intake</v>
      </c>
      <c r="I105" s="400"/>
      <c r="J105" s="400"/>
      <c r="K105" s="401" t="s">
        <v>3333</v>
      </c>
      <c r="L105" s="402" t="s">
        <v>3517</v>
      </c>
      <c r="M105" s="400"/>
      <c r="N105" s="427" t="s">
        <v>3477</v>
      </c>
      <c r="O105" s="428"/>
      <c r="P105" s="403" t="s">
        <v>3818</v>
      </c>
      <c r="Q105" s="403"/>
      <c r="R105" s="403"/>
      <c r="S105" s="403"/>
      <c r="T105" s="403"/>
      <c r="U105" s="407"/>
      <c r="V105" s="432" t="s">
        <v>3819</v>
      </c>
      <c r="W105" s="407"/>
      <c r="X105" s="407" t="s">
        <v>208</v>
      </c>
      <c r="Y105" s="403"/>
      <c r="Z105" s="403"/>
      <c r="AA105" s="403"/>
      <c r="AB105" s="408"/>
      <c r="AC105" s="407"/>
      <c r="AD105" s="403"/>
      <c r="AE105" s="408"/>
      <c r="AF105" s="407"/>
      <c r="AG105" s="407"/>
      <c r="AH105" s="399"/>
      <c r="AI105" s="400"/>
      <c r="AJ105" s="399"/>
      <c r="AK105" s="399"/>
      <c r="AL105" s="399"/>
      <c r="AM105" s="399"/>
      <c r="AN105" s="399"/>
      <c r="AO105" s="399"/>
      <c r="AP105" s="409"/>
      <c r="AQ105" s="409" t="s">
        <v>3130</v>
      </c>
      <c r="AR105" s="409" t="s">
        <v>3777</v>
      </c>
      <c r="AS105" s="409"/>
      <c r="AT105" s="399"/>
      <c r="AU105" s="399" t="s">
        <v>3817</v>
      </c>
      <c r="AV105" s="399" t="str">
        <f t="shared" si="6"/>
        <v>Same</v>
      </c>
      <c r="AW105" s="399"/>
      <c r="AX105" s="409" t="s">
        <v>3104</v>
      </c>
      <c r="AY105" s="399" t="e">
        <f t="shared" ca="1" si="7"/>
        <v>#NAME?</v>
      </c>
      <c r="AZ105" s="409" t="s">
        <v>3105</v>
      </c>
      <c r="BA105" s="409">
        <v>1</v>
      </c>
      <c r="BB105" s="399"/>
      <c r="BC105" s="399"/>
      <c r="BD105" s="399" t="s">
        <v>3162</v>
      </c>
      <c r="BE105" s="411" t="s">
        <v>3820</v>
      </c>
      <c r="BF105" s="411" t="s">
        <v>3821</v>
      </c>
      <c r="BG105" s="434" t="s">
        <v>3822</v>
      </c>
      <c r="BH105" s="411" t="s">
        <v>3823</v>
      </c>
      <c r="BI105" s="411"/>
      <c r="BJ105" s="399"/>
      <c r="BK105" s="399"/>
      <c r="BL105" s="399"/>
      <c r="BM105" s="399" t="s">
        <v>3824</v>
      </c>
      <c r="BN105" s="399"/>
      <c r="BO105" s="399">
        <v>125899</v>
      </c>
      <c r="BP105" s="399"/>
      <c r="BQ105" s="399"/>
      <c r="BR105" s="399" t="s">
        <v>3825</v>
      </c>
      <c r="BS105" s="407"/>
      <c r="BT105" s="407"/>
      <c r="BU105" s="412"/>
      <c r="BV105" s="46" t="str">
        <f t="shared" si="8"/>
        <v/>
      </c>
      <c r="BW105" s="46">
        <f t="shared" si="9"/>
        <v>0</v>
      </c>
      <c r="BX105" s="46">
        <f t="shared" si="10"/>
        <v>0</v>
      </c>
      <c r="BY105" s="43" t="str">
        <f t="shared" si="11"/>
        <v>WHO-Core Observation (Reason for no contraceptive method at intake)</v>
      </c>
      <c r="BZ105" s="46">
        <f t="shared" si="12"/>
        <v>1</v>
      </c>
      <c r="CA105" s="46" t="str">
        <f t="shared" si="13"/>
        <v/>
      </c>
      <c r="CB105" s="46">
        <f t="shared" si="14"/>
        <v>1</v>
      </c>
      <c r="CC105" s="46">
        <f t="shared" si="15"/>
        <v>1</v>
      </c>
      <c r="CD105" s="46">
        <f t="shared" si="16"/>
        <v>1</v>
      </c>
      <c r="CE105" s="46">
        <f t="shared" si="17"/>
        <v>0</v>
      </c>
      <c r="CF105" s="46">
        <f t="shared" si="18"/>
        <v>0</v>
      </c>
      <c r="CG105" s="46" t="str">
        <f ca="1">IFERROR(__xludf.DUMMYFUNCTION("if(OR(BH105="""",LEFT(BH105,2)=""LA""),"""",IMPORTXML(CONCATENATE(""https://loinc.org/"",BH105,""/""),""//span[@id='lcn']""))"),"")</f>
        <v/>
      </c>
      <c r="CH105" s="46"/>
      <c r="CI105" s="46"/>
      <c r="CJ105" s="46"/>
      <c r="CK105" s="46"/>
      <c r="CL105" s="46"/>
      <c r="CM105" s="46"/>
      <c r="CN105" s="46"/>
      <c r="CO105" s="46"/>
      <c r="CP105" s="46"/>
      <c r="CQ105" s="46"/>
      <c r="CR105" s="46"/>
      <c r="CS105" s="46"/>
      <c r="CT105" s="46"/>
      <c r="CU105" s="46"/>
    </row>
    <row r="106" spans="1:99" ht="12.75" customHeight="1">
      <c r="A106" s="399">
        <v>1327</v>
      </c>
      <c r="B106" s="399" t="s">
        <v>3826</v>
      </c>
      <c r="C106" s="399">
        <f t="shared" si="0"/>
        <v>1327</v>
      </c>
      <c r="D106" s="399" t="e">
        <f t="shared" ca="1" si="1"/>
        <v>#NAME?</v>
      </c>
      <c r="E106" s="399" t="str">
        <f t="shared" si="2"/>
        <v>Seeking pregnancy   </v>
      </c>
      <c r="F106" s="399" t="str">
        <f t="shared" si="20"/>
        <v>Input Option</v>
      </c>
      <c r="G106" s="400">
        <f t="shared" si="4"/>
        <v>27</v>
      </c>
      <c r="H106" s="399" t="str">
        <f t="shared" si="5"/>
        <v>Reason for no contraceptive method - Reported at intake</v>
      </c>
      <c r="I106" s="400"/>
      <c r="J106" s="400"/>
      <c r="K106" s="401" t="s">
        <v>3333</v>
      </c>
      <c r="L106" s="402" t="s">
        <v>3517</v>
      </c>
      <c r="M106" s="400"/>
      <c r="N106" s="427" t="s">
        <v>3477</v>
      </c>
      <c r="O106" s="428"/>
      <c r="P106" s="403" t="s">
        <v>3827</v>
      </c>
      <c r="Q106" s="403"/>
      <c r="R106" s="403"/>
      <c r="S106" s="403"/>
      <c r="T106" s="403"/>
      <c r="U106" s="407"/>
      <c r="V106" s="432" t="s">
        <v>3828</v>
      </c>
      <c r="W106" s="407"/>
      <c r="X106" s="407" t="s">
        <v>208</v>
      </c>
      <c r="Y106" s="403"/>
      <c r="Z106" s="403"/>
      <c r="AA106" s="403"/>
      <c r="AB106" s="408"/>
      <c r="AC106" s="407"/>
      <c r="AD106" s="403"/>
      <c r="AE106" s="408"/>
      <c r="AF106" s="407"/>
      <c r="AG106" s="407"/>
      <c r="AH106" s="399"/>
      <c r="AI106" s="400"/>
      <c r="AJ106" s="399"/>
      <c r="AK106" s="399"/>
      <c r="AL106" s="399"/>
      <c r="AM106" s="399"/>
      <c r="AN106" s="399"/>
      <c r="AO106" s="399"/>
      <c r="AP106" s="409"/>
      <c r="AQ106" s="409" t="s">
        <v>3130</v>
      </c>
      <c r="AR106" s="409" t="s">
        <v>3777</v>
      </c>
      <c r="AS106" s="409"/>
      <c r="AT106" s="399"/>
      <c r="AU106" s="399" t="s">
        <v>3826</v>
      </c>
      <c r="AV106" s="399" t="str">
        <f t="shared" si="6"/>
        <v>Same</v>
      </c>
      <c r="AW106" s="399"/>
      <c r="AX106" s="409" t="s">
        <v>3104</v>
      </c>
      <c r="AY106" s="399" t="e">
        <f t="shared" ca="1" si="7"/>
        <v>#NAME?</v>
      </c>
      <c r="AZ106" s="409" t="s">
        <v>3105</v>
      </c>
      <c r="BA106" s="409">
        <v>1</v>
      </c>
      <c r="BB106" s="399"/>
      <c r="BC106" s="399"/>
      <c r="BD106" s="399" t="s">
        <v>3162</v>
      </c>
      <c r="BE106" s="411"/>
      <c r="BF106" s="411"/>
      <c r="BG106" s="411" t="s">
        <v>3829</v>
      </c>
      <c r="BH106" s="411" t="s">
        <v>3830</v>
      </c>
      <c r="BI106" s="411"/>
      <c r="BJ106" s="399"/>
      <c r="BK106" s="399"/>
      <c r="BL106" s="399"/>
      <c r="BM106" s="399"/>
      <c r="BN106" s="399"/>
      <c r="BO106" s="399"/>
      <c r="BP106" s="399"/>
      <c r="BQ106" s="399"/>
      <c r="BR106" s="399"/>
      <c r="BS106" s="407"/>
      <c r="BT106" s="407"/>
      <c r="BU106" s="412"/>
      <c r="BV106" s="46" t="str">
        <f t="shared" si="8"/>
        <v/>
      </c>
      <c r="BW106" s="46">
        <f t="shared" si="9"/>
        <v>0</v>
      </c>
      <c r="BX106" s="46">
        <f t="shared" si="10"/>
        <v>0</v>
      </c>
      <c r="BY106" s="43" t="str">
        <f t="shared" si="11"/>
        <v>WHO-Core Observation (Reason for no contraceptive method at intake)</v>
      </c>
      <c r="BZ106" s="46">
        <f t="shared" si="12"/>
        <v>1</v>
      </c>
      <c r="CA106" s="46" t="str">
        <f t="shared" si="13"/>
        <v/>
      </c>
      <c r="CB106" s="46">
        <f t="shared" si="14"/>
        <v>1</v>
      </c>
      <c r="CC106" s="46">
        <f t="shared" si="15"/>
        <v>1</v>
      </c>
      <c r="CD106" s="46">
        <f t="shared" si="16"/>
        <v>1</v>
      </c>
      <c r="CE106" s="46">
        <f t="shared" si="17"/>
        <v>0</v>
      </c>
      <c r="CF106" s="46">
        <f t="shared" si="18"/>
        <v>0</v>
      </c>
      <c r="CG106" s="46" t="str">
        <f ca="1">IFERROR(__xludf.DUMMYFUNCTION("if(OR(BH106="""",LEFT(BH106,2)=""LA""),"""",IMPORTXML(CONCATENATE(""https://loinc.org/"",BH106,""/""),""//span[@id='lcn']""))"),"")</f>
        <v/>
      </c>
      <c r="CH106" s="46"/>
      <c r="CI106" s="46"/>
      <c r="CJ106" s="46"/>
      <c r="CK106" s="46"/>
      <c r="CL106" s="46"/>
      <c r="CM106" s="46"/>
      <c r="CN106" s="46"/>
      <c r="CO106" s="46"/>
      <c r="CP106" s="46"/>
      <c r="CQ106" s="46"/>
      <c r="CR106" s="46"/>
      <c r="CS106" s="46"/>
      <c r="CT106" s="46"/>
      <c r="CU106" s="46"/>
    </row>
    <row r="107" spans="1:99" ht="12.75" customHeight="1">
      <c r="A107" s="399">
        <v>1328</v>
      </c>
      <c r="B107" s="409" t="s">
        <v>3831</v>
      </c>
      <c r="C107" s="399">
        <f t="shared" si="0"/>
        <v>1328</v>
      </c>
      <c r="D107" s="399" t="str">
        <f t="shared" si="1"/>
        <v>Prior methods used</v>
      </c>
      <c r="E107" s="399" t="str">
        <f t="shared" si="2"/>
        <v>Prior methods used</v>
      </c>
      <c r="F107" s="399" t="str">
        <f t="shared" si="20"/>
        <v>Data Element</v>
      </c>
      <c r="G107" s="400">
        <f t="shared" si="4"/>
        <v>47</v>
      </c>
      <c r="H107" s="400" t="str">
        <f t="shared" si="5"/>
        <v/>
      </c>
      <c r="I107" s="400"/>
      <c r="J107" s="400"/>
      <c r="K107" s="401" t="s">
        <v>3333</v>
      </c>
      <c r="L107" s="402" t="s">
        <v>3517</v>
      </c>
      <c r="M107" s="400"/>
      <c r="N107" s="427" t="s">
        <v>3477</v>
      </c>
      <c r="O107" s="428"/>
      <c r="P107" s="403" t="s">
        <v>3832</v>
      </c>
      <c r="Q107" s="403" t="s">
        <v>3833</v>
      </c>
      <c r="R107" s="403"/>
      <c r="S107" s="403" t="s">
        <v>3834</v>
      </c>
      <c r="T107" s="403" t="s">
        <v>3339</v>
      </c>
      <c r="U107" s="407" t="s">
        <v>3326</v>
      </c>
      <c r="V107" s="432" t="s">
        <v>3835</v>
      </c>
      <c r="W107" s="407"/>
      <c r="X107" s="407" t="s">
        <v>208</v>
      </c>
      <c r="Y107" s="403"/>
      <c r="Z107" s="403" t="s">
        <v>113</v>
      </c>
      <c r="AA107" s="403" t="s">
        <v>3178</v>
      </c>
      <c r="AB107" s="432" t="s">
        <v>3836</v>
      </c>
      <c r="AC107" s="421"/>
      <c r="AD107" s="436"/>
      <c r="AE107" s="406"/>
      <c r="AF107" s="407"/>
      <c r="AG107" s="407"/>
      <c r="AH107" s="399"/>
      <c r="AI107" s="400"/>
      <c r="AJ107" s="399"/>
      <c r="AK107" s="403" t="s">
        <v>3534</v>
      </c>
      <c r="AL107" s="403"/>
      <c r="AM107" s="403" t="s">
        <v>3100</v>
      </c>
      <c r="AN107" s="403" t="s">
        <v>3101</v>
      </c>
      <c r="AO107" s="399"/>
      <c r="AP107" s="440" t="s">
        <v>3837</v>
      </c>
      <c r="AQ107" s="440" t="s">
        <v>3424</v>
      </c>
      <c r="AR107" s="453" t="s">
        <v>3536</v>
      </c>
      <c r="AS107" s="453"/>
      <c r="AT107" s="399"/>
      <c r="AU107" s="399" t="s">
        <v>3838</v>
      </c>
      <c r="AV107" s="399" t="str">
        <f t="shared" si="6"/>
        <v>Changed</v>
      </c>
      <c r="AW107" s="399"/>
      <c r="AX107" s="409" t="s">
        <v>3104</v>
      </c>
      <c r="AY107" s="399" t="str">
        <f t="shared" si="7"/>
        <v>"Prior methods used"-&gt;"Prior contraceptive methods used - Device-based"</v>
      </c>
      <c r="AZ107" s="409" t="s">
        <v>3105</v>
      </c>
      <c r="BA107" s="409">
        <v>1</v>
      </c>
      <c r="BB107" s="399"/>
      <c r="BC107" s="399"/>
      <c r="BD107" s="409"/>
      <c r="BE107" s="411"/>
      <c r="BF107" s="411"/>
      <c r="BG107" s="411"/>
      <c r="BH107" s="411"/>
      <c r="BI107" s="411"/>
      <c r="BJ107" s="409" t="s">
        <v>3106</v>
      </c>
      <c r="BK107" s="399"/>
      <c r="BL107" s="399"/>
      <c r="BM107" s="409"/>
      <c r="BN107" s="399"/>
      <c r="BO107" s="399"/>
      <c r="BP107" s="399"/>
      <c r="BQ107" s="399"/>
      <c r="BR107" s="399"/>
      <c r="BS107" s="407"/>
      <c r="BT107" s="407"/>
      <c r="BU107" s="412"/>
      <c r="BV107" s="46" t="str">
        <f t="shared" si="8"/>
        <v>DeviceUseStatement</v>
      </c>
      <c r="BW107" s="46" t="str">
        <f t="shared" si="9"/>
        <v/>
      </c>
      <c r="BX107" s="46" t="str">
        <f t="shared" si="10"/>
        <v>DeviceUseStatement</v>
      </c>
      <c r="BY107" s="43" t="str">
        <f t="shared" si="11"/>
        <v>WHO-Core DeviceUseStatement (Prior Contraceptive Methods)</v>
      </c>
      <c r="BZ107" s="46">
        <f t="shared" si="12"/>
        <v>1</v>
      </c>
      <c r="CA107" s="46">
        <f t="shared" si="13"/>
        <v>1</v>
      </c>
      <c r="CB107" s="46">
        <f t="shared" si="14"/>
        <v>1</v>
      </c>
      <c r="CC107" s="46">
        <f t="shared" si="15"/>
        <v>1</v>
      </c>
      <c r="CD107" s="46">
        <f t="shared" si="16"/>
        <v>1</v>
      </c>
      <c r="CE107" s="46">
        <f t="shared" si="17"/>
        <v>0</v>
      </c>
      <c r="CF107" s="46">
        <f t="shared" si="18"/>
        <v>0</v>
      </c>
      <c r="CG107" s="46" t="str">
        <f ca="1">IFERROR(__xludf.DUMMYFUNCTION("if(OR(BH107="""",LEFT(BH107,2)=""LA""),"""",IMPORTXML(CONCATENATE(""https://loinc.org/"",BH107,""/""),""//span[@id='lcn']""))"),"")</f>
        <v/>
      </c>
      <c r="CH107" s="46"/>
      <c r="CI107" s="46"/>
      <c r="CJ107" s="46"/>
      <c r="CK107" s="46"/>
      <c r="CL107" s="46"/>
      <c r="CM107" s="46"/>
      <c r="CN107" s="46"/>
      <c r="CO107" s="46"/>
      <c r="CP107" s="46"/>
      <c r="CQ107" s="46"/>
      <c r="CR107" s="46"/>
      <c r="CS107" s="46"/>
      <c r="CT107" s="46"/>
      <c r="CU107" s="46"/>
    </row>
    <row r="108" spans="1:99" ht="12.75" customHeight="1">
      <c r="A108" s="399">
        <v>2354</v>
      </c>
      <c r="B108" s="409" t="s">
        <v>3839</v>
      </c>
      <c r="C108" s="399">
        <f t="shared" si="0"/>
        <v>2354</v>
      </c>
      <c r="D108" s="399" t="str">
        <f t="shared" si="1"/>
        <v>Prior methods used</v>
      </c>
      <c r="E108" s="399" t="str">
        <f t="shared" si="2"/>
        <v>Prior methods used</v>
      </c>
      <c r="F108" s="399" t="str">
        <f t="shared" si="20"/>
        <v>Data Element</v>
      </c>
      <c r="G108" s="400">
        <f t="shared" si="4"/>
        <v>51</v>
      </c>
      <c r="H108" s="400" t="str">
        <f t="shared" si="5"/>
        <v/>
      </c>
      <c r="I108" s="400"/>
      <c r="J108" s="400"/>
      <c r="K108" s="401" t="s">
        <v>3333</v>
      </c>
      <c r="L108" s="402" t="s">
        <v>3517</v>
      </c>
      <c r="M108" s="400"/>
      <c r="N108" s="427" t="s">
        <v>3477</v>
      </c>
      <c r="O108" s="428"/>
      <c r="P108" s="403" t="s">
        <v>3832</v>
      </c>
      <c r="Q108" s="403" t="s">
        <v>3833</v>
      </c>
      <c r="R108" s="403"/>
      <c r="S108" s="403" t="s">
        <v>3834</v>
      </c>
      <c r="T108" s="403" t="s">
        <v>3339</v>
      </c>
      <c r="U108" s="407" t="s">
        <v>3326</v>
      </c>
      <c r="V108" s="432" t="s">
        <v>3835</v>
      </c>
      <c r="W108" s="407"/>
      <c r="X108" s="407" t="s">
        <v>208</v>
      </c>
      <c r="Y108" s="403"/>
      <c r="Z108" s="403" t="s">
        <v>113</v>
      </c>
      <c r="AA108" s="403" t="s">
        <v>3178</v>
      </c>
      <c r="AB108" s="432" t="s">
        <v>3836</v>
      </c>
      <c r="AC108" s="421"/>
      <c r="AD108" s="436"/>
      <c r="AE108" s="406"/>
      <c r="AF108" s="407"/>
      <c r="AG108" s="407"/>
      <c r="AH108" s="399"/>
      <c r="AI108" s="400"/>
      <c r="AJ108" s="399"/>
      <c r="AK108" s="409" t="s">
        <v>3650</v>
      </c>
      <c r="AL108" s="409" t="s">
        <v>3181</v>
      </c>
      <c r="AM108" s="409" t="s">
        <v>3100</v>
      </c>
      <c r="AN108" s="403" t="s">
        <v>3101</v>
      </c>
      <c r="AO108" s="399"/>
      <c r="AP108" s="409" t="s">
        <v>3840</v>
      </c>
      <c r="AQ108" s="440" t="s">
        <v>3424</v>
      </c>
      <c r="AR108" s="453" t="s">
        <v>3652</v>
      </c>
      <c r="AS108" s="453"/>
      <c r="AT108" s="399"/>
      <c r="AU108" s="399" t="s">
        <v>3838</v>
      </c>
      <c r="AV108" s="399" t="str">
        <f t="shared" si="6"/>
        <v>Changed</v>
      </c>
      <c r="AW108" s="399"/>
      <c r="AX108" s="409" t="s">
        <v>3104</v>
      </c>
      <c r="AY108" s="399" t="str">
        <f t="shared" si="7"/>
        <v>"Prior methods used"-&gt;"Prior contraceptive methods used - Medication-based"</v>
      </c>
      <c r="AZ108" s="409" t="s">
        <v>3105</v>
      </c>
      <c r="BA108" s="409">
        <v>1</v>
      </c>
      <c r="BB108" s="399"/>
      <c r="BC108" s="399"/>
      <c r="BD108" s="409"/>
      <c r="BE108" s="411"/>
      <c r="BF108" s="411"/>
      <c r="BG108" s="411"/>
      <c r="BH108" s="411"/>
      <c r="BI108" s="411"/>
      <c r="BJ108" s="409" t="s">
        <v>3106</v>
      </c>
      <c r="BK108" s="399"/>
      <c r="BL108" s="399"/>
      <c r="BM108" s="409" t="s">
        <v>3841</v>
      </c>
      <c r="BN108" s="399"/>
      <c r="BO108" s="399"/>
      <c r="BP108" s="399"/>
      <c r="BQ108" s="399"/>
      <c r="BR108" s="399"/>
      <c r="BS108" s="407"/>
      <c r="BT108" s="407"/>
      <c r="BU108" s="412"/>
      <c r="BV108" s="46" t="str">
        <f t="shared" si="8"/>
        <v>MedicationStatement</v>
      </c>
      <c r="BW108" s="46" t="str">
        <f t="shared" si="9"/>
        <v/>
      </c>
      <c r="BX108" s="46" t="str">
        <f t="shared" si="10"/>
        <v>MedicationStatement</v>
      </c>
      <c r="BY108" s="43" t="str">
        <f t="shared" si="11"/>
        <v>WHO-Core MedicationStatement (Prior Contraceptive Methods)</v>
      </c>
      <c r="BZ108" s="46">
        <f t="shared" si="12"/>
        <v>1</v>
      </c>
      <c r="CA108" s="46">
        <f t="shared" si="13"/>
        <v>1</v>
      </c>
      <c r="CB108" s="46">
        <f t="shared" si="14"/>
        <v>1</v>
      </c>
      <c r="CC108" s="46">
        <f t="shared" si="15"/>
        <v>1</v>
      </c>
      <c r="CD108" s="46">
        <f t="shared" si="16"/>
        <v>1</v>
      </c>
      <c r="CE108" s="46">
        <f t="shared" si="17"/>
        <v>0</v>
      </c>
      <c r="CF108" s="46">
        <f t="shared" si="18"/>
        <v>0</v>
      </c>
      <c r="CG108" s="46" t="str">
        <f ca="1">IFERROR(__xludf.DUMMYFUNCTION("if(OR(BH108="""",LEFT(BH108,2)=""LA""),"""",IMPORTXML(CONCATENATE(""https://loinc.org/"",BH108,""/""),""//span[@id='lcn']""))"),"")</f>
        <v/>
      </c>
      <c r="CH108" s="46"/>
      <c r="CI108" s="46"/>
      <c r="CJ108" s="46"/>
      <c r="CK108" s="46"/>
      <c r="CL108" s="46"/>
      <c r="CM108" s="46"/>
      <c r="CN108" s="46"/>
      <c r="CO108" s="46"/>
      <c r="CP108" s="46"/>
      <c r="CQ108" s="46"/>
      <c r="CR108" s="46"/>
      <c r="CS108" s="46"/>
      <c r="CT108" s="46"/>
      <c r="CU108" s="46"/>
    </row>
    <row r="109" spans="1:99" ht="12.75" customHeight="1">
      <c r="A109" s="409">
        <v>2355</v>
      </c>
      <c r="B109" s="409" t="s">
        <v>3842</v>
      </c>
      <c r="C109" s="399">
        <f t="shared" si="0"/>
        <v>2355</v>
      </c>
      <c r="D109" s="399" t="str">
        <f t="shared" si="1"/>
        <v>Prior methods used</v>
      </c>
      <c r="E109" s="399" t="str">
        <f t="shared" si="2"/>
        <v>Prior methods used</v>
      </c>
      <c r="F109" s="399" t="str">
        <f t="shared" si="20"/>
        <v>Data Element</v>
      </c>
      <c r="G109" s="400">
        <f t="shared" si="4"/>
        <v>50</v>
      </c>
      <c r="H109" s="400" t="str">
        <f t="shared" si="5"/>
        <v/>
      </c>
      <c r="I109" s="400"/>
      <c r="J109" s="400"/>
      <c r="K109" s="401" t="s">
        <v>3333</v>
      </c>
      <c r="L109" s="402" t="s">
        <v>3517</v>
      </c>
      <c r="M109" s="400"/>
      <c r="N109" s="427" t="s">
        <v>3477</v>
      </c>
      <c r="O109" s="428"/>
      <c r="P109" s="403" t="s">
        <v>3832</v>
      </c>
      <c r="Q109" s="403" t="s">
        <v>3833</v>
      </c>
      <c r="R109" s="403"/>
      <c r="S109" s="403" t="s">
        <v>3834</v>
      </c>
      <c r="T109" s="403" t="s">
        <v>3339</v>
      </c>
      <c r="U109" s="407" t="s">
        <v>3326</v>
      </c>
      <c r="V109" s="432" t="s">
        <v>3835</v>
      </c>
      <c r="W109" s="407"/>
      <c r="X109" s="407" t="s">
        <v>208</v>
      </c>
      <c r="Y109" s="403"/>
      <c r="Z109" s="403" t="s">
        <v>113</v>
      </c>
      <c r="AA109" s="403" t="s">
        <v>3178</v>
      </c>
      <c r="AB109" s="432" t="s">
        <v>3836</v>
      </c>
      <c r="AC109" s="421"/>
      <c r="AD109" s="436"/>
      <c r="AE109" s="406"/>
      <c r="AF109" s="407"/>
      <c r="AG109" s="407"/>
      <c r="AH109" s="399"/>
      <c r="AI109" s="400"/>
      <c r="AJ109" s="399"/>
      <c r="AK109" s="403" t="s">
        <v>3715</v>
      </c>
      <c r="AL109" s="403"/>
      <c r="AM109" s="403" t="s">
        <v>3100</v>
      </c>
      <c r="AN109" s="403" t="s">
        <v>3101</v>
      </c>
      <c r="AO109" s="399"/>
      <c r="AP109" s="440" t="s">
        <v>3843</v>
      </c>
      <c r="AQ109" s="440" t="s">
        <v>3424</v>
      </c>
      <c r="AR109" s="453" t="s">
        <v>3717</v>
      </c>
      <c r="AS109" s="453"/>
      <c r="AT109" s="399"/>
      <c r="AU109" s="399" t="s">
        <v>3838</v>
      </c>
      <c r="AV109" s="399" t="str">
        <f t="shared" si="6"/>
        <v>Changed</v>
      </c>
      <c r="AW109" s="399"/>
      <c r="AX109" s="409" t="s">
        <v>3104</v>
      </c>
      <c r="AY109" s="399" t="str">
        <f t="shared" si="7"/>
        <v>"Prior methods used"-&gt;"Prior contraceptive methods used - Procedure-based"</v>
      </c>
      <c r="AZ109" s="409" t="s">
        <v>3105</v>
      </c>
      <c r="BA109" s="409">
        <v>1</v>
      </c>
      <c r="BB109" s="399"/>
      <c r="BC109" s="399"/>
      <c r="BD109" s="409"/>
      <c r="BE109" s="411"/>
      <c r="BF109" s="411"/>
      <c r="BG109" s="411"/>
      <c r="BH109" s="411"/>
      <c r="BI109" s="411"/>
      <c r="BJ109" s="409" t="s">
        <v>3106</v>
      </c>
      <c r="BK109" s="399"/>
      <c r="BL109" s="399"/>
      <c r="BM109" s="409"/>
      <c r="BN109" s="399"/>
      <c r="BO109" s="399"/>
      <c r="BP109" s="399"/>
      <c r="BQ109" s="399"/>
      <c r="BR109" s="399"/>
      <c r="BS109" s="407"/>
      <c r="BT109" s="407"/>
      <c r="BU109" s="412"/>
      <c r="BV109" s="46" t="str">
        <f t="shared" si="8"/>
        <v>Procedure</v>
      </c>
      <c r="BW109" s="46" t="str">
        <f t="shared" si="9"/>
        <v/>
      </c>
      <c r="BX109" s="46" t="str">
        <f t="shared" si="10"/>
        <v>Procedure</v>
      </c>
      <c r="BY109" s="43" t="str">
        <f t="shared" si="11"/>
        <v>WHO-Core Procedure (Prior Contraceptive Methods)</v>
      </c>
      <c r="BZ109" s="46">
        <f t="shared" si="12"/>
        <v>1</v>
      </c>
      <c r="CA109" s="46">
        <f t="shared" si="13"/>
        <v>1</v>
      </c>
      <c r="CB109" s="46">
        <f t="shared" si="14"/>
        <v>1</v>
      </c>
      <c r="CC109" s="46">
        <f t="shared" si="15"/>
        <v>1</v>
      </c>
      <c r="CD109" s="46">
        <f t="shared" si="16"/>
        <v>1</v>
      </c>
      <c r="CE109" s="46">
        <f t="shared" si="17"/>
        <v>0</v>
      </c>
      <c r="CF109" s="46">
        <f t="shared" si="18"/>
        <v>0</v>
      </c>
      <c r="CG109" s="46" t="str">
        <f ca="1">IFERROR(__xludf.DUMMYFUNCTION("if(OR(BH109="""",LEFT(BH109,2)=""LA""),"""",IMPORTXML(CONCATENATE(""https://loinc.org/"",BH109,""/""),""//span[@id='lcn']""))"),"")</f>
        <v/>
      </c>
      <c r="CH109" s="46"/>
      <c r="CI109" s="46"/>
      <c r="CJ109" s="46"/>
      <c r="CK109" s="46"/>
      <c r="CL109" s="46"/>
      <c r="CM109" s="46"/>
      <c r="CN109" s="46"/>
      <c r="CO109" s="46"/>
      <c r="CP109" s="46"/>
      <c r="CQ109" s="46"/>
      <c r="CR109" s="46"/>
      <c r="CS109" s="46"/>
      <c r="CT109" s="46"/>
      <c r="CU109" s="46"/>
    </row>
    <row r="110" spans="1:99" ht="12.75" customHeight="1">
      <c r="A110" s="409">
        <v>2356</v>
      </c>
      <c r="B110" s="409" t="s">
        <v>3844</v>
      </c>
      <c r="C110" s="399">
        <f t="shared" si="0"/>
        <v>2356</v>
      </c>
      <c r="D110" s="399" t="str">
        <f t="shared" si="1"/>
        <v>Prior methods used</v>
      </c>
      <c r="E110" s="399" t="str">
        <f t="shared" si="2"/>
        <v>Prior methods used</v>
      </c>
      <c r="F110" s="399" t="str">
        <f t="shared" si="20"/>
        <v>Data Element</v>
      </c>
      <c r="G110" s="400">
        <f t="shared" si="4"/>
        <v>49</v>
      </c>
      <c r="H110" s="400" t="str">
        <f t="shared" si="5"/>
        <v/>
      </c>
      <c r="I110" s="400"/>
      <c r="J110" s="400"/>
      <c r="K110" s="401" t="s">
        <v>3333</v>
      </c>
      <c r="L110" s="402" t="s">
        <v>3517</v>
      </c>
      <c r="M110" s="400"/>
      <c r="N110" s="427" t="s">
        <v>3477</v>
      </c>
      <c r="O110" s="428"/>
      <c r="P110" s="403" t="s">
        <v>3832</v>
      </c>
      <c r="Q110" s="403" t="s">
        <v>3833</v>
      </c>
      <c r="R110" s="403"/>
      <c r="S110" s="403" t="s">
        <v>3834</v>
      </c>
      <c r="T110" s="403" t="s">
        <v>3339</v>
      </c>
      <c r="U110" s="407" t="s">
        <v>3326</v>
      </c>
      <c r="V110" s="432" t="s">
        <v>3835</v>
      </c>
      <c r="W110" s="407"/>
      <c r="X110" s="407" t="s">
        <v>208</v>
      </c>
      <c r="Y110" s="403"/>
      <c r="Z110" s="403" t="s">
        <v>113</v>
      </c>
      <c r="AA110" s="403" t="s">
        <v>3178</v>
      </c>
      <c r="AB110" s="432" t="s">
        <v>3836</v>
      </c>
      <c r="AC110" s="421"/>
      <c r="AD110" s="436"/>
      <c r="AE110" s="406"/>
      <c r="AF110" s="407"/>
      <c r="AG110" s="407"/>
      <c r="AH110" s="399"/>
      <c r="AI110" s="400"/>
      <c r="AJ110" s="399"/>
      <c r="AK110" s="403" t="s">
        <v>3741</v>
      </c>
      <c r="AL110" s="403"/>
      <c r="AM110" s="403" t="s">
        <v>3100</v>
      </c>
      <c r="AN110" s="403" t="s">
        <v>3101</v>
      </c>
      <c r="AO110" s="399"/>
      <c r="AP110" s="409" t="s">
        <v>3845</v>
      </c>
      <c r="AQ110" s="440" t="s">
        <v>3424</v>
      </c>
      <c r="AR110" s="453" t="s">
        <v>3743</v>
      </c>
      <c r="AS110" s="453"/>
      <c r="AT110" s="399"/>
      <c r="AU110" s="399" t="s">
        <v>3838</v>
      </c>
      <c r="AV110" s="399" t="str">
        <f t="shared" si="6"/>
        <v>Changed</v>
      </c>
      <c r="AW110" s="399"/>
      <c r="AX110" s="409" t="s">
        <v>3104</v>
      </c>
      <c r="AY110" s="399" t="str">
        <f t="shared" si="7"/>
        <v>"Prior methods used"-&gt;"Prior contraceptive methods used - CarePlan-based"</v>
      </c>
      <c r="AZ110" s="409" t="s">
        <v>3105</v>
      </c>
      <c r="BA110" s="409">
        <v>1</v>
      </c>
      <c r="BB110" s="399"/>
      <c r="BC110" s="399"/>
      <c r="BD110" s="409"/>
      <c r="BE110" s="411"/>
      <c r="BF110" s="411"/>
      <c r="BG110" s="411"/>
      <c r="BH110" s="411"/>
      <c r="BI110" s="411"/>
      <c r="BJ110" s="409" t="s">
        <v>3106</v>
      </c>
      <c r="BK110" s="399"/>
      <c r="BL110" s="399"/>
      <c r="BM110" s="409"/>
      <c r="BN110" s="399"/>
      <c r="BO110" s="399"/>
      <c r="BP110" s="399"/>
      <c r="BQ110" s="399"/>
      <c r="BR110" s="399"/>
      <c r="BS110" s="407"/>
      <c r="BT110" s="407"/>
      <c r="BU110" s="412"/>
      <c r="BV110" s="46" t="str">
        <f t="shared" si="8"/>
        <v>CarePlan</v>
      </c>
      <c r="BW110" s="46" t="str">
        <f t="shared" si="9"/>
        <v/>
      </c>
      <c r="BX110" s="46" t="str">
        <f t="shared" si="10"/>
        <v>CarePlan</v>
      </c>
      <c r="BY110" s="43" t="str">
        <f t="shared" si="11"/>
        <v>WHO-Core CarePlan (Prior Contraceptive Methods)</v>
      </c>
      <c r="BZ110" s="46">
        <f t="shared" si="12"/>
        <v>1</v>
      </c>
      <c r="CA110" s="46">
        <f t="shared" si="13"/>
        <v>1</v>
      </c>
      <c r="CB110" s="46">
        <f t="shared" si="14"/>
        <v>1</v>
      </c>
      <c r="CC110" s="46">
        <f t="shared" si="15"/>
        <v>1</v>
      </c>
      <c r="CD110" s="46">
        <f t="shared" si="16"/>
        <v>1</v>
      </c>
      <c r="CE110" s="46">
        <f t="shared" si="17"/>
        <v>0</v>
      </c>
      <c r="CF110" s="46">
        <f t="shared" si="18"/>
        <v>0</v>
      </c>
      <c r="CG110" s="46" t="str">
        <f ca="1">IFERROR(__xludf.DUMMYFUNCTION("if(OR(BH110="""",LEFT(BH110,2)=""LA""),"""",IMPORTXML(CONCATENATE(""https://loinc.org/"",BH110,""/""),""//span[@id='lcn']""))"),"")</f>
        <v/>
      </c>
      <c r="CH110" s="46"/>
      <c r="CI110" s="46"/>
      <c r="CJ110" s="46"/>
      <c r="CK110" s="46"/>
      <c r="CL110" s="46"/>
      <c r="CM110" s="46"/>
      <c r="CN110" s="46"/>
      <c r="CO110" s="46"/>
      <c r="CP110" s="46"/>
      <c r="CQ110" s="46"/>
      <c r="CR110" s="46"/>
      <c r="CS110" s="46"/>
      <c r="CT110" s="46"/>
      <c r="CU110" s="46"/>
    </row>
    <row r="111" spans="1:99" ht="12.75" customHeight="1">
      <c r="A111" s="399">
        <v>1330</v>
      </c>
      <c r="B111" s="399" t="s">
        <v>3846</v>
      </c>
      <c r="C111" s="399">
        <f t="shared" si="0"/>
        <v>1330</v>
      </c>
      <c r="D111" s="399" t="str">
        <f t="shared" si="1"/>
        <v>Breastfeeding</v>
      </c>
      <c r="E111" s="399" t="str">
        <f t="shared" si="2"/>
        <v>Breastfeeding</v>
      </c>
      <c r="F111" s="399" t="str">
        <f t="shared" si="20"/>
        <v>Data Element</v>
      </c>
      <c r="G111" s="400">
        <f t="shared" si="4"/>
        <v>13</v>
      </c>
      <c r="H111" s="400" t="str">
        <f>IF(F111="Input Option",IF(H107="",B107,H107),"")</f>
        <v/>
      </c>
      <c r="I111" s="400"/>
      <c r="J111" s="400"/>
      <c r="K111" s="402" t="s">
        <v>3475</v>
      </c>
      <c r="L111" s="402" t="s">
        <v>3489</v>
      </c>
      <c r="M111" s="400"/>
      <c r="N111" s="427" t="s">
        <v>3477</v>
      </c>
      <c r="O111" s="41" t="s">
        <v>3847</v>
      </c>
      <c r="P111" s="454" t="s">
        <v>3848</v>
      </c>
      <c r="Q111" s="405" t="s">
        <v>3846</v>
      </c>
      <c r="R111" s="403"/>
      <c r="S111" s="403" t="s">
        <v>3849</v>
      </c>
      <c r="T111" s="407" t="s">
        <v>3169</v>
      </c>
      <c r="U111" s="407"/>
      <c r="V111" s="403" t="s">
        <v>3170</v>
      </c>
      <c r="W111" s="407"/>
      <c r="X111" s="405" t="s">
        <v>208</v>
      </c>
      <c r="Y111" s="403"/>
      <c r="Z111" s="403" t="s">
        <v>113</v>
      </c>
      <c r="AA111" s="403" t="s">
        <v>3178</v>
      </c>
      <c r="AB111" s="432" t="s">
        <v>3850</v>
      </c>
      <c r="AC111" s="407"/>
      <c r="AD111" s="403"/>
      <c r="AE111" s="406"/>
      <c r="AF111" s="407"/>
      <c r="AG111" s="407" t="s">
        <v>3851</v>
      </c>
      <c r="AH111" s="399"/>
      <c r="AI111" s="400"/>
      <c r="AJ111" s="399"/>
      <c r="AK111" s="409" t="s">
        <v>3410</v>
      </c>
      <c r="AL111" s="440" t="s">
        <v>3313</v>
      </c>
      <c r="AM111" s="403" t="s">
        <v>3100</v>
      </c>
      <c r="AN111" s="403" t="s">
        <v>3101</v>
      </c>
      <c r="AO111" s="399"/>
      <c r="AP111" s="409" t="s">
        <v>3852</v>
      </c>
      <c r="AQ111" s="409" t="s">
        <v>3424</v>
      </c>
      <c r="AR111" s="399"/>
      <c r="AS111" s="399"/>
      <c r="AT111" s="399"/>
      <c r="AU111" s="399" t="s">
        <v>3846</v>
      </c>
      <c r="AV111" s="399" t="str">
        <f t="shared" si="6"/>
        <v>Same</v>
      </c>
      <c r="AW111" s="399"/>
      <c r="AX111" s="409" t="s">
        <v>3104</v>
      </c>
      <c r="AY111" s="399" t="str">
        <f t="shared" si="7"/>
        <v/>
      </c>
      <c r="AZ111" s="409" t="s">
        <v>3105</v>
      </c>
      <c r="BA111" s="409">
        <v>1</v>
      </c>
      <c r="BB111" s="399"/>
      <c r="BC111" s="399"/>
      <c r="BD111" s="399" t="s">
        <v>3162</v>
      </c>
      <c r="BE111" s="411"/>
      <c r="BF111" s="411"/>
      <c r="BG111" s="411" t="s">
        <v>3853</v>
      </c>
      <c r="BH111" s="411"/>
      <c r="BI111" s="411"/>
      <c r="BJ111" s="399"/>
      <c r="BK111" s="399"/>
      <c r="BL111" s="399"/>
      <c r="BM111" s="399"/>
      <c r="BN111" s="399"/>
      <c r="BO111" s="399">
        <v>5632</v>
      </c>
      <c r="BP111" s="399"/>
      <c r="BQ111" s="399"/>
      <c r="BR111" s="399" t="s">
        <v>3854</v>
      </c>
      <c r="BS111" s="407"/>
      <c r="BT111" s="407"/>
      <c r="BU111" s="412"/>
      <c r="BV111" s="46" t="str">
        <f t="shared" si="8"/>
        <v>Observation</v>
      </c>
      <c r="BW111" s="46" t="str">
        <f t="shared" si="9"/>
        <v/>
      </c>
      <c r="BX111" s="46" t="str">
        <f t="shared" si="10"/>
        <v>Observation</v>
      </c>
      <c r="BY111" s="43" t="str">
        <f t="shared" si="11"/>
        <v>WHO-Core Observation (Breastfeeding)</v>
      </c>
      <c r="BZ111" s="46">
        <f t="shared" si="12"/>
        <v>1</v>
      </c>
      <c r="CA111" s="46">
        <f t="shared" si="13"/>
        <v>0</v>
      </c>
      <c r="CB111" s="46">
        <f t="shared" si="14"/>
        <v>1</v>
      </c>
      <c r="CC111" s="46">
        <f t="shared" si="15"/>
        <v>1</v>
      </c>
      <c r="CD111" s="46">
        <f t="shared" si="16"/>
        <v>1</v>
      </c>
      <c r="CE111" s="46">
        <f t="shared" si="17"/>
        <v>0</v>
      </c>
      <c r="CF111" s="46">
        <f t="shared" si="18"/>
        <v>0</v>
      </c>
      <c r="CG111" s="46" t="str">
        <f ca="1">IFERROR(__xludf.DUMMYFUNCTION("if(OR(BH111="""",LEFT(BH111,2)=""LA""),"""",IMPORTXML(CONCATENATE(""https://loinc.org/"",BH111,""/""),""//span[@id='lcn']""))"),"")</f>
        <v/>
      </c>
      <c r="CH111" s="46"/>
      <c r="CI111" s="46"/>
      <c r="CJ111" s="46"/>
      <c r="CK111" s="46"/>
      <c r="CL111" s="46"/>
      <c r="CM111" s="46"/>
      <c r="CN111" s="46"/>
      <c r="CO111" s="46"/>
      <c r="CP111" s="46"/>
      <c r="CQ111" s="46"/>
      <c r="CR111" s="46"/>
      <c r="CS111" s="46"/>
      <c r="CT111" s="46"/>
      <c r="CU111" s="46"/>
    </row>
    <row r="112" spans="1:99" ht="12.75" customHeight="1">
      <c r="A112" s="399">
        <v>1331</v>
      </c>
      <c r="B112" s="399" t="s">
        <v>3855</v>
      </c>
      <c r="C112" s="399">
        <f t="shared" si="0"/>
        <v>1331</v>
      </c>
      <c r="D112" s="399" t="str">
        <f t="shared" si="1"/>
        <v>Breastfeeding status</v>
      </c>
      <c r="E112" s="399" t="str">
        <f t="shared" si="2"/>
        <v>Breastfeeding status</v>
      </c>
      <c r="F112" s="399" t="str">
        <f t="shared" si="20"/>
        <v>Data Element</v>
      </c>
      <c r="G112" s="400">
        <f t="shared" si="4"/>
        <v>20</v>
      </c>
      <c r="H112" s="400" t="str">
        <f t="shared" ref="H112:H194" si="21">IF(F112="Input Option",IF(H111="",B111,H111),"")</f>
        <v/>
      </c>
      <c r="I112" s="400"/>
      <c r="J112" s="400"/>
      <c r="K112" s="401" t="s">
        <v>3333</v>
      </c>
      <c r="L112" s="402" t="s">
        <v>3489</v>
      </c>
      <c r="M112" s="400"/>
      <c r="N112" s="427" t="s">
        <v>3477</v>
      </c>
      <c r="O112" s="428"/>
      <c r="P112" s="403" t="s">
        <v>3856</v>
      </c>
      <c r="Q112" s="405" t="s">
        <v>3855</v>
      </c>
      <c r="R112" s="403"/>
      <c r="S112" s="403"/>
      <c r="T112" s="403" t="s">
        <v>3339</v>
      </c>
      <c r="U112" s="432" t="s">
        <v>3326</v>
      </c>
      <c r="V112" s="403"/>
      <c r="W112" s="407"/>
      <c r="X112" s="405" t="s">
        <v>208</v>
      </c>
      <c r="Y112" s="403"/>
      <c r="Z112" s="403" t="s">
        <v>113</v>
      </c>
      <c r="AA112" s="403" t="s">
        <v>3178</v>
      </c>
      <c r="AB112" s="432" t="s">
        <v>3857</v>
      </c>
      <c r="AC112" s="421"/>
      <c r="AD112" s="403"/>
      <c r="AE112" s="406"/>
      <c r="AF112" s="407"/>
      <c r="AG112" s="407"/>
      <c r="AH112" s="399"/>
      <c r="AI112" s="400"/>
      <c r="AJ112" s="399"/>
      <c r="AK112" s="440" t="s">
        <v>3410</v>
      </c>
      <c r="AL112" s="409" t="s">
        <v>3181</v>
      </c>
      <c r="AM112" s="409" t="s">
        <v>3100</v>
      </c>
      <c r="AN112" s="403" t="s">
        <v>3101</v>
      </c>
      <c r="AO112" s="399"/>
      <c r="AP112" s="409" t="s">
        <v>3858</v>
      </c>
      <c r="AQ112" s="409" t="s">
        <v>3424</v>
      </c>
      <c r="AR112" s="399"/>
      <c r="AS112" s="399"/>
      <c r="AT112" s="399"/>
      <c r="AU112" s="399" t="s">
        <v>3855</v>
      </c>
      <c r="AV112" s="399" t="str">
        <f t="shared" si="6"/>
        <v>Same</v>
      </c>
      <c r="AW112" s="399"/>
      <c r="AX112" s="409" t="s">
        <v>3343</v>
      </c>
      <c r="AY112" s="399" t="str">
        <f t="shared" si="7"/>
        <v/>
      </c>
      <c r="AZ112" s="399"/>
      <c r="BA112" s="409">
        <v>1</v>
      </c>
      <c r="BB112" s="399"/>
      <c r="BC112" s="399"/>
      <c r="BD112" s="399" t="s">
        <v>3162</v>
      </c>
      <c r="BE112" s="411"/>
      <c r="BF112" s="411"/>
      <c r="BG112" s="411"/>
      <c r="BH112" s="411" t="s">
        <v>3859</v>
      </c>
      <c r="BI112" s="411"/>
      <c r="BJ112" s="399"/>
      <c r="BK112" s="399"/>
      <c r="BL112" s="399"/>
      <c r="BM112" s="399"/>
      <c r="BN112" s="399"/>
      <c r="BO112" s="399"/>
      <c r="BP112" s="399"/>
      <c r="BQ112" s="399"/>
      <c r="BR112" s="399"/>
      <c r="BS112" s="407"/>
      <c r="BT112" s="407"/>
      <c r="BU112" s="412"/>
      <c r="BV112" s="46" t="str">
        <f t="shared" si="8"/>
        <v>Observation</v>
      </c>
      <c r="BW112" s="46" t="str">
        <f t="shared" si="9"/>
        <v/>
      </c>
      <c r="BX112" s="46" t="str">
        <f t="shared" si="10"/>
        <v>Observation</v>
      </c>
      <c r="BY112" s="43" t="str">
        <f t="shared" si="11"/>
        <v>WHO-FP Observation (Breastfeeding Status)</v>
      </c>
      <c r="BZ112" s="46">
        <f t="shared" si="12"/>
        <v>1</v>
      </c>
      <c r="CA112" s="46">
        <f t="shared" si="13"/>
        <v>1</v>
      </c>
      <c r="CB112" s="46">
        <f t="shared" si="14"/>
        <v>1</v>
      </c>
      <c r="CC112" s="46">
        <f t="shared" si="15"/>
        <v>1</v>
      </c>
      <c r="CD112" s="46">
        <f t="shared" si="16"/>
        <v>1</v>
      </c>
      <c r="CE112" s="46">
        <f t="shared" si="17"/>
        <v>0</v>
      </c>
      <c r="CF112" s="46">
        <f t="shared" si="18"/>
        <v>0</v>
      </c>
      <c r="CG112" s="46" t="str">
        <f ca="1">IFERROR(__xludf.DUMMYFUNCTION("if(OR(BH112="""",LEFT(BH112,2)=""LA""),"""",IMPORTXML(CONCATENATE(""https://loinc.org/"",BH112,""/""),""//span[@id='lcn']""))"),"Breastfeeding status")</f>
        <v>Breastfeeding status</v>
      </c>
      <c r="CH112" s="46"/>
      <c r="CI112" s="46"/>
      <c r="CJ112" s="46"/>
      <c r="CK112" s="46"/>
      <c r="CL112" s="46"/>
      <c r="CM112" s="46"/>
      <c r="CN112" s="46"/>
      <c r="CO112" s="46"/>
      <c r="CP112" s="46"/>
      <c r="CQ112" s="46"/>
      <c r="CR112" s="46"/>
      <c r="CS112" s="46"/>
      <c r="CT112" s="46"/>
      <c r="CU112" s="46"/>
    </row>
    <row r="113" spans="1:99" ht="12.75" customHeight="1">
      <c r="A113" s="399">
        <v>1333</v>
      </c>
      <c r="B113" s="399" t="s">
        <v>3860</v>
      </c>
      <c r="C113" s="399">
        <f t="shared" si="0"/>
        <v>1333</v>
      </c>
      <c r="D113" s="399" t="e">
        <f t="shared" ca="1" si="1"/>
        <v>#NAME?</v>
      </c>
      <c r="E113" s="399" t="str">
        <f t="shared" si="2"/>
        <v>Fully</v>
      </c>
      <c r="F113" s="399" t="str">
        <f t="shared" si="20"/>
        <v>Input Option</v>
      </c>
      <c r="G113" s="400">
        <f t="shared" si="4"/>
        <v>12</v>
      </c>
      <c r="H113" s="399" t="str">
        <f t="shared" si="21"/>
        <v>Breastfeeding status</v>
      </c>
      <c r="I113" s="400"/>
      <c r="J113" s="400"/>
      <c r="K113" s="401" t="s">
        <v>3333</v>
      </c>
      <c r="L113" s="402" t="s">
        <v>3489</v>
      </c>
      <c r="M113" s="400"/>
      <c r="N113" s="427" t="s">
        <v>3477</v>
      </c>
      <c r="O113" s="428"/>
      <c r="P113" s="403" t="s">
        <v>3861</v>
      </c>
      <c r="Q113" s="405"/>
      <c r="R113" s="403"/>
      <c r="S113" s="403" t="s">
        <v>3862</v>
      </c>
      <c r="T113" s="403"/>
      <c r="U113" s="407"/>
      <c r="V113" s="431" t="s">
        <v>3863</v>
      </c>
      <c r="W113" s="407"/>
      <c r="X113" s="405" t="s">
        <v>208</v>
      </c>
      <c r="Y113" s="403"/>
      <c r="Z113" s="403" t="s">
        <v>113</v>
      </c>
      <c r="AA113" s="403"/>
      <c r="AB113" s="408"/>
      <c r="AC113" s="407"/>
      <c r="AD113" s="403"/>
      <c r="AE113" s="406"/>
      <c r="AF113" s="407"/>
      <c r="AG113" s="407"/>
      <c r="AH113" s="399"/>
      <c r="AI113" s="400"/>
      <c r="AJ113" s="399"/>
      <c r="AK113" s="399"/>
      <c r="AL113" s="399"/>
      <c r="AM113" s="399"/>
      <c r="AN113" s="399"/>
      <c r="AO113" s="399"/>
      <c r="AP113" s="399"/>
      <c r="AQ113" s="409" t="s">
        <v>3424</v>
      </c>
      <c r="AR113" s="399"/>
      <c r="AS113" s="399"/>
      <c r="AT113" s="399"/>
      <c r="AU113" s="399" t="s">
        <v>3860</v>
      </c>
      <c r="AV113" s="399" t="str">
        <f t="shared" si="6"/>
        <v>Same</v>
      </c>
      <c r="AW113" s="399"/>
      <c r="AX113" s="409" t="s">
        <v>3343</v>
      </c>
      <c r="AY113" s="399" t="e">
        <f t="shared" ca="1" si="7"/>
        <v>#NAME?</v>
      </c>
      <c r="AZ113" s="399"/>
      <c r="BA113" s="409">
        <v>1</v>
      </c>
      <c r="BB113" s="399"/>
      <c r="BC113" s="399"/>
      <c r="BD113" s="399" t="s">
        <v>3162</v>
      </c>
      <c r="BE113" s="411"/>
      <c r="BF113" s="411"/>
      <c r="BG113" s="411"/>
      <c r="BH113" s="411" t="s">
        <v>3864</v>
      </c>
      <c r="BI113" s="411"/>
      <c r="BJ113" s="399"/>
      <c r="BK113" s="399"/>
      <c r="BL113" s="399"/>
      <c r="BM113" s="399"/>
      <c r="BN113" s="399"/>
      <c r="BO113" s="399"/>
      <c r="BP113" s="399"/>
      <c r="BQ113" s="399"/>
      <c r="BR113" s="399"/>
      <c r="BS113" s="407"/>
      <c r="BT113" s="407"/>
      <c r="BU113" s="412"/>
      <c r="BV113" s="46" t="str">
        <f t="shared" si="8"/>
        <v/>
      </c>
      <c r="BW113" s="46">
        <f t="shared" si="9"/>
        <v>0</v>
      </c>
      <c r="BX113" s="46">
        <f t="shared" si="10"/>
        <v>0</v>
      </c>
      <c r="BY113" s="43" t="str">
        <f t="shared" si="11"/>
        <v>WHO-FP Observation (Breastfeeding Status)</v>
      </c>
      <c r="BZ113" s="46">
        <f t="shared" si="12"/>
        <v>1</v>
      </c>
      <c r="CA113" s="46" t="str">
        <f t="shared" si="13"/>
        <v/>
      </c>
      <c r="CB113" s="46">
        <f t="shared" si="14"/>
        <v>1</v>
      </c>
      <c r="CC113" s="46">
        <f t="shared" si="15"/>
        <v>1</v>
      </c>
      <c r="CD113" s="46">
        <f t="shared" si="16"/>
        <v>1</v>
      </c>
      <c r="CE113" s="46">
        <f t="shared" si="17"/>
        <v>0</v>
      </c>
      <c r="CF113" s="46">
        <f t="shared" si="18"/>
        <v>0</v>
      </c>
      <c r="CG113" s="46" t="str">
        <f ca="1">IFERROR(__xludf.DUMMYFUNCTION("if(OR(BH113="""",LEFT(BH113,2)=""LA""),"""",IMPORTXML(CONCATENATE(""https://loinc.org/"",BH113,""/""),""//span[@id='lcn']""))"),"")</f>
        <v/>
      </c>
      <c r="CH113" s="46"/>
      <c r="CI113" s="46"/>
      <c r="CJ113" s="46"/>
      <c r="CK113" s="46"/>
      <c r="CL113" s="46"/>
      <c r="CM113" s="46"/>
      <c r="CN113" s="46"/>
      <c r="CO113" s="46"/>
      <c r="CP113" s="46"/>
      <c r="CQ113" s="46"/>
      <c r="CR113" s="46"/>
      <c r="CS113" s="46"/>
      <c r="CT113" s="46"/>
      <c r="CU113" s="46"/>
    </row>
    <row r="114" spans="1:99" ht="12.75" customHeight="1">
      <c r="A114" s="399">
        <v>1334</v>
      </c>
      <c r="B114" s="399" t="s">
        <v>3865</v>
      </c>
      <c r="C114" s="399">
        <f t="shared" si="0"/>
        <v>1334</v>
      </c>
      <c r="D114" s="399" t="e">
        <f t="shared" ca="1" si="1"/>
        <v>#NAME?</v>
      </c>
      <c r="E114" s="399" t="str">
        <f t="shared" si="2"/>
        <v>Partially</v>
      </c>
      <c r="F114" s="399" t="str">
        <f t="shared" si="20"/>
        <v>Input Option</v>
      </c>
      <c r="G114" s="400">
        <f t="shared" si="4"/>
        <v>16</v>
      </c>
      <c r="H114" s="399" t="str">
        <f t="shared" si="21"/>
        <v>Breastfeeding status</v>
      </c>
      <c r="I114" s="400"/>
      <c r="J114" s="400"/>
      <c r="K114" s="401" t="s">
        <v>3333</v>
      </c>
      <c r="L114" s="402" t="s">
        <v>3489</v>
      </c>
      <c r="M114" s="400"/>
      <c r="N114" s="427" t="s">
        <v>3477</v>
      </c>
      <c r="O114" s="428"/>
      <c r="P114" s="403" t="s">
        <v>3866</v>
      </c>
      <c r="Q114" s="405"/>
      <c r="R114" s="403"/>
      <c r="S114" s="403" t="s">
        <v>3867</v>
      </c>
      <c r="T114" s="403"/>
      <c r="U114" s="407"/>
      <c r="V114" s="431" t="s">
        <v>3868</v>
      </c>
      <c r="W114" s="407"/>
      <c r="X114" s="405" t="s">
        <v>208</v>
      </c>
      <c r="Y114" s="403"/>
      <c r="Z114" s="403" t="s">
        <v>113</v>
      </c>
      <c r="AA114" s="403"/>
      <c r="AB114" s="408"/>
      <c r="AC114" s="407"/>
      <c r="AD114" s="403"/>
      <c r="AE114" s="406"/>
      <c r="AF114" s="407"/>
      <c r="AG114" s="407"/>
      <c r="AH114" s="399"/>
      <c r="AI114" s="400"/>
      <c r="AJ114" s="399"/>
      <c r="AK114" s="399"/>
      <c r="AL114" s="399"/>
      <c r="AM114" s="399"/>
      <c r="AN114" s="399"/>
      <c r="AO114" s="399"/>
      <c r="AP114" s="399"/>
      <c r="AQ114" s="409" t="s">
        <v>3424</v>
      </c>
      <c r="AR114" s="399"/>
      <c r="AS114" s="399"/>
      <c r="AT114" s="399"/>
      <c r="AU114" s="399" t="s">
        <v>3865</v>
      </c>
      <c r="AV114" s="399" t="str">
        <f t="shared" si="6"/>
        <v>Same</v>
      </c>
      <c r="AW114" s="399"/>
      <c r="AX114" s="409" t="s">
        <v>3343</v>
      </c>
      <c r="AY114" s="399" t="e">
        <f t="shared" ca="1" si="7"/>
        <v>#NAME?</v>
      </c>
      <c r="AZ114" s="399"/>
      <c r="BA114" s="409">
        <v>1</v>
      </c>
      <c r="BB114" s="399"/>
      <c r="BC114" s="399"/>
      <c r="BD114" s="399" t="s">
        <v>3162</v>
      </c>
      <c r="BE114" s="411"/>
      <c r="BF114" s="411"/>
      <c r="BG114" s="434" t="s">
        <v>3869</v>
      </c>
      <c r="BH114" s="411" t="s">
        <v>3870</v>
      </c>
      <c r="BI114" s="411"/>
      <c r="BJ114" s="399"/>
      <c r="BK114" s="399"/>
      <c r="BL114" s="399"/>
      <c r="BM114" s="399" t="s">
        <v>3871</v>
      </c>
      <c r="BN114" s="399"/>
      <c r="BO114" s="399"/>
      <c r="BP114" s="399"/>
      <c r="BQ114" s="399"/>
      <c r="BR114" s="399"/>
      <c r="BS114" s="407"/>
      <c r="BT114" s="407"/>
      <c r="BU114" s="412"/>
      <c r="BV114" s="46" t="str">
        <f t="shared" si="8"/>
        <v/>
      </c>
      <c r="BW114" s="46">
        <f t="shared" si="9"/>
        <v>0</v>
      </c>
      <c r="BX114" s="46">
        <f t="shared" si="10"/>
        <v>0</v>
      </c>
      <c r="BY114" s="43" t="str">
        <f t="shared" si="11"/>
        <v>WHO-FP Observation (Breastfeeding Status)</v>
      </c>
      <c r="BZ114" s="46">
        <f t="shared" si="12"/>
        <v>1</v>
      </c>
      <c r="CA114" s="46" t="str">
        <f t="shared" si="13"/>
        <v/>
      </c>
      <c r="CB114" s="46">
        <f t="shared" si="14"/>
        <v>1</v>
      </c>
      <c r="CC114" s="46">
        <f t="shared" si="15"/>
        <v>1</v>
      </c>
      <c r="CD114" s="46">
        <f t="shared" si="16"/>
        <v>1</v>
      </c>
      <c r="CE114" s="46">
        <f t="shared" si="17"/>
        <v>0</v>
      </c>
      <c r="CF114" s="46">
        <f t="shared" si="18"/>
        <v>0</v>
      </c>
      <c r="CG114" s="46" t="str">
        <f ca="1">IFERROR(__xludf.DUMMYFUNCTION("if(OR(BH114="""",LEFT(BH114,2)=""LA""),"""",IMPORTXML(CONCATENATE(""https://loinc.org/"",BH114,""/""),""//span[@id='lcn']""))"),"")</f>
        <v/>
      </c>
      <c r="CH114" s="46"/>
      <c r="CI114" s="46"/>
      <c r="CJ114" s="46"/>
      <c r="CK114" s="46"/>
      <c r="CL114" s="46"/>
      <c r="CM114" s="46"/>
      <c r="CN114" s="46"/>
      <c r="CO114" s="46"/>
      <c r="CP114" s="46"/>
      <c r="CQ114" s="46"/>
      <c r="CR114" s="46"/>
      <c r="CS114" s="46"/>
      <c r="CT114" s="46"/>
      <c r="CU114" s="46"/>
    </row>
    <row r="115" spans="1:99" ht="12.75" customHeight="1">
      <c r="A115" s="399">
        <v>1336</v>
      </c>
      <c r="B115" s="399" t="s">
        <v>3872</v>
      </c>
      <c r="C115" s="399">
        <f t="shared" si="0"/>
        <v>1336</v>
      </c>
      <c r="D115" s="399" t="str">
        <f t="shared" si="1"/>
        <v>Date of delivery</v>
      </c>
      <c r="E115" s="399" t="str">
        <f t="shared" si="2"/>
        <v>Date of delivery</v>
      </c>
      <c r="F115" s="399" t="str">
        <f t="shared" si="20"/>
        <v>Data Element</v>
      </c>
      <c r="G115" s="400">
        <f t="shared" si="4"/>
        <v>16</v>
      </c>
      <c r="H115" s="400" t="str">
        <f t="shared" si="21"/>
        <v/>
      </c>
      <c r="I115" s="400"/>
      <c r="J115" s="400"/>
      <c r="K115" s="409" t="s">
        <v>3475</v>
      </c>
      <c r="L115" s="402" t="s">
        <v>3489</v>
      </c>
      <c r="M115" s="400"/>
      <c r="N115" s="427" t="s">
        <v>3477</v>
      </c>
      <c r="O115" s="41" t="s">
        <v>3873</v>
      </c>
      <c r="P115" s="440" t="s">
        <v>3874</v>
      </c>
      <c r="Q115" s="405" t="s">
        <v>3872</v>
      </c>
      <c r="R115" s="403"/>
      <c r="S115" s="403" t="s">
        <v>3875</v>
      </c>
      <c r="T115" s="403" t="s">
        <v>3158</v>
      </c>
      <c r="U115" s="407"/>
      <c r="V115" s="407"/>
      <c r="W115" s="407"/>
      <c r="X115" s="431" t="s">
        <v>3876</v>
      </c>
      <c r="Y115" s="404" t="s">
        <v>3877</v>
      </c>
      <c r="Z115" s="403" t="s">
        <v>113</v>
      </c>
      <c r="AA115" s="403" t="s">
        <v>3178</v>
      </c>
      <c r="AB115" s="432" t="s">
        <v>3878</v>
      </c>
      <c r="AC115" s="421"/>
      <c r="AD115" s="403"/>
      <c r="AE115" s="406"/>
      <c r="AF115" s="407"/>
      <c r="AG115" s="407"/>
      <c r="AH115" s="399"/>
      <c r="AI115" s="400"/>
      <c r="AJ115" s="399"/>
      <c r="AK115" s="409" t="s">
        <v>3410</v>
      </c>
      <c r="AL115" s="409" t="s">
        <v>3513</v>
      </c>
      <c r="AM115" s="409" t="s">
        <v>3100</v>
      </c>
      <c r="AN115" s="403" t="s">
        <v>3101</v>
      </c>
      <c r="AO115" s="399"/>
      <c r="AP115" s="409" t="s">
        <v>3879</v>
      </c>
      <c r="AQ115" s="409" t="s">
        <v>3424</v>
      </c>
      <c r="AR115" s="399"/>
      <c r="AS115" s="399"/>
      <c r="AT115" s="399"/>
      <c r="AU115" s="399" t="s">
        <v>3872</v>
      </c>
      <c r="AV115" s="399" t="str">
        <f t="shared" si="6"/>
        <v>Same</v>
      </c>
      <c r="AW115" s="399"/>
      <c r="AX115" s="409" t="s">
        <v>3104</v>
      </c>
      <c r="AY115" s="399" t="str">
        <f t="shared" si="7"/>
        <v/>
      </c>
      <c r="AZ115" s="399"/>
      <c r="BA115" s="409">
        <v>1</v>
      </c>
      <c r="BB115" s="399"/>
      <c r="BC115" s="399"/>
      <c r="BD115" s="399" t="s">
        <v>3880</v>
      </c>
      <c r="BE115" s="411"/>
      <c r="BF115" s="411"/>
      <c r="BG115" s="434" t="s">
        <v>3881</v>
      </c>
      <c r="BH115" s="434" t="s">
        <v>3882</v>
      </c>
      <c r="BI115" s="411"/>
      <c r="BJ115" s="399"/>
      <c r="BK115" s="409" t="s">
        <v>3883</v>
      </c>
      <c r="BL115" s="399"/>
      <c r="BM115" s="399"/>
      <c r="BN115" s="399"/>
      <c r="BO115" s="399"/>
      <c r="BP115" s="399"/>
      <c r="BQ115" s="399"/>
      <c r="BR115" s="399"/>
      <c r="BS115" s="407"/>
      <c r="BT115" s="407"/>
      <c r="BU115" s="412"/>
      <c r="BV115" s="46" t="str">
        <f t="shared" si="8"/>
        <v>Observation</v>
      </c>
      <c r="BW115" s="46" t="str">
        <f t="shared" si="9"/>
        <v/>
      </c>
      <c r="BX115" s="46" t="str">
        <f t="shared" si="10"/>
        <v>Observation</v>
      </c>
      <c r="BY115" s="43" t="str">
        <f t="shared" si="11"/>
        <v>WHO-Core Observation (Date of Delivery)</v>
      </c>
      <c r="BZ115" s="46">
        <f t="shared" si="12"/>
        <v>1</v>
      </c>
      <c r="CA115" s="46">
        <f t="shared" si="13"/>
        <v>0</v>
      </c>
      <c r="CB115" s="46">
        <f t="shared" si="14"/>
        <v>1</v>
      </c>
      <c r="CC115" s="46">
        <f t="shared" si="15"/>
        <v>1</v>
      </c>
      <c r="CD115" s="46">
        <f t="shared" si="16"/>
        <v>1</v>
      </c>
      <c r="CE115" s="46">
        <f t="shared" si="17"/>
        <v>0</v>
      </c>
      <c r="CF115" s="46">
        <f t="shared" si="18"/>
        <v>0</v>
      </c>
      <c r="CG115" s="46" t="str">
        <f ca="1">IFERROR(__xludf.DUMMYFUNCTION("if(OR(BH115="""",LEFT(BH115,2)=""LA""),"""",IMPORTXML(CONCATENATE(""https://loinc.org/"",BH115,""/""),""//span[@id='lcn']""))"),"Delivery date")</f>
        <v>Delivery date</v>
      </c>
      <c r="CH115" s="46"/>
      <c r="CI115" s="46"/>
      <c r="CJ115" s="46"/>
      <c r="CK115" s="46"/>
      <c r="CL115" s="46"/>
      <c r="CM115" s="46"/>
      <c r="CN115" s="46"/>
      <c r="CO115" s="46"/>
      <c r="CP115" s="46"/>
      <c r="CQ115" s="46"/>
      <c r="CR115" s="46"/>
      <c r="CS115" s="46"/>
      <c r="CT115" s="46"/>
      <c r="CU115" s="46"/>
    </row>
    <row r="116" spans="1:99" ht="12.75" customHeight="1">
      <c r="A116" s="399">
        <v>1337</v>
      </c>
      <c r="B116" s="399" t="s">
        <v>3884</v>
      </c>
      <c r="C116" s="399">
        <f t="shared" si="0"/>
        <v>1337</v>
      </c>
      <c r="D116" s="399" t="str">
        <f t="shared" si="1"/>
        <v>Time postpartum</v>
      </c>
      <c r="E116" s="399" t="str">
        <f t="shared" si="2"/>
        <v>Time postpartum</v>
      </c>
      <c r="F116" s="399" t="str">
        <f t="shared" si="20"/>
        <v>Data Element</v>
      </c>
      <c r="G116" s="400">
        <f t="shared" si="4"/>
        <v>15</v>
      </c>
      <c r="H116" s="400" t="str">
        <f t="shared" si="21"/>
        <v/>
      </c>
      <c r="I116" s="400"/>
      <c r="J116" s="400"/>
      <c r="K116" s="402" t="s">
        <v>3475</v>
      </c>
      <c r="L116" s="402" t="s">
        <v>3489</v>
      </c>
      <c r="M116" s="400"/>
      <c r="N116" s="456" t="s">
        <v>3885</v>
      </c>
      <c r="O116" s="441" t="s">
        <v>3886</v>
      </c>
      <c r="P116" s="454" t="s">
        <v>3887</v>
      </c>
      <c r="Q116" s="405" t="s">
        <v>3884</v>
      </c>
      <c r="R116" s="403"/>
      <c r="S116" s="403" t="s">
        <v>3888</v>
      </c>
      <c r="T116" s="403" t="s">
        <v>3158</v>
      </c>
      <c r="U116" s="407"/>
      <c r="V116" s="431"/>
      <c r="W116" s="407"/>
      <c r="X116" s="405" t="s">
        <v>208</v>
      </c>
      <c r="Y116" s="403"/>
      <c r="Z116" s="403" t="s">
        <v>113</v>
      </c>
      <c r="AA116" s="403" t="s">
        <v>3178</v>
      </c>
      <c r="AB116" s="432" t="s">
        <v>3878</v>
      </c>
      <c r="AC116" s="421"/>
      <c r="AD116" s="403"/>
      <c r="AE116" s="406"/>
      <c r="AF116" s="403" t="s">
        <v>3889</v>
      </c>
      <c r="AG116" s="407" t="s">
        <v>3890</v>
      </c>
      <c r="AH116" s="399"/>
      <c r="AI116" s="400"/>
      <c r="AJ116" s="399"/>
      <c r="AK116" s="409" t="s">
        <v>3410</v>
      </c>
      <c r="AL116" s="409" t="s">
        <v>3456</v>
      </c>
      <c r="AM116" s="409" t="s">
        <v>3100</v>
      </c>
      <c r="AN116" s="409" t="s">
        <v>3101</v>
      </c>
      <c r="AO116" s="399"/>
      <c r="AP116" s="409" t="s">
        <v>3891</v>
      </c>
      <c r="AQ116" s="409" t="s">
        <v>3424</v>
      </c>
      <c r="AR116" s="399"/>
      <c r="AS116" s="399"/>
      <c r="AT116" s="409" t="s">
        <v>3892</v>
      </c>
      <c r="AU116" s="399" t="s">
        <v>3884</v>
      </c>
      <c r="AV116" s="399" t="str">
        <f t="shared" si="6"/>
        <v>Same</v>
      </c>
      <c r="AW116" s="399"/>
      <c r="AX116" s="409" t="s">
        <v>3104</v>
      </c>
      <c r="AY116" s="399" t="str">
        <f t="shared" si="7"/>
        <v/>
      </c>
      <c r="AZ116" s="409" t="s">
        <v>3105</v>
      </c>
      <c r="BA116" s="409">
        <v>1</v>
      </c>
      <c r="BB116" s="399"/>
      <c r="BC116" s="399"/>
      <c r="BD116" s="409" t="s">
        <v>3893</v>
      </c>
      <c r="BE116" s="411"/>
      <c r="BF116" s="411"/>
      <c r="BG116" s="411" t="s">
        <v>3894</v>
      </c>
      <c r="BH116" s="411"/>
      <c r="BI116" s="411"/>
      <c r="BJ116" s="399"/>
      <c r="BK116" s="399"/>
      <c r="BL116" s="399"/>
      <c r="BM116" s="399"/>
      <c r="BN116" s="399"/>
      <c r="BO116" s="399"/>
      <c r="BP116" s="399"/>
      <c r="BQ116" s="399"/>
      <c r="BR116" s="399"/>
      <c r="BS116" s="407"/>
      <c r="BT116" s="407"/>
      <c r="BU116" s="412"/>
      <c r="BV116" s="46" t="str">
        <f t="shared" si="8"/>
        <v>Observation</v>
      </c>
      <c r="BW116" s="46" t="str">
        <f t="shared" si="9"/>
        <v/>
      </c>
      <c r="BX116" s="46" t="str">
        <f t="shared" si="10"/>
        <v>Observation</v>
      </c>
      <c r="BY116" s="43" t="str">
        <f t="shared" si="11"/>
        <v>WHO-Core Observation (Time Postpartum)</v>
      </c>
      <c r="BZ116" s="46">
        <f t="shared" si="12"/>
        <v>1</v>
      </c>
      <c r="CA116" s="46">
        <f t="shared" si="13"/>
        <v>0</v>
      </c>
      <c r="CB116" s="46">
        <f t="shared" si="14"/>
        <v>1</v>
      </c>
      <c r="CC116" s="46">
        <f t="shared" si="15"/>
        <v>1</v>
      </c>
      <c r="CD116" s="46">
        <f t="shared" si="16"/>
        <v>1</v>
      </c>
      <c r="CE116" s="46">
        <f t="shared" si="17"/>
        <v>0</v>
      </c>
      <c r="CF116" s="46">
        <f t="shared" si="18"/>
        <v>0</v>
      </c>
      <c r="CG116" s="46" t="str">
        <f ca="1">IFERROR(__xludf.DUMMYFUNCTION("if(OR(BH116="""",LEFT(BH116,2)=""LA""),"""",IMPORTXML(CONCATENATE(""https://loinc.org/"",BH116,""/""),""//span[@id='lcn']""))"),"")</f>
        <v/>
      </c>
      <c r="CH116" s="46"/>
      <c r="CI116" s="46"/>
      <c r="CJ116" s="46"/>
      <c r="CK116" s="46"/>
      <c r="CL116" s="46"/>
      <c r="CM116" s="46"/>
      <c r="CN116" s="46"/>
      <c r="CO116" s="46"/>
      <c r="CP116" s="46"/>
      <c r="CQ116" s="46"/>
      <c r="CR116" s="46"/>
      <c r="CS116" s="46"/>
      <c r="CT116" s="46"/>
      <c r="CU116" s="46"/>
    </row>
    <row r="117" spans="1:99" ht="12.75" customHeight="1">
      <c r="A117" s="399">
        <v>1329</v>
      </c>
      <c r="B117" s="399" t="s">
        <v>3895</v>
      </c>
      <c r="C117" s="399">
        <f t="shared" si="0"/>
        <v>1329</v>
      </c>
      <c r="D117" s="399" t="str">
        <f t="shared" si="1"/>
        <v>Postpartum</v>
      </c>
      <c r="E117" s="399" t="str">
        <f t="shared" si="2"/>
        <v>Postpartum</v>
      </c>
      <c r="F117" s="399" t="str">
        <f t="shared" si="20"/>
        <v>Data Element</v>
      </c>
      <c r="G117" s="400">
        <f t="shared" si="4"/>
        <v>10</v>
      </c>
      <c r="H117" s="400" t="str">
        <f t="shared" si="21"/>
        <v/>
      </c>
      <c r="I117" s="400"/>
      <c r="J117" s="400"/>
      <c r="K117" s="401" t="s">
        <v>3333</v>
      </c>
      <c r="L117" s="402" t="s">
        <v>3489</v>
      </c>
      <c r="M117" s="400"/>
      <c r="N117" s="456" t="s">
        <v>3885</v>
      </c>
      <c r="O117" s="41" t="s">
        <v>3896</v>
      </c>
      <c r="P117" s="440" t="s">
        <v>3897</v>
      </c>
      <c r="Q117" s="403" t="s">
        <v>3895</v>
      </c>
      <c r="R117" s="403"/>
      <c r="S117" s="403" t="s">
        <v>3898</v>
      </c>
      <c r="T117" s="403" t="s">
        <v>3169</v>
      </c>
      <c r="U117" s="407"/>
      <c r="V117" s="407" t="s">
        <v>3170</v>
      </c>
      <c r="W117" s="407" t="s">
        <v>3899</v>
      </c>
      <c r="X117" s="403" t="s">
        <v>208</v>
      </c>
      <c r="Y117" s="403" t="s">
        <v>3900</v>
      </c>
      <c r="Z117" s="403" t="s">
        <v>113</v>
      </c>
      <c r="AA117" s="403" t="s">
        <v>3178</v>
      </c>
      <c r="AB117" s="432" t="s">
        <v>3850</v>
      </c>
      <c r="AC117" s="407"/>
      <c r="AD117" s="403"/>
      <c r="AE117" s="406"/>
      <c r="AF117" s="407"/>
      <c r="AG117" s="407"/>
      <c r="AH117" s="399"/>
      <c r="AI117" s="400"/>
      <c r="AJ117" s="399"/>
      <c r="AK117" s="409" t="s">
        <v>3410</v>
      </c>
      <c r="AL117" s="440" t="s">
        <v>3313</v>
      </c>
      <c r="AM117" s="409" t="s">
        <v>3100</v>
      </c>
      <c r="AN117" s="403" t="s">
        <v>3101</v>
      </c>
      <c r="AO117" s="399"/>
      <c r="AP117" s="409" t="s">
        <v>3901</v>
      </c>
      <c r="AQ117" s="409" t="s">
        <v>3424</v>
      </c>
      <c r="AR117" s="399"/>
      <c r="AS117" s="399"/>
      <c r="AT117" s="399"/>
      <c r="AU117" s="399" t="s">
        <v>3895</v>
      </c>
      <c r="AV117" s="399" t="str">
        <f t="shared" si="6"/>
        <v>Same</v>
      </c>
      <c r="AW117" s="399"/>
      <c r="AX117" s="409" t="s">
        <v>3104</v>
      </c>
      <c r="AY117" s="399" t="str">
        <f t="shared" si="7"/>
        <v/>
      </c>
      <c r="AZ117" s="409" t="s">
        <v>3105</v>
      </c>
      <c r="BA117" s="409">
        <v>1</v>
      </c>
      <c r="BB117" s="399"/>
      <c r="BC117" s="399"/>
      <c r="BD117" s="399" t="s">
        <v>3162</v>
      </c>
      <c r="BE117" s="411"/>
      <c r="BF117" s="411"/>
      <c r="BG117" s="434" t="s">
        <v>3902</v>
      </c>
      <c r="BH117" s="411" t="s">
        <v>3903</v>
      </c>
      <c r="BI117" s="411"/>
      <c r="BJ117" s="399"/>
      <c r="BK117" s="399"/>
      <c r="BL117" s="399"/>
      <c r="BM117" s="399" t="s">
        <v>3904</v>
      </c>
      <c r="BN117" s="399"/>
      <c r="BO117" s="399">
        <v>1180</v>
      </c>
      <c r="BP117" s="399"/>
      <c r="BQ117" s="399"/>
      <c r="BR117" s="399" t="s">
        <v>3905</v>
      </c>
      <c r="BS117" s="407"/>
      <c r="BT117" s="407"/>
      <c r="BU117" s="412"/>
      <c r="BV117" s="46" t="str">
        <f t="shared" si="8"/>
        <v>Observation</v>
      </c>
      <c r="BW117" s="46" t="str">
        <f t="shared" si="9"/>
        <v/>
      </c>
      <c r="BX117" s="46" t="str">
        <f t="shared" si="10"/>
        <v>Observation</v>
      </c>
      <c r="BY117" s="43" t="str">
        <f t="shared" si="11"/>
        <v>WHO-Core Observation (Postpartum)</v>
      </c>
      <c r="BZ117" s="46">
        <f t="shared" si="12"/>
        <v>1</v>
      </c>
      <c r="CA117" s="46">
        <f t="shared" si="13"/>
        <v>0</v>
      </c>
      <c r="CB117" s="46">
        <f t="shared" si="14"/>
        <v>1</v>
      </c>
      <c r="CC117" s="46">
        <f t="shared" si="15"/>
        <v>1</v>
      </c>
      <c r="CD117" s="46">
        <f t="shared" si="16"/>
        <v>1</v>
      </c>
      <c r="CE117" s="46">
        <f t="shared" si="17"/>
        <v>0</v>
      </c>
      <c r="CF117" s="46">
        <f t="shared" si="18"/>
        <v>0</v>
      </c>
      <c r="CG117" s="46" t="str">
        <f ca="1">IFERROR(__xludf.DUMMYFUNCTION("if(OR(BH117="""",LEFT(BH117,2)=""LA""),"""",IMPORTXML(CONCATENATE(""https://loinc.org/"",BH117,""/""),""//span[@id='lcn']""))"),"post partum")</f>
        <v>post partum</v>
      </c>
      <c r="CH117" s="46"/>
      <c r="CI117" s="46"/>
      <c r="CJ117" s="46"/>
      <c r="CK117" s="46"/>
      <c r="CL117" s="46"/>
      <c r="CM117" s="46"/>
      <c r="CN117" s="46"/>
      <c r="CO117" s="46"/>
      <c r="CP117" s="46"/>
      <c r="CQ117" s="46"/>
      <c r="CR117" s="46"/>
      <c r="CS117" s="46"/>
      <c r="CT117" s="46"/>
      <c r="CU117" s="46"/>
    </row>
    <row r="118" spans="1:99" ht="12.75" customHeight="1">
      <c r="A118" s="399">
        <v>1338</v>
      </c>
      <c r="B118" s="399" t="s">
        <v>3906</v>
      </c>
      <c r="C118" s="399">
        <f t="shared" si="0"/>
        <v>1338</v>
      </c>
      <c r="D118" s="399" t="str">
        <f t="shared" si="1"/>
        <v>Recent miscarriage or post-abortion</v>
      </c>
      <c r="E118" s="399" t="str">
        <f t="shared" si="2"/>
        <v>Recent miscarriage or post-abortion</v>
      </c>
      <c r="F118" s="409" t="s">
        <v>3164</v>
      </c>
      <c r="G118" s="400">
        <f t="shared" si="4"/>
        <v>35</v>
      </c>
      <c r="H118" s="400" t="str">
        <f t="shared" si="21"/>
        <v/>
      </c>
      <c r="I118" s="400"/>
      <c r="J118" s="400"/>
      <c r="K118" s="401" t="s">
        <v>3333</v>
      </c>
      <c r="L118" s="402" t="s">
        <v>3489</v>
      </c>
      <c r="M118" s="400"/>
      <c r="N118" s="427" t="s">
        <v>3477</v>
      </c>
      <c r="O118" s="428"/>
      <c r="P118" s="405" t="s">
        <v>3907</v>
      </c>
      <c r="Q118" s="405" t="s">
        <v>3906</v>
      </c>
      <c r="R118" s="403"/>
      <c r="S118" s="403" t="s">
        <v>3908</v>
      </c>
      <c r="T118" s="403" t="s">
        <v>3169</v>
      </c>
      <c r="U118" s="407"/>
      <c r="V118" s="407" t="s">
        <v>3170</v>
      </c>
      <c r="W118" s="407"/>
      <c r="X118" s="405" t="s">
        <v>208</v>
      </c>
      <c r="Y118" s="403"/>
      <c r="Z118" s="403" t="s">
        <v>113</v>
      </c>
      <c r="AA118" s="403" t="s">
        <v>3178</v>
      </c>
      <c r="AB118" s="408"/>
      <c r="AC118" s="407"/>
      <c r="AD118" s="403"/>
      <c r="AE118" s="406"/>
      <c r="AF118" s="407"/>
      <c r="AG118" s="407"/>
      <c r="AH118" s="399"/>
      <c r="AI118" s="400"/>
      <c r="AJ118" s="399"/>
      <c r="AK118" s="409"/>
      <c r="AL118" s="440"/>
      <c r="AM118" s="409"/>
      <c r="AN118" s="403"/>
      <c r="AO118" s="399"/>
      <c r="AP118" s="409"/>
      <c r="AQ118" s="409"/>
      <c r="AR118" s="399"/>
      <c r="AS118" s="399"/>
      <c r="AT118" s="399"/>
      <c r="AU118" s="399" t="s">
        <v>3906</v>
      </c>
      <c r="AV118" s="399" t="str">
        <f t="shared" si="6"/>
        <v>Same</v>
      </c>
      <c r="AW118" s="399"/>
      <c r="AX118" s="409" t="s">
        <v>3343</v>
      </c>
      <c r="AY118" s="399" t="str">
        <f t="shared" si="7"/>
        <v/>
      </c>
      <c r="AZ118" s="399"/>
      <c r="BA118" s="409">
        <v>1</v>
      </c>
      <c r="BB118" s="399"/>
      <c r="BC118" s="399"/>
      <c r="BD118" s="399" t="s">
        <v>3909</v>
      </c>
      <c r="BE118" s="434" t="s">
        <v>3910</v>
      </c>
      <c r="BF118" s="411"/>
      <c r="BG118" s="434" t="s">
        <v>3911</v>
      </c>
      <c r="BH118" s="434" t="s">
        <v>3912</v>
      </c>
      <c r="BI118" s="411"/>
      <c r="BJ118" s="399"/>
      <c r="BK118" s="399"/>
      <c r="BL118" s="399"/>
      <c r="BM118" s="399" t="s">
        <v>3913</v>
      </c>
      <c r="BN118" s="399" t="s">
        <v>3914</v>
      </c>
      <c r="BO118" s="399"/>
      <c r="BP118" s="399"/>
      <c r="BQ118" s="399"/>
      <c r="BR118" s="399"/>
      <c r="BS118" s="407"/>
      <c r="BT118" s="407"/>
      <c r="BU118" s="412"/>
      <c r="BV118" s="46" t="str">
        <f t="shared" si="8"/>
        <v/>
      </c>
      <c r="BW118" s="46" t="str">
        <f t="shared" si="9"/>
        <v/>
      </c>
      <c r="BX118" s="46" t="str">
        <f t="shared" si="10"/>
        <v/>
      </c>
      <c r="BY118" s="43" t="str">
        <f t="shared" si="11"/>
        <v/>
      </c>
      <c r="BZ118" s="46">
        <f t="shared" si="12"/>
        <v>1</v>
      </c>
      <c r="CA118" s="46" t="str">
        <f t="shared" si="13"/>
        <v/>
      </c>
      <c r="CB118" s="46">
        <f t="shared" si="14"/>
        <v>1</v>
      </c>
      <c r="CC118" s="46">
        <f t="shared" si="15"/>
        <v>1</v>
      </c>
      <c r="CD118" s="46">
        <f t="shared" si="16"/>
        <v>1</v>
      </c>
      <c r="CE118" s="46">
        <f t="shared" si="17"/>
        <v>0</v>
      </c>
      <c r="CF118" s="46">
        <f t="shared" si="18"/>
        <v>0</v>
      </c>
      <c r="CG118" s="46" t="str">
        <f ca="1">IFERROR(__xludf.DUMMYFUNCTION("if(OR(BH118="""",LEFT(BH118,2)=""LA""),"""",IMPORTXML(CONCATENATE(""https://loinc.org/"",BH118,""/""),""//span[@id='lcn']""))"),"")</f>
        <v/>
      </c>
      <c r="CH118" s="46"/>
      <c r="CI118" s="46"/>
      <c r="CJ118" s="46"/>
      <c r="CK118" s="46"/>
      <c r="CL118" s="46"/>
      <c r="CM118" s="46"/>
      <c r="CN118" s="46"/>
      <c r="CO118" s="46"/>
      <c r="CP118" s="46"/>
      <c r="CQ118" s="46"/>
      <c r="CR118" s="46"/>
      <c r="CS118" s="46"/>
      <c r="CT118" s="46"/>
      <c r="CU118" s="46"/>
    </row>
    <row r="119" spans="1:99" ht="12.75" customHeight="1">
      <c r="A119" s="409">
        <v>2382</v>
      </c>
      <c r="B119" s="409" t="s">
        <v>3915</v>
      </c>
      <c r="C119" s="399"/>
      <c r="D119" s="399"/>
      <c r="E119" s="399"/>
      <c r="F119" s="409" t="s">
        <v>96</v>
      </c>
      <c r="G119" s="400"/>
      <c r="H119" s="400" t="str">
        <f t="shared" si="21"/>
        <v/>
      </c>
      <c r="I119" s="400"/>
      <c r="J119" s="400"/>
      <c r="K119" s="402"/>
      <c r="L119" s="402"/>
      <c r="M119" s="400"/>
      <c r="N119" s="427"/>
      <c r="O119" s="41"/>
      <c r="P119" s="405"/>
      <c r="Q119" s="419"/>
      <c r="R119" s="403"/>
      <c r="S119" s="403"/>
      <c r="T119" s="403"/>
      <c r="U119" s="407"/>
      <c r="V119" s="431"/>
      <c r="W119" s="407"/>
      <c r="X119" s="405"/>
      <c r="Y119" s="403"/>
      <c r="Z119" s="403"/>
      <c r="AA119" s="403"/>
      <c r="AB119" s="408"/>
      <c r="AC119" s="407"/>
      <c r="AD119" s="403"/>
      <c r="AE119" s="406"/>
      <c r="AF119" s="407"/>
      <c r="AG119" s="407"/>
      <c r="AH119" s="399"/>
      <c r="AI119" s="400"/>
      <c r="AJ119" s="399"/>
      <c r="AK119" s="409" t="s">
        <v>3916</v>
      </c>
      <c r="AL119" s="409"/>
      <c r="AM119" s="409" t="s">
        <v>3100</v>
      </c>
      <c r="AN119" s="403" t="s">
        <v>3101</v>
      </c>
      <c r="AO119" s="399"/>
      <c r="AP119" s="409" t="s">
        <v>3917</v>
      </c>
      <c r="AQ119" s="409" t="s">
        <v>3424</v>
      </c>
      <c r="AR119" s="399"/>
      <c r="AS119" s="399"/>
      <c r="AT119" s="399"/>
      <c r="AU119" s="399"/>
      <c r="AV119" s="399"/>
      <c r="AW119" s="399"/>
      <c r="AX119" s="409" t="s">
        <v>3104</v>
      </c>
      <c r="AY119" s="399"/>
      <c r="AZ119" s="399"/>
      <c r="BA119" s="409">
        <v>1</v>
      </c>
      <c r="BB119" s="399"/>
      <c r="BC119" s="399"/>
      <c r="BD119" s="399"/>
      <c r="BE119" s="434"/>
      <c r="BF119" s="411"/>
      <c r="BG119" s="434"/>
      <c r="BH119" s="434"/>
      <c r="BI119" s="411"/>
      <c r="BJ119" s="409" t="s">
        <v>3106</v>
      </c>
      <c r="BK119" s="399"/>
      <c r="BL119" s="399"/>
      <c r="BM119" s="399"/>
      <c r="BN119" s="458"/>
      <c r="BO119" s="399"/>
      <c r="BP119" s="399"/>
      <c r="BQ119" s="399"/>
      <c r="BR119" s="399"/>
      <c r="BS119" s="407"/>
      <c r="BT119" s="407"/>
      <c r="BU119" s="412"/>
      <c r="BV119" s="46" t="str">
        <f t="shared" si="8"/>
        <v>Observation</v>
      </c>
      <c r="BW119" s="46" t="str">
        <f t="shared" si="9"/>
        <v/>
      </c>
      <c r="BX119" s="46" t="str">
        <f t="shared" si="10"/>
        <v>Observation</v>
      </c>
      <c r="BY119" s="43" t="str">
        <f t="shared" si="11"/>
        <v>WHO-Core Observation (Miscarriage or Abortion)</v>
      </c>
      <c r="BZ119" s="46">
        <f t="shared" si="12"/>
        <v>1</v>
      </c>
      <c r="CA119" s="46">
        <f t="shared" si="13"/>
        <v>1</v>
      </c>
      <c r="CB119" s="46">
        <f t="shared" si="14"/>
        <v>1</v>
      </c>
      <c r="CC119" s="46">
        <f t="shared" si="15"/>
        <v>1</v>
      </c>
      <c r="CD119" s="46">
        <f t="shared" si="16"/>
        <v>1</v>
      </c>
      <c r="CE119" s="46">
        <f t="shared" si="17"/>
        <v>0</v>
      </c>
      <c r="CF119" s="46">
        <f t="shared" si="18"/>
        <v>0</v>
      </c>
      <c r="CG119" s="46"/>
      <c r="CH119" s="46"/>
      <c r="CI119" s="46"/>
      <c r="CJ119" s="46"/>
      <c r="CK119" s="46"/>
      <c r="CL119" s="46"/>
      <c r="CM119" s="46"/>
      <c r="CN119" s="46"/>
      <c r="CO119" s="46"/>
      <c r="CP119" s="46"/>
      <c r="CQ119" s="46"/>
      <c r="CR119" s="46"/>
      <c r="CS119" s="46"/>
      <c r="CT119" s="46"/>
      <c r="CU119" s="46"/>
    </row>
    <row r="120" spans="1:99" ht="12.75" customHeight="1">
      <c r="A120" s="409">
        <v>2383</v>
      </c>
      <c r="B120" s="409" t="s">
        <v>3918</v>
      </c>
      <c r="C120" s="399"/>
      <c r="D120" s="399"/>
      <c r="E120" s="399"/>
      <c r="F120" s="409" t="s">
        <v>180</v>
      </c>
      <c r="G120" s="400"/>
      <c r="H120" s="400" t="str">
        <f t="shared" si="21"/>
        <v>Miscarriage or Abortion</v>
      </c>
      <c r="I120" s="400"/>
      <c r="J120" s="400"/>
      <c r="K120" s="402"/>
      <c r="L120" s="402"/>
      <c r="M120" s="400"/>
      <c r="N120" s="427"/>
      <c r="O120" s="41"/>
      <c r="P120" s="405"/>
      <c r="Q120" s="419"/>
      <c r="R120" s="403"/>
      <c r="S120" s="403"/>
      <c r="T120" s="403"/>
      <c r="U120" s="407"/>
      <c r="V120" s="431"/>
      <c r="W120" s="407"/>
      <c r="X120" s="405"/>
      <c r="Y120" s="403"/>
      <c r="Z120" s="403"/>
      <c r="AA120" s="403"/>
      <c r="AB120" s="408"/>
      <c r="AC120" s="407"/>
      <c r="AD120" s="403"/>
      <c r="AE120" s="406"/>
      <c r="AF120" s="407"/>
      <c r="AG120" s="407"/>
      <c r="AH120" s="399"/>
      <c r="AI120" s="400"/>
      <c r="AJ120" s="399"/>
      <c r="AK120" s="409"/>
      <c r="AL120" s="409"/>
      <c r="AM120" s="409"/>
      <c r="AN120" s="403"/>
      <c r="AO120" s="399"/>
      <c r="AP120" s="409"/>
      <c r="AQ120" s="409" t="s">
        <v>3424</v>
      </c>
      <c r="AR120" s="399"/>
      <c r="AS120" s="399"/>
      <c r="AT120" s="399"/>
      <c r="AU120" s="399"/>
      <c r="AV120" s="399"/>
      <c r="AW120" s="399"/>
      <c r="AX120" s="409" t="s">
        <v>3104</v>
      </c>
      <c r="AY120" s="399"/>
      <c r="AZ120" s="399"/>
      <c r="BA120" s="409">
        <v>1</v>
      </c>
      <c r="BB120" s="399"/>
      <c r="BC120" s="399"/>
      <c r="BD120" s="399"/>
      <c r="BE120" s="434" t="s">
        <v>3910</v>
      </c>
      <c r="BF120" s="411"/>
      <c r="BG120" s="459" t="s">
        <v>3919</v>
      </c>
      <c r="BH120" s="434" t="s">
        <v>3920</v>
      </c>
      <c r="BI120" s="411"/>
      <c r="BJ120" s="399"/>
      <c r="BK120" s="399"/>
      <c r="BL120" s="399"/>
      <c r="BM120" s="399"/>
      <c r="BN120" s="458"/>
      <c r="BO120" s="399"/>
      <c r="BP120" s="399"/>
      <c r="BQ120" s="399"/>
      <c r="BR120" s="399"/>
      <c r="BS120" s="407"/>
      <c r="BT120" s="407"/>
      <c r="BU120" s="412"/>
      <c r="BV120" s="46" t="str">
        <f t="shared" si="8"/>
        <v/>
      </c>
      <c r="BW120" s="46">
        <f t="shared" si="9"/>
        <v>0</v>
      </c>
      <c r="BX120" s="46">
        <f t="shared" si="10"/>
        <v>0</v>
      </c>
      <c r="BY120" s="43" t="str">
        <f t="shared" si="11"/>
        <v>WHO-Core Observation (Miscarriage or Abortion)</v>
      </c>
      <c r="BZ120" s="46">
        <f t="shared" si="12"/>
        <v>1</v>
      </c>
      <c r="CA120" s="46" t="str">
        <f t="shared" si="13"/>
        <v/>
      </c>
      <c r="CB120" s="46">
        <f t="shared" si="14"/>
        <v>1</v>
      </c>
      <c r="CC120" s="46">
        <f t="shared" si="15"/>
        <v>1</v>
      </c>
      <c r="CD120" s="46">
        <f t="shared" si="16"/>
        <v>1</v>
      </c>
      <c r="CE120" s="46">
        <f t="shared" si="17"/>
        <v>0</v>
      </c>
      <c r="CF120" s="46">
        <f t="shared" si="18"/>
        <v>0</v>
      </c>
      <c r="CG120" s="46"/>
      <c r="CH120" s="46"/>
      <c r="CI120" s="46"/>
      <c r="CJ120" s="46"/>
      <c r="CK120" s="46"/>
      <c r="CL120" s="46"/>
      <c r="CM120" s="46"/>
      <c r="CN120" s="46"/>
      <c r="CO120" s="46"/>
      <c r="CP120" s="46"/>
      <c r="CQ120" s="46"/>
      <c r="CR120" s="46"/>
      <c r="CS120" s="46"/>
      <c r="CT120" s="46"/>
      <c r="CU120" s="46"/>
    </row>
    <row r="121" spans="1:99" ht="12.75" customHeight="1">
      <c r="A121" s="409">
        <v>2384</v>
      </c>
      <c r="B121" s="409" t="s">
        <v>3921</v>
      </c>
      <c r="C121" s="399"/>
      <c r="D121" s="399"/>
      <c r="E121" s="399"/>
      <c r="F121" s="409" t="s">
        <v>180</v>
      </c>
      <c r="G121" s="400"/>
      <c r="H121" s="400" t="str">
        <f t="shared" si="21"/>
        <v>Miscarriage or Abortion</v>
      </c>
      <c r="I121" s="400"/>
      <c r="J121" s="400"/>
      <c r="K121" s="402"/>
      <c r="L121" s="402"/>
      <c r="M121" s="400"/>
      <c r="N121" s="427"/>
      <c r="O121" s="41"/>
      <c r="P121" s="405"/>
      <c r="Q121" s="419"/>
      <c r="R121" s="403"/>
      <c r="S121" s="403"/>
      <c r="T121" s="403"/>
      <c r="U121" s="407"/>
      <c r="V121" s="431"/>
      <c r="W121" s="407"/>
      <c r="X121" s="405"/>
      <c r="Y121" s="403"/>
      <c r="Z121" s="403"/>
      <c r="AA121" s="403"/>
      <c r="AB121" s="408"/>
      <c r="AC121" s="407"/>
      <c r="AD121" s="403"/>
      <c r="AE121" s="406"/>
      <c r="AF121" s="407"/>
      <c r="AG121" s="407"/>
      <c r="AH121" s="399"/>
      <c r="AI121" s="400"/>
      <c r="AJ121" s="399"/>
      <c r="AK121" s="409"/>
      <c r="AL121" s="409"/>
      <c r="AM121" s="409"/>
      <c r="AN121" s="403"/>
      <c r="AO121" s="399"/>
      <c r="AP121" s="409"/>
      <c r="AQ121" s="409" t="s">
        <v>3424</v>
      </c>
      <c r="AR121" s="399"/>
      <c r="AS121" s="399"/>
      <c r="AT121" s="399"/>
      <c r="AU121" s="399"/>
      <c r="AV121" s="399"/>
      <c r="AW121" s="399"/>
      <c r="AX121" s="409" t="s">
        <v>3104</v>
      </c>
      <c r="AY121" s="399"/>
      <c r="AZ121" s="399"/>
      <c r="BA121" s="409">
        <v>1</v>
      </c>
      <c r="BB121" s="399"/>
      <c r="BC121" s="399"/>
      <c r="BD121" s="399"/>
      <c r="BE121" s="434" t="s">
        <v>3910</v>
      </c>
      <c r="BF121" s="411"/>
      <c r="BG121" s="459" t="s">
        <v>3922</v>
      </c>
      <c r="BH121" s="434" t="s">
        <v>3923</v>
      </c>
      <c r="BI121" s="411"/>
      <c r="BJ121" s="399"/>
      <c r="BK121" s="399"/>
      <c r="BL121" s="399"/>
      <c r="BM121" s="399"/>
      <c r="BN121" s="458"/>
      <c r="BO121" s="399"/>
      <c r="BP121" s="399"/>
      <c r="BQ121" s="399"/>
      <c r="BR121" s="399"/>
      <c r="BS121" s="407"/>
      <c r="BT121" s="407"/>
      <c r="BU121" s="412"/>
      <c r="BV121" s="46" t="str">
        <f t="shared" si="8"/>
        <v/>
      </c>
      <c r="BW121" s="46">
        <f t="shared" si="9"/>
        <v>0</v>
      </c>
      <c r="BX121" s="46">
        <f t="shared" si="10"/>
        <v>0</v>
      </c>
      <c r="BY121" s="43" t="str">
        <f t="shared" si="11"/>
        <v>WHO-Core Observation (Miscarriage or Abortion)</v>
      </c>
      <c r="BZ121" s="46">
        <f t="shared" si="12"/>
        <v>1</v>
      </c>
      <c r="CA121" s="46" t="str">
        <f t="shared" si="13"/>
        <v/>
      </c>
      <c r="CB121" s="46">
        <f t="shared" si="14"/>
        <v>1</v>
      </c>
      <c r="CC121" s="46">
        <f t="shared" si="15"/>
        <v>1</v>
      </c>
      <c r="CD121" s="46">
        <f t="shared" si="16"/>
        <v>1</v>
      </c>
      <c r="CE121" s="46">
        <f t="shared" si="17"/>
        <v>0</v>
      </c>
      <c r="CF121" s="46">
        <f t="shared" si="18"/>
        <v>0</v>
      </c>
      <c r="CG121" s="46"/>
      <c r="CH121" s="46"/>
      <c r="CI121" s="46"/>
      <c r="CJ121" s="46"/>
      <c r="CK121" s="46"/>
      <c r="CL121" s="46"/>
      <c r="CM121" s="46"/>
      <c r="CN121" s="46"/>
      <c r="CO121" s="46"/>
      <c r="CP121" s="46"/>
      <c r="CQ121" s="46"/>
      <c r="CR121" s="46"/>
      <c r="CS121" s="46"/>
      <c r="CT121" s="46"/>
      <c r="CU121" s="46"/>
    </row>
    <row r="122" spans="1:99" ht="12.75" customHeight="1">
      <c r="A122" s="399">
        <v>1351</v>
      </c>
      <c r="B122" s="399" t="s">
        <v>3924</v>
      </c>
      <c r="C122" s="399">
        <f t="shared" ref="C122:C194" si="22">A122</f>
        <v>1351</v>
      </c>
      <c r="D122" s="399" t="str">
        <f t="shared" ref="D122:D194" si="23">IF(F122="Input Option",CONCAT("       ",E122),E122)</f>
        <v>Date of miscarriage or abortion</v>
      </c>
      <c r="E122" s="399" t="str">
        <f t="shared" ref="E122:E194" si="24">IF(Q122="",IF(V122="",Q122,V122),Q122)</f>
        <v>Date of miscarriage or abortion</v>
      </c>
      <c r="F122" s="399" t="str">
        <f t="shared" ref="F122:F130" si="25">IF(AND(ISBLANK(V122)=FALSE,OR(T122="MC",T122="")),"Input Option","Data Element")</f>
        <v>Data Element</v>
      </c>
      <c r="G122" s="400">
        <f t="shared" ref="G122:G209" si="26">LEN(B122)</f>
        <v>31</v>
      </c>
      <c r="H122" s="400" t="str">
        <f t="shared" si="21"/>
        <v/>
      </c>
      <c r="I122" s="400"/>
      <c r="J122" s="400"/>
      <c r="K122" s="402" t="s">
        <v>3925</v>
      </c>
      <c r="L122" s="402" t="s">
        <v>3489</v>
      </c>
      <c r="M122" s="400"/>
      <c r="N122" s="427" t="s">
        <v>3477</v>
      </c>
      <c r="O122" s="41" t="s">
        <v>3926</v>
      </c>
      <c r="P122" s="405" t="s">
        <v>3927</v>
      </c>
      <c r="Q122" s="429" t="s">
        <v>3924</v>
      </c>
      <c r="R122" s="403"/>
      <c r="S122" s="403" t="s">
        <v>3928</v>
      </c>
      <c r="T122" s="403" t="s">
        <v>3158</v>
      </c>
      <c r="U122" s="407"/>
      <c r="V122" s="431"/>
      <c r="W122" s="407"/>
      <c r="X122" s="405" t="s">
        <v>208</v>
      </c>
      <c r="Y122" s="403"/>
      <c r="Z122" s="403" t="s">
        <v>113</v>
      </c>
      <c r="AA122" s="403" t="s">
        <v>3178</v>
      </c>
      <c r="AB122" s="432" t="s">
        <v>3929</v>
      </c>
      <c r="AC122" s="421"/>
      <c r="AD122" s="436"/>
      <c r="AE122" s="420"/>
      <c r="AF122" s="421"/>
      <c r="AG122" s="407"/>
      <c r="AH122" s="399"/>
      <c r="AI122" s="400"/>
      <c r="AJ122" s="399"/>
      <c r="AK122" s="409" t="s">
        <v>3410</v>
      </c>
      <c r="AL122" s="409" t="s">
        <v>3513</v>
      </c>
      <c r="AM122" s="409" t="s">
        <v>3100</v>
      </c>
      <c r="AN122" s="403" t="s">
        <v>3101</v>
      </c>
      <c r="AO122" s="399"/>
      <c r="AP122" s="409" t="s">
        <v>3917</v>
      </c>
      <c r="AQ122" s="409" t="s">
        <v>3424</v>
      </c>
      <c r="AR122" s="399"/>
      <c r="AS122" s="399"/>
      <c r="AT122" s="399"/>
      <c r="AU122" s="399" t="s">
        <v>3924</v>
      </c>
      <c r="AV122" s="399" t="str">
        <f t="shared" ref="AV122:AV209" si="27">IF(AU122="","", IF(AND(B122=AU122),"Same","Changed"))</f>
        <v>Same</v>
      </c>
      <c r="AW122" s="399"/>
      <c r="AX122" s="409" t="s">
        <v>3104</v>
      </c>
      <c r="AY122" s="399" t="str">
        <f t="shared" ref="AY122:AY209" si="28">IF(B122=D122,"",CONCATENATE(CHAR(34), D122,CHAR(34), "-&gt;", CHAR(34), B122,CHAR(34)))</f>
        <v/>
      </c>
      <c r="AZ122" s="399"/>
      <c r="BA122" s="409">
        <v>1</v>
      </c>
      <c r="BB122" s="399"/>
      <c r="BC122" s="399"/>
      <c r="BD122" s="399" t="s">
        <v>3930</v>
      </c>
      <c r="BE122" s="434"/>
      <c r="BF122" s="411"/>
      <c r="BG122" s="434"/>
      <c r="BH122" s="434"/>
      <c r="BI122" s="411"/>
      <c r="BJ122" s="399"/>
      <c r="BK122" s="399"/>
      <c r="BL122" s="399"/>
      <c r="BM122" s="399"/>
      <c r="BN122" s="438" t="str">
        <f t="shared" ref="BN122:BN123" si="29">HYPERLINK("https://github.com/who-int/Data-Dictionary-Mapping/issues/85","85")</f>
        <v>85</v>
      </c>
      <c r="BO122" s="399"/>
      <c r="BP122" s="399"/>
      <c r="BQ122" s="399"/>
      <c r="BR122" s="399"/>
      <c r="BS122" s="407"/>
      <c r="BT122" s="407"/>
      <c r="BU122" s="412"/>
      <c r="BV122" s="46" t="str">
        <f t="shared" si="8"/>
        <v>Observation</v>
      </c>
      <c r="BW122" s="46" t="str">
        <f t="shared" si="9"/>
        <v/>
      </c>
      <c r="BX122" s="46" t="str">
        <f t="shared" si="10"/>
        <v>Observation</v>
      </c>
      <c r="BY122" s="43" t="str">
        <f t="shared" si="11"/>
        <v>WHO-Core Observation (Miscarriage or Abortion)</v>
      </c>
      <c r="BZ122" s="46">
        <f t="shared" si="12"/>
        <v>1</v>
      </c>
      <c r="CA122" s="46">
        <f t="shared" si="13"/>
        <v>0</v>
      </c>
      <c r="CB122" s="46">
        <f t="shared" si="14"/>
        <v>0</v>
      </c>
      <c r="CC122" s="46">
        <f t="shared" si="15"/>
        <v>1</v>
      </c>
      <c r="CD122" s="46">
        <f t="shared" si="16"/>
        <v>0</v>
      </c>
      <c r="CE122" s="46">
        <f t="shared" si="17"/>
        <v>1</v>
      </c>
      <c r="CF122" s="46">
        <f t="shared" si="18"/>
        <v>0</v>
      </c>
      <c r="CG122" s="46" t="str">
        <f ca="1">IFERROR(__xludf.DUMMYFUNCTION("if(OR(BH122="""",LEFT(BH122,2)=""LA""),"""",IMPORTXML(CONCATENATE(""https://loinc.org/"",BH122,""/""),""//span[@id='lcn']""))"),"")</f>
        <v/>
      </c>
      <c r="CH122" s="46"/>
      <c r="CI122" s="46"/>
      <c r="CJ122" s="46"/>
      <c r="CK122" s="46"/>
      <c r="CL122" s="46"/>
      <c r="CM122" s="46"/>
      <c r="CN122" s="46"/>
      <c r="CO122" s="46"/>
      <c r="CP122" s="46"/>
      <c r="CQ122" s="46"/>
      <c r="CR122" s="46"/>
      <c r="CS122" s="46"/>
      <c r="CT122" s="46"/>
      <c r="CU122" s="46"/>
    </row>
    <row r="123" spans="1:99" ht="12.75" customHeight="1">
      <c r="A123" s="399">
        <v>1339</v>
      </c>
      <c r="B123" s="399" t="s">
        <v>3931</v>
      </c>
      <c r="C123" s="399">
        <f t="shared" si="22"/>
        <v>1339</v>
      </c>
      <c r="D123" s="399" t="str">
        <f t="shared" si="23"/>
        <v>Miscarriage or abortion stage of pregnancy</v>
      </c>
      <c r="E123" s="399" t="str">
        <f t="shared" si="24"/>
        <v>Miscarriage or abortion stage of pregnancy</v>
      </c>
      <c r="F123" s="399" t="str">
        <f t="shared" si="25"/>
        <v>Data Element</v>
      </c>
      <c r="G123" s="400">
        <f t="shared" si="26"/>
        <v>42</v>
      </c>
      <c r="H123" s="400" t="str">
        <f t="shared" si="21"/>
        <v/>
      </c>
      <c r="I123" s="400"/>
      <c r="J123" s="400"/>
      <c r="K123" s="401" t="s">
        <v>3333</v>
      </c>
      <c r="L123" s="402" t="s">
        <v>3489</v>
      </c>
      <c r="M123" s="400"/>
      <c r="N123" s="427" t="s">
        <v>3477</v>
      </c>
      <c r="O123" s="428"/>
      <c r="P123" s="405" t="s">
        <v>3932</v>
      </c>
      <c r="Q123" s="432" t="s">
        <v>3931</v>
      </c>
      <c r="R123" s="403"/>
      <c r="S123" s="403" t="s">
        <v>3933</v>
      </c>
      <c r="T123" s="403" t="s">
        <v>3339</v>
      </c>
      <c r="U123" s="407" t="s">
        <v>3243</v>
      </c>
      <c r="V123" s="403"/>
      <c r="W123" s="407"/>
      <c r="X123" s="405" t="s">
        <v>208</v>
      </c>
      <c r="Y123" s="403"/>
      <c r="Z123" s="403" t="s">
        <v>113</v>
      </c>
      <c r="AA123" s="403" t="s">
        <v>3178</v>
      </c>
      <c r="AB123" s="432" t="s">
        <v>3929</v>
      </c>
      <c r="AC123" s="421"/>
      <c r="AD123" s="436"/>
      <c r="AE123" s="420"/>
      <c r="AF123" s="421"/>
      <c r="AG123" s="407"/>
      <c r="AH123" s="399"/>
      <c r="AI123" s="400"/>
      <c r="AJ123" s="399"/>
      <c r="AK123" s="440" t="s">
        <v>3934</v>
      </c>
      <c r="AL123" s="409" t="s">
        <v>3181</v>
      </c>
      <c r="AM123" s="409" t="s">
        <v>155</v>
      </c>
      <c r="AN123" s="409" t="s">
        <v>3101</v>
      </c>
      <c r="AO123" s="399"/>
      <c r="AP123" s="409" t="s">
        <v>3917</v>
      </c>
      <c r="AQ123" s="409" t="s">
        <v>3424</v>
      </c>
      <c r="AR123" s="399"/>
      <c r="AS123" s="399"/>
      <c r="AT123" s="399"/>
      <c r="AU123" s="399" t="s">
        <v>3931</v>
      </c>
      <c r="AV123" s="399" t="str">
        <f t="shared" si="27"/>
        <v>Same</v>
      </c>
      <c r="AW123" s="399"/>
      <c r="AX123" s="409" t="s">
        <v>3104</v>
      </c>
      <c r="AY123" s="399" t="str">
        <f t="shared" si="28"/>
        <v/>
      </c>
      <c r="AZ123" s="399"/>
      <c r="BA123" s="409">
        <v>1</v>
      </c>
      <c r="BB123" s="399"/>
      <c r="BC123" s="399"/>
      <c r="BD123" s="409" t="s">
        <v>3162</v>
      </c>
      <c r="BE123" s="434" t="s">
        <v>3910</v>
      </c>
      <c r="BF123" s="411"/>
      <c r="BG123" s="411"/>
      <c r="BH123" s="411"/>
      <c r="BI123" s="411"/>
      <c r="BJ123" s="399"/>
      <c r="BK123" s="399"/>
      <c r="BL123" s="399"/>
      <c r="BM123" s="399"/>
      <c r="BN123" s="438" t="str">
        <f t="shared" si="29"/>
        <v>85</v>
      </c>
      <c r="BO123" s="399"/>
      <c r="BP123" s="399"/>
      <c r="BQ123" s="399"/>
      <c r="BR123" s="399"/>
      <c r="BS123" s="407"/>
      <c r="BT123" s="407"/>
      <c r="BU123" s="412"/>
      <c r="BV123" s="46" t="str">
        <f t="shared" si="8"/>
        <v>Observation</v>
      </c>
      <c r="BW123" s="46" t="str">
        <f t="shared" si="9"/>
        <v/>
      </c>
      <c r="BX123" s="46" t="str">
        <f t="shared" si="10"/>
        <v>Observation</v>
      </c>
      <c r="BY123" s="43" t="str">
        <f t="shared" si="11"/>
        <v>WHO-Core Observation (Miscarriage or Abortion)</v>
      </c>
      <c r="BZ123" s="46">
        <f t="shared" si="12"/>
        <v>1</v>
      </c>
      <c r="CA123" s="46">
        <f t="shared" si="13"/>
        <v>1</v>
      </c>
      <c r="CB123" s="46">
        <f t="shared" si="14"/>
        <v>0</v>
      </c>
      <c r="CC123" s="46">
        <f t="shared" si="15"/>
        <v>0</v>
      </c>
      <c r="CD123" s="46">
        <f t="shared" si="16"/>
        <v>0</v>
      </c>
      <c r="CE123" s="46">
        <f t="shared" si="17"/>
        <v>0</v>
      </c>
      <c r="CF123" s="46">
        <f t="shared" si="18"/>
        <v>1</v>
      </c>
      <c r="CG123" s="46" t="str">
        <f ca="1">IFERROR(__xludf.DUMMYFUNCTION("if(OR(BH123="""",LEFT(BH123,2)=""LA""),"""",IMPORTXML(CONCATENATE(""https://loinc.org/"",BH123,""/""),""//span[@id='lcn']""))"),"")</f>
        <v/>
      </c>
      <c r="CH123" s="46"/>
      <c r="CI123" s="46"/>
      <c r="CJ123" s="46"/>
      <c r="CK123" s="46"/>
      <c r="CL123" s="46"/>
      <c r="CM123" s="46"/>
      <c r="CN123" s="46"/>
      <c r="CO123" s="46"/>
      <c r="CP123" s="46"/>
      <c r="CQ123" s="46"/>
      <c r="CR123" s="46"/>
      <c r="CS123" s="46"/>
      <c r="CT123" s="46"/>
      <c r="CU123" s="46"/>
    </row>
    <row r="124" spans="1:99" ht="12.75" customHeight="1">
      <c r="A124" s="399">
        <v>1340</v>
      </c>
      <c r="B124" s="399" t="s">
        <v>3935</v>
      </c>
      <c r="C124" s="399">
        <f t="shared" si="22"/>
        <v>1340</v>
      </c>
      <c r="D124" s="399" t="e">
        <f t="shared" ca="1" si="23"/>
        <v>#NAME?</v>
      </c>
      <c r="E124" s="399" t="str">
        <f t="shared" si="24"/>
        <v>First trimester</v>
      </c>
      <c r="F124" s="399" t="str">
        <f t="shared" si="25"/>
        <v>Input Option</v>
      </c>
      <c r="G124" s="400">
        <f t="shared" si="26"/>
        <v>22</v>
      </c>
      <c r="H124" s="399" t="str">
        <f t="shared" si="21"/>
        <v>Miscarriage or abortion stage of pregnancy</v>
      </c>
      <c r="I124" s="400"/>
      <c r="J124" s="400"/>
      <c r="K124" s="401" t="s">
        <v>3333</v>
      </c>
      <c r="L124" s="402" t="s">
        <v>3489</v>
      </c>
      <c r="M124" s="400"/>
      <c r="N124" s="427" t="s">
        <v>3477</v>
      </c>
      <c r="O124" s="428"/>
      <c r="P124" s="403" t="s">
        <v>3936</v>
      </c>
      <c r="Q124" s="403"/>
      <c r="R124" s="403"/>
      <c r="S124" s="403" t="s">
        <v>3937</v>
      </c>
      <c r="T124" s="403"/>
      <c r="U124" s="407"/>
      <c r="V124" s="429" t="s">
        <v>3938</v>
      </c>
      <c r="W124" s="407"/>
      <c r="X124" s="405" t="s">
        <v>208</v>
      </c>
      <c r="Y124" s="403"/>
      <c r="Z124" s="403" t="s">
        <v>113</v>
      </c>
      <c r="AA124" s="403"/>
      <c r="AB124" s="408"/>
      <c r="AC124" s="407"/>
      <c r="AD124" s="403"/>
      <c r="AE124" s="406"/>
      <c r="AF124" s="407"/>
      <c r="AG124" s="407"/>
      <c r="AH124" s="399"/>
      <c r="AI124" s="400"/>
      <c r="AJ124" s="399"/>
      <c r="AK124" s="399"/>
      <c r="AL124" s="399"/>
      <c r="AM124" s="399"/>
      <c r="AN124" s="399"/>
      <c r="AO124" s="399"/>
      <c r="AP124" s="399"/>
      <c r="AQ124" s="409" t="s">
        <v>3130</v>
      </c>
      <c r="AR124" s="399"/>
      <c r="AS124" s="399"/>
      <c r="AT124" s="399"/>
      <c r="AU124" s="399" t="s">
        <v>3935</v>
      </c>
      <c r="AV124" s="399" t="str">
        <f t="shared" si="27"/>
        <v>Same</v>
      </c>
      <c r="AW124" s="399"/>
      <c r="AX124" s="409" t="s">
        <v>3104</v>
      </c>
      <c r="AY124" s="399" t="e">
        <f t="shared" ca="1" si="28"/>
        <v>#NAME?</v>
      </c>
      <c r="AZ124" s="399"/>
      <c r="BA124" s="409">
        <v>1</v>
      </c>
      <c r="BB124" s="399"/>
      <c r="BC124" s="399"/>
      <c r="BD124" s="399" t="s">
        <v>3162</v>
      </c>
      <c r="BE124" s="411"/>
      <c r="BF124" s="411"/>
      <c r="BG124" s="434" t="s">
        <v>3939</v>
      </c>
      <c r="BH124" s="434" t="s">
        <v>3940</v>
      </c>
      <c r="BI124" s="411"/>
      <c r="BJ124" s="399"/>
      <c r="BK124" s="399"/>
      <c r="BL124" s="399"/>
      <c r="BM124" s="399" t="s">
        <v>3941</v>
      </c>
      <c r="BN124" s="399"/>
      <c r="BO124" s="399">
        <v>1721</v>
      </c>
      <c r="BP124" s="399"/>
      <c r="BQ124" s="399"/>
      <c r="BR124" s="399" t="s">
        <v>3942</v>
      </c>
      <c r="BS124" s="407"/>
      <c r="BT124" s="407"/>
      <c r="BU124" s="412"/>
      <c r="BV124" s="46" t="str">
        <f t="shared" si="8"/>
        <v/>
      </c>
      <c r="BW124" s="46">
        <f t="shared" si="9"/>
        <v>0</v>
      </c>
      <c r="BX124" s="46">
        <f t="shared" si="10"/>
        <v>0</v>
      </c>
      <c r="BY124" s="43" t="str">
        <f t="shared" si="11"/>
        <v>WHO-Core Observation (Miscarriage or Abortion)</v>
      </c>
      <c r="BZ124" s="46">
        <f t="shared" si="12"/>
        <v>1</v>
      </c>
      <c r="CA124" s="46" t="str">
        <f t="shared" si="13"/>
        <v/>
      </c>
      <c r="CB124" s="46">
        <f t="shared" si="14"/>
        <v>1</v>
      </c>
      <c r="CC124" s="46">
        <f t="shared" si="15"/>
        <v>1</v>
      </c>
      <c r="CD124" s="46">
        <f t="shared" si="16"/>
        <v>1</v>
      </c>
      <c r="CE124" s="46">
        <f t="shared" si="17"/>
        <v>0</v>
      </c>
      <c r="CF124" s="46">
        <f t="shared" si="18"/>
        <v>0</v>
      </c>
      <c r="CG124" s="46" t="str">
        <f ca="1">IFERROR(__xludf.DUMMYFUNCTION("if(OR(BH124="""",LEFT(BH124,2)=""LA""),"""",IMPORTXML(CONCATENATE(""https://loinc.org/"",BH124,""/""),""//span[@id='lcn']""))"),"First trimester")</f>
        <v>First trimester</v>
      </c>
      <c r="CH124" s="46"/>
      <c r="CI124" s="46"/>
      <c r="CJ124" s="46"/>
      <c r="CK124" s="46"/>
      <c r="CL124" s="46"/>
      <c r="CM124" s="46"/>
      <c r="CN124" s="46"/>
      <c r="CO124" s="46"/>
      <c r="CP124" s="46"/>
      <c r="CQ124" s="46"/>
      <c r="CR124" s="46"/>
      <c r="CS124" s="46"/>
      <c r="CT124" s="46"/>
      <c r="CU124" s="46"/>
    </row>
    <row r="125" spans="1:99" ht="12.75" customHeight="1">
      <c r="A125" s="399">
        <v>1341</v>
      </c>
      <c r="B125" s="399" t="s">
        <v>3943</v>
      </c>
      <c r="C125" s="399">
        <f t="shared" si="22"/>
        <v>1341</v>
      </c>
      <c r="D125" s="399" t="e">
        <f t="shared" ca="1" si="23"/>
        <v>#NAME?</v>
      </c>
      <c r="E125" s="399" t="str">
        <f t="shared" si="24"/>
        <v>Second trimester</v>
      </c>
      <c r="F125" s="399" t="str">
        <f t="shared" si="25"/>
        <v>Input Option</v>
      </c>
      <c r="G125" s="400">
        <f t="shared" si="26"/>
        <v>23</v>
      </c>
      <c r="H125" s="399" t="str">
        <f t="shared" si="21"/>
        <v>Miscarriage or abortion stage of pregnancy</v>
      </c>
      <c r="I125" s="400"/>
      <c r="J125" s="400"/>
      <c r="K125" s="401" t="s">
        <v>3333</v>
      </c>
      <c r="L125" s="402" t="s">
        <v>3489</v>
      </c>
      <c r="M125" s="400"/>
      <c r="N125" s="427" t="s">
        <v>3477</v>
      </c>
      <c r="O125" s="428"/>
      <c r="P125" s="403" t="s">
        <v>3944</v>
      </c>
      <c r="Q125" s="405"/>
      <c r="R125" s="403"/>
      <c r="S125" s="403" t="s">
        <v>3945</v>
      </c>
      <c r="T125" s="403"/>
      <c r="U125" s="407"/>
      <c r="V125" s="429" t="s">
        <v>3946</v>
      </c>
      <c r="W125" s="407"/>
      <c r="X125" s="405" t="s">
        <v>208</v>
      </c>
      <c r="Y125" s="403"/>
      <c r="Z125" s="403" t="s">
        <v>113</v>
      </c>
      <c r="AA125" s="403"/>
      <c r="AB125" s="408"/>
      <c r="AC125" s="407"/>
      <c r="AD125" s="403"/>
      <c r="AE125" s="406"/>
      <c r="AF125" s="407"/>
      <c r="AG125" s="407"/>
      <c r="AH125" s="399"/>
      <c r="AI125" s="400"/>
      <c r="AJ125" s="399"/>
      <c r="AK125" s="399"/>
      <c r="AL125" s="399"/>
      <c r="AM125" s="399"/>
      <c r="AN125" s="399"/>
      <c r="AO125" s="399"/>
      <c r="AP125" s="399"/>
      <c r="AQ125" s="409" t="s">
        <v>3130</v>
      </c>
      <c r="AR125" s="399"/>
      <c r="AS125" s="399"/>
      <c r="AT125" s="399"/>
      <c r="AU125" s="399" t="s">
        <v>3943</v>
      </c>
      <c r="AV125" s="399" t="str">
        <f t="shared" si="27"/>
        <v>Same</v>
      </c>
      <c r="AW125" s="399"/>
      <c r="AX125" s="409" t="s">
        <v>3104</v>
      </c>
      <c r="AY125" s="399" t="e">
        <f t="shared" ca="1" si="28"/>
        <v>#NAME?</v>
      </c>
      <c r="AZ125" s="399"/>
      <c r="BA125" s="409">
        <v>1</v>
      </c>
      <c r="BB125" s="399"/>
      <c r="BC125" s="399"/>
      <c r="BD125" s="399" t="s">
        <v>3162</v>
      </c>
      <c r="BE125" s="411"/>
      <c r="BF125" s="411"/>
      <c r="BG125" s="434" t="s">
        <v>3947</v>
      </c>
      <c r="BH125" s="434" t="s">
        <v>3948</v>
      </c>
      <c r="BI125" s="411"/>
      <c r="BJ125" s="399"/>
      <c r="BK125" s="399"/>
      <c r="BL125" s="399"/>
      <c r="BM125" s="399" t="s">
        <v>3949</v>
      </c>
      <c r="BN125" s="399"/>
      <c r="BO125" s="399">
        <v>1722</v>
      </c>
      <c r="BP125" s="399"/>
      <c r="BQ125" s="399"/>
      <c r="BR125" s="399" t="s">
        <v>3950</v>
      </c>
      <c r="BS125" s="407"/>
      <c r="BT125" s="407"/>
      <c r="BU125" s="412"/>
      <c r="BV125" s="46" t="str">
        <f t="shared" si="8"/>
        <v/>
      </c>
      <c r="BW125" s="46">
        <f t="shared" si="9"/>
        <v>0</v>
      </c>
      <c r="BX125" s="46">
        <f t="shared" si="10"/>
        <v>0</v>
      </c>
      <c r="BY125" s="43" t="str">
        <f t="shared" si="11"/>
        <v>WHO-Core Observation (Miscarriage or Abortion)</v>
      </c>
      <c r="BZ125" s="46">
        <f t="shared" si="12"/>
        <v>1</v>
      </c>
      <c r="CA125" s="46" t="str">
        <f t="shared" si="13"/>
        <v/>
      </c>
      <c r="CB125" s="46">
        <f t="shared" si="14"/>
        <v>1</v>
      </c>
      <c r="CC125" s="46">
        <f t="shared" si="15"/>
        <v>1</v>
      </c>
      <c r="CD125" s="46">
        <f t="shared" si="16"/>
        <v>1</v>
      </c>
      <c r="CE125" s="46">
        <f t="shared" si="17"/>
        <v>0</v>
      </c>
      <c r="CF125" s="46">
        <f t="shared" si="18"/>
        <v>0</v>
      </c>
      <c r="CG125" s="46" t="str">
        <f ca="1">IFERROR(__xludf.DUMMYFUNCTION("if(OR(BH125="""",LEFT(BH125,2)=""LA""),"""",IMPORTXML(CONCATENATE(""https://loinc.org/"",BH125,""/""),""//span[@id='lcn']""))"),"")</f>
        <v/>
      </c>
      <c r="CH125" s="46"/>
      <c r="CI125" s="46"/>
      <c r="CJ125" s="46"/>
      <c r="CK125" s="46"/>
      <c r="CL125" s="46"/>
      <c r="CM125" s="46"/>
      <c r="CN125" s="46"/>
      <c r="CO125" s="46"/>
      <c r="CP125" s="46"/>
      <c r="CQ125" s="46"/>
      <c r="CR125" s="46"/>
      <c r="CS125" s="46"/>
      <c r="CT125" s="46"/>
      <c r="CU125" s="46"/>
    </row>
    <row r="126" spans="1:99" ht="12.75" customHeight="1">
      <c r="A126" s="399">
        <v>1342</v>
      </c>
      <c r="B126" s="399" t="s">
        <v>3951</v>
      </c>
      <c r="C126" s="399">
        <f t="shared" si="22"/>
        <v>1342</v>
      </c>
      <c r="D126" s="399" t="e">
        <f t="shared" ca="1" si="23"/>
        <v>#NAME?</v>
      </c>
      <c r="E126" s="399" t="str">
        <f t="shared" si="24"/>
        <v>Immediate post-septic abortion</v>
      </c>
      <c r="F126" s="399" t="str">
        <f t="shared" si="25"/>
        <v>Input Option</v>
      </c>
      <c r="G126" s="400">
        <f t="shared" si="26"/>
        <v>37</v>
      </c>
      <c r="H126" s="399" t="str">
        <f t="shared" si="21"/>
        <v>Miscarriage or abortion stage of pregnancy</v>
      </c>
      <c r="I126" s="400"/>
      <c r="J126" s="400"/>
      <c r="K126" s="401" t="s">
        <v>3333</v>
      </c>
      <c r="L126" s="402" t="s">
        <v>3489</v>
      </c>
      <c r="M126" s="400"/>
      <c r="N126" s="427" t="s">
        <v>3477</v>
      </c>
      <c r="O126" s="428"/>
      <c r="P126" s="403" t="s">
        <v>3952</v>
      </c>
      <c r="Q126" s="405"/>
      <c r="R126" s="403"/>
      <c r="S126" s="440" t="s">
        <v>3953</v>
      </c>
      <c r="T126" s="403"/>
      <c r="U126" s="407"/>
      <c r="V126" s="429" t="s">
        <v>3954</v>
      </c>
      <c r="W126" s="407"/>
      <c r="X126" s="405" t="s">
        <v>208</v>
      </c>
      <c r="Y126" s="403"/>
      <c r="Z126" s="403" t="s">
        <v>113</v>
      </c>
      <c r="AA126" s="403"/>
      <c r="AB126" s="408"/>
      <c r="AC126" s="407"/>
      <c r="AD126" s="403"/>
      <c r="AE126" s="406"/>
      <c r="AF126" s="407"/>
      <c r="AG126" s="407"/>
      <c r="AH126" s="399"/>
      <c r="AI126" s="400"/>
      <c r="AJ126" s="399"/>
      <c r="AK126" s="399"/>
      <c r="AL126" s="399"/>
      <c r="AM126" s="399"/>
      <c r="AN126" s="399"/>
      <c r="AO126" s="399"/>
      <c r="AP126" s="399"/>
      <c r="AQ126" s="409" t="s">
        <v>3130</v>
      </c>
      <c r="AR126" s="399"/>
      <c r="AS126" s="399"/>
      <c r="AT126" s="399"/>
      <c r="AU126" s="399" t="s">
        <v>3951</v>
      </c>
      <c r="AV126" s="399" t="str">
        <f t="shared" si="27"/>
        <v>Same</v>
      </c>
      <c r="AW126" s="399"/>
      <c r="AX126" s="409" t="s">
        <v>3104</v>
      </c>
      <c r="AY126" s="399" t="e">
        <f t="shared" ca="1" si="28"/>
        <v>#NAME?</v>
      </c>
      <c r="AZ126" s="399"/>
      <c r="BA126" s="409">
        <v>1</v>
      </c>
      <c r="BB126" s="399"/>
      <c r="BC126" s="399"/>
      <c r="BD126" s="399" t="s">
        <v>3955</v>
      </c>
      <c r="BE126" s="434" t="s">
        <v>3956</v>
      </c>
      <c r="BF126" s="411"/>
      <c r="BG126" s="434" t="s">
        <v>3957</v>
      </c>
      <c r="BH126" s="434" t="s">
        <v>3958</v>
      </c>
      <c r="BI126" s="411"/>
      <c r="BJ126" s="399"/>
      <c r="BK126" s="399"/>
      <c r="BL126" s="399"/>
      <c r="BM126" s="399" t="s">
        <v>3959</v>
      </c>
      <c r="BN126" s="399" t="s">
        <v>3960</v>
      </c>
      <c r="BO126" s="399">
        <v>1723</v>
      </c>
      <c r="BP126" s="399"/>
      <c r="BQ126" s="399"/>
      <c r="BR126" s="399" t="s">
        <v>3961</v>
      </c>
      <c r="BS126" s="407"/>
      <c r="BT126" s="407"/>
      <c r="BU126" s="412"/>
      <c r="BV126" s="46" t="str">
        <f t="shared" si="8"/>
        <v/>
      </c>
      <c r="BW126" s="46">
        <f t="shared" si="9"/>
        <v>0</v>
      </c>
      <c r="BX126" s="46">
        <f t="shared" si="10"/>
        <v>0</v>
      </c>
      <c r="BY126" s="43" t="str">
        <f t="shared" si="11"/>
        <v>WHO-Core Observation (Miscarriage or Abortion)</v>
      </c>
      <c r="BZ126" s="46">
        <f t="shared" si="12"/>
        <v>1</v>
      </c>
      <c r="CA126" s="46" t="str">
        <f t="shared" si="13"/>
        <v/>
      </c>
      <c r="CB126" s="46">
        <f t="shared" si="14"/>
        <v>1</v>
      </c>
      <c r="CC126" s="46">
        <f t="shared" si="15"/>
        <v>1</v>
      </c>
      <c r="CD126" s="46">
        <f t="shared" si="16"/>
        <v>1</v>
      </c>
      <c r="CE126" s="46">
        <f t="shared" si="17"/>
        <v>0</v>
      </c>
      <c r="CF126" s="46">
        <f t="shared" si="18"/>
        <v>0</v>
      </c>
      <c r="CG126" s="46" t="str">
        <f ca="1">IFERROR(__xludf.DUMMYFUNCTION("if(OR(BH126="""",LEFT(BH126,2)=""LA""),"""",IMPORTXML(CONCATENATE(""https://loinc.org/"",BH126,""/""),""//span[@id='lcn']""))"),"")</f>
        <v/>
      </c>
      <c r="CH126" s="46"/>
      <c r="CI126" s="46"/>
      <c r="CJ126" s="46"/>
      <c r="CK126" s="46"/>
      <c r="CL126" s="46"/>
      <c r="CM126" s="46"/>
      <c r="CN126" s="46"/>
      <c r="CO126" s="46"/>
      <c r="CP126" s="46"/>
      <c r="CQ126" s="46"/>
      <c r="CR126" s="46"/>
      <c r="CS126" s="46"/>
      <c r="CT126" s="46"/>
      <c r="CU126" s="46"/>
    </row>
    <row r="127" spans="1:99" ht="12.75" customHeight="1">
      <c r="A127" s="399">
        <v>1343</v>
      </c>
      <c r="B127" s="399" t="s">
        <v>3962</v>
      </c>
      <c r="C127" s="399">
        <f t="shared" si="22"/>
        <v>1343</v>
      </c>
      <c r="D127" s="399" t="str">
        <f t="shared" si="23"/>
        <v>Start date of last normal menses</v>
      </c>
      <c r="E127" s="399" t="str">
        <f t="shared" si="24"/>
        <v>Start date of last normal menses</v>
      </c>
      <c r="F127" s="399" t="str">
        <f t="shared" si="25"/>
        <v>Data Element</v>
      </c>
      <c r="G127" s="400">
        <f t="shared" si="26"/>
        <v>32</v>
      </c>
      <c r="H127" s="400" t="str">
        <f t="shared" si="21"/>
        <v/>
      </c>
      <c r="I127" s="400"/>
      <c r="J127" s="400"/>
      <c r="K127" s="402" t="s">
        <v>3475</v>
      </c>
      <c r="L127" s="402" t="s">
        <v>3489</v>
      </c>
      <c r="M127" s="400"/>
      <c r="N127" s="427" t="s">
        <v>3477</v>
      </c>
      <c r="O127" s="41" t="s">
        <v>3963</v>
      </c>
      <c r="P127" s="454" t="s">
        <v>3964</v>
      </c>
      <c r="Q127" s="405" t="s">
        <v>3962</v>
      </c>
      <c r="R127" s="403"/>
      <c r="S127" s="403" t="s">
        <v>3965</v>
      </c>
      <c r="T127" s="403" t="s">
        <v>140</v>
      </c>
      <c r="U127" s="407"/>
      <c r="V127" s="431"/>
      <c r="W127" s="407"/>
      <c r="X127" s="405" t="s">
        <v>208</v>
      </c>
      <c r="Y127" s="403"/>
      <c r="Z127" s="403" t="s">
        <v>113</v>
      </c>
      <c r="AA127" s="440" t="s">
        <v>3493</v>
      </c>
      <c r="AB127" s="406" t="s">
        <v>3966</v>
      </c>
      <c r="AC127" s="407"/>
      <c r="AD127" s="403"/>
      <c r="AE127" s="406"/>
      <c r="AF127" s="407"/>
      <c r="AG127" s="407"/>
      <c r="AH127" s="399"/>
      <c r="AI127" s="400"/>
      <c r="AJ127" s="399"/>
      <c r="AK127" s="409" t="s">
        <v>3410</v>
      </c>
      <c r="AL127" s="409" t="s">
        <v>3513</v>
      </c>
      <c r="AM127" s="409" t="s">
        <v>3100</v>
      </c>
      <c r="AN127" s="399" t="s">
        <v>3101</v>
      </c>
      <c r="AO127" s="399"/>
      <c r="AP127" s="409" t="s">
        <v>3967</v>
      </c>
      <c r="AQ127" s="409" t="s">
        <v>3424</v>
      </c>
      <c r="AR127" s="399"/>
      <c r="AS127" s="399"/>
      <c r="AT127" s="399"/>
      <c r="AU127" s="399" t="s">
        <v>3962</v>
      </c>
      <c r="AV127" s="399" t="str">
        <f t="shared" si="27"/>
        <v>Same</v>
      </c>
      <c r="AW127" s="399"/>
      <c r="AX127" s="409" t="s">
        <v>3104</v>
      </c>
      <c r="AY127" s="399" t="str">
        <f t="shared" si="28"/>
        <v/>
      </c>
      <c r="AZ127" s="409" t="s">
        <v>3105</v>
      </c>
      <c r="BA127" s="409">
        <v>1</v>
      </c>
      <c r="BB127" s="399"/>
      <c r="BC127" s="399"/>
      <c r="BD127" s="399" t="s">
        <v>3968</v>
      </c>
      <c r="BE127" s="411"/>
      <c r="BF127" s="411"/>
      <c r="BG127" s="434" t="s">
        <v>3969</v>
      </c>
      <c r="BH127" s="411"/>
      <c r="BI127" s="411"/>
      <c r="BJ127" s="399"/>
      <c r="BK127" s="399"/>
      <c r="BL127" s="399"/>
      <c r="BM127" s="399"/>
      <c r="BN127" s="399"/>
      <c r="BO127" s="399"/>
      <c r="BP127" s="399"/>
      <c r="BQ127" s="399"/>
      <c r="BR127" s="399"/>
      <c r="BS127" s="407"/>
      <c r="BT127" s="407"/>
      <c r="BU127" s="412"/>
      <c r="BV127" s="46" t="str">
        <f t="shared" si="8"/>
        <v>Observation</v>
      </c>
      <c r="BW127" s="46" t="str">
        <f t="shared" si="9"/>
        <v/>
      </c>
      <c r="BX127" s="46" t="str">
        <f t="shared" si="10"/>
        <v>Observation</v>
      </c>
      <c r="BY127" s="43" t="str">
        <f t="shared" si="11"/>
        <v>WHO-Core Observation (Last Normal Menses)</v>
      </c>
      <c r="BZ127" s="46">
        <f t="shared" si="12"/>
        <v>1</v>
      </c>
      <c r="CA127" s="46">
        <f t="shared" si="13"/>
        <v>0</v>
      </c>
      <c r="CB127" s="46">
        <f t="shared" si="14"/>
        <v>1</v>
      </c>
      <c r="CC127" s="46">
        <f t="shared" si="15"/>
        <v>1</v>
      </c>
      <c r="CD127" s="46">
        <f t="shared" si="16"/>
        <v>1</v>
      </c>
      <c r="CE127" s="46">
        <f t="shared" si="17"/>
        <v>0</v>
      </c>
      <c r="CF127" s="46">
        <f t="shared" si="18"/>
        <v>0</v>
      </c>
      <c r="CG127" s="46" t="str">
        <f ca="1">IFERROR(__xludf.DUMMYFUNCTION("if(OR(BH127="""",LEFT(BH127,2)=""LA""),"""",IMPORTXML(CONCATENATE(""https://loinc.org/"",BH127,""/""),""//span[@id='lcn']""))"),"")</f>
        <v/>
      </c>
      <c r="CH127" s="46"/>
      <c r="CI127" s="46"/>
      <c r="CJ127" s="46"/>
      <c r="CK127" s="46"/>
      <c r="CL127" s="46"/>
      <c r="CM127" s="46"/>
      <c r="CN127" s="46"/>
      <c r="CO127" s="46"/>
      <c r="CP127" s="46"/>
      <c r="CQ127" s="46"/>
      <c r="CR127" s="46"/>
      <c r="CS127" s="46"/>
      <c r="CT127" s="46"/>
      <c r="CU127" s="46"/>
    </row>
    <row r="128" spans="1:99" ht="12.75" customHeight="1">
      <c r="A128" s="399">
        <v>1344</v>
      </c>
      <c r="B128" s="399" t="s">
        <v>3970</v>
      </c>
      <c r="C128" s="399">
        <f t="shared" si="22"/>
        <v>1344</v>
      </c>
      <c r="D128" s="399" t="str">
        <f t="shared" si="23"/>
        <v>Missed or late menses</v>
      </c>
      <c r="E128" s="399" t="str">
        <f t="shared" si="24"/>
        <v>Missed or late menses</v>
      </c>
      <c r="F128" s="399" t="str">
        <f t="shared" si="25"/>
        <v>Data Element</v>
      </c>
      <c r="G128" s="400">
        <f t="shared" si="26"/>
        <v>21</v>
      </c>
      <c r="H128" s="400" t="str">
        <f t="shared" si="21"/>
        <v/>
      </c>
      <c r="I128" s="400"/>
      <c r="J128" s="400"/>
      <c r="K128" s="401" t="s">
        <v>3333</v>
      </c>
      <c r="L128" s="402" t="s">
        <v>3489</v>
      </c>
      <c r="M128" s="400"/>
      <c r="N128" s="427" t="s">
        <v>3477</v>
      </c>
      <c r="O128" s="428"/>
      <c r="P128" s="405" t="s">
        <v>3971</v>
      </c>
      <c r="Q128" s="405" t="s">
        <v>3970</v>
      </c>
      <c r="R128" s="403"/>
      <c r="S128" s="403" t="s">
        <v>3972</v>
      </c>
      <c r="T128" s="403" t="s">
        <v>3169</v>
      </c>
      <c r="U128" s="407"/>
      <c r="V128" s="431" t="s">
        <v>3170</v>
      </c>
      <c r="W128" s="407"/>
      <c r="X128" s="407" t="s">
        <v>113</v>
      </c>
      <c r="Y128" s="405" t="s">
        <v>3973</v>
      </c>
      <c r="Z128" s="403" t="s">
        <v>113</v>
      </c>
      <c r="AA128" s="403" t="s">
        <v>3178</v>
      </c>
      <c r="AB128" s="408"/>
      <c r="AC128" s="407"/>
      <c r="AD128" s="403"/>
      <c r="AE128" s="406"/>
      <c r="AF128" s="407"/>
      <c r="AG128" s="407"/>
      <c r="AH128" s="399"/>
      <c r="AI128" s="400"/>
      <c r="AJ128" s="399"/>
      <c r="AK128" s="409" t="s">
        <v>3410</v>
      </c>
      <c r="AL128" s="440" t="s">
        <v>3313</v>
      </c>
      <c r="AM128" s="409" t="s">
        <v>3100</v>
      </c>
      <c r="AN128" s="403" t="s">
        <v>3101</v>
      </c>
      <c r="AO128" s="399"/>
      <c r="AP128" s="409" t="s">
        <v>3974</v>
      </c>
      <c r="AQ128" s="409" t="s">
        <v>3424</v>
      </c>
      <c r="AR128" s="399"/>
      <c r="AS128" s="399"/>
      <c r="AT128" s="399"/>
      <c r="AU128" s="399" t="s">
        <v>3970</v>
      </c>
      <c r="AV128" s="399" t="str">
        <f t="shared" si="27"/>
        <v>Same</v>
      </c>
      <c r="AW128" s="399"/>
      <c r="AX128" s="409" t="s">
        <v>3343</v>
      </c>
      <c r="AY128" s="399" t="str">
        <f t="shared" si="28"/>
        <v/>
      </c>
      <c r="AZ128" s="399"/>
      <c r="BA128" s="409">
        <v>1</v>
      </c>
      <c r="BB128" s="399"/>
      <c r="BC128" s="399"/>
      <c r="BD128" s="399" t="s">
        <v>3975</v>
      </c>
      <c r="BE128" s="411"/>
      <c r="BF128" s="411"/>
      <c r="BG128" s="434" t="s">
        <v>3976</v>
      </c>
      <c r="BH128" s="411" t="s">
        <v>3977</v>
      </c>
      <c r="BI128" s="411"/>
      <c r="BJ128" s="399"/>
      <c r="BK128" s="399"/>
      <c r="BL128" s="399"/>
      <c r="BM128" s="410" t="s">
        <v>3978</v>
      </c>
      <c r="BN128" s="399" t="s">
        <v>3979</v>
      </c>
      <c r="BO128" s="399"/>
      <c r="BP128" s="399"/>
      <c r="BQ128" s="399"/>
      <c r="BR128" s="399"/>
      <c r="BS128" s="407"/>
      <c r="BT128" s="407"/>
      <c r="BU128" s="412"/>
      <c r="BV128" s="46" t="str">
        <f t="shared" si="8"/>
        <v>Observation</v>
      </c>
      <c r="BW128" s="46" t="str">
        <f t="shared" si="9"/>
        <v/>
      </c>
      <c r="BX128" s="46" t="str">
        <f t="shared" si="10"/>
        <v>Observation</v>
      </c>
      <c r="BY128" s="43" t="str">
        <f t="shared" si="11"/>
        <v>WHO-FP Observation (Missed or Late Menses)</v>
      </c>
      <c r="BZ128" s="46">
        <f t="shared" si="12"/>
        <v>1</v>
      </c>
      <c r="CA128" s="46">
        <f t="shared" si="13"/>
        <v>0</v>
      </c>
      <c r="CB128" s="46">
        <f t="shared" si="14"/>
        <v>1</v>
      </c>
      <c r="CC128" s="46">
        <f t="shared" si="15"/>
        <v>1</v>
      </c>
      <c r="CD128" s="46">
        <f t="shared" si="16"/>
        <v>1</v>
      </c>
      <c r="CE128" s="46">
        <f t="shared" si="17"/>
        <v>0</v>
      </c>
      <c r="CF128" s="46">
        <f t="shared" si="18"/>
        <v>0</v>
      </c>
      <c r="CG128" s="46" t="str">
        <f ca="1">IFERROR(__xludf.DUMMYFUNCTION("if(OR(BH128="""",LEFT(BH128,2)=""LA""),"""",IMPORTXML(CONCATENATE(""https://loinc.org/"",BH128,""/""),""//span[@id='lcn']""))"),"")</f>
        <v/>
      </c>
      <c r="CH128" s="46"/>
      <c r="CI128" s="46"/>
      <c r="CJ128" s="46"/>
      <c r="CK128" s="46"/>
      <c r="CL128" s="46"/>
      <c r="CM128" s="46"/>
      <c r="CN128" s="46"/>
      <c r="CO128" s="46"/>
      <c r="CP128" s="46"/>
      <c r="CQ128" s="46"/>
      <c r="CR128" s="46"/>
      <c r="CS128" s="46"/>
      <c r="CT128" s="46"/>
      <c r="CU128" s="46"/>
    </row>
    <row r="129" spans="1:99" ht="12.75" customHeight="1">
      <c r="A129" s="409">
        <v>1345</v>
      </c>
      <c r="B129" s="399" t="s">
        <v>3980</v>
      </c>
      <c r="C129" s="399">
        <f t="shared" si="22"/>
        <v>1345</v>
      </c>
      <c r="D129" s="399" t="str">
        <f t="shared" si="23"/>
        <v>Days since start of last normal menses</v>
      </c>
      <c r="E129" s="399" t="str">
        <f t="shared" si="24"/>
        <v>Days since start of last normal menses</v>
      </c>
      <c r="F129" s="399" t="str">
        <f t="shared" si="25"/>
        <v>Data Element</v>
      </c>
      <c r="G129" s="400">
        <f t="shared" si="26"/>
        <v>38</v>
      </c>
      <c r="H129" s="400" t="str">
        <f t="shared" si="21"/>
        <v/>
      </c>
      <c r="I129" s="400"/>
      <c r="J129" s="400"/>
      <c r="K129" s="401" t="s">
        <v>3333</v>
      </c>
      <c r="L129" s="402" t="s">
        <v>3334</v>
      </c>
      <c r="M129" s="400"/>
      <c r="N129" s="427" t="s">
        <v>3477</v>
      </c>
      <c r="O129" s="428"/>
      <c r="P129" s="405" t="s">
        <v>3981</v>
      </c>
      <c r="Q129" s="429" t="s">
        <v>3980</v>
      </c>
      <c r="R129" s="403"/>
      <c r="S129" s="431" t="s">
        <v>3982</v>
      </c>
      <c r="T129" s="403" t="s">
        <v>168</v>
      </c>
      <c r="U129" s="407"/>
      <c r="V129" s="407"/>
      <c r="W129" s="407"/>
      <c r="X129" s="405" t="s">
        <v>113</v>
      </c>
      <c r="Y129" s="403" t="s">
        <v>3492</v>
      </c>
      <c r="Z129" s="403" t="s">
        <v>113</v>
      </c>
      <c r="AA129" s="403" t="s">
        <v>1889</v>
      </c>
      <c r="AB129" s="432" t="s">
        <v>3983</v>
      </c>
      <c r="AC129" s="421"/>
      <c r="AD129" s="436"/>
      <c r="AE129" s="406"/>
      <c r="AF129" s="407"/>
      <c r="AG129" s="407"/>
      <c r="AH129" s="399"/>
      <c r="AI129" s="400"/>
      <c r="AJ129" s="399"/>
      <c r="AK129" s="409" t="s">
        <v>3410</v>
      </c>
      <c r="AL129" s="409" t="s">
        <v>168</v>
      </c>
      <c r="AM129" s="409" t="s">
        <v>3100</v>
      </c>
      <c r="AN129" s="399" t="s">
        <v>3101</v>
      </c>
      <c r="AO129" s="399"/>
      <c r="AP129" s="409" t="s">
        <v>3984</v>
      </c>
      <c r="AQ129" s="409" t="s">
        <v>3424</v>
      </c>
      <c r="AR129" s="399"/>
      <c r="AS129" s="399"/>
      <c r="AT129" s="399"/>
      <c r="AU129" s="399" t="s">
        <v>3985</v>
      </c>
      <c r="AV129" s="399" t="str">
        <f t="shared" si="27"/>
        <v>Changed</v>
      </c>
      <c r="AW129" s="399"/>
      <c r="AX129" s="409" t="s">
        <v>3343</v>
      </c>
      <c r="AY129" s="399" t="str">
        <f t="shared" si="28"/>
        <v/>
      </c>
      <c r="AZ129" s="399"/>
      <c r="BA129" s="409">
        <v>1</v>
      </c>
      <c r="BB129" s="399"/>
      <c r="BC129" s="399"/>
      <c r="BD129" s="409" t="s">
        <v>3162</v>
      </c>
      <c r="BE129" s="411"/>
      <c r="BF129" s="411"/>
      <c r="BG129" s="433" t="s">
        <v>3969</v>
      </c>
      <c r="BH129" s="411"/>
      <c r="BI129" s="411"/>
      <c r="BJ129" s="399"/>
      <c r="BK129" s="399"/>
      <c r="BL129" s="399"/>
      <c r="BM129" s="399"/>
      <c r="BN129" s="399"/>
      <c r="BO129" s="399"/>
      <c r="BP129" s="399"/>
      <c r="BQ129" s="399"/>
      <c r="BR129" s="399"/>
      <c r="BS129" s="407"/>
      <c r="BT129" s="407"/>
      <c r="BU129" s="412"/>
      <c r="BV129" s="46" t="str">
        <f t="shared" si="8"/>
        <v>Observation</v>
      </c>
      <c r="BW129" s="46" t="str">
        <f t="shared" si="9"/>
        <v/>
      </c>
      <c r="BX129" s="46" t="str">
        <f t="shared" si="10"/>
        <v>Observation</v>
      </c>
      <c r="BY129" s="43" t="str">
        <f t="shared" si="11"/>
        <v>WHO-FP Observation (Days since Last Normal Menses)</v>
      </c>
      <c r="BZ129" s="46">
        <f t="shared" si="12"/>
        <v>1</v>
      </c>
      <c r="CA129" s="46">
        <f t="shared" si="13"/>
        <v>0</v>
      </c>
      <c r="CB129" s="46">
        <f t="shared" si="14"/>
        <v>1</v>
      </c>
      <c r="CC129" s="46">
        <f t="shared" si="15"/>
        <v>1</v>
      </c>
      <c r="CD129" s="46">
        <f t="shared" si="16"/>
        <v>1</v>
      </c>
      <c r="CE129" s="46">
        <f t="shared" si="17"/>
        <v>0</v>
      </c>
      <c r="CF129" s="46">
        <f t="shared" si="18"/>
        <v>0</v>
      </c>
      <c r="CG129" s="46" t="str">
        <f ca="1">IFERROR(__xludf.DUMMYFUNCTION("if(OR(BH129="""",LEFT(BH129,2)=""LA""),"""",IMPORTXML(CONCATENATE(""https://loinc.org/"",BH129,""/""),""//span[@id='lcn']""))"),"")</f>
        <v/>
      </c>
      <c r="CH129" s="46"/>
      <c r="CI129" s="46"/>
      <c r="CJ129" s="46"/>
      <c r="CK129" s="46"/>
      <c r="CL129" s="46"/>
      <c r="CM129" s="46"/>
      <c r="CN129" s="46"/>
      <c r="CO129" s="46"/>
      <c r="CP129" s="46"/>
      <c r="CQ129" s="46"/>
      <c r="CR129" s="46"/>
      <c r="CS129" s="46"/>
      <c r="CT129" s="46"/>
      <c r="CU129" s="46"/>
    </row>
    <row r="130" spans="1:99" ht="12.75" customHeight="1">
      <c r="A130" s="399">
        <v>1270</v>
      </c>
      <c r="B130" s="399" t="s">
        <v>3986</v>
      </c>
      <c r="C130" s="399">
        <f t="shared" si="22"/>
        <v>1270</v>
      </c>
      <c r="D130" s="399" t="str">
        <f t="shared" si="23"/>
        <v>Pregnancy status</v>
      </c>
      <c r="E130" s="399" t="str">
        <f t="shared" si="24"/>
        <v>Pregnancy status</v>
      </c>
      <c r="F130" s="399" t="str">
        <f t="shared" si="25"/>
        <v>Data Element</v>
      </c>
      <c r="G130" s="400">
        <f t="shared" si="26"/>
        <v>16</v>
      </c>
      <c r="H130" s="400" t="str">
        <f t="shared" si="21"/>
        <v/>
      </c>
      <c r="I130" s="400"/>
      <c r="J130" s="400"/>
      <c r="K130" s="402" t="s">
        <v>3475</v>
      </c>
      <c r="L130" s="402" t="s">
        <v>3489</v>
      </c>
      <c r="M130" s="400"/>
      <c r="N130" s="427" t="s">
        <v>3477</v>
      </c>
      <c r="O130" s="41" t="s">
        <v>3987</v>
      </c>
      <c r="P130" s="440" t="s">
        <v>3988</v>
      </c>
      <c r="Q130" s="403" t="s">
        <v>3986</v>
      </c>
      <c r="R130" s="403"/>
      <c r="S130" s="403" t="s">
        <v>3989</v>
      </c>
      <c r="T130" s="403" t="s">
        <v>3339</v>
      </c>
      <c r="U130" s="407" t="s">
        <v>3243</v>
      </c>
      <c r="V130" s="407"/>
      <c r="W130" s="407"/>
      <c r="X130" s="407" t="s">
        <v>208</v>
      </c>
      <c r="Y130" s="407"/>
      <c r="Z130" s="403" t="s">
        <v>113</v>
      </c>
      <c r="AA130" s="403" t="s">
        <v>3178</v>
      </c>
      <c r="AB130" s="432" t="s">
        <v>3990</v>
      </c>
      <c r="AC130" s="421"/>
      <c r="AD130" s="436"/>
      <c r="AE130" s="420"/>
      <c r="AF130" s="407"/>
      <c r="AG130" s="432" t="s">
        <v>3991</v>
      </c>
      <c r="AH130" s="399"/>
      <c r="AI130" s="400"/>
      <c r="AJ130" s="399"/>
      <c r="AK130" s="409" t="s">
        <v>3410</v>
      </c>
      <c r="AL130" s="409" t="s">
        <v>3181</v>
      </c>
      <c r="AM130" s="403" t="s">
        <v>3100</v>
      </c>
      <c r="AN130" s="403" t="s">
        <v>3101</v>
      </c>
      <c r="AO130" s="399"/>
      <c r="AP130" s="409" t="s">
        <v>3992</v>
      </c>
      <c r="AQ130" s="409" t="s">
        <v>3130</v>
      </c>
      <c r="AR130" s="409" t="s">
        <v>3993</v>
      </c>
      <c r="AS130" s="409"/>
      <c r="AT130" s="399"/>
      <c r="AU130" s="399" t="s">
        <v>3986</v>
      </c>
      <c r="AV130" s="399" t="str">
        <f t="shared" si="27"/>
        <v>Same</v>
      </c>
      <c r="AW130" s="399"/>
      <c r="AX130" s="409" t="s">
        <v>3104</v>
      </c>
      <c r="AY130" s="399" t="str">
        <f t="shared" si="28"/>
        <v/>
      </c>
      <c r="AZ130" s="409" t="s">
        <v>3105</v>
      </c>
      <c r="BA130" s="409" t="s">
        <v>3125</v>
      </c>
      <c r="BB130" s="399"/>
      <c r="BC130" s="399"/>
      <c r="BD130" s="399" t="s">
        <v>3162</v>
      </c>
      <c r="BE130" s="411"/>
      <c r="BF130" s="411"/>
      <c r="BG130" s="411"/>
      <c r="BH130" s="434" t="s">
        <v>3994</v>
      </c>
      <c r="BI130" s="411"/>
      <c r="BJ130" s="399"/>
      <c r="BK130" s="399"/>
      <c r="BL130" s="399"/>
      <c r="BM130" s="399"/>
      <c r="BN130" s="399"/>
      <c r="BO130" s="399">
        <v>5272</v>
      </c>
      <c r="BP130" s="399"/>
      <c r="BQ130" s="399"/>
      <c r="BR130" s="399"/>
      <c r="BS130" s="407"/>
      <c r="BT130" s="407"/>
      <c r="BU130" s="412"/>
      <c r="BV130" s="46" t="str">
        <f t="shared" si="8"/>
        <v>Observation</v>
      </c>
      <c r="BW130" s="46" t="str">
        <f t="shared" si="9"/>
        <v/>
      </c>
      <c r="BX130" s="46" t="str">
        <f t="shared" si="10"/>
        <v>Observation</v>
      </c>
      <c r="BY130" s="43" t="str">
        <f t="shared" si="11"/>
        <v>WHO-Core Observation (Pregnancy Status)</v>
      </c>
      <c r="BZ130" s="46">
        <f t="shared" si="12"/>
        <v>1</v>
      </c>
      <c r="CA130" s="46">
        <f t="shared" si="13"/>
        <v>1</v>
      </c>
      <c r="CB130" s="46">
        <f t="shared" si="14"/>
        <v>1</v>
      </c>
      <c r="CC130" s="46">
        <f t="shared" si="15"/>
        <v>1</v>
      </c>
      <c r="CD130" s="46">
        <f t="shared" si="16"/>
        <v>1</v>
      </c>
      <c r="CE130" s="46">
        <f t="shared" si="17"/>
        <v>0</v>
      </c>
      <c r="CF130" s="46">
        <f t="shared" si="18"/>
        <v>0</v>
      </c>
      <c r="CG130" s="46" t="str">
        <f ca="1">IFERROR(__xludf.DUMMYFUNCTION("if(OR(BH130="""",LEFT(BH130,2)=""LA""),"""",IMPORTXML(CONCATENATE(""https://loinc.org/"",BH130,""/""),""//span[@id='lcn']""))"),"Pregnancy status")</f>
        <v>Pregnancy status</v>
      </c>
      <c r="CH130" s="46"/>
      <c r="CI130" s="46"/>
      <c r="CJ130" s="46"/>
      <c r="CK130" s="46"/>
      <c r="CL130" s="46"/>
      <c r="CM130" s="46"/>
      <c r="CN130" s="46"/>
      <c r="CO130" s="46"/>
      <c r="CP130" s="46"/>
      <c r="CQ130" s="46"/>
      <c r="CR130" s="46"/>
      <c r="CS130" s="46"/>
      <c r="CT130" s="46"/>
      <c r="CU130" s="46"/>
    </row>
    <row r="131" spans="1:99" ht="12.75" customHeight="1">
      <c r="A131" s="399">
        <v>1271</v>
      </c>
      <c r="B131" s="399" t="s">
        <v>3995</v>
      </c>
      <c r="C131" s="399">
        <f t="shared" si="22"/>
        <v>1271</v>
      </c>
      <c r="D131" s="399" t="e">
        <f t="shared" ca="1" si="23"/>
        <v>#NAME?</v>
      </c>
      <c r="E131" s="399" t="str">
        <f t="shared" si="24"/>
        <v>Pregnant</v>
      </c>
      <c r="F131" s="409" t="s">
        <v>180</v>
      </c>
      <c r="G131" s="400">
        <f t="shared" si="26"/>
        <v>15</v>
      </c>
      <c r="H131" s="399" t="str">
        <f t="shared" si="21"/>
        <v>Pregnancy status</v>
      </c>
      <c r="I131" s="400"/>
      <c r="J131" s="400"/>
      <c r="K131" s="401" t="s">
        <v>3333</v>
      </c>
      <c r="L131" s="402" t="s">
        <v>3489</v>
      </c>
      <c r="M131" s="400"/>
      <c r="N131" s="427" t="s">
        <v>3477</v>
      </c>
      <c r="O131" s="428"/>
      <c r="P131" s="403" t="s">
        <v>3996</v>
      </c>
      <c r="Q131" s="403"/>
      <c r="R131" s="403"/>
      <c r="S131" s="403" t="s">
        <v>3797</v>
      </c>
      <c r="T131" s="403" t="s">
        <v>3339</v>
      </c>
      <c r="U131" s="407" t="s">
        <v>3243</v>
      </c>
      <c r="V131" s="460" t="s">
        <v>3997</v>
      </c>
      <c r="W131" s="407"/>
      <c r="X131" s="407" t="s">
        <v>208</v>
      </c>
      <c r="Y131" s="407"/>
      <c r="Z131" s="403" t="s">
        <v>113</v>
      </c>
      <c r="AA131" s="403" t="s">
        <v>3178</v>
      </c>
      <c r="AB131" s="406" t="s">
        <v>113</v>
      </c>
      <c r="AC131" s="403"/>
      <c r="AD131" s="403"/>
      <c r="AE131" s="406"/>
      <c r="AF131" s="407"/>
      <c r="AG131" s="407"/>
      <c r="AH131" s="399"/>
      <c r="AI131" s="400"/>
      <c r="AJ131" s="399"/>
      <c r="AK131" s="399"/>
      <c r="AL131" s="399"/>
      <c r="AM131" s="399"/>
      <c r="AN131" s="399"/>
      <c r="AO131" s="399"/>
      <c r="AP131" s="409"/>
      <c r="AQ131" s="409" t="s">
        <v>3130</v>
      </c>
      <c r="AR131" s="409" t="s">
        <v>3993</v>
      </c>
      <c r="AS131" s="409"/>
      <c r="AT131" s="399"/>
      <c r="AU131" s="399" t="s">
        <v>3995</v>
      </c>
      <c r="AV131" s="399" t="str">
        <f t="shared" si="27"/>
        <v>Same</v>
      </c>
      <c r="AW131" s="399"/>
      <c r="AX131" s="409" t="s">
        <v>3104</v>
      </c>
      <c r="AY131" s="399" t="e">
        <f t="shared" ca="1" si="28"/>
        <v>#NAME?</v>
      </c>
      <c r="AZ131" s="409" t="s">
        <v>3105</v>
      </c>
      <c r="BA131" s="409">
        <v>1</v>
      </c>
      <c r="BB131" s="399"/>
      <c r="BC131" s="399"/>
      <c r="BD131" s="399" t="s">
        <v>3162</v>
      </c>
      <c r="BE131" s="411"/>
      <c r="BF131" s="411"/>
      <c r="BG131" s="411" t="s">
        <v>3798</v>
      </c>
      <c r="BH131" s="411" t="s">
        <v>3998</v>
      </c>
      <c r="BI131" s="411"/>
      <c r="BJ131" s="399"/>
      <c r="BK131" s="399"/>
      <c r="BL131" s="399"/>
      <c r="BM131" s="399"/>
      <c r="BN131" s="399"/>
      <c r="BO131" s="399"/>
      <c r="BP131" s="399"/>
      <c r="BQ131" s="399"/>
      <c r="BR131" s="399"/>
      <c r="BS131" s="407"/>
      <c r="BT131" s="407"/>
      <c r="BU131" s="412"/>
      <c r="BV131" s="46" t="str">
        <f t="shared" si="8"/>
        <v/>
      </c>
      <c r="BW131" s="46">
        <f t="shared" si="9"/>
        <v>0</v>
      </c>
      <c r="BX131" s="46">
        <f t="shared" si="10"/>
        <v>0</v>
      </c>
      <c r="BY131" s="43" t="str">
        <f t="shared" si="11"/>
        <v>WHO-Core Observation (Pregnancy Status)</v>
      </c>
      <c r="BZ131" s="46">
        <f t="shared" si="12"/>
        <v>1</v>
      </c>
      <c r="CA131" s="46" t="str">
        <f t="shared" si="13"/>
        <v/>
      </c>
      <c r="CB131" s="46">
        <f t="shared" si="14"/>
        <v>1</v>
      </c>
      <c r="CC131" s="46">
        <f t="shared" si="15"/>
        <v>1</v>
      </c>
      <c r="CD131" s="46">
        <f t="shared" si="16"/>
        <v>1</v>
      </c>
      <c r="CE131" s="46">
        <f t="shared" si="17"/>
        <v>0</v>
      </c>
      <c r="CF131" s="46">
        <f t="shared" si="18"/>
        <v>0</v>
      </c>
      <c r="CG131" s="46" t="str">
        <f ca="1">IFERROR(__xludf.DUMMYFUNCTION("if(OR(BH131="""",LEFT(BH131,2)=""LA""),"""",IMPORTXML(CONCATENATE(""https://loinc.org/"",BH131,""/""),""//span[@id='lcn']""))"),"")</f>
        <v/>
      </c>
      <c r="CH131" s="46"/>
      <c r="CI131" s="46"/>
      <c r="CJ131" s="46"/>
      <c r="CK131" s="46"/>
      <c r="CL131" s="46"/>
      <c r="CM131" s="46"/>
      <c r="CN131" s="46"/>
      <c r="CO131" s="46"/>
      <c r="CP131" s="46"/>
      <c r="CQ131" s="46"/>
      <c r="CR131" s="46"/>
      <c r="CS131" s="46"/>
      <c r="CT131" s="46"/>
      <c r="CU131" s="46"/>
    </row>
    <row r="132" spans="1:99" ht="12.75" customHeight="1">
      <c r="A132" s="399">
        <v>1272</v>
      </c>
      <c r="B132" s="399" t="s">
        <v>3999</v>
      </c>
      <c r="C132" s="399">
        <f t="shared" si="22"/>
        <v>1272</v>
      </c>
      <c r="D132" s="399" t="e">
        <f t="shared" ca="1" si="23"/>
        <v>#NAME?</v>
      </c>
      <c r="E132" s="399" t="str">
        <f t="shared" si="24"/>
        <v>Not pregnant</v>
      </c>
      <c r="F132" s="399" t="str">
        <f t="shared" ref="F132:F133" si="30">IF(AND(ISBLANK(V132)=FALSE,OR(T132="MC",T132="")),"Input Option","Data Element")</f>
        <v>Input Option</v>
      </c>
      <c r="G132" s="400">
        <f t="shared" si="26"/>
        <v>19</v>
      </c>
      <c r="H132" s="399" t="str">
        <f t="shared" si="21"/>
        <v>Pregnancy status</v>
      </c>
      <c r="I132" s="400"/>
      <c r="J132" s="400"/>
      <c r="K132" s="401" t="s">
        <v>3333</v>
      </c>
      <c r="L132" s="402" t="s">
        <v>3489</v>
      </c>
      <c r="M132" s="400"/>
      <c r="N132" s="427" t="s">
        <v>3477</v>
      </c>
      <c r="O132" s="428"/>
      <c r="P132" s="403" t="s">
        <v>4000</v>
      </c>
      <c r="Q132" s="403"/>
      <c r="R132" s="403"/>
      <c r="S132" s="403" t="s">
        <v>4001</v>
      </c>
      <c r="T132" s="403"/>
      <c r="U132" s="407"/>
      <c r="V132" s="460" t="s">
        <v>4001</v>
      </c>
      <c r="W132" s="407"/>
      <c r="X132" s="407" t="s">
        <v>208</v>
      </c>
      <c r="Y132" s="407"/>
      <c r="Z132" s="403" t="s">
        <v>113</v>
      </c>
      <c r="AA132" s="403" t="s">
        <v>3178</v>
      </c>
      <c r="AB132" s="406" t="s">
        <v>113</v>
      </c>
      <c r="AC132" s="403"/>
      <c r="AD132" s="403"/>
      <c r="AE132" s="406"/>
      <c r="AF132" s="407"/>
      <c r="AG132" s="407"/>
      <c r="AH132" s="399"/>
      <c r="AI132" s="400"/>
      <c r="AJ132" s="399"/>
      <c r="AK132" s="399"/>
      <c r="AL132" s="399"/>
      <c r="AM132" s="399"/>
      <c r="AN132" s="399"/>
      <c r="AO132" s="399"/>
      <c r="AP132" s="409"/>
      <c r="AQ132" s="409" t="s">
        <v>3130</v>
      </c>
      <c r="AR132" s="409" t="s">
        <v>3993</v>
      </c>
      <c r="AS132" s="409"/>
      <c r="AT132" s="399"/>
      <c r="AU132" s="399" t="s">
        <v>3999</v>
      </c>
      <c r="AV132" s="399" t="str">
        <f t="shared" si="27"/>
        <v>Same</v>
      </c>
      <c r="AW132" s="399"/>
      <c r="AX132" s="409" t="s">
        <v>3104</v>
      </c>
      <c r="AY132" s="399" t="e">
        <f t="shared" ca="1" si="28"/>
        <v>#NAME?</v>
      </c>
      <c r="AZ132" s="409" t="s">
        <v>3105</v>
      </c>
      <c r="BA132" s="409">
        <v>1</v>
      </c>
      <c r="BB132" s="399"/>
      <c r="BC132" s="399"/>
      <c r="BD132" s="399" t="s">
        <v>3162</v>
      </c>
      <c r="BE132" s="411"/>
      <c r="BF132" s="411"/>
      <c r="BG132" s="411" t="s">
        <v>4002</v>
      </c>
      <c r="BH132" s="411" t="s">
        <v>4003</v>
      </c>
      <c r="BI132" s="411"/>
      <c r="BJ132" s="399"/>
      <c r="BK132" s="399"/>
      <c r="BL132" s="399"/>
      <c r="BM132" s="399"/>
      <c r="BN132" s="399"/>
      <c r="BO132" s="399"/>
      <c r="BP132" s="399"/>
      <c r="BQ132" s="399"/>
      <c r="BR132" s="399"/>
      <c r="BS132" s="407"/>
      <c r="BT132" s="407"/>
      <c r="BU132" s="412"/>
      <c r="BV132" s="46" t="str">
        <f t="shared" si="8"/>
        <v/>
      </c>
      <c r="BW132" s="46">
        <f t="shared" si="9"/>
        <v>0</v>
      </c>
      <c r="BX132" s="46">
        <f t="shared" si="10"/>
        <v>0</v>
      </c>
      <c r="BY132" s="43" t="str">
        <f t="shared" si="11"/>
        <v>WHO-Core Observation (Pregnancy Status)</v>
      </c>
      <c r="BZ132" s="46">
        <f t="shared" si="12"/>
        <v>1</v>
      </c>
      <c r="CA132" s="46" t="str">
        <f t="shared" si="13"/>
        <v/>
      </c>
      <c r="CB132" s="46">
        <f t="shared" si="14"/>
        <v>1</v>
      </c>
      <c r="CC132" s="46">
        <f t="shared" si="15"/>
        <v>1</v>
      </c>
      <c r="CD132" s="46">
        <f t="shared" si="16"/>
        <v>1</v>
      </c>
      <c r="CE132" s="46">
        <f t="shared" si="17"/>
        <v>0</v>
      </c>
      <c r="CF132" s="46">
        <f t="shared" si="18"/>
        <v>0</v>
      </c>
      <c r="CG132" s="46" t="str">
        <f ca="1">IFERROR(__xludf.DUMMYFUNCTION("if(OR(BH132="""",LEFT(BH132,2)=""LA""),"""",IMPORTXML(CONCATENATE(""https://loinc.org/"",BH132,""/""),""//span[@id='lcn']""))"),"")</f>
        <v/>
      </c>
      <c r="CH132" s="46"/>
      <c r="CI132" s="46"/>
      <c r="CJ132" s="46"/>
      <c r="CK132" s="46"/>
      <c r="CL132" s="46"/>
      <c r="CM132" s="46"/>
      <c r="CN132" s="46"/>
      <c r="CO132" s="46"/>
      <c r="CP132" s="46"/>
      <c r="CQ132" s="46"/>
      <c r="CR132" s="46"/>
      <c r="CS132" s="46"/>
      <c r="CT132" s="46"/>
      <c r="CU132" s="46"/>
    </row>
    <row r="133" spans="1:99" ht="12.75" customHeight="1">
      <c r="A133" s="409">
        <v>1273</v>
      </c>
      <c r="B133" s="399" t="s">
        <v>1162</v>
      </c>
      <c r="C133" s="399">
        <f t="shared" si="22"/>
        <v>1273</v>
      </c>
      <c r="D133" s="399" t="e">
        <f t="shared" ca="1" si="23"/>
        <v>#NAME?</v>
      </c>
      <c r="E133" s="399" t="str">
        <f t="shared" si="24"/>
        <v>Unknown</v>
      </c>
      <c r="F133" s="399" t="str">
        <f t="shared" si="30"/>
        <v>Input Option</v>
      </c>
      <c r="G133" s="400">
        <f t="shared" si="26"/>
        <v>14</v>
      </c>
      <c r="H133" s="399" t="str">
        <f t="shared" si="21"/>
        <v>Pregnancy status</v>
      </c>
      <c r="I133" s="400"/>
      <c r="J133" s="400"/>
      <c r="K133" s="401" t="s">
        <v>3333</v>
      </c>
      <c r="L133" s="402" t="s">
        <v>3489</v>
      </c>
      <c r="M133" s="400"/>
      <c r="N133" s="427" t="s">
        <v>3477</v>
      </c>
      <c r="O133" s="428"/>
      <c r="P133" s="403" t="s">
        <v>4004</v>
      </c>
      <c r="Q133" s="403"/>
      <c r="R133" s="403"/>
      <c r="S133" s="403" t="s">
        <v>4005</v>
      </c>
      <c r="T133" s="403"/>
      <c r="U133" s="407"/>
      <c r="V133" s="407" t="s">
        <v>936</v>
      </c>
      <c r="W133" s="407"/>
      <c r="X133" s="407" t="s">
        <v>208</v>
      </c>
      <c r="Y133" s="403"/>
      <c r="Z133" s="403" t="s">
        <v>113</v>
      </c>
      <c r="AA133" s="403" t="s">
        <v>3178</v>
      </c>
      <c r="AB133" s="432" t="s">
        <v>4006</v>
      </c>
      <c r="AC133" s="436"/>
      <c r="AD133" s="403"/>
      <c r="AE133" s="406" t="s">
        <v>4007</v>
      </c>
      <c r="AF133" s="407"/>
      <c r="AG133" s="407"/>
      <c r="AH133" s="399"/>
      <c r="AI133" s="400"/>
      <c r="AJ133" s="399"/>
      <c r="AK133" s="399"/>
      <c r="AL133" s="399"/>
      <c r="AM133" s="399"/>
      <c r="AN133" s="399"/>
      <c r="AO133" s="399"/>
      <c r="AP133" s="409"/>
      <c r="AQ133" s="409" t="s">
        <v>3130</v>
      </c>
      <c r="AR133" s="409" t="s">
        <v>3993</v>
      </c>
      <c r="AS133" s="409"/>
      <c r="AT133" s="399"/>
      <c r="AU133" s="399" t="s">
        <v>1162</v>
      </c>
      <c r="AV133" s="399" t="str">
        <f t="shared" si="27"/>
        <v>Same</v>
      </c>
      <c r="AW133" s="399"/>
      <c r="AX133" s="409" t="s">
        <v>3104</v>
      </c>
      <c r="AY133" s="399" t="e">
        <f t="shared" ca="1" si="28"/>
        <v>#NAME?</v>
      </c>
      <c r="AZ133" s="409" t="s">
        <v>3105</v>
      </c>
      <c r="BA133" s="409">
        <v>1</v>
      </c>
      <c r="BB133" s="399"/>
      <c r="BC133" s="399"/>
      <c r="BD133" s="409" t="s">
        <v>3162</v>
      </c>
      <c r="BE133" s="411"/>
      <c r="BF133" s="411"/>
      <c r="BG133" s="434" t="s">
        <v>4008</v>
      </c>
      <c r="BH133" s="411" t="s">
        <v>4009</v>
      </c>
      <c r="BI133" s="411"/>
      <c r="BJ133" s="399"/>
      <c r="BK133" s="399"/>
      <c r="BL133" s="399"/>
      <c r="BM133" s="409" t="s">
        <v>4010</v>
      </c>
      <c r="BN133" s="399"/>
      <c r="BO133" s="399"/>
      <c r="BP133" s="399"/>
      <c r="BQ133" s="399"/>
      <c r="BR133" s="399"/>
      <c r="BS133" s="407"/>
      <c r="BT133" s="407"/>
      <c r="BU133" s="412"/>
      <c r="BV133" s="46" t="str">
        <f t="shared" si="8"/>
        <v/>
      </c>
      <c r="BW133" s="46">
        <f t="shared" si="9"/>
        <v>0</v>
      </c>
      <c r="BX133" s="46">
        <f t="shared" si="10"/>
        <v>0</v>
      </c>
      <c r="BY133" s="43" t="str">
        <f t="shared" si="11"/>
        <v>WHO-Core Observation (Pregnancy Status)</v>
      </c>
      <c r="BZ133" s="46">
        <f t="shared" si="12"/>
        <v>1</v>
      </c>
      <c r="CA133" s="46" t="str">
        <f t="shared" si="13"/>
        <v/>
      </c>
      <c r="CB133" s="46">
        <f t="shared" si="14"/>
        <v>1</v>
      </c>
      <c r="CC133" s="46">
        <f t="shared" si="15"/>
        <v>1</v>
      </c>
      <c r="CD133" s="46">
        <f t="shared" si="16"/>
        <v>1</v>
      </c>
      <c r="CE133" s="46">
        <f t="shared" si="17"/>
        <v>0</v>
      </c>
      <c r="CF133" s="46">
        <f t="shared" si="18"/>
        <v>0</v>
      </c>
      <c r="CG133" s="46" t="str">
        <f ca="1">IFERROR(__xludf.DUMMYFUNCTION("if(OR(BH133="""",LEFT(BH133,2)=""LA""),"""",IMPORTXML(CONCATENATE(""https://loinc.org/"",BH133,""/""),""//span[@id='lcn']""))"),"")</f>
        <v/>
      </c>
      <c r="CH133" s="46"/>
      <c r="CI133" s="46"/>
      <c r="CJ133" s="46"/>
      <c r="CK133" s="46"/>
      <c r="CL133" s="46"/>
      <c r="CM133" s="46"/>
      <c r="CN133" s="46"/>
      <c r="CO133" s="46"/>
      <c r="CP133" s="46"/>
      <c r="CQ133" s="46"/>
      <c r="CR133" s="46"/>
      <c r="CS133" s="46"/>
      <c r="CT133" s="46"/>
      <c r="CU133" s="46"/>
    </row>
    <row r="134" spans="1:99" ht="12.75" customHeight="1">
      <c r="A134" s="399">
        <v>1269</v>
      </c>
      <c r="B134" s="399" t="s">
        <v>4011</v>
      </c>
      <c r="C134" s="399">
        <f t="shared" si="22"/>
        <v>1269</v>
      </c>
      <c r="D134" s="399" t="str">
        <f t="shared" si="23"/>
        <v>Pregnancy test recommended</v>
      </c>
      <c r="E134" s="399" t="str">
        <f t="shared" si="24"/>
        <v>Pregnancy test recommended</v>
      </c>
      <c r="F134" s="409" t="s">
        <v>65</v>
      </c>
      <c r="G134" s="400">
        <f t="shared" si="26"/>
        <v>26</v>
      </c>
      <c r="H134" s="400" t="str">
        <f t="shared" si="21"/>
        <v/>
      </c>
      <c r="I134" s="400"/>
      <c r="J134" s="400"/>
      <c r="K134" s="401" t="s">
        <v>3333</v>
      </c>
      <c r="L134" s="402" t="s">
        <v>3489</v>
      </c>
      <c r="M134" s="400"/>
      <c r="N134" s="427" t="s">
        <v>3477</v>
      </c>
      <c r="O134" s="428"/>
      <c r="P134" s="403" t="s">
        <v>4012</v>
      </c>
      <c r="Q134" s="403" t="s">
        <v>4011</v>
      </c>
      <c r="R134" s="403"/>
      <c r="S134" s="403" t="s">
        <v>4013</v>
      </c>
      <c r="T134" s="403" t="s">
        <v>3169</v>
      </c>
      <c r="U134" s="407"/>
      <c r="V134" s="407" t="s">
        <v>3170</v>
      </c>
      <c r="W134" s="407"/>
      <c r="X134" s="407" t="s">
        <v>208</v>
      </c>
      <c r="Y134" s="407"/>
      <c r="Z134" s="403" t="s">
        <v>208</v>
      </c>
      <c r="AA134" s="403" t="s">
        <v>3178</v>
      </c>
      <c r="AB134" s="432" t="s">
        <v>4014</v>
      </c>
      <c r="AC134" s="421"/>
      <c r="AD134" s="436"/>
      <c r="AE134" s="406"/>
      <c r="AF134" s="407"/>
      <c r="AG134" s="407"/>
      <c r="AH134" s="399"/>
      <c r="AI134" s="400"/>
      <c r="AJ134" s="399"/>
      <c r="AK134" s="440" t="s">
        <v>3741</v>
      </c>
      <c r="AL134" s="399"/>
      <c r="AM134" s="399" t="s">
        <v>3100</v>
      </c>
      <c r="AN134" s="399" t="s">
        <v>3101</v>
      </c>
      <c r="AO134" s="399"/>
      <c r="AP134" s="399"/>
      <c r="AQ134" s="399"/>
      <c r="AR134" s="399"/>
      <c r="AS134" s="399"/>
      <c r="AT134" s="399"/>
      <c r="AU134" s="399" t="s">
        <v>4011</v>
      </c>
      <c r="AV134" s="399" t="str">
        <f t="shared" si="27"/>
        <v>Same</v>
      </c>
      <c r="AW134" s="399"/>
      <c r="AX134" s="409" t="s">
        <v>3343</v>
      </c>
      <c r="AY134" s="399" t="str">
        <f t="shared" si="28"/>
        <v/>
      </c>
      <c r="AZ134" s="399"/>
      <c r="BA134" s="409">
        <v>0</v>
      </c>
      <c r="BB134" s="399"/>
      <c r="BC134" s="399"/>
      <c r="BD134" s="399"/>
      <c r="BE134" s="434" t="s">
        <v>4015</v>
      </c>
      <c r="BF134" s="411"/>
      <c r="BG134" s="411"/>
      <c r="BH134" s="411"/>
      <c r="BI134" s="411"/>
      <c r="BJ134" s="399"/>
      <c r="BK134" s="409" t="s">
        <v>4016</v>
      </c>
      <c r="BL134" s="399"/>
      <c r="BM134" s="399"/>
      <c r="BN134" s="399"/>
      <c r="BO134" s="399"/>
      <c r="BP134" s="399"/>
      <c r="BQ134" s="399"/>
      <c r="BR134" s="399"/>
      <c r="BS134" s="407"/>
      <c r="BT134" s="407"/>
      <c r="BU134" s="412"/>
      <c r="BV134" s="46" t="str">
        <f t="shared" si="8"/>
        <v/>
      </c>
      <c r="BW134" s="46" t="str">
        <f t="shared" si="9"/>
        <v/>
      </c>
      <c r="BX134" s="46" t="str">
        <f t="shared" si="10"/>
        <v/>
      </c>
      <c r="BY134" s="43">
        <f t="shared" si="11"/>
        <v>0</v>
      </c>
      <c r="BZ134" s="46">
        <f t="shared" si="12"/>
        <v>1</v>
      </c>
      <c r="CA134" s="46" t="str">
        <f t="shared" si="13"/>
        <v/>
      </c>
      <c r="CB134" s="46">
        <f t="shared" si="14"/>
        <v>1</v>
      </c>
      <c r="CC134" s="46">
        <f t="shared" si="15"/>
        <v>1</v>
      </c>
      <c r="CD134" s="46">
        <f t="shared" si="16"/>
        <v>1</v>
      </c>
      <c r="CE134" s="46">
        <f t="shared" si="17"/>
        <v>0</v>
      </c>
      <c r="CF134" s="46">
        <f t="shared" si="18"/>
        <v>0</v>
      </c>
      <c r="CG134" s="46" t="str">
        <f ca="1">IFERROR(__xludf.DUMMYFUNCTION("if(OR(BH134="""",LEFT(BH134,2)=""LA""),"""",IMPORTXML(CONCATENATE(""https://loinc.org/"",BH134,""/""),""//span[@id='lcn']""))"),"")</f>
        <v/>
      </c>
      <c r="CH134" s="46"/>
      <c r="CI134" s="46"/>
      <c r="CJ134" s="46"/>
      <c r="CK134" s="46"/>
      <c r="CL134" s="46"/>
      <c r="CM134" s="46"/>
      <c r="CN134" s="46"/>
      <c r="CO134" s="46"/>
      <c r="CP134" s="46"/>
      <c r="CQ134" s="46"/>
      <c r="CR134" s="46"/>
      <c r="CS134" s="46"/>
      <c r="CT134" s="46"/>
      <c r="CU134" s="46"/>
    </row>
    <row r="135" spans="1:99" ht="12.75" customHeight="1">
      <c r="A135" s="461">
        <v>1280</v>
      </c>
      <c r="B135" s="463" t="s">
        <v>4017</v>
      </c>
      <c r="C135" s="399">
        <f t="shared" si="22"/>
        <v>1280</v>
      </c>
      <c r="D135" s="399" t="str">
        <f t="shared" si="23"/>
        <v>Sensitivity of pregnancy test</v>
      </c>
      <c r="E135" s="399" t="str">
        <f t="shared" si="24"/>
        <v>Sensitivity of pregnancy test</v>
      </c>
      <c r="F135" s="399" t="str">
        <f t="shared" ref="F135:F140" si="31">IF(AND(ISBLANK(V135)=FALSE,OR(T135="MC",T135="")),"Input Option","Data Element")</f>
        <v>Data Element</v>
      </c>
      <c r="G135" s="400">
        <f t="shared" si="26"/>
        <v>29</v>
      </c>
      <c r="H135" s="400" t="str">
        <f t="shared" si="21"/>
        <v/>
      </c>
      <c r="I135" s="400"/>
      <c r="J135" s="400"/>
      <c r="K135" s="401" t="s">
        <v>3333</v>
      </c>
      <c r="L135" s="402" t="s">
        <v>3489</v>
      </c>
      <c r="M135" s="400"/>
      <c r="N135" s="427" t="s">
        <v>3477</v>
      </c>
      <c r="O135" s="428"/>
      <c r="P135" s="403" t="s">
        <v>4018</v>
      </c>
      <c r="Q135" s="403" t="s">
        <v>4017</v>
      </c>
      <c r="R135" s="403"/>
      <c r="S135" s="403"/>
      <c r="T135" s="403" t="s">
        <v>3339</v>
      </c>
      <c r="U135" s="407" t="s">
        <v>3243</v>
      </c>
      <c r="V135" s="407"/>
      <c r="W135" s="407"/>
      <c r="X135" s="407" t="s">
        <v>208</v>
      </c>
      <c r="Y135" s="403"/>
      <c r="Z135" s="403" t="s">
        <v>113</v>
      </c>
      <c r="AA135" s="403" t="s">
        <v>1889</v>
      </c>
      <c r="AB135" s="432" t="s">
        <v>4019</v>
      </c>
      <c r="AC135" s="421"/>
      <c r="AD135" s="436"/>
      <c r="AE135" s="420"/>
      <c r="AF135" s="407"/>
      <c r="AG135" s="407"/>
      <c r="AH135" s="399"/>
      <c r="AI135" s="400"/>
      <c r="AJ135" s="399"/>
      <c r="AK135" s="399"/>
      <c r="AL135" s="399"/>
      <c r="AM135" s="399"/>
      <c r="AN135" s="399"/>
      <c r="AO135" s="399"/>
      <c r="AP135" s="399"/>
      <c r="AQ135" s="399"/>
      <c r="AR135" s="399"/>
      <c r="AS135" s="399"/>
      <c r="AT135" s="399"/>
      <c r="AU135" s="399" t="s">
        <v>4017</v>
      </c>
      <c r="AV135" s="399" t="str">
        <f t="shared" si="27"/>
        <v>Same</v>
      </c>
      <c r="AW135" s="399"/>
      <c r="AX135" s="409" t="s">
        <v>3343</v>
      </c>
      <c r="AY135" s="399" t="str">
        <f t="shared" si="28"/>
        <v/>
      </c>
      <c r="AZ135" s="399"/>
      <c r="BA135" s="409">
        <v>0</v>
      </c>
      <c r="BB135" s="399"/>
      <c r="BC135" s="399"/>
      <c r="BD135" s="399" t="s">
        <v>4020</v>
      </c>
      <c r="BE135" s="411"/>
      <c r="BF135" s="411"/>
      <c r="BG135" s="434" t="s">
        <v>4021</v>
      </c>
      <c r="BH135" s="411"/>
      <c r="BI135" s="411"/>
      <c r="BJ135" s="399"/>
      <c r="BK135" s="409"/>
      <c r="BL135" s="409"/>
      <c r="BM135" s="409" t="s">
        <v>4022</v>
      </c>
      <c r="BN135" s="409" t="s">
        <v>4023</v>
      </c>
      <c r="BO135" s="399"/>
      <c r="BP135" s="399"/>
      <c r="BQ135" s="399"/>
      <c r="BR135" s="399"/>
      <c r="BS135" s="407"/>
      <c r="BT135" s="407"/>
      <c r="BU135" s="412"/>
      <c r="BV135" s="46" t="str">
        <f t="shared" si="8"/>
        <v/>
      </c>
      <c r="BW135" s="46" t="str">
        <f t="shared" si="9"/>
        <v/>
      </c>
      <c r="BX135" s="46" t="str">
        <f t="shared" si="10"/>
        <v/>
      </c>
      <c r="BY135" s="43">
        <f t="shared" si="11"/>
        <v>0</v>
      </c>
      <c r="BZ135" s="46">
        <f t="shared" si="12"/>
        <v>1</v>
      </c>
      <c r="CA135" s="46">
        <f t="shared" si="13"/>
        <v>1</v>
      </c>
      <c r="CB135" s="46">
        <f t="shared" si="14"/>
        <v>0</v>
      </c>
      <c r="CC135" s="46">
        <f t="shared" si="15"/>
        <v>0</v>
      </c>
      <c r="CD135" s="46">
        <f t="shared" si="16"/>
        <v>1</v>
      </c>
      <c r="CE135" s="46">
        <f t="shared" si="17"/>
        <v>1</v>
      </c>
      <c r="CF135" s="46">
        <f t="shared" si="18"/>
        <v>0</v>
      </c>
      <c r="CG135" s="46" t="str">
        <f ca="1">IFERROR(__xludf.DUMMYFUNCTION("if(OR(BH135="""",LEFT(BH135,2)=""LA""),"""",IMPORTXML(CONCATENATE(""https://loinc.org/"",BH135,""/""),""//span[@id='lcn']""))"),"")</f>
        <v/>
      </c>
      <c r="CH135" s="46"/>
      <c r="CI135" s="46"/>
      <c r="CJ135" s="46"/>
      <c r="CK135" s="46"/>
      <c r="CL135" s="46"/>
      <c r="CM135" s="46"/>
      <c r="CN135" s="46"/>
      <c r="CO135" s="46"/>
      <c r="CP135" s="46"/>
      <c r="CQ135" s="46"/>
      <c r="CR135" s="46"/>
      <c r="CS135" s="46"/>
      <c r="CT135" s="46"/>
      <c r="CU135" s="46"/>
    </row>
    <row r="136" spans="1:99" ht="12.75" customHeight="1">
      <c r="A136" s="461">
        <v>1281</v>
      </c>
      <c r="B136" s="461" t="s">
        <v>4024</v>
      </c>
      <c r="C136" s="399">
        <f t="shared" si="22"/>
        <v>1281</v>
      </c>
      <c r="D136" s="399" t="e">
        <f t="shared" ca="1" si="23"/>
        <v>#NAME?</v>
      </c>
      <c r="E136" s="399" t="str">
        <f t="shared" si="24"/>
        <v>Highly sensitive</v>
      </c>
      <c r="F136" s="399" t="str">
        <f t="shared" si="31"/>
        <v>Input Option</v>
      </c>
      <c r="G136" s="400">
        <f t="shared" si="26"/>
        <v>23</v>
      </c>
      <c r="H136" s="399" t="str">
        <f t="shared" si="21"/>
        <v>Sensitivity of pregnancy test</v>
      </c>
      <c r="I136" s="400"/>
      <c r="J136" s="400"/>
      <c r="K136" s="401" t="s">
        <v>3333</v>
      </c>
      <c r="L136" s="402" t="s">
        <v>3489</v>
      </c>
      <c r="M136" s="400"/>
      <c r="N136" s="427" t="s">
        <v>3477</v>
      </c>
      <c r="O136" s="428"/>
      <c r="P136" s="403" t="s">
        <v>4025</v>
      </c>
      <c r="Q136" s="403"/>
      <c r="R136" s="403"/>
      <c r="S136" s="403"/>
      <c r="T136" s="403"/>
      <c r="U136" s="407"/>
      <c r="V136" s="432" t="s">
        <v>4026</v>
      </c>
      <c r="W136" s="407"/>
      <c r="X136" s="403" t="s">
        <v>113</v>
      </c>
      <c r="Y136" s="403"/>
      <c r="Z136" s="403" t="s">
        <v>113</v>
      </c>
      <c r="AA136" s="403" t="s">
        <v>1889</v>
      </c>
      <c r="AB136" s="408"/>
      <c r="AC136" s="407"/>
      <c r="AD136" s="403"/>
      <c r="AE136" s="406"/>
      <c r="AF136" s="407"/>
      <c r="AG136" s="407"/>
      <c r="AH136" s="399"/>
      <c r="AI136" s="400"/>
      <c r="AJ136" s="399"/>
      <c r="AK136" s="399"/>
      <c r="AL136" s="399"/>
      <c r="AM136" s="399"/>
      <c r="AN136" s="399"/>
      <c r="AO136" s="399"/>
      <c r="AP136" s="399"/>
      <c r="AQ136" s="409" t="s">
        <v>115</v>
      </c>
      <c r="AR136" s="399"/>
      <c r="AS136" s="399"/>
      <c r="AT136" s="399"/>
      <c r="AU136" s="399" t="s">
        <v>4024</v>
      </c>
      <c r="AV136" s="399" t="str">
        <f t="shared" si="27"/>
        <v>Same</v>
      </c>
      <c r="AW136" s="399"/>
      <c r="AX136" s="409" t="s">
        <v>3343</v>
      </c>
      <c r="AY136" s="399" t="e">
        <f t="shared" ca="1" si="28"/>
        <v>#NAME?</v>
      </c>
      <c r="AZ136" s="399"/>
      <c r="BA136" s="409">
        <v>0</v>
      </c>
      <c r="BB136" s="399"/>
      <c r="BC136" s="399"/>
      <c r="BD136" s="409" t="s">
        <v>4027</v>
      </c>
      <c r="BE136" s="411"/>
      <c r="BF136" s="411"/>
      <c r="BG136" s="434" t="s">
        <v>4028</v>
      </c>
      <c r="BH136" s="411"/>
      <c r="BI136" s="411"/>
      <c r="BJ136" s="399"/>
      <c r="BK136" s="399"/>
      <c r="BL136" s="399"/>
      <c r="BM136" s="409" t="s">
        <v>4029</v>
      </c>
      <c r="BN136" s="399"/>
      <c r="BO136" s="399"/>
      <c r="BP136" s="399"/>
      <c r="BQ136" s="399"/>
      <c r="BR136" s="399"/>
      <c r="BS136" s="407"/>
      <c r="BT136" s="407"/>
      <c r="BU136" s="412"/>
      <c r="BV136" s="46" t="str">
        <f t="shared" si="8"/>
        <v/>
      </c>
      <c r="BW136" s="46">
        <f t="shared" si="9"/>
        <v>0</v>
      </c>
      <c r="BX136" s="46">
        <f t="shared" si="10"/>
        <v>0</v>
      </c>
      <c r="BY136" s="43">
        <f t="shared" si="11"/>
        <v>0</v>
      </c>
      <c r="BZ136" s="46">
        <f t="shared" si="12"/>
        <v>1</v>
      </c>
      <c r="CA136" s="46" t="str">
        <f t="shared" si="13"/>
        <v/>
      </c>
      <c r="CB136" s="46">
        <f t="shared" si="14"/>
        <v>1</v>
      </c>
      <c r="CC136" s="46">
        <f t="shared" si="15"/>
        <v>1</v>
      </c>
      <c r="CD136" s="46">
        <f t="shared" si="16"/>
        <v>1</v>
      </c>
      <c r="CE136" s="46">
        <f t="shared" si="17"/>
        <v>0</v>
      </c>
      <c r="CF136" s="46">
        <f t="shared" si="18"/>
        <v>0</v>
      </c>
      <c r="CG136" s="46" t="str">
        <f ca="1">IFERROR(__xludf.DUMMYFUNCTION("if(OR(BH136="""",LEFT(BH136,2)=""LA""),"""",IMPORTXML(CONCATENATE(""https://loinc.org/"",BH136,""/""),""//span[@id='lcn']""))"),"")</f>
        <v/>
      </c>
      <c r="CH136" s="46"/>
      <c r="CI136" s="46"/>
      <c r="CJ136" s="46"/>
      <c r="CK136" s="46"/>
      <c r="CL136" s="46"/>
      <c r="CM136" s="46"/>
      <c r="CN136" s="46"/>
      <c r="CO136" s="46"/>
      <c r="CP136" s="46"/>
      <c r="CQ136" s="46"/>
      <c r="CR136" s="46"/>
      <c r="CS136" s="46"/>
      <c r="CT136" s="46"/>
      <c r="CU136" s="46"/>
    </row>
    <row r="137" spans="1:99" ht="12.75" customHeight="1">
      <c r="A137" s="399">
        <v>1346</v>
      </c>
      <c r="B137" s="399" t="s">
        <v>4030</v>
      </c>
      <c r="C137" s="399">
        <f t="shared" si="22"/>
        <v>1346</v>
      </c>
      <c r="D137" s="399" t="str">
        <f t="shared" si="23"/>
        <v>Intercourse since last normal menses</v>
      </c>
      <c r="E137" s="399" t="str">
        <f t="shared" si="24"/>
        <v>Intercourse since last normal menses</v>
      </c>
      <c r="F137" s="399" t="str">
        <f t="shared" si="31"/>
        <v>Data Element</v>
      </c>
      <c r="G137" s="400">
        <f t="shared" si="26"/>
        <v>36</v>
      </c>
      <c r="H137" s="400" t="str">
        <f t="shared" si="21"/>
        <v/>
      </c>
      <c r="I137" s="400"/>
      <c r="J137" s="400"/>
      <c r="K137" s="401" t="s">
        <v>3333</v>
      </c>
      <c r="L137" s="402" t="s">
        <v>3489</v>
      </c>
      <c r="M137" s="400"/>
      <c r="N137" s="427" t="s">
        <v>3477</v>
      </c>
      <c r="O137" s="428"/>
      <c r="P137" s="405" t="s">
        <v>4031</v>
      </c>
      <c r="Q137" s="429" t="s">
        <v>4030</v>
      </c>
      <c r="R137" s="436"/>
      <c r="S137" s="431"/>
      <c r="T137" s="403" t="s">
        <v>3169</v>
      </c>
      <c r="U137" s="407"/>
      <c r="V137" s="407" t="s">
        <v>3170</v>
      </c>
      <c r="W137" s="407"/>
      <c r="X137" s="405" t="s">
        <v>208</v>
      </c>
      <c r="Y137" s="403"/>
      <c r="Z137" s="403" t="s">
        <v>113</v>
      </c>
      <c r="AA137" s="403" t="s">
        <v>3178</v>
      </c>
      <c r="AB137" s="408" t="s">
        <v>4032</v>
      </c>
      <c r="AC137" s="432" t="s">
        <v>4033</v>
      </c>
      <c r="AD137" s="436"/>
      <c r="AE137" s="406"/>
      <c r="AF137" s="407"/>
      <c r="AG137" s="407"/>
      <c r="AH137" s="399"/>
      <c r="AI137" s="400"/>
      <c r="AJ137" s="399"/>
      <c r="AK137" s="409" t="s">
        <v>3410</v>
      </c>
      <c r="AL137" s="440" t="s">
        <v>3313</v>
      </c>
      <c r="AM137" s="409" t="s">
        <v>3100</v>
      </c>
      <c r="AN137" s="409" t="s">
        <v>3101</v>
      </c>
      <c r="AO137" s="399"/>
      <c r="AP137" s="409" t="s">
        <v>4034</v>
      </c>
      <c r="AQ137" s="409" t="s">
        <v>3424</v>
      </c>
      <c r="AR137" s="399"/>
      <c r="AS137" s="399"/>
      <c r="AT137" s="399"/>
      <c r="AU137" s="399" t="s">
        <v>4030</v>
      </c>
      <c r="AV137" s="399" t="str">
        <f t="shared" si="27"/>
        <v>Same</v>
      </c>
      <c r="AW137" s="399"/>
      <c r="AX137" s="409" t="s">
        <v>3343</v>
      </c>
      <c r="AY137" s="399" t="str">
        <f t="shared" si="28"/>
        <v/>
      </c>
      <c r="AZ137" s="399"/>
      <c r="BA137" s="409">
        <v>1</v>
      </c>
      <c r="BB137" s="399"/>
      <c r="BC137" s="399"/>
      <c r="BD137" s="399" t="s">
        <v>4035</v>
      </c>
      <c r="BE137" s="411"/>
      <c r="BF137" s="411"/>
      <c r="BG137" s="434" t="s">
        <v>3515</v>
      </c>
      <c r="BH137" s="411"/>
      <c r="BI137" s="411"/>
      <c r="BJ137" s="399"/>
      <c r="BK137" s="409" t="s">
        <v>4036</v>
      </c>
      <c r="BL137" s="399"/>
      <c r="BM137" s="399"/>
      <c r="BN137" s="399" t="s">
        <v>4037</v>
      </c>
      <c r="BO137" s="399"/>
      <c r="BP137" s="399"/>
      <c r="BQ137" s="399"/>
      <c r="BR137" s="399"/>
      <c r="BS137" s="407"/>
      <c r="BT137" s="407"/>
      <c r="BU137" s="412"/>
      <c r="BV137" s="46" t="str">
        <f t="shared" si="8"/>
        <v>Observation</v>
      </c>
      <c r="BW137" s="46" t="str">
        <f t="shared" si="9"/>
        <v/>
      </c>
      <c r="BX137" s="46" t="str">
        <f t="shared" si="10"/>
        <v>Observation</v>
      </c>
      <c r="BY137" s="43" t="str">
        <f t="shared" si="11"/>
        <v>WHO-FP Observation (Intercourse since Last Normal Menses)</v>
      </c>
      <c r="BZ137" s="46">
        <f t="shared" si="12"/>
        <v>1</v>
      </c>
      <c r="CA137" s="46">
        <f t="shared" si="13"/>
        <v>0</v>
      </c>
      <c r="CB137" s="46">
        <f t="shared" si="14"/>
        <v>1</v>
      </c>
      <c r="CC137" s="46">
        <f t="shared" si="15"/>
        <v>1</v>
      </c>
      <c r="CD137" s="46">
        <f t="shared" si="16"/>
        <v>1</v>
      </c>
      <c r="CE137" s="46">
        <f t="shared" si="17"/>
        <v>0</v>
      </c>
      <c r="CF137" s="46">
        <f t="shared" si="18"/>
        <v>0</v>
      </c>
      <c r="CG137" s="46" t="str">
        <f ca="1">IFERROR(__xludf.DUMMYFUNCTION("if(OR(BH137="""",LEFT(BH137,2)=""LA""),"""",IMPORTXML(CONCATENATE(""https://loinc.org/"",BH137,""/""),""//span[@id='lcn']""))"),"")</f>
        <v/>
      </c>
      <c r="CH137" s="46"/>
      <c r="CI137" s="46"/>
      <c r="CJ137" s="46"/>
      <c r="CK137" s="46"/>
      <c r="CL137" s="46"/>
      <c r="CM137" s="46"/>
      <c r="CN137" s="46"/>
      <c r="CO137" s="46"/>
      <c r="CP137" s="46"/>
      <c r="CQ137" s="46"/>
      <c r="CR137" s="46"/>
      <c r="CS137" s="46"/>
      <c r="CT137" s="46"/>
      <c r="CU137" s="46"/>
    </row>
    <row r="138" spans="1:99" ht="12.75" customHeight="1">
      <c r="A138" s="399">
        <v>1347</v>
      </c>
      <c r="B138" s="399" t="s">
        <v>4038</v>
      </c>
      <c r="C138" s="399">
        <f t="shared" si="22"/>
        <v>1347</v>
      </c>
      <c r="D138" s="399" t="str">
        <f t="shared" si="23"/>
        <v>Recent unprotected sexual intercourse</v>
      </c>
      <c r="E138" s="399" t="str">
        <f t="shared" si="24"/>
        <v>Recent unprotected sexual intercourse</v>
      </c>
      <c r="F138" s="399" t="str">
        <f t="shared" si="31"/>
        <v>Data Element</v>
      </c>
      <c r="G138" s="400">
        <f t="shared" si="26"/>
        <v>37</v>
      </c>
      <c r="H138" s="400" t="str">
        <f t="shared" si="21"/>
        <v/>
      </c>
      <c r="I138" s="400"/>
      <c r="J138" s="400"/>
      <c r="K138" s="402" t="s">
        <v>3475</v>
      </c>
      <c r="L138" s="402" t="s">
        <v>3499</v>
      </c>
      <c r="M138" s="400"/>
      <c r="N138" s="427" t="s">
        <v>3477</v>
      </c>
      <c r="O138" s="41" t="s">
        <v>4039</v>
      </c>
      <c r="P138" s="440" t="s">
        <v>4040</v>
      </c>
      <c r="Q138" s="405" t="s">
        <v>4038</v>
      </c>
      <c r="R138" s="403"/>
      <c r="S138" s="431" t="s">
        <v>4041</v>
      </c>
      <c r="T138" s="403" t="s">
        <v>3169</v>
      </c>
      <c r="U138" s="407"/>
      <c r="V138" s="407" t="s">
        <v>3170</v>
      </c>
      <c r="W138" s="407"/>
      <c r="X138" s="405" t="s">
        <v>208</v>
      </c>
      <c r="Y138" s="403"/>
      <c r="Z138" s="403" t="s">
        <v>113</v>
      </c>
      <c r="AA138" s="403" t="s">
        <v>3178</v>
      </c>
      <c r="AB138" s="408" t="s">
        <v>4032</v>
      </c>
      <c r="AC138" s="432" t="s">
        <v>4033</v>
      </c>
      <c r="AD138" s="436"/>
      <c r="AE138" s="406"/>
      <c r="AF138" s="407"/>
      <c r="AG138" s="407"/>
      <c r="AH138" s="399"/>
      <c r="AI138" s="400"/>
      <c r="AJ138" s="399"/>
      <c r="AK138" s="409" t="s">
        <v>3410</v>
      </c>
      <c r="AL138" s="440" t="s">
        <v>3313</v>
      </c>
      <c r="AM138" s="399" t="s">
        <v>3100</v>
      </c>
      <c r="AN138" s="399" t="s">
        <v>3101</v>
      </c>
      <c r="AO138" s="399" t="s">
        <v>4042</v>
      </c>
      <c r="AP138" s="409" t="s">
        <v>4043</v>
      </c>
      <c r="AQ138" s="409" t="s">
        <v>3424</v>
      </c>
      <c r="AR138" s="399"/>
      <c r="AS138" s="399"/>
      <c r="AT138" s="399"/>
      <c r="AU138" s="399" t="s">
        <v>4038</v>
      </c>
      <c r="AV138" s="399" t="str">
        <f t="shared" si="27"/>
        <v>Same</v>
      </c>
      <c r="AW138" s="399"/>
      <c r="AX138" s="409" t="s">
        <v>3104</v>
      </c>
      <c r="AY138" s="399" t="str">
        <f t="shared" si="28"/>
        <v/>
      </c>
      <c r="AZ138" s="409" t="s">
        <v>3105</v>
      </c>
      <c r="BA138" s="409" t="s">
        <v>3125</v>
      </c>
      <c r="BB138" s="399"/>
      <c r="BC138" s="399"/>
      <c r="BD138" s="399" t="s">
        <v>3162</v>
      </c>
      <c r="BE138" s="411" t="s">
        <v>4044</v>
      </c>
      <c r="BF138" s="411" t="s">
        <v>4045</v>
      </c>
      <c r="BG138" s="411" t="s">
        <v>4046</v>
      </c>
      <c r="BH138" s="411"/>
      <c r="BI138" s="411"/>
      <c r="BJ138" s="399"/>
      <c r="BK138" s="399"/>
      <c r="BL138" s="399"/>
      <c r="BM138" s="399"/>
      <c r="BN138" s="399"/>
      <c r="BO138" s="399">
        <v>159218</v>
      </c>
      <c r="BP138" s="399"/>
      <c r="BQ138" s="399"/>
      <c r="BR138" s="399" t="s">
        <v>4047</v>
      </c>
      <c r="BS138" s="407"/>
      <c r="BT138" s="407"/>
      <c r="BU138" s="412"/>
      <c r="BV138" s="46" t="str">
        <f t="shared" si="8"/>
        <v>Observation</v>
      </c>
      <c r="BW138" s="46" t="str">
        <f t="shared" si="9"/>
        <v/>
      </c>
      <c r="BX138" s="46" t="str">
        <f t="shared" si="10"/>
        <v>Observation</v>
      </c>
      <c r="BY138" s="43" t="str">
        <f t="shared" si="11"/>
        <v>WHO-Core Observation (Recent Sexual History)</v>
      </c>
      <c r="BZ138" s="46">
        <f t="shared" si="12"/>
        <v>1</v>
      </c>
      <c r="CA138" s="46">
        <f t="shared" si="13"/>
        <v>0</v>
      </c>
      <c r="CB138" s="46">
        <f t="shared" si="14"/>
        <v>1</v>
      </c>
      <c r="CC138" s="46">
        <f t="shared" si="15"/>
        <v>1</v>
      </c>
      <c r="CD138" s="46">
        <f t="shared" si="16"/>
        <v>1</v>
      </c>
      <c r="CE138" s="46">
        <f t="shared" si="17"/>
        <v>0</v>
      </c>
      <c r="CF138" s="46">
        <f t="shared" si="18"/>
        <v>0</v>
      </c>
      <c r="CG138" s="46" t="str">
        <f ca="1">IFERROR(__xludf.DUMMYFUNCTION("if(OR(BH138="""",LEFT(BH138,2)=""LA""),"""",IMPORTXML(CONCATENATE(""https://loinc.org/"",BH138,""/""),""//span[@id='lcn']""))"),"")</f>
        <v/>
      </c>
      <c r="CH138" s="46"/>
      <c r="CI138" s="46"/>
      <c r="CJ138" s="46"/>
      <c r="CK138" s="46"/>
      <c r="CL138" s="46"/>
      <c r="CM138" s="46"/>
      <c r="CN138" s="46"/>
      <c r="CO138" s="46"/>
      <c r="CP138" s="46"/>
      <c r="CQ138" s="46"/>
      <c r="CR138" s="46"/>
      <c r="CS138" s="46"/>
      <c r="CT138" s="46"/>
      <c r="CU138" s="46"/>
    </row>
    <row r="139" spans="1:99" ht="12.75" customHeight="1">
      <c r="A139" s="409">
        <v>1861</v>
      </c>
      <c r="B139" s="399" t="s">
        <v>4049</v>
      </c>
      <c r="C139" s="399">
        <f t="shared" si="22"/>
        <v>1861</v>
      </c>
      <c r="D139" s="399" t="str">
        <f t="shared" si="23"/>
        <v>Lactating</v>
      </c>
      <c r="E139" s="399" t="str">
        <f t="shared" si="24"/>
        <v>Lactating</v>
      </c>
      <c r="F139" s="399" t="str">
        <f t="shared" si="31"/>
        <v>Data Element</v>
      </c>
      <c r="G139" s="400">
        <f t="shared" si="26"/>
        <v>9</v>
      </c>
      <c r="H139" s="400" t="str">
        <f t="shared" si="21"/>
        <v/>
      </c>
      <c r="I139" s="400"/>
      <c r="J139" s="400"/>
      <c r="K139" s="401" t="s">
        <v>3333</v>
      </c>
      <c r="L139" s="402" t="s">
        <v>3489</v>
      </c>
      <c r="M139" s="400"/>
      <c r="N139" s="427" t="s">
        <v>3477</v>
      </c>
      <c r="O139" s="428"/>
      <c r="P139" s="405" t="s">
        <v>4050</v>
      </c>
      <c r="Q139" s="407" t="s">
        <v>4049</v>
      </c>
      <c r="R139" s="403"/>
      <c r="S139" s="464" t="s">
        <v>4051</v>
      </c>
      <c r="T139" s="403" t="s">
        <v>3170</v>
      </c>
      <c r="U139" s="407"/>
      <c r="V139" s="403" t="s">
        <v>4049</v>
      </c>
      <c r="W139" s="407"/>
      <c r="X139" s="405" t="s">
        <v>208</v>
      </c>
      <c r="Y139" s="403"/>
      <c r="Z139" s="403" t="s">
        <v>113</v>
      </c>
      <c r="AA139" s="403" t="s">
        <v>3178</v>
      </c>
      <c r="AB139" s="408" t="s">
        <v>4052</v>
      </c>
      <c r="AC139" s="432" t="s">
        <v>4033</v>
      </c>
      <c r="AD139" s="436"/>
      <c r="AE139" s="406"/>
      <c r="AF139" s="407"/>
      <c r="AG139" s="407"/>
      <c r="AH139" s="399"/>
      <c r="AI139" s="400"/>
      <c r="AJ139" s="399" t="s">
        <v>1787</v>
      </c>
      <c r="AK139" s="440" t="s">
        <v>3916</v>
      </c>
      <c r="AL139" s="409"/>
      <c r="AM139" s="409" t="s">
        <v>3100</v>
      </c>
      <c r="AN139" s="403" t="s">
        <v>3101</v>
      </c>
      <c r="AO139" s="399" t="s">
        <v>1787</v>
      </c>
      <c r="AP139" s="399"/>
      <c r="AQ139" s="399"/>
      <c r="AR139" s="399"/>
      <c r="AS139" s="399"/>
      <c r="AT139" s="399"/>
      <c r="AU139" s="399"/>
      <c r="AV139" s="399" t="str">
        <f t="shared" si="27"/>
        <v/>
      </c>
      <c r="AW139" s="399"/>
      <c r="AX139" s="409" t="s">
        <v>3343</v>
      </c>
      <c r="AY139" s="399" t="str">
        <f t="shared" si="28"/>
        <v/>
      </c>
      <c r="AZ139" s="399"/>
      <c r="BA139" s="409">
        <v>0</v>
      </c>
      <c r="BB139" s="399"/>
      <c r="BC139" s="399" t="s">
        <v>1787</v>
      </c>
      <c r="BD139" s="409" t="s">
        <v>4053</v>
      </c>
      <c r="BE139" s="411"/>
      <c r="BF139" s="411" t="s">
        <v>1787</v>
      </c>
      <c r="BG139" s="411"/>
      <c r="BH139" s="434" t="s">
        <v>4054</v>
      </c>
      <c r="BI139" s="411"/>
      <c r="BJ139" s="399" t="s">
        <v>1787</v>
      </c>
      <c r="BK139" s="399" t="s">
        <v>1787</v>
      </c>
      <c r="BL139" s="399"/>
      <c r="BM139" s="409" t="s">
        <v>4055</v>
      </c>
      <c r="BN139" s="399" t="s">
        <v>1787</v>
      </c>
      <c r="BO139" s="399" t="s">
        <v>1787</v>
      </c>
      <c r="BP139" s="399" t="s">
        <v>1787</v>
      </c>
      <c r="BQ139" s="399" t="s">
        <v>1787</v>
      </c>
      <c r="BR139" s="399" t="s">
        <v>1787</v>
      </c>
      <c r="BS139" s="407"/>
      <c r="BT139" s="407"/>
      <c r="BU139" s="412"/>
      <c r="BV139" s="46" t="str">
        <f t="shared" si="8"/>
        <v/>
      </c>
      <c r="BW139" s="46" t="str">
        <f t="shared" si="9"/>
        <v/>
      </c>
      <c r="BX139" s="46" t="str">
        <f t="shared" si="10"/>
        <v/>
      </c>
      <c r="BY139" s="43">
        <f t="shared" si="11"/>
        <v>0</v>
      </c>
      <c r="BZ139" s="46">
        <f t="shared" si="12"/>
        <v>1</v>
      </c>
      <c r="CA139" s="46">
        <f t="shared" si="13"/>
        <v>0</v>
      </c>
      <c r="CB139" s="46">
        <f t="shared" si="14"/>
        <v>1</v>
      </c>
      <c r="CC139" s="46">
        <f t="shared" si="15"/>
        <v>1</v>
      </c>
      <c r="CD139" s="46">
        <f t="shared" si="16"/>
        <v>1</v>
      </c>
      <c r="CE139" s="46">
        <f t="shared" si="17"/>
        <v>0</v>
      </c>
      <c r="CF139" s="46">
        <f t="shared" si="18"/>
        <v>0</v>
      </c>
      <c r="CG139" s="46" t="str">
        <f ca="1">IFERROR(__xludf.DUMMYFUNCTION("if(OR(BH139="""",LEFT(BH139,2)=""LA""),"""",IMPORTXML(CONCATENATE(""https://loinc.org/"",BH139,""/""),""//span[@id='lcn']""))"),"Lactation")</f>
        <v>Lactation</v>
      </c>
      <c r="CH139" s="46"/>
      <c r="CI139" s="46"/>
      <c r="CJ139" s="46"/>
      <c r="CK139" s="46"/>
      <c r="CL139" s="46"/>
      <c r="CM139" s="46"/>
      <c r="CN139" s="46"/>
      <c r="CO139" s="46"/>
      <c r="CP139" s="46"/>
      <c r="CQ139" s="46"/>
      <c r="CR139" s="46"/>
      <c r="CS139" s="46"/>
      <c r="CT139" s="46"/>
      <c r="CU139" s="46"/>
    </row>
    <row r="140" spans="1:99" ht="12.75" customHeight="1">
      <c r="A140" s="399">
        <v>1348</v>
      </c>
      <c r="B140" s="399" t="s">
        <v>4056</v>
      </c>
      <c r="C140" s="399">
        <f t="shared" si="22"/>
        <v>1348</v>
      </c>
      <c r="D140" s="399" t="str">
        <f t="shared" si="23"/>
        <v>Days since unprotected sex</v>
      </c>
      <c r="E140" s="399" t="str">
        <f t="shared" si="24"/>
        <v>Days since unprotected sex</v>
      </c>
      <c r="F140" s="399" t="str">
        <f t="shared" si="31"/>
        <v>Data Element</v>
      </c>
      <c r="G140" s="400">
        <f t="shared" si="26"/>
        <v>26</v>
      </c>
      <c r="H140" s="400" t="str">
        <f t="shared" si="21"/>
        <v/>
      </c>
      <c r="I140" s="400"/>
      <c r="J140" s="400"/>
      <c r="K140" s="401" t="s">
        <v>3333</v>
      </c>
      <c r="L140" s="402" t="s">
        <v>3499</v>
      </c>
      <c r="M140" s="400"/>
      <c r="N140" s="427" t="s">
        <v>3477</v>
      </c>
      <c r="O140" s="428"/>
      <c r="P140" s="405" t="s">
        <v>4057</v>
      </c>
      <c r="Q140" s="405" t="s">
        <v>4056</v>
      </c>
      <c r="R140" s="403"/>
      <c r="S140" s="431" t="s">
        <v>4056</v>
      </c>
      <c r="T140" s="403" t="s">
        <v>168</v>
      </c>
      <c r="U140" s="407"/>
      <c r="V140" s="407"/>
      <c r="W140" s="407"/>
      <c r="X140" s="405" t="s">
        <v>208</v>
      </c>
      <c r="Y140" s="403"/>
      <c r="Z140" s="403" t="s">
        <v>113</v>
      </c>
      <c r="AA140" s="403" t="s">
        <v>3178</v>
      </c>
      <c r="AB140" s="408"/>
      <c r="AC140" s="407"/>
      <c r="AD140" s="403"/>
      <c r="AE140" s="406"/>
      <c r="AF140" s="432" t="s">
        <v>4058</v>
      </c>
      <c r="AG140" s="421"/>
      <c r="AH140" s="399"/>
      <c r="AI140" s="400"/>
      <c r="AJ140" s="399"/>
      <c r="AK140" s="409" t="s">
        <v>3410</v>
      </c>
      <c r="AL140" s="409" t="s">
        <v>3513</v>
      </c>
      <c r="AM140" s="409" t="s">
        <v>3100</v>
      </c>
      <c r="AN140" s="409" t="s">
        <v>3101</v>
      </c>
      <c r="AO140" s="399"/>
      <c r="AP140" s="409" t="s">
        <v>4059</v>
      </c>
      <c r="AQ140" s="409" t="s">
        <v>3424</v>
      </c>
      <c r="AR140" s="399"/>
      <c r="AS140" s="399"/>
      <c r="AT140" s="399"/>
      <c r="AU140" s="399" t="s">
        <v>4056</v>
      </c>
      <c r="AV140" s="399" t="str">
        <f t="shared" si="27"/>
        <v>Same</v>
      </c>
      <c r="AW140" s="399"/>
      <c r="AX140" s="409" t="s">
        <v>3104</v>
      </c>
      <c r="AY140" s="399" t="str">
        <f t="shared" si="28"/>
        <v/>
      </c>
      <c r="AZ140" s="409" t="s">
        <v>3105</v>
      </c>
      <c r="BA140" s="409">
        <v>1</v>
      </c>
      <c r="BB140" s="399"/>
      <c r="BC140" s="399"/>
      <c r="BD140" s="399" t="s">
        <v>4060</v>
      </c>
      <c r="BE140" s="411"/>
      <c r="BF140" s="411"/>
      <c r="BG140" s="434" t="s">
        <v>4046</v>
      </c>
      <c r="BH140" s="411"/>
      <c r="BI140" s="411"/>
      <c r="BJ140" s="465"/>
      <c r="BK140" s="409" t="s">
        <v>4061</v>
      </c>
      <c r="BL140" s="399"/>
      <c r="BM140" s="410" t="s">
        <v>4062</v>
      </c>
      <c r="BN140" s="399" t="s">
        <v>4063</v>
      </c>
      <c r="BO140" s="399"/>
      <c r="BP140" s="399"/>
      <c r="BQ140" s="399"/>
      <c r="BR140" s="399"/>
      <c r="BS140" s="407"/>
      <c r="BT140" s="407"/>
      <c r="BU140" s="412"/>
      <c r="BV140" s="46" t="str">
        <f t="shared" si="8"/>
        <v>Observation</v>
      </c>
      <c r="BW140" s="46" t="str">
        <f t="shared" si="9"/>
        <v/>
      </c>
      <c r="BX140" s="46" t="str">
        <f t="shared" si="10"/>
        <v>Observation</v>
      </c>
      <c r="BY140" s="43" t="str">
        <f t="shared" si="11"/>
        <v>WHO-Core Observation (Days since Unprotected Sex)</v>
      </c>
      <c r="BZ140" s="46">
        <f t="shared" si="12"/>
        <v>1</v>
      </c>
      <c r="CA140" s="46">
        <f t="shared" si="13"/>
        <v>0</v>
      </c>
      <c r="CB140" s="46">
        <f t="shared" si="14"/>
        <v>1</v>
      </c>
      <c r="CC140" s="46">
        <f t="shared" si="15"/>
        <v>1</v>
      </c>
      <c r="CD140" s="46">
        <f t="shared" si="16"/>
        <v>1</v>
      </c>
      <c r="CE140" s="46">
        <f t="shared" si="17"/>
        <v>0</v>
      </c>
      <c r="CF140" s="46">
        <f t="shared" si="18"/>
        <v>0</v>
      </c>
      <c r="CG140" s="46" t="str">
        <f ca="1">IFERROR(__xludf.DUMMYFUNCTION("if(OR(BH140="""",LEFT(BH140,2)=""LA""),"""",IMPORTXML(CONCATENATE(""https://loinc.org/"",BH140,""/""),""//span[@id='lcn']""))"),"")</f>
        <v/>
      </c>
      <c r="CH140" s="46"/>
      <c r="CI140" s="46"/>
      <c r="CJ140" s="46"/>
      <c r="CK140" s="46"/>
      <c r="CL140" s="46"/>
      <c r="CM140" s="46"/>
      <c r="CN140" s="46"/>
      <c r="CO140" s="46"/>
      <c r="CP140" s="46"/>
      <c r="CQ140" s="46"/>
      <c r="CR140" s="46"/>
      <c r="CS140" s="46"/>
      <c r="CT140" s="46"/>
      <c r="CU140" s="46"/>
    </row>
    <row r="141" spans="1:99" ht="12.75" customHeight="1">
      <c r="A141" s="409">
        <v>1862</v>
      </c>
      <c r="B141" s="399" t="s">
        <v>4064</v>
      </c>
      <c r="C141" s="399">
        <f t="shared" si="22"/>
        <v>1862</v>
      </c>
      <c r="D141" s="399" t="str">
        <f t="shared" si="23"/>
        <v>Check need for pregnancy test</v>
      </c>
      <c r="E141" s="399" t="str">
        <f t="shared" si="24"/>
        <v>Check need for pregnancy test</v>
      </c>
      <c r="F141" s="409" t="s">
        <v>65</v>
      </c>
      <c r="G141" s="400">
        <f t="shared" si="26"/>
        <v>29</v>
      </c>
      <c r="H141" s="400" t="str">
        <f t="shared" si="21"/>
        <v/>
      </c>
      <c r="I141" s="400"/>
      <c r="J141" s="400"/>
      <c r="K141" s="401" t="s">
        <v>3333</v>
      </c>
      <c r="L141" s="402" t="s">
        <v>3334</v>
      </c>
      <c r="M141" s="400"/>
      <c r="N141" s="427" t="s">
        <v>3477</v>
      </c>
      <c r="O141" s="428"/>
      <c r="P141" s="405" t="s">
        <v>4050</v>
      </c>
      <c r="Q141" s="405" t="s">
        <v>4064</v>
      </c>
      <c r="R141" s="403"/>
      <c r="S141" s="403" t="s">
        <v>4065</v>
      </c>
      <c r="T141" s="403" t="s">
        <v>3169</v>
      </c>
      <c r="U141" s="407"/>
      <c r="V141" s="431" t="s">
        <v>3170</v>
      </c>
      <c r="W141" s="407"/>
      <c r="X141" s="405" t="s">
        <v>208</v>
      </c>
      <c r="Y141" s="403"/>
      <c r="Z141" s="403" t="s">
        <v>208</v>
      </c>
      <c r="AA141" s="403" t="s">
        <v>3178</v>
      </c>
      <c r="AB141" s="432" t="s">
        <v>4066</v>
      </c>
      <c r="AC141" s="421"/>
      <c r="AD141" s="436"/>
      <c r="AE141" s="420"/>
      <c r="AF141" s="407"/>
      <c r="AG141" s="407" t="s">
        <v>4067</v>
      </c>
      <c r="AH141" s="399"/>
      <c r="AI141" s="400"/>
      <c r="AJ141" s="399" t="s">
        <v>1787</v>
      </c>
      <c r="AK141" s="440" t="s">
        <v>3410</v>
      </c>
      <c r="AL141" s="409" t="s">
        <v>3181</v>
      </c>
      <c r="AM141" s="409" t="s">
        <v>3100</v>
      </c>
      <c r="AN141" s="399" t="s">
        <v>3101</v>
      </c>
      <c r="AO141" s="399" t="s">
        <v>1787</v>
      </c>
      <c r="AP141" s="399"/>
      <c r="AQ141" s="399"/>
      <c r="AR141" s="399"/>
      <c r="AS141" s="399"/>
      <c r="AT141" s="399"/>
      <c r="AU141" s="399"/>
      <c r="AV141" s="399" t="str">
        <f t="shared" si="27"/>
        <v/>
      </c>
      <c r="AW141" s="399"/>
      <c r="AX141" s="409" t="s">
        <v>3343</v>
      </c>
      <c r="AY141" s="399" t="str">
        <f t="shared" si="28"/>
        <v/>
      </c>
      <c r="AZ141" s="399"/>
      <c r="BA141" s="409">
        <v>0</v>
      </c>
      <c r="BB141" s="399"/>
      <c r="BC141" s="399" t="s">
        <v>1787</v>
      </c>
      <c r="BD141" s="409" t="s">
        <v>3188</v>
      </c>
      <c r="BE141" s="411"/>
      <c r="BF141" s="411" t="s">
        <v>1787</v>
      </c>
      <c r="BG141" s="434" t="s">
        <v>4068</v>
      </c>
      <c r="BH141" s="411"/>
      <c r="BI141" s="411"/>
      <c r="BJ141" s="399" t="s">
        <v>1787</v>
      </c>
      <c r="BK141" s="399" t="s">
        <v>1787</v>
      </c>
      <c r="BL141" s="399"/>
      <c r="BM141" s="409" t="s">
        <v>4069</v>
      </c>
      <c r="BN141" s="466" t="str">
        <f>HYPERLINK("https://github.com/who-int/Data-Dictionary-Mapping/issues/32","32")</f>
        <v>32</v>
      </c>
      <c r="BO141" s="399" t="s">
        <v>1787</v>
      </c>
      <c r="BP141" s="399" t="s">
        <v>1787</v>
      </c>
      <c r="BQ141" s="399" t="s">
        <v>1787</v>
      </c>
      <c r="BR141" s="399" t="s">
        <v>1787</v>
      </c>
      <c r="BS141" s="407"/>
      <c r="BT141" s="407"/>
      <c r="BU141" s="412"/>
      <c r="BV141" s="46" t="str">
        <f t="shared" si="8"/>
        <v/>
      </c>
      <c r="BW141" s="46" t="str">
        <f t="shared" si="9"/>
        <v/>
      </c>
      <c r="BX141" s="46" t="str">
        <f t="shared" si="10"/>
        <v/>
      </c>
      <c r="BY141" s="43">
        <f t="shared" si="11"/>
        <v>0</v>
      </c>
      <c r="BZ141" s="46">
        <f t="shared" si="12"/>
        <v>1</v>
      </c>
      <c r="CA141" s="46" t="str">
        <f t="shared" si="13"/>
        <v/>
      </c>
      <c r="CB141" s="46">
        <f t="shared" si="14"/>
        <v>1</v>
      </c>
      <c r="CC141" s="46">
        <f t="shared" si="15"/>
        <v>1</v>
      </c>
      <c r="CD141" s="46">
        <f t="shared" si="16"/>
        <v>1</v>
      </c>
      <c r="CE141" s="46">
        <f t="shared" si="17"/>
        <v>0</v>
      </c>
      <c r="CF141" s="46">
        <f t="shared" si="18"/>
        <v>0</v>
      </c>
      <c r="CG141" s="46" t="str">
        <f ca="1">IFERROR(__xludf.DUMMYFUNCTION("if(OR(BH141="""",LEFT(BH141,2)=""LA""),"""",IMPORTXML(CONCATENATE(""https://loinc.org/"",BH141,""/""),""//span[@id='lcn']""))"),"")</f>
        <v/>
      </c>
      <c r="CH141" s="46"/>
      <c r="CI141" s="46"/>
      <c r="CJ141" s="46"/>
      <c r="CK141" s="46"/>
      <c r="CL141" s="46"/>
      <c r="CM141" s="46"/>
      <c r="CN141" s="46"/>
      <c r="CO141" s="46"/>
      <c r="CP141" s="46"/>
      <c r="CQ141" s="46"/>
      <c r="CR141" s="46"/>
      <c r="CS141" s="46"/>
      <c r="CT141" s="46"/>
      <c r="CU141" s="46"/>
    </row>
    <row r="142" spans="1:99" ht="12.75" customHeight="1">
      <c r="A142" s="399">
        <v>1350</v>
      </c>
      <c r="B142" s="399" t="s">
        <v>4070</v>
      </c>
      <c r="C142" s="399">
        <f t="shared" si="22"/>
        <v>1350</v>
      </c>
      <c r="D142" s="399" t="str">
        <f t="shared" si="23"/>
        <v>Pregnancy test available</v>
      </c>
      <c r="E142" s="399" t="str">
        <f t="shared" si="24"/>
        <v>Pregnancy test available</v>
      </c>
      <c r="F142" s="399" t="str">
        <f t="shared" ref="F142:F181" si="32">IF(AND(ISBLANK(V142)=FALSE,OR(T142="MC",T142="")),"Input Option","Data Element")</f>
        <v>Data Element</v>
      </c>
      <c r="G142" s="400">
        <f t="shared" si="26"/>
        <v>24</v>
      </c>
      <c r="H142" s="400" t="str">
        <f t="shared" si="21"/>
        <v/>
      </c>
      <c r="I142" s="400"/>
      <c r="J142" s="400"/>
      <c r="K142" s="402" t="s">
        <v>3475</v>
      </c>
      <c r="L142" s="402" t="s">
        <v>3489</v>
      </c>
      <c r="M142" s="400"/>
      <c r="N142" s="427" t="s">
        <v>3477</v>
      </c>
      <c r="O142" s="41" t="s">
        <v>4071</v>
      </c>
      <c r="P142" s="454" t="s">
        <v>4072</v>
      </c>
      <c r="Q142" s="405" t="s">
        <v>4070</v>
      </c>
      <c r="R142" s="403"/>
      <c r="S142" s="403" t="s">
        <v>4073</v>
      </c>
      <c r="T142" s="403" t="s">
        <v>3169</v>
      </c>
      <c r="U142" s="407"/>
      <c r="V142" s="431" t="s">
        <v>3170</v>
      </c>
      <c r="W142" s="407"/>
      <c r="X142" s="405" t="s">
        <v>208</v>
      </c>
      <c r="Y142" s="403"/>
      <c r="Z142" s="403" t="s">
        <v>208</v>
      </c>
      <c r="AA142" s="403" t="s">
        <v>3178</v>
      </c>
      <c r="AB142" s="432" t="s">
        <v>4074</v>
      </c>
      <c r="AC142" s="421"/>
      <c r="AD142" s="436"/>
      <c r="AE142" s="420"/>
      <c r="AF142" s="407"/>
      <c r="AG142" s="407" t="s">
        <v>4067</v>
      </c>
      <c r="AH142" s="399"/>
      <c r="AI142" s="400"/>
      <c r="AJ142" s="399"/>
      <c r="AK142" s="409" t="s">
        <v>4075</v>
      </c>
      <c r="AL142" s="403"/>
      <c r="AM142" s="403" t="s">
        <v>3100</v>
      </c>
      <c r="AN142" s="403" t="s">
        <v>3101</v>
      </c>
      <c r="AO142" s="399"/>
      <c r="AP142" s="409" t="s">
        <v>4076</v>
      </c>
      <c r="AQ142" s="409" t="s">
        <v>3424</v>
      </c>
      <c r="AR142" s="399"/>
      <c r="AS142" s="399"/>
      <c r="AT142" s="399"/>
      <c r="AU142" s="399" t="s">
        <v>4070</v>
      </c>
      <c r="AV142" s="399" t="str">
        <f t="shared" si="27"/>
        <v>Same</v>
      </c>
      <c r="AW142" s="399"/>
      <c r="AX142" s="409" t="s">
        <v>3343</v>
      </c>
      <c r="AY142" s="399" t="str">
        <f t="shared" si="28"/>
        <v/>
      </c>
      <c r="AZ142" s="399"/>
      <c r="BA142" s="409" t="s">
        <v>3125</v>
      </c>
      <c r="BB142" s="399"/>
      <c r="BC142" s="399"/>
      <c r="BD142" s="399" t="s">
        <v>4077</v>
      </c>
      <c r="BE142" s="411"/>
      <c r="BF142" s="411"/>
      <c r="BG142" s="434" t="s">
        <v>4078</v>
      </c>
      <c r="BH142" s="411"/>
      <c r="BI142" s="411"/>
      <c r="BJ142" s="399"/>
      <c r="BK142" s="409" t="s">
        <v>4079</v>
      </c>
      <c r="BL142" s="399"/>
      <c r="BM142" s="399"/>
      <c r="BN142" s="438" t="str">
        <f>HYPERLINK("https://github.com/who-int/Data-Dictionary-Mapping/issues/94","94")</f>
        <v>94</v>
      </c>
      <c r="BO142" s="399"/>
      <c r="BP142" s="399"/>
      <c r="BQ142" s="399"/>
      <c r="BR142" s="399"/>
      <c r="BS142" s="407"/>
      <c r="BT142" s="407"/>
      <c r="BU142" s="412"/>
      <c r="BV142" s="46" t="str">
        <f t="shared" si="8"/>
        <v>HealthcareService</v>
      </c>
      <c r="BW142" s="46" t="str">
        <f t="shared" si="9"/>
        <v/>
      </c>
      <c r="BX142" s="46" t="str">
        <f t="shared" si="10"/>
        <v>HealthcareService</v>
      </c>
      <c r="BY142" s="43" t="str">
        <f t="shared" si="11"/>
        <v>WHO-FP HealthcareService</v>
      </c>
      <c r="BZ142" s="46">
        <f t="shared" si="12"/>
        <v>1</v>
      </c>
      <c r="CA142" s="46">
        <f t="shared" si="13"/>
        <v>0</v>
      </c>
      <c r="CB142" s="46">
        <f t="shared" si="14"/>
        <v>1</v>
      </c>
      <c r="CC142" s="46">
        <f t="shared" si="15"/>
        <v>1</v>
      </c>
      <c r="CD142" s="46">
        <f t="shared" si="16"/>
        <v>1</v>
      </c>
      <c r="CE142" s="46">
        <f t="shared" si="17"/>
        <v>0</v>
      </c>
      <c r="CF142" s="46">
        <f t="shared" si="18"/>
        <v>0</v>
      </c>
      <c r="CG142" s="46" t="str">
        <f ca="1">IFERROR(__xludf.DUMMYFUNCTION("if(OR(BH142="""",LEFT(BH142,2)=""LA""),"""",IMPORTXML(CONCATENATE(""https://loinc.org/"",BH142,""/""),""//span[@id='lcn']""))"),"")</f>
        <v/>
      </c>
      <c r="CH142" s="46"/>
      <c r="CI142" s="46"/>
      <c r="CJ142" s="46"/>
      <c r="CK142" s="46"/>
      <c r="CL142" s="46"/>
      <c r="CM142" s="46"/>
      <c r="CN142" s="46"/>
      <c r="CO142" s="46"/>
      <c r="CP142" s="46"/>
      <c r="CQ142" s="46"/>
      <c r="CR142" s="46"/>
      <c r="CS142" s="46"/>
      <c r="CT142" s="46"/>
      <c r="CU142" s="46"/>
    </row>
    <row r="143" spans="1:99" ht="12.75" customHeight="1">
      <c r="A143" s="399">
        <v>1356</v>
      </c>
      <c r="B143" s="399" t="s">
        <v>4080</v>
      </c>
      <c r="C143" s="399">
        <f t="shared" si="22"/>
        <v>1356</v>
      </c>
      <c r="D143" s="399" t="str">
        <f t="shared" si="23"/>
        <v>Gender-based violence victim</v>
      </c>
      <c r="E143" s="399" t="str">
        <f t="shared" si="24"/>
        <v>Gender-based violence victim</v>
      </c>
      <c r="F143" s="399" t="str">
        <f t="shared" si="32"/>
        <v>Data Element</v>
      </c>
      <c r="G143" s="400">
        <f t="shared" si="26"/>
        <v>28</v>
      </c>
      <c r="H143" s="400" t="str">
        <f t="shared" si="21"/>
        <v/>
      </c>
      <c r="I143" s="400"/>
      <c r="J143" s="400"/>
      <c r="K143" s="402" t="s">
        <v>3475</v>
      </c>
      <c r="L143" s="402" t="s">
        <v>4081</v>
      </c>
      <c r="M143" s="400"/>
      <c r="N143" s="427" t="s">
        <v>3477</v>
      </c>
      <c r="O143" s="428"/>
      <c r="P143" s="403" t="s">
        <v>4082</v>
      </c>
      <c r="Q143" s="403" t="s">
        <v>4080</v>
      </c>
      <c r="R143" s="403"/>
      <c r="S143" s="403" t="s">
        <v>4083</v>
      </c>
      <c r="T143" s="403" t="s">
        <v>3169</v>
      </c>
      <c r="U143" s="407"/>
      <c r="V143" s="407" t="s">
        <v>3170</v>
      </c>
      <c r="W143" s="407"/>
      <c r="X143" s="405" t="s">
        <v>208</v>
      </c>
      <c r="Y143" s="403"/>
      <c r="Z143" s="403" t="s">
        <v>113</v>
      </c>
      <c r="AA143" s="403" t="s">
        <v>1889</v>
      </c>
      <c r="AB143" s="408"/>
      <c r="AC143" s="407"/>
      <c r="AD143" s="403"/>
      <c r="AE143" s="406"/>
      <c r="AF143" s="407"/>
      <c r="AG143" s="407"/>
      <c r="AH143" s="399"/>
      <c r="AI143" s="400"/>
      <c r="AJ143" s="399"/>
      <c r="AK143" s="409" t="s">
        <v>3410</v>
      </c>
      <c r="AL143" s="440" t="s">
        <v>3313</v>
      </c>
      <c r="AM143" s="403" t="s">
        <v>3100</v>
      </c>
      <c r="AN143" s="403" t="s">
        <v>3101</v>
      </c>
      <c r="AO143" s="399"/>
      <c r="AP143" s="409" t="s">
        <v>4084</v>
      </c>
      <c r="AQ143" s="409" t="s">
        <v>3424</v>
      </c>
      <c r="AR143" s="399"/>
      <c r="AS143" s="399"/>
      <c r="AT143" s="399"/>
      <c r="AU143" s="399" t="s">
        <v>4080</v>
      </c>
      <c r="AV143" s="399" t="str">
        <f t="shared" si="27"/>
        <v>Same</v>
      </c>
      <c r="AW143" s="399"/>
      <c r="AX143" s="409" t="s">
        <v>3104</v>
      </c>
      <c r="AY143" s="399" t="str">
        <f t="shared" si="28"/>
        <v/>
      </c>
      <c r="AZ143" s="409" t="s">
        <v>3105</v>
      </c>
      <c r="BA143" s="409" t="s">
        <v>3125</v>
      </c>
      <c r="BB143" s="399"/>
      <c r="BC143" s="399"/>
      <c r="BD143" s="399" t="s">
        <v>4086</v>
      </c>
      <c r="BE143" s="411" t="s">
        <v>4087</v>
      </c>
      <c r="BF143" s="411" t="s">
        <v>4088</v>
      </c>
      <c r="BG143" s="434" t="s">
        <v>4089</v>
      </c>
      <c r="BH143" s="411"/>
      <c r="BI143" s="411"/>
      <c r="BJ143" s="399"/>
      <c r="BK143" s="409"/>
      <c r="BL143" s="409"/>
      <c r="BM143" s="409" t="s">
        <v>4090</v>
      </c>
      <c r="BN143" s="399" t="s">
        <v>4091</v>
      </c>
      <c r="BO143" s="399">
        <v>165088</v>
      </c>
      <c r="BP143" s="399"/>
      <c r="BQ143" s="399"/>
      <c r="BR143" s="399"/>
      <c r="BS143" s="407"/>
      <c r="BT143" s="407"/>
      <c r="BU143" s="412"/>
      <c r="BV143" s="46" t="str">
        <f t="shared" si="8"/>
        <v>Observation</v>
      </c>
      <c r="BW143" s="46" t="str">
        <f t="shared" si="9"/>
        <v/>
      </c>
      <c r="BX143" s="46" t="str">
        <f t="shared" si="10"/>
        <v>Observation</v>
      </c>
      <c r="BY143" s="43" t="str">
        <f t="shared" si="11"/>
        <v>WHO-Core Observation (Gender-based Violence Victim)</v>
      </c>
      <c r="BZ143" s="46">
        <f t="shared" si="12"/>
        <v>1</v>
      </c>
      <c r="CA143" s="46">
        <f t="shared" si="13"/>
        <v>0</v>
      </c>
      <c r="CB143" s="46">
        <f t="shared" si="14"/>
        <v>1</v>
      </c>
      <c r="CC143" s="46">
        <f t="shared" si="15"/>
        <v>1</v>
      </c>
      <c r="CD143" s="46">
        <f t="shared" si="16"/>
        <v>1</v>
      </c>
      <c r="CE143" s="46">
        <f t="shared" si="17"/>
        <v>0</v>
      </c>
      <c r="CF143" s="46">
        <f t="shared" si="18"/>
        <v>0</v>
      </c>
      <c r="CG143" s="46" t="str">
        <f ca="1">IFERROR(__xludf.DUMMYFUNCTION("if(OR(BH143="""",LEFT(BH143,2)=""LA""),"""",IMPORTXML(CONCATENATE(""https://loinc.org/"",BH143,""/""),""//span[@id='lcn']""))"),"")</f>
        <v/>
      </c>
      <c r="CH143" s="46"/>
      <c r="CI143" s="46"/>
      <c r="CJ143" s="46"/>
      <c r="CK143" s="46"/>
      <c r="CL143" s="46"/>
      <c r="CM143" s="46"/>
      <c r="CN143" s="46"/>
      <c r="CO143" s="46"/>
      <c r="CP143" s="46"/>
      <c r="CQ143" s="46"/>
      <c r="CR143" s="46"/>
      <c r="CS143" s="46"/>
      <c r="CT143" s="46"/>
      <c r="CU143" s="46"/>
    </row>
    <row r="144" spans="1:99" ht="12.75" customHeight="1">
      <c r="A144" s="399">
        <v>1357</v>
      </c>
      <c r="B144" s="399" t="s">
        <v>4093</v>
      </c>
      <c r="C144" s="399">
        <f t="shared" si="22"/>
        <v>1357</v>
      </c>
      <c r="D144" s="399" t="str">
        <f t="shared" si="23"/>
        <v>Gender-based violence risk factors</v>
      </c>
      <c r="E144" s="399" t="str">
        <f t="shared" si="24"/>
        <v>Gender-based violence risk factors</v>
      </c>
      <c r="F144" s="399" t="str">
        <f t="shared" si="32"/>
        <v>Data Element</v>
      </c>
      <c r="G144" s="400">
        <f t="shared" si="26"/>
        <v>34</v>
      </c>
      <c r="H144" s="400" t="str">
        <f t="shared" si="21"/>
        <v/>
      </c>
      <c r="I144" s="400"/>
      <c r="J144" s="400"/>
      <c r="K144" s="402" t="s">
        <v>3475</v>
      </c>
      <c r="L144" s="402" t="s">
        <v>4081</v>
      </c>
      <c r="M144" s="400"/>
      <c r="N144" s="427" t="s">
        <v>3477</v>
      </c>
      <c r="O144" s="41" t="s">
        <v>4094</v>
      </c>
      <c r="P144" s="440" t="s">
        <v>4095</v>
      </c>
      <c r="Q144" s="403" t="s">
        <v>4093</v>
      </c>
      <c r="R144" s="403"/>
      <c r="S144" s="403" t="s">
        <v>4096</v>
      </c>
      <c r="T144" s="403" t="s">
        <v>3339</v>
      </c>
      <c r="U144" s="407" t="s">
        <v>3326</v>
      </c>
      <c r="V144" s="432" t="s">
        <v>4097</v>
      </c>
      <c r="W144" s="407"/>
      <c r="X144" s="405" t="s">
        <v>208</v>
      </c>
      <c r="Y144" s="403"/>
      <c r="Z144" s="403" t="s">
        <v>113</v>
      </c>
      <c r="AA144" s="403" t="s">
        <v>1889</v>
      </c>
      <c r="AB144" s="408"/>
      <c r="AC144" s="407"/>
      <c r="AD144" s="403"/>
      <c r="AE144" s="406"/>
      <c r="AF144" s="407"/>
      <c r="AG144" s="407"/>
      <c r="AH144" s="399"/>
      <c r="AI144" s="400"/>
      <c r="AJ144" s="399"/>
      <c r="AK144" s="440" t="s">
        <v>3410</v>
      </c>
      <c r="AL144" s="440" t="s">
        <v>3181</v>
      </c>
      <c r="AM144" s="403" t="s">
        <v>3100</v>
      </c>
      <c r="AN144" s="403" t="s">
        <v>3101</v>
      </c>
      <c r="AO144" s="399"/>
      <c r="AP144" s="409" t="s">
        <v>4098</v>
      </c>
      <c r="AQ144" s="409" t="s">
        <v>3424</v>
      </c>
      <c r="AR144" s="399"/>
      <c r="AS144" s="399"/>
      <c r="AT144" s="399"/>
      <c r="AU144" s="399" t="s">
        <v>4093</v>
      </c>
      <c r="AV144" s="399" t="str">
        <f t="shared" si="27"/>
        <v>Same</v>
      </c>
      <c r="AW144" s="399"/>
      <c r="AX144" s="409" t="s">
        <v>3104</v>
      </c>
      <c r="AY144" s="399" t="str">
        <f t="shared" si="28"/>
        <v/>
      </c>
      <c r="AZ144" s="409" t="s">
        <v>3105</v>
      </c>
      <c r="BA144" s="409">
        <v>1</v>
      </c>
      <c r="BB144" s="399"/>
      <c r="BC144" s="399"/>
      <c r="BD144" s="399" t="s">
        <v>4100</v>
      </c>
      <c r="BE144" s="411"/>
      <c r="BF144" s="411"/>
      <c r="BG144" s="411"/>
      <c r="BH144" s="411"/>
      <c r="BI144" s="411"/>
      <c r="BJ144" s="409" t="s">
        <v>3106</v>
      </c>
      <c r="BK144" s="399"/>
      <c r="BL144" s="399"/>
      <c r="BM144" s="399"/>
      <c r="BN144" s="399" t="s">
        <v>4101</v>
      </c>
      <c r="BO144" s="399"/>
      <c r="BP144" s="399"/>
      <c r="BQ144" s="399"/>
      <c r="BR144" s="399"/>
      <c r="BS144" s="407"/>
      <c r="BT144" s="407"/>
      <c r="BU144" s="412"/>
      <c r="BV144" s="46" t="str">
        <f t="shared" si="8"/>
        <v>Observation</v>
      </c>
      <c r="BW144" s="46" t="str">
        <f t="shared" si="9"/>
        <v/>
      </c>
      <c r="BX144" s="46" t="str">
        <f t="shared" si="10"/>
        <v>Observation</v>
      </c>
      <c r="BY144" s="43" t="str">
        <f t="shared" si="11"/>
        <v>WHO-Core Observation (Gender-based Violence Risk Factors)</v>
      </c>
      <c r="BZ144" s="46">
        <f t="shared" si="12"/>
        <v>1</v>
      </c>
      <c r="CA144" s="46">
        <f t="shared" si="13"/>
        <v>0</v>
      </c>
      <c r="CB144" s="46">
        <f t="shared" si="14"/>
        <v>1</v>
      </c>
      <c r="CC144" s="46">
        <f t="shared" si="15"/>
        <v>1</v>
      </c>
      <c r="CD144" s="46">
        <f t="shared" si="16"/>
        <v>1</v>
      </c>
      <c r="CE144" s="46">
        <f t="shared" si="17"/>
        <v>0</v>
      </c>
      <c r="CF144" s="46">
        <f t="shared" si="18"/>
        <v>0</v>
      </c>
      <c r="CG144" s="46" t="str">
        <f ca="1">IFERROR(__xludf.DUMMYFUNCTION("if(OR(BH144="""",LEFT(BH144,2)=""LA""),"""",IMPORTXML(CONCATENATE(""https://loinc.org/"",BH144,""/""),""//span[@id='lcn']""))"),"")</f>
        <v/>
      </c>
      <c r="CH144" s="46"/>
      <c r="CI144" s="46"/>
      <c r="CJ144" s="46"/>
      <c r="CK144" s="46"/>
      <c r="CL144" s="46"/>
      <c r="CM144" s="46"/>
      <c r="CN144" s="46"/>
      <c r="CO144" s="46"/>
      <c r="CP144" s="46"/>
      <c r="CQ144" s="46"/>
      <c r="CR144" s="46"/>
      <c r="CS144" s="46"/>
      <c r="CT144" s="46"/>
      <c r="CU144" s="46"/>
    </row>
    <row r="145" spans="1:99" ht="12.75" customHeight="1">
      <c r="A145" s="399">
        <v>1358</v>
      </c>
      <c r="B145" s="399" t="s">
        <v>4102</v>
      </c>
      <c r="C145" s="399">
        <f t="shared" si="22"/>
        <v>1358</v>
      </c>
      <c r="D145" s="399" t="str">
        <f t="shared" si="23"/>
        <v>Sexually active</v>
      </c>
      <c r="E145" s="399" t="str">
        <f t="shared" si="24"/>
        <v>Sexually active</v>
      </c>
      <c r="F145" s="399" t="str">
        <f t="shared" si="32"/>
        <v>Data Element</v>
      </c>
      <c r="G145" s="400">
        <f t="shared" si="26"/>
        <v>15</v>
      </c>
      <c r="H145" s="400" t="str">
        <f t="shared" si="21"/>
        <v/>
      </c>
      <c r="I145" s="400"/>
      <c r="J145" s="400"/>
      <c r="K145" s="402" t="s">
        <v>3475</v>
      </c>
      <c r="L145" s="402" t="s">
        <v>3499</v>
      </c>
      <c r="M145" s="400"/>
      <c r="N145" s="427" t="s">
        <v>3477</v>
      </c>
      <c r="O145" s="41" t="s">
        <v>4103</v>
      </c>
      <c r="P145" s="440" t="s">
        <v>4104</v>
      </c>
      <c r="Q145" s="403" t="s">
        <v>4102</v>
      </c>
      <c r="R145" s="403"/>
      <c r="S145" s="403" t="s">
        <v>4105</v>
      </c>
      <c r="T145" s="403" t="s">
        <v>3169</v>
      </c>
      <c r="U145" s="407"/>
      <c r="V145" s="407" t="s">
        <v>3170</v>
      </c>
      <c r="W145" s="407"/>
      <c r="X145" s="405" t="s">
        <v>208</v>
      </c>
      <c r="Y145" s="403"/>
      <c r="Z145" s="403" t="s">
        <v>113</v>
      </c>
      <c r="AA145" s="403" t="s">
        <v>1889</v>
      </c>
      <c r="AB145" s="408"/>
      <c r="AC145" s="407"/>
      <c r="AD145" s="403"/>
      <c r="AE145" s="406"/>
      <c r="AF145" s="407"/>
      <c r="AG145" s="407"/>
      <c r="AH145" s="399"/>
      <c r="AI145" s="400"/>
      <c r="AJ145" s="399"/>
      <c r="AK145" s="409" t="s">
        <v>3410</v>
      </c>
      <c r="AL145" s="440" t="s">
        <v>3313</v>
      </c>
      <c r="AM145" s="403" t="s">
        <v>3100</v>
      </c>
      <c r="AN145" s="403" t="s">
        <v>3101</v>
      </c>
      <c r="AO145" s="399"/>
      <c r="AP145" s="409" t="s">
        <v>4106</v>
      </c>
      <c r="AQ145" s="409" t="s">
        <v>3424</v>
      </c>
      <c r="AR145" s="399"/>
      <c r="AS145" s="399"/>
      <c r="AT145" s="399"/>
      <c r="AU145" s="399" t="s">
        <v>4102</v>
      </c>
      <c r="AV145" s="399" t="str">
        <f t="shared" si="27"/>
        <v>Same</v>
      </c>
      <c r="AW145" s="399"/>
      <c r="AX145" s="409" t="s">
        <v>3104</v>
      </c>
      <c r="AY145" s="399" t="str">
        <f t="shared" si="28"/>
        <v/>
      </c>
      <c r="AZ145" s="409" t="s">
        <v>3105</v>
      </c>
      <c r="BA145" s="409">
        <v>1</v>
      </c>
      <c r="BB145" s="399"/>
      <c r="BC145" s="399"/>
      <c r="BD145" s="399" t="s">
        <v>4107</v>
      </c>
      <c r="BE145" s="411"/>
      <c r="BF145" s="411"/>
      <c r="BG145" s="434" t="s">
        <v>4108</v>
      </c>
      <c r="BH145" s="434" t="s">
        <v>4109</v>
      </c>
      <c r="BI145" s="411"/>
      <c r="BJ145" s="399"/>
      <c r="BK145" s="399"/>
      <c r="BL145" s="399"/>
      <c r="BM145" s="409" t="s">
        <v>4110</v>
      </c>
      <c r="BN145" s="399" t="s">
        <v>4111</v>
      </c>
      <c r="BO145" s="399"/>
      <c r="BP145" s="399"/>
      <c r="BQ145" s="399"/>
      <c r="BR145" s="399"/>
      <c r="BS145" s="407"/>
      <c r="BT145" s="407"/>
      <c r="BU145" s="412"/>
      <c r="BV145" s="46" t="str">
        <f t="shared" si="8"/>
        <v>Observation</v>
      </c>
      <c r="BW145" s="46" t="str">
        <f t="shared" si="9"/>
        <v/>
      </c>
      <c r="BX145" s="46" t="str">
        <f t="shared" si="10"/>
        <v>Observation</v>
      </c>
      <c r="BY145" s="43" t="str">
        <f t="shared" si="11"/>
        <v>WHO-Core Observation (Sexually Active)</v>
      </c>
      <c r="BZ145" s="46">
        <f t="shared" si="12"/>
        <v>1</v>
      </c>
      <c r="CA145" s="46">
        <f t="shared" si="13"/>
        <v>0</v>
      </c>
      <c r="CB145" s="46">
        <f t="shared" si="14"/>
        <v>1</v>
      </c>
      <c r="CC145" s="46">
        <f t="shared" si="15"/>
        <v>1</v>
      </c>
      <c r="CD145" s="46">
        <f t="shared" si="16"/>
        <v>1</v>
      </c>
      <c r="CE145" s="46">
        <f t="shared" si="17"/>
        <v>0</v>
      </c>
      <c r="CF145" s="46">
        <f t="shared" si="18"/>
        <v>0</v>
      </c>
      <c r="CG145" s="46" t="str">
        <f ca="1">IFERROR(__xludf.DUMMYFUNCTION("if(OR(BH145="""",LEFT(BH145,2)=""LA""),"""",IMPORTXML(CONCATENATE(""https://loinc.org/"",BH145,""/""),""//span[@id='lcn']""))"),"Sexual activity in the last 3 months - Reported")</f>
        <v>Sexual activity in the last 3 months - Reported</v>
      </c>
      <c r="CH145" s="46"/>
      <c r="CI145" s="46"/>
      <c r="CJ145" s="46"/>
      <c r="CK145" s="46"/>
      <c r="CL145" s="46"/>
      <c r="CM145" s="46"/>
      <c r="CN145" s="46"/>
      <c r="CO145" s="46"/>
      <c r="CP145" s="46"/>
      <c r="CQ145" s="46"/>
      <c r="CR145" s="46"/>
      <c r="CS145" s="46"/>
      <c r="CT145" s="46"/>
      <c r="CU145" s="46"/>
    </row>
    <row r="146" spans="1:99" ht="12.75" customHeight="1">
      <c r="A146" s="399">
        <v>1361</v>
      </c>
      <c r="B146" s="399" t="s">
        <v>4112</v>
      </c>
      <c r="C146" s="399">
        <f t="shared" si="22"/>
        <v>1361</v>
      </c>
      <c r="D146" s="399" t="str">
        <f t="shared" si="23"/>
        <v>Clinical observations</v>
      </c>
      <c r="E146" s="399" t="str">
        <f t="shared" si="24"/>
        <v>Clinical observations</v>
      </c>
      <c r="F146" s="399" t="str">
        <f t="shared" si="32"/>
        <v>Data Element</v>
      </c>
      <c r="G146" s="400">
        <f t="shared" si="26"/>
        <v>21</v>
      </c>
      <c r="H146" s="400" t="str">
        <f t="shared" si="21"/>
        <v/>
      </c>
      <c r="I146" s="400"/>
      <c r="J146" s="400"/>
      <c r="K146" s="402" t="s">
        <v>3475</v>
      </c>
      <c r="L146" s="402" t="s">
        <v>4081</v>
      </c>
      <c r="M146" s="400"/>
      <c r="N146" s="427" t="s">
        <v>4113</v>
      </c>
      <c r="O146" s="41" t="s">
        <v>4114</v>
      </c>
      <c r="P146" s="440" t="s">
        <v>4115</v>
      </c>
      <c r="Q146" s="403" t="s">
        <v>4112</v>
      </c>
      <c r="R146" s="403"/>
      <c r="S146" s="403" t="s">
        <v>4116</v>
      </c>
      <c r="T146" s="403"/>
      <c r="U146" s="407"/>
      <c r="V146" s="407"/>
      <c r="W146" s="407"/>
      <c r="X146" s="405" t="s">
        <v>208</v>
      </c>
      <c r="Y146" s="403"/>
      <c r="Z146" s="403" t="s">
        <v>113</v>
      </c>
      <c r="AA146" s="440" t="s">
        <v>3493</v>
      </c>
      <c r="AB146" s="408"/>
      <c r="AC146" s="407"/>
      <c r="AD146" s="403"/>
      <c r="AE146" s="406"/>
      <c r="AF146" s="407"/>
      <c r="AG146" s="407"/>
      <c r="AH146" s="399"/>
      <c r="AI146" s="400"/>
      <c r="AJ146" s="399"/>
      <c r="AK146" s="403" t="s">
        <v>3916</v>
      </c>
      <c r="AL146" s="403"/>
      <c r="AM146" s="403" t="s">
        <v>3100</v>
      </c>
      <c r="AN146" s="403" t="s">
        <v>3101</v>
      </c>
      <c r="AO146" s="399"/>
      <c r="AP146" s="409" t="s">
        <v>4117</v>
      </c>
      <c r="AQ146" s="409" t="s">
        <v>3424</v>
      </c>
      <c r="AR146" s="399"/>
      <c r="AS146" s="399"/>
      <c r="AT146" s="399"/>
      <c r="AU146" s="399" t="s">
        <v>4112</v>
      </c>
      <c r="AV146" s="399" t="str">
        <f t="shared" si="27"/>
        <v>Same</v>
      </c>
      <c r="AW146" s="399"/>
      <c r="AX146" s="409" t="s">
        <v>3104</v>
      </c>
      <c r="AY146" s="399" t="str">
        <f t="shared" si="28"/>
        <v/>
      </c>
      <c r="AZ146" s="409" t="s">
        <v>3105</v>
      </c>
      <c r="BA146" s="409" t="s">
        <v>3125</v>
      </c>
      <c r="BB146" s="399"/>
      <c r="BC146" s="399"/>
      <c r="BD146" s="399"/>
      <c r="BE146" s="411"/>
      <c r="BF146" s="411"/>
      <c r="BG146" s="411"/>
      <c r="BH146" s="411"/>
      <c r="BI146" s="411"/>
      <c r="BJ146" s="409" t="s">
        <v>3106</v>
      </c>
      <c r="BK146" s="399"/>
      <c r="BL146" s="399"/>
      <c r="BM146" s="399"/>
      <c r="BN146" s="409">
        <v>34</v>
      </c>
      <c r="BO146" s="399"/>
      <c r="BP146" s="399"/>
      <c r="BQ146" s="399"/>
      <c r="BR146" s="399"/>
      <c r="BS146" s="407"/>
      <c r="BT146" s="407"/>
      <c r="BU146" s="412"/>
      <c r="BV146" s="46" t="str">
        <f t="shared" si="8"/>
        <v>Observation</v>
      </c>
      <c r="BW146" s="46" t="str">
        <f t="shared" si="9"/>
        <v/>
      </c>
      <c r="BX146" s="46" t="str">
        <f t="shared" si="10"/>
        <v>Observation</v>
      </c>
      <c r="BY146" s="43" t="str">
        <f t="shared" si="11"/>
        <v>WHO-Core Observation (Clinical Observations)</v>
      </c>
      <c r="BZ146" s="46">
        <f t="shared" si="12"/>
        <v>1</v>
      </c>
      <c r="CA146" s="46">
        <f t="shared" si="13"/>
        <v>0</v>
      </c>
      <c r="CB146" s="46">
        <f t="shared" si="14"/>
        <v>1</v>
      </c>
      <c r="CC146" s="46">
        <f t="shared" si="15"/>
        <v>1</v>
      </c>
      <c r="CD146" s="46">
        <f t="shared" si="16"/>
        <v>1</v>
      </c>
      <c r="CE146" s="46">
        <f t="shared" si="17"/>
        <v>0</v>
      </c>
      <c r="CF146" s="46">
        <f t="shared" si="18"/>
        <v>0</v>
      </c>
      <c r="CG146" s="46" t="str">
        <f ca="1">IFERROR(__xludf.DUMMYFUNCTION("if(OR(BH146="""",LEFT(BH146,2)=""LA""),"""",IMPORTXML(CONCATENATE(""https://loinc.org/"",BH146,""/""),""//span[@id='lcn']""))"),"")</f>
        <v/>
      </c>
      <c r="CH146" s="46"/>
      <c r="CI146" s="46"/>
      <c r="CJ146" s="46"/>
      <c r="CK146" s="46"/>
      <c r="CL146" s="46"/>
      <c r="CM146" s="46"/>
      <c r="CN146" s="46"/>
      <c r="CO146" s="46"/>
      <c r="CP146" s="46"/>
      <c r="CQ146" s="46"/>
      <c r="CR146" s="46"/>
      <c r="CS146" s="46"/>
      <c r="CT146" s="46"/>
      <c r="CU146" s="46"/>
    </row>
    <row r="147" spans="1:99" ht="12.75" customHeight="1">
      <c r="A147" s="409">
        <v>1380</v>
      </c>
      <c r="B147" s="399" t="s">
        <v>4118</v>
      </c>
      <c r="C147" s="399">
        <f t="shared" si="22"/>
        <v>1380</v>
      </c>
      <c r="D147" s="399" t="str">
        <f t="shared" si="23"/>
        <v>Issues and concerns</v>
      </c>
      <c r="E147" s="399" t="str">
        <f t="shared" si="24"/>
        <v>Issues and concerns</v>
      </c>
      <c r="F147" s="399" t="str">
        <f t="shared" si="32"/>
        <v>Data Element</v>
      </c>
      <c r="G147" s="400">
        <f t="shared" si="26"/>
        <v>33</v>
      </c>
      <c r="H147" s="400" t="str">
        <f t="shared" si="21"/>
        <v/>
      </c>
      <c r="I147" s="400"/>
      <c r="J147" s="400"/>
      <c r="K147" s="401" t="s">
        <v>3333</v>
      </c>
      <c r="L147" s="402" t="s">
        <v>3334</v>
      </c>
      <c r="M147" s="400"/>
      <c r="N147" s="427" t="s">
        <v>4119</v>
      </c>
      <c r="O147" s="428"/>
      <c r="P147" s="403" t="s">
        <v>4120</v>
      </c>
      <c r="Q147" s="403" t="s">
        <v>3381</v>
      </c>
      <c r="R147" s="403"/>
      <c r="S147" s="405" t="s">
        <v>4121</v>
      </c>
      <c r="T147" s="405" t="s">
        <v>4122</v>
      </c>
      <c r="U147" s="431"/>
      <c r="V147" s="403"/>
      <c r="W147" s="407"/>
      <c r="X147" s="405" t="s">
        <v>208</v>
      </c>
      <c r="Y147" s="407"/>
      <c r="Z147" s="403" t="s">
        <v>113</v>
      </c>
      <c r="AA147" s="403" t="s">
        <v>3178</v>
      </c>
      <c r="AB147" s="432" t="s">
        <v>4123</v>
      </c>
      <c r="AC147" s="421"/>
      <c r="AD147" s="403"/>
      <c r="AE147" s="406"/>
      <c r="AF147" s="407"/>
      <c r="AG147" s="407"/>
      <c r="AH147" s="399"/>
      <c r="AI147" s="400"/>
      <c r="AJ147" s="399"/>
      <c r="AK147" s="409" t="s">
        <v>3340</v>
      </c>
      <c r="AL147" s="399"/>
      <c r="AM147" s="399" t="s">
        <v>3100</v>
      </c>
      <c r="AN147" s="399" t="s">
        <v>3101</v>
      </c>
      <c r="AO147" s="409" t="s">
        <v>3218</v>
      </c>
      <c r="AP147" s="409" t="s">
        <v>4124</v>
      </c>
      <c r="AQ147" s="409" t="s">
        <v>3424</v>
      </c>
      <c r="AR147" s="409"/>
      <c r="AS147" s="409" t="s">
        <v>3413</v>
      </c>
      <c r="AT147" s="399"/>
      <c r="AU147" s="399" t="s">
        <v>4118</v>
      </c>
      <c r="AV147" s="399" t="str">
        <f t="shared" si="27"/>
        <v>Same</v>
      </c>
      <c r="AW147" s="399"/>
      <c r="AX147" s="409" t="s">
        <v>3343</v>
      </c>
      <c r="AY147" s="399" t="str">
        <f t="shared" si="28"/>
        <v>"Issues and concerns"-&gt;"Contraception Issues and concerns"</v>
      </c>
      <c r="AZ147" s="399"/>
      <c r="BA147" s="409">
        <v>1</v>
      </c>
      <c r="BB147" s="399"/>
      <c r="BC147" s="399"/>
      <c r="BD147" s="399"/>
      <c r="BE147" s="411"/>
      <c r="BF147" s="411"/>
      <c r="BG147" s="411"/>
      <c r="BH147" s="411" t="s">
        <v>4125</v>
      </c>
      <c r="BI147" s="411"/>
      <c r="BJ147" s="399"/>
      <c r="BK147" s="399"/>
      <c r="BL147" s="399"/>
      <c r="BM147" s="399"/>
      <c r="BN147" s="399"/>
      <c r="BO147" s="399"/>
      <c r="BP147" s="399"/>
      <c r="BQ147" s="399"/>
      <c r="BR147" s="399"/>
      <c r="BS147" s="407"/>
      <c r="BT147" s="407"/>
      <c r="BU147" s="412"/>
      <c r="BV147" s="46" t="str">
        <f t="shared" si="8"/>
        <v>Encounter</v>
      </c>
      <c r="BW147" s="46" t="str">
        <f t="shared" si="9"/>
        <v/>
      </c>
      <c r="BX147" s="46" t="str">
        <f t="shared" si="10"/>
        <v>Encounter</v>
      </c>
      <c r="BY147" s="43" t="str">
        <f t="shared" si="11"/>
        <v xml:space="preserve">WHO-FP Encounter (Contraception Issues and Concerns) </v>
      </c>
      <c r="BZ147" s="46">
        <f t="shared" si="12"/>
        <v>1</v>
      </c>
      <c r="CA147" s="46">
        <f t="shared" si="13"/>
        <v>1</v>
      </c>
      <c r="CB147" s="46">
        <f t="shared" si="14"/>
        <v>1</v>
      </c>
      <c r="CC147" s="46">
        <f t="shared" si="15"/>
        <v>1</v>
      </c>
      <c r="CD147" s="46">
        <f t="shared" si="16"/>
        <v>1</v>
      </c>
      <c r="CE147" s="46">
        <f t="shared" si="17"/>
        <v>0</v>
      </c>
      <c r="CF147" s="46">
        <f t="shared" si="18"/>
        <v>0</v>
      </c>
      <c r="CG147" s="46" t="str">
        <f ca="1">IFERROR(__xludf.DUMMYFUNCTION("if(OR(BH147="""",LEFT(BH147,2)=""LA""),"""",IMPORTXML(CONCATENATE(""https://loinc.org/"",BH147,""/""),""//span[@id='lcn']""))"),"Chief complaint Narrative - Reported")</f>
        <v>Chief complaint Narrative - Reported</v>
      </c>
      <c r="CH147" s="46"/>
      <c r="CI147" s="46"/>
      <c r="CJ147" s="46"/>
      <c r="CK147" s="46"/>
      <c r="CL147" s="46"/>
      <c r="CM147" s="46"/>
      <c r="CN147" s="46"/>
      <c r="CO147" s="46"/>
      <c r="CP147" s="46"/>
      <c r="CQ147" s="46"/>
      <c r="CR147" s="46"/>
      <c r="CS147" s="46"/>
      <c r="CT147" s="46"/>
      <c r="CU147" s="46"/>
    </row>
    <row r="148" spans="1:99" ht="12.75" customHeight="1">
      <c r="A148" s="399">
        <v>1381</v>
      </c>
      <c r="B148" s="399" t="s">
        <v>4126</v>
      </c>
      <c r="C148" s="399">
        <f t="shared" si="22"/>
        <v>1381</v>
      </c>
      <c r="D148" s="399" t="e">
        <f t="shared" ca="1" si="23"/>
        <v>#NAME?</v>
      </c>
      <c r="E148" s="399" t="str">
        <f t="shared" si="24"/>
        <v>Missed pills or late injection</v>
      </c>
      <c r="F148" s="399" t="str">
        <f t="shared" si="32"/>
        <v>Input Option</v>
      </c>
      <c r="G148" s="400">
        <f t="shared" si="26"/>
        <v>37</v>
      </c>
      <c r="H148" s="399" t="str">
        <f t="shared" si="21"/>
        <v>Contraception Issues and concerns</v>
      </c>
      <c r="I148" s="400"/>
      <c r="J148" s="400"/>
      <c r="K148" s="401" t="s">
        <v>3333</v>
      </c>
      <c r="L148" s="402" t="s">
        <v>3334</v>
      </c>
      <c r="M148" s="400"/>
      <c r="N148" s="427" t="s">
        <v>4119</v>
      </c>
      <c r="O148" s="428"/>
      <c r="P148" s="403" t="s">
        <v>4127</v>
      </c>
      <c r="Q148" s="403"/>
      <c r="R148" s="403"/>
      <c r="S148" s="405"/>
      <c r="T148" s="405"/>
      <c r="U148" s="431"/>
      <c r="V148" s="432" t="s">
        <v>4128</v>
      </c>
      <c r="W148" s="407"/>
      <c r="X148" s="405" t="s">
        <v>208</v>
      </c>
      <c r="Y148" s="407"/>
      <c r="Z148" s="403" t="s">
        <v>113</v>
      </c>
      <c r="AA148" s="403" t="s">
        <v>3178</v>
      </c>
      <c r="AB148" s="408" t="s">
        <v>4129</v>
      </c>
      <c r="AC148" s="432" t="s">
        <v>4130</v>
      </c>
      <c r="AD148" s="436"/>
      <c r="AE148" s="406"/>
      <c r="AF148" s="432" t="s">
        <v>4131</v>
      </c>
      <c r="AG148" s="421"/>
      <c r="AH148" s="399"/>
      <c r="AI148" s="400"/>
      <c r="AJ148" s="399"/>
      <c r="AK148" s="399"/>
      <c r="AL148" s="409" t="s">
        <v>3218</v>
      </c>
      <c r="AM148" s="409"/>
      <c r="AN148" s="409" t="s">
        <v>3218</v>
      </c>
      <c r="AO148" s="399"/>
      <c r="AP148" s="399"/>
      <c r="AQ148" s="409" t="s">
        <v>3130</v>
      </c>
      <c r="AR148" s="399"/>
      <c r="AS148" s="399"/>
      <c r="AT148" s="399"/>
      <c r="AU148" s="399" t="s">
        <v>4126</v>
      </c>
      <c r="AV148" s="399" t="str">
        <f t="shared" si="27"/>
        <v>Same</v>
      </c>
      <c r="AW148" s="399"/>
      <c r="AX148" s="409" t="s">
        <v>3343</v>
      </c>
      <c r="AY148" s="399" t="e">
        <f t="shared" ca="1" si="28"/>
        <v>#NAME?</v>
      </c>
      <c r="AZ148" s="399"/>
      <c r="BA148" s="409">
        <v>1</v>
      </c>
      <c r="BB148" s="399"/>
      <c r="BC148" s="399"/>
      <c r="BD148" s="409" t="s">
        <v>4132</v>
      </c>
      <c r="BE148" s="411"/>
      <c r="BF148" s="411"/>
      <c r="BG148" s="434" t="s">
        <v>4133</v>
      </c>
      <c r="BH148" s="411"/>
      <c r="BI148" s="411"/>
      <c r="BJ148" s="399"/>
      <c r="BK148" s="399"/>
      <c r="BL148" s="399"/>
      <c r="BM148" s="409" t="s">
        <v>4134</v>
      </c>
      <c r="BN148" s="399"/>
      <c r="BO148" s="399"/>
      <c r="BP148" s="399"/>
      <c r="BQ148" s="399"/>
      <c r="BR148" s="399"/>
      <c r="BS148" s="407"/>
      <c r="BT148" s="407"/>
      <c r="BU148" s="412"/>
      <c r="BV148" s="46" t="str">
        <f t="shared" si="8"/>
        <v/>
      </c>
      <c r="BW148" s="46">
        <f t="shared" si="9"/>
        <v>0</v>
      </c>
      <c r="BX148" s="46">
        <f t="shared" si="10"/>
        <v>0</v>
      </c>
      <c r="BY148" s="43" t="str">
        <f t="shared" si="11"/>
        <v xml:space="preserve">WHO-FP Encounter (Contraception Issues and Concerns) </v>
      </c>
      <c r="BZ148" s="46">
        <f t="shared" si="12"/>
        <v>1</v>
      </c>
      <c r="CA148" s="46" t="str">
        <f t="shared" si="13"/>
        <v/>
      </c>
      <c r="CB148" s="46">
        <f t="shared" si="14"/>
        <v>1</v>
      </c>
      <c r="CC148" s="46">
        <f t="shared" si="15"/>
        <v>1</v>
      </c>
      <c r="CD148" s="46">
        <f t="shared" si="16"/>
        <v>1</v>
      </c>
      <c r="CE148" s="46">
        <f t="shared" si="17"/>
        <v>0</v>
      </c>
      <c r="CF148" s="46">
        <f t="shared" si="18"/>
        <v>0</v>
      </c>
      <c r="CG148" s="46" t="str">
        <f ca="1">IFERROR(__xludf.DUMMYFUNCTION("if(OR(BH148="""",LEFT(BH148,2)=""LA""),"""",IMPORTXML(CONCATENATE(""https://loinc.org/"",BH148,""/""),""//span[@id='lcn']""))"),"")</f>
        <v/>
      </c>
      <c r="CH148" s="46"/>
      <c r="CI148" s="46"/>
      <c r="CJ148" s="46"/>
      <c r="CK148" s="46"/>
      <c r="CL148" s="46"/>
      <c r="CM148" s="46"/>
      <c r="CN148" s="46"/>
      <c r="CO148" s="46"/>
      <c r="CP148" s="46"/>
      <c r="CQ148" s="46"/>
      <c r="CR148" s="46"/>
      <c r="CS148" s="46"/>
      <c r="CT148" s="46"/>
      <c r="CU148" s="46"/>
    </row>
    <row r="149" spans="1:99" ht="12.75" customHeight="1">
      <c r="A149" s="399">
        <v>1382</v>
      </c>
      <c r="B149" s="399" t="s">
        <v>4135</v>
      </c>
      <c r="C149" s="399">
        <f t="shared" si="22"/>
        <v>1382</v>
      </c>
      <c r="D149" s="399" t="e">
        <f t="shared" ca="1" si="23"/>
        <v>#NAME?</v>
      </c>
      <c r="E149" s="399" t="str">
        <f t="shared" si="24"/>
        <v>IUD concerns</v>
      </c>
      <c r="F149" s="399" t="str">
        <f t="shared" si="32"/>
        <v>Input Option</v>
      </c>
      <c r="G149" s="400">
        <f t="shared" si="26"/>
        <v>19</v>
      </c>
      <c r="H149" s="399" t="str">
        <f t="shared" si="21"/>
        <v>Contraception Issues and concerns</v>
      </c>
      <c r="I149" s="400"/>
      <c r="J149" s="400"/>
      <c r="K149" s="401" t="s">
        <v>3333</v>
      </c>
      <c r="L149" s="402" t="s">
        <v>3334</v>
      </c>
      <c r="M149" s="400"/>
      <c r="N149" s="427" t="s">
        <v>4119</v>
      </c>
      <c r="O149" s="428"/>
      <c r="P149" s="403" t="s">
        <v>4136</v>
      </c>
      <c r="Q149" s="405"/>
      <c r="R149" s="403"/>
      <c r="S149" s="403"/>
      <c r="T149" s="403"/>
      <c r="U149" s="407"/>
      <c r="V149" s="405" t="s">
        <v>4137</v>
      </c>
      <c r="W149" s="407"/>
      <c r="X149" s="403" t="s">
        <v>113</v>
      </c>
      <c r="Y149" s="403" t="s">
        <v>4138</v>
      </c>
      <c r="Z149" s="403" t="s">
        <v>113</v>
      </c>
      <c r="AA149" s="403" t="s">
        <v>3178</v>
      </c>
      <c r="AB149" s="432" t="s">
        <v>4139</v>
      </c>
      <c r="AC149" s="421"/>
      <c r="AD149" s="403"/>
      <c r="AE149" s="406"/>
      <c r="AF149" s="407"/>
      <c r="AG149" s="407"/>
      <c r="AH149" s="399"/>
      <c r="AI149" s="400"/>
      <c r="AJ149" s="399"/>
      <c r="AK149" s="399"/>
      <c r="AL149" s="409" t="s">
        <v>3218</v>
      </c>
      <c r="AM149" s="409"/>
      <c r="AN149" s="409" t="s">
        <v>3218</v>
      </c>
      <c r="AO149" s="399"/>
      <c r="AP149" s="399"/>
      <c r="AQ149" s="409" t="s">
        <v>3130</v>
      </c>
      <c r="AR149" s="399"/>
      <c r="AS149" s="399"/>
      <c r="AT149" s="399"/>
      <c r="AU149" s="399" t="s">
        <v>4135</v>
      </c>
      <c r="AV149" s="399" t="str">
        <f t="shared" si="27"/>
        <v>Same</v>
      </c>
      <c r="AW149" s="399"/>
      <c r="AX149" s="409" t="s">
        <v>3343</v>
      </c>
      <c r="AY149" s="399" t="e">
        <f t="shared" ca="1" si="28"/>
        <v>#NAME?</v>
      </c>
      <c r="AZ149" s="399"/>
      <c r="BA149" s="409">
        <v>1</v>
      </c>
      <c r="BB149" s="399"/>
      <c r="BC149" s="399"/>
      <c r="BD149" s="399"/>
      <c r="BE149" s="411"/>
      <c r="BF149" s="411"/>
      <c r="BG149" s="411" t="s">
        <v>4140</v>
      </c>
      <c r="BH149" s="411"/>
      <c r="BI149" s="411"/>
      <c r="BJ149" s="399"/>
      <c r="BK149" s="399"/>
      <c r="BL149" s="399"/>
      <c r="BM149" s="399"/>
      <c r="BN149" s="399"/>
      <c r="BO149" s="399"/>
      <c r="BP149" s="399" t="s">
        <v>4141</v>
      </c>
      <c r="BQ149" s="399"/>
      <c r="BR149" s="399"/>
      <c r="BS149" s="407"/>
      <c r="BT149" s="407"/>
      <c r="BU149" s="412"/>
      <c r="BV149" s="46" t="str">
        <f t="shared" si="8"/>
        <v/>
      </c>
      <c r="BW149" s="46">
        <f t="shared" si="9"/>
        <v>0</v>
      </c>
      <c r="BX149" s="46">
        <f t="shared" si="10"/>
        <v>0</v>
      </c>
      <c r="BY149" s="43" t="str">
        <f t="shared" si="11"/>
        <v xml:space="preserve">WHO-FP Encounter (Contraception Issues and Concerns) </v>
      </c>
      <c r="BZ149" s="46">
        <f t="shared" si="12"/>
        <v>1</v>
      </c>
      <c r="CA149" s="46" t="str">
        <f t="shared" si="13"/>
        <v/>
      </c>
      <c r="CB149" s="46">
        <f t="shared" si="14"/>
        <v>1</v>
      </c>
      <c r="CC149" s="46">
        <f t="shared" si="15"/>
        <v>1</v>
      </c>
      <c r="CD149" s="46">
        <f t="shared" si="16"/>
        <v>1</v>
      </c>
      <c r="CE149" s="46">
        <f t="shared" si="17"/>
        <v>0</v>
      </c>
      <c r="CF149" s="46">
        <f t="shared" si="18"/>
        <v>0</v>
      </c>
      <c r="CG149" s="46" t="str">
        <f ca="1">IFERROR(__xludf.DUMMYFUNCTION("if(OR(BH149="""",LEFT(BH149,2)=""LA""),"""",IMPORTXML(CONCATENATE(""https://loinc.org/"",BH149,""/""),""//span[@id='lcn']""))"),"")</f>
        <v/>
      </c>
      <c r="CH149" s="46"/>
      <c r="CI149" s="46"/>
      <c r="CJ149" s="46"/>
      <c r="CK149" s="46"/>
      <c r="CL149" s="46"/>
      <c r="CM149" s="46"/>
      <c r="CN149" s="46"/>
      <c r="CO149" s="46"/>
      <c r="CP149" s="46"/>
      <c r="CQ149" s="46"/>
      <c r="CR149" s="46"/>
      <c r="CS149" s="46"/>
      <c r="CT149" s="46"/>
      <c r="CU149" s="46"/>
    </row>
    <row r="150" spans="1:99" ht="12.75" customHeight="1">
      <c r="A150" s="399">
        <v>1383</v>
      </c>
      <c r="B150" s="399" t="s">
        <v>4142</v>
      </c>
      <c r="C150" s="399">
        <f t="shared" si="22"/>
        <v>1383</v>
      </c>
      <c r="D150" s="399" t="e">
        <f t="shared" ca="1" si="23"/>
        <v>#NAME?</v>
      </c>
      <c r="E150" s="399" t="str">
        <f t="shared" si="24"/>
        <v>IUD partial expulsion</v>
      </c>
      <c r="F150" s="399" t="str">
        <f t="shared" si="32"/>
        <v>Input Option</v>
      </c>
      <c r="G150" s="400">
        <f t="shared" si="26"/>
        <v>28</v>
      </c>
      <c r="H150" s="399" t="str">
        <f t="shared" si="21"/>
        <v>Contraception Issues and concerns</v>
      </c>
      <c r="I150" s="400"/>
      <c r="J150" s="400"/>
      <c r="K150" s="401" t="s">
        <v>3333</v>
      </c>
      <c r="L150" s="402" t="s">
        <v>3334</v>
      </c>
      <c r="M150" s="400"/>
      <c r="N150" s="427" t="s">
        <v>4119</v>
      </c>
      <c r="O150" s="428"/>
      <c r="P150" s="403" t="s">
        <v>4143</v>
      </c>
      <c r="Q150" s="405"/>
      <c r="R150" s="403"/>
      <c r="S150" s="403"/>
      <c r="T150" s="403"/>
      <c r="U150" s="407"/>
      <c r="V150" s="429" t="s">
        <v>4144</v>
      </c>
      <c r="W150" s="407"/>
      <c r="X150" s="403" t="s">
        <v>113</v>
      </c>
      <c r="Y150" s="403"/>
      <c r="Z150" s="403" t="s">
        <v>113</v>
      </c>
      <c r="AA150" s="405" t="s">
        <v>3178</v>
      </c>
      <c r="AB150" s="432" t="s">
        <v>4145</v>
      </c>
      <c r="AC150" s="421"/>
      <c r="AD150" s="436"/>
      <c r="AE150" s="420"/>
      <c r="AF150" s="421"/>
      <c r="AG150" s="407"/>
      <c r="AH150" s="399"/>
      <c r="AI150" s="400"/>
      <c r="AJ150" s="399"/>
      <c r="AK150" s="399"/>
      <c r="AL150" s="409" t="s">
        <v>3218</v>
      </c>
      <c r="AM150" s="409"/>
      <c r="AN150" s="409" t="s">
        <v>3218</v>
      </c>
      <c r="AO150" s="399"/>
      <c r="AP150" s="399"/>
      <c r="AQ150" s="409" t="s">
        <v>3130</v>
      </c>
      <c r="AR150" s="399"/>
      <c r="AS150" s="399"/>
      <c r="AT150" s="399"/>
      <c r="AU150" s="399" t="s">
        <v>4142</v>
      </c>
      <c r="AV150" s="399" t="str">
        <f t="shared" si="27"/>
        <v>Same</v>
      </c>
      <c r="AW150" s="399"/>
      <c r="AX150" s="409" t="s">
        <v>3343</v>
      </c>
      <c r="AY150" s="399" t="e">
        <f t="shared" ca="1" si="28"/>
        <v>#NAME?</v>
      </c>
      <c r="AZ150" s="399"/>
      <c r="BA150" s="409">
        <v>1</v>
      </c>
      <c r="BB150" s="399"/>
      <c r="BC150" s="399"/>
      <c r="BD150" s="399" t="s">
        <v>3162</v>
      </c>
      <c r="BE150" s="411"/>
      <c r="BF150" s="411"/>
      <c r="BG150" s="411" t="s">
        <v>4146</v>
      </c>
      <c r="BH150" s="411"/>
      <c r="BI150" s="411"/>
      <c r="BJ150" s="399"/>
      <c r="BK150" s="399"/>
      <c r="BL150" s="399"/>
      <c r="BM150" s="399"/>
      <c r="BN150" s="399"/>
      <c r="BO150" s="399"/>
      <c r="BP150" s="399"/>
      <c r="BQ150" s="399"/>
      <c r="BR150" s="399"/>
      <c r="BS150" s="407"/>
      <c r="BT150" s="407"/>
      <c r="BU150" s="412"/>
      <c r="BV150" s="46" t="str">
        <f t="shared" si="8"/>
        <v/>
      </c>
      <c r="BW150" s="46">
        <f t="shared" si="9"/>
        <v>0</v>
      </c>
      <c r="BX150" s="46">
        <f t="shared" si="10"/>
        <v>0</v>
      </c>
      <c r="BY150" s="43" t="str">
        <f t="shared" si="11"/>
        <v xml:space="preserve">WHO-FP Encounter (Contraception Issues and Concerns) </v>
      </c>
      <c r="BZ150" s="46">
        <f t="shared" si="12"/>
        <v>1</v>
      </c>
      <c r="CA150" s="46" t="str">
        <f t="shared" si="13"/>
        <v/>
      </c>
      <c r="CB150" s="46">
        <f t="shared" si="14"/>
        <v>1</v>
      </c>
      <c r="CC150" s="46">
        <f t="shared" si="15"/>
        <v>1</v>
      </c>
      <c r="CD150" s="46">
        <f t="shared" si="16"/>
        <v>1</v>
      </c>
      <c r="CE150" s="46">
        <f t="shared" si="17"/>
        <v>0</v>
      </c>
      <c r="CF150" s="46">
        <f t="shared" si="18"/>
        <v>0</v>
      </c>
      <c r="CG150" s="46" t="str">
        <f ca="1">IFERROR(__xludf.DUMMYFUNCTION("if(OR(BH150="""",LEFT(BH150,2)=""LA""),"""",IMPORTXML(CONCATENATE(""https://loinc.org/"",BH150,""/""),""//span[@id='lcn']""))"),"")</f>
        <v/>
      </c>
      <c r="CH150" s="46"/>
      <c r="CI150" s="46"/>
      <c r="CJ150" s="46"/>
      <c r="CK150" s="46"/>
      <c r="CL150" s="46"/>
      <c r="CM150" s="46"/>
      <c r="CN150" s="46"/>
      <c r="CO150" s="46"/>
      <c r="CP150" s="46"/>
      <c r="CQ150" s="46"/>
      <c r="CR150" s="46"/>
      <c r="CS150" s="46"/>
      <c r="CT150" s="46"/>
      <c r="CU150" s="46"/>
    </row>
    <row r="151" spans="1:99" ht="12.75" customHeight="1">
      <c r="A151" s="399">
        <v>1384</v>
      </c>
      <c r="B151" s="399" t="s">
        <v>4147</v>
      </c>
      <c r="C151" s="399">
        <f t="shared" si="22"/>
        <v>1384</v>
      </c>
      <c r="D151" s="399" t="e">
        <f t="shared" ca="1" si="23"/>
        <v>#NAME?</v>
      </c>
      <c r="E151" s="399" t="str">
        <f t="shared" si="24"/>
        <v>IUD complete expulsion</v>
      </c>
      <c r="F151" s="399" t="str">
        <f t="shared" si="32"/>
        <v>Input Option</v>
      </c>
      <c r="G151" s="400">
        <f t="shared" si="26"/>
        <v>29</v>
      </c>
      <c r="H151" s="399" t="str">
        <f t="shared" si="21"/>
        <v>Contraception Issues and concerns</v>
      </c>
      <c r="I151" s="400"/>
      <c r="J151" s="400"/>
      <c r="K151" s="401" t="s">
        <v>3333</v>
      </c>
      <c r="L151" s="402" t="s">
        <v>3334</v>
      </c>
      <c r="M151" s="400"/>
      <c r="N151" s="427" t="s">
        <v>4119</v>
      </c>
      <c r="O151" s="428"/>
      <c r="P151" s="403" t="s">
        <v>4148</v>
      </c>
      <c r="Q151" s="405"/>
      <c r="R151" s="403"/>
      <c r="S151" s="403"/>
      <c r="T151" s="403"/>
      <c r="U151" s="407"/>
      <c r="V151" s="429" t="s">
        <v>4149</v>
      </c>
      <c r="W151" s="407"/>
      <c r="X151" s="403" t="s">
        <v>208</v>
      </c>
      <c r="Y151" s="403"/>
      <c r="Z151" s="403" t="s">
        <v>113</v>
      </c>
      <c r="AA151" s="405" t="s">
        <v>3178</v>
      </c>
      <c r="AB151" s="432" t="s">
        <v>4145</v>
      </c>
      <c r="AC151" s="421"/>
      <c r="AD151" s="436"/>
      <c r="AE151" s="420"/>
      <c r="AF151" s="421"/>
      <c r="AG151" s="407"/>
      <c r="AH151" s="399"/>
      <c r="AI151" s="400"/>
      <c r="AJ151" s="399"/>
      <c r="AK151" s="399"/>
      <c r="AL151" s="409" t="s">
        <v>3218</v>
      </c>
      <c r="AM151" s="409"/>
      <c r="AN151" s="409" t="s">
        <v>3218</v>
      </c>
      <c r="AO151" s="399"/>
      <c r="AP151" s="399"/>
      <c r="AQ151" s="409" t="s">
        <v>3130</v>
      </c>
      <c r="AR151" s="399"/>
      <c r="AS151" s="399"/>
      <c r="AT151" s="399"/>
      <c r="AU151" s="399" t="s">
        <v>4147</v>
      </c>
      <c r="AV151" s="399" t="str">
        <f t="shared" si="27"/>
        <v>Same</v>
      </c>
      <c r="AW151" s="399"/>
      <c r="AX151" s="409" t="s">
        <v>3343</v>
      </c>
      <c r="AY151" s="399" t="e">
        <f t="shared" ca="1" si="28"/>
        <v>#NAME?</v>
      </c>
      <c r="AZ151" s="399"/>
      <c r="BA151" s="409">
        <v>1</v>
      </c>
      <c r="BB151" s="399"/>
      <c r="BC151" s="399"/>
      <c r="BD151" s="399" t="s">
        <v>3162</v>
      </c>
      <c r="BE151" s="411"/>
      <c r="BF151" s="411"/>
      <c r="BG151" s="411" t="s">
        <v>4150</v>
      </c>
      <c r="BH151" s="411"/>
      <c r="BI151" s="411"/>
      <c r="BJ151" s="399"/>
      <c r="BK151" s="399"/>
      <c r="BL151" s="399"/>
      <c r="BM151" s="399"/>
      <c r="BN151" s="399"/>
      <c r="BO151" s="399"/>
      <c r="BP151" s="399"/>
      <c r="BQ151" s="399"/>
      <c r="BR151" s="399"/>
      <c r="BS151" s="407"/>
      <c r="BT151" s="407"/>
      <c r="BU151" s="412"/>
      <c r="BV151" s="46" t="str">
        <f t="shared" si="8"/>
        <v/>
      </c>
      <c r="BW151" s="46">
        <f t="shared" si="9"/>
        <v>0</v>
      </c>
      <c r="BX151" s="46">
        <f t="shared" si="10"/>
        <v>0</v>
      </c>
      <c r="BY151" s="43" t="str">
        <f t="shared" si="11"/>
        <v xml:space="preserve">WHO-FP Encounter (Contraception Issues and Concerns) </v>
      </c>
      <c r="BZ151" s="46">
        <f t="shared" si="12"/>
        <v>1</v>
      </c>
      <c r="CA151" s="46" t="str">
        <f t="shared" si="13"/>
        <v/>
      </c>
      <c r="CB151" s="46">
        <f t="shared" si="14"/>
        <v>1</v>
      </c>
      <c r="CC151" s="46">
        <f t="shared" si="15"/>
        <v>1</v>
      </c>
      <c r="CD151" s="46">
        <f t="shared" si="16"/>
        <v>1</v>
      </c>
      <c r="CE151" s="46">
        <f t="shared" si="17"/>
        <v>0</v>
      </c>
      <c r="CF151" s="46">
        <f t="shared" si="18"/>
        <v>0</v>
      </c>
      <c r="CG151" s="46" t="str">
        <f ca="1">IFERROR(__xludf.DUMMYFUNCTION("if(OR(BH151="""",LEFT(BH151,2)=""LA""),"""",IMPORTXML(CONCATENATE(""https://loinc.org/"",BH151,""/""),""//span[@id='lcn']""))"),"")</f>
        <v/>
      </c>
      <c r="CH151" s="46"/>
      <c r="CI151" s="46"/>
      <c r="CJ151" s="46"/>
      <c r="CK151" s="46"/>
      <c r="CL151" s="46"/>
      <c r="CM151" s="46"/>
      <c r="CN151" s="46"/>
      <c r="CO151" s="46"/>
      <c r="CP151" s="46"/>
      <c r="CQ151" s="46"/>
      <c r="CR151" s="46"/>
      <c r="CS151" s="46"/>
      <c r="CT151" s="46"/>
      <c r="CU151" s="46"/>
    </row>
    <row r="152" spans="1:99" ht="12.75" customHeight="1">
      <c r="A152" s="399">
        <v>1385</v>
      </c>
      <c r="B152" s="399" t="s">
        <v>4151</v>
      </c>
      <c r="C152" s="399">
        <f t="shared" si="22"/>
        <v>1385</v>
      </c>
      <c r="D152" s="399" t="e">
        <f t="shared" ca="1" si="23"/>
        <v>#NAME?</v>
      </c>
      <c r="E152" s="399" t="str">
        <f t="shared" si="24"/>
        <v>Amenorrhoea</v>
      </c>
      <c r="F152" s="399" t="str">
        <f t="shared" si="32"/>
        <v>Input Option</v>
      </c>
      <c r="G152" s="400">
        <f t="shared" si="26"/>
        <v>18</v>
      </c>
      <c r="H152" s="399" t="str">
        <f t="shared" si="21"/>
        <v>Contraception Issues and concerns</v>
      </c>
      <c r="I152" s="400"/>
      <c r="J152" s="400"/>
      <c r="K152" s="401" t="s">
        <v>3333</v>
      </c>
      <c r="L152" s="402" t="s">
        <v>3334</v>
      </c>
      <c r="M152" s="400"/>
      <c r="N152" s="427" t="s">
        <v>4119</v>
      </c>
      <c r="O152" s="428"/>
      <c r="P152" s="403" t="s">
        <v>4152</v>
      </c>
      <c r="Q152" s="405"/>
      <c r="R152" s="403"/>
      <c r="S152" s="403"/>
      <c r="T152" s="403"/>
      <c r="U152" s="407"/>
      <c r="V152" s="431" t="s">
        <v>4153</v>
      </c>
      <c r="W152" s="407"/>
      <c r="X152" s="403" t="s">
        <v>208</v>
      </c>
      <c r="Y152" s="403"/>
      <c r="Z152" s="403" t="s">
        <v>113</v>
      </c>
      <c r="AA152" s="405" t="s">
        <v>3178</v>
      </c>
      <c r="AB152" s="432" t="s">
        <v>4145</v>
      </c>
      <c r="AC152" s="421"/>
      <c r="AD152" s="436"/>
      <c r="AE152" s="420"/>
      <c r="AF152" s="421"/>
      <c r="AG152" s="407"/>
      <c r="AH152" s="399"/>
      <c r="AI152" s="400"/>
      <c r="AJ152" s="399"/>
      <c r="AK152" s="399"/>
      <c r="AL152" s="409" t="s">
        <v>3218</v>
      </c>
      <c r="AM152" s="409"/>
      <c r="AN152" s="409" t="s">
        <v>3218</v>
      </c>
      <c r="AO152" s="399"/>
      <c r="AP152" s="399"/>
      <c r="AQ152" s="409" t="s">
        <v>3130</v>
      </c>
      <c r="AR152" s="399"/>
      <c r="AS152" s="399"/>
      <c r="AT152" s="399"/>
      <c r="AU152" s="399" t="s">
        <v>4151</v>
      </c>
      <c r="AV152" s="399" t="str">
        <f t="shared" si="27"/>
        <v>Same</v>
      </c>
      <c r="AW152" s="399"/>
      <c r="AX152" s="409" t="s">
        <v>3343</v>
      </c>
      <c r="AY152" s="399" t="e">
        <f t="shared" ca="1" si="28"/>
        <v>#NAME?</v>
      </c>
      <c r="AZ152" s="399"/>
      <c r="BA152" s="409">
        <v>1</v>
      </c>
      <c r="BB152" s="399"/>
      <c r="BC152" s="399"/>
      <c r="BD152" s="409" t="s">
        <v>4154</v>
      </c>
      <c r="BE152" s="411" t="s">
        <v>4155</v>
      </c>
      <c r="BF152" s="411" t="s">
        <v>4156</v>
      </c>
      <c r="BG152" s="411" t="s">
        <v>4157</v>
      </c>
      <c r="BH152" s="411"/>
      <c r="BI152" s="411"/>
      <c r="BJ152" s="399"/>
      <c r="BK152" s="399"/>
      <c r="BL152" s="399"/>
      <c r="BM152" s="399"/>
      <c r="BN152" s="399"/>
      <c r="BO152" s="399">
        <v>148989</v>
      </c>
      <c r="BP152" s="399"/>
      <c r="BQ152" s="399"/>
      <c r="BR152" s="399"/>
      <c r="BS152" s="407"/>
      <c r="BT152" s="407"/>
      <c r="BU152" s="412"/>
      <c r="BV152" s="46" t="str">
        <f t="shared" si="8"/>
        <v/>
      </c>
      <c r="BW152" s="46">
        <f t="shared" si="9"/>
        <v>0</v>
      </c>
      <c r="BX152" s="46">
        <f t="shared" si="10"/>
        <v>0</v>
      </c>
      <c r="BY152" s="43" t="str">
        <f t="shared" si="11"/>
        <v xml:space="preserve">WHO-FP Encounter (Contraception Issues and Concerns) </v>
      </c>
      <c r="BZ152" s="46">
        <f t="shared" si="12"/>
        <v>1</v>
      </c>
      <c r="CA152" s="46" t="str">
        <f t="shared" si="13"/>
        <v/>
      </c>
      <c r="CB152" s="46">
        <f t="shared" si="14"/>
        <v>1</v>
      </c>
      <c r="CC152" s="46">
        <f t="shared" si="15"/>
        <v>1</v>
      </c>
      <c r="CD152" s="46">
        <f t="shared" si="16"/>
        <v>1</v>
      </c>
      <c r="CE152" s="46">
        <f t="shared" si="17"/>
        <v>0</v>
      </c>
      <c r="CF152" s="46">
        <f t="shared" si="18"/>
        <v>0</v>
      </c>
      <c r="CG152" s="46" t="str">
        <f ca="1">IFERROR(__xludf.DUMMYFUNCTION("if(OR(BH152="""",LEFT(BH152,2)=""LA""),"""",IMPORTXML(CONCATENATE(""https://loinc.org/"",BH152,""/""),""//span[@id='lcn']""))"),"")</f>
        <v/>
      </c>
      <c r="CH152" s="46"/>
      <c r="CI152" s="46"/>
      <c r="CJ152" s="46"/>
      <c r="CK152" s="46"/>
      <c r="CL152" s="46"/>
      <c r="CM152" s="46"/>
      <c r="CN152" s="46"/>
      <c r="CO152" s="46"/>
      <c r="CP152" s="46"/>
      <c r="CQ152" s="46"/>
      <c r="CR152" s="46"/>
      <c r="CS152" s="46"/>
      <c r="CT152" s="46"/>
      <c r="CU152" s="46"/>
    </row>
    <row r="153" spans="1:99" ht="12.75" customHeight="1">
      <c r="A153" s="399">
        <v>1386</v>
      </c>
      <c r="B153" s="399" t="s">
        <v>4158</v>
      </c>
      <c r="C153" s="399">
        <f t="shared" si="22"/>
        <v>1386</v>
      </c>
      <c r="D153" s="399" t="e">
        <f t="shared" ca="1" si="23"/>
        <v>#NAME?</v>
      </c>
      <c r="E153" s="399" t="str">
        <f t="shared" si="24"/>
        <v xml:space="preserve">Irregular bleeding </v>
      </c>
      <c r="F153" s="399" t="str">
        <f t="shared" si="32"/>
        <v>Input Option</v>
      </c>
      <c r="G153" s="400">
        <f t="shared" si="26"/>
        <v>26</v>
      </c>
      <c r="H153" s="399" t="str">
        <f t="shared" si="21"/>
        <v>Contraception Issues and concerns</v>
      </c>
      <c r="I153" s="400"/>
      <c r="J153" s="400"/>
      <c r="K153" s="401" t="s">
        <v>3333</v>
      </c>
      <c r="L153" s="402" t="s">
        <v>3334</v>
      </c>
      <c r="M153" s="400"/>
      <c r="N153" s="427" t="s">
        <v>4119</v>
      </c>
      <c r="O153" s="428"/>
      <c r="P153" s="403" t="s">
        <v>4159</v>
      </c>
      <c r="Q153" s="405"/>
      <c r="R153" s="403"/>
      <c r="S153" s="403"/>
      <c r="T153" s="403"/>
      <c r="U153" s="407"/>
      <c r="V153" s="429" t="s">
        <v>4160</v>
      </c>
      <c r="W153" s="407"/>
      <c r="X153" s="403" t="s">
        <v>208</v>
      </c>
      <c r="Y153" s="403"/>
      <c r="Z153" s="403" t="s">
        <v>113</v>
      </c>
      <c r="AA153" s="405" t="s">
        <v>3178</v>
      </c>
      <c r="AB153" s="432" t="s">
        <v>4161</v>
      </c>
      <c r="AC153" s="421"/>
      <c r="AD153" s="436"/>
      <c r="AE153" s="420"/>
      <c r="AF153" s="407"/>
      <c r="AG153" s="407"/>
      <c r="AH153" s="399"/>
      <c r="AI153" s="400"/>
      <c r="AJ153" s="399"/>
      <c r="AK153" s="399"/>
      <c r="AL153" s="409" t="s">
        <v>3218</v>
      </c>
      <c r="AM153" s="409"/>
      <c r="AN153" s="409" t="s">
        <v>3218</v>
      </c>
      <c r="AO153" s="399"/>
      <c r="AP153" s="399"/>
      <c r="AQ153" s="409" t="s">
        <v>3130</v>
      </c>
      <c r="AR153" s="399"/>
      <c r="AS153" s="399"/>
      <c r="AT153" s="399"/>
      <c r="AU153" s="399" t="s">
        <v>4158</v>
      </c>
      <c r="AV153" s="399" t="str">
        <f t="shared" si="27"/>
        <v>Same</v>
      </c>
      <c r="AW153" s="399"/>
      <c r="AX153" s="409" t="s">
        <v>3343</v>
      </c>
      <c r="AY153" s="399" t="e">
        <f t="shared" ca="1" si="28"/>
        <v>#NAME?</v>
      </c>
      <c r="AZ153" s="399"/>
      <c r="BA153" s="409">
        <v>1</v>
      </c>
      <c r="BB153" s="399"/>
      <c r="BC153" s="399"/>
      <c r="BD153" s="409" t="s">
        <v>3162</v>
      </c>
      <c r="BE153" s="411" t="s">
        <v>428</v>
      </c>
      <c r="BF153" s="411" t="s">
        <v>4162</v>
      </c>
      <c r="BG153" s="411" t="s">
        <v>4163</v>
      </c>
      <c r="BH153" s="411"/>
      <c r="BI153" s="411"/>
      <c r="BJ153" s="399"/>
      <c r="BK153" s="399"/>
      <c r="BL153" s="399"/>
      <c r="BM153" s="399"/>
      <c r="BN153" s="399"/>
      <c r="BO153" s="399">
        <v>150802</v>
      </c>
      <c r="BP153" s="399"/>
      <c r="BQ153" s="399"/>
      <c r="BR153" s="399"/>
      <c r="BS153" s="407"/>
      <c r="BT153" s="407"/>
      <c r="BU153" s="412"/>
      <c r="BV153" s="46" t="str">
        <f t="shared" si="8"/>
        <v/>
      </c>
      <c r="BW153" s="46">
        <f t="shared" si="9"/>
        <v>0</v>
      </c>
      <c r="BX153" s="46">
        <f t="shared" si="10"/>
        <v>0</v>
      </c>
      <c r="BY153" s="43" t="str">
        <f t="shared" si="11"/>
        <v xml:space="preserve">WHO-FP Encounter (Contraception Issues and Concerns) </v>
      </c>
      <c r="BZ153" s="46">
        <f t="shared" si="12"/>
        <v>1</v>
      </c>
      <c r="CA153" s="46" t="str">
        <f t="shared" si="13"/>
        <v/>
      </c>
      <c r="CB153" s="46">
        <f t="shared" si="14"/>
        <v>1</v>
      </c>
      <c r="CC153" s="46">
        <f t="shared" si="15"/>
        <v>1</v>
      </c>
      <c r="CD153" s="46">
        <f t="shared" si="16"/>
        <v>1</v>
      </c>
      <c r="CE153" s="46">
        <f t="shared" si="17"/>
        <v>0</v>
      </c>
      <c r="CF153" s="46">
        <f t="shared" si="18"/>
        <v>0</v>
      </c>
      <c r="CG153" s="46" t="str">
        <f ca="1">IFERROR(__xludf.DUMMYFUNCTION("if(OR(BH153="""",LEFT(BH153,2)=""LA""),"""",IMPORTXML(CONCATENATE(""https://loinc.org/"",BH153,""/""),""//span[@id='lcn']""))"),"")</f>
        <v/>
      </c>
      <c r="CH153" s="46"/>
      <c r="CI153" s="46"/>
      <c r="CJ153" s="46"/>
      <c r="CK153" s="46"/>
      <c r="CL153" s="46"/>
      <c r="CM153" s="46"/>
      <c r="CN153" s="46"/>
      <c r="CO153" s="46"/>
      <c r="CP153" s="46"/>
      <c r="CQ153" s="46"/>
      <c r="CR153" s="46"/>
      <c r="CS153" s="46"/>
      <c r="CT153" s="46"/>
      <c r="CU153" s="46"/>
    </row>
    <row r="154" spans="1:99" ht="12.75" customHeight="1">
      <c r="A154" s="399">
        <v>1387</v>
      </c>
      <c r="B154" s="399" t="s">
        <v>4164</v>
      </c>
      <c r="C154" s="399">
        <f t="shared" si="22"/>
        <v>1387</v>
      </c>
      <c r="D154" s="399" t="e">
        <f t="shared" ca="1" si="23"/>
        <v>#NAME?</v>
      </c>
      <c r="E154" s="399" t="str">
        <f t="shared" si="24"/>
        <v>Client suspects pregnancy</v>
      </c>
      <c r="F154" s="399" t="str">
        <f t="shared" si="32"/>
        <v>Input Option</v>
      </c>
      <c r="G154" s="400">
        <f t="shared" si="26"/>
        <v>32</v>
      </c>
      <c r="H154" s="399" t="str">
        <f t="shared" si="21"/>
        <v>Contraception Issues and concerns</v>
      </c>
      <c r="I154" s="400"/>
      <c r="J154" s="400"/>
      <c r="K154" s="401" t="s">
        <v>3333</v>
      </c>
      <c r="L154" s="402" t="s">
        <v>3334</v>
      </c>
      <c r="M154" s="400"/>
      <c r="N154" s="427" t="s">
        <v>4119</v>
      </c>
      <c r="O154" s="428"/>
      <c r="P154" s="403" t="s">
        <v>4165</v>
      </c>
      <c r="Q154" s="405"/>
      <c r="R154" s="403"/>
      <c r="S154" s="403"/>
      <c r="T154" s="403"/>
      <c r="U154" s="407"/>
      <c r="V154" s="429" t="s">
        <v>4166</v>
      </c>
      <c r="W154" s="407"/>
      <c r="X154" s="403" t="s">
        <v>208</v>
      </c>
      <c r="Y154" s="403"/>
      <c r="Z154" s="403" t="s">
        <v>113</v>
      </c>
      <c r="AA154" s="405" t="s">
        <v>3178</v>
      </c>
      <c r="AB154" s="432" t="s">
        <v>4161</v>
      </c>
      <c r="AC154" s="421"/>
      <c r="AD154" s="436"/>
      <c r="AE154" s="420"/>
      <c r="AF154" s="407"/>
      <c r="AG154" s="407"/>
      <c r="AH154" s="399"/>
      <c r="AI154" s="400"/>
      <c r="AJ154" s="399"/>
      <c r="AK154" s="399"/>
      <c r="AL154" s="409" t="s">
        <v>3218</v>
      </c>
      <c r="AM154" s="409"/>
      <c r="AN154" s="409" t="s">
        <v>3218</v>
      </c>
      <c r="AO154" s="399"/>
      <c r="AP154" s="399"/>
      <c r="AQ154" s="409" t="s">
        <v>3130</v>
      </c>
      <c r="AR154" s="399"/>
      <c r="AS154" s="399"/>
      <c r="AT154" s="399"/>
      <c r="AU154" s="399" t="s">
        <v>4164</v>
      </c>
      <c r="AV154" s="399" t="str">
        <f t="shared" si="27"/>
        <v>Same</v>
      </c>
      <c r="AW154" s="399"/>
      <c r="AX154" s="409" t="s">
        <v>3343</v>
      </c>
      <c r="AY154" s="399" t="e">
        <f t="shared" ca="1" si="28"/>
        <v>#NAME?</v>
      </c>
      <c r="AZ154" s="399"/>
      <c r="BA154" s="409">
        <v>1</v>
      </c>
      <c r="BB154" s="399"/>
      <c r="BC154" s="399"/>
      <c r="BD154" s="409" t="s">
        <v>3188</v>
      </c>
      <c r="BE154" s="411" t="s">
        <v>4168</v>
      </c>
      <c r="BF154" s="411"/>
      <c r="BG154" s="411"/>
      <c r="BH154" s="411"/>
      <c r="BI154" s="411"/>
      <c r="BJ154" s="399"/>
      <c r="BK154" s="399"/>
      <c r="BL154" s="399"/>
      <c r="BM154" s="409" t="s">
        <v>4169</v>
      </c>
      <c r="BN154" s="399"/>
      <c r="BO154" s="399"/>
      <c r="BP154" s="399"/>
      <c r="BQ154" s="399"/>
      <c r="BR154" s="399"/>
      <c r="BS154" s="407"/>
      <c r="BT154" s="407"/>
      <c r="BU154" s="412"/>
      <c r="BV154" s="46" t="str">
        <f t="shared" si="8"/>
        <v/>
      </c>
      <c r="BW154" s="46">
        <f t="shared" si="9"/>
        <v>0</v>
      </c>
      <c r="BX154" s="46">
        <f t="shared" si="10"/>
        <v>0</v>
      </c>
      <c r="BY154" s="43" t="str">
        <f t="shared" si="11"/>
        <v xml:space="preserve">WHO-FP Encounter (Contraception Issues and Concerns) </v>
      </c>
      <c r="BZ154" s="46">
        <f t="shared" si="12"/>
        <v>1</v>
      </c>
      <c r="CA154" s="46" t="str">
        <f t="shared" si="13"/>
        <v/>
      </c>
      <c r="CB154" s="46">
        <f t="shared" si="14"/>
        <v>1</v>
      </c>
      <c r="CC154" s="46">
        <f t="shared" si="15"/>
        <v>1</v>
      </c>
      <c r="CD154" s="46">
        <f t="shared" si="16"/>
        <v>1</v>
      </c>
      <c r="CE154" s="46">
        <f t="shared" si="17"/>
        <v>0</v>
      </c>
      <c r="CF154" s="46">
        <f t="shared" si="18"/>
        <v>0</v>
      </c>
      <c r="CG154" s="46" t="str">
        <f ca="1">IFERROR(__xludf.DUMMYFUNCTION("if(OR(BH154="""",LEFT(BH154,2)=""LA""),"""",IMPORTXML(CONCATENATE(""https://loinc.org/"",BH154,""/""),""//span[@id='lcn']""))"),"")</f>
        <v/>
      </c>
      <c r="CH154" s="46"/>
      <c r="CI154" s="46"/>
      <c r="CJ154" s="46"/>
      <c r="CK154" s="46"/>
      <c r="CL154" s="46"/>
      <c r="CM154" s="46"/>
      <c r="CN154" s="46"/>
      <c r="CO154" s="46"/>
      <c r="CP154" s="46"/>
      <c r="CQ154" s="46"/>
      <c r="CR154" s="46"/>
      <c r="CS154" s="46"/>
      <c r="CT154" s="46"/>
      <c r="CU154" s="46"/>
    </row>
    <row r="155" spans="1:99" ht="12.75" customHeight="1">
      <c r="A155" s="399">
        <v>1388</v>
      </c>
      <c r="B155" s="399" t="s">
        <v>4171</v>
      </c>
      <c r="C155" s="399">
        <f t="shared" si="22"/>
        <v>1388</v>
      </c>
      <c r="D155" s="399" t="e">
        <f t="shared" ca="1" si="23"/>
        <v>#NAME?</v>
      </c>
      <c r="E155" s="399" t="str">
        <f t="shared" si="24"/>
        <v>Spotting or light bleeding</v>
      </c>
      <c r="F155" s="399" t="str">
        <f t="shared" si="32"/>
        <v>Input Option</v>
      </c>
      <c r="G155" s="400">
        <f t="shared" si="26"/>
        <v>33</v>
      </c>
      <c r="H155" s="399" t="str">
        <f t="shared" si="21"/>
        <v>Contraception Issues and concerns</v>
      </c>
      <c r="I155" s="400"/>
      <c r="J155" s="400"/>
      <c r="K155" s="401" t="s">
        <v>3333</v>
      </c>
      <c r="L155" s="402" t="s">
        <v>3334</v>
      </c>
      <c r="M155" s="400"/>
      <c r="N155" s="427" t="s">
        <v>4119</v>
      </c>
      <c r="O155" s="428"/>
      <c r="P155" s="403" t="s">
        <v>4172</v>
      </c>
      <c r="Q155" s="405"/>
      <c r="R155" s="403"/>
      <c r="S155" s="403"/>
      <c r="T155" s="403"/>
      <c r="U155" s="407"/>
      <c r="V155" s="429" t="s">
        <v>4173</v>
      </c>
      <c r="W155" s="407"/>
      <c r="X155" s="403" t="s">
        <v>208</v>
      </c>
      <c r="Y155" s="403"/>
      <c r="Z155" s="403" t="s">
        <v>113</v>
      </c>
      <c r="AA155" s="405" t="s">
        <v>3178</v>
      </c>
      <c r="AB155" s="432" t="s">
        <v>4174</v>
      </c>
      <c r="AC155" s="421"/>
      <c r="AD155" s="436"/>
      <c r="AE155" s="406"/>
      <c r="AF155" s="407"/>
      <c r="AG155" s="407"/>
      <c r="AH155" s="399"/>
      <c r="AI155" s="400"/>
      <c r="AJ155" s="399"/>
      <c r="AK155" s="399"/>
      <c r="AL155" s="409" t="s">
        <v>3218</v>
      </c>
      <c r="AM155" s="409"/>
      <c r="AN155" s="409" t="s">
        <v>3218</v>
      </c>
      <c r="AO155" s="399"/>
      <c r="AP155" s="399"/>
      <c r="AQ155" s="409" t="s">
        <v>3130</v>
      </c>
      <c r="AR155" s="399"/>
      <c r="AS155" s="399"/>
      <c r="AT155" s="399"/>
      <c r="AU155" s="399" t="s">
        <v>4171</v>
      </c>
      <c r="AV155" s="399" t="str">
        <f t="shared" si="27"/>
        <v>Same</v>
      </c>
      <c r="AW155" s="399"/>
      <c r="AX155" s="409" t="s">
        <v>3343</v>
      </c>
      <c r="AY155" s="399" t="e">
        <f t="shared" ca="1" si="28"/>
        <v>#NAME?</v>
      </c>
      <c r="AZ155" s="399"/>
      <c r="BA155" s="409">
        <v>1</v>
      </c>
      <c r="BB155" s="399"/>
      <c r="BC155" s="399"/>
      <c r="BD155" s="409" t="s">
        <v>3162</v>
      </c>
      <c r="BE155" s="411" t="s">
        <v>397</v>
      </c>
      <c r="BF155" s="411" t="s">
        <v>4175</v>
      </c>
      <c r="BG155" s="411" t="s">
        <v>4176</v>
      </c>
      <c r="BH155" s="411"/>
      <c r="BI155" s="411"/>
      <c r="BJ155" s="399"/>
      <c r="BK155" s="399"/>
      <c r="BL155" s="399"/>
      <c r="BM155" s="399"/>
      <c r="BN155" s="399"/>
      <c r="BO155" s="399">
        <v>115814</v>
      </c>
      <c r="BP155" s="399"/>
      <c r="BQ155" s="399"/>
      <c r="BR155" s="399"/>
      <c r="BS155" s="407"/>
      <c r="BT155" s="407"/>
      <c r="BU155" s="412"/>
      <c r="BV155" s="46" t="str">
        <f t="shared" si="8"/>
        <v/>
      </c>
      <c r="BW155" s="46">
        <f t="shared" si="9"/>
        <v>0</v>
      </c>
      <c r="BX155" s="46">
        <f t="shared" si="10"/>
        <v>0</v>
      </c>
      <c r="BY155" s="43" t="str">
        <f t="shared" si="11"/>
        <v xml:space="preserve">WHO-FP Encounter (Contraception Issues and Concerns) </v>
      </c>
      <c r="BZ155" s="46">
        <f t="shared" si="12"/>
        <v>1</v>
      </c>
      <c r="CA155" s="46" t="str">
        <f t="shared" si="13"/>
        <v/>
      </c>
      <c r="CB155" s="46">
        <f t="shared" si="14"/>
        <v>1</v>
      </c>
      <c r="CC155" s="46">
        <f t="shared" si="15"/>
        <v>1</v>
      </c>
      <c r="CD155" s="46">
        <f t="shared" si="16"/>
        <v>1</v>
      </c>
      <c r="CE155" s="46">
        <f t="shared" si="17"/>
        <v>0</v>
      </c>
      <c r="CF155" s="46">
        <f t="shared" si="18"/>
        <v>0</v>
      </c>
      <c r="CG155" s="46" t="str">
        <f ca="1">IFERROR(__xludf.DUMMYFUNCTION("if(OR(BH155="""",LEFT(BH155,2)=""LA""),"""",IMPORTXML(CONCATENATE(""https://loinc.org/"",BH155,""/""),""//span[@id='lcn']""))"),"")</f>
        <v/>
      </c>
      <c r="CH155" s="46"/>
      <c r="CI155" s="46"/>
      <c r="CJ155" s="46"/>
      <c r="CK155" s="46"/>
      <c r="CL155" s="46"/>
      <c r="CM155" s="46"/>
      <c r="CN155" s="46"/>
      <c r="CO155" s="46"/>
      <c r="CP155" s="46"/>
      <c r="CQ155" s="46"/>
      <c r="CR155" s="46"/>
      <c r="CS155" s="46"/>
      <c r="CT155" s="46"/>
      <c r="CU155" s="46"/>
    </row>
    <row r="156" spans="1:99" ht="12.75" customHeight="1">
      <c r="A156" s="399">
        <v>1389</v>
      </c>
      <c r="B156" s="399" t="s">
        <v>4177</v>
      </c>
      <c r="C156" s="399">
        <f t="shared" si="22"/>
        <v>1389</v>
      </c>
      <c r="D156" s="399" t="e">
        <f t="shared" ca="1" si="23"/>
        <v>#NAME?</v>
      </c>
      <c r="E156" s="399" t="str">
        <f t="shared" si="24"/>
        <v>Change in timing of monthly bleeding</v>
      </c>
      <c r="F156" s="399" t="str">
        <f t="shared" si="32"/>
        <v>Input Option</v>
      </c>
      <c r="G156" s="400">
        <f t="shared" si="26"/>
        <v>43</v>
      </c>
      <c r="H156" s="399" t="str">
        <f t="shared" si="21"/>
        <v>Contraception Issues and concerns</v>
      </c>
      <c r="I156" s="400"/>
      <c r="J156" s="400"/>
      <c r="K156" s="401" t="s">
        <v>3333</v>
      </c>
      <c r="L156" s="402" t="s">
        <v>3334</v>
      </c>
      <c r="M156" s="400"/>
      <c r="N156" s="427" t="s">
        <v>4119</v>
      </c>
      <c r="O156" s="428"/>
      <c r="P156" s="403" t="s">
        <v>4178</v>
      </c>
      <c r="Q156" s="405"/>
      <c r="R156" s="403"/>
      <c r="S156" s="403"/>
      <c r="T156" s="403"/>
      <c r="U156" s="407"/>
      <c r="V156" s="429" t="s">
        <v>4179</v>
      </c>
      <c r="W156" s="407"/>
      <c r="X156" s="403" t="s">
        <v>208</v>
      </c>
      <c r="Y156" s="403"/>
      <c r="Z156" s="403" t="s">
        <v>113</v>
      </c>
      <c r="AA156" s="405" t="s">
        <v>3178</v>
      </c>
      <c r="AB156" s="432" t="s">
        <v>4180</v>
      </c>
      <c r="AC156" s="421"/>
      <c r="AD156" s="436"/>
      <c r="AE156" s="406"/>
      <c r="AF156" s="407"/>
      <c r="AG156" s="407"/>
      <c r="AH156" s="399"/>
      <c r="AI156" s="400"/>
      <c r="AJ156" s="399"/>
      <c r="AK156" s="399"/>
      <c r="AL156" s="409" t="s">
        <v>3218</v>
      </c>
      <c r="AM156" s="409"/>
      <c r="AN156" s="409" t="s">
        <v>3218</v>
      </c>
      <c r="AO156" s="399"/>
      <c r="AP156" s="399"/>
      <c r="AQ156" s="409" t="s">
        <v>3130</v>
      </c>
      <c r="AR156" s="399"/>
      <c r="AS156" s="399"/>
      <c r="AT156" s="399"/>
      <c r="AU156" s="399" t="s">
        <v>4177</v>
      </c>
      <c r="AV156" s="399" t="str">
        <f t="shared" si="27"/>
        <v>Same</v>
      </c>
      <c r="AW156" s="399"/>
      <c r="AX156" s="409" t="s">
        <v>3343</v>
      </c>
      <c r="AY156" s="399" t="e">
        <f t="shared" ca="1" si="28"/>
        <v>#NAME?</v>
      </c>
      <c r="AZ156" s="399"/>
      <c r="BA156" s="409">
        <v>1</v>
      </c>
      <c r="BB156" s="399"/>
      <c r="BC156" s="399"/>
      <c r="BD156" s="409" t="s">
        <v>3188</v>
      </c>
      <c r="BE156" s="411"/>
      <c r="BF156" s="411"/>
      <c r="BG156" s="434" t="s">
        <v>4181</v>
      </c>
      <c r="BH156" s="411"/>
      <c r="BI156" s="411"/>
      <c r="BJ156" s="399"/>
      <c r="BK156" s="399"/>
      <c r="BL156" s="399"/>
      <c r="BM156" s="409" t="s">
        <v>4182</v>
      </c>
      <c r="BN156" s="399"/>
      <c r="BO156" s="399"/>
      <c r="BP156" s="399"/>
      <c r="BQ156" s="399"/>
      <c r="BR156" s="399"/>
      <c r="BS156" s="407"/>
      <c r="BT156" s="407"/>
      <c r="BU156" s="412"/>
      <c r="BV156" s="46" t="str">
        <f t="shared" si="8"/>
        <v/>
      </c>
      <c r="BW156" s="46">
        <f t="shared" si="9"/>
        <v>0</v>
      </c>
      <c r="BX156" s="46">
        <f t="shared" si="10"/>
        <v>0</v>
      </c>
      <c r="BY156" s="43" t="str">
        <f t="shared" si="11"/>
        <v xml:space="preserve">WHO-FP Encounter (Contraception Issues and Concerns) </v>
      </c>
      <c r="BZ156" s="46">
        <f t="shared" si="12"/>
        <v>1</v>
      </c>
      <c r="CA156" s="46" t="str">
        <f t="shared" si="13"/>
        <v/>
      </c>
      <c r="CB156" s="46">
        <f t="shared" si="14"/>
        <v>1</v>
      </c>
      <c r="CC156" s="46">
        <f t="shared" si="15"/>
        <v>1</v>
      </c>
      <c r="CD156" s="46">
        <f t="shared" si="16"/>
        <v>1</v>
      </c>
      <c r="CE156" s="46">
        <f t="shared" si="17"/>
        <v>0</v>
      </c>
      <c r="CF156" s="46">
        <f t="shared" si="18"/>
        <v>0</v>
      </c>
      <c r="CG156" s="46" t="str">
        <f ca="1">IFERROR(__xludf.DUMMYFUNCTION("if(OR(BH156="""",LEFT(BH156,2)=""LA""),"""",IMPORTXML(CONCATENATE(""https://loinc.org/"",BH156,""/""),""//span[@id='lcn']""))"),"")</f>
        <v/>
      </c>
      <c r="CH156" s="46"/>
      <c r="CI156" s="46"/>
      <c r="CJ156" s="46"/>
      <c r="CK156" s="46"/>
      <c r="CL156" s="46"/>
      <c r="CM156" s="46"/>
      <c r="CN156" s="46"/>
      <c r="CO156" s="46"/>
      <c r="CP156" s="46"/>
      <c r="CQ156" s="46"/>
      <c r="CR156" s="46"/>
      <c r="CS156" s="46"/>
      <c r="CT156" s="46"/>
      <c r="CU156" s="46"/>
    </row>
    <row r="157" spans="1:99" ht="12.75" customHeight="1">
      <c r="A157" s="399">
        <v>1390</v>
      </c>
      <c r="B157" s="399" t="s">
        <v>4183</v>
      </c>
      <c r="C157" s="399">
        <f t="shared" si="22"/>
        <v>1390</v>
      </c>
      <c r="D157" s="399" t="e">
        <f t="shared" ca="1" si="23"/>
        <v>#NAME?</v>
      </c>
      <c r="E157" s="399" t="str">
        <f t="shared" si="24"/>
        <v>Heavy or prolonged bleeding</v>
      </c>
      <c r="F157" s="399" t="str">
        <f t="shared" si="32"/>
        <v>Input Option</v>
      </c>
      <c r="G157" s="400">
        <f t="shared" si="26"/>
        <v>34</v>
      </c>
      <c r="H157" s="399" t="str">
        <f t="shared" si="21"/>
        <v>Contraception Issues and concerns</v>
      </c>
      <c r="I157" s="400"/>
      <c r="J157" s="400"/>
      <c r="K157" s="401" t="s">
        <v>3333</v>
      </c>
      <c r="L157" s="402" t="s">
        <v>3334</v>
      </c>
      <c r="M157" s="400"/>
      <c r="N157" s="427" t="s">
        <v>4119</v>
      </c>
      <c r="O157" s="428"/>
      <c r="P157" s="403" t="s">
        <v>4184</v>
      </c>
      <c r="Q157" s="405"/>
      <c r="R157" s="403"/>
      <c r="S157" s="403"/>
      <c r="T157" s="403"/>
      <c r="U157" s="407"/>
      <c r="V157" s="429" t="s">
        <v>4185</v>
      </c>
      <c r="W157" s="407"/>
      <c r="X157" s="403" t="s">
        <v>208</v>
      </c>
      <c r="Y157" s="403"/>
      <c r="Z157" s="403" t="s">
        <v>113</v>
      </c>
      <c r="AA157" s="405" t="s">
        <v>3178</v>
      </c>
      <c r="AB157" s="432" t="s">
        <v>4186</v>
      </c>
      <c r="AC157" s="421"/>
      <c r="AD157" s="436"/>
      <c r="AE157" s="420"/>
      <c r="AF157" s="421"/>
      <c r="AG157" s="407"/>
      <c r="AH157" s="399"/>
      <c r="AI157" s="400"/>
      <c r="AJ157" s="399"/>
      <c r="AK157" s="399"/>
      <c r="AL157" s="409" t="s">
        <v>3218</v>
      </c>
      <c r="AM157" s="409"/>
      <c r="AN157" s="409" t="s">
        <v>3218</v>
      </c>
      <c r="AO157" s="399"/>
      <c r="AP157" s="399"/>
      <c r="AQ157" s="409" t="s">
        <v>3130</v>
      </c>
      <c r="AR157" s="399"/>
      <c r="AS157" s="399"/>
      <c r="AT157" s="399"/>
      <c r="AU157" s="399" t="s">
        <v>4183</v>
      </c>
      <c r="AV157" s="399" t="str">
        <f t="shared" si="27"/>
        <v>Same</v>
      </c>
      <c r="AW157" s="399"/>
      <c r="AX157" s="409" t="s">
        <v>3343</v>
      </c>
      <c r="AY157" s="399" t="e">
        <f t="shared" ca="1" si="28"/>
        <v>#NAME?</v>
      </c>
      <c r="AZ157" s="399"/>
      <c r="BA157" s="409">
        <v>1</v>
      </c>
      <c r="BB157" s="399"/>
      <c r="BC157" s="399"/>
      <c r="BD157" s="399" t="s">
        <v>3162</v>
      </c>
      <c r="BE157" s="411" t="s">
        <v>4187</v>
      </c>
      <c r="BF157" s="411"/>
      <c r="BG157" s="411" t="s">
        <v>4188</v>
      </c>
      <c r="BH157" s="411"/>
      <c r="BI157" s="411"/>
      <c r="BJ157" s="399"/>
      <c r="BK157" s="399"/>
      <c r="BL157" s="399"/>
      <c r="BM157" s="409" t="s">
        <v>4189</v>
      </c>
      <c r="BN157" s="399"/>
      <c r="BO157" s="399"/>
      <c r="BP157" s="399"/>
      <c r="BQ157" s="399"/>
      <c r="BR157" s="399"/>
      <c r="BS157" s="407"/>
      <c r="BT157" s="407"/>
      <c r="BU157" s="412"/>
      <c r="BV157" s="46" t="str">
        <f t="shared" si="8"/>
        <v/>
      </c>
      <c r="BW157" s="46">
        <f t="shared" si="9"/>
        <v>0</v>
      </c>
      <c r="BX157" s="46">
        <f t="shared" si="10"/>
        <v>0</v>
      </c>
      <c r="BY157" s="43" t="str">
        <f t="shared" si="11"/>
        <v xml:space="preserve">WHO-FP Encounter (Contraception Issues and Concerns) </v>
      </c>
      <c r="BZ157" s="46">
        <f t="shared" si="12"/>
        <v>1</v>
      </c>
      <c r="CA157" s="46" t="str">
        <f t="shared" si="13"/>
        <v/>
      </c>
      <c r="CB157" s="46">
        <f t="shared" si="14"/>
        <v>1</v>
      </c>
      <c r="CC157" s="46">
        <f t="shared" si="15"/>
        <v>1</v>
      </c>
      <c r="CD157" s="46">
        <f t="shared" si="16"/>
        <v>1</v>
      </c>
      <c r="CE157" s="46">
        <f t="shared" si="17"/>
        <v>0</v>
      </c>
      <c r="CF157" s="46">
        <f t="shared" si="18"/>
        <v>0</v>
      </c>
      <c r="CG157" s="46" t="str">
        <f ca="1">IFERROR(__xludf.DUMMYFUNCTION("if(OR(BH157="""",LEFT(BH157,2)=""LA""),"""",IMPORTXML(CONCATENATE(""https://loinc.org/"",BH157,""/""),""//span[@id='lcn']""))"),"")</f>
        <v/>
      </c>
      <c r="CH157" s="46"/>
      <c r="CI157" s="46"/>
      <c r="CJ157" s="46"/>
      <c r="CK157" s="46"/>
      <c r="CL157" s="46"/>
      <c r="CM157" s="46"/>
      <c r="CN157" s="46"/>
      <c r="CO157" s="46"/>
      <c r="CP157" s="46"/>
      <c r="CQ157" s="46"/>
      <c r="CR157" s="46"/>
      <c r="CS157" s="46"/>
      <c r="CT157" s="46"/>
      <c r="CU157" s="46"/>
    </row>
    <row r="158" spans="1:99" ht="12.75" customHeight="1">
      <c r="A158" s="399">
        <v>1391</v>
      </c>
      <c r="B158" s="409" t="s">
        <v>4190</v>
      </c>
      <c r="C158" s="399">
        <f t="shared" si="22"/>
        <v>1391</v>
      </c>
      <c r="D158" s="399" t="e">
        <f t="shared" ca="1" si="23"/>
        <v>#NAME?</v>
      </c>
      <c r="E158" s="399" t="str">
        <f t="shared" si="24"/>
        <v>Unexplained vaginal bleeding (suspicious for serious condition), before evaluation</v>
      </c>
      <c r="F158" s="399" t="str">
        <f t="shared" si="32"/>
        <v>Input Option</v>
      </c>
      <c r="G158" s="400">
        <f t="shared" si="26"/>
        <v>35</v>
      </c>
      <c r="H158" s="399" t="str">
        <f t="shared" si="21"/>
        <v>Contraception Issues and concerns</v>
      </c>
      <c r="I158" s="400"/>
      <c r="J158" s="400"/>
      <c r="K158" s="401" t="s">
        <v>3333</v>
      </c>
      <c r="L158" s="402" t="s">
        <v>3334</v>
      </c>
      <c r="M158" s="400"/>
      <c r="N158" s="427" t="s">
        <v>4119</v>
      </c>
      <c r="O158" s="428"/>
      <c r="P158" s="405" t="s">
        <v>4191</v>
      </c>
      <c r="Q158" s="405"/>
      <c r="R158" s="403"/>
      <c r="S158" s="440" t="s">
        <v>4192</v>
      </c>
      <c r="T158" s="407"/>
      <c r="U158" s="407"/>
      <c r="V158" s="429" t="s">
        <v>4193</v>
      </c>
      <c r="W158" s="407"/>
      <c r="X158" s="403" t="s">
        <v>208</v>
      </c>
      <c r="Y158" s="407"/>
      <c r="Z158" s="403" t="s">
        <v>113</v>
      </c>
      <c r="AA158" s="405" t="s">
        <v>3178</v>
      </c>
      <c r="AB158" s="432" t="s">
        <v>4194</v>
      </c>
      <c r="AC158" s="421"/>
      <c r="AD158" s="407"/>
      <c r="AE158" s="408"/>
      <c r="AF158" s="407"/>
      <c r="AG158" s="407"/>
      <c r="AH158" s="399"/>
      <c r="AI158" s="400"/>
      <c r="AJ158" s="399"/>
      <c r="AK158" s="399"/>
      <c r="AL158" s="409" t="s">
        <v>3218</v>
      </c>
      <c r="AM158" s="409"/>
      <c r="AN158" s="409" t="s">
        <v>3218</v>
      </c>
      <c r="AO158" s="399"/>
      <c r="AP158" s="399"/>
      <c r="AQ158" s="409" t="s">
        <v>3130</v>
      </c>
      <c r="AR158" s="399"/>
      <c r="AS158" s="399"/>
      <c r="AT158" s="399"/>
      <c r="AU158" s="399" t="s">
        <v>4195</v>
      </c>
      <c r="AV158" s="399" t="str">
        <f t="shared" si="27"/>
        <v>Changed</v>
      </c>
      <c r="AW158" s="399"/>
      <c r="AX158" s="409" t="s">
        <v>3343</v>
      </c>
      <c r="AY158" s="399" t="e">
        <f t="shared" ca="1" si="28"/>
        <v>#NAME?</v>
      </c>
      <c r="AZ158" s="399"/>
      <c r="BA158" s="409">
        <v>1</v>
      </c>
      <c r="BB158" s="399"/>
      <c r="BC158" s="399"/>
      <c r="BD158" s="399" t="s">
        <v>3162</v>
      </c>
      <c r="BE158" s="411" t="s">
        <v>397</v>
      </c>
      <c r="BF158" s="411" t="s">
        <v>4175</v>
      </c>
      <c r="BG158" s="411" t="s">
        <v>4196</v>
      </c>
      <c r="BH158" s="411"/>
      <c r="BI158" s="411"/>
      <c r="BJ158" s="399"/>
      <c r="BK158" s="399"/>
      <c r="BL158" s="399"/>
      <c r="BM158" s="399"/>
      <c r="BN158" s="399"/>
      <c r="BO158" s="399">
        <v>147232</v>
      </c>
      <c r="BP158" s="399"/>
      <c r="BQ158" s="399"/>
      <c r="BR158" s="399"/>
      <c r="BS158" s="407"/>
      <c r="BT158" s="407"/>
      <c r="BU158" s="412"/>
      <c r="BV158" s="46" t="str">
        <f t="shared" si="8"/>
        <v/>
      </c>
      <c r="BW158" s="46">
        <f t="shared" si="9"/>
        <v>0</v>
      </c>
      <c r="BX158" s="46">
        <f t="shared" si="10"/>
        <v>0</v>
      </c>
      <c r="BY158" s="43" t="str">
        <f t="shared" si="11"/>
        <v xml:space="preserve">WHO-FP Encounter (Contraception Issues and Concerns) </v>
      </c>
      <c r="BZ158" s="46">
        <f t="shared" si="12"/>
        <v>1</v>
      </c>
      <c r="CA158" s="46" t="str">
        <f t="shared" si="13"/>
        <v/>
      </c>
      <c r="CB158" s="46">
        <f t="shared" si="14"/>
        <v>1</v>
      </c>
      <c r="CC158" s="46">
        <f t="shared" si="15"/>
        <v>1</v>
      </c>
      <c r="CD158" s="46">
        <f t="shared" si="16"/>
        <v>1</v>
      </c>
      <c r="CE158" s="46">
        <f t="shared" si="17"/>
        <v>0</v>
      </c>
      <c r="CF158" s="46">
        <f t="shared" si="18"/>
        <v>0</v>
      </c>
      <c r="CG158" s="46" t="str">
        <f ca="1">IFERROR(__xludf.DUMMYFUNCTION("if(OR(BH158="""",LEFT(BH158,2)=""LA""),"""",IMPORTXML(CONCATENATE(""https://loinc.org/"",BH158,""/""),""//span[@id='lcn']""))"),"")</f>
        <v/>
      </c>
      <c r="CH158" s="46"/>
      <c r="CI158" s="46"/>
      <c r="CJ158" s="46"/>
      <c r="CK158" s="46"/>
      <c r="CL158" s="46"/>
      <c r="CM158" s="46"/>
      <c r="CN158" s="46"/>
      <c r="CO158" s="46"/>
      <c r="CP158" s="46"/>
      <c r="CQ158" s="46"/>
      <c r="CR158" s="46"/>
      <c r="CS158" s="46"/>
      <c r="CT158" s="46"/>
      <c r="CU158" s="46"/>
    </row>
    <row r="159" spans="1:99" ht="12.75" customHeight="1">
      <c r="A159" s="399">
        <v>1392</v>
      </c>
      <c r="B159" s="399" t="s">
        <v>4197</v>
      </c>
      <c r="C159" s="399">
        <f t="shared" si="22"/>
        <v>1392</v>
      </c>
      <c r="D159" s="399" t="e">
        <f t="shared" ca="1" si="23"/>
        <v>#NAME?</v>
      </c>
      <c r="E159" s="399" t="str">
        <f t="shared" si="24"/>
        <v>Mood changes after start of method</v>
      </c>
      <c r="F159" s="399" t="str">
        <f t="shared" si="32"/>
        <v>Input Option</v>
      </c>
      <c r="G159" s="400">
        <f t="shared" si="26"/>
        <v>41</v>
      </c>
      <c r="H159" s="399" t="str">
        <f t="shared" si="21"/>
        <v>Contraception Issues and concerns</v>
      </c>
      <c r="I159" s="400"/>
      <c r="J159" s="400"/>
      <c r="K159" s="401" t="s">
        <v>3333</v>
      </c>
      <c r="L159" s="402" t="s">
        <v>3334</v>
      </c>
      <c r="M159" s="400"/>
      <c r="N159" s="427" t="s">
        <v>4119</v>
      </c>
      <c r="O159" s="428"/>
      <c r="P159" s="403" t="s">
        <v>4198</v>
      </c>
      <c r="Q159" s="405"/>
      <c r="R159" s="403"/>
      <c r="S159" s="403"/>
      <c r="T159" s="403"/>
      <c r="U159" s="407"/>
      <c r="V159" s="429" t="s">
        <v>4199</v>
      </c>
      <c r="W159" s="407"/>
      <c r="X159" s="403" t="s">
        <v>208</v>
      </c>
      <c r="Y159" s="403"/>
      <c r="Z159" s="403" t="s">
        <v>113</v>
      </c>
      <c r="AA159" s="405" t="s">
        <v>3178</v>
      </c>
      <c r="AB159" s="432" t="s">
        <v>4200</v>
      </c>
      <c r="AC159" s="421"/>
      <c r="AD159" s="436"/>
      <c r="AE159" s="406"/>
      <c r="AF159" s="407"/>
      <c r="AG159" s="407"/>
      <c r="AH159" s="399"/>
      <c r="AI159" s="400"/>
      <c r="AJ159" s="399"/>
      <c r="AK159" s="399"/>
      <c r="AL159" s="409" t="s">
        <v>3218</v>
      </c>
      <c r="AM159" s="409"/>
      <c r="AN159" s="409" t="s">
        <v>3218</v>
      </c>
      <c r="AO159" s="399"/>
      <c r="AP159" s="399"/>
      <c r="AQ159" s="409" t="s">
        <v>3130</v>
      </c>
      <c r="AR159" s="399"/>
      <c r="AS159" s="399"/>
      <c r="AT159" s="399"/>
      <c r="AU159" s="399" t="s">
        <v>4197</v>
      </c>
      <c r="AV159" s="399" t="str">
        <f t="shared" si="27"/>
        <v>Same</v>
      </c>
      <c r="AW159" s="399"/>
      <c r="AX159" s="409" t="s">
        <v>3343</v>
      </c>
      <c r="AY159" s="399" t="e">
        <f t="shared" ca="1" si="28"/>
        <v>#NAME?</v>
      </c>
      <c r="AZ159" s="399"/>
      <c r="BA159" s="409">
        <v>1</v>
      </c>
      <c r="BB159" s="399"/>
      <c r="BC159" s="399"/>
      <c r="BD159" s="399"/>
      <c r="BE159" s="411" t="s">
        <v>4201</v>
      </c>
      <c r="BF159" s="411" t="s">
        <v>4202</v>
      </c>
      <c r="BG159" s="411" t="s">
        <v>4203</v>
      </c>
      <c r="BH159" s="411"/>
      <c r="BI159" s="411"/>
      <c r="BJ159" s="399"/>
      <c r="BK159" s="399"/>
      <c r="BL159" s="399"/>
      <c r="BM159" s="399"/>
      <c r="BN159" s="399"/>
      <c r="BO159" s="399">
        <v>118879</v>
      </c>
      <c r="BP159" s="399"/>
      <c r="BQ159" s="399"/>
      <c r="BR159" s="399"/>
      <c r="BS159" s="407"/>
      <c r="BT159" s="407"/>
      <c r="BU159" s="412"/>
      <c r="BV159" s="46" t="str">
        <f t="shared" si="8"/>
        <v/>
      </c>
      <c r="BW159" s="46">
        <f t="shared" si="9"/>
        <v>0</v>
      </c>
      <c r="BX159" s="46">
        <f t="shared" si="10"/>
        <v>0</v>
      </c>
      <c r="BY159" s="43" t="str">
        <f t="shared" si="11"/>
        <v xml:space="preserve">WHO-FP Encounter (Contraception Issues and Concerns) </v>
      </c>
      <c r="BZ159" s="46">
        <f t="shared" si="12"/>
        <v>1</v>
      </c>
      <c r="CA159" s="46" t="str">
        <f t="shared" si="13"/>
        <v/>
      </c>
      <c r="CB159" s="46">
        <f t="shared" si="14"/>
        <v>1</v>
      </c>
      <c r="CC159" s="46">
        <f t="shared" si="15"/>
        <v>1</v>
      </c>
      <c r="CD159" s="46">
        <f t="shared" si="16"/>
        <v>1</v>
      </c>
      <c r="CE159" s="46">
        <f t="shared" si="17"/>
        <v>0</v>
      </c>
      <c r="CF159" s="46">
        <f t="shared" si="18"/>
        <v>0</v>
      </c>
      <c r="CG159" s="46" t="str">
        <f ca="1">IFERROR(__xludf.DUMMYFUNCTION("if(OR(BH159="""",LEFT(BH159,2)=""LA""),"""",IMPORTXML(CONCATENATE(""https://loinc.org/"",BH159,""/""),""//span[@id='lcn']""))"),"")</f>
        <v/>
      </c>
      <c r="CH159" s="46"/>
      <c r="CI159" s="46"/>
      <c r="CJ159" s="46"/>
      <c r="CK159" s="46"/>
      <c r="CL159" s="46"/>
      <c r="CM159" s="46"/>
      <c r="CN159" s="46"/>
      <c r="CO159" s="46"/>
      <c r="CP159" s="46"/>
      <c r="CQ159" s="46"/>
      <c r="CR159" s="46"/>
      <c r="CS159" s="46"/>
      <c r="CT159" s="46"/>
      <c r="CU159" s="46"/>
    </row>
    <row r="160" spans="1:99" ht="12.75" customHeight="1">
      <c r="A160" s="399">
        <v>1393</v>
      </c>
      <c r="B160" s="399" t="s">
        <v>4204</v>
      </c>
      <c r="C160" s="399">
        <f t="shared" si="22"/>
        <v>1393</v>
      </c>
      <c r="D160" s="399" t="e">
        <f t="shared" ca="1" si="23"/>
        <v>#NAME?</v>
      </c>
      <c r="E160" s="399" t="str">
        <f t="shared" si="24"/>
        <v>Changes in sex drive</v>
      </c>
      <c r="F160" s="399" t="str">
        <f t="shared" si="32"/>
        <v>Input Option</v>
      </c>
      <c r="G160" s="400">
        <f t="shared" si="26"/>
        <v>27</v>
      </c>
      <c r="H160" s="399" t="str">
        <f t="shared" si="21"/>
        <v>Contraception Issues and concerns</v>
      </c>
      <c r="I160" s="400"/>
      <c r="J160" s="400"/>
      <c r="K160" s="401" t="s">
        <v>3333</v>
      </c>
      <c r="L160" s="402" t="s">
        <v>3334</v>
      </c>
      <c r="M160" s="400"/>
      <c r="N160" s="427" t="s">
        <v>4119</v>
      </c>
      <c r="O160" s="428"/>
      <c r="P160" s="403" t="s">
        <v>4205</v>
      </c>
      <c r="Q160" s="405"/>
      <c r="R160" s="403"/>
      <c r="S160" s="403"/>
      <c r="T160" s="403"/>
      <c r="U160" s="407"/>
      <c r="V160" s="429" t="s">
        <v>4206</v>
      </c>
      <c r="W160" s="407"/>
      <c r="X160" s="403" t="s">
        <v>208</v>
      </c>
      <c r="Y160" s="403"/>
      <c r="Z160" s="403" t="s">
        <v>113</v>
      </c>
      <c r="AA160" s="405" t="s">
        <v>3178</v>
      </c>
      <c r="AB160" s="432" t="s">
        <v>4200</v>
      </c>
      <c r="AC160" s="421"/>
      <c r="AD160" s="436"/>
      <c r="AE160" s="406"/>
      <c r="AF160" s="407"/>
      <c r="AG160" s="407"/>
      <c r="AH160" s="399"/>
      <c r="AI160" s="400"/>
      <c r="AJ160" s="399"/>
      <c r="AK160" s="399"/>
      <c r="AL160" s="409" t="s">
        <v>3218</v>
      </c>
      <c r="AM160" s="409"/>
      <c r="AN160" s="409" t="s">
        <v>3218</v>
      </c>
      <c r="AO160" s="399"/>
      <c r="AP160" s="399"/>
      <c r="AQ160" s="409" t="s">
        <v>3130</v>
      </c>
      <c r="AR160" s="399"/>
      <c r="AS160" s="399"/>
      <c r="AT160" s="399"/>
      <c r="AU160" s="399" t="s">
        <v>4204</v>
      </c>
      <c r="AV160" s="399" t="str">
        <f t="shared" si="27"/>
        <v>Same</v>
      </c>
      <c r="AW160" s="399"/>
      <c r="AX160" s="409" t="s">
        <v>3343</v>
      </c>
      <c r="AY160" s="399" t="e">
        <f t="shared" ca="1" si="28"/>
        <v>#NAME?</v>
      </c>
      <c r="AZ160" s="399"/>
      <c r="BA160" s="409">
        <v>1</v>
      </c>
      <c r="BB160" s="399"/>
      <c r="BC160" s="399"/>
      <c r="BD160" s="399"/>
      <c r="BE160" s="411"/>
      <c r="BF160" s="411"/>
      <c r="BG160" s="411" t="s">
        <v>4207</v>
      </c>
      <c r="BH160" s="411"/>
      <c r="BI160" s="411"/>
      <c r="BJ160" s="399"/>
      <c r="BK160" s="399"/>
      <c r="BL160" s="399"/>
      <c r="BM160" s="399"/>
      <c r="BN160" s="399"/>
      <c r="BO160" s="399"/>
      <c r="BP160" s="399"/>
      <c r="BQ160" s="399"/>
      <c r="BR160" s="399"/>
      <c r="BS160" s="407"/>
      <c r="BT160" s="407"/>
      <c r="BU160" s="412"/>
      <c r="BV160" s="46" t="str">
        <f t="shared" si="8"/>
        <v/>
      </c>
      <c r="BW160" s="46">
        <f t="shared" si="9"/>
        <v>0</v>
      </c>
      <c r="BX160" s="46">
        <f t="shared" si="10"/>
        <v>0</v>
      </c>
      <c r="BY160" s="43" t="str">
        <f t="shared" si="11"/>
        <v xml:space="preserve">WHO-FP Encounter (Contraception Issues and Concerns) </v>
      </c>
      <c r="BZ160" s="46">
        <f t="shared" si="12"/>
        <v>1</v>
      </c>
      <c r="CA160" s="46" t="str">
        <f t="shared" si="13"/>
        <v/>
      </c>
      <c r="CB160" s="46">
        <f t="shared" si="14"/>
        <v>1</v>
      </c>
      <c r="CC160" s="46">
        <f t="shared" si="15"/>
        <v>1</v>
      </c>
      <c r="CD160" s="46">
        <f t="shared" si="16"/>
        <v>1</v>
      </c>
      <c r="CE160" s="46">
        <f t="shared" si="17"/>
        <v>0</v>
      </c>
      <c r="CF160" s="46">
        <f t="shared" si="18"/>
        <v>0</v>
      </c>
      <c r="CG160" s="46" t="str">
        <f ca="1">IFERROR(__xludf.DUMMYFUNCTION("if(OR(BH160="""",LEFT(BH160,2)=""LA""),"""",IMPORTXML(CONCATENATE(""https://loinc.org/"",BH160,""/""),""//span[@id='lcn']""))"),"")</f>
        <v/>
      </c>
      <c r="CH160" s="46"/>
      <c r="CI160" s="46"/>
      <c r="CJ160" s="46"/>
      <c r="CK160" s="46"/>
      <c r="CL160" s="46"/>
      <c r="CM160" s="46"/>
      <c r="CN160" s="46"/>
      <c r="CO160" s="46"/>
      <c r="CP160" s="46"/>
      <c r="CQ160" s="46"/>
      <c r="CR160" s="46"/>
      <c r="CS160" s="46"/>
      <c r="CT160" s="46"/>
      <c r="CU160" s="46"/>
    </row>
    <row r="161" spans="1:99" ht="12.75" customHeight="1">
      <c r="A161" s="399">
        <v>1394</v>
      </c>
      <c r="B161" s="399" t="s">
        <v>4208</v>
      </c>
      <c r="C161" s="399">
        <f t="shared" si="22"/>
        <v>1394</v>
      </c>
      <c r="D161" s="399" t="e">
        <f t="shared" ca="1" si="23"/>
        <v>#NAME?</v>
      </c>
      <c r="E161" s="399" t="str">
        <f t="shared" si="24"/>
        <v>Discomfort or pain with use</v>
      </c>
      <c r="F161" s="399" t="str">
        <f t="shared" si="32"/>
        <v>Input Option</v>
      </c>
      <c r="G161" s="400">
        <f t="shared" si="26"/>
        <v>34</v>
      </c>
      <c r="H161" s="399" t="str">
        <f t="shared" si="21"/>
        <v>Contraception Issues and concerns</v>
      </c>
      <c r="I161" s="400"/>
      <c r="J161" s="400"/>
      <c r="K161" s="401" t="s">
        <v>3333</v>
      </c>
      <c r="L161" s="402" t="s">
        <v>3334</v>
      </c>
      <c r="M161" s="400"/>
      <c r="N161" s="427" t="s">
        <v>4119</v>
      </c>
      <c r="O161" s="428"/>
      <c r="P161" s="403" t="s">
        <v>4209</v>
      </c>
      <c r="Q161" s="403"/>
      <c r="R161" s="403"/>
      <c r="S161" s="403"/>
      <c r="T161" s="403"/>
      <c r="U161" s="407"/>
      <c r="V161" s="429" t="s">
        <v>4210</v>
      </c>
      <c r="W161" s="407"/>
      <c r="X161" s="403" t="s">
        <v>208</v>
      </c>
      <c r="Y161" s="403"/>
      <c r="Z161" s="403" t="s">
        <v>113</v>
      </c>
      <c r="AA161" s="405" t="s">
        <v>3178</v>
      </c>
      <c r="AB161" s="432" t="s">
        <v>4211</v>
      </c>
      <c r="AC161" s="421"/>
      <c r="AD161" s="436"/>
      <c r="AE161" s="406"/>
      <c r="AF161" s="407"/>
      <c r="AG161" s="407"/>
      <c r="AH161" s="399"/>
      <c r="AI161" s="400"/>
      <c r="AJ161" s="399"/>
      <c r="AK161" s="399"/>
      <c r="AL161" s="409" t="s">
        <v>3218</v>
      </c>
      <c r="AM161" s="409"/>
      <c r="AN161" s="409" t="s">
        <v>3218</v>
      </c>
      <c r="AO161" s="399"/>
      <c r="AP161" s="399"/>
      <c r="AQ161" s="409" t="s">
        <v>3130</v>
      </c>
      <c r="AR161" s="399"/>
      <c r="AS161" s="399"/>
      <c r="AT161" s="399"/>
      <c r="AU161" s="399" t="s">
        <v>4208</v>
      </c>
      <c r="AV161" s="399" t="str">
        <f t="shared" si="27"/>
        <v>Same</v>
      </c>
      <c r="AW161" s="399"/>
      <c r="AX161" s="409" t="s">
        <v>3343</v>
      </c>
      <c r="AY161" s="399" t="e">
        <f t="shared" ca="1" si="28"/>
        <v>#NAME?</v>
      </c>
      <c r="AZ161" s="399"/>
      <c r="BA161" s="409">
        <v>1</v>
      </c>
      <c r="BB161" s="399"/>
      <c r="BC161" s="399"/>
      <c r="BD161" s="409" t="s">
        <v>4212</v>
      </c>
      <c r="BE161" s="411"/>
      <c r="BF161" s="411"/>
      <c r="BG161" s="434" t="s">
        <v>4213</v>
      </c>
      <c r="BH161" s="411"/>
      <c r="BI161" s="411"/>
      <c r="BJ161" s="399"/>
      <c r="BK161" s="399"/>
      <c r="BL161" s="409" t="s">
        <v>3162</v>
      </c>
      <c r="BM161" s="399"/>
      <c r="BN161" s="399"/>
      <c r="BO161" s="399"/>
      <c r="BP161" s="399"/>
      <c r="BQ161" s="399"/>
      <c r="BR161" s="399"/>
      <c r="BS161" s="407"/>
      <c r="BT161" s="407"/>
      <c r="BU161" s="412"/>
      <c r="BV161" s="46" t="str">
        <f t="shared" si="8"/>
        <v/>
      </c>
      <c r="BW161" s="46">
        <f t="shared" si="9"/>
        <v>0</v>
      </c>
      <c r="BX161" s="46">
        <f t="shared" si="10"/>
        <v>0</v>
      </c>
      <c r="BY161" s="43" t="str">
        <f t="shared" si="11"/>
        <v xml:space="preserve">WHO-FP Encounter (Contraception Issues and Concerns) </v>
      </c>
      <c r="BZ161" s="46">
        <f t="shared" si="12"/>
        <v>1</v>
      </c>
      <c r="CA161" s="46" t="str">
        <f t="shared" si="13"/>
        <v/>
      </c>
      <c r="CB161" s="46">
        <f t="shared" si="14"/>
        <v>1</v>
      </c>
      <c r="CC161" s="46">
        <f t="shared" si="15"/>
        <v>1</v>
      </c>
      <c r="CD161" s="46">
        <f t="shared" si="16"/>
        <v>1</v>
      </c>
      <c r="CE161" s="46">
        <f t="shared" si="17"/>
        <v>0</v>
      </c>
      <c r="CF161" s="46">
        <f t="shared" si="18"/>
        <v>0</v>
      </c>
      <c r="CG161" s="46" t="str">
        <f ca="1">IFERROR(__xludf.DUMMYFUNCTION("if(OR(BH161="""",LEFT(BH161,2)=""LA""),"""",IMPORTXML(CONCATENATE(""https://loinc.org/"",BH161,""/""),""//span[@id='lcn']""))"),"")</f>
        <v/>
      </c>
      <c r="CH161" s="46"/>
      <c r="CI161" s="46"/>
      <c r="CJ161" s="46"/>
      <c r="CK161" s="46"/>
      <c r="CL161" s="46"/>
      <c r="CM161" s="46"/>
      <c r="CN161" s="46"/>
      <c r="CO161" s="46"/>
      <c r="CP161" s="46"/>
      <c r="CQ161" s="46"/>
      <c r="CR161" s="46"/>
      <c r="CS161" s="46"/>
      <c r="CT161" s="46"/>
      <c r="CU161" s="46"/>
    </row>
    <row r="162" spans="1:99" ht="12.75" customHeight="1">
      <c r="A162" s="399">
        <v>1395</v>
      </c>
      <c r="B162" s="399" t="s">
        <v>4214</v>
      </c>
      <c r="C162" s="399">
        <f t="shared" si="22"/>
        <v>1395</v>
      </c>
      <c r="D162" s="399" t="e">
        <f t="shared" ca="1" si="23"/>
        <v>#NAME?</v>
      </c>
      <c r="E162" s="399" t="str">
        <f t="shared" si="24"/>
        <v>Pain lasting for months</v>
      </c>
      <c r="F162" s="399" t="str">
        <f t="shared" si="32"/>
        <v>Input Option</v>
      </c>
      <c r="G162" s="400">
        <f t="shared" si="26"/>
        <v>30</v>
      </c>
      <c r="H162" s="399" t="str">
        <f t="shared" si="21"/>
        <v>Contraception Issues and concerns</v>
      </c>
      <c r="I162" s="400"/>
      <c r="J162" s="400"/>
      <c r="K162" s="401" t="s">
        <v>3333</v>
      </c>
      <c r="L162" s="402" t="s">
        <v>3334</v>
      </c>
      <c r="M162" s="400"/>
      <c r="N162" s="427" t="s">
        <v>4119</v>
      </c>
      <c r="O162" s="428"/>
      <c r="P162" s="403" t="s">
        <v>4215</v>
      </c>
      <c r="Q162" s="403"/>
      <c r="R162" s="403"/>
      <c r="S162" s="403"/>
      <c r="T162" s="403"/>
      <c r="U162" s="407"/>
      <c r="V162" s="429" t="s">
        <v>4216</v>
      </c>
      <c r="W162" s="407"/>
      <c r="X162" s="403" t="s">
        <v>208</v>
      </c>
      <c r="Y162" s="403"/>
      <c r="Z162" s="403" t="s">
        <v>113</v>
      </c>
      <c r="AA162" s="405" t="s">
        <v>3178</v>
      </c>
      <c r="AB162" s="432" t="s">
        <v>4217</v>
      </c>
      <c r="AC162" s="421"/>
      <c r="AD162" s="436"/>
      <c r="AE162" s="406"/>
      <c r="AF162" s="407"/>
      <c r="AG162" s="407"/>
      <c r="AH162" s="399"/>
      <c r="AI162" s="400"/>
      <c r="AJ162" s="399"/>
      <c r="AK162" s="399"/>
      <c r="AL162" s="409" t="s">
        <v>3218</v>
      </c>
      <c r="AM162" s="409"/>
      <c r="AN162" s="409" t="s">
        <v>3218</v>
      </c>
      <c r="AO162" s="399"/>
      <c r="AP162" s="399"/>
      <c r="AQ162" s="409" t="s">
        <v>3130</v>
      </c>
      <c r="AR162" s="399"/>
      <c r="AS162" s="399"/>
      <c r="AT162" s="399"/>
      <c r="AU162" s="399" t="s">
        <v>4214</v>
      </c>
      <c r="AV162" s="399" t="str">
        <f t="shared" si="27"/>
        <v>Same</v>
      </c>
      <c r="AW162" s="399"/>
      <c r="AX162" s="409" t="s">
        <v>3343</v>
      </c>
      <c r="AY162" s="399" t="e">
        <f t="shared" ca="1" si="28"/>
        <v>#NAME?</v>
      </c>
      <c r="AZ162" s="399"/>
      <c r="BA162" s="409">
        <v>1</v>
      </c>
      <c r="BB162" s="399"/>
      <c r="BC162" s="399"/>
      <c r="BD162" s="409" t="s">
        <v>4218</v>
      </c>
      <c r="BE162" s="411" t="s">
        <v>4219</v>
      </c>
      <c r="BF162" s="411"/>
      <c r="BG162" s="411"/>
      <c r="BH162" s="411"/>
      <c r="BI162" s="411"/>
      <c r="BJ162" s="399"/>
      <c r="BK162" s="399"/>
      <c r="BL162" s="399"/>
      <c r="BM162" s="399"/>
      <c r="BN162" s="399"/>
      <c r="BO162" s="399"/>
      <c r="BP162" s="399"/>
      <c r="BQ162" s="399"/>
      <c r="BR162" s="399"/>
      <c r="BS162" s="407"/>
      <c r="BT162" s="407"/>
      <c r="BU162" s="412"/>
      <c r="BV162" s="46" t="str">
        <f t="shared" si="8"/>
        <v/>
      </c>
      <c r="BW162" s="46">
        <f t="shared" si="9"/>
        <v>0</v>
      </c>
      <c r="BX162" s="46">
        <f t="shared" si="10"/>
        <v>0</v>
      </c>
      <c r="BY162" s="43" t="str">
        <f t="shared" si="11"/>
        <v xml:space="preserve">WHO-FP Encounter (Contraception Issues and Concerns) </v>
      </c>
      <c r="BZ162" s="46">
        <f t="shared" si="12"/>
        <v>1</v>
      </c>
      <c r="CA162" s="46" t="str">
        <f t="shared" si="13"/>
        <v/>
      </c>
      <c r="CB162" s="46">
        <f t="shared" si="14"/>
        <v>1</v>
      </c>
      <c r="CC162" s="46">
        <f t="shared" si="15"/>
        <v>1</v>
      </c>
      <c r="CD162" s="46">
        <f t="shared" si="16"/>
        <v>1</v>
      </c>
      <c r="CE162" s="46">
        <f t="shared" si="17"/>
        <v>0</v>
      </c>
      <c r="CF162" s="46">
        <f t="shared" si="18"/>
        <v>0</v>
      </c>
      <c r="CG162" s="46" t="str">
        <f ca="1">IFERROR(__xludf.DUMMYFUNCTION("if(OR(BH162="""",LEFT(BH162,2)=""LA""),"""",IMPORTXML(CONCATENATE(""https://loinc.org/"",BH162,""/""),""//span[@id='lcn']""))"),"")</f>
        <v/>
      </c>
      <c r="CH162" s="46"/>
      <c r="CI162" s="46"/>
      <c r="CJ162" s="46"/>
      <c r="CK162" s="46"/>
      <c r="CL162" s="46"/>
      <c r="CM162" s="46"/>
      <c r="CN162" s="46"/>
      <c r="CO162" s="46"/>
      <c r="CP162" s="46"/>
      <c r="CQ162" s="46"/>
      <c r="CR162" s="46"/>
      <c r="CS162" s="46"/>
      <c r="CT162" s="46"/>
      <c r="CU162" s="46"/>
    </row>
    <row r="163" spans="1:99" ht="12.75" customHeight="1">
      <c r="A163" s="399">
        <v>1396</v>
      </c>
      <c r="B163" s="399" t="s">
        <v>4220</v>
      </c>
      <c r="C163" s="399">
        <f t="shared" si="22"/>
        <v>1396</v>
      </c>
      <c r="D163" s="399" t="e">
        <f t="shared" ca="1" si="23"/>
        <v>#NAME?</v>
      </c>
      <c r="E163" s="399" t="str">
        <f t="shared" si="24"/>
        <v>Severe pain in lower abdomen</v>
      </c>
      <c r="F163" s="399" t="str">
        <f t="shared" si="32"/>
        <v>Input Option</v>
      </c>
      <c r="G163" s="400">
        <f t="shared" si="26"/>
        <v>35</v>
      </c>
      <c r="H163" s="399" t="str">
        <f t="shared" si="21"/>
        <v>Contraception Issues and concerns</v>
      </c>
      <c r="I163" s="400"/>
      <c r="J163" s="400"/>
      <c r="K163" s="401" t="s">
        <v>3333</v>
      </c>
      <c r="L163" s="402" t="s">
        <v>3334</v>
      </c>
      <c r="M163" s="400"/>
      <c r="N163" s="427" t="s">
        <v>4119</v>
      </c>
      <c r="O163" s="428"/>
      <c r="P163" s="405" t="s">
        <v>4221</v>
      </c>
      <c r="Q163" s="403"/>
      <c r="R163" s="403"/>
      <c r="S163" s="403"/>
      <c r="T163" s="403"/>
      <c r="U163" s="407"/>
      <c r="V163" s="429" t="s">
        <v>4222</v>
      </c>
      <c r="W163" s="407"/>
      <c r="X163" s="403" t="s">
        <v>208</v>
      </c>
      <c r="Y163" s="403"/>
      <c r="Z163" s="403" t="s">
        <v>113</v>
      </c>
      <c r="AA163" s="403"/>
      <c r="AB163" s="408"/>
      <c r="AC163" s="407"/>
      <c r="AD163" s="403"/>
      <c r="AE163" s="406"/>
      <c r="AF163" s="407"/>
      <c r="AG163" s="407"/>
      <c r="AH163" s="399"/>
      <c r="AI163" s="400"/>
      <c r="AJ163" s="399"/>
      <c r="AK163" s="399"/>
      <c r="AL163" s="409" t="s">
        <v>3218</v>
      </c>
      <c r="AM163" s="409"/>
      <c r="AN163" s="409" t="s">
        <v>3218</v>
      </c>
      <c r="AO163" s="399"/>
      <c r="AP163" s="399"/>
      <c r="AQ163" s="409" t="s">
        <v>3130</v>
      </c>
      <c r="AR163" s="399"/>
      <c r="AS163" s="399"/>
      <c r="AT163" s="399"/>
      <c r="AU163" s="399" t="s">
        <v>4220</v>
      </c>
      <c r="AV163" s="399" t="str">
        <f t="shared" si="27"/>
        <v>Same</v>
      </c>
      <c r="AW163" s="399"/>
      <c r="AX163" s="409" t="s">
        <v>3343</v>
      </c>
      <c r="AY163" s="399" t="e">
        <f t="shared" ca="1" si="28"/>
        <v>#NAME?</v>
      </c>
      <c r="AZ163" s="399"/>
      <c r="BA163" s="409">
        <v>1</v>
      </c>
      <c r="BB163" s="399"/>
      <c r="BC163" s="399"/>
      <c r="BD163" s="399" t="s">
        <v>4224</v>
      </c>
      <c r="BE163" s="411" t="s">
        <v>4225</v>
      </c>
      <c r="BF163" s="411"/>
      <c r="BG163" s="411"/>
      <c r="BH163" s="411"/>
      <c r="BI163" s="411"/>
      <c r="BJ163" s="399"/>
      <c r="BK163" s="399"/>
      <c r="BL163" s="399"/>
      <c r="BM163" s="399"/>
      <c r="BN163" s="399"/>
      <c r="BO163" s="399"/>
      <c r="BP163" s="399"/>
      <c r="BQ163" s="399"/>
      <c r="BR163" s="399"/>
      <c r="BS163" s="407"/>
      <c r="BT163" s="407"/>
      <c r="BU163" s="412"/>
      <c r="BV163" s="46" t="str">
        <f t="shared" si="8"/>
        <v/>
      </c>
      <c r="BW163" s="46">
        <f t="shared" si="9"/>
        <v>0</v>
      </c>
      <c r="BX163" s="46">
        <f t="shared" si="10"/>
        <v>0</v>
      </c>
      <c r="BY163" s="43" t="str">
        <f t="shared" si="11"/>
        <v xml:space="preserve">WHO-FP Encounter (Contraception Issues and Concerns) </v>
      </c>
      <c r="BZ163" s="46">
        <f t="shared" si="12"/>
        <v>1</v>
      </c>
      <c r="CA163" s="46" t="str">
        <f t="shared" si="13"/>
        <v/>
      </c>
      <c r="CB163" s="46">
        <f t="shared" si="14"/>
        <v>1</v>
      </c>
      <c r="CC163" s="46">
        <f t="shared" si="15"/>
        <v>1</v>
      </c>
      <c r="CD163" s="46">
        <f t="shared" si="16"/>
        <v>1</v>
      </c>
      <c r="CE163" s="46">
        <f t="shared" si="17"/>
        <v>0</v>
      </c>
      <c r="CF163" s="46">
        <f t="shared" si="18"/>
        <v>0</v>
      </c>
      <c r="CG163" s="46" t="str">
        <f ca="1">IFERROR(__xludf.DUMMYFUNCTION("if(OR(BH163="""",LEFT(BH163,2)=""LA""),"""",IMPORTXML(CONCATENATE(""https://loinc.org/"",BH163,""/""),""//span[@id='lcn']""))"),"")</f>
        <v/>
      </c>
      <c r="CH163" s="46"/>
      <c r="CI163" s="46"/>
      <c r="CJ163" s="46"/>
      <c r="CK163" s="46"/>
      <c r="CL163" s="46"/>
      <c r="CM163" s="46"/>
      <c r="CN163" s="46"/>
      <c r="CO163" s="46"/>
      <c r="CP163" s="46"/>
      <c r="CQ163" s="46"/>
      <c r="CR163" s="46"/>
      <c r="CS163" s="46"/>
      <c r="CT163" s="46"/>
      <c r="CU163" s="46"/>
    </row>
    <row r="164" spans="1:99" ht="12.75" customHeight="1">
      <c r="A164" s="399">
        <v>1397</v>
      </c>
      <c r="B164" s="399" t="s">
        <v>4227</v>
      </c>
      <c r="C164" s="399">
        <f t="shared" si="22"/>
        <v>1397</v>
      </c>
      <c r="D164" s="399" t="e">
        <f t="shared" ca="1" si="23"/>
        <v>#NAME?</v>
      </c>
      <c r="E164" s="399" t="str">
        <f t="shared" si="24"/>
        <v>Abscess</v>
      </c>
      <c r="F164" s="399" t="str">
        <f t="shared" si="32"/>
        <v>Input Option</v>
      </c>
      <c r="G164" s="400">
        <f t="shared" si="26"/>
        <v>14</v>
      </c>
      <c r="H164" s="399" t="str">
        <f t="shared" si="21"/>
        <v>Contraception Issues and concerns</v>
      </c>
      <c r="I164" s="400"/>
      <c r="J164" s="400"/>
      <c r="K164" s="401" t="s">
        <v>3333</v>
      </c>
      <c r="L164" s="402" t="s">
        <v>3334</v>
      </c>
      <c r="M164" s="400"/>
      <c r="N164" s="427" t="s">
        <v>4119</v>
      </c>
      <c r="O164" s="428"/>
      <c r="P164" s="403" t="s">
        <v>4228</v>
      </c>
      <c r="Q164" s="405"/>
      <c r="R164" s="403"/>
      <c r="S164" s="403"/>
      <c r="T164" s="403"/>
      <c r="U164" s="407"/>
      <c r="V164" s="403" t="s">
        <v>4229</v>
      </c>
      <c r="W164" s="407"/>
      <c r="X164" s="403" t="s">
        <v>208</v>
      </c>
      <c r="Y164" s="403"/>
      <c r="Z164" s="403" t="s">
        <v>113</v>
      </c>
      <c r="AA164" s="405" t="s">
        <v>3178</v>
      </c>
      <c r="AB164" s="432" t="s">
        <v>4230</v>
      </c>
      <c r="AC164" s="421"/>
      <c r="AD164" s="436"/>
      <c r="AE164" s="406"/>
      <c r="AF164" s="407"/>
      <c r="AG164" s="407"/>
      <c r="AH164" s="399"/>
      <c r="AI164" s="400"/>
      <c r="AJ164" s="399"/>
      <c r="AK164" s="399"/>
      <c r="AL164" s="409" t="s">
        <v>3218</v>
      </c>
      <c r="AM164" s="409"/>
      <c r="AN164" s="409" t="s">
        <v>3218</v>
      </c>
      <c r="AO164" s="399"/>
      <c r="AP164" s="399"/>
      <c r="AQ164" s="409" t="s">
        <v>3130</v>
      </c>
      <c r="AR164" s="399"/>
      <c r="AS164" s="399"/>
      <c r="AT164" s="399"/>
      <c r="AU164" s="399" t="s">
        <v>4227</v>
      </c>
      <c r="AV164" s="399" t="str">
        <f t="shared" si="27"/>
        <v>Same</v>
      </c>
      <c r="AW164" s="399"/>
      <c r="AX164" s="409" t="s">
        <v>3343</v>
      </c>
      <c r="AY164" s="399" t="e">
        <f t="shared" ca="1" si="28"/>
        <v>#NAME?</v>
      </c>
      <c r="AZ164" s="399"/>
      <c r="BA164" s="409">
        <v>1</v>
      </c>
      <c r="BB164" s="399"/>
      <c r="BC164" s="399"/>
      <c r="BD164" s="409" t="s">
        <v>4231</v>
      </c>
      <c r="BE164" s="434" t="s">
        <v>4232</v>
      </c>
      <c r="BF164" s="411"/>
      <c r="BG164" s="434" t="s">
        <v>4233</v>
      </c>
      <c r="BH164" s="411"/>
      <c r="BI164" s="411"/>
      <c r="BJ164" s="399"/>
      <c r="BK164" s="399"/>
      <c r="BL164" s="399"/>
      <c r="BM164" s="409" t="s">
        <v>4234</v>
      </c>
      <c r="BN164" s="409">
        <v>86</v>
      </c>
      <c r="BO164" s="399"/>
      <c r="BP164" s="399"/>
      <c r="BQ164" s="399"/>
      <c r="BR164" s="399"/>
      <c r="BS164" s="407"/>
      <c r="BT164" s="407"/>
      <c r="BU164" s="412"/>
      <c r="BV164" s="46" t="str">
        <f t="shared" si="8"/>
        <v/>
      </c>
      <c r="BW164" s="46">
        <f t="shared" si="9"/>
        <v>0</v>
      </c>
      <c r="BX164" s="46">
        <f t="shared" si="10"/>
        <v>0</v>
      </c>
      <c r="BY164" s="43" t="str">
        <f t="shared" si="11"/>
        <v xml:space="preserve">WHO-FP Encounter (Contraception Issues and Concerns) </v>
      </c>
      <c r="BZ164" s="46">
        <f t="shared" si="12"/>
        <v>1</v>
      </c>
      <c r="CA164" s="46" t="str">
        <f t="shared" si="13"/>
        <v/>
      </c>
      <c r="CB164" s="46">
        <f t="shared" si="14"/>
        <v>1</v>
      </c>
      <c r="CC164" s="46">
        <f t="shared" si="15"/>
        <v>1</v>
      </c>
      <c r="CD164" s="46">
        <f t="shared" si="16"/>
        <v>1</v>
      </c>
      <c r="CE164" s="46">
        <f t="shared" si="17"/>
        <v>0</v>
      </c>
      <c r="CF164" s="46">
        <f t="shared" si="18"/>
        <v>0</v>
      </c>
      <c r="CG164" s="46" t="str">
        <f ca="1">IFERROR(__xludf.DUMMYFUNCTION("if(OR(BH164="""",LEFT(BH164,2)=""LA""),"""",IMPORTXML(CONCATENATE(""https://loinc.org/"",BH164,""/""),""//span[@id='lcn']""))"),"")</f>
        <v/>
      </c>
      <c r="CH164" s="46"/>
      <c r="CI164" s="46"/>
      <c r="CJ164" s="46"/>
      <c r="CK164" s="46"/>
      <c r="CL164" s="46"/>
      <c r="CM164" s="46"/>
      <c r="CN164" s="46"/>
      <c r="CO164" s="46"/>
      <c r="CP164" s="46"/>
      <c r="CQ164" s="46"/>
      <c r="CR164" s="46"/>
      <c r="CS164" s="46"/>
      <c r="CT164" s="46"/>
      <c r="CU164" s="46"/>
    </row>
    <row r="165" spans="1:99" ht="12.75" customHeight="1">
      <c r="A165" s="399">
        <v>1398</v>
      </c>
      <c r="B165" s="399" t="s">
        <v>4235</v>
      </c>
      <c r="C165" s="399">
        <f t="shared" si="22"/>
        <v>1398</v>
      </c>
      <c r="D165" s="399" t="e">
        <f t="shared" ca="1" si="23"/>
        <v>#NAME?</v>
      </c>
      <c r="E165" s="399" t="str">
        <f t="shared" si="24"/>
        <v>Candidiasis</v>
      </c>
      <c r="F165" s="399" t="str">
        <f t="shared" si="32"/>
        <v>Input Option</v>
      </c>
      <c r="G165" s="400">
        <f t="shared" si="26"/>
        <v>18</v>
      </c>
      <c r="H165" s="399" t="str">
        <f t="shared" si="21"/>
        <v>Contraception Issues and concerns</v>
      </c>
      <c r="I165" s="400"/>
      <c r="J165" s="400"/>
      <c r="K165" s="401" t="s">
        <v>3333</v>
      </c>
      <c r="L165" s="402" t="s">
        <v>3334</v>
      </c>
      <c r="M165" s="400"/>
      <c r="N165" s="427" t="s">
        <v>4119</v>
      </c>
      <c r="O165" s="428"/>
      <c r="P165" s="407" t="s">
        <v>4236</v>
      </c>
      <c r="Q165" s="407"/>
      <c r="R165" s="407"/>
      <c r="S165" s="407"/>
      <c r="T165" s="407"/>
      <c r="U165" s="407"/>
      <c r="V165" s="407" t="s">
        <v>4237</v>
      </c>
      <c r="W165" s="407"/>
      <c r="X165" s="403" t="s">
        <v>208</v>
      </c>
      <c r="Y165" s="407"/>
      <c r="Z165" s="403" t="s">
        <v>113</v>
      </c>
      <c r="AA165" s="405" t="s">
        <v>3178</v>
      </c>
      <c r="AB165" s="432" t="s">
        <v>4238</v>
      </c>
      <c r="AC165" s="421"/>
      <c r="AD165" s="421"/>
      <c r="AE165" s="408"/>
      <c r="AF165" s="407"/>
      <c r="AG165" s="407"/>
      <c r="AH165" s="399"/>
      <c r="AI165" s="400"/>
      <c r="AJ165" s="399"/>
      <c r="AK165" s="399"/>
      <c r="AL165" s="409" t="s">
        <v>3218</v>
      </c>
      <c r="AM165" s="409"/>
      <c r="AN165" s="409" t="s">
        <v>3218</v>
      </c>
      <c r="AO165" s="399"/>
      <c r="AP165" s="399"/>
      <c r="AQ165" s="409" t="s">
        <v>3130</v>
      </c>
      <c r="AR165" s="399"/>
      <c r="AS165" s="399"/>
      <c r="AT165" s="399"/>
      <c r="AU165" s="399" t="s">
        <v>4235</v>
      </c>
      <c r="AV165" s="399" t="str">
        <f t="shared" si="27"/>
        <v>Same</v>
      </c>
      <c r="AW165" s="399"/>
      <c r="AX165" s="409" t="s">
        <v>3343</v>
      </c>
      <c r="AY165" s="399" t="e">
        <f t="shared" ca="1" si="28"/>
        <v>#NAME?</v>
      </c>
      <c r="AZ165" s="399"/>
      <c r="BA165" s="409">
        <v>1</v>
      </c>
      <c r="BB165" s="399"/>
      <c r="BC165" s="399"/>
      <c r="BD165" s="399" t="s">
        <v>4239</v>
      </c>
      <c r="BE165" s="411" t="s">
        <v>4240</v>
      </c>
      <c r="BF165" s="411"/>
      <c r="BG165" s="411" t="s">
        <v>4241</v>
      </c>
      <c r="BH165" s="434" t="s">
        <v>4242</v>
      </c>
      <c r="BI165" s="411"/>
      <c r="BJ165" s="399"/>
      <c r="BK165" s="399"/>
      <c r="BL165" s="399"/>
      <c r="BM165" s="409" t="s">
        <v>4243</v>
      </c>
      <c r="BN165" s="399"/>
      <c r="BO165" s="399"/>
      <c r="BP165" s="399"/>
      <c r="BQ165" s="399"/>
      <c r="BR165" s="399"/>
      <c r="BS165" s="407"/>
      <c r="BT165" s="407"/>
      <c r="BU165" s="412"/>
      <c r="BV165" s="46" t="str">
        <f t="shared" si="8"/>
        <v/>
      </c>
      <c r="BW165" s="46">
        <f t="shared" si="9"/>
        <v>0</v>
      </c>
      <c r="BX165" s="46">
        <f t="shared" si="10"/>
        <v>0</v>
      </c>
      <c r="BY165" s="43" t="str">
        <f t="shared" si="11"/>
        <v xml:space="preserve">WHO-FP Encounter (Contraception Issues and Concerns) </v>
      </c>
      <c r="BZ165" s="46">
        <f t="shared" si="12"/>
        <v>1</v>
      </c>
      <c r="CA165" s="46" t="str">
        <f t="shared" si="13"/>
        <v/>
      </c>
      <c r="CB165" s="46">
        <f t="shared" si="14"/>
        <v>1</v>
      </c>
      <c r="CC165" s="46">
        <f t="shared" si="15"/>
        <v>1</v>
      </c>
      <c r="CD165" s="46">
        <f t="shared" si="16"/>
        <v>1</v>
      </c>
      <c r="CE165" s="46">
        <f t="shared" si="17"/>
        <v>0</v>
      </c>
      <c r="CF165" s="46">
        <f t="shared" si="18"/>
        <v>0</v>
      </c>
      <c r="CG165" s="46" t="str">
        <f ca="1">IFERROR(__xludf.DUMMYFUNCTION("if(OR(BH165="""",LEFT(BH165,2)=""LA""),"""",IMPORTXML(CONCATENATE(""https://loinc.org/"",BH165,""/""),""//span[@id='lcn']""))"),"Yeast [Presence] in Genital specimen by Wet preparation")</f>
        <v>Yeast [Presence] in Genital specimen by Wet preparation</v>
      </c>
      <c r="CH165" s="46"/>
      <c r="CI165" s="46"/>
      <c r="CJ165" s="46"/>
      <c r="CK165" s="46"/>
      <c r="CL165" s="46"/>
      <c r="CM165" s="46"/>
      <c r="CN165" s="46"/>
      <c r="CO165" s="46"/>
      <c r="CP165" s="46"/>
      <c r="CQ165" s="46"/>
      <c r="CR165" s="46"/>
      <c r="CS165" s="46"/>
      <c r="CT165" s="46"/>
      <c r="CU165" s="46"/>
    </row>
    <row r="166" spans="1:99" ht="12.75" customHeight="1">
      <c r="A166" s="399">
        <v>1399</v>
      </c>
      <c r="B166" s="399" t="s">
        <v>4244</v>
      </c>
      <c r="C166" s="399">
        <f t="shared" si="22"/>
        <v>1399</v>
      </c>
      <c r="D166" s="399" t="e">
        <f t="shared" ca="1" si="23"/>
        <v>#NAME?</v>
      </c>
      <c r="E166" s="399" t="str">
        <f t="shared" si="24"/>
        <v>Bacterial vaginosis</v>
      </c>
      <c r="F166" s="399" t="str">
        <f t="shared" si="32"/>
        <v>Input Option</v>
      </c>
      <c r="G166" s="400">
        <f t="shared" si="26"/>
        <v>26</v>
      </c>
      <c r="H166" s="399" t="str">
        <f t="shared" si="21"/>
        <v>Contraception Issues and concerns</v>
      </c>
      <c r="I166" s="400"/>
      <c r="J166" s="400"/>
      <c r="K166" s="401" t="s">
        <v>3333</v>
      </c>
      <c r="L166" s="402" t="s">
        <v>3334</v>
      </c>
      <c r="M166" s="400"/>
      <c r="N166" s="427" t="s">
        <v>4119</v>
      </c>
      <c r="O166" s="428"/>
      <c r="P166" s="407" t="s">
        <v>4245</v>
      </c>
      <c r="Q166" s="407"/>
      <c r="R166" s="407"/>
      <c r="S166" s="407"/>
      <c r="T166" s="407"/>
      <c r="U166" s="407"/>
      <c r="V166" s="432" t="s">
        <v>4246</v>
      </c>
      <c r="W166" s="407"/>
      <c r="X166" s="403" t="s">
        <v>208</v>
      </c>
      <c r="Y166" s="407"/>
      <c r="Z166" s="403" t="s">
        <v>113</v>
      </c>
      <c r="AA166" s="405" t="s">
        <v>3178</v>
      </c>
      <c r="AB166" s="432" t="s">
        <v>4238</v>
      </c>
      <c r="AC166" s="421"/>
      <c r="AD166" s="421"/>
      <c r="AE166" s="408"/>
      <c r="AF166" s="407"/>
      <c r="AG166" s="407"/>
      <c r="AH166" s="399"/>
      <c r="AI166" s="400"/>
      <c r="AJ166" s="399"/>
      <c r="AK166" s="399"/>
      <c r="AL166" s="409" t="s">
        <v>3218</v>
      </c>
      <c r="AM166" s="409"/>
      <c r="AN166" s="409" t="s">
        <v>3218</v>
      </c>
      <c r="AO166" s="399"/>
      <c r="AP166" s="399"/>
      <c r="AQ166" s="409" t="s">
        <v>3130</v>
      </c>
      <c r="AR166" s="399"/>
      <c r="AS166" s="399"/>
      <c r="AT166" s="399"/>
      <c r="AU166" s="399" t="s">
        <v>4244</v>
      </c>
      <c r="AV166" s="399" t="str">
        <f t="shared" si="27"/>
        <v>Same</v>
      </c>
      <c r="AW166" s="399"/>
      <c r="AX166" s="409" t="s">
        <v>3343</v>
      </c>
      <c r="AY166" s="399" t="e">
        <f t="shared" ca="1" si="28"/>
        <v>#NAME?</v>
      </c>
      <c r="AZ166" s="399"/>
      <c r="BA166" s="409">
        <v>1</v>
      </c>
      <c r="BB166" s="399"/>
      <c r="BC166" s="399"/>
      <c r="BD166" s="409" t="s">
        <v>3162</v>
      </c>
      <c r="BE166" s="411" t="s">
        <v>4247</v>
      </c>
      <c r="BF166" s="411"/>
      <c r="BG166" s="434" t="s">
        <v>4248</v>
      </c>
      <c r="BH166" s="411" t="s">
        <v>4249</v>
      </c>
      <c r="BI166" s="411"/>
      <c r="BJ166" s="399"/>
      <c r="BK166" s="399"/>
      <c r="BL166" s="399"/>
      <c r="BM166" s="399"/>
      <c r="BN166" s="399"/>
      <c r="BO166" s="399"/>
      <c r="BP166" s="399"/>
      <c r="BQ166" s="399"/>
      <c r="BR166" s="399"/>
      <c r="BS166" s="407"/>
      <c r="BT166" s="407"/>
      <c r="BU166" s="412"/>
      <c r="BV166" s="46" t="str">
        <f t="shared" si="8"/>
        <v/>
      </c>
      <c r="BW166" s="46">
        <f t="shared" si="9"/>
        <v>0</v>
      </c>
      <c r="BX166" s="46">
        <f t="shared" si="10"/>
        <v>0</v>
      </c>
      <c r="BY166" s="43" t="str">
        <f t="shared" si="11"/>
        <v xml:space="preserve">WHO-FP Encounter (Contraception Issues and Concerns) </v>
      </c>
      <c r="BZ166" s="46">
        <f t="shared" si="12"/>
        <v>1</v>
      </c>
      <c r="CA166" s="46" t="str">
        <f t="shared" si="13"/>
        <v/>
      </c>
      <c r="CB166" s="46">
        <f t="shared" si="14"/>
        <v>1</v>
      </c>
      <c r="CC166" s="46">
        <f t="shared" si="15"/>
        <v>1</v>
      </c>
      <c r="CD166" s="46">
        <f t="shared" si="16"/>
        <v>1</v>
      </c>
      <c r="CE166" s="46">
        <f t="shared" si="17"/>
        <v>0</v>
      </c>
      <c r="CF166" s="46">
        <f t="shared" si="18"/>
        <v>0</v>
      </c>
      <c r="CG166" s="46" t="str">
        <f ca="1">IFERROR(__xludf.DUMMYFUNCTION("if(OR(BH166="""",LEFT(BH166,2)=""LA""),"""",IMPORTXML(CONCATENATE(""https://loinc.org/"",BH166,""/""),""//span[@id='lcn']""))"),"Bacterial vaginosis [Interpretation] in Vaginal fluid Qualitative")</f>
        <v>Bacterial vaginosis [Interpretation] in Vaginal fluid Qualitative</v>
      </c>
      <c r="CH166" s="46"/>
      <c r="CI166" s="46"/>
      <c r="CJ166" s="46"/>
      <c r="CK166" s="46"/>
      <c r="CL166" s="46"/>
      <c r="CM166" s="46"/>
      <c r="CN166" s="46"/>
      <c r="CO166" s="46"/>
      <c r="CP166" s="46"/>
      <c r="CQ166" s="46"/>
      <c r="CR166" s="46"/>
      <c r="CS166" s="46"/>
      <c r="CT166" s="46"/>
      <c r="CU166" s="46"/>
    </row>
    <row r="167" spans="1:99" ht="12.75" customHeight="1">
      <c r="A167" s="399">
        <v>1400</v>
      </c>
      <c r="B167" s="399" t="s">
        <v>4250</v>
      </c>
      <c r="C167" s="399">
        <f t="shared" si="22"/>
        <v>1400</v>
      </c>
      <c r="D167" s="399" t="e">
        <f t="shared" ca="1" si="23"/>
        <v>#NAME?</v>
      </c>
      <c r="E167" s="399" t="str">
        <f t="shared" si="24"/>
        <v>Toxic shock syndrome</v>
      </c>
      <c r="F167" s="399" t="str">
        <f t="shared" si="32"/>
        <v>Input Option</v>
      </c>
      <c r="G167" s="400">
        <f t="shared" si="26"/>
        <v>27</v>
      </c>
      <c r="H167" s="399" t="str">
        <f t="shared" si="21"/>
        <v>Contraception Issues and concerns</v>
      </c>
      <c r="I167" s="400"/>
      <c r="J167" s="400"/>
      <c r="K167" s="401" t="s">
        <v>3333</v>
      </c>
      <c r="L167" s="402" t="s">
        <v>3334</v>
      </c>
      <c r="M167" s="400"/>
      <c r="N167" s="427" t="s">
        <v>4119</v>
      </c>
      <c r="O167" s="428"/>
      <c r="P167" s="407" t="s">
        <v>4251</v>
      </c>
      <c r="Q167" s="407"/>
      <c r="R167" s="407"/>
      <c r="S167" s="407"/>
      <c r="T167" s="407"/>
      <c r="U167" s="407"/>
      <c r="V167" s="432" t="s">
        <v>4252</v>
      </c>
      <c r="W167" s="407"/>
      <c r="X167" s="403" t="s">
        <v>208</v>
      </c>
      <c r="Y167" s="407"/>
      <c r="Z167" s="403" t="s">
        <v>113</v>
      </c>
      <c r="AA167" s="405" t="s">
        <v>3178</v>
      </c>
      <c r="AB167" s="432" t="s">
        <v>4238</v>
      </c>
      <c r="AC167" s="421"/>
      <c r="AD167" s="421"/>
      <c r="AE167" s="408"/>
      <c r="AF167" s="407"/>
      <c r="AG167" s="407"/>
      <c r="AH167" s="399"/>
      <c r="AI167" s="400"/>
      <c r="AJ167" s="399"/>
      <c r="AK167" s="399"/>
      <c r="AL167" s="409" t="s">
        <v>3218</v>
      </c>
      <c r="AM167" s="409"/>
      <c r="AN167" s="409" t="s">
        <v>3218</v>
      </c>
      <c r="AO167" s="399"/>
      <c r="AP167" s="399"/>
      <c r="AQ167" s="409" t="s">
        <v>3130</v>
      </c>
      <c r="AR167" s="399"/>
      <c r="AS167" s="399"/>
      <c r="AT167" s="399"/>
      <c r="AU167" s="399" t="s">
        <v>4250</v>
      </c>
      <c r="AV167" s="399" t="str">
        <f t="shared" si="27"/>
        <v>Same</v>
      </c>
      <c r="AW167" s="399"/>
      <c r="AX167" s="409" t="s">
        <v>3343</v>
      </c>
      <c r="AY167" s="399" t="e">
        <f t="shared" ca="1" si="28"/>
        <v>#NAME?</v>
      </c>
      <c r="AZ167" s="399"/>
      <c r="BA167" s="409">
        <v>1</v>
      </c>
      <c r="BB167" s="399"/>
      <c r="BC167" s="399"/>
      <c r="BD167" s="409" t="s">
        <v>3162</v>
      </c>
      <c r="BE167" s="411" t="s">
        <v>4253</v>
      </c>
      <c r="BF167" s="411"/>
      <c r="BG167" s="434" t="s">
        <v>4254</v>
      </c>
      <c r="BH167" s="411"/>
      <c r="BI167" s="411"/>
      <c r="BJ167" s="399"/>
      <c r="BK167" s="399"/>
      <c r="BL167" s="399"/>
      <c r="BM167" s="409" t="s">
        <v>4255</v>
      </c>
      <c r="BN167" s="399"/>
      <c r="BO167" s="399"/>
      <c r="BP167" s="399"/>
      <c r="BQ167" s="399"/>
      <c r="BR167" s="399"/>
      <c r="BS167" s="407"/>
      <c r="BT167" s="407"/>
      <c r="BU167" s="412"/>
      <c r="BV167" s="46" t="str">
        <f t="shared" si="8"/>
        <v/>
      </c>
      <c r="BW167" s="46">
        <f t="shared" si="9"/>
        <v>0</v>
      </c>
      <c r="BX167" s="46">
        <f t="shared" si="10"/>
        <v>0</v>
      </c>
      <c r="BY167" s="43" t="str">
        <f t="shared" si="11"/>
        <v xml:space="preserve">WHO-FP Encounter (Contraception Issues and Concerns) </v>
      </c>
      <c r="BZ167" s="46">
        <f t="shared" si="12"/>
        <v>1</v>
      </c>
      <c r="CA167" s="46" t="str">
        <f t="shared" si="13"/>
        <v/>
      </c>
      <c r="CB167" s="46">
        <f t="shared" si="14"/>
        <v>1</v>
      </c>
      <c r="CC167" s="46">
        <f t="shared" si="15"/>
        <v>1</v>
      </c>
      <c r="CD167" s="46">
        <f t="shared" si="16"/>
        <v>1</v>
      </c>
      <c r="CE167" s="46">
        <f t="shared" si="17"/>
        <v>0</v>
      </c>
      <c r="CF167" s="46">
        <f t="shared" si="18"/>
        <v>0</v>
      </c>
      <c r="CG167" s="46" t="str">
        <f ca="1">IFERROR(__xludf.DUMMYFUNCTION("if(OR(BH167="""",LEFT(BH167,2)=""LA""),"""",IMPORTXML(CONCATENATE(""https://loinc.org/"",BH167,""/""),""//span[@id='lcn']""))"),"")</f>
        <v/>
      </c>
      <c r="CH167" s="46"/>
      <c r="CI167" s="46"/>
      <c r="CJ167" s="46"/>
      <c r="CK167" s="46"/>
      <c r="CL167" s="46"/>
      <c r="CM167" s="46"/>
      <c r="CN167" s="46"/>
      <c r="CO167" s="46"/>
      <c r="CP167" s="46"/>
      <c r="CQ167" s="46"/>
      <c r="CR167" s="46"/>
      <c r="CS167" s="46"/>
      <c r="CT167" s="46"/>
      <c r="CU167" s="46"/>
    </row>
    <row r="168" spans="1:99" ht="12.75" customHeight="1">
      <c r="A168" s="399">
        <v>1401</v>
      </c>
      <c r="B168" s="399" t="s">
        <v>4256</v>
      </c>
      <c r="C168" s="399">
        <f t="shared" si="22"/>
        <v>1401</v>
      </c>
      <c r="D168" s="399" t="e">
        <f t="shared" ca="1" si="23"/>
        <v>#NAME?</v>
      </c>
      <c r="E168" s="399" t="str">
        <f t="shared" si="24"/>
        <v>Urinary tract infection</v>
      </c>
      <c r="F168" s="399" t="str">
        <f t="shared" si="32"/>
        <v>Input Option</v>
      </c>
      <c r="G168" s="400">
        <f t="shared" si="26"/>
        <v>30</v>
      </c>
      <c r="H168" s="399" t="str">
        <f t="shared" si="21"/>
        <v>Contraception Issues and concerns</v>
      </c>
      <c r="I168" s="400"/>
      <c r="J168" s="400"/>
      <c r="K168" s="401" t="s">
        <v>3333</v>
      </c>
      <c r="L168" s="402" t="s">
        <v>3334</v>
      </c>
      <c r="M168" s="400"/>
      <c r="N168" s="427" t="s">
        <v>4119</v>
      </c>
      <c r="O168" s="428"/>
      <c r="P168" s="407" t="s">
        <v>4257</v>
      </c>
      <c r="Q168" s="407"/>
      <c r="R168" s="407"/>
      <c r="S168" s="407"/>
      <c r="T168" s="407"/>
      <c r="U168" s="407"/>
      <c r="V168" s="432" t="s">
        <v>4258</v>
      </c>
      <c r="W168" s="407"/>
      <c r="X168" s="403" t="s">
        <v>208</v>
      </c>
      <c r="Y168" s="407"/>
      <c r="Z168" s="403" t="s">
        <v>113</v>
      </c>
      <c r="AA168" s="405" t="s">
        <v>3178</v>
      </c>
      <c r="AB168" s="432" t="s">
        <v>4238</v>
      </c>
      <c r="AC168" s="421"/>
      <c r="AD168" s="421"/>
      <c r="AE168" s="408"/>
      <c r="AF168" s="407"/>
      <c r="AG168" s="407"/>
      <c r="AH168" s="399"/>
      <c r="AI168" s="400"/>
      <c r="AJ168" s="399"/>
      <c r="AK168" s="399"/>
      <c r="AL168" s="409" t="s">
        <v>3218</v>
      </c>
      <c r="AM168" s="409"/>
      <c r="AN168" s="409" t="s">
        <v>3218</v>
      </c>
      <c r="AO168" s="399"/>
      <c r="AP168" s="399"/>
      <c r="AQ168" s="409" t="s">
        <v>3130</v>
      </c>
      <c r="AR168" s="399"/>
      <c r="AS168" s="399"/>
      <c r="AT168" s="399"/>
      <c r="AU168" s="399" t="s">
        <v>4256</v>
      </c>
      <c r="AV168" s="399" t="str">
        <f t="shared" si="27"/>
        <v>Same</v>
      </c>
      <c r="AW168" s="399"/>
      <c r="AX168" s="409" t="s">
        <v>3343</v>
      </c>
      <c r="AY168" s="399" t="e">
        <f t="shared" ca="1" si="28"/>
        <v>#NAME?</v>
      </c>
      <c r="AZ168" s="399"/>
      <c r="BA168" s="409">
        <v>1</v>
      </c>
      <c r="BB168" s="399"/>
      <c r="BC168" s="399"/>
      <c r="BD168" s="399"/>
      <c r="BE168" s="411" t="s">
        <v>4259</v>
      </c>
      <c r="BF168" s="411"/>
      <c r="BG168" s="434" t="s">
        <v>4260</v>
      </c>
      <c r="BH168" s="411"/>
      <c r="BI168" s="411"/>
      <c r="BJ168" s="399"/>
      <c r="BK168" s="399"/>
      <c r="BL168" s="399"/>
      <c r="BM168" s="415" t="s">
        <v>4261</v>
      </c>
      <c r="BN168" s="399"/>
      <c r="BO168" s="399"/>
      <c r="BP168" s="399"/>
      <c r="BQ168" s="399"/>
      <c r="BR168" s="399"/>
      <c r="BS168" s="407"/>
      <c r="BT168" s="407"/>
      <c r="BU168" s="412"/>
      <c r="BV168" s="46" t="str">
        <f t="shared" si="8"/>
        <v/>
      </c>
      <c r="BW168" s="46">
        <f t="shared" si="9"/>
        <v>0</v>
      </c>
      <c r="BX168" s="46">
        <f t="shared" si="10"/>
        <v>0</v>
      </c>
      <c r="BY168" s="43" t="str">
        <f t="shared" si="11"/>
        <v xml:space="preserve">WHO-FP Encounter (Contraception Issues and Concerns) </v>
      </c>
      <c r="BZ168" s="46">
        <f t="shared" si="12"/>
        <v>1</v>
      </c>
      <c r="CA168" s="46" t="str">
        <f t="shared" si="13"/>
        <v/>
      </c>
      <c r="CB168" s="46">
        <f t="shared" si="14"/>
        <v>1</v>
      </c>
      <c r="CC168" s="46">
        <f t="shared" si="15"/>
        <v>1</v>
      </c>
      <c r="CD168" s="46">
        <f t="shared" si="16"/>
        <v>1</v>
      </c>
      <c r="CE168" s="46">
        <f t="shared" si="17"/>
        <v>0</v>
      </c>
      <c r="CF168" s="46">
        <f t="shared" si="18"/>
        <v>0</v>
      </c>
      <c r="CG168" s="46" t="str">
        <f ca="1">IFERROR(__xludf.DUMMYFUNCTION("if(OR(BH168="""",LEFT(BH168,2)=""LA""),"""",IMPORTXML(CONCATENATE(""https://loinc.org/"",BH168,""/""),""//span[@id='lcn']""))"),"")</f>
        <v/>
      </c>
      <c r="CH168" s="46"/>
      <c r="CI168" s="46"/>
      <c r="CJ168" s="46"/>
      <c r="CK168" s="46"/>
      <c r="CL168" s="46"/>
      <c r="CM168" s="46"/>
      <c r="CN168" s="46"/>
      <c r="CO168" s="46"/>
      <c r="CP168" s="46"/>
      <c r="CQ168" s="46"/>
      <c r="CR168" s="46"/>
      <c r="CS168" s="46"/>
      <c r="CT168" s="46"/>
      <c r="CU168" s="46"/>
    </row>
    <row r="169" spans="1:99" ht="12.75" customHeight="1">
      <c r="A169" s="399">
        <v>1402</v>
      </c>
      <c r="B169" s="399" t="s">
        <v>4262</v>
      </c>
      <c r="C169" s="399">
        <f t="shared" si="22"/>
        <v>1402</v>
      </c>
      <c r="D169" s="399" t="e">
        <f t="shared" ca="1" si="23"/>
        <v>#NAME?</v>
      </c>
      <c r="E169" s="399" t="str">
        <f t="shared" si="24"/>
        <v>Difficulty inserting/removing/using method</v>
      </c>
      <c r="F169" s="399" t="str">
        <f t="shared" si="32"/>
        <v>Input Option</v>
      </c>
      <c r="G169" s="400">
        <f t="shared" si="26"/>
        <v>49</v>
      </c>
      <c r="H169" s="399" t="str">
        <f t="shared" si="21"/>
        <v>Contraception Issues and concerns</v>
      </c>
      <c r="I169" s="400"/>
      <c r="J169" s="400"/>
      <c r="K169" s="401" t="s">
        <v>3333</v>
      </c>
      <c r="L169" s="402" t="s">
        <v>3334</v>
      </c>
      <c r="M169" s="400"/>
      <c r="N169" s="427" t="s">
        <v>4119</v>
      </c>
      <c r="O169" s="428"/>
      <c r="P169" s="407" t="s">
        <v>4263</v>
      </c>
      <c r="Q169" s="407"/>
      <c r="R169" s="407"/>
      <c r="S169" s="407"/>
      <c r="T169" s="407"/>
      <c r="U169" s="407"/>
      <c r="V169" s="432" t="s">
        <v>4264</v>
      </c>
      <c r="W169" s="407"/>
      <c r="X169" s="403" t="s">
        <v>208</v>
      </c>
      <c r="Y169" s="407"/>
      <c r="Z169" s="403" t="s">
        <v>113</v>
      </c>
      <c r="AA169" s="405" t="s">
        <v>3178</v>
      </c>
      <c r="AB169" s="432" t="s">
        <v>4265</v>
      </c>
      <c r="AC169" s="421"/>
      <c r="AD169" s="407"/>
      <c r="AE169" s="408"/>
      <c r="AF169" s="407"/>
      <c r="AG169" s="407"/>
      <c r="AH169" s="399"/>
      <c r="AI169" s="400"/>
      <c r="AJ169" s="399"/>
      <c r="AK169" s="399"/>
      <c r="AL169" s="399"/>
      <c r="AM169" s="399"/>
      <c r="AN169" s="399"/>
      <c r="AO169" s="399"/>
      <c r="AP169" s="399"/>
      <c r="AQ169" s="409" t="s">
        <v>3130</v>
      </c>
      <c r="AR169" s="399"/>
      <c r="AS169" s="399"/>
      <c r="AT169" s="399"/>
      <c r="AU169" s="399" t="s">
        <v>4262</v>
      </c>
      <c r="AV169" s="399" t="str">
        <f t="shared" si="27"/>
        <v>Same</v>
      </c>
      <c r="AW169" s="399"/>
      <c r="AX169" s="409" t="s">
        <v>3343</v>
      </c>
      <c r="AY169" s="399" t="e">
        <f t="shared" ca="1" si="28"/>
        <v>#NAME?</v>
      </c>
      <c r="AZ169" s="399"/>
      <c r="BA169" s="409">
        <v>1</v>
      </c>
      <c r="BB169" s="399"/>
      <c r="BC169" s="399"/>
      <c r="BD169" s="409" t="s">
        <v>4266</v>
      </c>
      <c r="BE169" s="411"/>
      <c r="BF169" s="411"/>
      <c r="BG169" s="434" t="s">
        <v>4267</v>
      </c>
      <c r="BH169" s="411"/>
      <c r="BI169" s="411"/>
      <c r="BJ169" s="399"/>
      <c r="BK169" s="399"/>
      <c r="BL169" s="399"/>
      <c r="BM169" s="409" t="s">
        <v>4268</v>
      </c>
      <c r="BN169" s="399"/>
      <c r="BO169" s="399"/>
      <c r="BP169" s="399"/>
      <c r="BQ169" s="399"/>
      <c r="BR169" s="399"/>
      <c r="BS169" s="407"/>
      <c r="BT169" s="407"/>
      <c r="BU169" s="412"/>
      <c r="BV169" s="46" t="str">
        <f t="shared" si="8"/>
        <v/>
      </c>
      <c r="BW169" s="46">
        <f t="shared" si="9"/>
        <v>0</v>
      </c>
      <c r="BX169" s="46">
        <f t="shared" si="10"/>
        <v>0</v>
      </c>
      <c r="BY169" s="43" t="str">
        <f t="shared" si="11"/>
        <v xml:space="preserve">WHO-FP Encounter (Contraception Issues and Concerns) </v>
      </c>
      <c r="BZ169" s="46">
        <f t="shared" si="12"/>
        <v>1</v>
      </c>
      <c r="CA169" s="46" t="str">
        <f t="shared" si="13"/>
        <v/>
      </c>
      <c r="CB169" s="46">
        <f t="shared" si="14"/>
        <v>1</v>
      </c>
      <c r="CC169" s="46">
        <f t="shared" si="15"/>
        <v>1</v>
      </c>
      <c r="CD169" s="46">
        <f t="shared" si="16"/>
        <v>1</v>
      </c>
      <c r="CE169" s="46">
        <f t="shared" si="17"/>
        <v>0</v>
      </c>
      <c r="CF169" s="46">
        <f t="shared" si="18"/>
        <v>0</v>
      </c>
      <c r="CG169" s="46" t="str">
        <f ca="1">IFERROR(__xludf.DUMMYFUNCTION("if(OR(BH169="""",LEFT(BH169,2)=""LA""),"""",IMPORTXML(CONCATENATE(""https://loinc.org/"",BH169,""/""),""//span[@id='lcn']""))"),"")</f>
        <v/>
      </c>
      <c r="CH169" s="46"/>
      <c r="CI169" s="46"/>
      <c r="CJ169" s="46"/>
      <c r="CK169" s="46"/>
      <c r="CL169" s="46"/>
      <c r="CM169" s="46"/>
      <c r="CN169" s="46"/>
      <c r="CO169" s="46"/>
      <c r="CP169" s="46"/>
      <c r="CQ169" s="46"/>
      <c r="CR169" s="46"/>
      <c r="CS169" s="46"/>
      <c r="CT169" s="46"/>
      <c r="CU169" s="46"/>
    </row>
    <row r="170" spans="1:99" ht="12.75" customHeight="1">
      <c r="A170" s="399">
        <v>1403</v>
      </c>
      <c r="B170" s="399" t="s">
        <v>4269</v>
      </c>
      <c r="C170" s="399">
        <f t="shared" si="22"/>
        <v>1403</v>
      </c>
      <c r="D170" s="399" t="e">
        <f t="shared" ca="1" si="23"/>
        <v>#NAME?</v>
      </c>
      <c r="E170" s="399" t="str">
        <f t="shared" si="24"/>
        <v>Used incorrectly</v>
      </c>
      <c r="F170" s="399" t="str">
        <f t="shared" si="32"/>
        <v>Input Option</v>
      </c>
      <c r="G170" s="400">
        <f t="shared" si="26"/>
        <v>23</v>
      </c>
      <c r="H170" s="399" t="str">
        <f t="shared" si="21"/>
        <v>Contraception Issues and concerns</v>
      </c>
      <c r="I170" s="400"/>
      <c r="J170" s="400"/>
      <c r="K170" s="401" t="s">
        <v>3333</v>
      </c>
      <c r="L170" s="402" t="s">
        <v>3334</v>
      </c>
      <c r="M170" s="400"/>
      <c r="N170" s="427" t="s">
        <v>4119</v>
      </c>
      <c r="O170" s="428"/>
      <c r="P170" s="407" t="s">
        <v>4270</v>
      </c>
      <c r="Q170" s="407"/>
      <c r="R170" s="407"/>
      <c r="S170" s="403" t="s">
        <v>4271</v>
      </c>
      <c r="T170" s="407"/>
      <c r="U170" s="407"/>
      <c r="V170" s="432" t="s">
        <v>4272</v>
      </c>
      <c r="W170" s="407"/>
      <c r="X170" s="403" t="s">
        <v>208</v>
      </c>
      <c r="Y170" s="407"/>
      <c r="Z170" s="403" t="s">
        <v>113</v>
      </c>
      <c r="AA170" s="405" t="s">
        <v>3178</v>
      </c>
      <c r="AB170" s="432" t="s">
        <v>4265</v>
      </c>
      <c r="AC170" s="421"/>
      <c r="AD170" s="407"/>
      <c r="AE170" s="408"/>
      <c r="AF170" s="407"/>
      <c r="AG170" s="407"/>
      <c r="AH170" s="399"/>
      <c r="AI170" s="400"/>
      <c r="AJ170" s="399"/>
      <c r="AK170" s="399"/>
      <c r="AL170" s="399"/>
      <c r="AM170" s="399"/>
      <c r="AN170" s="399"/>
      <c r="AO170" s="399"/>
      <c r="AP170" s="399"/>
      <c r="AQ170" s="409" t="s">
        <v>3130</v>
      </c>
      <c r="AR170" s="399"/>
      <c r="AS170" s="399"/>
      <c r="AT170" s="399"/>
      <c r="AU170" s="399" t="s">
        <v>4269</v>
      </c>
      <c r="AV170" s="399" t="str">
        <f t="shared" si="27"/>
        <v>Same</v>
      </c>
      <c r="AW170" s="399"/>
      <c r="AX170" s="409" t="s">
        <v>3343</v>
      </c>
      <c r="AY170" s="399" t="e">
        <f t="shared" ca="1" si="28"/>
        <v>#NAME?</v>
      </c>
      <c r="AZ170" s="399"/>
      <c r="BA170" s="409">
        <v>1</v>
      </c>
      <c r="BB170" s="399"/>
      <c r="BC170" s="399"/>
      <c r="BD170" s="399"/>
      <c r="BE170" s="411"/>
      <c r="BF170" s="411"/>
      <c r="BG170" s="411"/>
      <c r="BH170" s="434" t="s">
        <v>4274</v>
      </c>
      <c r="BI170" s="411"/>
      <c r="BJ170" s="399"/>
      <c r="BK170" s="399"/>
      <c r="BL170" s="399"/>
      <c r="BM170" s="409" t="s">
        <v>4275</v>
      </c>
      <c r="BN170" s="399"/>
      <c r="BO170" s="399"/>
      <c r="BP170" s="399"/>
      <c r="BQ170" s="399"/>
      <c r="BR170" s="399"/>
      <c r="BS170" s="407"/>
      <c r="BT170" s="407"/>
      <c r="BU170" s="412"/>
      <c r="BV170" s="46" t="str">
        <f t="shared" si="8"/>
        <v/>
      </c>
      <c r="BW170" s="46">
        <f t="shared" si="9"/>
        <v>0</v>
      </c>
      <c r="BX170" s="46">
        <f t="shared" si="10"/>
        <v>0</v>
      </c>
      <c r="BY170" s="43" t="str">
        <f t="shared" si="11"/>
        <v xml:space="preserve">WHO-FP Encounter (Contraception Issues and Concerns) </v>
      </c>
      <c r="BZ170" s="46">
        <f t="shared" si="12"/>
        <v>1</v>
      </c>
      <c r="CA170" s="46" t="str">
        <f t="shared" si="13"/>
        <v/>
      </c>
      <c r="CB170" s="46">
        <f t="shared" si="14"/>
        <v>1</v>
      </c>
      <c r="CC170" s="46">
        <f t="shared" si="15"/>
        <v>1</v>
      </c>
      <c r="CD170" s="46">
        <f t="shared" si="16"/>
        <v>1</v>
      </c>
      <c r="CE170" s="46">
        <f t="shared" si="17"/>
        <v>0</v>
      </c>
      <c r="CF170" s="46">
        <f t="shared" si="18"/>
        <v>0</v>
      </c>
      <c r="CG170" s="46" t="str">
        <f ca="1">IFERROR(__xludf.DUMMYFUNCTION("if(OR(BH170="""",LEFT(BH170,2)=""LA""),"""",IMPORTXML(CONCATENATE(""https://loinc.org/"",BH170,""/""),""//span[@id='lcn']""))"),"#N/A")</f>
        <v>#N/A</v>
      </c>
      <c r="CH170" s="46"/>
      <c r="CI170" s="46"/>
      <c r="CJ170" s="46"/>
      <c r="CK170" s="46"/>
      <c r="CL170" s="46"/>
      <c r="CM170" s="46"/>
      <c r="CN170" s="46"/>
      <c r="CO170" s="46"/>
      <c r="CP170" s="46"/>
      <c r="CQ170" s="46"/>
      <c r="CR170" s="46"/>
      <c r="CS170" s="46"/>
      <c r="CT170" s="46"/>
      <c r="CU170" s="46"/>
    </row>
    <row r="171" spans="1:99" ht="12.75" customHeight="1">
      <c r="A171" s="399">
        <v>1404</v>
      </c>
      <c r="B171" s="399" t="s">
        <v>4277</v>
      </c>
      <c r="C171" s="399">
        <f t="shared" si="22"/>
        <v>1404</v>
      </c>
      <c r="D171" s="399" t="e">
        <f t="shared" ca="1" si="23"/>
        <v>#NAME?</v>
      </c>
      <c r="E171" s="399" t="str">
        <f t="shared" si="24"/>
        <v>Makes noise during sex</v>
      </c>
      <c r="F171" s="399" t="str">
        <f t="shared" si="32"/>
        <v>Input Option</v>
      </c>
      <c r="G171" s="400">
        <f t="shared" si="26"/>
        <v>29</v>
      </c>
      <c r="H171" s="399" t="str">
        <f t="shared" si="21"/>
        <v>Contraception Issues and concerns</v>
      </c>
      <c r="I171" s="400"/>
      <c r="J171" s="400"/>
      <c r="K171" s="401" t="s">
        <v>3333</v>
      </c>
      <c r="L171" s="402" t="s">
        <v>3334</v>
      </c>
      <c r="M171" s="400"/>
      <c r="N171" s="427" t="s">
        <v>4119</v>
      </c>
      <c r="O171" s="428"/>
      <c r="P171" s="407" t="s">
        <v>4278</v>
      </c>
      <c r="Q171" s="407"/>
      <c r="R171" s="407"/>
      <c r="S171" s="403" t="s">
        <v>4279</v>
      </c>
      <c r="T171" s="407"/>
      <c r="U171" s="407"/>
      <c r="V171" s="432" t="s">
        <v>4280</v>
      </c>
      <c r="W171" s="407"/>
      <c r="X171" s="403" t="s">
        <v>208</v>
      </c>
      <c r="Y171" s="407"/>
      <c r="Z171" s="403" t="s">
        <v>113</v>
      </c>
      <c r="AA171" s="405" t="s">
        <v>3178</v>
      </c>
      <c r="AB171" s="432" t="s">
        <v>4265</v>
      </c>
      <c r="AC171" s="421"/>
      <c r="AD171" s="407"/>
      <c r="AE171" s="408"/>
      <c r="AF171" s="407"/>
      <c r="AG171" s="407"/>
      <c r="AH171" s="399"/>
      <c r="AI171" s="400"/>
      <c r="AJ171" s="399"/>
      <c r="AK171" s="399"/>
      <c r="AL171" s="399"/>
      <c r="AM171" s="399"/>
      <c r="AN171" s="399"/>
      <c r="AO171" s="399"/>
      <c r="AP171" s="399"/>
      <c r="AQ171" s="409" t="s">
        <v>3130</v>
      </c>
      <c r="AR171" s="399"/>
      <c r="AS171" s="399"/>
      <c r="AT171" s="399"/>
      <c r="AU171" s="399" t="s">
        <v>4277</v>
      </c>
      <c r="AV171" s="399" t="str">
        <f t="shared" si="27"/>
        <v>Same</v>
      </c>
      <c r="AW171" s="399"/>
      <c r="AX171" s="409" t="s">
        <v>3343</v>
      </c>
      <c r="AY171" s="399" t="e">
        <f t="shared" ca="1" si="28"/>
        <v>#NAME?</v>
      </c>
      <c r="AZ171" s="399"/>
      <c r="BA171" s="409">
        <v>1</v>
      </c>
      <c r="BB171" s="415" t="s">
        <v>3131</v>
      </c>
      <c r="BC171" s="399" t="s">
        <v>4280</v>
      </c>
      <c r="BD171" s="409" t="s">
        <v>4266</v>
      </c>
      <c r="BE171" s="411"/>
      <c r="BF171" s="411"/>
      <c r="BG171" s="411"/>
      <c r="BH171" s="411"/>
      <c r="BI171" s="411"/>
      <c r="BJ171" s="409" t="s">
        <v>4282</v>
      </c>
      <c r="BK171" s="399"/>
      <c r="BL171" s="409" t="s">
        <v>3162</v>
      </c>
      <c r="BM171" s="399"/>
      <c r="BN171" s="399"/>
      <c r="BO171" s="399"/>
      <c r="BP171" s="399"/>
      <c r="BQ171" s="399"/>
      <c r="BR171" s="399"/>
      <c r="BS171" s="407"/>
      <c r="BT171" s="407"/>
      <c r="BU171" s="412"/>
      <c r="BV171" s="46" t="str">
        <f t="shared" si="8"/>
        <v/>
      </c>
      <c r="BW171" s="46">
        <f t="shared" si="9"/>
        <v>0</v>
      </c>
      <c r="BX171" s="46">
        <f t="shared" si="10"/>
        <v>0</v>
      </c>
      <c r="BY171" s="43" t="str">
        <f t="shared" si="11"/>
        <v xml:space="preserve">WHO-FP Encounter (Contraception Issues and Concerns) </v>
      </c>
      <c r="BZ171" s="46">
        <f t="shared" si="12"/>
        <v>1</v>
      </c>
      <c r="CA171" s="46" t="str">
        <f t="shared" si="13"/>
        <v/>
      </c>
      <c r="CB171" s="46">
        <f t="shared" si="14"/>
        <v>1</v>
      </c>
      <c r="CC171" s="46">
        <f t="shared" si="15"/>
        <v>1</v>
      </c>
      <c r="CD171" s="46">
        <f t="shared" si="16"/>
        <v>1</v>
      </c>
      <c r="CE171" s="46">
        <f t="shared" si="17"/>
        <v>0</v>
      </c>
      <c r="CF171" s="46">
        <f t="shared" si="18"/>
        <v>0</v>
      </c>
      <c r="CG171" s="46" t="str">
        <f ca="1">IFERROR(__xludf.DUMMYFUNCTION("if(OR(BH171="""",LEFT(BH171,2)=""LA""),"""",IMPORTXML(CONCATENATE(""https://loinc.org/"",BH171,""/""),""//span[@id='lcn']""))"),"")</f>
        <v/>
      </c>
      <c r="CH171" s="46"/>
      <c r="CI171" s="46"/>
      <c r="CJ171" s="46"/>
      <c r="CK171" s="46"/>
      <c r="CL171" s="46"/>
      <c r="CM171" s="46"/>
      <c r="CN171" s="46"/>
      <c r="CO171" s="46"/>
      <c r="CP171" s="46"/>
      <c r="CQ171" s="46"/>
      <c r="CR171" s="46"/>
      <c r="CS171" s="46"/>
      <c r="CT171" s="46"/>
      <c r="CU171" s="46"/>
    </row>
    <row r="172" spans="1:99" ht="12.75" customHeight="1">
      <c r="A172" s="409">
        <v>1405</v>
      </c>
      <c r="B172" s="399" t="s">
        <v>2005</v>
      </c>
      <c r="C172" s="399">
        <f t="shared" si="22"/>
        <v>1405</v>
      </c>
      <c r="D172" s="399" t="e">
        <f t="shared" ca="1" si="23"/>
        <v>#NAME?</v>
      </c>
      <c r="E172" s="399" t="str">
        <f t="shared" si="24"/>
        <v>Other</v>
      </c>
      <c r="F172" s="399" t="str">
        <f t="shared" si="32"/>
        <v>Input Option</v>
      </c>
      <c r="G172" s="400">
        <f t="shared" si="26"/>
        <v>12</v>
      </c>
      <c r="H172" s="399" t="str">
        <f t="shared" si="21"/>
        <v>Contraception Issues and concerns</v>
      </c>
      <c r="I172" s="400"/>
      <c r="J172" s="400"/>
      <c r="K172" s="401" t="s">
        <v>3333</v>
      </c>
      <c r="L172" s="402" t="s">
        <v>3334</v>
      </c>
      <c r="M172" s="400"/>
      <c r="N172" s="427" t="s">
        <v>4119</v>
      </c>
      <c r="O172" s="428"/>
      <c r="P172" s="403" t="s">
        <v>3379</v>
      </c>
      <c r="Q172" s="437"/>
      <c r="R172" s="403"/>
      <c r="S172" s="403"/>
      <c r="T172" s="403"/>
      <c r="U172" s="407"/>
      <c r="V172" s="405" t="s">
        <v>1387</v>
      </c>
      <c r="W172" s="407"/>
      <c r="X172" s="403" t="s">
        <v>113</v>
      </c>
      <c r="Y172" s="403" t="s">
        <v>4284</v>
      </c>
      <c r="Z172" s="403" t="s">
        <v>113</v>
      </c>
      <c r="AA172" s="405" t="s">
        <v>3178</v>
      </c>
      <c r="AB172" s="432" t="s">
        <v>4265</v>
      </c>
      <c r="AC172" s="421"/>
      <c r="AD172" s="403"/>
      <c r="AE172" s="406"/>
      <c r="AF172" s="407"/>
      <c r="AG172" s="407"/>
      <c r="AH172" s="399"/>
      <c r="AI172" s="400"/>
      <c r="AJ172" s="399"/>
      <c r="AK172" s="399"/>
      <c r="AL172" s="399"/>
      <c r="AM172" s="399"/>
      <c r="AN172" s="399"/>
      <c r="AO172" s="399"/>
      <c r="AP172" s="399"/>
      <c r="AQ172" s="409" t="s">
        <v>3130</v>
      </c>
      <c r="AR172" s="399"/>
      <c r="AS172" s="399"/>
      <c r="AT172" s="399"/>
      <c r="AU172" s="399" t="s">
        <v>4286</v>
      </c>
      <c r="AV172" s="399" t="str">
        <f t="shared" si="27"/>
        <v>Changed</v>
      </c>
      <c r="AW172" s="399"/>
      <c r="AX172" s="409" t="s">
        <v>3343</v>
      </c>
      <c r="AY172" s="399" t="e">
        <f t="shared" ca="1" si="28"/>
        <v>#NAME?</v>
      </c>
      <c r="AZ172" s="399"/>
      <c r="BA172" s="409">
        <v>1</v>
      </c>
      <c r="BB172" s="415" t="s">
        <v>3131</v>
      </c>
      <c r="BC172" s="409" t="s">
        <v>1387</v>
      </c>
      <c r="BD172" s="399"/>
      <c r="BE172" s="411"/>
      <c r="BF172" s="411"/>
      <c r="BG172" s="411" t="s">
        <v>3808</v>
      </c>
      <c r="BH172" s="411"/>
      <c r="BI172" s="411"/>
      <c r="BJ172" s="399"/>
      <c r="BK172" s="399"/>
      <c r="BL172" s="399"/>
      <c r="BM172" s="399"/>
      <c r="BN172" s="399"/>
      <c r="BO172" s="399"/>
      <c r="BP172" s="399"/>
      <c r="BQ172" s="399"/>
      <c r="BR172" s="399"/>
      <c r="BS172" s="407"/>
      <c r="BT172" s="407"/>
      <c r="BU172" s="412"/>
      <c r="BV172" s="46" t="str">
        <f t="shared" si="8"/>
        <v/>
      </c>
      <c r="BW172" s="46">
        <f t="shared" si="9"/>
        <v>0</v>
      </c>
      <c r="BX172" s="46">
        <f t="shared" si="10"/>
        <v>0</v>
      </c>
      <c r="BY172" s="43" t="str">
        <f t="shared" si="11"/>
        <v xml:space="preserve">WHO-FP Encounter (Contraception Issues and Concerns) </v>
      </c>
      <c r="BZ172" s="46">
        <f t="shared" si="12"/>
        <v>1</v>
      </c>
      <c r="CA172" s="46" t="str">
        <f t="shared" si="13"/>
        <v/>
      </c>
      <c r="CB172" s="46">
        <f t="shared" si="14"/>
        <v>1</v>
      </c>
      <c r="CC172" s="46">
        <f t="shared" si="15"/>
        <v>1</v>
      </c>
      <c r="CD172" s="46">
        <f t="shared" si="16"/>
        <v>1</v>
      </c>
      <c r="CE172" s="46">
        <f t="shared" si="17"/>
        <v>0</v>
      </c>
      <c r="CF172" s="46">
        <f t="shared" si="18"/>
        <v>0</v>
      </c>
      <c r="CG172" s="46" t="str">
        <f ca="1">IFERROR(__xludf.DUMMYFUNCTION("if(OR(BH172="""",LEFT(BH172,2)=""LA""),"""",IMPORTXML(CONCATENATE(""https://loinc.org/"",BH172,""/""),""//span[@id='lcn']""))"),"")</f>
        <v/>
      </c>
      <c r="CH172" s="46"/>
      <c r="CI172" s="46"/>
      <c r="CJ172" s="46"/>
      <c r="CK172" s="46"/>
      <c r="CL172" s="46"/>
      <c r="CM172" s="46"/>
      <c r="CN172" s="46"/>
      <c r="CO172" s="46"/>
      <c r="CP172" s="46"/>
      <c r="CQ172" s="46"/>
      <c r="CR172" s="46"/>
      <c r="CS172" s="46"/>
      <c r="CT172" s="46"/>
      <c r="CU172" s="46"/>
    </row>
    <row r="173" spans="1:99" ht="12.75" customHeight="1">
      <c r="A173" s="399">
        <v>1406</v>
      </c>
      <c r="B173" s="399" t="s">
        <v>4288</v>
      </c>
      <c r="C173" s="399">
        <f t="shared" si="22"/>
        <v>1406</v>
      </c>
      <c r="D173" s="399" t="e">
        <f t="shared" ca="1" si="23"/>
        <v>#NAME?</v>
      </c>
      <c r="E173" s="399" t="str">
        <f t="shared" si="24"/>
        <v>Difficulty persuading partner to use method</v>
      </c>
      <c r="F173" s="399" t="str">
        <f t="shared" si="32"/>
        <v>Input Option</v>
      </c>
      <c r="G173" s="400">
        <f t="shared" si="26"/>
        <v>50</v>
      </c>
      <c r="H173" s="399" t="str">
        <f t="shared" si="21"/>
        <v>Contraception Issues and concerns</v>
      </c>
      <c r="I173" s="400"/>
      <c r="J173" s="400"/>
      <c r="K173" s="401" t="s">
        <v>3333</v>
      </c>
      <c r="L173" s="402" t="s">
        <v>3334</v>
      </c>
      <c r="M173" s="400"/>
      <c r="N173" s="427" t="s">
        <v>4119</v>
      </c>
      <c r="O173" s="428"/>
      <c r="P173" s="403" t="s">
        <v>4289</v>
      </c>
      <c r="Q173" s="405"/>
      <c r="R173" s="403"/>
      <c r="S173" s="432" t="s">
        <v>4290</v>
      </c>
      <c r="T173" s="436"/>
      <c r="U173" s="407"/>
      <c r="V173" s="403" t="s">
        <v>4291</v>
      </c>
      <c r="W173" s="407"/>
      <c r="X173" s="403" t="s">
        <v>208</v>
      </c>
      <c r="Y173" s="403"/>
      <c r="Z173" s="403" t="s">
        <v>113</v>
      </c>
      <c r="AA173" s="405" t="s">
        <v>3178</v>
      </c>
      <c r="AB173" s="432" t="s">
        <v>4265</v>
      </c>
      <c r="AC173" s="421"/>
      <c r="AD173" s="403"/>
      <c r="AE173" s="406"/>
      <c r="AF173" s="407"/>
      <c r="AG173" s="407"/>
      <c r="AH173" s="399"/>
      <c r="AI173" s="400"/>
      <c r="AJ173" s="399"/>
      <c r="AK173" s="399"/>
      <c r="AL173" s="399"/>
      <c r="AM173" s="399"/>
      <c r="AN173" s="399"/>
      <c r="AO173" s="399"/>
      <c r="AP173" s="399"/>
      <c r="AQ173" s="409" t="s">
        <v>3130</v>
      </c>
      <c r="AR173" s="399"/>
      <c r="AS173" s="399"/>
      <c r="AT173" s="399"/>
      <c r="AU173" s="399" t="s">
        <v>4288</v>
      </c>
      <c r="AV173" s="399" t="str">
        <f t="shared" si="27"/>
        <v>Same</v>
      </c>
      <c r="AW173" s="399"/>
      <c r="AX173" s="409" t="s">
        <v>3343</v>
      </c>
      <c r="AY173" s="399" t="e">
        <f t="shared" ca="1" si="28"/>
        <v>#NAME?</v>
      </c>
      <c r="AZ173" s="399"/>
      <c r="BA173" s="409">
        <v>1</v>
      </c>
      <c r="BB173" s="415" t="s">
        <v>3131</v>
      </c>
      <c r="BC173" s="399" t="s">
        <v>4291</v>
      </c>
      <c r="BD173" s="409" t="s">
        <v>4266</v>
      </c>
      <c r="BE173" s="411"/>
      <c r="BF173" s="411"/>
      <c r="BG173" s="411"/>
      <c r="BH173" s="411"/>
      <c r="BI173" s="411"/>
      <c r="BJ173" s="409" t="s">
        <v>4282</v>
      </c>
      <c r="BK173" s="399"/>
      <c r="BL173" s="409" t="s">
        <v>3162</v>
      </c>
      <c r="BM173" s="399"/>
      <c r="BN173" s="399"/>
      <c r="BO173" s="399"/>
      <c r="BP173" s="399"/>
      <c r="BQ173" s="399"/>
      <c r="BR173" s="399"/>
      <c r="BS173" s="407"/>
      <c r="BT173" s="407"/>
      <c r="BU173" s="412"/>
      <c r="BV173" s="46" t="str">
        <f t="shared" si="8"/>
        <v/>
      </c>
      <c r="BW173" s="46">
        <f t="shared" si="9"/>
        <v>0</v>
      </c>
      <c r="BX173" s="46">
        <f t="shared" si="10"/>
        <v>0</v>
      </c>
      <c r="BY173" s="43" t="str">
        <f t="shared" si="11"/>
        <v xml:space="preserve">WHO-FP Encounter (Contraception Issues and Concerns) </v>
      </c>
      <c r="BZ173" s="46">
        <f t="shared" si="12"/>
        <v>1</v>
      </c>
      <c r="CA173" s="46" t="str">
        <f t="shared" si="13"/>
        <v/>
      </c>
      <c r="CB173" s="46">
        <f t="shared" si="14"/>
        <v>1</v>
      </c>
      <c r="CC173" s="46">
        <f t="shared" si="15"/>
        <v>1</v>
      </c>
      <c r="CD173" s="46">
        <f t="shared" si="16"/>
        <v>1</v>
      </c>
      <c r="CE173" s="46">
        <f t="shared" si="17"/>
        <v>0</v>
      </c>
      <c r="CF173" s="46">
        <f t="shared" si="18"/>
        <v>0</v>
      </c>
      <c r="CG173" s="46" t="str">
        <f ca="1">IFERROR(__xludf.DUMMYFUNCTION("if(OR(BH173="""",LEFT(BH173,2)=""LA""),"""",IMPORTXML(CONCATENATE(""https://loinc.org/"",BH173,""/""),""//span[@id='lcn']""))"),"")</f>
        <v/>
      </c>
      <c r="CH173" s="46"/>
      <c r="CI173" s="46"/>
      <c r="CJ173" s="46"/>
      <c r="CK173" s="46"/>
      <c r="CL173" s="46"/>
      <c r="CM173" s="46"/>
      <c r="CN173" s="46"/>
      <c r="CO173" s="46"/>
      <c r="CP173" s="46"/>
      <c r="CQ173" s="46"/>
      <c r="CR173" s="46"/>
      <c r="CS173" s="46"/>
      <c r="CT173" s="46"/>
      <c r="CU173" s="46"/>
    </row>
    <row r="174" spans="1:99" ht="12.75" customHeight="1">
      <c r="A174" s="399">
        <v>1407</v>
      </c>
      <c r="B174" s="399" t="s">
        <v>4292</v>
      </c>
      <c r="C174" s="399">
        <f t="shared" si="22"/>
        <v>1407</v>
      </c>
      <c r="D174" s="399" t="e">
        <f t="shared" ca="1" si="23"/>
        <v>#NAME?</v>
      </c>
      <c r="E174" s="399" t="str">
        <f t="shared" si="24"/>
        <v>Irritation</v>
      </c>
      <c r="F174" s="399" t="str">
        <f t="shared" si="32"/>
        <v>Input Option</v>
      </c>
      <c r="G174" s="400">
        <f t="shared" si="26"/>
        <v>17</v>
      </c>
      <c r="H174" s="399" t="str">
        <f t="shared" si="21"/>
        <v>Contraception Issues and concerns</v>
      </c>
      <c r="I174" s="400"/>
      <c r="J174" s="400"/>
      <c r="K174" s="401" t="s">
        <v>3333</v>
      </c>
      <c r="L174" s="402" t="s">
        <v>3334</v>
      </c>
      <c r="M174" s="400"/>
      <c r="N174" s="427" t="s">
        <v>4119</v>
      </c>
      <c r="O174" s="428"/>
      <c r="P174" s="403" t="s">
        <v>4293</v>
      </c>
      <c r="Q174" s="405"/>
      <c r="R174" s="403"/>
      <c r="S174" s="403" t="s">
        <v>4294</v>
      </c>
      <c r="T174" s="403"/>
      <c r="U174" s="407"/>
      <c r="V174" s="407" t="s">
        <v>4295</v>
      </c>
      <c r="W174" s="407"/>
      <c r="X174" s="403" t="s">
        <v>208</v>
      </c>
      <c r="Y174" s="403"/>
      <c r="Z174" s="403" t="s">
        <v>113</v>
      </c>
      <c r="AA174" s="405" t="s">
        <v>3178</v>
      </c>
      <c r="AB174" s="432" t="s">
        <v>4265</v>
      </c>
      <c r="AC174" s="421"/>
      <c r="AD174" s="403"/>
      <c r="AE174" s="406"/>
      <c r="AF174" s="407"/>
      <c r="AG174" s="407"/>
      <c r="AH174" s="399"/>
      <c r="AI174" s="400"/>
      <c r="AJ174" s="399"/>
      <c r="AK174" s="399"/>
      <c r="AL174" s="399"/>
      <c r="AM174" s="399"/>
      <c r="AN174" s="399"/>
      <c r="AO174" s="399"/>
      <c r="AP174" s="399"/>
      <c r="AQ174" s="409" t="s">
        <v>3130</v>
      </c>
      <c r="AR174" s="399"/>
      <c r="AS174" s="399"/>
      <c r="AT174" s="399"/>
      <c r="AU174" s="399" t="s">
        <v>4292</v>
      </c>
      <c r="AV174" s="399" t="str">
        <f t="shared" si="27"/>
        <v>Same</v>
      </c>
      <c r="AW174" s="399"/>
      <c r="AX174" s="409" t="s">
        <v>3343</v>
      </c>
      <c r="AY174" s="399" t="e">
        <f t="shared" ca="1" si="28"/>
        <v>#NAME?</v>
      </c>
      <c r="AZ174" s="399"/>
      <c r="BA174" s="409">
        <v>1</v>
      </c>
      <c r="BB174" s="399"/>
      <c r="BC174" s="399"/>
      <c r="BD174" s="409" t="s">
        <v>3162</v>
      </c>
      <c r="BE174" s="411" t="s">
        <v>4296</v>
      </c>
      <c r="BF174" s="411"/>
      <c r="BG174" s="411"/>
      <c r="BH174" s="411"/>
      <c r="BI174" s="411"/>
      <c r="BJ174" s="399"/>
      <c r="BK174" s="399"/>
      <c r="BL174" s="399"/>
      <c r="BM174" s="399"/>
      <c r="BN174" s="399"/>
      <c r="BO174" s="399"/>
      <c r="BP174" s="399"/>
      <c r="BQ174" s="399"/>
      <c r="BR174" s="399"/>
      <c r="BS174" s="407"/>
      <c r="BT174" s="407"/>
      <c r="BU174" s="412"/>
      <c r="BV174" s="46" t="str">
        <f t="shared" si="8"/>
        <v/>
      </c>
      <c r="BW174" s="46">
        <f t="shared" si="9"/>
        <v>0</v>
      </c>
      <c r="BX174" s="46">
        <f t="shared" si="10"/>
        <v>0</v>
      </c>
      <c r="BY174" s="43" t="str">
        <f t="shared" si="11"/>
        <v xml:space="preserve">WHO-FP Encounter (Contraception Issues and Concerns) </v>
      </c>
      <c r="BZ174" s="46">
        <f t="shared" si="12"/>
        <v>1</v>
      </c>
      <c r="CA174" s="46" t="str">
        <f t="shared" si="13"/>
        <v/>
      </c>
      <c r="CB174" s="46">
        <f t="shared" si="14"/>
        <v>1</v>
      </c>
      <c r="CC174" s="46">
        <f t="shared" si="15"/>
        <v>1</v>
      </c>
      <c r="CD174" s="46">
        <f t="shared" si="16"/>
        <v>1</v>
      </c>
      <c r="CE174" s="46">
        <f t="shared" si="17"/>
        <v>0</v>
      </c>
      <c r="CF174" s="46">
        <f t="shared" si="18"/>
        <v>0</v>
      </c>
      <c r="CG174" s="46" t="str">
        <f ca="1">IFERROR(__xludf.DUMMYFUNCTION("if(OR(BH174="""",LEFT(BH174,2)=""LA""),"""",IMPORTXML(CONCATENATE(""https://loinc.org/"",BH174,""/""),""//span[@id='lcn']""))"),"")</f>
        <v/>
      </c>
      <c r="CH174" s="46"/>
      <c r="CI174" s="46"/>
      <c r="CJ174" s="46"/>
      <c r="CK174" s="46"/>
      <c r="CL174" s="46"/>
      <c r="CM174" s="46"/>
      <c r="CN174" s="46"/>
      <c r="CO174" s="46"/>
      <c r="CP174" s="46"/>
      <c r="CQ174" s="46"/>
      <c r="CR174" s="46"/>
      <c r="CS174" s="46"/>
      <c r="CT174" s="46"/>
      <c r="CU174" s="46"/>
    </row>
    <row r="175" spans="1:99" ht="12.75" customHeight="1">
      <c r="A175" s="399">
        <v>1408</v>
      </c>
      <c r="B175" s="399" t="s">
        <v>4297</v>
      </c>
      <c r="C175" s="399">
        <f t="shared" si="22"/>
        <v>1408</v>
      </c>
      <c r="D175" s="399" t="e">
        <f t="shared" ca="1" si="23"/>
        <v>#NAME?</v>
      </c>
      <c r="E175" s="399" t="str">
        <f t="shared" si="24"/>
        <v>Allergic reaction</v>
      </c>
      <c r="F175" s="399" t="str">
        <f t="shared" si="32"/>
        <v>Input Option</v>
      </c>
      <c r="G175" s="400">
        <f t="shared" si="26"/>
        <v>24</v>
      </c>
      <c r="H175" s="399" t="str">
        <f t="shared" si="21"/>
        <v>Contraception Issues and concerns</v>
      </c>
      <c r="I175" s="400"/>
      <c r="J175" s="400"/>
      <c r="K175" s="401" t="s">
        <v>3333</v>
      </c>
      <c r="L175" s="402" t="s">
        <v>3334</v>
      </c>
      <c r="M175" s="400"/>
      <c r="N175" s="427" t="s">
        <v>4119</v>
      </c>
      <c r="O175" s="428"/>
      <c r="P175" s="405" t="s">
        <v>4298</v>
      </c>
      <c r="Q175" s="405"/>
      <c r="R175" s="403"/>
      <c r="S175" s="405"/>
      <c r="T175" s="405"/>
      <c r="U175" s="431"/>
      <c r="V175" s="429" t="s">
        <v>4299</v>
      </c>
      <c r="W175" s="407"/>
      <c r="X175" s="403" t="s">
        <v>208</v>
      </c>
      <c r="Y175" s="405"/>
      <c r="Z175" s="403" t="s">
        <v>113</v>
      </c>
      <c r="AA175" s="405" t="s">
        <v>3178</v>
      </c>
      <c r="AB175" s="429" t="s">
        <v>4265</v>
      </c>
      <c r="AC175" s="421"/>
      <c r="AD175" s="405"/>
      <c r="AE175" s="419"/>
      <c r="AF175" s="431"/>
      <c r="AG175" s="431"/>
      <c r="AH175" s="399"/>
      <c r="AI175" s="400"/>
      <c r="AJ175" s="399"/>
      <c r="AK175" s="399"/>
      <c r="AL175" s="399"/>
      <c r="AM175" s="399"/>
      <c r="AN175" s="399"/>
      <c r="AO175" s="399"/>
      <c r="AP175" s="399"/>
      <c r="AQ175" s="409" t="s">
        <v>3130</v>
      </c>
      <c r="AR175" s="399"/>
      <c r="AS175" s="399"/>
      <c r="AT175" s="399"/>
      <c r="AU175" s="399" t="s">
        <v>4297</v>
      </c>
      <c r="AV175" s="399" t="str">
        <f t="shared" si="27"/>
        <v>Same</v>
      </c>
      <c r="AW175" s="399"/>
      <c r="AX175" s="409" t="s">
        <v>3343</v>
      </c>
      <c r="AY175" s="399" t="e">
        <f t="shared" ca="1" si="28"/>
        <v>#NAME?</v>
      </c>
      <c r="AZ175" s="399"/>
      <c r="BA175" s="409">
        <v>1</v>
      </c>
      <c r="BB175" s="399"/>
      <c r="BC175" s="399"/>
      <c r="BD175" s="409" t="s">
        <v>3162</v>
      </c>
      <c r="BE175" s="411" t="s">
        <v>4300</v>
      </c>
      <c r="BF175" s="411"/>
      <c r="BG175" s="411"/>
      <c r="BH175" s="411"/>
      <c r="BI175" s="411"/>
      <c r="BJ175" s="399"/>
      <c r="BK175" s="399"/>
      <c r="BL175" s="399"/>
      <c r="BM175" s="399"/>
      <c r="BN175" s="399"/>
      <c r="BO175" s="399"/>
      <c r="BP175" s="399"/>
      <c r="BQ175" s="399"/>
      <c r="BR175" s="399"/>
      <c r="BS175" s="407"/>
      <c r="BT175" s="407"/>
      <c r="BU175" s="412"/>
      <c r="BV175" s="46" t="str">
        <f t="shared" si="8"/>
        <v/>
      </c>
      <c r="BW175" s="46">
        <f t="shared" si="9"/>
        <v>0</v>
      </c>
      <c r="BX175" s="46">
        <f t="shared" si="10"/>
        <v>0</v>
      </c>
      <c r="BY175" s="43" t="str">
        <f t="shared" si="11"/>
        <v xml:space="preserve">WHO-FP Encounter (Contraception Issues and Concerns) </v>
      </c>
      <c r="BZ175" s="46">
        <f t="shared" si="12"/>
        <v>1</v>
      </c>
      <c r="CA175" s="46" t="str">
        <f t="shared" si="13"/>
        <v/>
      </c>
      <c r="CB175" s="46">
        <f t="shared" si="14"/>
        <v>1</v>
      </c>
      <c r="CC175" s="46">
        <f t="shared" si="15"/>
        <v>1</v>
      </c>
      <c r="CD175" s="46">
        <f t="shared" si="16"/>
        <v>1</v>
      </c>
      <c r="CE175" s="46">
        <f t="shared" si="17"/>
        <v>0</v>
      </c>
      <c r="CF175" s="46">
        <f t="shared" si="18"/>
        <v>0</v>
      </c>
      <c r="CG175" s="46" t="str">
        <f ca="1">IFERROR(__xludf.DUMMYFUNCTION("if(OR(BH175="""",LEFT(BH175,2)=""LA""),"""",IMPORTXML(CONCATENATE(""https://loinc.org/"",BH175,""/""),""//span[@id='lcn']""))"),"")</f>
        <v/>
      </c>
      <c r="CH175" s="46"/>
      <c r="CI175" s="46"/>
      <c r="CJ175" s="46"/>
      <c r="CK175" s="46"/>
      <c r="CL175" s="46"/>
      <c r="CM175" s="46"/>
      <c r="CN175" s="46"/>
      <c r="CO175" s="46"/>
      <c r="CP175" s="46"/>
      <c r="CQ175" s="46"/>
      <c r="CR175" s="46"/>
      <c r="CS175" s="46"/>
      <c r="CT175" s="46"/>
      <c r="CU175" s="46"/>
    </row>
    <row r="176" spans="1:99" ht="12.75" customHeight="1">
      <c r="A176" s="399">
        <v>1411</v>
      </c>
      <c r="B176" s="399" t="s">
        <v>4301</v>
      </c>
      <c r="C176" s="399">
        <f t="shared" si="22"/>
        <v>1411</v>
      </c>
      <c r="D176" s="399" t="e">
        <f t="shared" ca="1" si="23"/>
        <v>#NAME?</v>
      </c>
      <c r="E176" s="399" t="str">
        <f t="shared" si="24"/>
        <v>Acne</v>
      </c>
      <c r="F176" s="399" t="str">
        <f t="shared" si="32"/>
        <v>Input Option</v>
      </c>
      <c r="G176" s="400">
        <f t="shared" si="26"/>
        <v>11</v>
      </c>
      <c r="H176" s="399" t="str">
        <f t="shared" si="21"/>
        <v>Contraception Issues and concerns</v>
      </c>
      <c r="I176" s="400"/>
      <c r="J176" s="400"/>
      <c r="K176" s="401" t="s">
        <v>3333</v>
      </c>
      <c r="L176" s="402" t="s">
        <v>3334</v>
      </c>
      <c r="M176" s="400"/>
      <c r="N176" s="427" t="s">
        <v>4119</v>
      </c>
      <c r="O176" s="428"/>
      <c r="P176" s="403" t="s">
        <v>4302</v>
      </c>
      <c r="Q176" s="405"/>
      <c r="R176" s="403"/>
      <c r="S176" s="403"/>
      <c r="T176" s="403"/>
      <c r="U176" s="407"/>
      <c r="V176" s="431" t="s">
        <v>4303</v>
      </c>
      <c r="W176" s="407"/>
      <c r="X176" s="403" t="s">
        <v>208</v>
      </c>
      <c r="Y176" s="403"/>
      <c r="Z176" s="403" t="s">
        <v>113</v>
      </c>
      <c r="AA176" s="405" t="s">
        <v>3178</v>
      </c>
      <c r="AB176" s="432" t="s">
        <v>4194</v>
      </c>
      <c r="AC176" s="421"/>
      <c r="AD176" s="403"/>
      <c r="AE176" s="406"/>
      <c r="AF176" s="407"/>
      <c r="AG176" s="407"/>
      <c r="AH176" s="399"/>
      <c r="AI176" s="400"/>
      <c r="AJ176" s="399"/>
      <c r="AK176" s="399"/>
      <c r="AL176" s="399"/>
      <c r="AM176" s="399"/>
      <c r="AN176" s="399"/>
      <c r="AO176" s="399"/>
      <c r="AP176" s="399"/>
      <c r="AQ176" s="409" t="s">
        <v>3130</v>
      </c>
      <c r="AR176" s="399"/>
      <c r="AS176" s="399"/>
      <c r="AT176" s="399"/>
      <c r="AU176" s="399" t="s">
        <v>4301</v>
      </c>
      <c r="AV176" s="399" t="str">
        <f t="shared" si="27"/>
        <v>Same</v>
      </c>
      <c r="AW176" s="399"/>
      <c r="AX176" s="409" t="s">
        <v>3343</v>
      </c>
      <c r="AY176" s="399" t="e">
        <f t="shared" ca="1" si="28"/>
        <v>#NAME?</v>
      </c>
      <c r="AZ176" s="399"/>
      <c r="BA176" s="409">
        <v>1</v>
      </c>
      <c r="BB176" s="399"/>
      <c r="BC176" s="399"/>
      <c r="BD176" s="409" t="s">
        <v>3162</v>
      </c>
      <c r="BE176" s="411" t="s">
        <v>4304</v>
      </c>
      <c r="BF176" s="411"/>
      <c r="BG176" s="411" t="s">
        <v>4305</v>
      </c>
      <c r="BH176" s="411"/>
      <c r="BI176" s="411"/>
      <c r="BJ176" s="399"/>
      <c r="BK176" s="399"/>
      <c r="BL176" s="399"/>
      <c r="BM176" s="399"/>
      <c r="BN176" s="399"/>
      <c r="BO176" s="399">
        <v>150144</v>
      </c>
      <c r="BP176" s="399"/>
      <c r="BQ176" s="399"/>
      <c r="BR176" s="399"/>
      <c r="BS176" s="407"/>
      <c r="BT176" s="407"/>
      <c r="BU176" s="412"/>
      <c r="BV176" s="46" t="str">
        <f t="shared" si="8"/>
        <v/>
      </c>
      <c r="BW176" s="46">
        <f t="shared" si="9"/>
        <v>0</v>
      </c>
      <c r="BX176" s="46">
        <f t="shared" si="10"/>
        <v>0</v>
      </c>
      <c r="BY176" s="43" t="str">
        <f t="shared" si="11"/>
        <v xml:space="preserve">WHO-FP Encounter (Contraception Issues and Concerns) </v>
      </c>
      <c r="BZ176" s="46">
        <f t="shared" si="12"/>
        <v>1</v>
      </c>
      <c r="CA176" s="46" t="str">
        <f t="shared" si="13"/>
        <v/>
      </c>
      <c r="CB176" s="46">
        <f t="shared" si="14"/>
        <v>1</v>
      </c>
      <c r="CC176" s="46">
        <f t="shared" si="15"/>
        <v>1</v>
      </c>
      <c r="CD176" s="46">
        <f t="shared" si="16"/>
        <v>1</v>
      </c>
      <c r="CE176" s="46">
        <f t="shared" si="17"/>
        <v>0</v>
      </c>
      <c r="CF176" s="46">
        <f t="shared" si="18"/>
        <v>0</v>
      </c>
      <c r="CG176" s="46" t="str">
        <f ca="1">IFERROR(__xludf.DUMMYFUNCTION("if(OR(BH176="""",LEFT(BH176,2)=""LA""),"""",IMPORTXML(CONCATENATE(""https://loinc.org/"",BH176,""/""),""//span[@id='lcn']""))"),"")</f>
        <v/>
      </c>
      <c r="CH176" s="46"/>
      <c r="CI176" s="46"/>
      <c r="CJ176" s="46"/>
      <c r="CK176" s="46"/>
      <c r="CL176" s="46"/>
      <c r="CM176" s="46"/>
      <c r="CN176" s="46"/>
      <c r="CO176" s="46"/>
      <c r="CP176" s="46"/>
      <c r="CQ176" s="46"/>
      <c r="CR176" s="46"/>
      <c r="CS176" s="46"/>
      <c r="CT176" s="46"/>
      <c r="CU176" s="46"/>
    </row>
    <row r="177" spans="1:99" ht="12.75" customHeight="1">
      <c r="A177" s="399">
        <v>1412</v>
      </c>
      <c r="B177" s="399" t="s">
        <v>4306</v>
      </c>
      <c r="C177" s="399">
        <f t="shared" si="22"/>
        <v>1412</v>
      </c>
      <c r="D177" s="399" t="e">
        <f t="shared" ca="1" si="23"/>
        <v>#NAME?</v>
      </c>
      <c r="E177" s="399" t="str">
        <f t="shared" si="24"/>
        <v>Weight change</v>
      </c>
      <c r="F177" s="399" t="str">
        <f t="shared" si="32"/>
        <v>Input Option</v>
      </c>
      <c r="G177" s="400">
        <f t="shared" si="26"/>
        <v>20</v>
      </c>
      <c r="H177" s="399" t="str">
        <f t="shared" si="21"/>
        <v>Contraception Issues and concerns</v>
      </c>
      <c r="I177" s="400"/>
      <c r="J177" s="400"/>
      <c r="K177" s="401" t="s">
        <v>3333</v>
      </c>
      <c r="L177" s="402" t="s">
        <v>3334</v>
      </c>
      <c r="M177" s="400"/>
      <c r="N177" s="427" t="s">
        <v>4119</v>
      </c>
      <c r="O177" s="428"/>
      <c r="P177" s="403" t="s">
        <v>4307</v>
      </c>
      <c r="Q177" s="405"/>
      <c r="R177" s="403"/>
      <c r="S177" s="403"/>
      <c r="T177" s="403"/>
      <c r="U177" s="407"/>
      <c r="V177" s="429" t="s">
        <v>4308</v>
      </c>
      <c r="W177" s="407"/>
      <c r="X177" s="403" t="s">
        <v>208</v>
      </c>
      <c r="Y177" s="403"/>
      <c r="Z177" s="403" t="s">
        <v>113</v>
      </c>
      <c r="AA177" s="405" t="s">
        <v>3178</v>
      </c>
      <c r="AB177" s="432" t="s">
        <v>4309</v>
      </c>
      <c r="AC177" s="421"/>
      <c r="AD177" s="403"/>
      <c r="AE177" s="406"/>
      <c r="AF177" s="407"/>
      <c r="AG177" s="407"/>
      <c r="AH177" s="399"/>
      <c r="AI177" s="400"/>
      <c r="AJ177" s="399"/>
      <c r="AK177" s="399"/>
      <c r="AL177" s="399"/>
      <c r="AM177" s="399"/>
      <c r="AN177" s="399"/>
      <c r="AO177" s="399"/>
      <c r="AP177" s="399"/>
      <c r="AQ177" s="409" t="s">
        <v>3130</v>
      </c>
      <c r="AR177" s="399"/>
      <c r="AS177" s="399"/>
      <c r="AT177" s="399"/>
      <c r="AU177" s="399" t="s">
        <v>4306</v>
      </c>
      <c r="AV177" s="399" t="str">
        <f t="shared" si="27"/>
        <v>Same</v>
      </c>
      <c r="AW177" s="399"/>
      <c r="AX177" s="409" t="s">
        <v>3343</v>
      </c>
      <c r="AY177" s="399" t="e">
        <f t="shared" ca="1" si="28"/>
        <v>#NAME?</v>
      </c>
      <c r="AZ177" s="399"/>
      <c r="BA177" s="409">
        <v>1</v>
      </c>
      <c r="BB177" s="399"/>
      <c r="BC177" s="399"/>
      <c r="BD177" s="409" t="s">
        <v>3162</v>
      </c>
      <c r="BE177" s="411"/>
      <c r="BF177" s="411"/>
      <c r="BG177" s="411" t="s">
        <v>4310</v>
      </c>
      <c r="BH177" s="411"/>
      <c r="BI177" s="411"/>
      <c r="BJ177" s="399"/>
      <c r="BK177" s="399"/>
      <c r="BL177" s="399"/>
      <c r="BM177" s="399"/>
      <c r="BN177" s="399"/>
      <c r="BO177" s="399">
        <v>983</v>
      </c>
      <c r="BP177" s="399"/>
      <c r="BQ177" s="399"/>
      <c r="BR177" s="399"/>
      <c r="BS177" s="407"/>
      <c r="BT177" s="407"/>
      <c r="BU177" s="412"/>
      <c r="BV177" s="46" t="str">
        <f t="shared" si="8"/>
        <v/>
      </c>
      <c r="BW177" s="46">
        <f t="shared" si="9"/>
        <v>0</v>
      </c>
      <c r="BX177" s="46">
        <f t="shared" si="10"/>
        <v>0</v>
      </c>
      <c r="BY177" s="43" t="str">
        <f t="shared" si="11"/>
        <v xml:space="preserve">WHO-FP Encounter (Contraception Issues and Concerns) </v>
      </c>
      <c r="BZ177" s="46">
        <f t="shared" si="12"/>
        <v>1</v>
      </c>
      <c r="CA177" s="46" t="str">
        <f t="shared" si="13"/>
        <v/>
      </c>
      <c r="CB177" s="46">
        <f t="shared" si="14"/>
        <v>1</v>
      </c>
      <c r="CC177" s="46">
        <f t="shared" si="15"/>
        <v>1</v>
      </c>
      <c r="CD177" s="46">
        <f t="shared" si="16"/>
        <v>1</v>
      </c>
      <c r="CE177" s="46">
        <f t="shared" si="17"/>
        <v>0</v>
      </c>
      <c r="CF177" s="46">
        <f t="shared" si="18"/>
        <v>0</v>
      </c>
      <c r="CG177" s="46" t="str">
        <f ca="1">IFERROR(__xludf.DUMMYFUNCTION("if(OR(BH177="""",LEFT(BH177,2)=""LA""),"""",IMPORTXML(CONCATENATE(""https://loinc.org/"",BH177,""/""),""//span[@id='lcn']""))"),"")</f>
        <v/>
      </c>
      <c r="CH177" s="46"/>
      <c r="CI177" s="46"/>
      <c r="CJ177" s="46"/>
      <c r="CK177" s="46"/>
      <c r="CL177" s="46"/>
      <c r="CM177" s="46"/>
      <c r="CN177" s="46"/>
      <c r="CO177" s="46"/>
      <c r="CP177" s="46"/>
      <c r="CQ177" s="46"/>
      <c r="CR177" s="46"/>
      <c r="CS177" s="46"/>
      <c r="CT177" s="46"/>
      <c r="CU177" s="46"/>
    </row>
    <row r="178" spans="1:99" ht="12.75" customHeight="1">
      <c r="A178" s="399">
        <v>1413</v>
      </c>
      <c r="B178" s="399" t="s">
        <v>4311</v>
      </c>
      <c r="C178" s="399">
        <f t="shared" si="22"/>
        <v>1413</v>
      </c>
      <c r="D178" s="399" t="e">
        <f t="shared" ca="1" si="23"/>
        <v>#NAME?</v>
      </c>
      <c r="E178" s="399" t="str">
        <f t="shared" si="24"/>
        <v>Headaches</v>
      </c>
      <c r="F178" s="399" t="str">
        <f t="shared" si="32"/>
        <v>Input Option</v>
      </c>
      <c r="G178" s="400">
        <f t="shared" si="26"/>
        <v>16</v>
      </c>
      <c r="H178" s="399" t="str">
        <f t="shared" si="21"/>
        <v>Contraception Issues and concerns</v>
      </c>
      <c r="I178" s="400"/>
      <c r="J178" s="400"/>
      <c r="K178" s="401" t="s">
        <v>3333</v>
      </c>
      <c r="L178" s="402" t="s">
        <v>3334</v>
      </c>
      <c r="M178" s="400"/>
      <c r="N178" s="427" t="s">
        <v>4119</v>
      </c>
      <c r="O178" s="428"/>
      <c r="P178" s="405" t="s">
        <v>4312</v>
      </c>
      <c r="Q178" s="405"/>
      <c r="R178" s="403"/>
      <c r="S178" s="403"/>
      <c r="T178" s="403"/>
      <c r="U178" s="407"/>
      <c r="V178" s="403" t="s">
        <v>4313</v>
      </c>
      <c r="W178" s="407"/>
      <c r="X178" s="403" t="s">
        <v>208</v>
      </c>
      <c r="Y178" s="403"/>
      <c r="Z178" s="403" t="s">
        <v>113</v>
      </c>
      <c r="AA178" s="405" t="s">
        <v>3178</v>
      </c>
      <c r="AB178" s="432" t="s">
        <v>4194</v>
      </c>
      <c r="AC178" s="421"/>
      <c r="AD178" s="403"/>
      <c r="AE178" s="406"/>
      <c r="AF178" s="407"/>
      <c r="AG178" s="407"/>
      <c r="AH178" s="399"/>
      <c r="AI178" s="400"/>
      <c r="AJ178" s="399"/>
      <c r="AK178" s="399"/>
      <c r="AL178" s="399"/>
      <c r="AM178" s="399"/>
      <c r="AN178" s="399"/>
      <c r="AO178" s="399"/>
      <c r="AP178" s="399"/>
      <c r="AQ178" s="409" t="s">
        <v>3130</v>
      </c>
      <c r="AR178" s="399"/>
      <c r="AS178" s="399"/>
      <c r="AT178" s="399"/>
      <c r="AU178" s="399" t="s">
        <v>4311</v>
      </c>
      <c r="AV178" s="399" t="str">
        <f t="shared" si="27"/>
        <v>Same</v>
      </c>
      <c r="AW178" s="399"/>
      <c r="AX178" s="409" t="s">
        <v>3343</v>
      </c>
      <c r="AY178" s="399" t="e">
        <f t="shared" ca="1" si="28"/>
        <v>#NAME?</v>
      </c>
      <c r="AZ178" s="399"/>
      <c r="BA178" s="409">
        <v>1</v>
      </c>
      <c r="BB178" s="399"/>
      <c r="BC178" s="399"/>
      <c r="BD178" s="399" t="s">
        <v>3162</v>
      </c>
      <c r="BE178" s="411" t="s">
        <v>4314</v>
      </c>
      <c r="BF178" s="411"/>
      <c r="BG178" s="411"/>
      <c r="BH178" s="411"/>
      <c r="BI178" s="411"/>
      <c r="BJ178" s="399"/>
      <c r="BK178" s="399"/>
      <c r="BL178" s="399"/>
      <c r="BM178" s="409" t="s">
        <v>4315</v>
      </c>
      <c r="BN178" s="399"/>
      <c r="BO178" s="399"/>
      <c r="BP178" s="399"/>
      <c r="BQ178" s="399"/>
      <c r="BR178" s="399"/>
      <c r="BS178" s="407"/>
      <c r="BT178" s="407"/>
      <c r="BU178" s="412"/>
      <c r="BV178" s="46" t="str">
        <f t="shared" si="8"/>
        <v/>
      </c>
      <c r="BW178" s="46">
        <f t="shared" si="9"/>
        <v>0</v>
      </c>
      <c r="BX178" s="46">
        <f t="shared" si="10"/>
        <v>0</v>
      </c>
      <c r="BY178" s="43" t="str">
        <f t="shared" si="11"/>
        <v xml:space="preserve">WHO-FP Encounter (Contraception Issues and Concerns) </v>
      </c>
      <c r="BZ178" s="46">
        <f t="shared" si="12"/>
        <v>1</v>
      </c>
      <c r="CA178" s="46" t="str">
        <f t="shared" si="13"/>
        <v/>
      </c>
      <c r="CB178" s="46">
        <f t="shared" si="14"/>
        <v>1</v>
      </c>
      <c r="CC178" s="46">
        <f t="shared" si="15"/>
        <v>1</v>
      </c>
      <c r="CD178" s="46">
        <f t="shared" si="16"/>
        <v>1</v>
      </c>
      <c r="CE178" s="46">
        <f t="shared" si="17"/>
        <v>0</v>
      </c>
      <c r="CF178" s="46">
        <f t="shared" si="18"/>
        <v>0</v>
      </c>
      <c r="CG178" s="46" t="str">
        <f ca="1">IFERROR(__xludf.DUMMYFUNCTION("if(OR(BH178="""",LEFT(BH178,2)=""LA""),"""",IMPORTXML(CONCATENATE(""https://loinc.org/"",BH178,""/""),""//span[@id='lcn']""))"),"")</f>
        <v/>
      </c>
      <c r="CH178" s="46"/>
      <c r="CI178" s="46"/>
      <c r="CJ178" s="46"/>
      <c r="CK178" s="46"/>
      <c r="CL178" s="46"/>
      <c r="CM178" s="46"/>
      <c r="CN178" s="46"/>
      <c r="CO178" s="46"/>
      <c r="CP178" s="46"/>
      <c r="CQ178" s="46"/>
      <c r="CR178" s="46"/>
      <c r="CS178" s="46"/>
      <c r="CT178" s="46"/>
      <c r="CU178" s="46"/>
    </row>
    <row r="179" spans="1:99" ht="12.75" customHeight="1">
      <c r="A179" s="399">
        <v>1414</v>
      </c>
      <c r="B179" s="399" t="s">
        <v>4317</v>
      </c>
      <c r="C179" s="399">
        <f t="shared" si="22"/>
        <v>1414</v>
      </c>
      <c r="D179" s="399" t="e">
        <f t="shared" ca="1" si="23"/>
        <v>#NAME?</v>
      </c>
      <c r="E179" s="399" t="str">
        <f t="shared" si="24"/>
        <v>Breast tenderness</v>
      </c>
      <c r="F179" s="399" t="str">
        <f t="shared" si="32"/>
        <v>Input Option</v>
      </c>
      <c r="G179" s="400">
        <f t="shared" si="26"/>
        <v>24</v>
      </c>
      <c r="H179" s="399" t="str">
        <f t="shared" si="21"/>
        <v>Contraception Issues and concerns</v>
      </c>
      <c r="I179" s="400"/>
      <c r="J179" s="400"/>
      <c r="K179" s="401" t="s">
        <v>3333</v>
      </c>
      <c r="L179" s="402" t="s">
        <v>3334</v>
      </c>
      <c r="M179" s="400"/>
      <c r="N179" s="427" t="s">
        <v>4119</v>
      </c>
      <c r="O179" s="428"/>
      <c r="P179" s="405" t="s">
        <v>4318</v>
      </c>
      <c r="Q179" s="405"/>
      <c r="R179" s="403"/>
      <c r="S179" s="403"/>
      <c r="T179" s="403"/>
      <c r="U179" s="407"/>
      <c r="V179" s="403" t="s">
        <v>4319</v>
      </c>
      <c r="W179" s="407"/>
      <c r="X179" s="403" t="s">
        <v>208</v>
      </c>
      <c r="Y179" s="403"/>
      <c r="Z179" s="403" t="s">
        <v>113</v>
      </c>
      <c r="AA179" s="405" t="s">
        <v>3178</v>
      </c>
      <c r="AB179" s="432" t="s">
        <v>4309</v>
      </c>
      <c r="AC179" s="421"/>
      <c r="AD179" s="403"/>
      <c r="AE179" s="406"/>
      <c r="AF179" s="407"/>
      <c r="AG179" s="407"/>
      <c r="AH179" s="399"/>
      <c r="AI179" s="400"/>
      <c r="AJ179" s="399"/>
      <c r="AK179" s="399"/>
      <c r="AL179" s="399"/>
      <c r="AM179" s="399"/>
      <c r="AN179" s="399"/>
      <c r="AO179" s="399"/>
      <c r="AP179" s="399"/>
      <c r="AQ179" s="409" t="s">
        <v>3130</v>
      </c>
      <c r="AR179" s="399"/>
      <c r="AS179" s="399"/>
      <c r="AT179" s="399"/>
      <c r="AU179" s="399" t="s">
        <v>4317</v>
      </c>
      <c r="AV179" s="399" t="str">
        <f t="shared" si="27"/>
        <v>Same</v>
      </c>
      <c r="AW179" s="399"/>
      <c r="AX179" s="409" t="s">
        <v>3343</v>
      </c>
      <c r="AY179" s="399" t="e">
        <f t="shared" ca="1" si="28"/>
        <v>#NAME?</v>
      </c>
      <c r="AZ179" s="399"/>
      <c r="BA179" s="409">
        <v>1</v>
      </c>
      <c r="BB179" s="399"/>
      <c r="BC179" s="399"/>
      <c r="BD179" s="409" t="s">
        <v>4321</v>
      </c>
      <c r="BE179" s="411"/>
      <c r="BF179" s="411"/>
      <c r="BG179" s="434" t="s">
        <v>4322</v>
      </c>
      <c r="BH179" s="434" t="s">
        <v>4323</v>
      </c>
      <c r="BI179" s="411"/>
      <c r="BJ179" s="399"/>
      <c r="BK179" s="399"/>
      <c r="BL179" s="399"/>
      <c r="BM179" s="399"/>
      <c r="BN179" s="399"/>
      <c r="BO179" s="399"/>
      <c r="BP179" s="399"/>
      <c r="BQ179" s="399"/>
      <c r="BR179" s="399"/>
      <c r="BS179" s="407"/>
      <c r="BT179" s="407"/>
      <c r="BU179" s="412"/>
      <c r="BV179" s="46" t="str">
        <f t="shared" si="8"/>
        <v/>
      </c>
      <c r="BW179" s="46">
        <f t="shared" si="9"/>
        <v>0</v>
      </c>
      <c r="BX179" s="46">
        <f t="shared" si="10"/>
        <v>0</v>
      </c>
      <c r="BY179" s="43" t="str">
        <f t="shared" si="11"/>
        <v xml:space="preserve">WHO-FP Encounter (Contraception Issues and Concerns) </v>
      </c>
      <c r="BZ179" s="46">
        <f t="shared" si="12"/>
        <v>1</v>
      </c>
      <c r="CA179" s="46" t="str">
        <f t="shared" si="13"/>
        <v/>
      </c>
      <c r="CB179" s="46">
        <f t="shared" si="14"/>
        <v>1</v>
      </c>
      <c r="CC179" s="46">
        <f t="shared" si="15"/>
        <v>1</v>
      </c>
      <c r="CD179" s="46">
        <f t="shared" si="16"/>
        <v>1</v>
      </c>
      <c r="CE179" s="46">
        <f t="shared" si="17"/>
        <v>0</v>
      </c>
      <c r="CF179" s="46">
        <f t="shared" si="18"/>
        <v>0</v>
      </c>
      <c r="CG179" s="46" t="str">
        <f ca="1">IFERROR(__xludf.DUMMYFUNCTION("if(OR(BH179="""",LEFT(BH179,2)=""LA""),"""",IMPORTXML(CONCATENATE(""https://loinc.org/"",BH179,""/""),""//span[@id='lcn']""))"),"I have breast sensitivity - tenderness - in the past 7 days")</f>
        <v>I have breast sensitivity - tenderness - in the past 7 days</v>
      </c>
      <c r="CH179" s="46"/>
      <c r="CI179" s="46"/>
      <c r="CJ179" s="46"/>
      <c r="CK179" s="46"/>
      <c r="CL179" s="46"/>
      <c r="CM179" s="46"/>
      <c r="CN179" s="46"/>
      <c r="CO179" s="46"/>
      <c r="CP179" s="46"/>
      <c r="CQ179" s="46"/>
      <c r="CR179" s="46"/>
      <c r="CS179" s="46"/>
      <c r="CT179" s="46"/>
      <c r="CU179" s="46"/>
    </row>
    <row r="180" spans="1:99" ht="12.75" customHeight="1">
      <c r="A180" s="399">
        <v>1415</v>
      </c>
      <c r="B180" s="399" t="s">
        <v>4325</v>
      </c>
      <c r="C180" s="399">
        <f t="shared" si="22"/>
        <v>1415</v>
      </c>
      <c r="D180" s="399" t="e">
        <f t="shared" ca="1" si="23"/>
        <v>#NAME?</v>
      </c>
      <c r="E180" s="399" t="str">
        <f t="shared" si="24"/>
        <v>Nausea</v>
      </c>
      <c r="F180" s="399" t="str">
        <f t="shared" si="32"/>
        <v>Input Option</v>
      </c>
      <c r="G180" s="400">
        <f t="shared" si="26"/>
        <v>13</v>
      </c>
      <c r="H180" s="399" t="str">
        <f t="shared" si="21"/>
        <v>Contraception Issues and concerns</v>
      </c>
      <c r="I180" s="400"/>
      <c r="J180" s="400"/>
      <c r="K180" s="401" t="s">
        <v>3333</v>
      </c>
      <c r="L180" s="402" t="s">
        <v>3334</v>
      </c>
      <c r="M180" s="400"/>
      <c r="N180" s="427" t="s">
        <v>4119</v>
      </c>
      <c r="O180" s="428"/>
      <c r="P180" s="403" t="s">
        <v>4326</v>
      </c>
      <c r="Q180" s="405"/>
      <c r="R180" s="403"/>
      <c r="S180" s="403"/>
      <c r="T180" s="403"/>
      <c r="U180" s="407"/>
      <c r="V180" s="431" t="s">
        <v>4327</v>
      </c>
      <c r="W180" s="407"/>
      <c r="X180" s="403" t="s">
        <v>208</v>
      </c>
      <c r="Y180" s="403"/>
      <c r="Z180" s="403" t="s">
        <v>113</v>
      </c>
      <c r="AA180" s="405" t="s">
        <v>3178</v>
      </c>
      <c r="AB180" s="432" t="s">
        <v>4309</v>
      </c>
      <c r="AC180" s="421"/>
      <c r="AD180" s="403"/>
      <c r="AE180" s="406"/>
      <c r="AF180" s="407"/>
      <c r="AG180" s="407"/>
      <c r="AH180" s="399"/>
      <c r="AI180" s="400"/>
      <c r="AJ180" s="399"/>
      <c r="AK180" s="399"/>
      <c r="AL180" s="399"/>
      <c r="AM180" s="399"/>
      <c r="AN180" s="399"/>
      <c r="AO180" s="399"/>
      <c r="AP180" s="399"/>
      <c r="AQ180" s="409" t="s">
        <v>3130</v>
      </c>
      <c r="AR180" s="399"/>
      <c r="AS180" s="399"/>
      <c r="AT180" s="399"/>
      <c r="AU180" s="399" t="s">
        <v>4325</v>
      </c>
      <c r="AV180" s="399" t="str">
        <f t="shared" si="27"/>
        <v>Same</v>
      </c>
      <c r="AW180" s="399"/>
      <c r="AX180" s="409" t="s">
        <v>3343</v>
      </c>
      <c r="AY180" s="399" t="e">
        <f t="shared" ca="1" si="28"/>
        <v>#NAME?</v>
      </c>
      <c r="AZ180" s="399"/>
      <c r="BA180" s="409">
        <v>1</v>
      </c>
      <c r="BB180" s="399"/>
      <c r="BC180" s="399"/>
      <c r="BD180" s="409" t="s">
        <v>3162</v>
      </c>
      <c r="BE180" s="411" t="s">
        <v>4328</v>
      </c>
      <c r="BF180" s="411"/>
      <c r="BG180" s="411" t="s">
        <v>4329</v>
      </c>
      <c r="BH180" s="411"/>
      <c r="BI180" s="411"/>
      <c r="BJ180" s="399"/>
      <c r="BK180" s="399"/>
      <c r="BL180" s="399"/>
      <c r="BM180" s="399"/>
      <c r="BN180" s="399"/>
      <c r="BO180" s="399">
        <v>5978</v>
      </c>
      <c r="BP180" s="399"/>
      <c r="BQ180" s="399"/>
      <c r="BR180" s="399"/>
      <c r="BS180" s="407"/>
      <c r="BT180" s="407"/>
      <c r="BU180" s="412"/>
      <c r="BV180" s="46" t="str">
        <f t="shared" si="8"/>
        <v/>
      </c>
      <c r="BW180" s="46">
        <f t="shared" si="9"/>
        <v>0</v>
      </c>
      <c r="BX180" s="46">
        <f t="shared" si="10"/>
        <v>0</v>
      </c>
      <c r="BY180" s="43" t="str">
        <f t="shared" si="11"/>
        <v xml:space="preserve">WHO-FP Encounter (Contraception Issues and Concerns) </v>
      </c>
      <c r="BZ180" s="46">
        <f t="shared" si="12"/>
        <v>1</v>
      </c>
      <c r="CA180" s="46" t="str">
        <f t="shared" si="13"/>
        <v/>
      </c>
      <c r="CB180" s="46">
        <f t="shared" si="14"/>
        <v>1</v>
      </c>
      <c r="CC180" s="46">
        <f t="shared" si="15"/>
        <v>1</v>
      </c>
      <c r="CD180" s="46">
        <f t="shared" si="16"/>
        <v>1</v>
      </c>
      <c r="CE180" s="46">
        <f t="shared" si="17"/>
        <v>0</v>
      </c>
      <c r="CF180" s="46">
        <f t="shared" si="18"/>
        <v>0</v>
      </c>
      <c r="CG180" s="46" t="str">
        <f ca="1">IFERROR(__xludf.DUMMYFUNCTION("if(OR(BH180="""",LEFT(BH180,2)=""LA""),"""",IMPORTXML(CONCATENATE(""https://loinc.org/"",BH180,""/""),""//span[@id='lcn']""))"),"")</f>
        <v/>
      </c>
      <c r="CH180" s="46"/>
      <c r="CI180" s="46"/>
      <c r="CJ180" s="46"/>
      <c r="CK180" s="46"/>
      <c r="CL180" s="46"/>
      <c r="CM180" s="46"/>
      <c r="CN180" s="46"/>
      <c r="CO180" s="46"/>
      <c r="CP180" s="46"/>
      <c r="CQ180" s="46"/>
      <c r="CR180" s="46"/>
      <c r="CS180" s="46"/>
      <c r="CT180" s="46"/>
      <c r="CU180" s="46"/>
    </row>
    <row r="181" spans="1:99" ht="12.75" customHeight="1">
      <c r="A181" s="399">
        <v>1416</v>
      </c>
      <c r="B181" s="399" t="s">
        <v>347</v>
      </c>
      <c r="C181" s="399">
        <f t="shared" si="22"/>
        <v>1416</v>
      </c>
      <c r="D181" s="399" t="e">
        <f t="shared" ca="1" si="23"/>
        <v>#NAME?</v>
      </c>
      <c r="E181" s="399" t="str">
        <f t="shared" si="24"/>
        <v>Dizziness</v>
      </c>
      <c r="F181" s="399" t="str">
        <f t="shared" si="32"/>
        <v>Input Option</v>
      </c>
      <c r="G181" s="400">
        <f t="shared" si="26"/>
        <v>16</v>
      </c>
      <c r="H181" s="399" t="str">
        <f t="shared" si="21"/>
        <v>Contraception Issues and concerns</v>
      </c>
      <c r="I181" s="400"/>
      <c r="J181" s="400"/>
      <c r="K181" s="401" t="s">
        <v>3333</v>
      </c>
      <c r="L181" s="402" t="s">
        <v>3334</v>
      </c>
      <c r="M181" s="400"/>
      <c r="N181" s="427" t="s">
        <v>4119</v>
      </c>
      <c r="O181" s="428"/>
      <c r="P181" s="403" t="s">
        <v>4330</v>
      </c>
      <c r="Q181" s="405"/>
      <c r="R181" s="403"/>
      <c r="S181" s="403"/>
      <c r="T181" s="403"/>
      <c r="U181" s="407"/>
      <c r="V181" s="431" t="s">
        <v>270</v>
      </c>
      <c r="W181" s="407"/>
      <c r="X181" s="403" t="s">
        <v>208</v>
      </c>
      <c r="Y181" s="403"/>
      <c r="Z181" s="403" t="s">
        <v>113</v>
      </c>
      <c r="AA181" s="405" t="s">
        <v>3178</v>
      </c>
      <c r="AB181" s="432" t="s">
        <v>4309</v>
      </c>
      <c r="AC181" s="421"/>
      <c r="AD181" s="403"/>
      <c r="AE181" s="406"/>
      <c r="AF181" s="407"/>
      <c r="AG181" s="407"/>
      <c r="AH181" s="399"/>
      <c r="AI181" s="400"/>
      <c r="AJ181" s="399"/>
      <c r="AK181" s="399"/>
      <c r="AL181" s="399"/>
      <c r="AM181" s="399"/>
      <c r="AN181" s="399"/>
      <c r="AO181" s="399"/>
      <c r="AP181" s="399"/>
      <c r="AQ181" s="409" t="s">
        <v>3130</v>
      </c>
      <c r="AR181" s="399"/>
      <c r="AS181" s="399"/>
      <c r="AT181" s="399"/>
      <c r="AU181" s="399" t="s">
        <v>347</v>
      </c>
      <c r="AV181" s="399" t="str">
        <f t="shared" si="27"/>
        <v>Same</v>
      </c>
      <c r="AW181" s="399"/>
      <c r="AX181" s="409" t="s">
        <v>3343</v>
      </c>
      <c r="AY181" s="399" t="e">
        <f t="shared" ca="1" si="28"/>
        <v>#NAME?</v>
      </c>
      <c r="AZ181" s="399"/>
      <c r="BA181" s="409">
        <v>1</v>
      </c>
      <c r="BB181" s="399"/>
      <c r="BC181" s="399"/>
      <c r="BD181" s="409" t="s">
        <v>3162</v>
      </c>
      <c r="BE181" s="411" t="s">
        <v>271</v>
      </c>
      <c r="BF181" s="411" t="s">
        <v>4331</v>
      </c>
      <c r="BG181" s="411" t="s">
        <v>4332</v>
      </c>
      <c r="BH181" s="411"/>
      <c r="BI181" s="411"/>
      <c r="BJ181" s="399"/>
      <c r="BK181" s="399"/>
      <c r="BL181" s="399"/>
      <c r="BM181" s="399"/>
      <c r="BN181" s="399"/>
      <c r="BO181" s="399">
        <v>141831</v>
      </c>
      <c r="BP181" s="399"/>
      <c r="BQ181" s="399" t="s">
        <v>272</v>
      </c>
      <c r="BR181" s="399" t="s">
        <v>273</v>
      </c>
      <c r="BS181" s="407"/>
      <c r="BT181" s="407"/>
      <c r="BU181" s="412"/>
      <c r="BV181" s="46" t="str">
        <f t="shared" si="8"/>
        <v/>
      </c>
      <c r="BW181" s="46">
        <f t="shared" si="9"/>
        <v>0</v>
      </c>
      <c r="BX181" s="46">
        <f t="shared" si="10"/>
        <v>0</v>
      </c>
      <c r="BY181" s="43" t="str">
        <f t="shared" si="11"/>
        <v xml:space="preserve">WHO-FP Encounter (Contraception Issues and Concerns) </v>
      </c>
      <c r="BZ181" s="46">
        <f t="shared" si="12"/>
        <v>1</v>
      </c>
      <c r="CA181" s="46" t="str">
        <f t="shared" si="13"/>
        <v/>
      </c>
      <c r="CB181" s="46">
        <f t="shared" si="14"/>
        <v>1</v>
      </c>
      <c r="CC181" s="46">
        <f t="shared" si="15"/>
        <v>1</v>
      </c>
      <c r="CD181" s="46">
        <f t="shared" si="16"/>
        <v>1</v>
      </c>
      <c r="CE181" s="46">
        <f t="shared" si="17"/>
        <v>0</v>
      </c>
      <c r="CF181" s="46">
        <f t="shared" si="18"/>
        <v>0</v>
      </c>
      <c r="CG181" s="46" t="str">
        <f ca="1">IFERROR(__xludf.DUMMYFUNCTION("if(OR(BH181="""",LEFT(BH181,2)=""LA""),"""",IMPORTXML(CONCATENATE(""https://loinc.org/"",BH181,""/""),""//span[@id='lcn']""))"),"")</f>
        <v/>
      </c>
      <c r="CH181" s="46"/>
      <c r="CI181" s="46"/>
      <c r="CJ181" s="46"/>
      <c r="CK181" s="46"/>
      <c r="CL181" s="46"/>
      <c r="CM181" s="46"/>
      <c r="CN181" s="46"/>
      <c r="CO181" s="46"/>
      <c r="CP181" s="46"/>
      <c r="CQ181" s="46"/>
      <c r="CR181" s="46"/>
      <c r="CS181" s="46"/>
      <c r="CT181" s="46"/>
      <c r="CU181" s="46"/>
    </row>
    <row r="182" spans="1:99" ht="12.75" customHeight="1">
      <c r="A182" s="399">
        <v>1417</v>
      </c>
      <c r="B182" s="409" t="s">
        <v>4333</v>
      </c>
      <c r="C182" s="399">
        <f t="shared" si="22"/>
        <v>1417</v>
      </c>
      <c r="D182" s="399" t="str">
        <f t="shared" si="23"/>
        <v>Other(Specify)</v>
      </c>
      <c r="E182" s="399" t="str">
        <f t="shared" si="24"/>
        <v>Other(Specify)</v>
      </c>
      <c r="F182" s="409" t="s">
        <v>96</v>
      </c>
      <c r="G182" s="400">
        <f t="shared" si="26"/>
        <v>38</v>
      </c>
      <c r="H182" s="400" t="str">
        <f t="shared" si="21"/>
        <v/>
      </c>
      <c r="I182" s="400"/>
      <c r="J182" s="400"/>
      <c r="K182" s="401" t="s">
        <v>3333</v>
      </c>
      <c r="L182" s="402" t="s">
        <v>3334</v>
      </c>
      <c r="M182" s="400"/>
      <c r="N182" s="427" t="s">
        <v>4119</v>
      </c>
      <c r="O182" s="428"/>
      <c r="P182" s="403" t="s">
        <v>3420</v>
      </c>
      <c r="Q182" s="403"/>
      <c r="R182" s="403"/>
      <c r="S182" s="403"/>
      <c r="T182" s="403"/>
      <c r="U182" s="407"/>
      <c r="V182" s="429" t="s">
        <v>4334</v>
      </c>
      <c r="W182" s="407"/>
      <c r="X182" s="403" t="s">
        <v>208</v>
      </c>
      <c r="Y182" s="403"/>
      <c r="Z182" s="403" t="s">
        <v>113</v>
      </c>
      <c r="AA182" s="405" t="s">
        <v>3178</v>
      </c>
      <c r="AB182" s="408"/>
      <c r="AC182" s="407"/>
      <c r="AD182" s="403"/>
      <c r="AE182" s="406"/>
      <c r="AF182" s="407"/>
      <c r="AG182" s="407"/>
      <c r="AH182" s="399"/>
      <c r="AI182" s="400"/>
      <c r="AJ182" s="399"/>
      <c r="AK182" s="440" t="s">
        <v>4335</v>
      </c>
      <c r="AL182" s="403"/>
      <c r="AM182" s="403" t="s">
        <v>3100</v>
      </c>
      <c r="AN182" s="403" t="s">
        <v>3101</v>
      </c>
      <c r="AO182" s="440" t="s">
        <v>3341</v>
      </c>
      <c r="AP182" s="409" t="s">
        <v>3342</v>
      </c>
      <c r="AQ182" s="440" t="s">
        <v>3424</v>
      </c>
      <c r="AR182" s="403"/>
      <c r="AS182" s="403"/>
      <c r="AT182" s="399"/>
      <c r="AU182" s="399" t="s">
        <v>4336</v>
      </c>
      <c r="AV182" s="399" t="str">
        <f t="shared" si="27"/>
        <v>Changed</v>
      </c>
      <c r="AW182" s="399"/>
      <c r="AX182" s="409" t="s">
        <v>3343</v>
      </c>
      <c r="AY182" s="399" t="str">
        <f t="shared" si="28"/>
        <v>"Other(Specify)"-&gt;"Other (Specify) - Contraception Issues"</v>
      </c>
      <c r="AZ182" s="399"/>
      <c r="BA182" s="409">
        <v>1</v>
      </c>
      <c r="BB182" s="399"/>
      <c r="BC182" s="399"/>
      <c r="BD182" s="399"/>
      <c r="BE182" s="411"/>
      <c r="BF182" s="411"/>
      <c r="BG182" s="411" t="s">
        <v>3808</v>
      </c>
      <c r="BH182" s="411"/>
      <c r="BI182" s="411"/>
      <c r="BJ182" s="399"/>
      <c r="BK182" s="399"/>
      <c r="BL182" s="399"/>
      <c r="BM182" s="409" t="s">
        <v>4337</v>
      </c>
      <c r="BN182" s="399"/>
      <c r="BO182" s="399"/>
      <c r="BP182" s="399"/>
      <c r="BQ182" s="399"/>
      <c r="BR182" s="399"/>
      <c r="BS182" s="407"/>
      <c r="BT182" s="407"/>
      <c r="BU182" s="412"/>
      <c r="BV182" s="46" t="str">
        <f t="shared" si="8"/>
        <v>Encounter</v>
      </c>
      <c r="BW182" s="46" t="str">
        <f t="shared" si="9"/>
        <v/>
      </c>
      <c r="BX182" s="46" t="str">
        <f t="shared" si="10"/>
        <v>Encounter</v>
      </c>
      <c r="BY182" s="43" t="str">
        <f t="shared" si="11"/>
        <v>WHO-FP Encounter</v>
      </c>
      <c r="BZ182" s="46">
        <f t="shared" si="12"/>
        <v>1</v>
      </c>
      <c r="CA182" s="46">
        <f t="shared" si="13"/>
        <v>0</v>
      </c>
      <c r="CB182" s="46">
        <f t="shared" si="14"/>
        <v>1</v>
      </c>
      <c r="CC182" s="46">
        <f t="shared" si="15"/>
        <v>1</v>
      </c>
      <c r="CD182" s="46">
        <f t="shared" si="16"/>
        <v>1</v>
      </c>
      <c r="CE182" s="46">
        <f t="shared" si="17"/>
        <v>0</v>
      </c>
      <c r="CF182" s="46">
        <f t="shared" si="18"/>
        <v>0</v>
      </c>
      <c r="CG182" s="46" t="str">
        <f ca="1">IFERROR(__xludf.DUMMYFUNCTION("if(OR(BH182="""",LEFT(BH182,2)=""LA""),"""",IMPORTXML(CONCATENATE(""https://loinc.org/"",BH182,""/""),""//span[@id='lcn']""))"),"")</f>
        <v/>
      </c>
      <c r="CH182" s="46"/>
      <c r="CI182" s="46"/>
      <c r="CJ182" s="46"/>
      <c r="CK182" s="46"/>
      <c r="CL182" s="46"/>
      <c r="CM182" s="46"/>
      <c r="CN182" s="46"/>
      <c r="CO182" s="46"/>
      <c r="CP182" s="46"/>
      <c r="CQ182" s="46"/>
      <c r="CR182" s="46"/>
      <c r="CS182" s="46"/>
      <c r="CT182" s="46"/>
      <c r="CU182" s="46"/>
    </row>
    <row r="183" spans="1:99" ht="12.75" customHeight="1">
      <c r="A183" s="399">
        <v>1419</v>
      </c>
      <c r="B183" s="399" t="s">
        <v>4338</v>
      </c>
      <c r="C183" s="399">
        <f t="shared" si="22"/>
        <v>1419</v>
      </c>
      <c r="D183" s="399" t="str">
        <f t="shared" si="23"/>
        <v>Number of missed hormonal pills</v>
      </c>
      <c r="E183" s="399" t="str">
        <f t="shared" si="24"/>
        <v>Number of missed hormonal pills</v>
      </c>
      <c r="F183" s="399" t="str">
        <f t="shared" ref="F183:F184" si="33">IF(AND(ISBLANK(V183)=FALSE,OR(T183="MC",T183="")),"Input Option","Data Element")</f>
        <v>Data Element</v>
      </c>
      <c r="G183" s="400">
        <f t="shared" si="26"/>
        <v>31</v>
      </c>
      <c r="H183" s="400" t="str">
        <f t="shared" si="21"/>
        <v/>
      </c>
      <c r="I183" s="400"/>
      <c r="J183" s="400"/>
      <c r="K183" s="401" t="s">
        <v>3333</v>
      </c>
      <c r="L183" s="402" t="s">
        <v>3517</v>
      </c>
      <c r="M183" s="400"/>
      <c r="N183" s="427" t="s">
        <v>4119</v>
      </c>
      <c r="O183" s="428"/>
      <c r="P183" s="405" t="s">
        <v>4339</v>
      </c>
      <c r="Q183" s="403" t="s">
        <v>4338</v>
      </c>
      <c r="R183" s="403"/>
      <c r="S183" s="405"/>
      <c r="T183" s="405" t="s">
        <v>168</v>
      </c>
      <c r="U183" s="431"/>
      <c r="V183" s="407"/>
      <c r="W183" s="407"/>
      <c r="X183" s="403" t="s">
        <v>208</v>
      </c>
      <c r="Y183" s="407"/>
      <c r="Z183" s="403" t="s">
        <v>113</v>
      </c>
      <c r="AA183" s="403" t="s">
        <v>3178</v>
      </c>
      <c r="AB183" s="432" t="s">
        <v>4340</v>
      </c>
      <c r="AC183" s="421"/>
      <c r="AD183" s="436"/>
      <c r="AE183" s="420"/>
      <c r="AF183" s="421"/>
      <c r="AG183" s="421"/>
      <c r="AH183" s="399"/>
      <c r="AI183" s="400"/>
      <c r="AJ183" s="399"/>
      <c r="AK183" s="409" t="s">
        <v>3916</v>
      </c>
      <c r="AL183" s="409"/>
      <c r="AM183" s="409" t="s">
        <v>3100</v>
      </c>
      <c r="AN183" s="409" t="s">
        <v>3101</v>
      </c>
      <c r="AO183" s="399"/>
      <c r="AP183" s="399"/>
      <c r="AQ183" s="409" t="s">
        <v>115</v>
      </c>
      <c r="AR183" s="399"/>
      <c r="AS183" s="399"/>
      <c r="AT183" s="399"/>
      <c r="AU183" s="399" t="s">
        <v>4338</v>
      </c>
      <c r="AV183" s="399" t="str">
        <f t="shared" si="27"/>
        <v>Same</v>
      </c>
      <c r="AW183" s="399"/>
      <c r="AX183" s="409" t="s">
        <v>3343</v>
      </c>
      <c r="AY183" s="399" t="str">
        <f t="shared" si="28"/>
        <v/>
      </c>
      <c r="AZ183" s="399"/>
      <c r="BA183" s="409">
        <v>0</v>
      </c>
      <c r="BB183" s="399"/>
      <c r="BC183" s="399"/>
      <c r="BD183" s="409" t="s">
        <v>4341</v>
      </c>
      <c r="BE183" s="411"/>
      <c r="BF183" s="411"/>
      <c r="BG183" s="433" t="s">
        <v>4133</v>
      </c>
      <c r="BH183" s="411"/>
      <c r="BI183" s="411"/>
      <c r="BJ183" s="399"/>
      <c r="BK183" s="399"/>
      <c r="BL183" s="399"/>
      <c r="BM183" s="409" t="s">
        <v>4342</v>
      </c>
      <c r="BN183" s="399"/>
      <c r="BO183" s="399"/>
      <c r="BP183" s="399"/>
      <c r="BQ183" s="399"/>
      <c r="BR183" s="399"/>
      <c r="BS183" s="407"/>
      <c r="BT183" s="407"/>
      <c r="BU183" s="412"/>
      <c r="BV183" s="46" t="str">
        <f t="shared" si="8"/>
        <v/>
      </c>
      <c r="BW183" s="46" t="str">
        <f t="shared" si="9"/>
        <v/>
      </c>
      <c r="BX183" s="46" t="str">
        <f t="shared" si="10"/>
        <v/>
      </c>
      <c r="BY183" s="43">
        <f t="shared" si="11"/>
        <v>0</v>
      </c>
      <c r="BZ183" s="46">
        <f t="shared" si="12"/>
        <v>1</v>
      </c>
      <c r="CA183" s="46">
        <f t="shared" si="13"/>
        <v>0</v>
      </c>
      <c r="CB183" s="46">
        <f t="shared" si="14"/>
        <v>1</v>
      </c>
      <c r="CC183" s="46">
        <f t="shared" si="15"/>
        <v>1</v>
      </c>
      <c r="CD183" s="46">
        <f t="shared" si="16"/>
        <v>1</v>
      </c>
      <c r="CE183" s="46">
        <f t="shared" si="17"/>
        <v>0</v>
      </c>
      <c r="CF183" s="46">
        <f t="shared" si="18"/>
        <v>0</v>
      </c>
      <c r="CG183" s="46" t="str">
        <f ca="1">IFERROR(__xludf.DUMMYFUNCTION("if(OR(BH183="""",LEFT(BH183,2)=""LA""),"""",IMPORTXML(CONCATENATE(""https://loinc.org/"",BH183,""/""),""//span[@id='lcn']""))"),"")</f>
        <v/>
      </c>
      <c r="CH183" s="46"/>
      <c r="CI183" s="46"/>
      <c r="CJ183" s="46"/>
      <c r="CK183" s="46"/>
      <c r="CL183" s="46"/>
      <c r="CM183" s="46"/>
      <c r="CN183" s="46"/>
      <c r="CO183" s="46"/>
      <c r="CP183" s="46"/>
      <c r="CQ183" s="46"/>
      <c r="CR183" s="46"/>
      <c r="CS183" s="46"/>
      <c r="CT183" s="46"/>
      <c r="CU183" s="46"/>
    </row>
    <row r="184" spans="1:99" ht="12.75" customHeight="1">
      <c r="A184" s="409">
        <v>1420</v>
      </c>
      <c r="B184" s="399" t="s">
        <v>4343</v>
      </c>
      <c r="C184" s="399">
        <f t="shared" si="22"/>
        <v>1420</v>
      </c>
      <c r="D184" s="399" t="str">
        <f t="shared" si="23"/>
        <v>Hours late in taking pill</v>
      </c>
      <c r="E184" s="399" t="str">
        <f t="shared" si="24"/>
        <v>Hours late in taking pill</v>
      </c>
      <c r="F184" s="399" t="str">
        <f t="shared" si="33"/>
        <v>Data Element</v>
      </c>
      <c r="G184" s="400">
        <f t="shared" si="26"/>
        <v>25</v>
      </c>
      <c r="H184" s="400" t="str">
        <f t="shared" si="21"/>
        <v/>
      </c>
      <c r="I184" s="400"/>
      <c r="J184" s="400"/>
      <c r="K184" s="401" t="s">
        <v>3333</v>
      </c>
      <c r="L184" s="402" t="s">
        <v>3517</v>
      </c>
      <c r="M184" s="400"/>
      <c r="N184" s="427" t="s">
        <v>4119</v>
      </c>
      <c r="O184" s="428"/>
      <c r="P184" s="405" t="s">
        <v>4344</v>
      </c>
      <c r="Q184" s="403" t="s">
        <v>4343</v>
      </c>
      <c r="R184" s="403"/>
      <c r="S184" s="405"/>
      <c r="T184" s="405" t="s">
        <v>168</v>
      </c>
      <c r="U184" s="431"/>
      <c r="V184" s="407"/>
      <c r="W184" s="407"/>
      <c r="X184" s="403" t="s">
        <v>208</v>
      </c>
      <c r="Y184" s="407"/>
      <c r="Z184" s="403" t="s">
        <v>113</v>
      </c>
      <c r="AA184" s="403" t="s">
        <v>3178</v>
      </c>
      <c r="AB184" s="432" t="s">
        <v>4345</v>
      </c>
      <c r="AC184" s="421"/>
      <c r="AD184" s="436"/>
      <c r="AE184" s="420"/>
      <c r="AF184" s="421"/>
      <c r="AG184" s="421"/>
      <c r="AH184" s="399"/>
      <c r="AI184" s="400"/>
      <c r="AJ184" s="399"/>
      <c r="AK184" s="409" t="s">
        <v>3916</v>
      </c>
      <c r="AL184" s="409"/>
      <c r="AM184" s="409" t="s">
        <v>3100</v>
      </c>
      <c r="AN184" s="409" t="s">
        <v>3101</v>
      </c>
      <c r="AO184" s="399"/>
      <c r="AP184" s="399"/>
      <c r="AQ184" s="409" t="s">
        <v>115</v>
      </c>
      <c r="AR184" s="399"/>
      <c r="AS184" s="399"/>
      <c r="AT184" s="399"/>
      <c r="AU184" s="399" t="s">
        <v>4343</v>
      </c>
      <c r="AV184" s="399" t="str">
        <f t="shared" si="27"/>
        <v>Same</v>
      </c>
      <c r="AW184" s="399"/>
      <c r="AX184" s="409" t="s">
        <v>3343</v>
      </c>
      <c r="AY184" s="399" t="str">
        <f t="shared" si="28"/>
        <v/>
      </c>
      <c r="AZ184" s="399"/>
      <c r="BA184" s="409">
        <v>0</v>
      </c>
      <c r="BB184" s="399"/>
      <c r="BC184" s="399"/>
      <c r="BD184" s="409" t="s">
        <v>4341</v>
      </c>
      <c r="BE184" s="411"/>
      <c r="BF184" s="411"/>
      <c r="BG184" s="411"/>
      <c r="BH184" s="411"/>
      <c r="BI184" s="411"/>
      <c r="BJ184" s="399"/>
      <c r="BK184" s="399"/>
      <c r="BL184" s="399"/>
      <c r="BM184" s="409" t="s">
        <v>4346</v>
      </c>
      <c r="BN184" s="399"/>
      <c r="BO184" s="399"/>
      <c r="BP184" s="399"/>
      <c r="BQ184" s="399"/>
      <c r="BR184" s="399"/>
      <c r="BS184" s="407"/>
      <c r="BT184" s="407"/>
      <c r="BU184" s="412"/>
      <c r="BV184" s="46" t="str">
        <f t="shared" si="8"/>
        <v/>
      </c>
      <c r="BW184" s="46" t="str">
        <f t="shared" si="9"/>
        <v/>
      </c>
      <c r="BX184" s="46" t="str">
        <f t="shared" si="10"/>
        <v/>
      </c>
      <c r="BY184" s="43">
        <f t="shared" si="11"/>
        <v>0</v>
      </c>
      <c r="BZ184" s="46">
        <f t="shared" si="12"/>
        <v>1</v>
      </c>
      <c r="CA184" s="46">
        <f t="shared" si="13"/>
        <v>0</v>
      </c>
      <c r="CB184" s="46">
        <f t="shared" si="14"/>
        <v>0</v>
      </c>
      <c r="CC184" s="46">
        <f t="shared" si="15"/>
        <v>1</v>
      </c>
      <c r="CD184" s="46">
        <f t="shared" si="16"/>
        <v>0</v>
      </c>
      <c r="CE184" s="46">
        <f t="shared" si="17"/>
        <v>1</v>
      </c>
      <c r="CF184" s="46">
        <f t="shared" si="18"/>
        <v>0</v>
      </c>
      <c r="CG184" s="46" t="str">
        <f ca="1">IFERROR(__xludf.DUMMYFUNCTION("if(OR(BH184="""",LEFT(BH184,2)=""LA""),"""",IMPORTXML(CONCATENATE(""https://loinc.org/"",BH184,""/""),""//span[@id='lcn']""))"),"")</f>
        <v/>
      </c>
      <c r="CH184" s="46"/>
      <c r="CI184" s="46"/>
      <c r="CJ184" s="46"/>
      <c r="CK184" s="46"/>
      <c r="CL184" s="46"/>
      <c r="CM184" s="46"/>
      <c r="CN184" s="46"/>
      <c r="CO184" s="46"/>
      <c r="CP184" s="46"/>
      <c r="CQ184" s="46"/>
      <c r="CR184" s="46"/>
      <c r="CS184" s="46"/>
      <c r="CT184" s="46"/>
      <c r="CU184" s="46"/>
    </row>
    <row r="185" spans="1:99" ht="12.75" customHeight="1">
      <c r="A185" s="399">
        <v>1421</v>
      </c>
      <c r="B185" s="399" t="s">
        <v>4347</v>
      </c>
      <c r="C185" s="399">
        <f t="shared" si="22"/>
        <v>1421</v>
      </c>
      <c r="D185" s="399" t="str">
        <f t="shared" si="23"/>
        <v>Week of cycle</v>
      </c>
      <c r="E185" s="399" t="str">
        <f t="shared" si="24"/>
        <v>Week of cycle</v>
      </c>
      <c r="F185" s="409" t="s">
        <v>65</v>
      </c>
      <c r="G185" s="400">
        <f t="shared" si="26"/>
        <v>13</v>
      </c>
      <c r="H185" s="400" t="str">
        <f t="shared" si="21"/>
        <v/>
      </c>
      <c r="I185" s="400"/>
      <c r="J185" s="400"/>
      <c r="K185" s="401" t="s">
        <v>3333</v>
      </c>
      <c r="L185" s="402" t="s">
        <v>3334</v>
      </c>
      <c r="M185" s="400"/>
      <c r="N185" s="427" t="s">
        <v>4119</v>
      </c>
      <c r="O185" s="428"/>
      <c r="P185" s="405" t="s">
        <v>4348</v>
      </c>
      <c r="Q185" s="403" t="s">
        <v>4347</v>
      </c>
      <c r="R185" s="403"/>
      <c r="S185" s="405" t="s">
        <v>4349</v>
      </c>
      <c r="T185" s="405" t="s">
        <v>168</v>
      </c>
      <c r="U185" s="431"/>
      <c r="V185" s="407"/>
      <c r="W185" s="407"/>
      <c r="X185" s="407"/>
      <c r="Y185" s="407"/>
      <c r="Z185" s="403" t="s">
        <v>113</v>
      </c>
      <c r="AA185" s="403" t="s">
        <v>3178</v>
      </c>
      <c r="AB185" s="432" t="s">
        <v>4350</v>
      </c>
      <c r="AC185" s="421"/>
      <c r="AD185" s="436"/>
      <c r="AE185" s="406"/>
      <c r="AF185" s="432" t="s">
        <v>4351</v>
      </c>
      <c r="AG185" s="421"/>
      <c r="AH185" s="399"/>
      <c r="AI185" s="400"/>
      <c r="AJ185" s="399"/>
      <c r="AK185" s="409" t="s">
        <v>3410</v>
      </c>
      <c r="AL185" s="409" t="s">
        <v>168</v>
      </c>
      <c r="AM185" s="409" t="s">
        <v>3100</v>
      </c>
      <c r="AN185" s="399" t="s">
        <v>3101</v>
      </c>
      <c r="AO185" s="399"/>
      <c r="AP185" s="399"/>
      <c r="AQ185" s="409" t="s">
        <v>115</v>
      </c>
      <c r="AR185" s="399"/>
      <c r="AS185" s="399"/>
      <c r="AT185" s="399"/>
      <c r="AU185" s="399" t="s">
        <v>4347</v>
      </c>
      <c r="AV185" s="399" t="str">
        <f t="shared" si="27"/>
        <v>Same</v>
      </c>
      <c r="AW185" s="399"/>
      <c r="AX185" s="409" t="s">
        <v>3343</v>
      </c>
      <c r="AY185" s="399" t="str">
        <f t="shared" si="28"/>
        <v/>
      </c>
      <c r="AZ185" s="399"/>
      <c r="BA185" s="409">
        <v>0</v>
      </c>
      <c r="BB185" s="399"/>
      <c r="BC185" s="399"/>
      <c r="BD185" s="409" t="s">
        <v>4352</v>
      </c>
      <c r="BE185" s="411"/>
      <c r="BF185" s="411"/>
      <c r="BG185" s="411"/>
      <c r="BH185" s="411"/>
      <c r="BI185" s="411"/>
      <c r="BJ185" s="399"/>
      <c r="BK185" s="399"/>
      <c r="BL185" s="399"/>
      <c r="BM185" s="399"/>
      <c r="BN185" s="399"/>
      <c r="BO185" s="399"/>
      <c r="BP185" s="399"/>
      <c r="BQ185" s="399"/>
      <c r="BR185" s="399"/>
      <c r="BS185" s="407"/>
      <c r="BT185" s="407"/>
      <c r="BU185" s="412"/>
      <c r="BV185" s="46" t="str">
        <f t="shared" si="8"/>
        <v/>
      </c>
      <c r="BW185" s="46" t="str">
        <f t="shared" si="9"/>
        <v/>
      </c>
      <c r="BX185" s="46" t="str">
        <f t="shared" si="10"/>
        <v/>
      </c>
      <c r="BY185" s="43">
        <f t="shared" si="11"/>
        <v>0</v>
      </c>
      <c r="BZ185" s="46">
        <f t="shared" si="12"/>
        <v>1</v>
      </c>
      <c r="CA185" s="46" t="str">
        <f t="shared" si="13"/>
        <v/>
      </c>
      <c r="CB185" s="46">
        <f t="shared" si="14"/>
        <v>0</v>
      </c>
      <c r="CC185" s="46">
        <f t="shared" si="15"/>
        <v>1</v>
      </c>
      <c r="CD185" s="46">
        <f t="shared" si="16"/>
        <v>0</v>
      </c>
      <c r="CE185" s="46">
        <f t="shared" si="17"/>
        <v>1</v>
      </c>
      <c r="CF185" s="46">
        <f t="shared" si="18"/>
        <v>0</v>
      </c>
      <c r="CG185" s="46" t="str">
        <f ca="1">IFERROR(__xludf.DUMMYFUNCTION("if(OR(BH185="""",LEFT(BH185,2)=""LA""),"""",IMPORTXML(CONCATENATE(""https://loinc.org/"",BH185,""/""),""//span[@id='lcn']""))"),"")</f>
        <v/>
      </c>
      <c r="CH185" s="46"/>
      <c r="CI185" s="46"/>
      <c r="CJ185" s="46"/>
      <c r="CK185" s="46"/>
      <c r="CL185" s="46"/>
      <c r="CM185" s="46"/>
      <c r="CN185" s="46"/>
      <c r="CO185" s="46"/>
      <c r="CP185" s="46"/>
      <c r="CQ185" s="46"/>
      <c r="CR185" s="46"/>
      <c r="CS185" s="46"/>
      <c r="CT185" s="46"/>
      <c r="CU185" s="46"/>
    </row>
    <row r="186" spans="1:99" ht="12.75" customHeight="1">
      <c r="A186" s="399">
        <v>1422</v>
      </c>
      <c r="B186" s="399" t="s">
        <v>4353</v>
      </c>
      <c r="C186" s="399">
        <f t="shared" si="22"/>
        <v>1422</v>
      </c>
      <c r="D186" s="399" t="str">
        <f t="shared" si="23"/>
        <v>Late change in patch</v>
      </c>
      <c r="E186" s="399" t="str">
        <f t="shared" si="24"/>
        <v>Late change in patch</v>
      </c>
      <c r="F186" s="399" t="str">
        <f t="shared" ref="F186:F190" si="34">IF(AND(ISBLANK(V186)=FALSE,OR(T186="MC",T186="")),"Input Option","Data Element")</f>
        <v>Data Element</v>
      </c>
      <c r="G186" s="400">
        <f t="shared" si="26"/>
        <v>20</v>
      </c>
      <c r="H186" s="400" t="str">
        <f t="shared" si="21"/>
        <v/>
      </c>
      <c r="I186" s="400"/>
      <c r="J186" s="400"/>
      <c r="K186" s="401" t="s">
        <v>3333</v>
      </c>
      <c r="L186" s="402" t="s">
        <v>3517</v>
      </c>
      <c r="M186" s="400"/>
      <c r="N186" s="427" t="s">
        <v>4119</v>
      </c>
      <c r="O186" s="428"/>
      <c r="P186" s="405" t="s">
        <v>4354</v>
      </c>
      <c r="Q186" s="403" t="s">
        <v>4353</v>
      </c>
      <c r="R186" s="403"/>
      <c r="S186" s="405"/>
      <c r="T186" s="405" t="s">
        <v>3169</v>
      </c>
      <c r="U186" s="431"/>
      <c r="V186" s="407" t="s">
        <v>3170</v>
      </c>
      <c r="W186" s="407"/>
      <c r="X186" s="407"/>
      <c r="Y186" s="407"/>
      <c r="Z186" s="403" t="s">
        <v>113</v>
      </c>
      <c r="AA186" s="403" t="s">
        <v>3178</v>
      </c>
      <c r="AB186" s="432" t="s">
        <v>4355</v>
      </c>
      <c r="AC186" s="421"/>
      <c r="AD186" s="436"/>
      <c r="AE186" s="420"/>
      <c r="AF186" s="421"/>
      <c r="AG186" s="421"/>
      <c r="AH186" s="399"/>
      <c r="AI186" s="400"/>
      <c r="AJ186" s="399"/>
      <c r="AK186" s="409" t="s">
        <v>3916</v>
      </c>
      <c r="AL186" s="409"/>
      <c r="AM186" s="409" t="s">
        <v>3100</v>
      </c>
      <c r="AN186" s="409" t="s">
        <v>3101</v>
      </c>
      <c r="AO186" s="399"/>
      <c r="AP186" s="399"/>
      <c r="AQ186" s="409" t="s">
        <v>115</v>
      </c>
      <c r="AR186" s="399"/>
      <c r="AS186" s="399"/>
      <c r="AT186" s="399"/>
      <c r="AU186" s="399" t="s">
        <v>4353</v>
      </c>
      <c r="AV186" s="399" t="str">
        <f t="shared" si="27"/>
        <v>Same</v>
      </c>
      <c r="AW186" s="399"/>
      <c r="AX186" s="409" t="s">
        <v>3343</v>
      </c>
      <c r="AY186" s="399" t="str">
        <f t="shared" si="28"/>
        <v/>
      </c>
      <c r="AZ186" s="399"/>
      <c r="BA186" s="409">
        <v>0</v>
      </c>
      <c r="BB186" s="399"/>
      <c r="BC186" s="399"/>
      <c r="BD186" s="409" t="s">
        <v>4356</v>
      </c>
      <c r="BE186" s="411"/>
      <c r="BF186" s="411"/>
      <c r="BG186" s="411"/>
      <c r="BH186" s="411"/>
      <c r="BI186" s="411"/>
      <c r="BJ186" s="399"/>
      <c r="BK186" s="399"/>
      <c r="BL186" s="399"/>
      <c r="BM186" s="409" t="s">
        <v>4357</v>
      </c>
      <c r="BN186" s="399"/>
      <c r="BO186" s="399"/>
      <c r="BP186" s="399"/>
      <c r="BQ186" s="399"/>
      <c r="BR186" s="399"/>
      <c r="BS186" s="407"/>
      <c r="BT186" s="407"/>
      <c r="BU186" s="412"/>
      <c r="BV186" s="46" t="str">
        <f t="shared" si="8"/>
        <v/>
      </c>
      <c r="BW186" s="46" t="str">
        <f t="shared" si="9"/>
        <v/>
      </c>
      <c r="BX186" s="46" t="str">
        <f t="shared" si="10"/>
        <v/>
      </c>
      <c r="BY186" s="43">
        <f t="shared" si="11"/>
        <v>0</v>
      </c>
      <c r="BZ186" s="46">
        <f t="shared" si="12"/>
        <v>1</v>
      </c>
      <c r="CA186" s="46">
        <f t="shared" si="13"/>
        <v>0</v>
      </c>
      <c r="CB186" s="46">
        <f t="shared" si="14"/>
        <v>0</v>
      </c>
      <c r="CC186" s="46">
        <f t="shared" si="15"/>
        <v>1</v>
      </c>
      <c r="CD186" s="46">
        <f t="shared" si="16"/>
        <v>0</v>
      </c>
      <c r="CE186" s="46">
        <f t="shared" si="17"/>
        <v>1</v>
      </c>
      <c r="CF186" s="46">
        <f t="shared" si="18"/>
        <v>0</v>
      </c>
      <c r="CG186" s="46" t="str">
        <f ca="1">IFERROR(__xludf.DUMMYFUNCTION("if(OR(BH186="""",LEFT(BH186,2)=""LA""),"""",IMPORTXML(CONCATENATE(""https://loinc.org/"",BH186,""/""),""//span[@id='lcn']""))"),"")</f>
        <v/>
      </c>
      <c r="CH186" s="46"/>
      <c r="CI186" s="46"/>
      <c r="CJ186" s="46"/>
      <c r="CK186" s="46"/>
      <c r="CL186" s="46"/>
      <c r="CM186" s="46"/>
      <c r="CN186" s="46"/>
      <c r="CO186" s="46"/>
      <c r="CP186" s="46"/>
      <c r="CQ186" s="46"/>
      <c r="CR186" s="46"/>
      <c r="CS186" s="46"/>
      <c r="CT186" s="46"/>
      <c r="CU186" s="46"/>
    </row>
    <row r="187" spans="1:99" ht="12.75" customHeight="1">
      <c r="A187" s="399">
        <v>1423</v>
      </c>
      <c r="B187" s="399" t="s">
        <v>4358</v>
      </c>
      <c r="C187" s="399">
        <f t="shared" si="22"/>
        <v>1423</v>
      </c>
      <c r="D187" s="399" t="str">
        <f t="shared" si="23"/>
        <v>Unscheduled detachment of patch</v>
      </c>
      <c r="E187" s="399" t="str">
        <f t="shared" si="24"/>
        <v>Unscheduled detachment of patch</v>
      </c>
      <c r="F187" s="399" t="str">
        <f t="shared" si="34"/>
        <v>Data Element</v>
      </c>
      <c r="G187" s="400">
        <f t="shared" si="26"/>
        <v>31</v>
      </c>
      <c r="H187" s="400" t="str">
        <f t="shared" si="21"/>
        <v/>
      </c>
      <c r="I187" s="400"/>
      <c r="J187" s="400"/>
      <c r="K187" s="401" t="s">
        <v>3333</v>
      </c>
      <c r="L187" s="402" t="s">
        <v>3517</v>
      </c>
      <c r="M187" s="400"/>
      <c r="N187" s="427" t="s">
        <v>4119</v>
      </c>
      <c r="O187" s="428"/>
      <c r="P187" s="405" t="s">
        <v>4359</v>
      </c>
      <c r="Q187" s="403" t="s">
        <v>4358</v>
      </c>
      <c r="R187" s="403"/>
      <c r="S187" s="405"/>
      <c r="T187" s="405" t="s">
        <v>3169</v>
      </c>
      <c r="U187" s="431"/>
      <c r="V187" s="407" t="s">
        <v>3170</v>
      </c>
      <c r="W187" s="407"/>
      <c r="X187" s="407"/>
      <c r="Y187" s="407"/>
      <c r="Z187" s="403" t="s">
        <v>113</v>
      </c>
      <c r="AA187" s="403" t="s">
        <v>3178</v>
      </c>
      <c r="AB187" s="432" t="s">
        <v>4355</v>
      </c>
      <c r="AC187" s="421"/>
      <c r="AD187" s="436"/>
      <c r="AE187" s="420"/>
      <c r="AF187" s="421"/>
      <c r="AG187" s="421"/>
      <c r="AH187" s="399"/>
      <c r="AI187" s="400"/>
      <c r="AJ187" s="399"/>
      <c r="AK187" s="409" t="s">
        <v>3916</v>
      </c>
      <c r="AL187" s="409"/>
      <c r="AM187" s="409" t="s">
        <v>3100</v>
      </c>
      <c r="AN187" s="409" t="s">
        <v>3101</v>
      </c>
      <c r="AO187" s="399"/>
      <c r="AP187" s="399"/>
      <c r="AQ187" s="409" t="s">
        <v>115</v>
      </c>
      <c r="AR187" s="399"/>
      <c r="AS187" s="399"/>
      <c r="AT187" s="399"/>
      <c r="AU187" s="399" t="s">
        <v>4358</v>
      </c>
      <c r="AV187" s="399" t="str">
        <f t="shared" si="27"/>
        <v>Same</v>
      </c>
      <c r="AW187" s="399"/>
      <c r="AX187" s="409" t="s">
        <v>3343</v>
      </c>
      <c r="AY187" s="399" t="str">
        <f t="shared" si="28"/>
        <v/>
      </c>
      <c r="AZ187" s="399"/>
      <c r="BA187" s="409">
        <v>0</v>
      </c>
      <c r="BB187" s="399"/>
      <c r="BC187" s="399"/>
      <c r="BD187" s="409" t="s">
        <v>3188</v>
      </c>
      <c r="BE187" s="411"/>
      <c r="BF187" s="411"/>
      <c r="BG187" s="411"/>
      <c r="BH187" s="411"/>
      <c r="BI187" s="411"/>
      <c r="BJ187" s="399"/>
      <c r="BK187" s="399"/>
      <c r="BL187" s="399"/>
      <c r="BM187" s="399"/>
      <c r="BN187" s="399"/>
      <c r="BO187" s="399"/>
      <c r="BP187" s="399"/>
      <c r="BQ187" s="399"/>
      <c r="BR187" s="399"/>
      <c r="BS187" s="407"/>
      <c r="BT187" s="407"/>
      <c r="BU187" s="412"/>
      <c r="BV187" s="46" t="str">
        <f t="shared" si="8"/>
        <v/>
      </c>
      <c r="BW187" s="46" t="str">
        <f t="shared" si="9"/>
        <v/>
      </c>
      <c r="BX187" s="46" t="str">
        <f t="shared" si="10"/>
        <v/>
      </c>
      <c r="BY187" s="43">
        <f t="shared" si="11"/>
        <v>0</v>
      </c>
      <c r="BZ187" s="46">
        <f t="shared" si="12"/>
        <v>1</v>
      </c>
      <c r="CA187" s="46">
        <f t="shared" si="13"/>
        <v>0</v>
      </c>
      <c r="CB187" s="46">
        <f t="shared" si="14"/>
        <v>0</v>
      </c>
      <c r="CC187" s="46">
        <f t="shared" si="15"/>
        <v>1</v>
      </c>
      <c r="CD187" s="46">
        <f t="shared" si="16"/>
        <v>0</v>
      </c>
      <c r="CE187" s="46">
        <f t="shared" si="17"/>
        <v>1</v>
      </c>
      <c r="CF187" s="46">
        <f t="shared" si="18"/>
        <v>0</v>
      </c>
      <c r="CG187" s="46" t="str">
        <f ca="1">IFERROR(__xludf.DUMMYFUNCTION("if(OR(BH187="""",LEFT(BH187,2)=""LA""),"""",IMPORTXML(CONCATENATE(""https://loinc.org/"",BH187,""/""),""//span[@id='lcn']""))"),"")</f>
        <v/>
      </c>
      <c r="CH187" s="46"/>
      <c r="CI187" s="46"/>
      <c r="CJ187" s="46"/>
      <c r="CK187" s="46"/>
      <c r="CL187" s="46"/>
      <c r="CM187" s="46"/>
      <c r="CN187" s="46"/>
      <c r="CO187" s="46"/>
      <c r="CP187" s="46"/>
      <c r="CQ187" s="46"/>
      <c r="CR187" s="46"/>
      <c r="CS187" s="46"/>
      <c r="CT187" s="46"/>
      <c r="CU187" s="46"/>
    </row>
    <row r="188" spans="1:99" ht="12.75" customHeight="1">
      <c r="A188" s="399">
        <v>1424</v>
      </c>
      <c r="B188" s="399" t="s">
        <v>4360</v>
      </c>
      <c r="C188" s="399">
        <f t="shared" si="22"/>
        <v>1424</v>
      </c>
      <c r="D188" s="399" t="str">
        <f t="shared" si="23"/>
        <v>Days late in applying patch</v>
      </c>
      <c r="E188" s="399" t="str">
        <f t="shared" si="24"/>
        <v>Days late in applying patch</v>
      </c>
      <c r="F188" s="399" t="str">
        <f t="shared" si="34"/>
        <v>Data Element</v>
      </c>
      <c r="G188" s="400">
        <f t="shared" si="26"/>
        <v>27</v>
      </c>
      <c r="H188" s="400" t="str">
        <f t="shared" si="21"/>
        <v/>
      </c>
      <c r="I188" s="400"/>
      <c r="J188" s="400"/>
      <c r="K188" s="401" t="s">
        <v>3333</v>
      </c>
      <c r="L188" s="402" t="s">
        <v>3517</v>
      </c>
      <c r="M188" s="400"/>
      <c r="N188" s="427" t="s">
        <v>4119</v>
      </c>
      <c r="O188" s="428"/>
      <c r="P188" s="405" t="s">
        <v>4361</v>
      </c>
      <c r="Q188" s="432" t="s">
        <v>4360</v>
      </c>
      <c r="R188" s="436"/>
      <c r="S188" s="405"/>
      <c r="T188" s="405" t="s">
        <v>168</v>
      </c>
      <c r="U188" s="431"/>
      <c r="V188" s="407"/>
      <c r="W188" s="407"/>
      <c r="X188" s="407"/>
      <c r="Y188" s="407"/>
      <c r="Z188" s="403" t="s">
        <v>113</v>
      </c>
      <c r="AA188" s="403" t="s">
        <v>3178</v>
      </c>
      <c r="AB188" s="432" t="s">
        <v>4362</v>
      </c>
      <c r="AC188" s="421"/>
      <c r="AD188" s="436"/>
      <c r="AE188" s="420"/>
      <c r="AF188" s="421"/>
      <c r="AG188" s="421"/>
      <c r="AH188" s="399"/>
      <c r="AI188" s="400"/>
      <c r="AJ188" s="399"/>
      <c r="AK188" s="409" t="s">
        <v>3916</v>
      </c>
      <c r="AL188" s="409"/>
      <c r="AM188" s="409" t="s">
        <v>3100</v>
      </c>
      <c r="AN188" s="409" t="s">
        <v>3101</v>
      </c>
      <c r="AO188" s="399"/>
      <c r="AP188" s="399"/>
      <c r="AQ188" s="409" t="s">
        <v>115</v>
      </c>
      <c r="AR188" s="399"/>
      <c r="AS188" s="399"/>
      <c r="AT188" s="399"/>
      <c r="AU188" s="399" t="s">
        <v>4360</v>
      </c>
      <c r="AV188" s="399" t="str">
        <f t="shared" si="27"/>
        <v>Same</v>
      </c>
      <c r="AW188" s="399"/>
      <c r="AX188" s="409" t="s">
        <v>3343</v>
      </c>
      <c r="AY188" s="399" t="str">
        <f t="shared" si="28"/>
        <v/>
      </c>
      <c r="AZ188" s="399"/>
      <c r="BA188" s="409">
        <v>0</v>
      </c>
      <c r="BB188" s="399"/>
      <c r="BC188" s="399"/>
      <c r="BD188" s="409" t="s">
        <v>4363</v>
      </c>
      <c r="BE188" s="411"/>
      <c r="BF188" s="411"/>
      <c r="BG188" s="411"/>
      <c r="BH188" s="411"/>
      <c r="BI188" s="411"/>
      <c r="BJ188" s="399"/>
      <c r="BK188" s="399"/>
      <c r="BL188" s="399"/>
      <c r="BM188" s="409" t="s">
        <v>4364</v>
      </c>
      <c r="BN188" s="399"/>
      <c r="BO188" s="399"/>
      <c r="BP188" s="399"/>
      <c r="BQ188" s="399"/>
      <c r="BR188" s="399"/>
      <c r="BS188" s="407"/>
      <c r="BT188" s="407"/>
      <c r="BU188" s="412"/>
      <c r="BV188" s="46" t="str">
        <f t="shared" si="8"/>
        <v/>
      </c>
      <c r="BW188" s="46" t="str">
        <f t="shared" si="9"/>
        <v/>
      </c>
      <c r="BX188" s="46" t="str">
        <f t="shared" si="10"/>
        <v/>
      </c>
      <c r="BY188" s="43">
        <f t="shared" si="11"/>
        <v>0</v>
      </c>
      <c r="BZ188" s="46">
        <f t="shared" si="12"/>
        <v>1</v>
      </c>
      <c r="CA188" s="46">
        <f t="shared" si="13"/>
        <v>0</v>
      </c>
      <c r="CB188" s="46">
        <f t="shared" si="14"/>
        <v>0</v>
      </c>
      <c r="CC188" s="46">
        <f t="shared" si="15"/>
        <v>1</v>
      </c>
      <c r="CD188" s="46">
        <f t="shared" si="16"/>
        <v>0</v>
      </c>
      <c r="CE188" s="46">
        <f t="shared" si="17"/>
        <v>1</v>
      </c>
      <c r="CF188" s="46">
        <f t="shared" si="18"/>
        <v>0</v>
      </c>
      <c r="CG188" s="46" t="str">
        <f ca="1">IFERROR(__xludf.DUMMYFUNCTION("if(OR(BH188="""",LEFT(BH188,2)=""LA""),"""",IMPORTXML(CONCATENATE(""https://loinc.org/"",BH188,""/""),""//span[@id='lcn']""))"),"")</f>
        <v/>
      </c>
      <c r="CH188" s="46"/>
      <c r="CI188" s="46"/>
      <c r="CJ188" s="46"/>
      <c r="CK188" s="46"/>
      <c r="CL188" s="46"/>
      <c r="CM188" s="46"/>
      <c r="CN188" s="46"/>
      <c r="CO188" s="46"/>
      <c r="CP188" s="46"/>
      <c r="CQ188" s="46"/>
      <c r="CR188" s="46"/>
      <c r="CS188" s="46"/>
      <c r="CT188" s="46"/>
      <c r="CU188" s="46"/>
    </row>
    <row r="189" spans="1:99" ht="12.75" customHeight="1">
      <c r="A189" s="399">
        <v>1425</v>
      </c>
      <c r="B189" s="399" t="s">
        <v>4365</v>
      </c>
      <c r="C189" s="399">
        <f t="shared" si="22"/>
        <v>1425</v>
      </c>
      <c r="D189" s="399" t="str">
        <f t="shared" si="23"/>
        <v>Time since last injection</v>
      </c>
      <c r="E189" s="399" t="str">
        <f t="shared" si="24"/>
        <v>Time since last injection</v>
      </c>
      <c r="F189" s="399" t="str">
        <f t="shared" si="34"/>
        <v>Data Element</v>
      </c>
      <c r="G189" s="400">
        <f t="shared" si="26"/>
        <v>25</v>
      </c>
      <c r="H189" s="400" t="str">
        <f t="shared" si="21"/>
        <v/>
      </c>
      <c r="I189" s="400"/>
      <c r="J189" s="400"/>
      <c r="K189" s="401" t="s">
        <v>3333</v>
      </c>
      <c r="L189" s="402" t="s">
        <v>3517</v>
      </c>
      <c r="M189" s="400"/>
      <c r="N189" s="427" t="s">
        <v>4119</v>
      </c>
      <c r="O189" s="428"/>
      <c r="P189" s="405" t="s">
        <v>4366</v>
      </c>
      <c r="Q189" s="403" t="s">
        <v>4365</v>
      </c>
      <c r="R189" s="403"/>
      <c r="S189" s="405" t="s">
        <v>4367</v>
      </c>
      <c r="T189" s="407" t="s">
        <v>140</v>
      </c>
      <c r="U189" s="407"/>
      <c r="V189" s="407"/>
      <c r="W189" s="407"/>
      <c r="X189" s="407"/>
      <c r="Y189" s="407"/>
      <c r="Z189" s="407"/>
      <c r="AA189" s="403" t="s">
        <v>3178</v>
      </c>
      <c r="AB189" s="432" t="s">
        <v>4368</v>
      </c>
      <c r="AC189" s="421"/>
      <c r="AD189" s="436"/>
      <c r="AE189" s="406"/>
      <c r="AF189" s="432" t="s">
        <v>4369</v>
      </c>
      <c r="AG189" s="421"/>
      <c r="AH189" s="399"/>
      <c r="AI189" s="400"/>
      <c r="AJ189" s="399"/>
      <c r="AK189" s="409" t="s">
        <v>4370</v>
      </c>
      <c r="AL189" s="409"/>
      <c r="AM189" s="409" t="s">
        <v>3100</v>
      </c>
      <c r="AN189" s="409" t="s">
        <v>3101</v>
      </c>
      <c r="AO189" s="399"/>
      <c r="AP189" s="399"/>
      <c r="AQ189" s="409" t="s">
        <v>115</v>
      </c>
      <c r="AR189" s="399"/>
      <c r="AS189" s="399"/>
      <c r="AT189" s="399"/>
      <c r="AU189" s="399" t="s">
        <v>4365</v>
      </c>
      <c r="AV189" s="399" t="str">
        <f t="shared" si="27"/>
        <v>Same</v>
      </c>
      <c r="AW189" s="399"/>
      <c r="AX189" s="409" t="s">
        <v>3343</v>
      </c>
      <c r="AY189" s="399" t="str">
        <f t="shared" si="28"/>
        <v/>
      </c>
      <c r="AZ189" s="399"/>
      <c r="BA189" s="409">
        <v>0</v>
      </c>
      <c r="BB189" s="399"/>
      <c r="BC189" s="399"/>
      <c r="BD189" s="409" t="s">
        <v>4371</v>
      </c>
      <c r="BE189" s="411"/>
      <c r="BF189" s="411"/>
      <c r="BG189" s="411"/>
      <c r="BH189" s="411"/>
      <c r="BI189" s="411"/>
      <c r="BJ189" s="409" t="s">
        <v>3106</v>
      </c>
      <c r="BK189" s="399"/>
      <c r="BL189" s="399"/>
      <c r="BM189" s="399"/>
      <c r="BN189" s="399"/>
      <c r="BO189" s="399"/>
      <c r="BP189" s="399"/>
      <c r="BQ189" s="399"/>
      <c r="BR189" s="399"/>
      <c r="BS189" s="407"/>
      <c r="BT189" s="407"/>
      <c r="BU189" s="412"/>
      <c r="BV189" s="46" t="str">
        <f t="shared" si="8"/>
        <v/>
      </c>
      <c r="BW189" s="46" t="str">
        <f t="shared" si="9"/>
        <v/>
      </c>
      <c r="BX189" s="46" t="str">
        <f t="shared" si="10"/>
        <v/>
      </c>
      <c r="BY189" s="43">
        <f t="shared" si="11"/>
        <v>0</v>
      </c>
      <c r="BZ189" s="46">
        <f t="shared" si="12"/>
        <v>1</v>
      </c>
      <c r="CA189" s="46">
        <f t="shared" si="13"/>
        <v>0</v>
      </c>
      <c r="CB189" s="46">
        <f t="shared" si="14"/>
        <v>1</v>
      </c>
      <c r="CC189" s="46">
        <f t="shared" si="15"/>
        <v>1</v>
      </c>
      <c r="CD189" s="46">
        <f t="shared" si="16"/>
        <v>1</v>
      </c>
      <c r="CE189" s="46">
        <f t="shared" si="17"/>
        <v>0</v>
      </c>
      <c r="CF189" s="46">
        <f t="shared" si="18"/>
        <v>0</v>
      </c>
      <c r="CG189" s="46" t="str">
        <f ca="1">IFERROR(__xludf.DUMMYFUNCTION("if(OR(BH189="""",LEFT(BH189,2)=""LA""),"""",IMPORTXML(CONCATENATE(""https://loinc.org/"",BH189,""/""),""//span[@id='lcn']""))"),"")</f>
        <v/>
      </c>
      <c r="CH189" s="46"/>
      <c r="CI189" s="46"/>
      <c r="CJ189" s="46"/>
      <c r="CK189" s="46"/>
      <c r="CL189" s="46"/>
      <c r="CM189" s="46"/>
      <c r="CN189" s="46"/>
      <c r="CO189" s="46"/>
      <c r="CP189" s="46"/>
      <c r="CQ189" s="46"/>
      <c r="CR189" s="46"/>
      <c r="CS189" s="46"/>
      <c r="CT189" s="46"/>
      <c r="CU189" s="46"/>
    </row>
    <row r="190" spans="1:99" ht="12.75" customHeight="1">
      <c r="A190" s="399">
        <v>1426</v>
      </c>
      <c r="B190" s="409" t="s">
        <v>4372</v>
      </c>
      <c r="C190" s="399">
        <f t="shared" si="22"/>
        <v>1426</v>
      </c>
      <c r="D190" s="399" t="str">
        <f t="shared" si="23"/>
        <v>Injection cycle</v>
      </c>
      <c r="E190" s="399" t="str">
        <f t="shared" si="24"/>
        <v>Injection cycle</v>
      </c>
      <c r="F190" s="399" t="str">
        <f t="shared" si="34"/>
        <v>Data Element</v>
      </c>
      <c r="G190" s="400">
        <f t="shared" si="26"/>
        <v>21</v>
      </c>
      <c r="H190" s="400" t="str">
        <f t="shared" si="21"/>
        <v/>
      </c>
      <c r="I190" s="400"/>
      <c r="J190" s="400"/>
      <c r="K190" s="401" t="s">
        <v>3333</v>
      </c>
      <c r="L190" s="402" t="s">
        <v>3517</v>
      </c>
      <c r="M190" s="400"/>
      <c r="N190" s="427" t="s">
        <v>4119</v>
      </c>
      <c r="O190" s="428"/>
      <c r="P190" s="405" t="s">
        <v>4373</v>
      </c>
      <c r="Q190" s="403" t="s">
        <v>4374</v>
      </c>
      <c r="R190" s="403"/>
      <c r="S190" s="405" t="s">
        <v>4375</v>
      </c>
      <c r="T190" s="405" t="s">
        <v>3169</v>
      </c>
      <c r="U190" s="431"/>
      <c r="V190" s="407" t="s">
        <v>3170</v>
      </c>
      <c r="W190" s="407"/>
      <c r="X190" s="407"/>
      <c r="Y190" s="407"/>
      <c r="Z190" s="407" t="s">
        <v>113</v>
      </c>
      <c r="AA190" s="403" t="s">
        <v>3178</v>
      </c>
      <c r="AB190" s="432" t="s">
        <v>4376</v>
      </c>
      <c r="AC190" s="421"/>
      <c r="AD190" s="436"/>
      <c r="AE190" s="420"/>
      <c r="AF190" s="407"/>
      <c r="AG190" s="407"/>
      <c r="AH190" s="399"/>
      <c r="AI190" s="400"/>
      <c r="AJ190" s="399"/>
      <c r="AK190" s="409" t="s">
        <v>3916</v>
      </c>
      <c r="AL190" s="409"/>
      <c r="AM190" s="409" t="s">
        <v>3100</v>
      </c>
      <c r="AN190" s="409" t="s">
        <v>3101</v>
      </c>
      <c r="AO190" s="399"/>
      <c r="AP190" s="399"/>
      <c r="AQ190" s="409" t="s">
        <v>115</v>
      </c>
      <c r="AR190" s="399"/>
      <c r="AS190" s="399"/>
      <c r="AT190" s="399"/>
      <c r="AU190" s="399" t="s">
        <v>4374</v>
      </c>
      <c r="AV190" s="399" t="str">
        <f t="shared" si="27"/>
        <v>Changed</v>
      </c>
      <c r="AW190" s="399"/>
      <c r="AX190" s="409" t="s">
        <v>3343</v>
      </c>
      <c r="AY190" s="399" t="str">
        <f t="shared" si="28"/>
        <v>"Injection cycle"-&gt;"Injection cycle issue"</v>
      </c>
      <c r="AZ190" s="399"/>
      <c r="BA190" s="409">
        <v>0</v>
      </c>
      <c r="BB190" s="399"/>
      <c r="BC190" s="399"/>
      <c r="BD190" s="409" t="s">
        <v>4377</v>
      </c>
      <c r="BE190" s="411"/>
      <c r="BF190" s="411"/>
      <c r="BG190" s="411"/>
      <c r="BH190" s="411"/>
      <c r="BI190" s="411"/>
      <c r="BJ190" s="399"/>
      <c r="BK190" s="399"/>
      <c r="BL190" s="399"/>
      <c r="BM190" s="399"/>
      <c r="BN190" s="438" t="str">
        <f>HYPERLINK("https://github.com/who-int/Data-Dictionary-Mapping/issues/95","95")</f>
        <v>95</v>
      </c>
      <c r="BO190" s="399"/>
      <c r="BP190" s="399"/>
      <c r="BQ190" s="399"/>
      <c r="BR190" s="399"/>
      <c r="BS190" s="407"/>
      <c r="BT190" s="407"/>
      <c r="BU190" s="412"/>
      <c r="BV190" s="46" t="str">
        <f t="shared" si="8"/>
        <v/>
      </c>
      <c r="BW190" s="46" t="str">
        <f t="shared" si="9"/>
        <v/>
      </c>
      <c r="BX190" s="46" t="str">
        <f t="shared" si="10"/>
        <v/>
      </c>
      <c r="BY190" s="43">
        <f t="shared" si="11"/>
        <v>0</v>
      </c>
      <c r="BZ190" s="46">
        <f t="shared" si="12"/>
        <v>1</v>
      </c>
      <c r="CA190" s="46">
        <f t="shared" si="13"/>
        <v>0</v>
      </c>
      <c r="CB190" s="46">
        <f t="shared" si="14"/>
        <v>0</v>
      </c>
      <c r="CC190" s="46">
        <f t="shared" si="15"/>
        <v>1</v>
      </c>
      <c r="CD190" s="46">
        <f t="shared" si="16"/>
        <v>0</v>
      </c>
      <c r="CE190" s="46">
        <f t="shared" si="17"/>
        <v>1</v>
      </c>
      <c r="CF190" s="46">
        <f t="shared" si="18"/>
        <v>0</v>
      </c>
      <c r="CG190" s="46" t="str">
        <f ca="1">IFERROR(__xludf.DUMMYFUNCTION("if(OR(BH190="""",LEFT(BH190,2)=""LA""),"""",IMPORTXML(CONCATENATE(""https://loinc.org/"",BH190,""/""),""//span[@id='lcn']""))"),"")</f>
        <v/>
      </c>
      <c r="CH190" s="46"/>
      <c r="CI190" s="46"/>
      <c r="CJ190" s="46"/>
      <c r="CK190" s="46"/>
      <c r="CL190" s="46"/>
      <c r="CM190" s="46"/>
      <c r="CN190" s="46"/>
      <c r="CO190" s="46"/>
      <c r="CP190" s="46"/>
      <c r="CQ190" s="46"/>
      <c r="CR190" s="46"/>
      <c r="CS190" s="46"/>
      <c r="CT190" s="46"/>
      <c r="CU190" s="46"/>
    </row>
    <row r="191" spans="1:99" ht="12.75" customHeight="1">
      <c r="A191" s="399">
        <v>1427</v>
      </c>
      <c r="B191" s="399" t="s">
        <v>4378</v>
      </c>
      <c r="C191" s="399">
        <f t="shared" si="22"/>
        <v>1427</v>
      </c>
      <c r="D191" s="399" t="str">
        <f t="shared" si="23"/>
        <v>Consider emergency contraception</v>
      </c>
      <c r="E191" s="399" t="str">
        <f t="shared" si="24"/>
        <v>Consider emergency contraception</v>
      </c>
      <c r="F191" s="409" t="s">
        <v>65</v>
      </c>
      <c r="G191" s="400">
        <f t="shared" si="26"/>
        <v>32</v>
      </c>
      <c r="H191" s="400" t="str">
        <f t="shared" si="21"/>
        <v/>
      </c>
      <c r="I191" s="400"/>
      <c r="J191" s="400"/>
      <c r="K191" s="401" t="s">
        <v>3333</v>
      </c>
      <c r="L191" s="402" t="s">
        <v>3517</v>
      </c>
      <c r="M191" s="400"/>
      <c r="N191" s="427" t="s">
        <v>4119</v>
      </c>
      <c r="O191" s="428"/>
      <c r="P191" s="405" t="s">
        <v>4379</v>
      </c>
      <c r="Q191" s="429" t="s">
        <v>4378</v>
      </c>
      <c r="R191" s="403"/>
      <c r="S191" s="405" t="s">
        <v>4380</v>
      </c>
      <c r="T191" s="405"/>
      <c r="U191" s="431"/>
      <c r="V191" s="407"/>
      <c r="W191" s="407"/>
      <c r="X191" s="405" t="s">
        <v>208</v>
      </c>
      <c r="Y191" s="403"/>
      <c r="Z191" s="403" t="s">
        <v>208</v>
      </c>
      <c r="AA191" s="403" t="s">
        <v>3178</v>
      </c>
      <c r="AB191" s="432" t="s">
        <v>4381</v>
      </c>
      <c r="AC191" s="421"/>
      <c r="AD191" s="421"/>
      <c r="AE191" s="432"/>
      <c r="AF191" s="407"/>
      <c r="AG191" s="407"/>
      <c r="AH191" s="399"/>
      <c r="AI191" s="400"/>
      <c r="AJ191" s="399"/>
      <c r="AK191" s="409" t="s">
        <v>3916</v>
      </c>
      <c r="AL191" s="409"/>
      <c r="AM191" s="409" t="s">
        <v>3100</v>
      </c>
      <c r="AN191" s="409" t="s">
        <v>3101</v>
      </c>
      <c r="AO191" s="399"/>
      <c r="AP191" s="399"/>
      <c r="AQ191" s="409" t="s">
        <v>115</v>
      </c>
      <c r="AR191" s="399"/>
      <c r="AS191" s="399"/>
      <c r="AT191" s="399"/>
      <c r="AU191" s="399" t="s">
        <v>4378</v>
      </c>
      <c r="AV191" s="399" t="str">
        <f t="shared" si="27"/>
        <v>Same</v>
      </c>
      <c r="AW191" s="399"/>
      <c r="AX191" s="409" t="s">
        <v>3343</v>
      </c>
      <c r="AY191" s="399" t="str">
        <f t="shared" si="28"/>
        <v/>
      </c>
      <c r="AZ191" s="399"/>
      <c r="BA191" s="409">
        <v>0</v>
      </c>
      <c r="BB191" s="399"/>
      <c r="BC191" s="399"/>
      <c r="BD191" s="409" t="s">
        <v>3188</v>
      </c>
      <c r="BE191" s="411"/>
      <c r="BF191" s="411"/>
      <c r="BG191" s="411"/>
      <c r="BH191" s="411"/>
      <c r="BI191" s="411"/>
      <c r="BJ191" s="399"/>
      <c r="BK191" s="399"/>
      <c r="BL191" s="399"/>
      <c r="BM191" s="409" t="s">
        <v>4382</v>
      </c>
      <c r="BN191" s="399"/>
      <c r="BO191" s="399">
        <v>160570</v>
      </c>
      <c r="BP191" s="399"/>
      <c r="BQ191" s="399"/>
      <c r="BR191" s="399"/>
      <c r="BS191" s="407"/>
      <c r="BT191" s="407"/>
      <c r="BU191" s="412"/>
      <c r="BV191" s="46" t="str">
        <f t="shared" si="8"/>
        <v/>
      </c>
      <c r="BW191" s="46" t="str">
        <f t="shared" si="9"/>
        <v/>
      </c>
      <c r="BX191" s="46" t="str">
        <f t="shared" si="10"/>
        <v/>
      </c>
      <c r="BY191" s="43">
        <f t="shared" si="11"/>
        <v>0</v>
      </c>
      <c r="BZ191" s="46">
        <f t="shared" si="12"/>
        <v>1</v>
      </c>
      <c r="CA191" s="46" t="str">
        <f t="shared" si="13"/>
        <v/>
      </c>
      <c r="CB191" s="46">
        <f t="shared" si="14"/>
        <v>0</v>
      </c>
      <c r="CC191" s="46">
        <f t="shared" si="15"/>
        <v>1</v>
      </c>
      <c r="CD191" s="46">
        <f t="shared" si="16"/>
        <v>0</v>
      </c>
      <c r="CE191" s="46">
        <f t="shared" si="17"/>
        <v>1</v>
      </c>
      <c r="CF191" s="46">
        <f t="shared" si="18"/>
        <v>0</v>
      </c>
      <c r="CG191" s="46" t="str">
        <f ca="1">IFERROR(__xludf.DUMMYFUNCTION("if(OR(BH191="""",LEFT(BH191,2)=""LA""),"""",IMPORTXML(CONCATENATE(""https://loinc.org/"",BH191,""/""),""//span[@id='lcn']""))"),"")</f>
        <v/>
      </c>
      <c r="CH191" s="46"/>
      <c r="CI191" s="46"/>
      <c r="CJ191" s="46"/>
      <c r="CK191" s="46"/>
      <c r="CL191" s="46"/>
      <c r="CM191" s="46"/>
      <c r="CN191" s="46"/>
      <c r="CO191" s="46"/>
      <c r="CP191" s="46"/>
      <c r="CQ191" s="46"/>
      <c r="CR191" s="46"/>
      <c r="CS191" s="46"/>
      <c r="CT191" s="46"/>
      <c r="CU191" s="46"/>
    </row>
    <row r="192" spans="1:99" ht="12.75" customHeight="1">
      <c r="A192" s="399">
        <v>1443</v>
      </c>
      <c r="B192" s="399" t="s">
        <v>4383</v>
      </c>
      <c r="C192" s="399">
        <f t="shared" si="22"/>
        <v>1443</v>
      </c>
      <c r="D192" s="399" t="str">
        <f t="shared" si="23"/>
        <v>Keeping method</v>
      </c>
      <c r="E192" s="399" t="str">
        <f t="shared" si="24"/>
        <v>Keeping method</v>
      </c>
      <c r="F192" s="409" t="s">
        <v>3164</v>
      </c>
      <c r="G192" s="400">
        <f t="shared" si="26"/>
        <v>14</v>
      </c>
      <c r="H192" s="400" t="str">
        <f t="shared" si="21"/>
        <v/>
      </c>
      <c r="I192" s="400"/>
      <c r="J192" s="400"/>
      <c r="K192" s="401" t="s">
        <v>3333</v>
      </c>
      <c r="L192" s="402" t="s">
        <v>3517</v>
      </c>
      <c r="M192" s="400"/>
      <c r="N192" s="427" t="s">
        <v>4384</v>
      </c>
      <c r="O192" s="428"/>
      <c r="P192" s="405" t="s">
        <v>4385</v>
      </c>
      <c r="Q192" s="403" t="s">
        <v>4383</v>
      </c>
      <c r="R192" s="403"/>
      <c r="S192" s="403" t="s">
        <v>4386</v>
      </c>
      <c r="T192" s="403" t="s">
        <v>3169</v>
      </c>
      <c r="U192" s="407"/>
      <c r="V192" s="405" t="s">
        <v>3170</v>
      </c>
      <c r="W192" s="407"/>
      <c r="X192" s="403" t="s">
        <v>208</v>
      </c>
      <c r="Y192" s="403"/>
      <c r="Z192" s="403" t="s">
        <v>113</v>
      </c>
      <c r="AA192" s="403" t="s">
        <v>3178</v>
      </c>
      <c r="AB192" s="432" t="s">
        <v>4387</v>
      </c>
      <c r="AC192" s="421"/>
      <c r="AD192" s="436"/>
      <c r="AE192" s="406"/>
      <c r="AF192" s="407"/>
      <c r="AG192" s="407"/>
      <c r="AH192" s="399"/>
      <c r="AI192" s="400"/>
      <c r="AJ192" s="399"/>
      <c r="AK192" s="399"/>
      <c r="AL192" s="399"/>
      <c r="AM192" s="399"/>
      <c r="AN192" s="399"/>
      <c r="AO192" s="399"/>
      <c r="AP192" s="399"/>
      <c r="AQ192" s="409" t="s">
        <v>115</v>
      </c>
      <c r="AR192" s="399"/>
      <c r="AS192" s="399"/>
      <c r="AT192" s="399"/>
      <c r="AU192" s="399" t="s">
        <v>4383</v>
      </c>
      <c r="AV192" s="399" t="str">
        <f t="shared" si="27"/>
        <v>Same</v>
      </c>
      <c r="AW192" s="399"/>
      <c r="AX192" s="409" t="s">
        <v>3343</v>
      </c>
      <c r="AY192" s="399" t="str">
        <f t="shared" si="28"/>
        <v/>
      </c>
      <c r="AZ192" s="399"/>
      <c r="BA192" s="409">
        <v>0</v>
      </c>
      <c r="BB192" s="399"/>
      <c r="BC192" s="399"/>
      <c r="BD192" s="399"/>
      <c r="BE192" s="411"/>
      <c r="BF192" s="411"/>
      <c r="BG192" s="411"/>
      <c r="BH192" s="411"/>
      <c r="BI192" s="411"/>
      <c r="BJ192" s="409" t="s">
        <v>3106</v>
      </c>
      <c r="BK192" s="399"/>
      <c r="BL192" s="399"/>
      <c r="BM192" s="399"/>
      <c r="BN192" s="399"/>
      <c r="BO192" s="399"/>
      <c r="BP192" s="399"/>
      <c r="BQ192" s="399"/>
      <c r="BR192" s="399"/>
      <c r="BS192" s="407"/>
      <c r="BT192" s="407"/>
      <c r="BU192" s="412"/>
      <c r="BV192" s="46" t="str">
        <f t="shared" si="8"/>
        <v/>
      </c>
      <c r="BW192" s="46" t="str">
        <f t="shared" si="9"/>
        <v/>
      </c>
      <c r="BX192" s="46" t="str">
        <f t="shared" si="10"/>
        <v/>
      </c>
      <c r="BY192" s="43" t="str">
        <f t="shared" si="11"/>
        <v/>
      </c>
      <c r="BZ192" s="46">
        <f t="shared" si="12"/>
        <v>1</v>
      </c>
      <c r="CA192" s="46" t="str">
        <f t="shared" si="13"/>
        <v/>
      </c>
      <c r="CB192" s="46">
        <f t="shared" si="14"/>
        <v>1</v>
      </c>
      <c r="CC192" s="46">
        <f t="shared" si="15"/>
        <v>1</v>
      </c>
      <c r="CD192" s="46">
        <f t="shared" si="16"/>
        <v>1</v>
      </c>
      <c r="CE192" s="46">
        <f t="shared" si="17"/>
        <v>0</v>
      </c>
      <c r="CF192" s="46">
        <f t="shared" si="18"/>
        <v>0</v>
      </c>
      <c r="CG192" s="46" t="str">
        <f ca="1">IFERROR(__xludf.DUMMYFUNCTION("if(OR(BH192="""",LEFT(BH192,2)=""LA""),"""",IMPORTXML(CONCATENATE(""https://loinc.org/"",BH192,""/""),""//span[@id='lcn']""))"),"")</f>
        <v/>
      </c>
      <c r="CH192" s="46"/>
      <c r="CI192" s="46"/>
      <c r="CJ192" s="46"/>
      <c r="CK192" s="46"/>
      <c r="CL192" s="46"/>
      <c r="CM192" s="46"/>
      <c r="CN192" s="46"/>
      <c r="CO192" s="46"/>
      <c r="CP192" s="46"/>
      <c r="CQ192" s="46"/>
      <c r="CR192" s="46"/>
      <c r="CS192" s="46"/>
      <c r="CT192" s="46"/>
      <c r="CU192" s="46"/>
    </row>
    <row r="193" spans="1:99" ht="12.75" customHeight="1">
      <c r="A193" s="399">
        <v>1444</v>
      </c>
      <c r="B193" s="399" t="s">
        <v>4388</v>
      </c>
      <c r="C193" s="399">
        <f t="shared" si="22"/>
        <v>1444</v>
      </c>
      <c r="D193" s="399" t="str">
        <f t="shared" si="23"/>
        <v>Method in mind</v>
      </c>
      <c r="E193" s="399" t="str">
        <f t="shared" si="24"/>
        <v>Method in mind</v>
      </c>
      <c r="F193" s="409" t="s">
        <v>3164</v>
      </c>
      <c r="G193" s="400">
        <f t="shared" si="26"/>
        <v>28</v>
      </c>
      <c r="H193" s="400" t="str">
        <f t="shared" si="21"/>
        <v/>
      </c>
      <c r="I193" s="400"/>
      <c r="J193" s="400"/>
      <c r="K193" s="401" t="s">
        <v>3333</v>
      </c>
      <c r="L193" s="402" t="s">
        <v>3517</v>
      </c>
      <c r="M193" s="400"/>
      <c r="N193" s="407" t="s">
        <v>4389</v>
      </c>
      <c r="O193" s="428"/>
      <c r="P193" s="405" t="s">
        <v>4390</v>
      </c>
      <c r="Q193" s="403" t="s">
        <v>4391</v>
      </c>
      <c r="R193" s="403"/>
      <c r="S193" s="403" t="s">
        <v>4392</v>
      </c>
      <c r="T193" s="405" t="s">
        <v>3169</v>
      </c>
      <c r="U193" s="431"/>
      <c r="V193" s="407" t="s">
        <v>3170</v>
      </c>
      <c r="W193" s="407"/>
      <c r="X193" s="403" t="s">
        <v>208</v>
      </c>
      <c r="Y193" s="403"/>
      <c r="Z193" s="403" t="s">
        <v>113</v>
      </c>
      <c r="AA193" s="403" t="s">
        <v>3178</v>
      </c>
      <c r="AB193" s="432" t="s">
        <v>4393</v>
      </c>
      <c r="AC193" s="421"/>
      <c r="AD193" s="403"/>
      <c r="AE193" s="406"/>
      <c r="AF193" s="407"/>
      <c r="AG193" s="407"/>
      <c r="AH193" s="399"/>
      <c r="AI193" s="400"/>
      <c r="AJ193" s="399"/>
      <c r="AK193" s="399"/>
      <c r="AL193" s="399"/>
      <c r="AM193" s="399"/>
      <c r="AN193" s="399"/>
      <c r="AO193" s="399"/>
      <c r="AP193" s="399"/>
      <c r="AQ193" s="409" t="s">
        <v>115</v>
      </c>
      <c r="AR193" s="399"/>
      <c r="AS193" s="399"/>
      <c r="AT193" s="399"/>
      <c r="AU193" s="399" t="s">
        <v>4388</v>
      </c>
      <c r="AV193" s="399" t="str">
        <f t="shared" si="27"/>
        <v>Same</v>
      </c>
      <c r="AW193" s="399"/>
      <c r="AX193" s="409" t="s">
        <v>3343</v>
      </c>
      <c r="AY193" s="399" t="str">
        <f t="shared" si="28"/>
        <v>"Method in mind"-&gt;"Contraception Method in mind"</v>
      </c>
      <c r="AZ193" s="399"/>
      <c r="BA193" s="409">
        <v>1</v>
      </c>
      <c r="BB193" s="399"/>
      <c r="BC193" s="399"/>
      <c r="BD193" s="399" t="s">
        <v>4394</v>
      </c>
      <c r="BE193" s="411"/>
      <c r="BF193" s="411"/>
      <c r="BG193" s="411"/>
      <c r="BH193" s="411"/>
      <c r="BI193" s="411"/>
      <c r="BJ193" s="399"/>
      <c r="BK193" s="399"/>
      <c r="BL193" s="399"/>
      <c r="BM193" s="399"/>
      <c r="BN193" s="399"/>
      <c r="BO193" s="399"/>
      <c r="BP193" s="399"/>
      <c r="BQ193" s="399"/>
      <c r="BR193" s="399"/>
      <c r="BS193" s="407"/>
      <c r="BT193" s="407"/>
      <c r="BU193" s="412"/>
      <c r="BV193" s="46" t="str">
        <f t="shared" si="8"/>
        <v/>
      </c>
      <c r="BW193" s="46" t="str">
        <f t="shared" si="9"/>
        <v/>
      </c>
      <c r="BX193" s="46" t="str">
        <f t="shared" si="10"/>
        <v/>
      </c>
      <c r="BY193" s="43" t="str">
        <f t="shared" si="11"/>
        <v/>
      </c>
      <c r="BZ193" s="46">
        <f t="shared" si="12"/>
        <v>1</v>
      </c>
      <c r="CA193" s="46" t="str">
        <f t="shared" si="13"/>
        <v/>
      </c>
      <c r="CB193" s="46">
        <f t="shared" si="14"/>
        <v>1</v>
      </c>
      <c r="CC193" s="46">
        <f t="shared" si="15"/>
        <v>1</v>
      </c>
      <c r="CD193" s="46">
        <f t="shared" si="16"/>
        <v>1</v>
      </c>
      <c r="CE193" s="46">
        <f t="shared" si="17"/>
        <v>0</v>
      </c>
      <c r="CF193" s="46">
        <f t="shared" si="18"/>
        <v>0</v>
      </c>
      <c r="CG193" s="46" t="str">
        <f ca="1">IFERROR(__xludf.DUMMYFUNCTION("if(OR(BH193="""",LEFT(BH193,2)=""LA""),"""",IMPORTXML(CONCATENATE(""https://loinc.org/"",BH193,""/""),""//span[@id='lcn']""))"),"")</f>
        <v/>
      </c>
      <c r="CH193" s="46"/>
      <c r="CI193" s="46"/>
      <c r="CJ193" s="46"/>
      <c r="CK193" s="46"/>
      <c r="CL193" s="46"/>
      <c r="CM193" s="46"/>
      <c r="CN193" s="46"/>
      <c r="CO193" s="46"/>
      <c r="CP193" s="46"/>
      <c r="CQ193" s="46"/>
      <c r="CR193" s="46"/>
      <c r="CS193" s="46"/>
      <c r="CT193" s="46"/>
      <c r="CU193" s="46"/>
    </row>
    <row r="194" spans="1:99" ht="12.75" customHeight="1">
      <c r="A194" s="399">
        <v>1445</v>
      </c>
      <c r="B194" s="409" t="s">
        <v>4395</v>
      </c>
      <c r="C194" s="399">
        <f t="shared" si="22"/>
        <v>1445</v>
      </c>
      <c r="D194" s="399" t="str">
        <f t="shared" si="23"/>
        <v>Method requested</v>
      </c>
      <c r="E194" s="399" t="str">
        <f t="shared" si="24"/>
        <v>Method requested</v>
      </c>
      <c r="F194" s="399" t="str">
        <f>IF(AND(ISBLANK(V194)=FALSE,OR(T194="MC",T194="")),"Input Option","Data Element")</f>
        <v>Data Element</v>
      </c>
      <c r="G194" s="400">
        <f t="shared" si="26"/>
        <v>43</v>
      </c>
      <c r="H194" s="400" t="str">
        <f t="shared" si="21"/>
        <v/>
      </c>
      <c r="I194" s="400"/>
      <c r="J194" s="400"/>
      <c r="K194" s="401" t="s">
        <v>3333</v>
      </c>
      <c r="L194" s="402" t="s">
        <v>3517</v>
      </c>
      <c r="M194" s="400"/>
      <c r="N194" s="467" t="s">
        <v>4396</v>
      </c>
      <c r="O194" s="428"/>
      <c r="P194" s="403" t="s">
        <v>4397</v>
      </c>
      <c r="Q194" s="403" t="s">
        <v>4398</v>
      </c>
      <c r="R194" s="403"/>
      <c r="S194" s="403" t="s">
        <v>4399</v>
      </c>
      <c r="T194" s="440" t="s">
        <v>3339</v>
      </c>
      <c r="U194" s="407"/>
      <c r="V194" s="407"/>
      <c r="W194" s="407"/>
      <c r="X194" s="403" t="s">
        <v>208</v>
      </c>
      <c r="Y194" s="403"/>
      <c r="Z194" s="403" t="s">
        <v>113</v>
      </c>
      <c r="AA194" s="403" t="s">
        <v>3178</v>
      </c>
      <c r="AB194" s="432" t="s">
        <v>4400</v>
      </c>
      <c r="AC194" s="407"/>
      <c r="AD194" s="407" t="s">
        <v>4401</v>
      </c>
      <c r="AE194" s="406"/>
      <c r="AF194" s="432" t="s">
        <v>4402</v>
      </c>
      <c r="AG194" s="407"/>
      <c r="AH194" s="399"/>
      <c r="AI194" s="400"/>
      <c r="AJ194" s="399"/>
      <c r="AK194" s="403" t="s">
        <v>3534</v>
      </c>
      <c r="AL194" s="403"/>
      <c r="AM194" s="403" t="s">
        <v>3100</v>
      </c>
      <c r="AN194" s="403" t="s">
        <v>3101</v>
      </c>
      <c r="AO194" s="407"/>
      <c r="AP194" s="440" t="s">
        <v>4403</v>
      </c>
      <c r="AQ194" s="440" t="s">
        <v>3424</v>
      </c>
      <c r="AR194" s="468" t="s">
        <v>4404</v>
      </c>
      <c r="AS194" s="403"/>
      <c r="AT194" s="399"/>
      <c r="AU194" s="399" t="s">
        <v>4405</v>
      </c>
      <c r="AV194" s="399" t="str">
        <f t="shared" si="27"/>
        <v>Changed</v>
      </c>
      <c r="AW194" s="399"/>
      <c r="AX194" s="409" t="s">
        <v>3343</v>
      </c>
      <c r="AY194" s="399" t="str">
        <f t="shared" si="28"/>
        <v>"Method requested"-&gt;"Device-based Contraception Method requested"</v>
      </c>
      <c r="AZ194" s="399"/>
      <c r="BA194" s="409">
        <v>1</v>
      </c>
      <c r="BB194" s="399"/>
      <c r="BC194" s="399"/>
      <c r="BD194" s="409" t="s">
        <v>3162</v>
      </c>
      <c r="BE194" s="411" t="s">
        <v>4406</v>
      </c>
      <c r="BF194" s="411"/>
      <c r="BG194" s="411"/>
      <c r="BH194" s="411"/>
      <c r="BI194" s="411"/>
      <c r="BJ194" s="409" t="s">
        <v>3106</v>
      </c>
      <c r="BK194" s="399"/>
      <c r="BL194" s="399"/>
      <c r="BM194" s="399"/>
      <c r="BN194" s="438" t="str">
        <f t="shared" ref="BN194:BN197" si="35">HYPERLINK("https://github.com/who-int/Data-Dictionary-Mapping/issues/80","80")</f>
        <v>80</v>
      </c>
      <c r="BO194" s="399"/>
      <c r="BP194" s="399"/>
      <c r="BQ194" s="399"/>
      <c r="BR194" s="399"/>
      <c r="BS194" s="407"/>
      <c r="BT194" s="407"/>
      <c r="BU194" s="412"/>
      <c r="BV194" s="46" t="str">
        <f t="shared" si="8"/>
        <v>DeviceUseStatement</v>
      </c>
      <c r="BW194" s="46" t="str">
        <f t="shared" si="9"/>
        <v/>
      </c>
      <c r="BX194" s="46" t="str">
        <f t="shared" si="10"/>
        <v>DeviceUseStatement</v>
      </c>
      <c r="BY194" s="43" t="str">
        <f t="shared" si="11"/>
        <v>WHO-FP DeviceUseStatement (Requested Contraceptive Method)</v>
      </c>
      <c r="BZ194" s="46">
        <f t="shared" si="12"/>
        <v>1</v>
      </c>
      <c r="CA194" s="46">
        <f t="shared" si="13"/>
        <v>1</v>
      </c>
      <c r="CB194" s="46">
        <f t="shared" si="14"/>
        <v>1</v>
      </c>
      <c r="CC194" s="46">
        <f t="shared" si="15"/>
        <v>1</v>
      </c>
      <c r="CD194" s="46">
        <f t="shared" si="16"/>
        <v>1</v>
      </c>
      <c r="CE194" s="46">
        <f t="shared" si="17"/>
        <v>0</v>
      </c>
      <c r="CF194" s="46">
        <f t="shared" si="18"/>
        <v>0</v>
      </c>
      <c r="CG194" s="46" t="str">
        <f ca="1">IFERROR(__xludf.DUMMYFUNCTION("if(OR(BH194="""",LEFT(BH194,2)=""LA""),"""",IMPORTXML(CONCATENATE(""https://loinc.org/"",BH194,""/""),""//span[@id='lcn']""))"),"")</f>
        <v/>
      </c>
      <c r="CH194" s="46"/>
      <c r="CI194" s="46"/>
      <c r="CJ194" s="46"/>
      <c r="CK194" s="46"/>
      <c r="CL194" s="46"/>
      <c r="CM194" s="46"/>
      <c r="CN194" s="46"/>
      <c r="CO194" s="46"/>
      <c r="CP194" s="46"/>
      <c r="CQ194" s="46"/>
      <c r="CR194" s="46"/>
      <c r="CS194" s="46"/>
      <c r="CT194" s="46"/>
      <c r="CU194" s="46"/>
    </row>
    <row r="195" spans="1:99" ht="12.75" customHeight="1">
      <c r="A195" s="399">
        <v>2363</v>
      </c>
      <c r="B195" s="409" t="s">
        <v>4407</v>
      </c>
      <c r="C195" s="399"/>
      <c r="D195" s="399"/>
      <c r="E195" s="399"/>
      <c r="F195" s="399" t="s">
        <v>96</v>
      </c>
      <c r="G195" s="400">
        <f t="shared" si="26"/>
        <v>47</v>
      </c>
      <c r="H195" s="400"/>
      <c r="I195" s="400"/>
      <c r="J195" s="400"/>
      <c r="K195" s="401" t="s">
        <v>3333</v>
      </c>
      <c r="L195" s="402" t="s">
        <v>3517</v>
      </c>
      <c r="M195" s="400"/>
      <c r="N195" s="467" t="s">
        <v>4396</v>
      </c>
      <c r="O195" s="428"/>
      <c r="P195" s="403" t="s">
        <v>4397</v>
      </c>
      <c r="Q195" s="403" t="s">
        <v>4398</v>
      </c>
      <c r="R195" s="403"/>
      <c r="S195" s="403" t="s">
        <v>4399</v>
      </c>
      <c r="T195" s="440" t="s">
        <v>3339</v>
      </c>
      <c r="U195" s="407"/>
      <c r="V195" s="407"/>
      <c r="W195" s="407"/>
      <c r="X195" s="403" t="s">
        <v>208</v>
      </c>
      <c r="Y195" s="403"/>
      <c r="Z195" s="403" t="s">
        <v>113</v>
      </c>
      <c r="AA195" s="403" t="s">
        <v>3178</v>
      </c>
      <c r="AB195" s="432" t="s">
        <v>4400</v>
      </c>
      <c r="AC195" s="407"/>
      <c r="AD195" s="407" t="s">
        <v>4401</v>
      </c>
      <c r="AE195" s="406"/>
      <c r="AF195" s="432" t="s">
        <v>4402</v>
      </c>
      <c r="AG195" s="407"/>
      <c r="AH195" s="399"/>
      <c r="AI195" s="400"/>
      <c r="AJ195" s="399"/>
      <c r="AK195" s="409" t="s">
        <v>3650</v>
      </c>
      <c r="AL195" s="409" t="s">
        <v>3181</v>
      </c>
      <c r="AM195" s="409" t="s">
        <v>3100</v>
      </c>
      <c r="AN195" s="403" t="s">
        <v>3101</v>
      </c>
      <c r="AO195" s="407"/>
      <c r="AP195" s="440" t="s">
        <v>4408</v>
      </c>
      <c r="AQ195" s="440" t="s">
        <v>3424</v>
      </c>
      <c r="AR195" s="468" t="s">
        <v>4409</v>
      </c>
      <c r="AS195" s="407"/>
      <c r="AT195" s="399"/>
      <c r="AU195" s="399" t="s">
        <v>4405</v>
      </c>
      <c r="AV195" s="399" t="str">
        <f t="shared" si="27"/>
        <v>Changed</v>
      </c>
      <c r="AW195" s="399"/>
      <c r="AX195" s="409" t="s">
        <v>3343</v>
      </c>
      <c r="AY195" s="399" t="str">
        <f t="shared" si="28"/>
        <v>""-&gt;"Medication-based Contraception Method requested"</v>
      </c>
      <c r="AZ195" s="399"/>
      <c r="BA195" s="409">
        <v>1</v>
      </c>
      <c r="BB195" s="399"/>
      <c r="BC195" s="399"/>
      <c r="BD195" s="409" t="s">
        <v>3162</v>
      </c>
      <c r="BE195" s="411" t="s">
        <v>4406</v>
      </c>
      <c r="BF195" s="411"/>
      <c r="BG195" s="411"/>
      <c r="BH195" s="411"/>
      <c r="BI195" s="411"/>
      <c r="BJ195" s="409" t="s">
        <v>3106</v>
      </c>
      <c r="BK195" s="399"/>
      <c r="BL195" s="399"/>
      <c r="BM195" s="399"/>
      <c r="BN195" s="438" t="str">
        <f t="shared" si="35"/>
        <v>80</v>
      </c>
      <c r="BO195" s="399"/>
      <c r="BP195" s="399"/>
      <c r="BQ195" s="399"/>
      <c r="BR195" s="399"/>
      <c r="BS195" s="407"/>
      <c r="BT195" s="407"/>
      <c r="BU195" s="412"/>
      <c r="BV195" s="46" t="str">
        <f t="shared" si="8"/>
        <v>MedicationStatement</v>
      </c>
      <c r="BW195" s="46" t="str">
        <f t="shared" si="9"/>
        <v/>
      </c>
      <c r="BX195" s="46" t="str">
        <f t="shared" si="10"/>
        <v>MedicationStatement</v>
      </c>
      <c r="BY195" s="43" t="str">
        <f t="shared" si="11"/>
        <v>WHO-FP MedicationStatement (Requested Contraceptive Method)</v>
      </c>
      <c r="BZ195" s="46">
        <f t="shared" si="12"/>
        <v>1</v>
      </c>
      <c r="CA195" s="46">
        <f t="shared" si="13"/>
        <v>1</v>
      </c>
      <c r="CB195" s="46">
        <f t="shared" si="14"/>
        <v>1</v>
      </c>
      <c r="CC195" s="46">
        <f t="shared" si="15"/>
        <v>1</v>
      </c>
      <c r="CD195" s="46">
        <f t="shared" si="16"/>
        <v>1</v>
      </c>
      <c r="CE195" s="46">
        <f t="shared" si="17"/>
        <v>0</v>
      </c>
      <c r="CF195" s="46">
        <f t="shared" si="18"/>
        <v>0</v>
      </c>
      <c r="CG195" s="46"/>
      <c r="CH195" s="46"/>
      <c r="CI195" s="46"/>
      <c r="CJ195" s="46"/>
      <c r="CK195" s="46"/>
      <c r="CL195" s="46"/>
      <c r="CM195" s="46"/>
      <c r="CN195" s="46"/>
      <c r="CO195" s="46"/>
      <c r="CP195" s="46"/>
      <c r="CQ195" s="46"/>
      <c r="CR195" s="46"/>
      <c r="CS195" s="46"/>
      <c r="CT195" s="46"/>
      <c r="CU195" s="46"/>
    </row>
    <row r="196" spans="1:99" ht="12.75" customHeight="1">
      <c r="A196" s="409">
        <v>2364</v>
      </c>
      <c r="B196" s="409" t="s">
        <v>4410</v>
      </c>
      <c r="C196" s="399"/>
      <c r="D196" s="399"/>
      <c r="E196" s="399"/>
      <c r="F196" s="399" t="s">
        <v>96</v>
      </c>
      <c r="G196" s="400">
        <f t="shared" si="26"/>
        <v>46</v>
      </c>
      <c r="H196" s="400"/>
      <c r="I196" s="400"/>
      <c r="J196" s="400"/>
      <c r="K196" s="401" t="s">
        <v>3333</v>
      </c>
      <c r="L196" s="402" t="s">
        <v>3517</v>
      </c>
      <c r="M196" s="400"/>
      <c r="N196" s="467" t="s">
        <v>4396</v>
      </c>
      <c r="O196" s="428"/>
      <c r="P196" s="403" t="s">
        <v>4397</v>
      </c>
      <c r="Q196" s="403" t="s">
        <v>4398</v>
      </c>
      <c r="R196" s="403"/>
      <c r="S196" s="403" t="s">
        <v>4399</v>
      </c>
      <c r="T196" s="440" t="s">
        <v>3339</v>
      </c>
      <c r="U196" s="407"/>
      <c r="V196" s="407"/>
      <c r="W196" s="407"/>
      <c r="X196" s="403" t="s">
        <v>208</v>
      </c>
      <c r="Y196" s="403"/>
      <c r="Z196" s="403" t="s">
        <v>113</v>
      </c>
      <c r="AA196" s="403" t="s">
        <v>3178</v>
      </c>
      <c r="AB196" s="432" t="s">
        <v>4400</v>
      </c>
      <c r="AC196" s="407"/>
      <c r="AD196" s="407" t="s">
        <v>4401</v>
      </c>
      <c r="AE196" s="406"/>
      <c r="AF196" s="432" t="s">
        <v>4402</v>
      </c>
      <c r="AG196" s="407"/>
      <c r="AH196" s="399"/>
      <c r="AI196" s="400"/>
      <c r="AJ196" s="399"/>
      <c r="AK196" s="403" t="s">
        <v>3715</v>
      </c>
      <c r="AL196" s="403"/>
      <c r="AM196" s="403" t="s">
        <v>3100</v>
      </c>
      <c r="AN196" s="403" t="s">
        <v>3101</v>
      </c>
      <c r="AO196" s="407"/>
      <c r="AP196" s="440" t="s">
        <v>4411</v>
      </c>
      <c r="AQ196" s="440" t="s">
        <v>3424</v>
      </c>
      <c r="AR196" s="468" t="s">
        <v>4412</v>
      </c>
      <c r="AS196" s="407"/>
      <c r="AT196" s="399"/>
      <c r="AU196" s="399" t="s">
        <v>4405</v>
      </c>
      <c r="AV196" s="399" t="str">
        <f t="shared" si="27"/>
        <v>Changed</v>
      </c>
      <c r="AW196" s="399"/>
      <c r="AX196" s="409" t="s">
        <v>3343</v>
      </c>
      <c r="AY196" s="399" t="str">
        <f t="shared" si="28"/>
        <v>""-&gt;"Procedure-based Contraception Method requested"</v>
      </c>
      <c r="AZ196" s="399"/>
      <c r="BA196" s="409">
        <v>1</v>
      </c>
      <c r="BB196" s="399"/>
      <c r="BC196" s="399"/>
      <c r="BD196" s="409" t="s">
        <v>3162</v>
      </c>
      <c r="BE196" s="411" t="s">
        <v>4406</v>
      </c>
      <c r="BF196" s="411"/>
      <c r="BG196" s="411"/>
      <c r="BH196" s="411"/>
      <c r="BI196" s="411"/>
      <c r="BJ196" s="409" t="s">
        <v>3106</v>
      </c>
      <c r="BK196" s="399"/>
      <c r="BL196" s="399"/>
      <c r="BM196" s="399"/>
      <c r="BN196" s="438" t="str">
        <f t="shared" si="35"/>
        <v>80</v>
      </c>
      <c r="BO196" s="399"/>
      <c r="BP196" s="399"/>
      <c r="BQ196" s="399"/>
      <c r="BR196" s="399"/>
      <c r="BS196" s="407"/>
      <c r="BT196" s="407"/>
      <c r="BU196" s="412"/>
      <c r="BV196" s="46" t="str">
        <f t="shared" si="8"/>
        <v>Procedure</v>
      </c>
      <c r="BW196" s="46" t="str">
        <f t="shared" si="9"/>
        <v/>
      </c>
      <c r="BX196" s="46" t="str">
        <f t="shared" si="10"/>
        <v>Procedure</v>
      </c>
      <c r="BY196" s="43" t="str">
        <f t="shared" si="11"/>
        <v>WHO-FP Procedure (Requested Contraceptive Method)</v>
      </c>
      <c r="BZ196" s="46">
        <f t="shared" si="12"/>
        <v>1</v>
      </c>
      <c r="CA196" s="46">
        <f t="shared" si="13"/>
        <v>1</v>
      </c>
      <c r="CB196" s="46">
        <f t="shared" si="14"/>
        <v>1</v>
      </c>
      <c r="CC196" s="46">
        <f t="shared" si="15"/>
        <v>1</v>
      </c>
      <c r="CD196" s="46">
        <f t="shared" si="16"/>
        <v>1</v>
      </c>
      <c r="CE196" s="46">
        <f t="shared" si="17"/>
        <v>0</v>
      </c>
      <c r="CF196" s="46">
        <f t="shared" si="18"/>
        <v>0</v>
      </c>
      <c r="CG196" s="46"/>
      <c r="CH196" s="46"/>
      <c r="CI196" s="46"/>
      <c r="CJ196" s="46"/>
      <c r="CK196" s="46"/>
      <c r="CL196" s="46"/>
      <c r="CM196" s="46"/>
      <c r="CN196" s="46"/>
      <c r="CO196" s="46"/>
      <c r="CP196" s="46"/>
      <c r="CQ196" s="46"/>
      <c r="CR196" s="46"/>
      <c r="CS196" s="46"/>
      <c r="CT196" s="46"/>
      <c r="CU196" s="46"/>
    </row>
    <row r="197" spans="1:99" ht="12.75" customHeight="1">
      <c r="A197" s="409">
        <v>2365</v>
      </c>
      <c r="B197" s="409" t="s">
        <v>4413</v>
      </c>
      <c r="C197" s="399"/>
      <c r="D197" s="399"/>
      <c r="E197" s="399"/>
      <c r="F197" s="399" t="s">
        <v>96</v>
      </c>
      <c r="G197" s="400">
        <f t="shared" si="26"/>
        <v>45</v>
      </c>
      <c r="H197" s="400"/>
      <c r="I197" s="400"/>
      <c r="J197" s="400"/>
      <c r="K197" s="401" t="s">
        <v>3333</v>
      </c>
      <c r="L197" s="402" t="s">
        <v>3517</v>
      </c>
      <c r="M197" s="400"/>
      <c r="N197" s="467" t="s">
        <v>4396</v>
      </c>
      <c r="O197" s="428"/>
      <c r="P197" s="403" t="s">
        <v>4397</v>
      </c>
      <c r="Q197" s="403" t="s">
        <v>4398</v>
      </c>
      <c r="R197" s="403"/>
      <c r="S197" s="403" t="s">
        <v>4399</v>
      </c>
      <c r="T197" s="440" t="s">
        <v>3339</v>
      </c>
      <c r="U197" s="407"/>
      <c r="V197" s="407"/>
      <c r="W197" s="407"/>
      <c r="X197" s="403" t="s">
        <v>208</v>
      </c>
      <c r="Y197" s="403"/>
      <c r="Z197" s="403" t="s">
        <v>113</v>
      </c>
      <c r="AA197" s="403" t="s">
        <v>3178</v>
      </c>
      <c r="AB197" s="432" t="s">
        <v>4400</v>
      </c>
      <c r="AC197" s="407"/>
      <c r="AD197" s="407" t="s">
        <v>4401</v>
      </c>
      <c r="AE197" s="406"/>
      <c r="AF197" s="432" t="s">
        <v>4402</v>
      </c>
      <c r="AG197" s="407"/>
      <c r="AH197" s="399"/>
      <c r="AI197" s="400"/>
      <c r="AJ197" s="399"/>
      <c r="AK197" s="403" t="s">
        <v>3741</v>
      </c>
      <c r="AL197" s="403"/>
      <c r="AM197" s="403" t="s">
        <v>3100</v>
      </c>
      <c r="AN197" s="403" t="s">
        <v>3101</v>
      </c>
      <c r="AO197" s="407"/>
      <c r="AP197" s="470" t="s">
        <v>4414</v>
      </c>
      <c r="AQ197" s="470" t="s">
        <v>3424</v>
      </c>
      <c r="AR197" s="468" t="s">
        <v>4415</v>
      </c>
      <c r="AS197" s="407"/>
      <c r="AT197" s="399"/>
      <c r="AU197" s="399" t="s">
        <v>4405</v>
      </c>
      <c r="AV197" s="399" t="str">
        <f t="shared" si="27"/>
        <v>Changed</v>
      </c>
      <c r="AW197" s="399"/>
      <c r="AX197" s="409" t="s">
        <v>3343</v>
      </c>
      <c r="AY197" s="399" t="str">
        <f t="shared" si="28"/>
        <v>""-&gt;"CarePlan-based Contraception Method requested"</v>
      </c>
      <c r="AZ197" s="399"/>
      <c r="BA197" s="409">
        <v>1</v>
      </c>
      <c r="BB197" s="399"/>
      <c r="BC197" s="399"/>
      <c r="BD197" s="409" t="s">
        <v>3162</v>
      </c>
      <c r="BE197" s="411" t="s">
        <v>4406</v>
      </c>
      <c r="BF197" s="411"/>
      <c r="BG197" s="411"/>
      <c r="BH197" s="411"/>
      <c r="BI197" s="411"/>
      <c r="BJ197" s="409" t="s">
        <v>3106</v>
      </c>
      <c r="BK197" s="399"/>
      <c r="BL197" s="399"/>
      <c r="BM197" s="399"/>
      <c r="BN197" s="438" t="str">
        <f t="shared" si="35"/>
        <v>80</v>
      </c>
      <c r="BO197" s="399"/>
      <c r="BP197" s="399"/>
      <c r="BQ197" s="399"/>
      <c r="BR197" s="399"/>
      <c r="BS197" s="407"/>
      <c r="BT197" s="407"/>
      <c r="BU197" s="412"/>
      <c r="BV197" s="46" t="str">
        <f t="shared" si="8"/>
        <v>CarePlan</v>
      </c>
      <c r="BW197" s="46" t="str">
        <f t="shared" si="9"/>
        <v/>
      </c>
      <c r="BX197" s="46" t="str">
        <f t="shared" si="10"/>
        <v>CarePlan</v>
      </c>
      <c r="BY197" s="43" t="str">
        <f t="shared" si="11"/>
        <v>WHO-FP CarePlan (Requested Contraceptive Method)</v>
      </c>
      <c r="BZ197" s="46">
        <f t="shared" si="12"/>
        <v>1</v>
      </c>
      <c r="CA197" s="46">
        <f t="shared" si="13"/>
        <v>1</v>
      </c>
      <c r="CB197" s="46">
        <f t="shared" si="14"/>
        <v>1</v>
      </c>
      <c r="CC197" s="46">
        <f t="shared" si="15"/>
        <v>1</v>
      </c>
      <c r="CD197" s="46">
        <f t="shared" si="16"/>
        <v>1</v>
      </c>
      <c r="CE197" s="46">
        <f t="shared" si="17"/>
        <v>0</v>
      </c>
      <c r="CF197" s="46">
        <f t="shared" si="18"/>
        <v>0</v>
      </c>
      <c r="CG197" s="46"/>
      <c r="CH197" s="46"/>
      <c r="CI197" s="46"/>
      <c r="CJ197" s="46"/>
      <c r="CK197" s="46"/>
      <c r="CL197" s="46"/>
      <c r="CM197" s="46"/>
      <c r="CN197" s="46"/>
      <c r="CO197" s="46"/>
      <c r="CP197" s="46"/>
      <c r="CQ197" s="46"/>
      <c r="CR197" s="46"/>
      <c r="CS197" s="46"/>
      <c r="CT197" s="46"/>
      <c r="CU197" s="46"/>
    </row>
    <row r="198" spans="1:99" ht="12.75" customHeight="1">
      <c r="A198" s="399">
        <v>1446</v>
      </c>
      <c r="B198" s="409" t="s">
        <v>4416</v>
      </c>
      <c r="C198" s="399">
        <f t="shared" ref="C198:C209" si="36">A198</f>
        <v>1446</v>
      </c>
      <c r="D198" s="399" t="str">
        <f t="shared" ref="D198:D209" si="37">IF(F198="Input Option",CONCAT("       ",E198),E198)</f>
        <v>Correct and consistent contraceptive use</v>
      </c>
      <c r="E198" s="399" t="str">
        <f t="shared" ref="E198:E209" si="38">IF(Q198="",IF(V198="",Q198,V198),Q198)</f>
        <v>Correct and consistent contraceptive use</v>
      </c>
      <c r="F198" s="399" t="str">
        <f>IF(AND(ISBLANK(V198)=FALSE,OR(T198="MC",T198="")),"Input Option","Data Element")</f>
        <v>Data Element</v>
      </c>
      <c r="G198" s="400">
        <f t="shared" si="26"/>
        <v>30</v>
      </c>
      <c r="H198" s="400" t="str">
        <f>IF(F198="Input Option",IF(H194="",B194,H194),"")</f>
        <v/>
      </c>
      <c r="I198" s="400"/>
      <c r="J198" s="400"/>
      <c r="K198" s="401" t="s">
        <v>3333</v>
      </c>
      <c r="L198" s="402" t="s">
        <v>3517</v>
      </c>
      <c r="M198" s="400"/>
      <c r="N198" s="427" t="s">
        <v>4417</v>
      </c>
      <c r="O198" s="428"/>
      <c r="P198" s="405" t="s">
        <v>4418</v>
      </c>
      <c r="Q198" s="403" t="s">
        <v>4419</v>
      </c>
      <c r="R198" s="403"/>
      <c r="S198" s="403" t="s">
        <v>4420</v>
      </c>
      <c r="T198" s="403" t="s">
        <v>3169</v>
      </c>
      <c r="U198" s="407"/>
      <c r="V198" s="407" t="s">
        <v>3170</v>
      </c>
      <c r="W198" s="407"/>
      <c r="X198" s="403" t="s">
        <v>208</v>
      </c>
      <c r="Y198" s="407"/>
      <c r="Z198" s="403" t="s">
        <v>113</v>
      </c>
      <c r="AA198" s="403" t="s">
        <v>3178</v>
      </c>
      <c r="AB198" s="432" t="s">
        <v>4421</v>
      </c>
      <c r="AC198" s="421"/>
      <c r="AD198" s="421"/>
      <c r="AE198" s="408"/>
      <c r="AF198" s="407" t="s">
        <v>4422</v>
      </c>
      <c r="AG198" s="407"/>
      <c r="AH198" s="399"/>
      <c r="AI198" s="400"/>
      <c r="AJ198" s="399"/>
      <c r="AK198" s="409" t="s">
        <v>3916</v>
      </c>
      <c r="AL198" s="409"/>
      <c r="AM198" s="409" t="s">
        <v>3100</v>
      </c>
      <c r="AN198" s="409" t="s">
        <v>3101</v>
      </c>
      <c r="AO198" s="399"/>
      <c r="AP198" s="399"/>
      <c r="AQ198" s="409" t="s">
        <v>115</v>
      </c>
      <c r="AR198" s="399"/>
      <c r="AS198" s="399"/>
      <c r="AT198" s="399"/>
      <c r="AU198" s="399" t="s">
        <v>4419</v>
      </c>
      <c r="AV198" s="399" t="str">
        <f t="shared" si="27"/>
        <v>Changed</v>
      </c>
      <c r="AW198" s="399"/>
      <c r="AX198" s="409" t="s">
        <v>3343</v>
      </c>
      <c r="AY198" s="399" t="str">
        <f t="shared" si="28"/>
        <v>"Correct and consistent contraceptive use"-&gt;"Inconsistent contraceptive use"</v>
      </c>
      <c r="AZ198" s="399"/>
      <c r="BA198" s="409">
        <v>0</v>
      </c>
      <c r="BB198" s="399"/>
      <c r="BC198" s="399"/>
      <c r="BD198" s="409" t="s">
        <v>4423</v>
      </c>
      <c r="BE198" s="411"/>
      <c r="BF198" s="411"/>
      <c r="BG198" s="434" t="s">
        <v>4424</v>
      </c>
      <c r="BH198" s="411"/>
      <c r="BI198" s="411"/>
      <c r="BJ198" s="399"/>
      <c r="BK198" s="399"/>
      <c r="BL198" s="399"/>
      <c r="BM198" s="409" t="s">
        <v>4425</v>
      </c>
      <c r="BN198" s="399"/>
      <c r="BO198" s="399"/>
      <c r="BP198" s="399"/>
      <c r="BQ198" s="399"/>
      <c r="BR198" s="399"/>
      <c r="BS198" s="407"/>
      <c r="BT198" s="407"/>
      <c r="BU198" s="412"/>
      <c r="BV198" s="46" t="str">
        <f t="shared" si="8"/>
        <v/>
      </c>
      <c r="BW198" s="46" t="str">
        <f t="shared" si="9"/>
        <v/>
      </c>
      <c r="BX198" s="46" t="str">
        <f t="shared" si="10"/>
        <v/>
      </c>
      <c r="BY198" s="43">
        <f t="shared" si="11"/>
        <v>0</v>
      </c>
      <c r="BZ198" s="46">
        <f t="shared" si="12"/>
        <v>1</v>
      </c>
      <c r="CA198" s="46">
        <f t="shared" si="13"/>
        <v>0</v>
      </c>
      <c r="CB198" s="46">
        <f t="shared" si="14"/>
        <v>1</v>
      </c>
      <c r="CC198" s="46">
        <f t="shared" si="15"/>
        <v>1</v>
      </c>
      <c r="CD198" s="46">
        <f t="shared" si="16"/>
        <v>1</v>
      </c>
      <c r="CE198" s="46">
        <f t="shared" si="17"/>
        <v>0</v>
      </c>
      <c r="CF198" s="46">
        <f t="shared" si="18"/>
        <v>0</v>
      </c>
      <c r="CG198" s="46" t="str">
        <f ca="1">IFERROR(__xludf.DUMMYFUNCTION("if(OR(BH198="""",LEFT(BH198,2)=""LA""),"""",IMPORTXML(CONCATENATE(""https://loinc.org/"",BH198,""/""),""//span[@id='lcn']""))"),"")</f>
        <v/>
      </c>
      <c r="CH198" s="46"/>
      <c r="CI198" s="46"/>
      <c r="CJ198" s="46"/>
      <c r="CK198" s="46"/>
      <c r="CL198" s="46"/>
      <c r="CM198" s="46"/>
      <c r="CN198" s="46"/>
      <c r="CO198" s="46"/>
      <c r="CP198" s="46"/>
      <c r="CQ198" s="46"/>
      <c r="CR198" s="46"/>
      <c r="CS198" s="46"/>
      <c r="CT198" s="46"/>
      <c r="CU198" s="46"/>
    </row>
    <row r="199" spans="1:99" ht="12.75" customHeight="1">
      <c r="A199" s="399">
        <v>1447</v>
      </c>
      <c r="B199" s="399" t="s">
        <v>4426</v>
      </c>
      <c r="C199" s="399">
        <f t="shared" si="36"/>
        <v>1447</v>
      </c>
      <c r="D199" s="399" t="str">
        <f t="shared" si="37"/>
        <v>Medical eligibility - number classification</v>
      </c>
      <c r="E199" s="399" t="str">
        <f t="shared" si="38"/>
        <v>Medical eligibility - number classification</v>
      </c>
      <c r="F199" s="409" t="s">
        <v>96</v>
      </c>
      <c r="G199" s="400">
        <f t="shared" si="26"/>
        <v>43</v>
      </c>
      <c r="H199" s="400" t="str">
        <f t="shared" ref="H199:H209" si="39">IF(F199="Input Option",IF(H198="",B198,H198),"")</f>
        <v/>
      </c>
      <c r="I199" s="400"/>
      <c r="J199" s="400"/>
      <c r="K199" s="401" t="s">
        <v>3333</v>
      </c>
      <c r="L199" s="402" t="s">
        <v>4081</v>
      </c>
      <c r="M199" s="400"/>
      <c r="N199" s="427" t="s">
        <v>4417</v>
      </c>
      <c r="O199" s="428"/>
      <c r="P199" s="405" t="s">
        <v>4427</v>
      </c>
      <c r="Q199" s="403" t="s">
        <v>4426</v>
      </c>
      <c r="R199" s="403"/>
      <c r="S199" s="403" t="s">
        <v>4428</v>
      </c>
      <c r="T199" s="403" t="s">
        <v>3339</v>
      </c>
      <c r="U199" s="407" t="s">
        <v>3243</v>
      </c>
      <c r="V199" s="407"/>
      <c r="W199" s="407"/>
      <c r="X199" s="403" t="s">
        <v>208</v>
      </c>
      <c r="Y199" s="403"/>
      <c r="Z199" s="403" t="s">
        <v>208</v>
      </c>
      <c r="AA199" s="403" t="s">
        <v>3178</v>
      </c>
      <c r="AB199" s="432" t="s">
        <v>4429</v>
      </c>
      <c r="AC199" s="421"/>
      <c r="AD199" s="436"/>
      <c r="AE199" s="406"/>
      <c r="AF199" s="432" t="s">
        <v>4430</v>
      </c>
      <c r="AG199" s="421"/>
      <c r="AH199" s="399"/>
      <c r="AI199" s="400"/>
      <c r="AJ199" s="399"/>
      <c r="AK199" s="409" t="s">
        <v>3410</v>
      </c>
      <c r="AL199" s="409" t="s">
        <v>3233</v>
      </c>
      <c r="AM199" s="409" t="s">
        <v>3100</v>
      </c>
      <c r="AN199" s="409" t="s">
        <v>3101</v>
      </c>
      <c r="AO199" s="399"/>
      <c r="AP199" s="409" t="s">
        <v>4431</v>
      </c>
      <c r="AQ199" s="409" t="s">
        <v>3130</v>
      </c>
      <c r="AR199" s="409" t="s">
        <v>4432</v>
      </c>
      <c r="AS199" s="409"/>
      <c r="AT199" s="399"/>
      <c r="AU199" s="399" t="s">
        <v>4426</v>
      </c>
      <c r="AV199" s="399" t="str">
        <f t="shared" si="27"/>
        <v>Same</v>
      </c>
      <c r="AW199" s="399"/>
      <c r="AX199" s="409" t="s">
        <v>3343</v>
      </c>
      <c r="AY199" s="399" t="str">
        <f t="shared" si="28"/>
        <v/>
      </c>
      <c r="AZ199" s="399"/>
      <c r="BA199" s="409">
        <v>1</v>
      </c>
      <c r="BB199" s="399"/>
      <c r="BC199" s="399"/>
      <c r="BD199" s="399"/>
      <c r="BE199" s="411"/>
      <c r="BF199" s="411"/>
      <c r="BG199" s="411"/>
      <c r="BH199" s="411"/>
      <c r="BI199" s="411"/>
      <c r="BJ199" s="409" t="s">
        <v>3106</v>
      </c>
      <c r="BK199" s="399"/>
      <c r="BL199" s="399"/>
      <c r="BM199" s="409" t="s">
        <v>4433</v>
      </c>
      <c r="BN199" s="399"/>
      <c r="BO199" s="399"/>
      <c r="BP199" s="399"/>
      <c r="BQ199" s="399"/>
      <c r="BR199" s="399"/>
      <c r="BS199" s="407"/>
      <c r="BT199" s="407"/>
      <c r="BU199" s="412"/>
      <c r="BV199" s="46" t="str">
        <f t="shared" si="8"/>
        <v>Observation</v>
      </c>
      <c r="BW199" s="46" t="str">
        <f t="shared" si="9"/>
        <v/>
      </c>
      <c r="BX199" s="46" t="str">
        <f t="shared" si="10"/>
        <v>Observation</v>
      </c>
      <c r="BY199" s="43" t="str">
        <f t="shared" si="11"/>
        <v>WHO-FP Observation (Medical eligibility number)</v>
      </c>
      <c r="BZ199" s="46">
        <f t="shared" si="12"/>
        <v>1</v>
      </c>
      <c r="CA199" s="46">
        <f t="shared" si="13"/>
        <v>1</v>
      </c>
      <c r="CB199" s="46">
        <f t="shared" si="14"/>
        <v>1</v>
      </c>
      <c r="CC199" s="46">
        <f t="shared" si="15"/>
        <v>1</v>
      </c>
      <c r="CD199" s="46">
        <f t="shared" si="16"/>
        <v>1</v>
      </c>
      <c r="CE199" s="46">
        <f t="shared" si="17"/>
        <v>0</v>
      </c>
      <c r="CF199" s="46">
        <f t="shared" si="18"/>
        <v>0</v>
      </c>
      <c r="CG199" s="46" t="str">
        <f ca="1">IFERROR(__xludf.DUMMYFUNCTION("if(OR(BH199="""",LEFT(BH199,2)=""LA""),"""",IMPORTXML(CONCATENATE(""https://loinc.org/"",BH199,""/""),""//span[@id='lcn']""))"),"")</f>
        <v/>
      </c>
      <c r="CH199" s="46"/>
      <c r="CI199" s="46"/>
      <c r="CJ199" s="46"/>
      <c r="CK199" s="46"/>
      <c r="CL199" s="46"/>
      <c r="CM199" s="46"/>
      <c r="CN199" s="46"/>
      <c r="CO199" s="46"/>
      <c r="CP199" s="46"/>
      <c r="CQ199" s="46"/>
      <c r="CR199" s="46"/>
      <c r="CS199" s="46"/>
      <c r="CT199" s="46"/>
      <c r="CU199" s="46"/>
    </row>
    <row r="200" spans="1:99" ht="12.75" customHeight="1">
      <c r="A200" s="399">
        <v>1448</v>
      </c>
      <c r="B200" s="399" t="s">
        <v>4434</v>
      </c>
      <c r="C200" s="399">
        <f t="shared" si="36"/>
        <v>1448</v>
      </c>
      <c r="D200" s="399" t="e">
        <f t="shared" ca="1" si="37"/>
        <v>#NAME?</v>
      </c>
      <c r="E200" s="399">
        <f t="shared" si="38"/>
        <v>1</v>
      </c>
      <c r="F200" s="399" t="str">
        <f t="shared" ref="F200:F203" si="40">IF(AND(ISBLANK(V200)=FALSE,OR(T200="MC",T200="")),"Input Option","Data Element")</f>
        <v>Input Option</v>
      </c>
      <c r="G200" s="400">
        <f t="shared" si="26"/>
        <v>8</v>
      </c>
      <c r="H200" s="399" t="str">
        <f t="shared" si="39"/>
        <v>Medical eligibility - number classification</v>
      </c>
      <c r="I200" s="400"/>
      <c r="J200" s="400"/>
      <c r="K200" s="401" t="s">
        <v>3333</v>
      </c>
      <c r="L200" s="402" t="s">
        <v>4081</v>
      </c>
      <c r="M200" s="400"/>
      <c r="N200" s="427" t="s">
        <v>4417</v>
      </c>
      <c r="O200" s="428"/>
      <c r="P200" s="403" t="s">
        <v>4435</v>
      </c>
      <c r="Q200" s="403"/>
      <c r="R200" s="403"/>
      <c r="S200" s="403" t="s">
        <v>4436</v>
      </c>
      <c r="T200" s="407"/>
      <c r="U200" s="407"/>
      <c r="V200" s="403">
        <v>1</v>
      </c>
      <c r="W200" s="407"/>
      <c r="X200" s="403" t="s">
        <v>208</v>
      </c>
      <c r="Y200" s="403"/>
      <c r="Z200" s="403" t="s">
        <v>208</v>
      </c>
      <c r="AA200" s="403"/>
      <c r="AB200" s="408"/>
      <c r="AC200" s="407"/>
      <c r="AD200" s="403"/>
      <c r="AE200" s="406"/>
      <c r="AF200" s="407"/>
      <c r="AG200" s="407"/>
      <c r="AH200" s="399"/>
      <c r="AI200" s="400"/>
      <c r="AJ200" s="399"/>
      <c r="AK200" s="399"/>
      <c r="AL200" s="409"/>
      <c r="AM200" s="409"/>
      <c r="AN200" s="409"/>
      <c r="AO200" s="399"/>
      <c r="AP200" s="399"/>
      <c r="AQ200" s="409" t="s">
        <v>3130</v>
      </c>
      <c r="AR200" s="399"/>
      <c r="AS200" s="399"/>
      <c r="AT200" s="399"/>
      <c r="AU200" s="399" t="s">
        <v>4434</v>
      </c>
      <c r="AV200" s="399" t="str">
        <f t="shared" si="27"/>
        <v>Same</v>
      </c>
      <c r="AW200" s="399"/>
      <c r="AX200" s="409" t="s">
        <v>3343</v>
      </c>
      <c r="AY200" s="399" t="e">
        <f t="shared" ca="1" si="28"/>
        <v>#NAME?</v>
      </c>
      <c r="AZ200" s="399"/>
      <c r="BA200" s="409">
        <v>1</v>
      </c>
      <c r="BB200" s="415" t="s">
        <v>3131</v>
      </c>
      <c r="BC200" s="409">
        <v>1</v>
      </c>
      <c r="BD200" s="399"/>
      <c r="BE200" s="411"/>
      <c r="BF200" s="411"/>
      <c r="BG200" s="411"/>
      <c r="BH200" s="411"/>
      <c r="BI200" s="411"/>
      <c r="BJ200" s="409" t="s">
        <v>3106</v>
      </c>
      <c r="BK200" s="399"/>
      <c r="BL200" s="399"/>
      <c r="BM200" s="409" t="s">
        <v>4437</v>
      </c>
      <c r="BN200" s="399"/>
      <c r="BO200" s="399"/>
      <c r="BP200" s="399"/>
      <c r="BQ200" s="399"/>
      <c r="BR200" s="399"/>
      <c r="BS200" s="407"/>
      <c r="BT200" s="407"/>
      <c r="BU200" s="412"/>
      <c r="BV200" s="46" t="str">
        <f t="shared" si="8"/>
        <v/>
      </c>
      <c r="BW200" s="46">
        <f t="shared" si="9"/>
        <v>0</v>
      </c>
      <c r="BX200" s="46">
        <f t="shared" si="10"/>
        <v>0</v>
      </c>
      <c r="BY200" s="43" t="str">
        <f t="shared" si="11"/>
        <v>WHO-FP Observation (Medical eligibility number)</v>
      </c>
      <c r="BZ200" s="46">
        <f t="shared" si="12"/>
        <v>1</v>
      </c>
      <c r="CA200" s="46" t="str">
        <f t="shared" si="13"/>
        <v/>
      </c>
      <c r="CB200" s="46">
        <f t="shared" si="14"/>
        <v>1</v>
      </c>
      <c r="CC200" s="46">
        <f t="shared" si="15"/>
        <v>1</v>
      </c>
      <c r="CD200" s="46">
        <f t="shared" si="16"/>
        <v>1</v>
      </c>
      <c r="CE200" s="46">
        <f t="shared" si="17"/>
        <v>0</v>
      </c>
      <c r="CF200" s="46">
        <f t="shared" si="18"/>
        <v>0</v>
      </c>
      <c r="CG200" s="46" t="str">
        <f ca="1">IFERROR(__xludf.DUMMYFUNCTION("if(OR(BH200="""",LEFT(BH200,2)=""LA""),"""",IMPORTXML(CONCATENATE(""https://loinc.org/"",BH200,""/""),""//span[@id='lcn']""))"),"")</f>
        <v/>
      </c>
      <c r="CH200" s="46"/>
      <c r="CI200" s="46"/>
      <c r="CJ200" s="46"/>
      <c r="CK200" s="46"/>
      <c r="CL200" s="46"/>
      <c r="CM200" s="46"/>
      <c r="CN200" s="46"/>
      <c r="CO200" s="46"/>
      <c r="CP200" s="46"/>
      <c r="CQ200" s="46"/>
      <c r="CR200" s="46"/>
      <c r="CS200" s="46"/>
      <c r="CT200" s="46"/>
      <c r="CU200" s="46"/>
    </row>
    <row r="201" spans="1:99" ht="12.75" customHeight="1">
      <c r="A201" s="399">
        <v>1449</v>
      </c>
      <c r="B201" s="399" t="s">
        <v>4438</v>
      </c>
      <c r="C201" s="399">
        <f t="shared" si="36"/>
        <v>1449</v>
      </c>
      <c r="D201" s="399" t="e">
        <f t="shared" ca="1" si="37"/>
        <v>#NAME?</v>
      </c>
      <c r="E201" s="399">
        <f t="shared" si="38"/>
        <v>2</v>
      </c>
      <c r="F201" s="399" t="str">
        <f t="shared" si="40"/>
        <v>Input Option</v>
      </c>
      <c r="G201" s="400">
        <f t="shared" si="26"/>
        <v>8</v>
      </c>
      <c r="H201" s="399" t="str">
        <f t="shared" si="39"/>
        <v>Medical eligibility - number classification</v>
      </c>
      <c r="I201" s="400"/>
      <c r="J201" s="400"/>
      <c r="K201" s="401" t="s">
        <v>3333</v>
      </c>
      <c r="L201" s="402" t="s">
        <v>4081</v>
      </c>
      <c r="M201" s="400"/>
      <c r="N201" s="427" t="s">
        <v>4417</v>
      </c>
      <c r="O201" s="428"/>
      <c r="P201" s="403" t="s">
        <v>4439</v>
      </c>
      <c r="Q201" s="407"/>
      <c r="R201" s="403"/>
      <c r="S201" s="403" t="s">
        <v>4440</v>
      </c>
      <c r="T201" s="407"/>
      <c r="U201" s="407"/>
      <c r="V201" s="403">
        <v>2</v>
      </c>
      <c r="W201" s="407"/>
      <c r="X201" s="403" t="s">
        <v>208</v>
      </c>
      <c r="Y201" s="403"/>
      <c r="Z201" s="403" t="s">
        <v>208</v>
      </c>
      <c r="AA201" s="403"/>
      <c r="AB201" s="408"/>
      <c r="AC201" s="407"/>
      <c r="AD201" s="403"/>
      <c r="AE201" s="406"/>
      <c r="AF201" s="407"/>
      <c r="AG201" s="407"/>
      <c r="AH201" s="399"/>
      <c r="AI201" s="400"/>
      <c r="AJ201" s="399"/>
      <c r="AK201" s="399"/>
      <c r="AL201" s="409"/>
      <c r="AM201" s="409"/>
      <c r="AN201" s="409"/>
      <c r="AO201" s="399"/>
      <c r="AP201" s="399"/>
      <c r="AQ201" s="409" t="s">
        <v>3130</v>
      </c>
      <c r="AR201" s="399"/>
      <c r="AS201" s="399"/>
      <c r="AT201" s="399"/>
      <c r="AU201" s="399" t="s">
        <v>4438</v>
      </c>
      <c r="AV201" s="399" t="str">
        <f t="shared" si="27"/>
        <v>Same</v>
      </c>
      <c r="AW201" s="399"/>
      <c r="AX201" s="409" t="s">
        <v>3343</v>
      </c>
      <c r="AY201" s="399" t="e">
        <f t="shared" ca="1" si="28"/>
        <v>#NAME?</v>
      </c>
      <c r="AZ201" s="399"/>
      <c r="BA201" s="409">
        <v>1</v>
      </c>
      <c r="BB201" s="415" t="s">
        <v>3131</v>
      </c>
      <c r="BC201" s="409">
        <v>2</v>
      </c>
      <c r="BD201" s="399"/>
      <c r="BE201" s="411"/>
      <c r="BF201" s="411"/>
      <c r="BG201" s="411"/>
      <c r="BH201" s="411"/>
      <c r="BI201" s="411"/>
      <c r="BJ201" s="409" t="s">
        <v>3106</v>
      </c>
      <c r="BK201" s="399"/>
      <c r="BL201" s="399"/>
      <c r="BM201" s="399"/>
      <c r="BN201" s="399"/>
      <c r="BO201" s="399"/>
      <c r="BP201" s="399"/>
      <c r="BQ201" s="399"/>
      <c r="BR201" s="399"/>
      <c r="BS201" s="407"/>
      <c r="BT201" s="407"/>
      <c r="BU201" s="412"/>
      <c r="BV201" s="46" t="str">
        <f t="shared" si="8"/>
        <v/>
      </c>
      <c r="BW201" s="46">
        <f t="shared" si="9"/>
        <v>0</v>
      </c>
      <c r="BX201" s="46">
        <f t="shared" si="10"/>
        <v>0</v>
      </c>
      <c r="BY201" s="43" t="str">
        <f t="shared" si="11"/>
        <v>WHO-FP Observation (Medical eligibility number)</v>
      </c>
      <c r="BZ201" s="46">
        <f t="shared" si="12"/>
        <v>1</v>
      </c>
      <c r="CA201" s="46" t="str">
        <f t="shared" si="13"/>
        <v/>
      </c>
      <c r="CB201" s="46">
        <f t="shared" si="14"/>
        <v>1</v>
      </c>
      <c r="CC201" s="46">
        <f t="shared" si="15"/>
        <v>1</v>
      </c>
      <c r="CD201" s="46">
        <f t="shared" si="16"/>
        <v>1</v>
      </c>
      <c r="CE201" s="46">
        <f t="shared" si="17"/>
        <v>0</v>
      </c>
      <c r="CF201" s="46">
        <f t="shared" si="18"/>
        <v>0</v>
      </c>
      <c r="CG201" s="46" t="str">
        <f ca="1">IFERROR(__xludf.DUMMYFUNCTION("if(OR(BH201="""",LEFT(BH201,2)=""LA""),"""",IMPORTXML(CONCATENATE(""https://loinc.org/"",BH201,""/""),""//span[@id='lcn']""))"),"")</f>
        <v/>
      </c>
      <c r="CH201" s="46"/>
      <c r="CI201" s="46"/>
      <c r="CJ201" s="46"/>
      <c r="CK201" s="46"/>
      <c r="CL201" s="46"/>
      <c r="CM201" s="46"/>
      <c r="CN201" s="46"/>
      <c r="CO201" s="46"/>
      <c r="CP201" s="46"/>
      <c r="CQ201" s="46"/>
      <c r="CR201" s="46"/>
      <c r="CS201" s="46"/>
      <c r="CT201" s="46"/>
      <c r="CU201" s="46"/>
    </row>
    <row r="202" spans="1:99" ht="12.75" customHeight="1">
      <c r="A202" s="399">
        <v>1450</v>
      </c>
      <c r="B202" s="399" t="s">
        <v>4441</v>
      </c>
      <c r="C202" s="399">
        <f t="shared" si="36"/>
        <v>1450</v>
      </c>
      <c r="D202" s="399" t="e">
        <f t="shared" ca="1" si="37"/>
        <v>#NAME?</v>
      </c>
      <c r="E202" s="399">
        <f t="shared" si="38"/>
        <v>3</v>
      </c>
      <c r="F202" s="399" t="str">
        <f t="shared" si="40"/>
        <v>Input Option</v>
      </c>
      <c r="G202" s="400">
        <f t="shared" si="26"/>
        <v>8</v>
      </c>
      <c r="H202" s="399" t="str">
        <f t="shared" si="39"/>
        <v>Medical eligibility - number classification</v>
      </c>
      <c r="I202" s="400"/>
      <c r="J202" s="400"/>
      <c r="K202" s="401" t="s">
        <v>3333</v>
      </c>
      <c r="L202" s="402" t="s">
        <v>4081</v>
      </c>
      <c r="M202" s="400"/>
      <c r="N202" s="427" t="s">
        <v>4417</v>
      </c>
      <c r="O202" s="428"/>
      <c r="P202" s="403" t="s">
        <v>4442</v>
      </c>
      <c r="Q202" s="403"/>
      <c r="R202" s="403"/>
      <c r="S202" s="403" t="s">
        <v>4443</v>
      </c>
      <c r="T202" s="407"/>
      <c r="U202" s="407"/>
      <c r="V202" s="403">
        <v>3</v>
      </c>
      <c r="W202" s="407"/>
      <c r="X202" s="403" t="s">
        <v>208</v>
      </c>
      <c r="Y202" s="403"/>
      <c r="Z202" s="403" t="s">
        <v>208</v>
      </c>
      <c r="AA202" s="403"/>
      <c r="AB202" s="408"/>
      <c r="AC202" s="407"/>
      <c r="AD202" s="403"/>
      <c r="AE202" s="406"/>
      <c r="AF202" s="407"/>
      <c r="AG202" s="407"/>
      <c r="AH202" s="399"/>
      <c r="AI202" s="400"/>
      <c r="AJ202" s="399"/>
      <c r="AK202" s="399"/>
      <c r="AL202" s="409"/>
      <c r="AM202" s="409"/>
      <c r="AN202" s="409"/>
      <c r="AO202" s="399"/>
      <c r="AP202" s="399"/>
      <c r="AQ202" s="409" t="s">
        <v>3130</v>
      </c>
      <c r="AR202" s="399"/>
      <c r="AS202" s="399"/>
      <c r="AT202" s="399"/>
      <c r="AU202" s="399" t="s">
        <v>4441</v>
      </c>
      <c r="AV202" s="399" t="str">
        <f t="shared" si="27"/>
        <v>Same</v>
      </c>
      <c r="AW202" s="399"/>
      <c r="AX202" s="409" t="s">
        <v>3343</v>
      </c>
      <c r="AY202" s="399" t="e">
        <f t="shared" ca="1" si="28"/>
        <v>#NAME?</v>
      </c>
      <c r="AZ202" s="399"/>
      <c r="BA202" s="409">
        <v>1</v>
      </c>
      <c r="BB202" s="415" t="s">
        <v>3131</v>
      </c>
      <c r="BC202" s="409">
        <v>3</v>
      </c>
      <c r="BD202" s="399"/>
      <c r="BE202" s="411"/>
      <c r="BF202" s="411"/>
      <c r="BG202" s="411"/>
      <c r="BH202" s="411"/>
      <c r="BI202" s="411"/>
      <c r="BJ202" s="409" t="s">
        <v>3106</v>
      </c>
      <c r="BK202" s="399"/>
      <c r="BL202" s="399"/>
      <c r="BM202" s="399"/>
      <c r="BN202" s="399"/>
      <c r="BO202" s="399"/>
      <c r="BP202" s="399"/>
      <c r="BQ202" s="399"/>
      <c r="BR202" s="399"/>
      <c r="BS202" s="407"/>
      <c r="BT202" s="407"/>
      <c r="BU202" s="412"/>
      <c r="BV202" s="46" t="str">
        <f t="shared" si="8"/>
        <v/>
      </c>
      <c r="BW202" s="46">
        <f t="shared" si="9"/>
        <v>0</v>
      </c>
      <c r="BX202" s="46">
        <f t="shared" si="10"/>
        <v>0</v>
      </c>
      <c r="BY202" s="43" t="str">
        <f t="shared" si="11"/>
        <v>WHO-FP Observation (Medical eligibility number)</v>
      </c>
      <c r="BZ202" s="46">
        <f t="shared" si="12"/>
        <v>1</v>
      </c>
      <c r="CA202" s="46" t="str">
        <f t="shared" si="13"/>
        <v/>
      </c>
      <c r="CB202" s="46">
        <f t="shared" si="14"/>
        <v>1</v>
      </c>
      <c r="CC202" s="46">
        <f t="shared" si="15"/>
        <v>1</v>
      </c>
      <c r="CD202" s="46">
        <f t="shared" si="16"/>
        <v>1</v>
      </c>
      <c r="CE202" s="46">
        <f t="shared" si="17"/>
        <v>0</v>
      </c>
      <c r="CF202" s="46">
        <f t="shared" si="18"/>
        <v>0</v>
      </c>
      <c r="CG202" s="46" t="str">
        <f ca="1">IFERROR(__xludf.DUMMYFUNCTION("if(OR(BH202="""",LEFT(BH202,2)=""LA""),"""",IMPORTXML(CONCATENATE(""https://loinc.org/"",BH202,""/""),""//span[@id='lcn']""))"),"")</f>
        <v/>
      </c>
      <c r="CH202" s="46"/>
      <c r="CI202" s="46"/>
      <c r="CJ202" s="46"/>
      <c r="CK202" s="46"/>
      <c r="CL202" s="46"/>
      <c r="CM202" s="46"/>
      <c r="CN202" s="46"/>
      <c r="CO202" s="46"/>
      <c r="CP202" s="46"/>
      <c r="CQ202" s="46"/>
      <c r="CR202" s="46"/>
      <c r="CS202" s="46"/>
      <c r="CT202" s="46"/>
      <c r="CU202" s="46"/>
    </row>
    <row r="203" spans="1:99" ht="12.75" customHeight="1">
      <c r="A203" s="399">
        <v>1451</v>
      </c>
      <c r="B203" s="399" t="s">
        <v>4444</v>
      </c>
      <c r="C203" s="399">
        <f t="shared" si="36"/>
        <v>1451</v>
      </c>
      <c r="D203" s="399" t="e">
        <f t="shared" ca="1" si="37"/>
        <v>#NAME?</v>
      </c>
      <c r="E203" s="399">
        <f t="shared" si="38"/>
        <v>4</v>
      </c>
      <c r="F203" s="399" t="str">
        <f t="shared" si="40"/>
        <v>Input Option</v>
      </c>
      <c r="G203" s="400">
        <f t="shared" si="26"/>
        <v>8</v>
      </c>
      <c r="H203" s="399" t="str">
        <f t="shared" si="39"/>
        <v>Medical eligibility - number classification</v>
      </c>
      <c r="I203" s="400"/>
      <c r="J203" s="400"/>
      <c r="K203" s="401" t="s">
        <v>3333</v>
      </c>
      <c r="L203" s="402" t="s">
        <v>4081</v>
      </c>
      <c r="M203" s="400"/>
      <c r="N203" s="427" t="s">
        <v>4417</v>
      </c>
      <c r="O203" s="428"/>
      <c r="P203" s="403" t="s">
        <v>4445</v>
      </c>
      <c r="Q203" s="403"/>
      <c r="R203" s="403"/>
      <c r="S203" s="432" t="s">
        <v>4446</v>
      </c>
      <c r="T203" s="421"/>
      <c r="U203" s="407"/>
      <c r="V203" s="403">
        <v>4</v>
      </c>
      <c r="W203" s="407"/>
      <c r="X203" s="403" t="s">
        <v>208</v>
      </c>
      <c r="Y203" s="403"/>
      <c r="Z203" s="403" t="s">
        <v>208</v>
      </c>
      <c r="AA203" s="403"/>
      <c r="AB203" s="408"/>
      <c r="AC203" s="407"/>
      <c r="AD203" s="403"/>
      <c r="AE203" s="406"/>
      <c r="AF203" s="407"/>
      <c r="AG203" s="407"/>
      <c r="AH203" s="399"/>
      <c r="AI203" s="400"/>
      <c r="AJ203" s="399"/>
      <c r="AK203" s="399"/>
      <c r="AL203" s="409"/>
      <c r="AM203" s="409"/>
      <c r="AN203" s="409"/>
      <c r="AO203" s="399"/>
      <c r="AP203" s="399"/>
      <c r="AQ203" s="409" t="s">
        <v>3130</v>
      </c>
      <c r="AR203" s="399"/>
      <c r="AS203" s="399"/>
      <c r="AT203" s="399"/>
      <c r="AU203" s="399" t="s">
        <v>4444</v>
      </c>
      <c r="AV203" s="399" t="str">
        <f t="shared" si="27"/>
        <v>Same</v>
      </c>
      <c r="AW203" s="399"/>
      <c r="AX203" s="409" t="s">
        <v>3343</v>
      </c>
      <c r="AY203" s="399" t="e">
        <f t="shared" ca="1" si="28"/>
        <v>#NAME?</v>
      </c>
      <c r="AZ203" s="399"/>
      <c r="BA203" s="409">
        <v>1</v>
      </c>
      <c r="BB203" s="415" t="s">
        <v>3131</v>
      </c>
      <c r="BC203" s="409">
        <v>4</v>
      </c>
      <c r="BD203" s="399"/>
      <c r="BE203" s="411"/>
      <c r="BF203" s="411"/>
      <c r="BG203" s="411"/>
      <c r="BH203" s="411"/>
      <c r="BI203" s="411"/>
      <c r="BJ203" s="409" t="s">
        <v>3106</v>
      </c>
      <c r="BK203" s="399"/>
      <c r="BL203" s="399"/>
      <c r="BM203" s="399"/>
      <c r="BN203" s="399"/>
      <c r="BO203" s="399"/>
      <c r="BP203" s="399"/>
      <c r="BQ203" s="399"/>
      <c r="BR203" s="399"/>
      <c r="BS203" s="407"/>
      <c r="BT203" s="407"/>
      <c r="BU203" s="412"/>
      <c r="BV203" s="46" t="str">
        <f t="shared" si="8"/>
        <v/>
      </c>
      <c r="BW203" s="46">
        <f t="shared" si="9"/>
        <v>0</v>
      </c>
      <c r="BX203" s="46">
        <f t="shared" si="10"/>
        <v>0</v>
      </c>
      <c r="BY203" s="43" t="str">
        <f t="shared" si="11"/>
        <v>WHO-FP Observation (Medical eligibility number)</v>
      </c>
      <c r="BZ203" s="46">
        <f t="shared" si="12"/>
        <v>1</v>
      </c>
      <c r="CA203" s="46" t="str">
        <f t="shared" si="13"/>
        <v/>
      </c>
      <c r="CB203" s="46">
        <f t="shared" si="14"/>
        <v>1</v>
      </c>
      <c r="CC203" s="46">
        <f t="shared" si="15"/>
        <v>1</v>
      </c>
      <c r="CD203" s="46">
        <f t="shared" si="16"/>
        <v>1</v>
      </c>
      <c r="CE203" s="46">
        <f t="shared" si="17"/>
        <v>0</v>
      </c>
      <c r="CF203" s="46">
        <f t="shared" si="18"/>
        <v>0</v>
      </c>
      <c r="CG203" s="46" t="str">
        <f ca="1">IFERROR(__xludf.DUMMYFUNCTION("if(OR(BH203="""",LEFT(BH203,2)=""LA""),"""",IMPORTXML(CONCATENATE(""https://loinc.org/"",BH203,""/""),""//span[@id='lcn']""))"),"")</f>
        <v/>
      </c>
      <c r="CH203" s="46"/>
      <c r="CI203" s="46"/>
      <c r="CJ203" s="46"/>
      <c r="CK203" s="46"/>
      <c r="CL203" s="46"/>
      <c r="CM203" s="46"/>
      <c r="CN203" s="46"/>
      <c r="CO203" s="46"/>
      <c r="CP203" s="46"/>
      <c r="CQ203" s="46"/>
      <c r="CR203" s="46"/>
      <c r="CS203" s="46"/>
      <c r="CT203" s="46"/>
      <c r="CU203" s="46"/>
    </row>
    <row r="204" spans="1:99" ht="12.75" customHeight="1">
      <c r="A204" s="399">
        <v>1452</v>
      </c>
      <c r="B204" s="399" t="s">
        <v>4447</v>
      </c>
      <c r="C204" s="399">
        <f t="shared" si="36"/>
        <v>1452</v>
      </c>
      <c r="D204" s="399" t="str">
        <f t="shared" si="37"/>
        <v>Medical eligibility - text classification</v>
      </c>
      <c r="E204" s="399" t="str">
        <f t="shared" si="38"/>
        <v>Medical eligibility - text classification</v>
      </c>
      <c r="F204" s="409" t="s">
        <v>96</v>
      </c>
      <c r="G204" s="400">
        <f t="shared" si="26"/>
        <v>41</v>
      </c>
      <c r="H204" s="400" t="str">
        <f t="shared" si="39"/>
        <v/>
      </c>
      <c r="I204" s="400"/>
      <c r="J204" s="400"/>
      <c r="K204" s="401" t="s">
        <v>3333</v>
      </c>
      <c r="L204" s="402" t="s">
        <v>4081</v>
      </c>
      <c r="M204" s="400"/>
      <c r="N204" s="427" t="s">
        <v>4417</v>
      </c>
      <c r="O204" s="428"/>
      <c r="P204" s="403" t="s">
        <v>4448</v>
      </c>
      <c r="Q204" s="403" t="s">
        <v>4447</v>
      </c>
      <c r="R204" s="403"/>
      <c r="S204" s="403" t="s">
        <v>4449</v>
      </c>
      <c r="T204" s="403" t="s">
        <v>3339</v>
      </c>
      <c r="U204" s="407" t="s">
        <v>3243</v>
      </c>
      <c r="V204" s="407"/>
      <c r="W204" s="407"/>
      <c r="X204" s="403" t="s">
        <v>208</v>
      </c>
      <c r="Y204" s="403"/>
      <c r="Z204" s="403" t="s">
        <v>208</v>
      </c>
      <c r="AA204" s="403" t="s">
        <v>3178</v>
      </c>
      <c r="AB204" s="432" t="s">
        <v>4450</v>
      </c>
      <c r="AC204" s="421"/>
      <c r="AD204" s="436"/>
      <c r="AE204" s="420"/>
      <c r="AF204" s="421"/>
      <c r="AG204" s="407"/>
      <c r="AH204" s="399"/>
      <c r="AI204" s="400"/>
      <c r="AJ204" s="399"/>
      <c r="AK204" s="409" t="s">
        <v>3410</v>
      </c>
      <c r="AL204" s="409" t="s">
        <v>3233</v>
      </c>
      <c r="AM204" s="409" t="s">
        <v>3100</v>
      </c>
      <c r="AN204" s="409" t="s">
        <v>3101</v>
      </c>
      <c r="AO204" s="399"/>
      <c r="AP204" s="471" t="s">
        <v>4451</v>
      </c>
      <c r="AQ204" s="409" t="s">
        <v>3130</v>
      </c>
      <c r="AR204" s="399"/>
      <c r="AS204" s="399"/>
      <c r="AT204" s="399"/>
      <c r="AU204" s="399" t="s">
        <v>4447</v>
      </c>
      <c r="AV204" s="399" t="str">
        <f t="shared" si="27"/>
        <v>Same</v>
      </c>
      <c r="AW204" s="399"/>
      <c r="AX204" s="409" t="s">
        <v>3343</v>
      </c>
      <c r="AY204" s="399" t="str">
        <f t="shared" si="28"/>
        <v/>
      </c>
      <c r="AZ204" s="399"/>
      <c r="BA204" s="409">
        <v>1</v>
      </c>
      <c r="BB204" s="399"/>
      <c r="BC204" s="399"/>
      <c r="BD204" s="399"/>
      <c r="BE204" s="411"/>
      <c r="BF204" s="411"/>
      <c r="BG204" s="411"/>
      <c r="BH204" s="411"/>
      <c r="BI204" s="411"/>
      <c r="BJ204" s="409" t="s">
        <v>3106</v>
      </c>
      <c r="BK204" s="409"/>
      <c r="BL204" s="409"/>
      <c r="BM204" s="399"/>
      <c r="BN204" s="399"/>
      <c r="BO204" s="399"/>
      <c r="BP204" s="399"/>
      <c r="BQ204" s="399"/>
      <c r="BR204" s="399"/>
      <c r="BS204" s="407"/>
      <c r="BT204" s="407"/>
      <c r="BU204" s="412"/>
      <c r="BV204" s="46" t="str">
        <f t="shared" si="8"/>
        <v>Observation</v>
      </c>
      <c r="BW204" s="46" t="str">
        <f t="shared" si="9"/>
        <v/>
      </c>
      <c r="BX204" s="46" t="str">
        <f t="shared" si="10"/>
        <v>Observation</v>
      </c>
      <c r="BY204" s="43" t="str">
        <f t="shared" si="11"/>
        <v>WHO-FP Observation (Medical eligibility text)</v>
      </c>
      <c r="BZ204" s="46">
        <f t="shared" si="12"/>
        <v>1</v>
      </c>
      <c r="CA204" s="46">
        <f t="shared" si="13"/>
        <v>1</v>
      </c>
      <c r="CB204" s="46">
        <f t="shared" si="14"/>
        <v>1</v>
      </c>
      <c r="CC204" s="46">
        <f t="shared" si="15"/>
        <v>1</v>
      </c>
      <c r="CD204" s="46">
        <f t="shared" si="16"/>
        <v>1</v>
      </c>
      <c r="CE204" s="46">
        <f t="shared" si="17"/>
        <v>0</v>
      </c>
      <c r="CF204" s="46">
        <f t="shared" si="18"/>
        <v>0</v>
      </c>
      <c r="CG204" s="46" t="str">
        <f ca="1">IFERROR(__xludf.DUMMYFUNCTION("if(OR(BH204="""",LEFT(BH204,2)=""LA""),"""",IMPORTXML(CONCATENATE(""https://loinc.org/"",BH204,""/""),""//span[@id='lcn']""))"),"")</f>
        <v/>
      </c>
      <c r="CH204" s="46"/>
      <c r="CI204" s="46"/>
      <c r="CJ204" s="46"/>
      <c r="CK204" s="46"/>
      <c r="CL204" s="46"/>
      <c r="CM204" s="46"/>
      <c r="CN204" s="46"/>
      <c r="CO204" s="46"/>
      <c r="CP204" s="46"/>
      <c r="CQ204" s="46"/>
      <c r="CR204" s="46"/>
      <c r="CS204" s="46"/>
      <c r="CT204" s="46"/>
      <c r="CU204" s="46"/>
    </row>
    <row r="205" spans="1:99" ht="12.75" customHeight="1">
      <c r="A205" s="399">
        <v>1453</v>
      </c>
      <c r="B205" s="399" t="s">
        <v>4452</v>
      </c>
      <c r="C205" s="399">
        <f t="shared" si="36"/>
        <v>1453</v>
      </c>
      <c r="D205" s="399" t="e">
        <f t="shared" ca="1" si="37"/>
        <v>#NAME?</v>
      </c>
      <c r="E205" s="399" t="str">
        <f t="shared" si="38"/>
        <v>Accept</v>
      </c>
      <c r="F205" s="399" t="str">
        <f t="shared" ref="F205:F209" si="41">IF(AND(ISBLANK(V205)=FALSE,OR(T205="MC",T205="")),"Input Option","Data Element")</f>
        <v>Input Option</v>
      </c>
      <c r="G205" s="400">
        <f t="shared" si="26"/>
        <v>13</v>
      </c>
      <c r="H205" s="399" t="str">
        <f t="shared" si="39"/>
        <v>Medical eligibility - text classification</v>
      </c>
      <c r="I205" s="400"/>
      <c r="J205" s="400"/>
      <c r="K205" s="401" t="s">
        <v>3333</v>
      </c>
      <c r="L205" s="402" t="s">
        <v>4081</v>
      </c>
      <c r="M205" s="400"/>
      <c r="N205" s="427" t="s">
        <v>4417</v>
      </c>
      <c r="O205" s="428"/>
      <c r="P205" s="403" t="s">
        <v>4453</v>
      </c>
      <c r="Q205" s="403"/>
      <c r="R205" s="403"/>
      <c r="S205" s="403" t="s">
        <v>4454</v>
      </c>
      <c r="T205" s="403"/>
      <c r="U205" s="407"/>
      <c r="V205" s="407" t="s">
        <v>4455</v>
      </c>
      <c r="W205" s="407"/>
      <c r="X205" s="403" t="s">
        <v>208</v>
      </c>
      <c r="Y205" s="403"/>
      <c r="Z205" s="403" t="s">
        <v>208</v>
      </c>
      <c r="AA205" s="403"/>
      <c r="AB205" s="408"/>
      <c r="AC205" s="407"/>
      <c r="AD205" s="403"/>
      <c r="AE205" s="406"/>
      <c r="AF205" s="407"/>
      <c r="AG205" s="407"/>
      <c r="AH205" s="399"/>
      <c r="AI205" s="400"/>
      <c r="AJ205" s="399"/>
      <c r="AK205" s="399"/>
      <c r="AL205" s="409"/>
      <c r="AN205" s="409" t="s">
        <v>3101</v>
      </c>
      <c r="AO205" s="399"/>
      <c r="AP205" s="399"/>
      <c r="AQ205" s="409" t="s">
        <v>3130</v>
      </c>
      <c r="AR205" s="399"/>
      <c r="AS205" s="399"/>
      <c r="AT205" s="399"/>
      <c r="AU205" s="399" t="s">
        <v>4452</v>
      </c>
      <c r="AV205" s="399" t="str">
        <f t="shared" si="27"/>
        <v>Same</v>
      </c>
      <c r="AW205" s="399"/>
      <c r="AX205" s="409" t="s">
        <v>3343</v>
      </c>
      <c r="AY205" s="399" t="e">
        <f t="shared" ca="1" si="28"/>
        <v>#NAME?</v>
      </c>
      <c r="AZ205" s="399"/>
      <c r="BA205" s="409">
        <v>1</v>
      </c>
      <c r="BB205" s="415" t="s">
        <v>3131</v>
      </c>
      <c r="BC205" s="409" t="s">
        <v>4455</v>
      </c>
      <c r="BD205" s="399"/>
      <c r="BE205" s="411"/>
      <c r="BF205" s="411"/>
      <c r="BG205" s="411"/>
      <c r="BH205" s="411"/>
      <c r="BI205" s="411"/>
      <c r="BJ205" s="409" t="s">
        <v>3106</v>
      </c>
      <c r="BK205" s="399"/>
      <c r="BL205" s="399"/>
      <c r="BM205" s="399"/>
      <c r="BN205" s="399"/>
      <c r="BO205" s="399"/>
      <c r="BP205" s="399"/>
      <c r="BQ205" s="399"/>
      <c r="BR205" s="399"/>
      <c r="BS205" s="407"/>
      <c r="BT205" s="407"/>
      <c r="BU205" s="412"/>
      <c r="BV205" s="46" t="str">
        <f t="shared" si="8"/>
        <v/>
      </c>
      <c r="BW205" s="46">
        <f t="shared" si="9"/>
        <v>0</v>
      </c>
      <c r="BX205" s="46">
        <f t="shared" si="10"/>
        <v>0</v>
      </c>
      <c r="BY205" s="43" t="str">
        <f t="shared" si="11"/>
        <v>WHO-FP Observation (Medical eligibility text)</v>
      </c>
      <c r="BZ205" s="46">
        <f t="shared" si="12"/>
        <v>1</v>
      </c>
      <c r="CA205" s="46" t="str">
        <f t="shared" si="13"/>
        <v/>
      </c>
      <c r="CB205" s="46">
        <f t="shared" si="14"/>
        <v>1</v>
      </c>
      <c r="CC205" s="46">
        <f t="shared" si="15"/>
        <v>1</v>
      </c>
      <c r="CD205" s="46">
        <f t="shared" si="16"/>
        <v>1</v>
      </c>
      <c r="CE205" s="46">
        <f t="shared" si="17"/>
        <v>0</v>
      </c>
      <c r="CF205" s="46">
        <f t="shared" si="18"/>
        <v>0</v>
      </c>
      <c r="CG205" s="46" t="str">
        <f ca="1">IFERROR(__xludf.DUMMYFUNCTION("if(OR(BH205="""",LEFT(BH205,2)=""LA""),"""",IMPORTXML(CONCATENATE(""https://loinc.org/"",BH205,""/""),""//span[@id='lcn']""))"),"")</f>
        <v/>
      </c>
      <c r="CH205" s="46"/>
      <c r="CI205" s="46"/>
      <c r="CJ205" s="46"/>
      <c r="CK205" s="46"/>
      <c r="CL205" s="46"/>
      <c r="CM205" s="46"/>
      <c r="CN205" s="46"/>
      <c r="CO205" s="46"/>
      <c r="CP205" s="46"/>
      <c r="CQ205" s="46"/>
      <c r="CR205" s="46"/>
      <c r="CS205" s="46"/>
      <c r="CT205" s="46"/>
      <c r="CU205" s="46"/>
    </row>
    <row r="206" spans="1:99" ht="12.75" customHeight="1">
      <c r="A206" s="399">
        <v>1454</v>
      </c>
      <c r="B206" s="399" t="s">
        <v>4456</v>
      </c>
      <c r="C206" s="399">
        <f t="shared" si="36"/>
        <v>1454</v>
      </c>
      <c r="D206" s="399" t="e">
        <f t="shared" ca="1" si="37"/>
        <v>#NAME?</v>
      </c>
      <c r="E206" s="399" t="str">
        <f t="shared" si="38"/>
        <v xml:space="preserve">Caution </v>
      </c>
      <c r="F206" s="399" t="str">
        <f t="shared" si="41"/>
        <v>Input Option</v>
      </c>
      <c r="G206" s="400">
        <f t="shared" si="26"/>
        <v>15</v>
      </c>
      <c r="H206" s="399" t="str">
        <f t="shared" si="39"/>
        <v>Medical eligibility - text classification</v>
      </c>
      <c r="I206" s="400"/>
      <c r="J206" s="400"/>
      <c r="K206" s="401" t="s">
        <v>3333</v>
      </c>
      <c r="L206" s="402" t="s">
        <v>4081</v>
      </c>
      <c r="M206" s="400"/>
      <c r="N206" s="427" t="s">
        <v>4417</v>
      </c>
      <c r="O206" s="428"/>
      <c r="P206" s="403" t="s">
        <v>4457</v>
      </c>
      <c r="Q206" s="403"/>
      <c r="R206" s="403"/>
      <c r="S206" s="403" t="s">
        <v>4458</v>
      </c>
      <c r="T206" s="403"/>
      <c r="U206" s="407"/>
      <c r="V206" s="407" t="s">
        <v>4459</v>
      </c>
      <c r="W206" s="407"/>
      <c r="X206" s="403" t="s">
        <v>208</v>
      </c>
      <c r="Y206" s="403"/>
      <c r="Z206" s="403" t="s">
        <v>208</v>
      </c>
      <c r="AA206" s="403"/>
      <c r="AB206" s="408"/>
      <c r="AC206" s="407"/>
      <c r="AD206" s="403"/>
      <c r="AE206" s="406"/>
      <c r="AF206" s="407"/>
      <c r="AG206" s="407"/>
      <c r="AH206" s="399"/>
      <c r="AI206" s="400"/>
      <c r="AJ206" s="399"/>
      <c r="AK206" s="399"/>
      <c r="AL206" s="409"/>
      <c r="AM206" s="409"/>
      <c r="AN206" s="409"/>
      <c r="AO206" s="399"/>
      <c r="AP206" s="399"/>
      <c r="AQ206" s="409" t="s">
        <v>3130</v>
      </c>
      <c r="AR206" s="399"/>
      <c r="AS206" s="399"/>
      <c r="AT206" s="399"/>
      <c r="AU206" s="399" t="s">
        <v>4456</v>
      </c>
      <c r="AV206" s="399" t="str">
        <f t="shared" si="27"/>
        <v>Same</v>
      </c>
      <c r="AW206" s="399"/>
      <c r="AX206" s="409" t="s">
        <v>3343</v>
      </c>
      <c r="AY206" s="399" t="e">
        <f t="shared" ca="1" si="28"/>
        <v>#NAME?</v>
      </c>
      <c r="AZ206" s="399"/>
      <c r="BA206" s="409">
        <v>1</v>
      </c>
      <c r="BB206" s="415" t="s">
        <v>3131</v>
      </c>
      <c r="BC206" s="409" t="s">
        <v>4459</v>
      </c>
      <c r="BD206" s="399"/>
      <c r="BE206" s="411"/>
      <c r="BF206" s="411"/>
      <c r="BG206" s="411"/>
      <c r="BH206" s="411"/>
      <c r="BI206" s="411"/>
      <c r="BJ206" s="409" t="s">
        <v>3106</v>
      </c>
      <c r="BK206" s="399"/>
      <c r="BL206" s="399"/>
      <c r="BM206" s="399"/>
      <c r="BN206" s="399"/>
      <c r="BO206" s="399"/>
      <c r="BP206" s="399"/>
      <c r="BQ206" s="399"/>
      <c r="BR206" s="399"/>
      <c r="BS206" s="407"/>
      <c r="BT206" s="407"/>
      <c r="BU206" s="412"/>
      <c r="BV206" s="46" t="str">
        <f t="shared" si="8"/>
        <v/>
      </c>
      <c r="BW206" s="46">
        <f t="shared" si="9"/>
        <v>0</v>
      </c>
      <c r="BX206" s="46">
        <f t="shared" si="10"/>
        <v>0</v>
      </c>
      <c r="BY206" s="43" t="str">
        <f t="shared" si="11"/>
        <v>WHO-FP Observation (Medical eligibility text)</v>
      </c>
      <c r="BZ206" s="46">
        <f t="shared" si="12"/>
        <v>1</v>
      </c>
      <c r="CA206" s="46" t="str">
        <f t="shared" si="13"/>
        <v/>
      </c>
      <c r="CB206" s="46">
        <f t="shared" si="14"/>
        <v>1</v>
      </c>
      <c r="CC206" s="46">
        <f t="shared" si="15"/>
        <v>1</v>
      </c>
      <c r="CD206" s="46">
        <f t="shared" si="16"/>
        <v>1</v>
      </c>
      <c r="CE206" s="46">
        <f t="shared" si="17"/>
        <v>0</v>
      </c>
      <c r="CF206" s="46">
        <f t="shared" si="18"/>
        <v>0</v>
      </c>
      <c r="CG206" s="46" t="str">
        <f ca="1">IFERROR(__xludf.DUMMYFUNCTION("if(OR(BH206="""",LEFT(BH206,2)=""LA""),"""",IMPORTXML(CONCATENATE(""https://loinc.org/"",BH206,""/""),""//span[@id='lcn']""))"),"")</f>
        <v/>
      </c>
      <c r="CH206" s="46"/>
      <c r="CI206" s="46"/>
      <c r="CJ206" s="46"/>
      <c r="CK206" s="46"/>
      <c r="CL206" s="46"/>
      <c r="CM206" s="46"/>
      <c r="CN206" s="46"/>
      <c r="CO206" s="46"/>
      <c r="CP206" s="46"/>
      <c r="CQ206" s="46"/>
      <c r="CR206" s="46"/>
      <c r="CS206" s="46"/>
      <c r="CT206" s="46"/>
      <c r="CU206" s="46"/>
    </row>
    <row r="207" spans="1:99" ht="12.75" customHeight="1">
      <c r="A207" s="399">
        <v>1455</v>
      </c>
      <c r="B207" s="399" t="s">
        <v>4460</v>
      </c>
      <c r="C207" s="399">
        <f t="shared" si="36"/>
        <v>1455</v>
      </c>
      <c r="D207" s="399" t="e">
        <f t="shared" ca="1" si="37"/>
        <v>#NAME?</v>
      </c>
      <c r="E207" s="399" t="str">
        <f t="shared" si="38"/>
        <v>Delay</v>
      </c>
      <c r="F207" s="399" t="str">
        <f t="shared" si="41"/>
        <v>Input Option</v>
      </c>
      <c r="G207" s="400">
        <f t="shared" si="26"/>
        <v>12</v>
      </c>
      <c r="H207" s="399" t="str">
        <f t="shared" si="39"/>
        <v>Medical eligibility - text classification</v>
      </c>
      <c r="I207" s="400"/>
      <c r="J207" s="400"/>
      <c r="K207" s="401" t="s">
        <v>3333</v>
      </c>
      <c r="L207" s="402" t="s">
        <v>4081</v>
      </c>
      <c r="M207" s="400"/>
      <c r="N207" s="427" t="s">
        <v>4417</v>
      </c>
      <c r="O207" s="428"/>
      <c r="P207" s="403" t="s">
        <v>4461</v>
      </c>
      <c r="Q207" s="403"/>
      <c r="R207" s="403"/>
      <c r="S207" s="403" t="s">
        <v>4462</v>
      </c>
      <c r="T207" s="403"/>
      <c r="U207" s="407"/>
      <c r="V207" s="407" t="s">
        <v>4463</v>
      </c>
      <c r="W207" s="407"/>
      <c r="X207" s="403" t="s">
        <v>208</v>
      </c>
      <c r="Y207" s="403"/>
      <c r="Z207" s="403" t="s">
        <v>208</v>
      </c>
      <c r="AA207" s="403"/>
      <c r="AB207" s="408"/>
      <c r="AC207" s="407"/>
      <c r="AD207" s="403"/>
      <c r="AE207" s="406"/>
      <c r="AF207" s="407"/>
      <c r="AG207" s="407"/>
      <c r="AH207" s="399"/>
      <c r="AI207" s="400"/>
      <c r="AJ207" s="399"/>
      <c r="AK207" s="399"/>
      <c r="AL207" s="409"/>
      <c r="AM207" s="409"/>
      <c r="AN207" s="409"/>
      <c r="AO207" s="399"/>
      <c r="AP207" s="399"/>
      <c r="AQ207" s="409" t="s">
        <v>3130</v>
      </c>
      <c r="AR207" s="399"/>
      <c r="AS207" s="399"/>
      <c r="AT207" s="399"/>
      <c r="AU207" s="399" t="s">
        <v>4460</v>
      </c>
      <c r="AV207" s="399" t="str">
        <f t="shared" si="27"/>
        <v>Same</v>
      </c>
      <c r="AW207" s="399"/>
      <c r="AX207" s="409" t="s">
        <v>3343</v>
      </c>
      <c r="AY207" s="399" t="e">
        <f t="shared" ca="1" si="28"/>
        <v>#NAME?</v>
      </c>
      <c r="AZ207" s="399"/>
      <c r="BA207" s="409">
        <v>1</v>
      </c>
      <c r="BB207" s="415" t="s">
        <v>3131</v>
      </c>
      <c r="BC207" s="409" t="s">
        <v>4463</v>
      </c>
      <c r="BD207" s="399"/>
      <c r="BE207" s="411"/>
      <c r="BF207" s="411"/>
      <c r="BG207" s="411"/>
      <c r="BH207" s="411"/>
      <c r="BI207" s="411"/>
      <c r="BJ207" s="409" t="s">
        <v>3106</v>
      </c>
      <c r="BK207" s="399"/>
      <c r="BL207" s="399"/>
      <c r="BM207" s="399"/>
      <c r="BN207" s="399"/>
      <c r="BO207" s="399"/>
      <c r="BP207" s="399"/>
      <c r="BQ207" s="399"/>
      <c r="BR207" s="399"/>
      <c r="BS207" s="407"/>
      <c r="BT207" s="407"/>
      <c r="BU207" s="412"/>
      <c r="BV207" s="46" t="str">
        <f t="shared" si="8"/>
        <v/>
      </c>
      <c r="BW207" s="46">
        <f t="shared" si="9"/>
        <v>0</v>
      </c>
      <c r="BX207" s="46">
        <f t="shared" si="10"/>
        <v>0</v>
      </c>
      <c r="BY207" s="43" t="str">
        <f t="shared" si="11"/>
        <v>WHO-FP Observation (Medical eligibility text)</v>
      </c>
      <c r="BZ207" s="46">
        <f t="shared" si="12"/>
        <v>1</v>
      </c>
      <c r="CA207" s="46" t="str">
        <f t="shared" si="13"/>
        <v/>
      </c>
      <c r="CB207" s="46">
        <f t="shared" si="14"/>
        <v>1</v>
      </c>
      <c r="CC207" s="46">
        <f t="shared" si="15"/>
        <v>1</v>
      </c>
      <c r="CD207" s="46">
        <f t="shared" si="16"/>
        <v>1</v>
      </c>
      <c r="CE207" s="46">
        <f t="shared" si="17"/>
        <v>0</v>
      </c>
      <c r="CF207" s="46">
        <f t="shared" si="18"/>
        <v>0</v>
      </c>
      <c r="CG207" s="46" t="str">
        <f ca="1">IFERROR(__xludf.DUMMYFUNCTION("if(OR(BH207="""",LEFT(BH207,2)=""LA""),"""",IMPORTXML(CONCATENATE(""https://loinc.org/"",BH207,""/""),""//span[@id='lcn']""))"),"")</f>
        <v/>
      </c>
      <c r="CH207" s="46"/>
      <c r="CI207" s="46"/>
      <c r="CJ207" s="46"/>
      <c r="CK207" s="46"/>
      <c r="CL207" s="46"/>
      <c r="CM207" s="46"/>
      <c r="CN207" s="46"/>
      <c r="CO207" s="46"/>
      <c r="CP207" s="46"/>
      <c r="CQ207" s="46"/>
      <c r="CR207" s="46"/>
      <c r="CS207" s="46"/>
      <c r="CT207" s="46"/>
      <c r="CU207" s="46"/>
    </row>
    <row r="208" spans="1:99" ht="12.75" customHeight="1">
      <c r="A208" s="399">
        <v>1456</v>
      </c>
      <c r="B208" s="399" t="s">
        <v>4464</v>
      </c>
      <c r="C208" s="399">
        <f t="shared" si="36"/>
        <v>1456</v>
      </c>
      <c r="D208" s="399" t="e">
        <f t="shared" ca="1" si="37"/>
        <v>#NAME?</v>
      </c>
      <c r="E208" s="399" t="str">
        <f t="shared" si="38"/>
        <v>Special</v>
      </c>
      <c r="F208" s="399" t="str">
        <f t="shared" si="41"/>
        <v>Input Option</v>
      </c>
      <c r="G208" s="400">
        <f t="shared" si="26"/>
        <v>14</v>
      </c>
      <c r="H208" s="399" t="str">
        <f t="shared" si="39"/>
        <v>Medical eligibility - text classification</v>
      </c>
      <c r="I208" s="400"/>
      <c r="J208" s="400"/>
      <c r="K208" s="401" t="s">
        <v>3333</v>
      </c>
      <c r="L208" s="402" t="s">
        <v>4081</v>
      </c>
      <c r="M208" s="400"/>
      <c r="N208" s="427" t="s">
        <v>4417</v>
      </c>
      <c r="O208" s="428"/>
      <c r="P208" s="403" t="s">
        <v>4465</v>
      </c>
      <c r="Q208" s="403"/>
      <c r="R208" s="403"/>
      <c r="S208" s="403" t="s">
        <v>4466</v>
      </c>
      <c r="T208" s="403"/>
      <c r="U208" s="407"/>
      <c r="V208" s="407" t="s">
        <v>4467</v>
      </c>
      <c r="W208" s="407"/>
      <c r="X208" s="403" t="s">
        <v>208</v>
      </c>
      <c r="Y208" s="403"/>
      <c r="Z208" s="403" t="s">
        <v>208</v>
      </c>
      <c r="AA208" s="403"/>
      <c r="AB208" s="408"/>
      <c r="AC208" s="407"/>
      <c r="AD208" s="403"/>
      <c r="AE208" s="406"/>
      <c r="AF208" s="407"/>
      <c r="AG208" s="407"/>
      <c r="AH208" s="399"/>
      <c r="AI208" s="400"/>
      <c r="AJ208" s="399"/>
      <c r="AK208" s="399"/>
      <c r="AL208" s="409"/>
      <c r="AM208" s="409"/>
      <c r="AN208" s="409"/>
      <c r="AO208" s="399"/>
      <c r="AP208" s="399"/>
      <c r="AQ208" s="409" t="s">
        <v>3130</v>
      </c>
      <c r="AR208" s="399"/>
      <c r="AS208" s="399"/>
      <c r="AT208" s="399"/>
      <c r="AU208" s="399" t="s">
        <v>4464</v>
      </c>
      <c r="AV208" s="399" t="str">
        <f t="shared" si="27"/>
        <v>Same</v>
      </c>
      <c r="AW208" s="399"/>
      <c r="AX208" s="409" t="s">
        <v>3343</v>
      </c>
      <c r="AY208" s="399" t="e">
        <f t="shared" ca="1" si="28"/>
        <v>#NAME?</v>
      </c>
      <c r="AZ208" s="399"/>
      <c r="BA208" s="409">
        <v>1</v>
      </c>
      <c r="BB208" s="415" t="s">
        <v>3131</v>
      </c>
      <c r="BC208" s="409" t="s">
        <v>4467</v>
      </c>
      <c r="BD208" s="399"/>
      <c r="BE208" s="411"/>
      <c r="BF208" s="411"/>
      <c r="BG208" s="411"/>
      <c r="BH208" s="411"/>
      <c r="BI208" s="411"/>
      <c r="BJ208" s="409" t="s">
        <v>3106</v>
      </c>
      <c r="BK208" s="399"/>
      <c r="BL208" s="399"/>
      <c r="BM208" s="399"/>
      <c r="BN208" s="399"/>
      <c r="BO208" s="399"/>
      <c r="BP208" s="399"/>
      <c r="BQ208" s="399"/>
      <c r="BR208" s="399"/>
      <c r="BS208" s="407"/>
      <c r="BT208" s="407"/>
      <c r="BU208" s="412"/>
      <c r="BV208" s="46" t="str">
        <f t="shared" si="8"/>
        <v/>
      </c>
      <c r="BW208" s="46">
        <f t="shared" si="9"/>
        <v>0</v>
      </c>
      <c r="BX208" s="46">
        <f t="shared" si="10"/>
        <v>0</v>
      </c>
      <c r="BY208" s="43" t="str">
        <f t="shared" si="11"/>
        <v>WHO-FP Observation (Medical eligibility text)</v>
      </c>
      <c r="BZ208" s="46">
        <f t="shared" si="12"/>
        <v>1</v>
      </c>
      <c r="CA208" s="46" t="str">
        <f t="shared" si="13"/>
        <v/>
      </c>
      <c r="CB208" s="46">
        <f t="shared" si="14"/>
        <v>1</v>
      </c>
      <c r="CC208" s="46">
        <f t="shared" si="15"/>
        <v>1</v>
      </c>
      <c r="CD208" s="46">
        <f t="shared" si="16"/>
        <v>1</v>
      </c>
      <c r="CE208" s="46">
        <f t="shared" si="17"/>
        <v>0</v>
      </c>
      <c r="CF208" s="46">
        <f t="shared" si="18"/>
        <v>0</v>
      </c>
      <c r="CG208" s="46" t="str">
        <f ca="1">IFERROR(__xludf.DUMMYFUNCTION("if(OR(BH208="""",LEFT(BH208,2)=""LA""),"""",IMPORTXML(CONCATENATE(""https://loinc.org/"",BH208,""/""),""//span[@id='lcn']""))"),"")</f>
        <v/>
      </c>
      <c r="CH208" s="46"/>
      <c r="CI208" s="46"/>
      <c r="CJ208" s="46"/>
      <c r="CK208" s="46"/>
      <c r="CL208" s="46"/>
      <c r="CM208" s="46"/>
      <c r="CN208" s="46"/>
      <c r="CO208" s="46"/>
      <c r="CP208" s="46"/>
      <c r="CQ208" s="46"/>
      <c r="CR208" s="46"/>
      <c r="CS208" s="46"/>
      <c r="CT208" s="46"/>
      <c r="CU208" s="46"/>
    </row>
    <row r="209" spans="1:99" ht="12.75" customHeight="1">
      <c r="A209" s="409">
        <v>1863</v>
      </c>
      <c r="B209" s="399" t="s">
        <v>4468</v>
      </c>
      <c r="C209" s="399">
        <f t="shared" si="36"/>
        <v>1863</v>
      </c>
      <c r="D209" s="399" t="str">
        <f t="shared" si="37"/>
        <v>Date of medical eligibility check</v>
      </c>
      <c r="E209" s="399" t="str">
        <f t="shared" si="38"/>
        <v>Date of medical eligibility check</v>
      </c>
      <c r="F209" s="399" t="str">
        <f t="shared" si="41"/>
        <v>Data Element</v>
      </c>
      <c r="G209" s="400">
        <f t="shared" si="26"/>
        <v>33</v>
      </c>
      <c r="H209" s="400" t="str">
        <f t="shared" si="39"/>
        <v/>
      </c>
      <c r="I209" s="400"/>
      <c r="J209" s="400"/>
      <c r="K209" s="401" t="s">
        <v>3333</v>
      </c>
      <c r="L209" s="402" t="s">
        <v>4081</v>
      </c>
      <c r="M209" s="400"/>
      <c r="N209" s="427" t="s">
        <v>4417</v>
      </c>
      <c r="O209" s="428"/>
      <c r="P209" s="405" t="s">
        <v>4427</v>
      </c>
      <c r="Q209" s="403" t="s">
        <v>4468</v>
      </c>
      <c r="R209" s="403"/>
      <c r="S209" s="403" t="s">
        <v>4469</v>
      </c>
      <c r="T209" s="403" t="s">
        <v>3158</v>
      </c>
      <c r="U209" s="407"/>
      <c r="V209" s="407"/>
      <c r="W209" s="407"/>
      <c r="X209" s="437" t="s">
        <v>113</v>
      </c>
      <c r="Y209" s="403" t="s">
        <v>3511</v>
      </c>
      <c r="Z209" s="403" t="s">
        <v>113</v>
      </c>
      <c r="AA209" s="403" t="s">
        <v>3178</v>
      </c>
      <c r="AB209" s="432" t="s">
        <v>4470</v>
      </c>
      <c r="AC209" s="421"/>
      <c r="AD209" s="421"/>
      <c r="AE209" s="408"/>
      <c r="AF209" s="407" t="s">
        <v>4430</v>
      </c>
      <c r="AG209" s="407" t="s">
        <v>3851</v>
      </c>
      <c r="AH209" s="399"/>
      <c r="AI209" s="400"/>
      <c r="AJ209" s="399" t="s">
        <v>1787</v>
      </c>
      <c r="AK209" s="440" t="s">
        <v>4471</v>
      </c>
      <c r="AL209" s="409" t="s">
        <v>3513</v>
      </c>
      <c r="AM209" s="409" t="s">
        <v>3100</v>
      </c>
      <c r="AN209" s="409" t="s">
        <v>3101</v>
      </c>
      <c r="AO209" s="399" t="s">
        <v>1787</v>
      </c>
      <c r="AP209" s="399"/>
      <c r="AQ209" s="409" t="s">
        <v>115</v>
      </c>
      <c r="AR209" s="399"/>
      <c r="AS209" s="399"/>
      <c r="AT209" s="399"/>
      <c r="AU209" s="399"/>
      <c r="AV209" s="399" t="str">
        <f t="shared" si="27"/>
        <v/>
      </c>
      <c r="AW209" s="399"/>
      <c r="AX209" s="409" t="s">
        <v>3343</v>
      </c>
      <c r="AY209" s="399" t="str">
        <f t="shared" si="28"/>
        <v/>
      </c>
      <c r="AZ209" s="399"/>
      <c r="BA209" s="409">
        <v>0</v>
      </c>
      <c r="BB209" s="399"/>
      <c r="BC209" s="399" t="s">
        <v>1787</v>
      </c>
      <c r="BD209" s="399" t="s">
        <v>1787</v>
      </c>
      <c r="BE209" s="411"/>
      <c r="BF209" s="411" t="s">
        <v>1787</v>
      </c>
      <c r="BG209" s="411"/>
      <c r="BH209" s="411"/>
      <c r="BI209" s="411"/>
      <c r="BJ209" s="409" t="s">
        <v>3106</v>
      </c>
      <c r="BK209" s="399" t="s">
        <v>1787</v>
      </c>
      <c r="BL209" s="399"/>
      <c r="BM209" s="399" t="s">
        <v>1787</v>
      </c>
      <c r="BN209" s="399" t="s">
        <v>1787</v>
      </c>
      <c r="BO209" s="399" t="s">
        <v>1787</v>
      </c>
      <c r="BP209" s="399" t="s">
        <v>1787</v>
      </c>
      <c r="BQ209" s="399" t="s">
        <v>1787</v>
      </c>
      <c r="BR209" s="399" t="s">
        <v>1787</v>
      </c>
      <c r="BS209" s="407"/>
      <c r="BT209" s="407"/>
      <c r="BU209" s="412"/>
      <c r="BV209" s="46" t="str">
        <f t="shared" si="8"/>
        <v/>
      </c>
      <c r="BW209" s="46" t="str">
        <f t="shared" si="9"/>
        <v/>
      </c>
      <c r="BX209" s="46" t="str">
        <f t="shared" si="10"/>
        <v/>
      </c>
      <c r="BY209" s="43">
        <f t="shared" si="11"/>
        <v>0</v>
      </c>
      <c r="BZ209" s="46">
        <f t="shared" si="12"/>
        <v>1</v>
      </c>
      <c r="CA209" s="46">
        <f t="shared" si="13"/>
        <v>0</v>
      </c>
      <c r="CB209" s="46">
        <f t="shared" si="14"/>
        <v>1</v>
      </c>
      <c r="CC209" s="46">
        <f t="shared" si="15"/>
        <v>1</v>
      </c>
      <c r="CD209" s="46">
        <f t="shared" si="16"/>
        <v>1</v>
      </c>
      <c r="CE209" s="46">
        <f t="shared" si="17"/>
        <v>0</v>
      </c>
      <c r="CF209" s="46">
        <f t="shared" si="18"/>
        <v>0</v>
      </c>
      <c r="CG209" s="46" t="str">
        <f ca="1">IFERROR(__xludf.DUMMYFUNCTION("if(OR(BH209="""",LEFT(BH209,2)=""LA""),"""",IMPORTXML(CONCATENATE(""https://loinc.org/"",BH209,""/""),""//span[@id='lcn']""))"),"")</f>
        <v/>
      </c>
      <c r="CH209" s="46"/>
      <c r="CI209" s="46"/>
      <c r="CJ209" s="46"/>
      <c r="CK209" s="46"/>
      <c r="CL209" s="46"/>
      <c r="CM209" s="46"/>
      <c r="CN209" s="46"/>
      <c r="CO209" s="46"/>
      <c r="CP209" s="46"/>
      <c r="CQ209" s="46"/>
      <c r="CR209" s="46"/>
      <c r="CS209" s="46"/>
      <c r="CT209" s="46"/>
      <c r="CU209" s="46"/>
    </row>
    <row r="210" spans="1:99" ht="12.75" customHeight="1">
      <c r="A210" s="413">
        <v>2372</v>
      </c>
      <c r="B210" s="409" t="s">
        <v>4472</v>
      </c>
      <c r="C210" s="399"/>
      <c r="D210" s="399"/>
      <c r="E210" s="399"/>
      <c r="F210" s="409" t="s">
        <v>96</v>
      </c>
      <c r="G210" s="400"/>
      <c r="H210" s="400"/>
      <c r="I210" s="400"/>
      <c r="J210" s="400"/>
      <c r="K210" s="401"/>
      <c r="L210" s="402"/>
      <c r="M210" s="400"/>
      <c r="N210" s="427"/>
      <c r="O210" s="428"/>
      <c r="P210" s="405"/>
      <c r="Q210" s="403"/>
      <c r="R210" s="403"/>
      <c r="S210" s="403"/>
      <c r="T210" s="407"/>
      <c r="U210" s="407"/>
      <c r="V210" s="407"/>
      <c r="W210" s="407"/>
      <c r="X210" s="407"/>
      <c r="Y210" s="407"/>
      <c r="Z210" s="407"/>
      <c r="AA210" s="407"/>
      <c r="AB210" s="432"/>
      <c r="AC210" s="421"/>
      <c r="AD210" s="421"/>
      <c r="AE210" s="408"/>
      <c r="AF210" s="407"/>
      <c r="AG210" s="407"/>
      <c r="AH210" s="399"/>
      <c r="AI210" s="400"/>
      <c r="AJ210" s="399"/>
      <c r="AK210" s="409" t="s">
        <v>3916</v>
      </c>
      <c r="AL210" s="409"/>
      <c r="AM210" s="409" t="s">
        <v>3100</v>
      </c>
      <c r="AN210" s="409" t="s">
        <v>3101</v>
      </c>
      <c r="AO210" s="399"/>
      <c r="AP210" s="409" t="s">
        <v>4473</v>
      </c>
      <c r="AQ210" s="409" t="s">
        <v>3424</v>
      </c>
      <c r="AR210" s="409" t="s">
        <v>4474</v>
      </c>
      <c r="AS210" s="409"/>
      <c r="AT210" s="399"/>
      <c r="AU210" s="399"/>
      <c r="AV210" s="399"/>
      <c r="AW210" s="399"/>
      <c r="AX210" s="409" t="s">
        <v>3343</v>
      </c>
      <c r="AY210" s="399"/>
      <c r="AZ210" s="399"/>
      <c r="BA210" s="409">
        <v>1</v>
      </c>
      <c r="BB210" s="399"/>
      <c r="BC210" s="409"/>
      <c r="BD210" s="409"/>
      <c r="BE210" s="411"/>
      <c r="BF210" s="411"/>
      <c r="BG210" s="411"/>
      <c r="BH210" s="411"/>
      <c r="BI210" s="411"/>
      <c r="BJ210" s="409"/>
      <c r="BK210" s="399"/>
      <c r="BL210" s="399"/>
      <c r="BM210" s="409"/>
      <c r="BN210" s="399"/>
      <c r="BO210" s="399"/>
      <c r="BP210" s="399"/>
      <c r="BQ210" s="399"/>
      <c r="BR210" s="399"/>
      <c r="BS210" s="407"/>
      <c r="BT210" s="407"/>
      <c r="BU210" s="412"/>
      <c r="BV210" s="46" t="str">
        <f t="shared" si="8"/>
        <v>Observation</v>
      </c>
      <c r="BW210" s="46" t="str">
        <f t="shared" si="9"/>
        <v/>
      </c>
      <c r="BX210" s="46" t="str">
        <f t="shared" si="10"/>
        <v>Observation</v>
      </c>
      <c r="BY210" s="43" t="str">
        <f t="shared" si="11"/>
        <v>WHO-FP Observation (Medical Eligibility)</v>
      </c>
      <c r="BZ210" s="46">
        <f t="shared" si="12"/>
        <v>1</v>
      </c>
      <c r="CA210" s="46">
        <f t="shared" si="13"/>
        <v>1</v>
      </c>
      <c r="CB210" s="46">
        <f t="shared" si="14"/>
        <v>0</v>
      </c>
      <c r="CC210" s="46">
        <f t="shared" si="15"/>
        <v>1</v>
      </c>
      <c r="CD210" s="46">
        <f t="shared" si="16"/>
        <v>0</v>
      </c>
      <c r="CE210" s="46">
        <f t="shared" si="17"/>
        <v>1</v>
      </c>
      <c r="CF210" s="46">
        <f t="shared" si="18"/>
        <v>0</v>
      </c>
      <c r="CG210" s="46"/>
      <c r="CH210" s="46"/>
      <c r="CI210" s="46"/>
      <c r="CJ210" s="46"/>
      <c r="CK210" s="46"/>
      <c r="CL210" s="46"/>
      <c r="CM210" s="46"/>
      <c r="CN210" s="46"/>
      <c r="CO210" s="46"/>
      <c r="CP210" s="46"/>
      <c r="CQ210" s="46"/>
      <c r="CR210" s="46"/>
      <c r="CS210" s="46"/>
      <c r="CT210" s="46"/>
      <c r="CU210" s="46"/>
    </row>
    <row r="211" spans="1:99" ht="12.75" customHeight="1">
      <c r="A211" s="409">
        <v>2371</v>
      </c>
      <c r="B211" s="399" t="s">
        <v>4475</v>
      </c>
      <c r="C211" s="399"/>
      <c r="D211" s="399"/>
      <c r="E211" s="399"/>
      <c r="F211" s="409" t="s">
        <v>96</v>
      </c>
      <c r="G211" s="400"/>
      <c r="H211" s="400" t="str">
        <f>IF(F211="Input Option",IF(H209="",B209,H209),"")</f>
        <v/>
      </c>
      <c r="I211" s="400"/>
      <c r="J211" s="400"/>
      <c r="K211" s="401"/>
      <c r="L211" s="402"/>
      <c r="M211" s="400"/>
      <c r="N211" s="427"/>
      <c r="O211" s="428"/>
      <c r="P211" s="405"/>
      <c r="Q211" s="403"/>
      <c r="R211" s="403"/>
      <c r="S211" s="403"/>
      <c r="T211" s="407"/>
      <c r="U211" s="407"/>
      <c r="V211" s="407"/>
      <c r="W211" s="407"/>
      <c r="X211" s="407"/>
      <c r="Y211" s="407"/>
      <c r="Z211" s="407"/>
      <c r="AA211" s="407"/>
      <c r="AB211" s="432"/>
      <c r="AC211" s="421"/>
      <c r="AD211" s="421"/>
      <c r="AE211" s="408"/>
      <c r="AF211" s="407"/>
      <c r="AG211" s="407"/>
      <c r="AH211" s="399"/>
      <c r="AI211" s="400"/>
      <c r="AJ211" s="399"/>
      <c r="AK211" s="440" t="s">
        <v>4476</v>
      </c>
      <c r="AL211" s="403"/>
      <c r="AM211" s="403" t="s">
        <v>3100</v>
      </c>
      <c r="AN211" s="403" t="s">
        <v>3101</v>
      </c>
      <c r="AO211" s="399"/>
      <c r="AP211" s="409" t="s">
        <v>4477</v>
      </c>
      <c r="AQ211" s="409" t="s">
        <v>3424</v>
      </c>
      <c r="AR211" s="409" t="s">
        <v>4478</v>
      </c>
      <c r="AS211" s="409"/>
      <c r="AT211" s="399"/>
      <c r="AU211" s="399"/>
      <c r="AV211" s="399"/>
      <c r="AW211" s="399"/>
      <c r="AX211" s="409" t="s">
        <v>3343</v>
      </c>
      <c r="AY211" s="399"/>
      <c r="AZ211" s="399"/>
      <c r="BA211" s="409">
        <v>1</v>
      </c>
      <c r="BB211" s="399"/>
      <c r="BC211" s="409"/>
      <c r="BD211" s="409"/>
      <c r="BE211" s="411"/>
      <c r="BF211" s="411"/>
      <c r="BG211" s="411"/>
      <c r="BH211" s="411"/>
      <c r="BI211" s="411"/>
      <c r="BJ211" s="409" t="s">
        <v>3106</v>
      </c>
      <c r="BK211" s="399"/>
      <c r="BL211" s="399"/>
      <c r="BM211" s="409"/>
      <c r="BN211" s="399"/>
      <c r="BO211" s="399"/>
      <c r="BP211" s="399"/>
      <c r="BQ211" s="399"/>
      <c r="BR211" s="399"/>
      <c r="BS211" s="407"/>
      <c r="BT211" s="407"/>
      <c r="BU211" s="412"/>
      <c r="BV211" s="46" t="str">
        <f t="shared" si="8"/>
        <v>Condition</v>
      </c>
      <c r="BW211" s="46" t="str">
        <f t="shared" si="9"/>
        <v/>
      </c>
      <c r="BX211" s="46" t="str">
        <f t="shared" si="10"/>
        <v>Condition</v>
      </c>
      <c r="BY211" s="43" t="str">
        <f t="shared" si="11"/>
        <v>WHO-FP Condition (Medical Eligibility)</v>
      </c>
      <c r="BZ211" s="46">
        <f t="shared" si="12"/>
        <v>1</v>
      </c>
      <c r="CA211" s="46">
        <f t="shared" si="13"/>
        <v>1</v>
      </c>
      <c r="CB211" s="46">
        <f t="shared" si="14"/>
        <v>1</v>
      </c>
      <c r="CC211" s="46">
        <f t="shared" si="15"/>
        <v>1</v>
      </c>
      <c r="CD211" s="46">
        <f t="shared" si="16"/>
        <v>1</v>
      </c>
      <c r="CE211" s="46">
        <f t="shared" si="17"/>
        <v>0</v>
      </c>
      <c r="CF211" s="46">
        <f t="shared" si="18"/>
        <v>0</v>
      </c>
      <c r="CG211" s="46"/>
      <c r="CH211" s="46"/>
      <c r="CI211" s="46"/>
      <c r="CJ211" s="46"/>
      <c r="CK211" s="46"/>
      <c r="CL211" s="46"/>
      <c r="CM211" s="46"/>
      <c r="CN211" s="46"/>
      <c r="CO211" s="46"/>
      <c r="CP211" s="46"/>
      <c r="CQ211" s="46"/>
      <c r="CR211" s="46"/>
      <c r="CS211" s="46"/>
      <c r="CT211" s="46"/>
      <c r="CU211" s="46"/>
    </row>
    <row r="212" spans="1:99" ht="12.75" customHeight="1">
      <c r="A212" s="399">
        <v>1428</v>
      </c>
      <c r="B212" s="399" t="s">
        <v>4479</v>
      </c>
      <c r="C212" s="399">
        <f t="shared" ref="C212:C441" si="42">A212</f>
        <v>1428</v>
      </c>
      <c r="D212" s="399" t="e">
        <f t="shared" ref="D212:D262" ca="1" si="43">IF(F212="Input Option",CONCAT("       ",E212),E212)</f>
        <v>#NAME?</v>
      </c>
      <c r="E212" s="399" t="str">
        <f t="shared" ref="E212:E441" si="44">IF(Q212="",IF(V212="",Q212,V212),Q212)</f>
        <v>Puerperal sepsis</v>
      </c>
      <c r="F212" s="409" t="s">
        <v>180</v>
      </c>
      <c r="G212" s="400">
        <f t="shared" ref="G212:G215" si="45">LEN(B212)</f>
        <v>16</v>
      </c>
      <c r="H212" s="399" t="str">
        <f t="shared" ref="H212:H215" si="46">IF(F212="Input Option",IF(H211="",B211,H211),"")</f>
        <v>Current conditions affecting Medical Eligibility</v>
      </c>
      <c r="I212" s="400"/>
      <c r="J212" s="400"/>
      <c r="K212" s="401" t="s">
        <v>3333</v>
      </c>
      <c r="L212" s="402" t="s">
        <v>4081</v>
      </c>
      <c r="M212" s="400"/>
      <c r="N212" s="427" t="s">
        <v>4417</v>
      </c>
      <c r="O212" s="428"/>
      <c r="P212" s="405" t="s">
        <v>4480</v>
      </c>
      <c r="Q212" s="403" t="s">
        <v>4479</v>
      </c>
      <c r="R212" s="403"/>
      <c r="S212" s="403"/>
      <c r="T212" s="407" t="s">
        <v>3169</v>
      </c>
      <c r="U212" s="407"/>
      <c r="V212" s="407" t="s">
        <v>3170</v>
      </c>
      <c r="W212" s="407"/>
      <c r="X212" s="407"/>
      <c r="Y212" s="407"/>
      <c r="Z212" s="407" t="s">
        <v>113</v>
      </c>
      <c r="AA212" s="407" t="s">
        <v>3178</v>
      </c>
      <c r="AB212" s="432" t="s">
        <v>4481</v>
      </c>
      <c r="AC212" s="421"/>
      <c r="AD212" s="421"/>
      <c r="AE212" s="432"/>
      <c r="AF212" s="421"/>
      <c r="AG212" s="421"/>
      <c r="AH212" s="399"/>
      <c r="AI212" s="400"/>
      <c r="AJ212" s="399"/>
      <c r="AK212" s="440"/>
      <c r="AL212" s="403"/>
      <c r="AM212" s="403"/>
      <c r="AN212" s="403"/>
      <c r="AO212" s="399"/>
      <c r="AP212" s="409"/>
      <c r="AQ212" s="409" t="s">
        <v>3130</v>
      </c>
      <c r="AR212" s="409" t="s">
        <v>4478</v>
      </c>
      <c r="AS212" s="409"/>
      <c r="AT212" s="399"/>
      <c r="AU212" s="399" t="s">
        <v>4479</v>
      </c>
      <c r="AV212" s="399" t="str">
        <f t="shared" ref="AV212:AV441" si="47">IF(AU212="","", IF(AND(B212=AU212),"Same","Changed"))</f>
        <v>Same</v>
      </c>
      <c r="AW212" s="399"/>
      <c r="AX212" s="409" t="s">
        <v>3343</v>
      </c>
      <c r="AY212" s="399" t="e">
        <f t="shared" ref="AY212:AY262" ca="1" si="48">IF(B212=D212,"",CONCATENATE(CHAR(34), D212,CHAR(34), "-&gt;", CHAR(34), B212,CHAR(34)))</f>
        <v>#NAME?</v>
      </c>
      <c r="AZ212" s="399"/>
      <c r="BA212" s="409">
        <v>1</v>
      </c>
      <c r="BB212" s="399"/>
      <c r="BC212" s="409"/>
      <c r="BD212" s="409" t="s">
        <v>3162</v>
      </c>
      <c r="BE212" s="411"/>
      <c r="BF212" s="411"/>
      <c r="BG212" s="434" t="s">
        <v>4482</v>
      </c>
      <c r="BH212" s="411"/>
      <c r="BI212" s="411"/>
      <c r="BJ212" s="399"/>
      <c r="BK212" s="399"/>
      <c r="BL212" s="399"/>
      <c r="BM212" s="409" t="s">
        <v>4483</v>
      </c>
      <c r="BN212" s="399"/>
      <c r="BO212" s="399"/>
      <c r="BP212" s="399"/>
      <c r="BQ212" s="399"/>
      <c r="BR212" s="399"/>
      <c r="BS212" s="407"/>
      <c r="BT212" s="407"/>
      <c r="BU212" s="412"/>
      <c r="BV212" s="46" t="str">
        <f t="shared" si="8"/>
        <v/>
      </c>
      <c r="BW212" s="46">
        <f t="shared" si="9"/>
        <v>0</v>
      </c>
      <c r="BX212" s="46">
        <f t="shared" si="10"/>
        <v>0</v>
      </c>
      <c r="BY212" s="43" t="str">
        <f t="shared" si="11"/>
        <v>WHO-FP Condition (Medical Eligibility)</v>
      </c>
      <c r="BZ212" s="46">
        <f t="shared" si="12"/>
        <v>1</v>
      </c>
      <c r="CA212" s="46" t="str">
        <f t="shared" si="13"/>
        <v/>
      </c>
      <c r="CB212" s="46">
        <f t="shared" si="14"/>
        <v>1</v>
      </c>
      <c r="CC212" s="46">
        <f t="shared" si="15"/>
        <v>1</v>
      </c>
      <c r="CD212" s="46">
        <f t="shared" si="16"/>
        <v>1</v>
      </c>
      <c r="CE212" s="46">
        <f t="shared" si="17"/>
        <v>0</v>
      </c>
      <c r="CF212" s="46">
        <f t="shared" si="18"/>
        <v>0</v>
      </c>
      <c r="CG212" s="46" t="str">
        <f ca="1">IFERROR(__xludf.DUMMYFUNCTION("if(OR(BH212="""",LEFT(BH212,2)=""LA""),"""",IMPORTXML(CONCATENATE(""https://loinc.org/"",BH212,""/""),""//span[@id='lcn']""))"),"")</f>
        <v/>
      </c>
      <c r="CH212" s="46"/>
      <c r="CI212" s="46"/>
      <c r="CJ212" s="46"/>
      <c r="CK212" s="46"/>
      <c r="CL212" s="46"/>
      <c r="CM212" s="46"/>
      <c r="CN212" s="46"/>
      <c r="CO212" s="46"/>
      <c r="CP212" s="46"/>
      <c r="CQ212" s="46"/>
      <c r="CR212" s="46"/>
      <c r="CS212" s="46"/>
      <c r="CT212" s="46"/>
      <c r="CU212" s="46"/>
    </row>
    <row r="213" spans="1:99" ht="12.75" customHeight="1">
      <c r="A213" s="399">
        <v>1429</v>
      </c>
      <c r="B213" s="399" t="s">
        <v>4484</v>
      </c>
      <c r="C213" s="399">
        <f t="shared" si="42"/>
        <v>1429</v>
      </c>
      <c r="D213" s="399" t="e">
        <f t="shared" ca="1" si="43"/>
        <v>#NAME?</v>
      </c>
      <c r="E213" s="399" t="str">
        <f t="shared" si="44"/>
        <v>History of hypertension</v>
      </c>
      <c r="F213" s="409" t="s">
        <v>180</v>
      </c>
      <c r="G213" s="400">
        <f t="shared" si="45"/>
        <v>23</v>
      </c>
      <c r="H213" s="399" t="str">
        <f t="shared" si="46"/>
        <v>Current conditions affecting Medical Eligibility</v>
      </c>
      <c r="I213" s="400"/>
      <c r="J213" s="400"/>
      <c r="K213" s="401" t="s">
        <v>3333</v>
      </c>
      <c r="L213" s="402" t="s">
        <v>4485</v>
      </c>
      <c r="M213" s="400"/>
      <c r="N213" s="427" t="s">
        <v>4417</v>
      </c>
      <c r="O213" s="428"/>
      <c r="P213" s="407" t="s">
        <v>4486</v>
      </c>
      <c r="Q213" s="403" t="s">
        <v>4484</v>
      </c>
      <c r="R213" s="403"/>
      <c r="S213" s="403" t="s">
        <v>4487</v>
      </c>
      <c r="T213" s="407" t="s">
        <v>3169</v>
      </c>
      <c r="U213" s="407"/>
      <c r="V213" s="407" t="s">
        <v>3170</v>
      </c>
      <c r="W213" s="407"/>
      <c r="X213" s="407"/>
      <c r="Y213" s="407"/>
      <c r="Z213" s="403" t="s">
        <v>113</v>
      </c>
      <c r="AA213" s="407" t="s">
        <v>3178</v>
      </c>
      <c r="AB213" s="406" t="s">
        <v>4488</v>
      </c>
      <c r="AC213" s="407"/>
      <c r="AD213" s="407"/>
      <c r="AE213" s="408"/>
      <c r="AF213" s="407" t="s">
        <v>4489</v>
      </c>
      <c r="AG213" s="407" t="s">
        <v>3851</v>
      </c>
      <c r="AH213" s="399"/>
      <c r="AI213" s="400"/>
      <c r="AJ213" s="399"/>
      <c r="AK213" s="440"/>
      <c r="AL213" s="409"/>
      <c r="AM213" s="409"/>
      <c r="AN213" s="409"/>
      <c r="AO213" s="399"/>
      <c r="AP213" s="409"/>
      <c r="AQ213" s="409" t="s">
        <v>3130</v>
      </c>
      <c r="AR213" s="409" t="s">
        <v>4478</v>
      </c>
      <c r="AS213" s="409"/>
      <c r="AT213" s="399"/>
      <c r="AU213" s="399" t="s">
        <v>4484</v>
      </c>
      <c r="AV213" s="399" t="str">
        <f t="shared" si="47"/>
        <v>Same</v>
      </c>
      <c r="AW213" s="399"/>
      <c r="AX213" s="409" t="s">
        <v>3343</v>
      </c>
      <c r="AY213" s="399" t="e">
        <f t="shared" ca="1" si="48"/>
        <v>#NAME?</v>
      </c>
      <c r="AZ213" s="399"/>
      <c r="BA213" s="409">
        <v>1</v>
      </c>
      <c r="BB213" s="399"/>
      <c r="BC213" s="399"/>
      <c r="BD213" s="409" t="s">
        <v>3162</v>
      </c>
      <c r="BE213" s="411" t="s">
        <v>4490</v>
      </c>
      <c r="BF213" s="411" t="s">
        <v>4088</v>
      </c>
      <c r="BG213" s="411" t="s">
        <v>4491</v>
      </c>
      <c r="BH213" s="411"/>
      <c r="BI213" s="411"/>
      <c r="BJ213" s="409"/>
      <c r="BK213" s="399"/>
      <c r="BL213" s="399"/>
      <c r="BM213" s="399"/>
      <c r="BN213" s="399"/>
      <c r="BO213" s="399">
        <v>156639</v>
      </c>
      <c r="BP213" s="399"/>
      <c r="BQ213" s="399"/>
      <c r="BR213" s="399" t="s">
        <v>4493</v>
      </c>
      <c r="BS213" s="407"/>
      <c r="BT213" s="407"/>
      <c r="BU213" s="412"/>
      <c r="BV213" s="46" t="str">
        <f t="shared" si="8"/>
        <v/>
      </c>
      <c r="BW213" s="46">
        <f t="shared" si="9"/>
        <v>0</v>
      </c>
      <c r="BX213" s="46">
        <f t="shared" si="10"/>
        <v>0</v>
      </c>
      <c r="BY213" s="43" t="str">
        <f t="shared" si="11"/>
        <v>WHO-FP Condition (Medical Eligibility)</v>
      </c>
      <c r="BZ213" s="46">
        <f t="shared" si="12"/>
        <v>1</v>
      </c>
      <c r="CA213" s="46" t="str">
        <f t="shared" si="13"/>
        <v/>
      </c>
      <c r="CB213" s="46">
        <f t="shared" si="14"/>
        <v>1</v>
      </c>
      <c r="CC213" s="46">
        <f t="shared" si="15"/>
        <v>1</v>
      </c>
      <c r="CD213" s="46">
        <f t="shared" si="16"/>
        <v>1</v>
      </c>
      <c r="CE213" s="46">
        <f t="shared" si="17"/>
        <v>0</v>
      </c>
      <c r="CF213" s="46">
        <f t="shared" si="18"/>
        <v>0</v>
      </c>
      <c r="CG213" s="46" t="str">
        <f ca="1">IFERROR(__xludf.DUMMYFUNCTION("if(OR(BH213="""",LEFT(BH213,2)=""LA""),"""",IMPORTXML(CONCATENATE(""https://loinc.org/"",BH213,""/""),""//span[@id='lcn']""))"),"")</f>
        <v/>
      </c>
      <c r="CH213" s="46"/>
      <c r="CI213" s="46"/>
      <c r="CJ213" s="46"/>
      <c r="CK213" s="46"/>
      <c r="CL213" s="46"/>
      <c r="CM213" s="46"/>
      <c r="CN213" s="46"/>
      <c r="CO213" s="46"/>
      <c r="CP213" s="46"/>
      <c r="CQ213" s="46"/>
      <c r="CR213" s="46"/>
      <c r="CS213" s="46"/>
      <c r="CT213" s="46"/>
      <c r="CU213" s="46"/>
    </row>
    <row r="214" spans="1:99" ht="12.75" customHeight="1">
      <c r="A214" s="399">
        <v>1458</v>
      </c>
      <c r="B214" s="399" t="s">
        <v>4494</v>
      </c>
      <c r="C214" s="399">
        <f t="shared" si="42"/>
        <v>1458</v>
      </c>
      <c r="D214" s="399" t="str">
        <f t="shared" si="43"/>
        <v>No sexual contact since last delivery</v>
      </c>
      <c r="E214" s="399" t="str">
        <f t="shared" si="44"/>
        <v>No sexual contact since last delivery</v>
      </c>
      <c r="F214" s="399" t="str">
        <f t="shared" ref="F214:F215" si="49">IF(AND(ISBLANK(V214)=FALSE,OR(T214="MC",T214="")),"Input Option","Data Element")</f>
        <v>Data Element</v>
      </c>
      <c r="G214" s="400">
        <f t="shared" si="45"/>
        <v>37</v>
      </c>
      <c r="H214" s="400" t="str">
        <f t="shared" si="46"/>
        <v/>
      </c>
      <c r="I214" s="400"/>
      <c r="J214" s="400"/>
      <c r="K214" s="401" t="s">
        <v>3333</v>
      </c>
      <c r="L214" s="402" t="s">
        <v>3499</v>
      </c>
      <c r="M214" s="400"/>
      <c r="N214" s="427" t="s">
        <v>4417</v>
      </c>
      <c r="O214" s="428"/>
      <c r="P214" s="405" t="s">
        <v>4496</v>
      </c>
      <c r="Q214" s="432" t="s">
        <v>4494</v>
      </c>
      <c r="R214" s="436"/>
      <c r="S214" s="473"/>
      <c r="T214" s="407" t="s">
        <v>4497</v>
      </c>
      <c r="U214" s="407"/>
      <c r="V214" s="407" t="s">
        <v>3170</v>
      </c>
      <c r="W214" s="407"/>
      <c r="X214" s="403" t="s">
        <v>208</v>
      </c>
      <c r="Y214" s="403"/>
      <c r="Z214" s="403" t="s">
        <v>113</v>
      </c>
      <c r="AA214" s="403" t="s">
        <v>3178</v>
      </c>
      <c r="AB214" s="408"/>
      <c r="AC214" s="407"/>
      <c r="AD214" s="403"/>
      <c r="AE214" s="406"/>
      <c r="AF214" s="407"/>
      <c r="AG214" s="407"/>
      <c r="AH214" s="399"/>
      <c r="AI214" s="400"/>
      <c r="AJ214" s="399"/>
      <c r="AK214" s="409" t="s">
        <v>3916</v>
      </c>
      <c r="AL214" s="409"/>
      <c r="AM214" s="409" t="s">
        <v>3100</v>
      </c>
      <c r="AN214" s="409" t="s">
        <v>3101</v>
      </c>
      <c r="AO214" s="399"/>
      <c r="AP214" s="399"/>
      <c r="AQ214" s="409" t="s">
        <v>115</v>
      </c>
      <c r="AR214" s="399"/>
      <c r="AS214" s="399"/>
      <c r="AT214" s="399"/>
      <c r="AU214" s="399" t="s">
        <v>4494</v>
      </c>
      <c r="AV214" s="399" t="str">
        <f t="shared" si="47"/>
        <v>Same</v>
      </c>
      <c r="AW214" s="399"/>
      <c r="AX214" s="409" t="s">
        <v>3343</v>
      </c>
      <c r="AY214" s="399" t="str">
        <f t="shared" si="48"/>
        <v/>
      </c>
      <c r="AZ214" s="399"/>
      <c r="BA214" s="409">
        <v>0</v>
      </c>
      <c r="BB214" s="399"/>
      <c r="BC214" s="399"/>
      <c r="BD214" s="399"/>
      <c r="BE214" s="411"/>
      <c r="BF214" s="411"/>
      <c r="BG214" s="411"/>
      <c r="BH214" s="434" t="s">
        <v>4498</v>
      </c>
      <c r="BI214" s="411"/>
      <c r="BJ214" s="399"/>
      <c r="BK214" s="409" t="s">
        <v>4499</v>
      </c>
      <c r="BL214" s="399"/>
      <c r="BM214" s="399"/>
      <c r="BN214" s="399"/>
      <c r="BO214" s="399"/>
      <c r="BP214" s="399"/>
      <c r="BQ214" s="399"/>
      <c r="BR214" s="399"/>
      <c r="BS214" s="407"/>
      <c r="BT214" s="407"/>
      <c r="BU214" s="412"/>
      <c r="BV214" s="46" t="str">
        <f t="shared" si="8"/>
        <v/>
      </c>
      <c r="BW214" s="46" t="str">
        <f t="shared" si="9"/>
        <v/>
      </c>
      <c r="BX214" s="46" t="str">
        <f t="shared" si="10"/>
        <v/>
      </c>
      <c r="BY214" s="43">
        <f t="shared" si="11"/>
        <v>0</v>
      </c>
      <c r="BZ214" s="46">
        <f t="shared" si="12"/>
        <v>1</v>
      </c>
      <c r="CA214" s="46">
        <f t="shared" si="13"/>
        <v>0</v>
      </c>
      <c r="CB214" s="46">
        <f t="shared" si="14"/>
        <v>1</v>
      </c>
      <c r="CC214" s="46">
        <f t="shared" si="15"/>
        <v>1</v>
      </c>
      <c r="CD214" s="46">
        <f t="shared" si="16"/>
        <v>1</v>
      </c>
      <c r="CE214" s="46">
        <f t="shared" si="17"/>
        <v>0</v>
      </c>
      <c r="CF214" s="46">
        <f t="shared" si="18"/>
        <v>0</v>
      </c>
      <c r="CG214" s="46" t="str">
        <f ca="1">IFERROR(__xludf.DUMMYFUNCTION("if(OR(BH214="""",LEFT(BH214,2)=""LA""),"""",IMPORTXML(CONCATENATE(""https://loinc.org/"",BH214,""/""),""//span[@id='lcn']""))"),"")</f>
        <v/>
      </c>
      <c r="CH214" s="46"/>
      <c r="CI214" s="46"/>
      <c r="CJ214" s="46"/>
      <c r="CK214" s="46"/>
      <c r="CL214" s="46"/>
      <c r="CM214" s="46"/>
      <c r="CN214" s="46"/>
      <c r="CO214" s="46"/>
      <c r="CP214" s="46"/>
      <c r="CQ214" s="46"/>
      <c r="CR214" s="46"/>
      <c r="CS214" s="46"/>
      <c r="CT214" s="46"/>
      <c r="CU214" s="46"/>
    </row>
    <row r="215" spans="1:99" ht="12.75" customHeight="1">
      <c r="A215" s="399">
        <v>1459</v>
      </c>
      <c r="B215" s="399" t="s">
        <v>4501</v>
      </c>
      <c r="C215" s="399">
        <f t="shared" si="42"/>
        <v>1459</v>
      </c>
      <c r="D215" s="399" t="str">
        <f t="shared" si="43"/>
        <v>No sexual contact since last miscarriage or abortion</v>
      </c>
      <c r="E215" s="399" t="str">
        <f t="shared" si="44"/>
        <v>No sexual contact since last miscarriage or abortion</v>
      </c>
      <c r="F215" s="399" t="str">
        <f t="shared" si="49"/>
        <v>Data Element</v>
      </c>
      <c r="G215" s="400">
        <f t="shared" si="45"/>
        <v>52</v>
      </c>
      <c r="H215" s="400" t="str">
        <f t="shared" si="46"/>
        <v/>
      </c>
      <c r="I215" s="400"/>
      <c r="J215" s="400"/>
      <c r="K215" s="401" t="s">
        <v>3333</v>
      </c>
      <c r="L215" s="402" t="s">
        <v>3499</v>
      </c>
      <c r="M215" s="400"/>
      <c r="N215" s="427" t="s">
        <v>4417</v>
      </c>
      <c r="O215" s="428"/>
      <c r="P215" s="405" t="s">
        <v>4502</v>
      </c>
      <c r="Q215" s="432" t="s">
        <v>4501</v>
      </c>
      <c r="R215" s="436"/>
      <c r="S215" s="474"/>
      <c r="T215" s="407" t="s">
        <v>4497</v>
      </c>
      <c r="U215" s="407"/>
      <c r="V215" s="407" t="s">
        <v>3170</v>
      </c>
      <c r="W215" s="407"/>
      <c r="X215" s="403" t="s">
        <v>208</v>
      </c>
      <c r="Y215" s="403"/>
      <c r="Z215" s="403" t="s">
        <v>113</v>
      </c>
      <c r="AA215" s="403" t="s">
        <v>3178</v>
      </c>
      <c r="AB215" s="408"/>
      <c r="AC215" s="407"/>
      <c r="AD215" s="403"/>
      <c r="AE215" s="406"/>
      <c r="AF215" s="407"/>
      <c r="AG215" s="407"/>
      <c r="AH215" s="399"/>
      <c r="AI215" s="400"/>
      <c r="AJ215" s="399"/>
      <c r="AK215" s="409" t="s">
        <v>3916</v>
      </c>
      <c r="AL215" s="409"/>
      <c r="AM215" s="409" t="s">
        <v>3100</v>
      </c>
      <c r="AN215" s="409" t="s">
        <v>3101</v>
      </c>
      <c r="AO215" s="399"/>
      <c r="AP215" s="399"/>
      <c r="AQ215" s="409" t="s">
        <v>115</v>
      </c>
      <c r="AR215" s="399"/>
      <c r="AS215" s="399"/>
      <c r="AT215" s="399"/>
      <c r="AU215" s="399" t="s">
        <v>4501</v>
      </c>
      <c r="AV215" s="399" t="str">
        <f t="shared" si="47"/>
        <v>Same</v>
      </c>
      <c r="AW215" s="399"/>
      <c r="AX215" s="409" t="s">
        <v>3343</v>
      </c>
      <c r="AY215" s="399" t="str">
        <f t="shared" si="48"/>
        <v/>
      </c>
      <c r="AZ215" s="399"/>
      <c r="BA215" s="409">
        <v>0</v>
      </c>
      <c r="BB215" s="399"/>
      <c r="BC215" s="399"/>
      <c r="BD215" s="399"/>
      <c r="BE215" s="411"/>
      <c r="BF215" s="411"/>
      <c r="BG215" s="411"/>
      <c r="BH215" s="434" t="s">
        <v>4503</v>
      </c>
      <c r="BI215" s="411"/>
      <c r="BJ215" s="399"/>
      <c r="BK215" s="409" t="s">
        <v>4504</v>
      </c>
      <c r="BL215" s="399"/>
      <c r="BM215" s="399"/>
      <c r="BN215" s="399"/>
      <c r="BO215" s="399"/>
      <c r="BP215" s="399"/>
      <c r="BQ215" s="399"/>
      <c r="BR215" s="399"/>
      <c r="BS215" s="407"/>
      <c r="BT215" s="407"/>
      <c r="BU215" s="412"/>
      <c r="BV215" s="46" t="str">
        <f t="shared" si="8"/>
        <v/>
      </c>
      <c r="BW215" s="46" t="str">
        <f t="shared" si="9"/>
        <v/>
      </c>
      <c r="BX215" s="46" t="str">
        <f t="shared" si="10"/>
        <v/>
      </c>
      <c r="BY215" s="43">
        <f t="shared" si="11"/>
        <v>0</v>
      </c>
      <c r="BZ215" s="46">
        <f t="shared" si="12"/>
        <v>1</v>
      </c>
      <c r="CA215" s="46">
        <f t="shared" si="13"/>
        <v>1</v>
      </c>
      <c r="CB215" s="46">
        <f t="shared" si="14"/>
        <v>1</v>
      </c>
      <c r="CC215" s="46">
        <f t="shared" si="15"/>
        <v>1</v>
      </c>
      <c r="CD215" s="46">
        <f t="shared" si="16"/>
        <v>1</v>
      </c>
      <c r="CE215" s="46">
        <f t="shared" si="17"/>
        <v>0</v>
      </c>
      <c r="CF215" s="46">
        <f t="shared" si="18"/>
        <v>0</v>
      </c>
      <c r="CG215" s="46" t="str">
        <f ca="1">IFERROR(__xludf.DUMMYFUNCTION("if(OR(BH215="""",LEFT(BH215,2)=""LA""),"""",IMPORTXML(CONCATENATE(""https://loinc.org/"",BH215,""/""),""//span[@id='lcn']""))"),"#N/A")</f>
        <v>#N/A</v>
      </c>
      <c r="CH215" s="46"/>
      <c r="CI215" s="46"/>
      <c r="CJ215" s="46"/>
      <c r="CK215" s="46"/>
      <c r="CL215" s="46"/>
      <c r="CM215" s="46"/>
      <c r="CN215" s="46"/>
      <c r="CO215" s="46"/>
      <c r="CP215" s="46"/>
      <c r="CQ215" s="46"/>
      <c r="CR215" s="46"/>
      <c r="CS215" s="46"/>
      <c r="CT215" s="46"/>
      <c r="CU215" s="46"/>
    </row>
    <row r="216" spans="1:99" ht="12.75" customHeight="1">
      <c r="A216" s="399">
        <v>1354</v>
      </c>
      <c r="B216" s="399" t="s">
        <v>4505</v>
      </c>
      <c r="C216" s="399">
        <f t="shared" si="42"/>
        <v>1354</v>
      </c>
      <c r="D216" s="399" t="e">
        <f t="shared" ca="1" si="43"/>
        <v>#NAME?</v>
      </c>
      <c r="E216" s="399" t="str">
        <f t="shared" si="44"/>
        <v>Past ectopic pregnancy</v>
      </c>
      <c r="F216" s="410" t="s">
        <v>180</v>
      </c>
      <c r="G216" s="400">
        <v>23</v>
      </c>
      <c r="H216" s="399" t="s">
        <v>4475</v>
      </c>
      <c r="I216" s="400"/>
      <c r="J216" s="400"/>
      <c r="K216" s="410" t="s">
        <v>3333</v>
      </c>
      <c r="L216" s="402" t="s">
        <v>3489</v>
      </c>
      <c r="M216" s="400"/>
      <c r="N216" s="427" t="s">
        <v>4417</v>
      </c>
      <c r="O216" s="428"/>
      <c r="P216" s="405" t="s">
        <v>4506</v>
      </c>
      <c r="Q216" s="405" t="s">
        <v>4505</v>
      </c>
      <c r="R216" s="403"/>
      <c r="S216" s="403"/>
      <c r="T216" s="403" t="s">
        <v>3169</v>
      </c>
      <c r="U216" s="407"/>
      <c r="V216" s="407" t="s">
        <v>3170</v>
      </c>
      <c r="W216" s="407"/>
      <c r="X216" s="405" t="s">
        <v>208</v>
      </c>
      <c r="Y216" s="403"/>
      <c r="Z216" s="403" t="s">
        <v>113</v>
      </c>
      <c r="AA216" s="403" t="s">
        <v>3178</v>
      </c>
      <c r="AB216" s="408"/>
      <c r="AC216" s="407"/>
      <c r="AD216" s="403"/>
      <c r="AE216" s="406"/>
      <c r="AF216" s="432" t="s">
        <v>4507</v>
      </c>
      <c r="AG216" s="407"/>
      <c r="AH216" s="399"/>
      <c r="AI216" s="400"/>
      <c r="AJ216" s="399"/>
      <c r="AK216" s="440"/>
      <c r="AL216" s="403"/>
      <c r="AM216" s="403"/>
      <c r="AN216" s="403"/>
      <c r="AO216" s="399"/>
      <c r="AP216" s="409"/>
      <c r="AQ216" s="409" t="s">
        <v>3130</v>
      </c>
      <c r="AR216" s="409" t="s">
        <v>4478</v>
      </c>
      <c r="AS216" s="409"/>
      <c r="AT216" s="399"/>
      <c r="AU216" s="399" t="s">
        <v>4505</v>
      </c>
      <c r="AV216" s="399" t="str">
        <f t="shared" si="47"/>
        <v>Same</v>
      </c>
      <c r="AW216" s="399"/>
      <c r="AX216" s="409" t="s">
        <v>3343</v>
      </c>
      <c r="AY216" s="399" t="e">
        <f t="shared" ca="1" si="48"/>
        <v>#NAME?</v>
      </c>
      <c r="AZ216" s="399"/>
      <c r="BA216" s="409">
        <v>1</v>
      </c>
      <c r="BB216" s="399"/>
      <c r="BC216" s="399"/>
      <c r="BD216" s="399" t="s">
        <v>4508</v>
      </c>
      <c r="BE216" s="411" t="s">
        <v>4509</v>
      </c>
      <c r="BF216" s="411" t="s">
        <v>4088</v>
      </c>
      <c r="BG216" s="411" t="s">
        <v>4510</v>
      </c>
      <c r="BH216" s="411"/>
      <c r="BI216" s="411"/>
      <c r="BJ216" s="399"/>
      <c r="BK216" s="399"/>
      <c r="BL216" s="399"/>
      <c r="BM216" s="399"/>
      <c r="BN216" s="399"/>
      <c r="BO216" s="399">
        <v>158905</v>
      </c>
      <c r="BP216" s="399"/>
      <c r="BQ216" s="399"/>
      <c r="BR216" s="399" t="s">
        <v>4511</v>
      </c>
      <c r="BS216" s="407"/>
      <c r="BT216" s="407"/>
      <c r="BU216" s="412"/>
      <c r="BV216" s="46" t="str">
        <f t="shared" si="8"/>
        <v/>
      </c>
      <c r="BW216" s="46">
        <f t="shared" si="9"/>
        <v>0</v>
      </c>
      <c r="BX216" s="46">
        <f t="shared" si="10"/>
        <v>0</v>
      </c>
      <c r="BY216" s="43" t="str">
        <f t="shared" si="11"/>
        <v>WHO-FP Condition (Medical Eligibility)</v>
      </c>
      <c r="BZ216" s="46">
        <f t="shared" si="12"/>
        <v>1</v>
      </c>
      <c r="CA216" s="46" t="str">
        <f t="shared" si="13"/>
        <v/>
      </c>
      <c r="CB216" s="46">
        <f t="shared" si="14"/>
        <v>1</v>
      </c>
      <c r="CC216" s="46">
        <f t="shared" si="15"/>
        <v>1</v>
      </c>
      <c r="CD216" s="46">
        <f t="shared" si="16"/>
        <v>1</v>
      </c>
      <c r="CE216" s="46">
        <f t="shared" si="17"/>
        <v>0</v>
      </c>
      <c r="CF216" s="46">
        <f t="shared" si="18"/>
        <v>0</v>
      </c>
      <c r="CG216" s="46" t="str">
        <f ca="1">IFERROR(__xludf.DUMMYFUNCTION("if(OR(BH216="""",LEFT(BH216,2)=""LA""),"""",IMPORTXML(CONCATENATE(""https://loinc.org/"",BH216,""/""),""//span[@id='lcn']""))"),"")</f>
        <v/>
      </c>
      <c r="CH216" s="46"/>
      <c r="CI216" s="46"/>
      <c r="CJ216" s="46"/>
      <c r="CK216" s="46"/>
      <c r="CL216" s="46"/>
      <c r="CM216" s="46"/>
      <c r="CN216" s="46"/>
      <c r="CO216" s="46"/>
      <c r="CP216" s="46"/>
      <c r="CQ216" s="46"/>
      <c r="CR216" s="46"/>
      <c r="CS216" s="46"/>
      <c r="CT216" s="46"/>
      <c r="CU216" s="46"/>
    </row>
    <row r="217" spans="1:99" ht="12.75" customHeight="1">
      <c r="A217" s="399">
        <v>1355</v>
      </c>
      <c r="B217" s="399" t="s">
        <v>4512</v>
      </c>
      <c r="C217" s="399">
        <f t="shared" si="42"/>
        <v>1355</v>
      </c>
      <c r="D217" s="399" t="e">
        <f t="shared" ca="1" si="43"/>
        <v>#NAME?</v>
      </c>
      <c r="E217" s="399" t="str">
        <f t="shared" si="44"/>
        <v>History of pelvic surgery</v>
      </c>
      <c r="F217" s="410" t="s">
        <v>180</v>
      </c>
      <c r="G217" s="400">
        <v>23</v>
      </c>
      <c r="H217" s="399" t="s">
        <v>4475</v>
      </c>
      <c r="I217" s="400"/>
      <c r="J217" s="400"/>
      <c r="K217" s="401" t="s">
        <v>3333</v>
      </c>
      <c r="L217" s="402" t="s">
        <v>3489</v>
      </c>
      <c r="M217" s="400"/>
      <c r="N217" s="427" t="s">
        <v>4417</v>
      </c>
      <c r="O217" s="428"/>
      <c r="P217" s="405" t="s">
        <v>4513</v>
      </c>
      <c r="Q217" s="405" t="s">
        <v>4512</v>
      </c>
      <c r="R217" s="403"/>
      <c r="S217" s="403"/>
      <c r="T217" s="403" t="s">
        <v>3169</v>
      </c>
      <c r="U217" s="407"/>
      <c r="V217" s="407" t="s">
        <v>3170</v>
      </c>
      <c r="W217" s="407"/>
      <c r="X217" s="405" t="s">
        <v>208</v>
      </c>
      <c r="Y217" s="403"/>
      <c r="Z217" s="403" t="s">
        <v>113</v>
      </c>
      <c r="AA217" s="403" t="s">
        <v>3178</v>
      </c>
      <c r="AB217" s="408"/>
      <c r="AC217" s="407"/>
      <c r="AD217" s="403"/>
      <c r="AE217" s="406"/>
      <c r="AF217" s="432" t="s">
        <v>4514</v>
      </c>
      <c r="AG217" s="407"/>
      <c r="AH217" s="399"/>
      <c r="AI217" s="400"/>
      <c r="AJ217" s="399"/>
      <c r="AK217" s="475"/>
      <c r="AL217" s="409"/>
      <c r="AM217" s="409"/>
      <c r="AN217" s="409"/>
      <c r="AO217" s="399"/>
      <c r="AP217" s="409"/>
      <c r="AQ217" s="409" t="s">
        <v>3130</v>
      </c>
      <c r="AR217" s="409" t="s">
        <v>4478</v>
      </c>
      <c r="AS217" s="409"/>
      <c r="AT217" s="399"/>
      <c r="AU217" s="399" t="s">
        <v>4512</v>
      </c>
      <c r="AV217" s="399" t="str">
        <f t="shared" si="47"/>
        <v>Same</v>
      </c>
      <c r="AW217" s="399"/>
      <c r="AX217" s="409" t="s">
        <v>3343</v>
      </c>
      <c r="AY217" s="399" t="e">
        <f t="shared" ca="1" si="48"/>
        <v>#NAME?</v>
      </c>
      <c r="AZ217" s="399"/>
      <c r="BA217" s="409">
        <v>1</v>
      </c>
      <c r="BB217" s="399"/>
      <c r="BC217" s="399"/>
      <c r="BD217" s="399" t="s">
        <v>4515</v>
      </c>
      <c r="BE217" s="411"/>
      <c r="BF217" s="411"/>
      <c r="BG217" s="411" t="s">
        <v>4516</v>
      </c>
      <c r="BH217" s="411"/>
      <c r="BI217" s="411"/>
      <c r="BJ217" s="399"/>
      <c r="BK217" s="399"/>
      <c r="BL217" s="399"/>
      <c r="BM217" s="399"/>
      <c r="BN217" s="399"/>
      <c r="BO217" s="399"/>
      <c r="BP217" s="399"/>
      <c r="BQ217" s="399"/>
      <c r="BR217" s="399"/>
      <c r="BS217" s="407"/>
      <c r="BT217" s="407"/>
      <c r="BU217" s="412"/>
      <c r="BV217" s="46" t="str">
        <f t="shared" si="8"/>
        <v/>
      </c>
      <c r="BW217" s="46">
        <f t="shared" si="9"/>
        <v>0</v>
      </c>
      <c r="BX217" s="46">
        <f t="shared" si="10"/>
        <v>0</v>
      </c>
      <c r="BY217" s="43" t="str">
        <f t="shared" si="11"/>
        <v>WHO-FP Condition (Medical Eligibility)</v>
      </c>
      <c r="BZ217" s="46">
        <f t="shared" si="12"/>
        <v>1</v>
      </c>
      <c r="CA217" s="46" t="str">
        <f t="shared" si="13"/>
        <v/>
      </c>
      <c r="CB217" s="46">
        <f t="shared" si="14"/>
        <v>1</v>
      </c>
      <c r="CC217" s="46">
        <f t="shared" si="15"/>
        <v>1</v>
      </c>
      <c r="CD217" s="46">
        <f t="shared" si="16"/>
        <v>1</v>
      </c>
      <c r="CE217" s="46">
        <f t="shared" si="17"/>
        <v>0</v>
      </c>
      <c r="CF217" s="46">
        <f t="shared" si="18"/>
        <v>0</v>
      </c>
      <c r="CG217" s="46" t="str">
        <f ca="1">IFERROR(__xludf.DUMMYFUNCTION("if(OR(BH217="""",LEFT(BH217,2)=""LA""),"""",IMPORTXML(CONCATENATE(""https://loinc.org/"",BH217,""/""),""//span[@id='lcn']""))"),"")</f>
        <v/>
      </c>
      <c r="CH217" s="46"/>
      <c r="CI217" s="46"/>
      <c r="CJ217" s="46"/>
      <c r="CK217" s="46"/>
      <c r="CL217" s="46"/>
      <c r="CM217" s="46"/>
      <c r="CN217" s="46"/>
      <c r="CO217" s="46"/>
      <c r="CP217" s="46"/>
      <c r="CQ217" s="46"/>
      <c r="CR217" s="46"/>
      <c r="CS217" s="46"/>
      <c r="CT217" s="46"/>
      <c r="CU217" s="46"/>
    </row>
    <row r="218" spans="1:99" ht="12.75" customHeight="1">
      <c r="A218" s="399">
        <v>1460</v>
      </c>
      <c r="B218" s="409" t="s">
        <v>4517</v>
      </c>
      <c r="C218" s="399">
        <f t="shared" si="42"/>
        <v>1460</v>
      </c>
      <c r="D218" s="399" t="e">
        <f t="shared" ca="1" si="43"/>
        <v>#NAME?</v>
      </c>
      <c r="E218" s="399" t="str">
        <f t="shared" si="44"/>
        <v>Deep venous thrombosis (DVT)/Pulmonary embolism (PE)</v>
      </c>
      <c r="F218" s="410" t="s">
        <v>180</v>
      </c>
      <c r="G218" s="400">
        <v>23</v>
      </c>
      <c r="H218" s="399" t="s">
        <v>4475</v>
      </c>
      <c r="I218" s="400"/>
      <c r="J218" s="400"/>
      <c r="K218" s="401" t="s">
        <v>3333</v>
      </c>
      <c r="L218" s="402" t="s">
        <v>4518</v>
      </c>
      <c r="M218" s="400"/>
      <c r="N218" s="427" t="s">
        <v>4417</v>
      </c>
      <c r="O218" s="428"/>
      <c r="P218" s="405" t="s">
        <v>4519</v>
      </c>
      <c r="Q218" s="432" t="s">
        <v>4520</v>
      </c>
      <c r="R218" s="436"/>
      <c r="S218" s="407"/>
      <c r="T218" s="407" t="s">
        <v>4497</v>
      </c>
      <c r="U218" s="407"/>
      <c r="V218" s="407" t="s">
        <v>3170</v>
      </c>
      <c r="W218" s="407"/>
      <c r="X218" s="403" t="s">
        <v>208</v>
      </c>
      <c r="Y218" s="407"/>
      <c r="Z218" s="403" t="s">
        <v>113</v>
      </c>
      <c r="AA218" s="407" t="s">
        <v>3178</v>
      </c>
      <c r="AB218" s="432" t="s">
        <v>4521</v>
      </c>
      <c r="AC218" s="421"/>
      <c r="AD218" s="421"/>
      <c r="AE218" s="408"/>
      <c r="AF218" s="407" t="s">
        <v>4489</v>
      </c>
      <c r="AG218" s="407" t="s">
        <v>3851</v>
      </c>
      <c r="AH218" s="399"/>
      <c r="AI218" s="400"/>
      <c r="AJ218" s="399"/>
      <c r="AK218" s="440"/>
      <c r="AL218" s="409"/>
      <c r="AM218" s="409"/>
      <c r="AN218" s="409"/>
      <c r="AO218" s="399"/>
      <c r="AP218" s="409"/>
      <c r="AQ218" s="409" t="s">
        <v>3130</v>
      </c>
      <c r="AR218" s="409" t="s">
        <v>4478</v>
      </c>
      <c r="AS218" s="409"/>
      <c r="AT218" s="399"/>
      <c r="AU218" s="399" t="s">
        <v>4520</v>
      </c>
      <c r="AV218" s="399" t="str">
        <f t="shared" si="47"/>
        <v>Changed</v>
      </c>
      <c r="AW218" s="399"/>
      <c r="AX218" s="409" t="s">
        <v>3343</v>
      </c>
      <c r="AY218" s="399" t="e">
        <f t="shared" ca="1" si="48"/>
        <v>#NAME?</v>
      </c>
      <c r="AZ218" s="399"/>
      <c r="BA218" s="409">
        <v>1</v>
      </c>
      <c r="BB218" s="399"/>
      <c r="BC218" s="399"/>
      <c r="BD218" s="409"/>
      <c r="BE218" s="411" t="s">
        <v>4522</v>
      </c>
      <c r="BF218" s="411" t="s">
        <v>4523</v>
      </c>
      <c r="BG218" s="434" t="s">
        <v>4524</v>
      </c>
      <c r="BH218" s="411"/>
      <c r="BI218" s="411"/>
      <c r="BJ218" s="399"/>
      <c r="BK218" s="399"/>
      <c r="BL218" s="399"/>
      <c r="BM218" s="399"/>
      <c r="BN218" s="466" t="str">
        <f t="shared" ref="BN218:BN219" si="50">HYPERLINK("https://github.com/who-int/Data-Dictionary-Mapping/issues/64","64")</f>
        <v>64</v>
      </c>
      <c r="BO218" s="399">
        <v>159276</v>
      </c>
      <c r="BP218" s="399"/>
      <c r="BQ218" s="399"/>
      <c r="BR218" s="399"/>
      <c r="BS218" s="407"/>
      <c r="BT218" s="407"/>
      <c r="BU218" s="412"/>
      <c r="BV218" s="46" t="str">
        <f t="shared" si="8"/>
        <v/>
      </c>
      <c r="BW218" s="46">
        <f t="shared" si="9"/>
        <v>0</v>
      </c>
      <c r="BX218" s="46">
        <f t="shared" si="10"/>
        <v>0</v>
      </c>
      <c r="BY218" s="43" t="str">
        <f t="shared" si="11"/>
        <v>WHO-FP Condition (Medical Eligibility)</v>
      </c>
      <c r="BZ218" s="46">
        <f t="shared" si="12"/>
        <v>1</v>
      </c>
      <c r="CA218" s="46" t="str">
        <f t="shared" si="13"/>
        <v/>
      </c>
      <c r="CB218" s="46">
        <f t="shared" si="14"/>
        <v>1</v>
      </c>
      <c r="CC218" s="46">
        <f t="shared" si="15"/>
        <v>1</v>
      </c>
      <c r="CD218" s="46">
        <f t="shared" si="16"/>
        <v>1</v>
      </c>
      <c r="CE218" s="46">
        <f t="shared" si="17"/>
        <v>0</v>
      </c>
      <c r="CF218" s="46">
        <f t="shared" si="18"/>
        <v>0</v>
      </c>
      <c r="CG218" s="46" t="str">
        <f ca="1">IFERROR(__xludf.DUMMYFUNCTION("if(OR(BH218="""",LEFT(BH218,2)=""LA""),"""",IMPORTXML(CONCATENATE(""https://loinc.org/"",BH218,""/""),""//span[@id='lcn']""))"),"")</f>
        <v/>
      </c>
      <c r="CH218" s="46"/>
      <c r="CI218" s="46"/>
      <c r="CJ218" s="46"/>
      <c r="CK218" s="46"/>
      <c r="CL218" s="46"/>
      <c r="CM218" s="46"/>
      <c r="CN218" s="46"/>
      <c r="CO218" s="46"/>
      <c r="CP218" s="46"/>
      <c r="CQ218" s="46"/>
      <c r="CR218" s="46"/>
      <c r="CS218" s="46"/>
      <c r="CT218" s="46"/>
      <c r="CU218" s="46"/>
    </row>
    <row r="219" spans="1:99" ht="12.75" customHeight="1">
      <c r="A219" s="413">
        <v>2368</v>
      </c>
      <c r="B219" s="409" t="s">
        <v>4525</v>
      </c>
      <c r="C219" s="399">
        <f t="shared" si="42"/>
        <v>2368</v>
      </c>
      <c r="D219" s="399" t="e">
        <f t="shared" ca="1" si="43"/>
        <v>#NAME?</v>
      </c>
      <c r="E219" s="399" t="str">
        <f t="shared" si="44"/>
        <v>Deep venous thrombosis (DVT)/Pulmonary embolism (PE)</v>
      </c>
      <c r="F219" s="410" t="s">
        <v>180</v>
      </c>
      <c r="G219" s="400">
        <v>23</v>
      </c>
      <c r="H219" s="399" t="s">
        <v>4475</v>
      </c>
      <c r="I219" s="400"/>
      <c r="J219" s="400"/>
      <c r="K219" s="401" t="s">
        <v>3333</v>
      </c>
      <c r="L219" s="402" t="s">
        <v>4518</v>
      </c>
      <c r="M219" s="400"/>
      <c r="N219" s="427" t="s">
        <v>4417</v>
      </c>
      <c r="O219" s="428"/>
      <c r="P219" s="405" t="s">
        <v>4519</v>
      </c>
      <c r="Q219" s="432" t="s">
        <v>4520</v>
      </c>
      <c r="R219" s="436"/>
      <c r="S219" s="407"/>
      <c r="T219" s="407" t="s">
        <v>4497</v>
      </c>
      <c r="U219" s="407"/>
      <c r="V219" s="407" t="s">
        <v>3170</v>
      </c>
      <c r="W219" s="407"/>
      <c r="X219" s="403" t="s">
        <v>208</v>
      </c>
      <c r="Y219" s="407"/>
      <c r="Z219" s="403" t="s">
        <v>113</v>
      </c>
      <c r="AA219" s="407" t="s">
        <v>3178</v>
      </c>
      <c r="AB219" s="432" t="s">
        <v>4521</v>
      </c>
      <c r="AC219" s="421"/>
      <c r="AD219" s="421"/>
      <c r="AE219" s="408"/>
      <c r="AF219" s="407" t="s">
        <v>4489</v>
      </c>
      <c r="AG219" s="407" t="s">
        <v>3851</v>
      </c>
      <c r="AH219" s="399"/>
      <c r="AI219" s="400"/>
      <c r="AJ219" s="399"/>
      <c r="AK219" s="440"/>
      <c r="AL219" s="409"/>
      <c r="AM219" s="409"/>
      <c r="AN219" s="409"/>
      <c r="AO219" s="399"/>
      <c r="AP219" s="409"/>
      <c r="AQ219" s="409" t="s">
        <v>3130</v>
      </c>
      <c r="AR219" s="409" t="s">
        <v>4478</v>
      </c>
      <c r="AS219" s="409"/>
      <c r="AT219" s="399"/>
      <c r="AU219" s="399" t="s">
        <v>4520</v>
      </c>
      <c r="AV219" s="399" t="str">
        <f t="shared" si="47"/>
        <v>Changed</v>
      </c>
      <c r="AW219" s="399"/>
      <c r="AX219" s="409" t="s">
        <v>3343</v>
      </c>
      <c r="AY219" s="399" t="e">
        <f t="shared" ca="1" si="48"/>
        <v>#NAME?</v>
      </c>
      <c r="AZ219" s="399"/>
      <c r="BA219" s="409">
        <v>1</v>
      </c>
      <c r="BB219" s="399"/>
      <c r="BC219" s="399"/>
      <c r="BD219" s="409"/>
      <c r="BE219" s="411"/>
      <c r="BF219" s="411"/>
      <c r="BG219" s="434" t="s">
        <v>4526</v>
      </c>
      <c r="BH219" s="411"/>
      <c r="BI219" s="411"/>
      <c r="BJ219" s="399"/>
      <c r="BK219" s="399"/>
      <c r="BL219" s="399"/>
      <c r="BM219" s="399"/>
      <c r="BN219" s="466" t="str">
        <f t="shared" si="50"/>
        <v>64</v>
      </c>
      <c r="BO219" s="399">
        <v>159276</v>
      </c>
      <c r="BP219" s="399"/>
      <c r="BQ219" s="399"/>
      <c r="BR219" s="399"/>
      <c r="BS219" s="407"/>
      <c r="BT219" s="407"/>
      <c r="BU219" s="412"/>
      <c r="BV219" s="46" t="str">
        <f t="shared" si="8"/>
        <v/>
      </c>
      <c r="BW219" s="46">
        <f t="shared" si="9"/>
        <v>0</v>
      </c>
      <c r="BX219" s="46">
        <f t="shared" si="10"/>
        <v>0</v>
      </c>
      <c r="BY219" s="43" t="str">
        <f t="shared" si="11"/>
        <v>WHO-FP Condition (Medical Eligibility)</v>
      </c>
      <c r="BZ219" s="46">
        <f t="shared" si="12"/>
        <v>1</v>
      </c>
      <c r="CA219" s="46" t="str">
        <f t="shared" si="13"/>
        <v/>
      </c>
      <c r="CB219" s="46">
        <f t="shared" si="14"/>
        <v>1</v>
      </c>
      <c r="CC219" s="46">
        <f t="shared" si="15"/>
        <v>1</v>
      </c>
      <c r="CD219" s="46">
        <f t="shared" si="16"/>
        <v>1</v>
      </c>
      <c r="CE219" s="46">
        <f t="shared" si="17"/>
        <v>0</v>
      </c>
      <c r="CF219" s="46">
        <f t="shared" si="18"/>
        <v>0</v>
      </c>
      <c r="CG219" s="46" t="str">
        <f ca="1">IFERROR(__xludf.DUMMYFUNCTION("if(OR(BH219="""",LEFT(BH219,2)=""LA""),"""",IMPORTXML(CONCATENATE(""https://loinc.org/"",BH219,""/""),""//span[@id='lcn']""))"),"")</f>
        <v/>
      </c>
      <c r="CH219" s="46"/>
      <c r="CI219" s="46"/>
      <c r="CJ219" s="46"/>
      <c r="CK219" s="46"/>
      <c r="CL219" s="46"/>
      <c r="CM219" s="46"/>
      <c r="CN219" s="46"/>
      <c r="CO219" s="46"/>
      <c r="CP219" s="46"/>
      <c r="CQ219" s="46"/>
      <c r="CR219" s="46"/>
      <c r="CS219" s="46"/>
      <c r="CT219" s="46"/>
      <c r="CU219" s="46"/>
    </row>
    <row r="220" spans="1:99" ht="12.75" customHeight="1">
      <c r="A220" s="399">
        <v>1461</v>
      </c>
      <c r="B220" s="399" t="s">
        <v>4527</v>
      </c>
      <c r="C220" s="399">
        <f t="shared" si="42"/>
        <v>1461</v>
      </c>
      <c r="D220" s="399" t="e">
        <f t="shared" ca="1" si="43"/>
        <v>#NAME?</v>
      </c>
      <c r="E220" s="399" t="str">
        <f t="shared" si="44"/>
        <v>History of high blood pressure during pregnancy</v>
      </c>
      <c r="F220" s="410" t="s">
        <v>180</v>
      </c>
      <c r="G220" s="400">
        <v>23</v>
      </c>
      <c r="H220" s="399" t="s">
        <v>4475</v>
      </c>
      <c r="I220" s="400"/>
      <c r="J220" s="400"/>
      <c r="K220" s="401" t="s">
        <v>3333</v>
      </c>
      <c r="L220" s="402" t="s">
        <v>4518</v>
      </c>
      <c r="M220" s="400"/>
      <c r="N220" s="427" t="s">
        <v>4417</v>
      </c>
      <c r="O220" s="428"/>
      <c r="P220" s="405" t="s">
        <v>4528</v>
      </c>
      <c r="Q220" s="432" t="s">
        <v>4527</v>
      </c>
      <c r="R220" s="421"/>
      <c r="S220" s="407"/>
      <c r="T220" s="407" t="s">
        <v>4497</v>
      </c>
      <c r="U220" s="407"/>
      <c r="V220" s="407" t="s">
        <v>3170</v>
      </c>
      <c r="W220" s="407"/>
      <c r="X220" s="403" t="s">
        <v>208</v>
      </c>
      <c r="Y220" s="407"/>
      <c r="Z220" s="403" t="s">
        <v>113</v>
      </c>
      <c r="AA220" s="407" t="s">
        <v>3178</v>
      </c>
      <c r="AB220" s="432" t="s">
        <v>4529</v>
      </c>
      <c r="AC220" s="421"/>
      <c r="AD220" s="421"/>
      <c r="AE220" s="432"/>
      <c r="AF220" s="407"/>
      <c r="AG220" s="407" t="s">
        <v>3851</v>
      </c>
      <c r="AH220" s="399"/>
      <c r="AI220" s="400"/>
      <c r="AJ220" s="399"/>
      <c r="AK220" s="440"/>
      <c r="AL220" s="409"/>
      <c r="AM220" s="409"/>
      <c r="AN220" s="409"/>
      <c r="AO220" s="399"/>
      <c r="AP220" s="409"/>
      <c r="AQ220" s="409" t="s">
        <v>3130</v>
      </c>
      <c r="AR220" s="409" t="s">
        <v>4478</v>
      </c>
      <c r="AS220" s="409"/>
      <c r="AT220" s="399"/>
      <c r="AU220" s="399" t="s">
        <v>4527</v>
      </c>
      <c r="AV220" s="399" t="str">
        <f t="shared" si="47"/>
        <v>Same</v>
      </c>
      <c r="AW220" s="399"/>
      <c r="AX220" s="409" t="s">
        <v>3343</v>
      </c>
      <c r="AY220" s="399" t="e">
        <f t="shared" ca="1" si="48"/>
        <v>#NAME?</v>
      </c>
      <c r="AZ220" s="399"/>
      <c r="BA220" s="409">
        <v>1</v>
      </c>
      <c r="BB220" s="399"/>
      <c r="BC220" s="399"/>
      <c r="BD220" s="399"/>
      <c r="BE220" s="411" t="s">
        <v>4530</v>
      </c>
      <c r="BF220" s="411"/>
      <c r="BG220" s="434" t="s">
        <v>4531</v>
      </c>
      <c r="BH220" s="411"/>
      <c r="BI220" s="411"/>
      <c r="BJ220" s="399"/>
      <c r="BK220" s="399"/>
      <c r="BL220" s="399"/>
      <c r="BM220" s="399"/>
      <c r="BN220" s="399"/>
      <c r="BO220" s="399"/>
      <c r="BP220" s="399"/>
      <c r="BQ220" s="399"/>
      <c r="BR220" s="399"/>
      <c r="BS220" s="407"/>
      <c r="BT220" s="407"/>
      <c r="BU220" s="412"/>
      <c r="BV220" s="46" t="str">
        <f t="shared" si="8"/>
        <v/>
      </c>
      <c r="BW220" s="46">
        <f t="shared" si="9"/>
        <v>0</v>
      </c>
      <c r="BX220" s="46">
        <f t="shared" si="10"/>
        <v>0</v>
      </c>
      <c r="BY220" s="43" t="str">
        <f t="shared" si="11"/>
        <v>WHO-FP Condition (Medical Eligibility)</v>
      </c>
      <c r="BZ220" s="46">
        <f t="shared" si="12"/>
        <v>1</v>
      </c>
      <c r="CA220" s="46" t="str">
        <f t="shared" si="13"/>
        <v/>
      </c>
      <c r="CB220" s="46">
        <f t="shared" si="14"/>
        <v>1</v>
      </c>
      <c r="CC220" s="46">
        <f t="shared" si="15"/>
        <v>1</v>
      </c>
      <c r="CD220" s="46">
        <f t="shared" si="16"/>
        <v>1</v>
      </c>
      <c r="CE220" s="46">
        <f t="shared" si="17"/>
        <v>0</v>
      </c>
      <c r="CF220" s="46">
        <f t="shared" si="18"/>
        <v>0</v>
      </c>
      <c r="CG220" s="46" t="str">
        <f ca="1">IFERROR(__xludf.DUMMYFUNCTION("if(OR(BH220="""",LEFT(BH220,2)=""LA""),"""",IMPORTXML(CONCATENATE(""https://loinc.org/"",BH220,""/""),""//span[@id='lcn']""))"),"")</f>
        <v/>
      </c>
      <c r="CH220" s="46"/>
      <c r="CI220" s="46"/>
      <c r="CJ220" s="46"/>
      <c r="CK220" s="46"/>
      <c r="CL220" s="46"/>
      <c r="CM220" s="46"/>
      <c r="CN220" s="46"/>
      <c r="CO220" s="46"/>
      <c r="CP220" s="46"/>
      <c r="CQ220" s="46"/>
      <c r="CR220" s="46"/>
      <c r="CS220" s="46"/>
      <c r="CT220" s="46"/>
      <c r="CU220" s="46"/>
    </row>
    <row r="221" spans="1:99" ht="12.75" customHeight="1">
      <c r="A221" s="399">
        <v>1462</v>
      </c>
      <c r="B221" s="399" t="s">
        <v>4532</v>
      </c>
      <c r="C221" s="399">
        <f t="shared" si="42"/>
        <v>1462</v>
      </c>
      <c r="D221" s="399" t="str">
        <f t="shared" si="43"/>
        <v>Venous thrombo-embolism category</v>
      </c>
      <c r="E221" s="399" t="str">
        <f t="shared" si="44"/>
        <v>Venous thrombo-embolism category</v>
      </c>
      <c r="F221" s="409" t="s">
        <v>3164</v>
      </c>
      <c r="G221" s="400">
        <f>LEN(B221)</f>
        <v>32</v>
      </c>
      <c r="H221" s="400" t="str">
        <f>IF(F221="Input Option",IF(H220="",B220,H220),"")</f>
        <v/>
      </c>
      <c r="I221" s="400"/>
      <c r="J221" s="400"/>
      <c r="K221" s="401" t="s">
        <v>3333</v>
      </c>
      <c r="L221" s="402" t="s">
        <v>4518</v>
      </c>
      <c r="M221" s="402"/>
      <c r="N221" s="427" t="s">
        <v>4417</v>
      </c>
      <c r="O221" s="428"/>
      <c r="P221" s="405" t="s">
        <v>4533</v>
      </c>
      <c r="Q221" s="403" t="s">
        <v>4532</v>
      </c>
      <c r="R221" s="403"/>
      <c r="S221" s="407" t="s">
        <v>4534</v>
      </c>
      <c r="T221" s="407" t="s">
        <v>3339</v>
      </c>
      <c r="U221" s="432" t="s">
        <v>3326</v>
      </c>
      <c r="V221" s="407"/>
      <c r="W221" s="407"/>
      <c r="X221" s="403" t="s">
        <v>208</v>
      </c>
      <c r="Y221" s="407"/>
      <c r="Z221" s="403" t="s">
        <v>113</v>
      </c>
      <c r="AA221" s="407" t="s">
        <v>3178</v>
      </c>
      <c r="AB221" s="432" t="s">
        <v>4535</v>
      </c>
      <c r="AC221" s="421"/>
      <c r="AD221" s="421"/>
      <c r="AE221" s="408"/>
      <c r="AF221" s="407" t="s">
        <v>4489</v>
      </c>
      <c r="AG221" s="407" t="s">
        <v>3851</v>
      </c>
      <c r="AH221" s="399"/>
      <c r="AI221" s="400"/>
      <c r="AJ221" s="399"/>
      <c r="AK221" s="399"/>
      <c r="AL221" s="409"/>
      <c r="AM221" s="409"/>
      <c r="AN221" s="409"/>
      <c r="AO221" s="399"/>
      <c r="AP221" s="409"/>
      <c r="AQ221" s="409" t="s">
        <v>115</v>
      </c>
      <c r="AR221" s="399"/>
      <c r="AS221" s="399"/>
      <c r="AT221" s="399"/>
      <c r="AU221" s="399" t="s">
        <v>4532</v>
      </c>
      <c r="AV221" s="399" t="str">
        <f t="shared" si="47"/>
        <v>Same</v>
      </c>
      <c r="AW221" s="399"/>
      <c r="AX221" s="409" t="s">
        <v>3343</v>
      </c>
      <c r="AY221" s="399" t="str">
        <f t="shared" si="48"/>
        <v/>
      </c>
      <c r="AZ221" s="399"/>
      <c r="BA221" s="409">
        <v>0</v>
      </c>
      <c r="BB221" s="399"/>
      <c r="BC221" s="399"/>
      <c r="BD221" s="399"/>
      <c r="BE221" s="411"/>
      <c r="BF221" s="411"/>
      <c r="BG221" s="411"/>
      <c r="BH221" s="411"/>
      <c r="BI221" s="411"/>
      <c r="BJ221" s="399" t="s">
        <v>3106</v>
      </c>
      <c r="BK221" s="399"/>
      <c r="BL221" s="399"/>
      <c r="BM221" s="409"/>
      <c r="BN221" s="399"/>
      <c r="BO221" s="399"/>
      <c r="BP221" s="399"/>
      <c r="BQ221" s="399"/>
      <c r="BR221" s="399"/>
      <c r="BS221" s="407"/>
      <c r="BT221" s="407"/>
      <c r="BU221" s="412"/>
      <c r="BV221" s="46" t="str">
        <f t="shared" si="8"/>
        <v/>
      </c>
      <c r="BW221" s="46" t="str">
        <f t="shared" si="9"/>
        <v/>
      </c>
      <c r="BX221" s="46" t="str">
        <f t="shared" si="10"/>
        <v/>
      </c>
      <c r="BY221" s="43" t="str">
        <f t="shared" si="11"/>
        <v/>
      </c>
      <c r="BZ221" s="46">
        <f t="shared" si="12"/>
        <v>1</v>
      </c>
      <c r="CA221" s="46" t="str">
        <f t="shared" si="13"/>
        <v/>
      </c>
      <c r="CB221" s="46">
        <f t="shared" si="14"/>
        <v>1</v>
      </c>
      <c r="CC221" s="46">
        <f t="shared" si="15"/>
        <v>1</v>
      </c>
      <c r="CD221" s="46">
        <f t="shared" si="16"/>
        <v>1</v>
      </c>
      <c r="CE221" s="46">
        <f t="shared" si="17"/>
        <v>0</v>
      </c>
      <c r="CF221" s="46">
        <f t="shared" si="18"/>
        <v>0</v>
      </c>
      <c r="CG221" s="46" t="str">
        <f ca="1">IFERROR(__xludf.DUMMYFUNCTION("if(OR(BH221="""",LEFT(BH221,2)=""LA""),"""",IMPORTXML(CONCATENATE(""https://loinc.org/"",BH221,""/""),""//span[@id='lcn']""))"),"")</f>
        <v/>
      </c>
      <c r="CH221" s="46"/>
      <c r="CI221" s="46"/>
      <c r="CJ221" s="46"/>
      <c r="CK221" s="46"/>
      <c r="CL221" s="46"/>
      <c r="CM221" s="46"/>
      <c r="CN221" s="46"/>
      <c r="CO221" s="46"/>
      <c r="CP221" s="46"/>
      <c r="CQ221" s="46"/>
      <c r="CR221" s="46"/>
      <c r="CS221" s="46"/>
      <c r="CT221" s="46"/>
      <c r="CU221" s="46"/>
    </row>
    <row r="222" spans="1:99" ht="12.75" customHeight="1">
      <c r="A222" s="399">
        <v>1463</v>
      </c>
      <c r="B222" s="409" t="s">
        <v>4536</v>
      </c>
      <c r="C222" s="399">
        <f t="shared" si="42"/>
        <v>1463</v>
      </c>
      <c r="D222" s="399" t="e">
        <f t="shared" ca="1" si="43"/>
        <v>#NAME?</v>
      </c>
      <c r="E222" s="399" t="str">
        <f t="shared" si="44"/>
        <v>History of DVT/PE</v>
      </c>
      <c r="F222" s="410" t="s">
        <v>180</v>
      </c>
      <c r="G222" s="400">
        <v>23</v>
      </c>
      <c r="H222" s="399" t="s">
        <v>4475</v>
      </c>
      <c r="I222" s="400"/>
      <c r="J222" s="400"/>
      <c r="K222" s="401" t="s">
        <v>3333</v>
      </c>
      <c r="L222" s="402" t="s">
        <v>4518</v>
      </c>
      <c r="M222" s="400"/>
      <c r="N222" s="427" t="s">
        <v>4417</v>
      </c>
      <c r="O222" s="428"/>
      <c r="P222" s="405" t="s">
        <v>4537</v>
      </c>
      <c r="Q222" s="403"/>
      <c r="R222" s="403"/>
      <c r="S222" s="432" t="s">
        <v>4538</v>
      </c>
      <c r="T222" s="407"/>
      <c r="U222" s="407"/>
      <c r="V222" s="432" t="s">
        <v>4539</v>
      </c>
      <c r="W222" s="407"/>
      <c r="X222" s="403" t="s">
        <v>208</v>
      </c>
      <c r="Y222" s="407"/>
      <c r="Z222" s="403" t="s">
        <v>113</v>
      </c>
      <c r="AA222" s="407" t="s">
        <v>3178</v>
      </c>
      <c r="AB222" s="408"/>
      <c r="AC222" s="407"/>
      <c r="AD222" s="407"/>
      <c r="AE222" s="408"/>
      <c r="AF222" s="407"/>
      <c r="AG222" s="407"/>
      <c r="AH222" s="399"/>
      <c r="AI222" s="400"/>
      <c r="AJ222" s="399"/>
      <c r="AK222" s="440"/>
      <c r="AL222" s="409"/>
      <c r="AM222" s="409"/>
      <c r="AN222" s="409"/>
      <c r="AO222" s="399"/>
      <c r="AP222" s="409"/>
      <c r="AQ222" s="409" t="s">
        <v>3130</v>
      </c>
      <c r="AR222" s="409" t="s">
        <v>4478</v>
      </c>
      <c r="AS222" s="409"/>
      <c r="AT222" s="399"/>
      <c r="AU222" s="399" t="s">
        <v>4540</v>
      </c>
      <c r="AV222" s="399" t="str">
        <f t="shared" si="47"/>
        <v>Changed</v>
      </c>
      <c r="AW222" s="399"/>
      <c r="AX222" s="409" t="s">
        <v>3343</v>
      </c>
      <c r="AY222" s="399" t="e">
        <f t="shared" ca="1" si="48"/>
        <v>#NAME?</v>
      </c>
      <c r="AZ222" s="399"/>
      <c r="BA222" s="409">
        <v>1</v>
      </c>
      <c r="BB222" s="399"/>
      <c r="BC222" s="399"/>
      <c r="BD222" s="409"/>
      <c r="BE222" s="411" t="s">
        <v>4522</v>
      </c>
      <c r="BF222" s="411" t="s">
        <v>4523</v>
      </c>
      <c r="BG222" s="434" t="s">
        <v>4524</v>
      </c>
      <c r="BH222" s="411"/>
      <c r="BI222" s="411"/>
      <c r="BJ222" s="399"/>
      <c r="BK222" s="399"/>
      <c r="BL222" s="399"/>
      <c r="BM222" s="399"/>
      <c r="BN222" s="466" t="str">
        <f t="shared" ref="BN222:BN225" si="51">HYPERLINK("https://github.com/who-int/Data-Dictionary-Mapping/issues/64","64")</f>
        <v>64</v>
      </c>
      <c r="BO222" s="399"/>
      <c r="BP222" s="399"/>
      <c r="BQ222" s="399"/>
      <c r="BR222" s="399"/>
      <c r="BS222" s="407"/>
      <c r="BT222" s="407"/>
      <c r="BU222" s="412"/>
      <c r="BV222" s="46" t="str">
        <f t="shared" si="8"/>
        <v/>
      </c>
      <c r="BW222" s="46">
        <f t="shared" si="9"/>
        <v>0</v>
      </c>
      <c r="BX222" s="46">
        <f t="shared" si="10"/>
        <v>0</v>
      </c>
      <c r="BY222" s="43" t="str">
        <f t="shared" si="11"/>
        <v>WHO-FP Condition (Medical Eligibility)</v>
      </c>
      <c r="BZ222" s="46">
        <f t="shared" si="12"/>
        <v>1</v>
      </c>
      <c r="CA222" s="46" t="str">
        <f t="shared" si="13"/>
        <v/>
      </c>
      <c r="CB222" s="46">
        <f t="shared" si="14"/>
        <v>1</v>
      </c>
      <c r="CC222" s="46">
        <f t="shared" si="15"/>
        <v>1</v>
      </c>
      <c r="CD222" s="46">
        <f t="shared" si="16"/>
        <v>1</v>
      </c>
      <c r="CE222" s="46">
        <f t="shared" si="17"/>
        <v>0</v>
      </c>
      <c r="CF222" s="46">
        <f t="shared" si="18"/>
        <v>0</v>
      </c>
      <c r="CG222" s="46" t="str">
        <f ca="1">IFERROR(__xludf.DUMMYFUNCTION("if(OR(BH222="""",LEFT(BH222,2)=""LA""),"""",IMPORTXML(CONCATENATE(""https://loinc.org/"",BH222,""/""),""//span[@id='lcn']""))"),"")</f>
        <v/>
      </c>
      <c r="CH222" s="46"/>
      <c r="CI222" s="46"/>
      <c r="CJ222" s="46"/>
      <c r="CK222" s="46"/>
      <c r="CL222" s="46"/>
      <c r="CM222" s="46"/>
      <c r="CN222" s="46"/>
      <c r="CO222" s="46"/>
      <c r="CP222" s="46"/>
      <c r="CQ222" s="46"/>
      <c r="CR222" s="46"/>
      <c r="CS222" s="46"/>
      <c r="CT222" s="46"/>
      <c r="CU222" s="46"/>
    </row>
    <row r="223" spans="1:99" ht="12.75" customHeight="1">
      <c r="A223" s="399">
        <v>2369</v>
      </c>
      <c r="B223" s="409" t="s">
        <v>4541</v>
      </c>
      <c r="C223" s="399">
        <f t="shared" si="42"/>
        <v>2369</v>
      </c>
      <c r="D223" s="399" t="e">
        <f t="shared" ca="1" si="43"/>
        <v>#NAME?</v>
      </c>
      <c r="E223" s="399" t="str">
        <f t="shared" si="44"/>
        <v>History of DVT/PE</v>
      </c>
      <c r="F223" s="410" t="s">
        <v>180</v>
      </c>
      <c r="G223" s="400">
        <v>23</v>
      </c>
      <c r="H223" s="399" t="s">
        <v>4475</v>
      </c>
      <c r="I223" s="400"/>
      <c r="J223" s="400"/>
      <c r="K223" s="401" t="s">
        <v>3333</v>
      </c>
      <c r="L223" s="402" t="s">
        <v>4518</v>
      </c>
      <c r="M223" s="400"/>
      <c r="N223" s="427" t="s">
        <v>4417</v>
      </c>
      <c r="O223" s="428"/>
      <c r="P223" s="405" t="s">
        <v>4537</v>
      </c>
      <c r="Q223" s="403"/>
      <c r="R223" s="403"/>
      <c r="S223" s="432" t="s">
        <v>4538</v>
      </c>
      <c r="T223" s="407"/>
      <c r="U223" s="407"/>
      <c r="V223" s="432" t="s">
        <v>4539</v>
      </c>
      <c r="W223" s="407"/>
      <c r="X223" s="403" t="s">
        <v>208</v>
      </c>
      <c r="Y223" s="407"/>
      <c r="Z223" s="403" t="s">
        <v>113</v>
      </c>
      <c r="AA223" s="407" t="s">
        <v>3178</v>
      </c>
      <c r="AB223" s="408"/>
      <c r="AC223" s="407"/>
      <c r="AD223" s="407"/>
      <c r="AE223" s="408"/>
      <c r="AF223" s="407"/>
      <c r="AG223" s="407"/>
      <c r="AH223" s="399"/>
      <c r="AI223" s="400"/>
      <c r="AJ223" s="399"/>
      <c r="AK223" s="440"/>
      <c r="AL223" s="409"/>
      <c r="AM223" s="409"/>
      <c r="AN223" s="409"/>
      <c r="AO223" s="399"/>
      <c r="AP223" s="409"/>
      <c r="AQ223" s="409" t="s">
        <v>3130</v>
      </c>
      <c r="AR223" s="409" t="s">
        <v>4478</v>
      </c>
      <c r="AS223" s="409"/>
      <c r="AT223" s="399"/>
      <c r="AU223" s="399" t="s">
        <v>4540</v>
      </c>
      <c r="AV223" s="399" t="str">
        <f t="shared" si="47"/>
        <v>Changed</v>
      </c>
      <c r="AW223" s="399"/>
      <c r="AX223" s="409" t="s">
        <v>3343</v>
      </c>
      <c r="AY223" s="399" t="e">
        <f t="shared" ca="1" si="48"/>
        <v>#NAME?</v>
      </c>
      <c r="AZ223" s="399"/>
      <c r="BA223" s="409">
        <v>1</v>
      </c>
      <c r="BB223" s="399"/>
      <c r="BC223" s="399"/>
      <c r="BD223" s="409"/>
      <c r="BE223" s="411"/>
      <c r="BF223" s="411" t="s">
        <v>4523</v>
      </c>
      <c r="BG223" s="434" t="s">
        <v>4526</v>
      </c>
      <c r="BH223" s="411"/>
      <c r="BI223" s="411"/>
      <c r="BJ223" s="399"/>
      <c r="BK223" s="399"/>
      <c r="BL223" s="399"/>
      <c r="BM223" s="399"/>
      <c r="BN223" s="466" t="str">
        <f t="shared" si="51"/>
        <v>64</v>
      </c>
      <c r="BO223" s="399"/>
      <c r="BP223" s="399"/>
      <c r="BQ223" s="399"/>
      <c r="BR223" s="399"/>
      <c r="BS223" s="407"/>
      <c r="BT223" s="407"/>
      <c r="BU223" s="412"/>
      <c r="BV223" s="46" t="str">
        <f t="shared" si="8"/>
        <v/>
      </c>
      <c r="BW223" s="46">
        <f t="shared" si="9"/>
        <v>0</v>
      </c>
      <c r="BX223" s="46">
        <f t="shared" si="10"/>
        <v>0</v>
      </c>
      <c r="BY223" s="43" t="str">
        <f t="shared" si="11"/>
        <v>WHO-FP Condition (Medical Eligibility)</v>
      </c>
      <c r="BZ223" s="46">
        <f t="shared" si="12"/>
        <v>1</v>
      </c>
      <c r="CA223" s="46" t="str">
        <f t="shared" si="13"/>
        <v/>
      </c>
      <c r="CB223" s="46">
        <f t="shared" si="14"/>
        <v>1</v>
      </c>
      <c r="CC223" s="46">
        <f t="shared" si="15"/>
        <v>1</v>
      </c>
      <c r="CD223" s="46">
        <f t="shared" si="16"/>
        <v>1</v>
      </c>
      <c r="CE223" s="46">
        <f t="shared" si="17"/>
        <v>0</v>
      </c>
      <c r="CF223" s="46">
        <f t="shared" si="18"/>
        <v>0</v>
      </c>
      <c r="CG223" s="46" t="str">
        <f ca="1">IFERROR(__xludf.DUMMYFUNCTION("if(OR(BH223="""",LEFT(BH223,2)=""LA""),"""",IMPORTXML(CONCATENATE(""https://loinc.org/"",BH223,""/""),""//span[@id='lcn']""))"),"")</f>
        <v/>
      </c>
      <c r="CH223" s="46"/>
      <c r="CI223" s="46"/>
      <c r="CJ223" s="46"/>
      <c r="CK223" s="46"/>
      <c r="CL223" s="46"/>
      <c r="CM223" s="46"/>
      <c r="CN223" s="46"/>
      <c r="CO223" s="46"/>
      <c r="CP223" s="46"/>
      <c r="CQ223" s="46"/>
      <c r="CR223" s="46"/>
      <c r="CS223" s="46"/>
      <c r="CT223" s="46"/>
      <c r="CU223" s="46"/>
    </row>
    <row r="224" spans="1:99" ht="12.75" customHeight="1">
      <c r="A224" s="399">
        <v>1464</v>
      </c>
      <c r="B224" s="409" t="s">
        <v>4542</v>
      </c>
      <c r="C224" s="399">
        <f t="shared" si="42"/>
        <v>1464</v>
      </c>
      <c r="D224" s="399" t="e">
        <f t="shared" ca="1" si="43"/>
        <v>#NAME?</v>
      </c>
      <c r="E224" s="399" t="str">
        <f t="shared" si="44"/>
        <v>Acute DVT/PE</v>
      </c>
      <c r="F224" s="410" t="s">
        <v>180</v>
      </c>
      <c r="G224" s="400">
        <v>23</v>
      </c>
      <c r="H224" s="399" t="s">
        <v>4475</v>
      </c>
      <c r="I224" s="400"/>
      <c r="J224" s="400"/>
      <c r="K224" s="401" t="s">
        <v>3333</v>
      </c>
      <c r="L224" s="402" t="s">
        <v>4518</v>
      </c>
      <c r="M224" s="400"/>
      <c r="N224" s="427" t="s">
        <v>4417</v>
      </c>
      <c r="O224" s="428"/>
      <c r="P224" s="405" t="s">
        <v>4543</v>
      </c>
      <c r="Q224" s="403"/>
      <c r="R224" s="403"/>
      <c r="S224" s="476" t="s">
        <v>4544</v>
      </c>
      <c r="T224" s="407"/>
      <c r="U224" s="407"/>
      <c r="V224" s="432" t="s">
        <v>4545</v>
      </c>
      <c r="W224" s="407"/>
      <c r="X224" s="403" t="s">
        <v>208</v>
      </c>
      <c r="Y224" s="407"/>
      <c r="Z224" s="403" t="s">
        <v>113</v>
      </c>
      <c r="AA224" s="407" t="s">
        <v>3178</v>
      </c>
      <c r="AB224" s="408"/>
      <c r="AC224" s="407"/>
      <c r="AD224" s="407"/>
      <c r="AE224" s="408"/>
      <c r="AF224" s="407" t="s">
        <v>4489</v>
      </c>
      <c r="AG224" s="407" t="s">
        <v>3851</v>
      </c>
      <c r="AH224" s="399"/>
      <c r="AI224" s="400"/>
      <c r="AJ224" s="399"/>
      <c r="AK224" s="440"/>
      <c r="AL224" s="409"/>
      <c r="AM224" s="409"/>
      <c r="AN224" s="409"/>
      <c r="AO224" s="399"/>
      <c r="AP224" s="409"/>
      <c r="AQ224" s="409" t="s">
        <v>3130</v>
      </c>
      <c r="AR224" s="409" t="s">
        <v>4478</v>
      </c>
      <c r="AS224" s="409"/>
      <c r="AT224" s="399"/>
      <c r="AU224" s="399" t="s">
        <v>4546</v>
      </c>
      <c r="AV224" s="399" t="str">
        <f t="shared" si="47"/>
        <v>Changed</v>
      </c>
      <c r="AW224" s="399"/>
      <c r="AX224" s="409" t="s">
        <v>3343</v>
      </c>
      <c r="AY224" s="399" t="e">
        <f t="shared" ca="1" si="48"/>
        <v>#NAME?</v>
      </c>
      <c r="AZ224" s="399"/>
      <c r="BA224" s="409">
        <v>1</v>
      </c>
      <c r="BB224" s="399"/>
      <c r="BC224" s="399"/>
      <c r="BD224" s="409"/>
      <c r="BE224" s="411"/>
      <c r="BF224" s="411"/>
      <c r="BG224" s="434" t="s">
        <v>4547</v>
      </c>
      <c r="BH224" s="411"/>
      <c r="BI224" s="411"/>
      <c r="BJ224" s="399"/>
      <c r="BK224" s="399"/>
      <c r="BL224" s="399"/>
      <c r="BM224" s="409" t="s">
        <v>4548</v>
      </c>
      <c r="BN224" s="466" t="str">
        <f t="shared" si="51"/>
        <v>64</v>
      </c>
      <c r="BO224" s="399"/>
      <c r="BP224" s="399"/>
      <c r="BQ224" s="399"/>
      <c r="BR224" s="399"/>
      <c r="BS224" s="407"/>
      <c r="BT224" s="407"/>
      <c r="BU224" s="412"/>
      <c r="BV224" s="46" t="str">
        <f t="shared" si="8"/>
        <v/>
      </c>
      <c r="BW224" s="46">
        <f t="shared" si="9"/>
        <v>0</v>
      </c>
      <c r="BX224" s="46">
        <f t="shared" si="10"/>
        <v>0</v>
      </c>
      <c r="BY224" s="43" t="str">
        <f t="shared" si="11"/>
        <v>WHO-FP Condition (Medical Eligibility)</v>
      </c>
      <c r="BZ224" s="46">
        <f t="shared" si="12"/>
        <v>1</v>
      </c>
      <c r="CA224" s="46" t="str">
        <f t="shared" si="13"/>
        <v/>
      </c>
      <c r="CB224" s="46">
        <f t="shared" si="14"/>
        <v>1</v>
      </c>
      <c r="CC224" s="46">
        <f t="shared" si="15"/>
        <v>1</v>
      </c>
      <c r="CD224" s="46">
        <f t="shared" si="16"/>
        <v>1</v>
      </c>
      <c r="CE224" s="46">
        <f t="shared" si="17"/>
        <v>0</v>
      </c>
      <c r="CF224" s="46">
        <f t="shared" si="18"/>
        <v>0</v>
      </c>
      <c r="CG224" s="46" t="str">
        <f ca="1">IFERROR(__xludf.DUMMYFUNCTION("if(OR(BH224="""",LEFT(BH224,2)=""LA""),"""",IMPORTXML(CONCATENATE(""https://loinc.org/"",BH224,""/""),""//span[@id='lcn']""))"),"")</f>
        <v/>
      </c>
      <c r="CH224" s="46"/>
      <c r="CI224" s="46"/>
      <c r="CJ224" s="46"/>
      <c r="CK224" s="46"/>
      <c r="CL224" s="46"/>
      <c r="CM224" s="46"/>
      <c r="CN224" s="46"/>
      <c r="CO224" s="46"/>
      <c r="CP224" s="46"/>
      <c r="CQ224" s="46"/>
      <c r="CR224" s="46"/>
      <c r="CS224" s="46"/>
      <c r="CT224" s="46"/>
      <c r="CU224" s="46"/>
    </row>
    <row r="225" spans="1:99" ht="12.75" customHeight="1">
      <c r="A225" s="440">
        <v>2370</v>
      </c>
      <c r="B225" s="440" t="s">
        <v>4549</v>
      </c>
      <c r="C225" s="403">
        <f t="shared" si="42"/>
        <v>2370</v>
      </c>
      <c r="D225" s="403" t="e">
        <f t="shared" ca="1" si="43"/>
        <v>#NAME?</v>
      </c>
      <c r="E225" s="403" t="str">
        <f t="shared" si="44"/>
        <v>Acute DVT/PE</v>
      </c>
      <c r="F225" s="410" t="s">
        <v>180</v>
      </c>
      <c r="G225" s="400">
        <v>23</v>
      </c>
      <c r="H225" s="399" t="s">
        <v>4475</v>
      </c>
      <c r="I225" s="407"/>
      <c r="J225" s="407"/>
      <c r="K225" s="404" t="s">
        <v>3333</v>
      </c>
      <c r="L225" s="451" t="s">
        <v>4518</v>
      </c>
      <c r="M225" s="407"/>
      <c r="N225" s="427" t="s">
        <v>4417</v>
      </c>
      <c r="O225" s="407"/>
      <c r="P225" s="405" t="s">
        <v>4543</v>
      </c>
      <c r="Q225" s="407"/>
      <c r="R225" s="407"/>
      <c r="S225" s="476" t="s">
        <v>4544</v>
      </c>
      <c r="T225" s="407"/>
      <c r="U225" s="407"/>
      <c r="V225" s="421" t="s">
        <v>4545</v>
      </c>
      <c r="W225" s="407"/>
      <c r="X225" s="407" t="s">
        <v>208</v>
      </c>
      <c r="Y225" s="407"/>
      <c r="Z225" s="407" t="s">
        <v>113</v>
      </c>
      <c r="AA225" s="407" t="s">
        <v>3178</v>
      </c>
      <c r="AB225" s="407"/>
      <c r="AC225" s="407"/>
      <c r="AD225" s="407"/>
      <c r="AE225" s="407"/>
      <c r="AF225" s="407" t="s">
        <v>4489</v>
      </c>
      <c r="AG225" s="407" t="s">
        <v>3851</v>
      </c>
      <c r="AH225" s="403"/>
      <c r="AI225" s="407"/>
      <c r="AJ225" s="403"/>
      <c r="AK225" s="453"/>
      <c r="AL225" s="453"/>
      <c r="AM225" s="453"/>
      <c r="AN225" s="453"/>
      <c r="AO225" s="403"/>
      <c r="AP225" s="409"/>
      <c r="AQ225" s="409" t="s">
        <v>3130</v>
      </c>
      <c r="AR225" s="409" t="s">
        <v>4478</v>
      </c>
      <c r="AS225" s="409"/>
      <c r="AT225" s="403"/>
      <c r="AU225" s="403" t="s">
        <v>4546</v>
      </c>
      <c r="AV225" s="403" t="str">
        <f t="shared" si="47"/>
        <v>Changed</v>
      </c>
      <c r="AW225" s="403"/>
      <c r="AX225" s="409" t="s">
        <v>3343</v>
      </c>
      <c r="AY225" s="403" t="e">
        <f t="shared" ca="1" si="48"/>
        <v>#NAME?</v>
      </c>
      <c r="AZ225" s="403"/>
      <c r="BA225" s="409">
        <v>1</v>
      </c>
      <c r="BB225" s="399"/>
      <c r="BC225" s="403"/>
      <c r="BD225" s="453"/>
      <c r="BE225" s="411"/>
      <c r="BF225" s="452"/>
      <c r="BG225" s="477" t="s">
        <v>4550</v>
      </c>
      <c r="BH225" s="411"/>
      <c r="BI225" s="411"/>
      <c r="BJ225" s="403"/>
      <c r="BK225" s="403"/>
      <c r="BL225" s="403"/>
      <c r="BM225" s="453" t="s">
        <v>4548</v>
      </c>
      <c r="BN225" s="478" t="str">
        <f t="shared" si="51"/>
        <v>64</v>
      </c>
      <c r="BO225" s="403"/>
      <c r="BP225" s="403"/>
      <c r="BQ225" s="403"/>
      <c r="BR225" s="403"/>
      <c r="BS225" s="407"/>
      <c r="BT225" s="407"/>
      <c r="BU225" s="412"/>
      <c r="BV225" s="46" t="str">
        <f t="shared" si="8"/>
        <v/>
      </c>
      <c r="BW225" s="46">
        <f t="shared" si="9"/>
        <v>0</v>
      </c>
      <c r="BX225" s="46">
        <f t="shared" si="10"/>
        <v>0</v>
      </c>
      <c r="BY225" s="43" t="str">
        <f t="shared" si="11"/>
        <v>WHO-FP Condition (Medical Eligibility)</v>
      </c>
      <c r="BZ225" s="46">
        <f t="shared" si="12"/>
        <v>1</v>
      </c>
      <c r="CA225" s="46" t="str">
        <f t="shared" si="13"/>
        <v/>
      </c>
      <c r="CB225" s="46">
        <f t="shared" si="14"/>
        <v>1</v>
      </c>
      <c r="CC225" s="46">
        <f t="shared" si="15"/>
        <v>1</v>
      </c>
      <c r="CD225" s="46">
        <f t="shared" si="16"/>
        <v>1</v>
      </c>
      <c r="CE225" s="46">
        <f t="shared" si="17"/>
        <v>0</v>
      </c>
      <c r="CF225" s="46">
        <f t="shared" si="18"/>
        <v>0</v>
      </c>
      <c r="CG225" s="479" t="str">
        <f ca="1">IFERROR(__xludf.DUMMYFUNCTION("if(OR(BH225="""",LEFT(BH225,2)=""LA""),"""",IMPORTXML(CONCATENATE(""https://loinc.org/"",BH225,""/""),""//span[@id='lcn']""))"),"")</f>
        <v/>
      </c>
      <c r="CH225" s="479"/>
      <c r="CI225" s="479"/>
      <c r="CJ225" s="479"/>
      <c r="CK225" s="479"/>
      <c r="CL225" s="479"/>
      <c r="CM225" s="479"/>
      <c r="CN225" s="479"/>
      <c r="CO225" s="479"/>
      <c r="CP225" s="479"/>
      <c r="CQ225" s="479"/>
      <c r="CR225" s="479"/>
      <c r="CS225" s="479"/>
      <c r="CT225" s="479"/>
      <c r="CU225" s="479"/>
    </row>
    <row r="226" spans="1:99" ht="12.75" customHeight="1">
      <c r="A226" s="399">
        <v>1465</v>
      </c>
      <c r="B226" s="409" t="s">
        <v>4551</v>
      </c>
      <c r="C226" s="399">
        <f t="shared" si="42"/>
        <v>1465</v>
      </c>
      <c r="D226" s="399" t="e">
        <f t="shared" ca="1" si="43"/>
        <v>#NAME?</v>
      </c>
      <c r="E226" s="399" t="str">
        <f t="shared" si="44"/>
        <v>Major surgery with prolonged immobilization DVT/PE</v>
      </c>
      <c r="F226" s="410" t="s">
        <v>180</v>
      </c>
      <c r="G226" s="400">
        <v>23</v>
      </c>
      <c r="H226" s="399" t="s">
        <v>4475</v>
      </c>
      <c r="I226" s="400"/>
      <c r="J226" s="400"/>
      <c r="K226" s="401" t="s">
        <v>3333</v>
      </c>
      <c r="L226" s="402" t="s">
        <v>4518</v>
      </c>
      <c r="M226" s="400"/>
      <c r="N226" s="427" t="s">
        <v>4417</v>
      </c>
      <c r="O226" s="428"/>
      <c r="P226" s="405" t="s">
        <v>4552</v>
      </c>
      <c r="Q226" s="403"/>
      <c r="R226" s="403"/>
      <c r="S226" s="476" t="s">
        <v>4551</v>
      </c>
      <c r="T226" s="421"/>
      <c r="U226" s="407"/>
      <c r="V226" s="476" t="s">
        <v>4551</v>
      </c>
      <c r="W226" s="407"/>
      <c r="X226" s="403" t="s">
        <v>208</v>
      </c>
      <c r="Y226" s="407"/>
      <c r="Z226" s="403" t="s">
        <v>113</v>
      </c>
      <c r="AA226" s="407" t="s">
        <v>3178</v>
      </c>
      <c r="AB226" s="408"/>
      <c r="AC226" s="407"/>
      <c r="AD226" s="407"/>
      <c r="AE226" s="408"/>
      <c r="AF226" s="407" t="s">
        <v>4489</v>
      </c>
      <c r="AG226" s="407" t="s">
        <v>3851</v>
      </c>
      <c r="AH226" s="399"/>
      <c r="AI226" s="400"/>
      <c r="AJ226" s="399"/>
      <c r="AK226" s="440"/>
      <c r="AL226" s="409"/>
      <c r="AM226" s="409"/>
      <c r="AN226" s="409"/>
      <c r="AO226" s="399"/>
      <c r="AP226" s="409"/>
      <c r="AQ226" s="409" t="s">
        <v>115</v>
      </c>
      <c r="AR226" s="409" t="s">
        <v>4478</v>
      </c>
      <c r="AS226" s="409"/>
      <c r="AT226" s="399"/>
      <c r="AU226" s="399" t="s">
        <v>4553</v>
      </c>
      <c r="AV226" s="399" t="str">
        <f t="shared" si="47"/>
        <v>Changed</v>
      </c>
      <c r="AW226" s="399"/>
      <c r="AX226" s="409" t="s">
        <v>3343</v>
      </c>
      <c r="AY226" s="399" t="e">
        <f t="shared" ca="1" si="48"/>
        <v>#NAME?</v>
      </c>
      <c r="AZ226" s="399"/>
      <c r="BA226" s="409">
        <v>0</v>
      </c>
      <c r="BB226" s="399"/>
      <c r="BC226" s="399"/>
      <c r="BD226" s="399"/>
      <c r="BE226" s="411" t="s">
        <v>4554</v>
      </c>
      <c r="BF226" s="411"/>
      <c r="BG226" s="411"/>
      <c r="BH226" s="411"/>
      <c r="BI226" s="411"/>
      <c r="BJ226" s="399"/>
      <c r="BK226" s="399"/>
      <c r="BL226" s="399"/>
      <c r="BM226" s="409"/>
      <c r="BN226" s="399"/>
      <c r="BO226" s="399"/>
      <c r="BP226" s="399"/>
      <c r="BQ226" s="399"/>
      <c r="BR226" s="399"/>
      <c r="BS226" s="407"/>
      <c r="BT226" s="407"/>
      <c r="BU226" s="412"/>
      <c r="BV226" s="46" t="str">
        <f t="shared" si="8"/>
        <v/>
      </c>
      <c r="BW226" s="46">
        <f t="shared" si="9"/>
        <v>0</v>
      </c>
      <c r="BX226" s="46">
        <f t="shared" si="10"/>
        <v>0</v>
      </c>
      <c r="BY226" s="43" t="str">
        <f t="shared" si="11"/>
        <v>WHO-FP Condition (Medical Eligibility)</v>
      </c>
      <c r="BZ226" s="46">
        <f t="shared" si="12"/>
        <v>1</v>
      </c>
      <c r="CA226" s="46" t="str">
        <f t="shared" si="13"/>
        <v/>
      </c>
      <c r="CB226" s="46">
        <f t="shared" si="14"/>
        <v>1</v>
      </c>
      <c r="CC226" s="46">
        <f t="shared" si="15"/>
        <v>1</v>
      </c>
      <c r="CD226" s="46">
        <f t="shared" si="16"/>
        <v>1</v>
      </c>
      <c r="CE226" s="46">
        <f t="shared" si="17"/>
        <v>0</v>
      </c>
      <c r="CF226" s="46">
        <f t="shared" si="18"/>
        <v>0</v>
      </c>
      <c r="CG226" s="46" t="str">
        <f ca="1">IFERROR(__xludf.DUMMYFUNCTION("if(OR(BH226="""",LEFT(BH226,2)=""LA""),"""",IMPORTXML(CONCATENATE(""https://loinc.org/"",BH226,""/""),""//span[@id='lcn']""))"),"")</f>
        <v/>
      </c>
      <c r="CH226" s="46"/>
      <c r="CI226" s="46"/>
      <c r="CJ226" s="46"/>
      <c r="CK226" s="46"/>
      <c r="CL226" s="46"/>
      <c r="CM226" s="46"/>
      <c r="CN226" s="46"/>
      <c r="CO226" s="46"/>
      <c r="CP226" s="46"/>
      <c r="CQ226" s="46"/>
      <c r="CR226" s="46"/>
      <c r="CS226" s="46"/>
      <c r="CT226" s="46"/>
      <c r="CU226" s="46"/>
    </row>
    <row r="227" spans="1:99" ht="12.75" customHeight="1">
      <c r="A227" s="399">
        <v>1466</v>
      </c>
      <c r="B227" s="409" t="s">
        <v>4555</v>
      </c>
      <c r="C227" s="399">
        <f t="shared" si="42"/>
        <v>1466</v>
      </c>
      <c r="D227" s="399" t="e">
        <f t="shared" ca="1" si="43"/>
        <v>#NAME?</v>
      </c>
      <c r="E227" s="399" t="str">
        <f t="shared" si="44"/>
        <v>Major surgery without prolonged immobilization</v>
      </c>
      <c r="F227" s="410" t="s">
        <v>180</v>
      </c>
      <c r="G227" s="400">
        <v>23</v>
      </c>
      <c r="H227" s="399" t="s">
        <v>4475</v>
      </c>
      <c r="I227" s="400"/>
      <c r="J227" s="400"/>
      <c r="K227" s="401" t="s">
        <v>3333</v>
      </c>
      <c r="L227" s="402" t="s">
        <v>4518</v>
      </c>
      <c r="M227" s="400"/>
      <c r="N227" s="427" t="s">
        <v>4417</v>
      </c>
      <c r="O227" s="428"/>
      <c r="P227" s="405" t="s">
        <v>4556</v>
      </c>
      <c r="Q227" s="403"/>
      <c r="R227" s="403"/>
      <c r="S227" s="403" t="s">
        <v>4555</v>
      </c>
      <c r="T227" s="407"/>
      <c r="U227" s="407"/>
      <c r="V227" s="403" t="s">
        <v>4555</v>
      </c>
      <c r="W227" s="407"/>
      <c r="X227" s="403" t="s">
        <v>208</v>
      </c>
      <c r="Y227" s="407"/>
      <c r="Z227" s="403" t="s">
        <v>113</v>
      </c>
      <c r="AA227" s="407" t="s">
        <v>3178</v>
      </c>
      <c r="AB227" s="408"/>
      <c r="AC227" s="407"/>
      <c r="AD227" s="407"/>
      <c r="AE227" s="408"/>
      <c r="AF227" s="407"/>
      <c r="AG227" s="407"/>
      <c r="AH227" s="399"/>
      <c r="AI227" s="400"/>
      <c r="AJ227" s="399"/>
      <c r="AK227" s="440"/>
      <c r="AL227" s="409"/>
      <c r="AM227" s="409"/>
      <c r="AN227" s="409"/>
      <c r="AO227" s="399"/>
      <c r="AP227" s="409"/>
      <c r="AQ227" s="409" t="s">
        <v>3130</v>
      </c>
      <c r="AR227" s="409" t="s">
        <v>4478</v>
      </c>
      <c r="AS227" s="409"/>
      <c r="AT227" s="399"/>
      <c r="AU227" s="399" t="s">
        <v>4557</v>
      </c>
      <c r="AV227" s="399" t="str">
        <f t="shared" si="47"/>
        <v>Changed</v>
      </c>
      <c r="AW227" s="399"/>
      <c r="AX227" s="409" t="s">
        <v>3343</v>
      </c>
      <c r="AY227" s="399" t="e">
        <f t="shared" ca="1" si="48"/>
        <v>#NAME?</v>
      </c>
      <c r="AZ227" s="399"/>
      <c r="BA227" s="409">
        <v>1</v>
      </c>
      <c r="BB227" s="399"/>
      <c r="BC227" s="399"/>
      <c r="BD227" s="399"/>
      <c r="BE227" s="411" t="s">
        <v>4558</v>
      </c>
      <c r="BF227" s="411"/>
      <c r="BG227" s="411"/>
      <c r="BH227" s="411"/>
      <c r="BI227" s="411"/>
      <c r="BJ227" s="409"/>
      <c r="BK227" s="399"/>
      <c r="BL227" s="399"/>
      <c r="BM227" s="409" t="s">
        <v>4559</v>
      </c>
      <c r="BN227" s="399"/>
      <c r="BO227" s="399"/>
      <c r="BP227" s="399"/>
      <c r="BQ227" s="399"/>
      <c r="BR227" s="399"/>
      <c r="BS227" s="407"/>
      <c r="BT227" s="407"/>
      <c r="BU227" s="412"/>
      <c r="BV227" s="46" t="str">
        <f t="shared" si="8"/>
        <v/>
      </c>
      <c r="BW227" s="46">
        <f t="shared" si="9"/>
        <v>0</v>
      </c>
      <c r="BX227" s="46">
        <f t="shared" si="10"/>
        <v>0</v>
      </c>
      <c r="BY227" s="43" t="str">
        <f t="shared" si="11"/>
        <v>WHO-FP Condition (Medical Eligibility)</v>
      </c>
      <c r="BZ227" s="46">
        <f t="shared" si="12"/>
        <v>1</v>
      </c>
      <c r="CA227" s="46" t="str">
        <f t="shared" si="13"/>
        <v/>
      </c>
      <c r="CB227" s="46">
        <f t="shared" si="14"/>
        <v>1</v>
      </c>
      <c r="CC227" s="46">
        <f t="shared" si="15"/>
        <v>1</v>
      </c>
      <c r="CD227" s="46">
        <f t="shared" si="16"/>
        <v>1</v>
      </c>
      <c r="CE227" s="46">
        <f t="shared" si="17"/>
        <v>0</v>
      </c>
      <c r="CF227" s="46">
        <f t="shared" si="18"/>
        <v>0</v>
      </c>
      <c r="CG227" s="46" t="str">
        <f ca="1">IFERROR(__xludf.DUMMYFUNCTION("if(OR(BH227="""",LEFT(BH227,2)=""LA""),"""",IMPORTXML(CONCATENATE(""https://loinc.org/"",BH227,""/""),""//span[@id='lcn']""))"),"")</f>
        <v/>
      </c>
      <c r="CH227" s="46"/>
      <c r="CI227" s="46"/>
      <c r="CJ227" s="46"/>
      <c r="CK227" s="46"/>
      <c r="CL227" s="46"/>
      <c r="CM227" s="46"/>
      <c r="CN227" s="46"/>
      <c r="CO227" s="46"/>
      <c r="CP227" s="46"/>
      <c r="CQ227" s="46"/>
      <c r="CR227" s="46"/>
      <c r="CS227" s="46"/>
      <c r="CT227" s="46"/>
      <c r="CU227" s="46"/>
    </row>
    <row r="228" spans="1:99" ht="12.75" customHeight="1">
      <c r="A228" s="399">
        <v>1467</v>
      </c>
      <c r="B228" s="409" t="s">
        <v>4560</v>
      </c>
      <c r="C228" s="399">
        <f t="shared" si="42"/>
        <v>1467</v>
      </c>
      <c r="D228" s="399" t="e">
        <f t="shared" ca="1" si="43"/>
        <v>#NAME?</v>
      </c>
      <c r="E228" s="399" t="str">
        <f t="shared" si="44"/>
        <v>Minor surgery without immobilization</v>
      </c>
      <c r="F228" s="410" t="s">
        <v>180</v>
      </c>
      <c r="G228" s="400">
        <v>23</v>
      </c>
      <c r="H228" s="399" t="s">
        <v>4475</v>
      </c>
      <c r="I228" s="400"/>
      <c r="J228" s="400"/>
      <c r="K228" s="401" t="s">
        <v>3333</v>
      </c>
      <c r="L228" s="402" t="s">
        <v>4518</v>
      </c>
      <c r="M228" s="400"/>
      <c r="N228" s="427" t="s">
        <v>4417</v>
      </c>
      <c r="O228" s="428"/>
      <c r="P228" s="405" t="s">
        <v>4561</v>
      </c>
      <c r="Q228" s="403"/>
      <c r="R228" s="403"/>
      <c r="S228" s="432" t="s">
        <v>4560</v>
      </c>
      <c r="T228" s="407"/>
      <c r="U228" s="407"/>
      <c r="V228" s="403" t="s">
        <v>4560</v>
      </c>
      <c r="W228" s="407"/>
      <c r="X228" s="403" t="s">
        <v>208</v>
      </c>
      <c r="Y228" s="407"/>
      <c r="Z228" s="403" t="s">
        <v>113</v>
      </c>
      <c r="AA228" s="407" t="s">
        <v>3178</v>
      </c>
      <c r="AB228" s="408"/>
      <c r="AC228" s="407"/>
      <c r="AD228" s="407"/>
      <c r="AE228" s="408"/>
      <c r="AF228" s="407"/>
      <c r="AG228" s="407"/>
      <c r="AH228" s="399"/>
      <c r="AI228" s="400"/>
      <c r="AJ228" s="399"/>
      <c r="AK228" s="440"/>
      <c r="AL228" s="409"/>
      <c r="AM228" s="409"/>
      <c r="AN228" s="409"/>
      <c r="AO228" s="399"/>
      <c r="AP228" s="409"/>
      <c r="AQ228" s="409" t="s">
        <v>3130</v>
      </c>
      <c r="AR228" s="409" t="s">
        <v>4478</v>
      </c>
      <c r="AS228" s="409"/>
      <c r="AT228" s="399"/>
      <c r="AU228" s="399" t="s">
        <v>4562</v>
      </c>
      <c r="AV228" s="399" t="str">
        <f t="shared" si="47"/>
        <v>Changed</v>
      </c>
      <c r="AW228" s="399"/>
      <c r="AX228" s="409" t="s">
        <v>3343</v>
      </c>
      <c r="AY228" s="399" t="e">
        <f t="shared" ca="1" si="48"/>
        <v>#NAME?</v>
      </c>
      <c r="AZ228" s="399"/>
      <c r="BA228" s="409">
        <v>1</v>
      </c>
      <c r="BB228" s="415" t="s">
        <v>3131</v>
      </c>
      <c r="BC228" s="399" t="s">
        <v>4560</v>
      </c>
      <c r="BD228" s="399"/>
      <c r="BE228" s="411"/>
      <c r="BF228" s="411"/>
      <c r="BG228" s="411"/>
      <c r="BH228" s="411"/>
      <c r="BI228" s="411"/>
      <c r="BJ228" s="409" t="s">
        <v>4563</v>
      </c>
      <c r="BK228" s="399"/>
      <c r="BL228" s="399"/>
      <c r="BM228" s="409" t="s">
        <v>4564</v>
      </c>
      <c r="BN228" s="399"/>
      <c r="BO228" s="399"/>
      <c r="BP228" s="399"/>
      <c r="BQ228" s="399"/>
      <c r="BR228" s="399"/>
      <c r="BS228" s="407"/>
      <c r="BT228" s="407"/>
      <c r="BU228" s="412"/>
      <c r="BV228" s="46" t="str">
        <f t="shared" si="8"/>
        <v/>
      </c>
      <c r="BW228" s="46">
        <f t="shared" si="9"/>
        <v>0</v>
      </c>
      <c r="BX228" s="46">
        <f t="shared" si="10"/>
        <v>0</v>
      </c>
      <c r="BY228" s="43" t="str">
        <f t="shared" si="11"/>
        <v>WHO-FP Condition (Medical Eligibility)</v>
      </c>
      <c r="BZ228" s="46">
        <f t="shared" si="12"/>
        <v>1</v>
      </c>
      <c r="CA228" s="46" t="str">
        <f t="shared" si="13"/>
        <v/>
      </c>
      <c r="CB228" s="46">
        <f t="shared" si="14"/>
        <v>1</v>
      </c>
      <c r="CC228" s="46">
        <f t="shared" si="15"/>
        <v>1</v>
      </c>
      <c r="CD228" s="46">
        <f t="shared" si="16"/>
        <v>1</v>
      </c>
      <c r="CE228" s="46">
        <f t="shared" si="17"/>
        <v>0</v>
      </c>
      <c r="CF228" s="46">
        <f t="shared" si="18"/>
        <v>0</v>
      </c>
      <c r="CG228" s="46" t="str">
        <f ca="1">IFERROR(__xludf.DUMMYFUNCTION("if(OR(BH228="""",LEFT(BH228,2)=""LA""),"""",IMPORTXML(CONCATENATE(""https://loinc.org/"",BH228,""/""),""//span[@id='lcn']""))"),"")</f>
        <v/>
      </c>
      <c r="CH228" s="46"/>
      <c r="CI228" s="46"/>
      <c r="CJ228" s="46"/>
      <c r="CK228" s="46"/>
      <c r="CL228" s="46"/>
      <c r="CM228" s="46"/>
      <c r="CN228" s="46"/>
      <c r="CO228" s="46"/>
      <c r="CP228" s="46"/>
      <c r="CQ228" s="46"/>
      <c r="CR228" s="46"/>
      <c r="CS228" s="46"/>
      <c r="CT228" s="46"/>
      <c r="CU228" s="46"/>
    </row>
    <row r="229" spans="1:99" ht="12.75" customHeight="1">
      <c r="A229" s="399">
        <v>1468</v>
      </c>
      <c r="B229" s="409" t="s">
        <v>4565</v>
      </c>
      <c r="C229" s="399">
        <f t="shared" si="42"/>
        <v>1468</v>
      </c>
      <c r="D229" s="399" t="e">
        <f t="shared" ca="1" si="43"/>
        <v>#NAME?</v>
      </c>
      <c r="E229" s="399" t="str">
        <f t="shared" si="44"/>
        <v xml:space="preserve">Known thrombogenetic mutations </v>
      </c>
      <c r="F229" s="410" t="s">
        <v>180</v>
      </c>
      <c r="G229" s="400">
        <v>23</v>
      </c>
      <c r="H229" s="399" t="s">
        <v>4475</v>
      </c>
      <c r="I229" s="400"/>
      <c r="J229" s="400"/>
      <c r="K229" s="401" t="s">
        <v>3333</v>
      </c>
      <c r="L229" s="402" t="s">
        <v>4518</v>
      </c>
      <c r="M229" s="400"/>
      <c r="N229" s="427" t="s">
        <v>4417</v>
      </c>
      <c r="O229" s="428"/>
      <c r="P229" s="405" t="s">
        <v>4566</v>
      </c>
      <c r="Q229" s="403"/>
      <c r="R229" s="403"/>
      <c r="S229" s="403" t="s">
        <v>4565</v>
      </c>
      <c r="T229" s="407"/>
      <c r="U229" s="407"/>
      <c r="V229" s="403" t="s">
        <v>4565</v>
      </c>
      <c r="W229" s="407"/>
      <c r="X229" s="403" t="s">
        <v>208</v>
      </c>
      <c r="Y229" s="407"/>
      <c r="Z229" s="403" t="s">
        <v>113</v>
      </c>
      <c r="AA229" s="407" t="s">
        <v>3178</v>
      </c>
      <c r="AB229" s="408"/>
      <c r="AC229" s="407"/>
      <c r="AD229" s="407"/>
      <c r="AE229" s="408"/>
      <c r="AF229" s="407"/>
      <c r="AG229" s="407"/>
      <c r="AH229" s="399"/>
      <c r="AI229" s="400"/>
      <c r="AJ229" s="399"/>
      <c r="AK229" s="440"/>
      <c r="AL229" s="409"/>
      <c r="AM229" s="409"/>
      <c r="AN229" s="409"/>
      <c r="AO229" s="399"/>
      <c r="AP229" s="409"/>
      <c r="AQ229" s="409" t="s">
        <v>3130</v>
      </c>
      <c r="AR229" s="409" t="s">
        <v>4478</v>
      </c>
      <c r="AS229" s="409"/>
      <c r="AT229" s="399"/>
      <c r="AU229" s="399" t="s">
        <v>4567</v>
      </c>
      <c r="AV229" s="399" t="str">
        <f t="shared" si="47"/>
        <v>Changed</v>
      </c>
      <c r="AW229" s="399"/>
      <c r="AX229" s="409" t="s">
        <v>3343</v>
      </c>
      <c r="AY229" s="399" t="e">
        <f t="shared" ca="1" si="48"/>
        <v>#NAME?</v>
      </c>
      <c r="AZ229" s="399"/>
      <c r="BA229" s="409">
        <v>1</v>
      </c>
      <c r="BB229" s="399"/>
      <c r="BC229" s="399"/>
      <c r="BD229" s="399"/>
      <c r="BE229" s="411" t="s">
        <v>4568</v>
      </c>
      <c r="BF229" s="411"/>
      <c r="BG229" s="434" t="s">
        <v>4569</v>
      </c>
      <c r="BH229" s="411"/>
      <c r="BI229" s="411"/>
      <c r="BJ229" s="399"/>
      <c r="BK229" s="399"/>
      <c r="BL229" s="399"/>
      <c r="BM229" s="399"/>
      <c r="BN229" s="399"/>
      <c r="BO229" s="399"/>
      <c r="BP229" s="399"/>
      <c r="BQ229" s="399"/>
      <c r="BR229" s="399"/>
      <c r="BS229" s="407"/>
      <c r="BT229" s="407"/>
      <c r="BU229" s="412"/>
      <c r="BV229" s="46" t="str">
        <f t="shared" si="8"/>
        <v/>
      </c>
      <c r="BW229" s="46">
        <f t="shared" si="9"/>
        <v>0</v>
      </c>
      <c r="BX229" s="46">
        <f t="shared" si="10"/>
        <v>0</v>
      </c>
      <c r="BY229" s="43" t="str">
        <f t="shared" si="11"/>
        <v>WHO-FP Condition (Medical Eligibility)</v>
      </c>
      <c r="BZ229" s="46">
        <f t="shared" si="12"/>
        <v>1</v>
      </c>
      <c r="CA229" s="46" t="str">
        <f t="shared" si="13"/>
        <v/>
      </c>
      <c r="CB229" s="46">
        <f t="shared" si="14"/>
        <v>1</v>
      </c>
      <c r="CC229" s="46">
        <f t="shared" si="15"/>
        <v>1</v>
      </c>
      <c r="CD229" s="46">
        <f t="shared" si="16"/>
        <v>1</v>
      </c>
      <c r="CE229" s="46">
        <f t="shared" si="17"/>
        <v>0</v>
      </c>
      <c r="CF229" s="46">
        <f t="shared" si="18"/>
        <v>0</v>
      </c>
      <c r="CG229" s="46" t="str">
        <f ca="1">IFERROR(__xludf.DUMMYFUNCTION("if(OR(BH229="""",LEFT(BH229,2)=""LA""),"""",IMPORTXML(CONCATENATE(""https://loinc.org/"",BH229,""/""),""//span[@id='lcn']""))"),"")</f>
        <v/>
      </c>
      <c r="CH229" s="46"/>
      <c r="CI229" s="46"/>
      <c r="CJ229" s="46"/>
      <c r="CK229" s="46"/>
      <c r="CL229" s="46"/>
      <c r="CM229" s="46"/>
      <c r="CN229" s="46"/>
      <c r="CO229" s="46"/>
      <c r="CP229" s="46"/>
      <c r="CQ229" s="46"/>
      <c r="CR229" s="46"/>
      <c r="CS229" s="46"/>
      <c r="CT229" s="46"/>
      <c r="CU229" s="46"/>
    </row>
    <row r="230" spans="1:99" ht="12.75" customHeight="1">
      <c r="A230" s="399">
        <v>1469</v>
      </c>
      <c r="B230" s="409" t="s">
        <v>1229</v>
      </c>
      <c r="C230" s="399">
        <f t="shared" si="42"/>
        <v>1469</v>
      </c>
      <c r="D230" s="399" t="e">
        <f t="shared" ca="1" si="43"/>
        <v>#NAME?</v>
      </c>
      <c r="E230" s="399" t="str">
        <f t="shared" si="44"/>
        <v>Varicose veins</v>
      </c>
      <c r="F230" s="410" t="s">
        <v>180</v>
      </c>
      <c r="G230" s="400">
        <v>23</v>
      </c>
      <c r="H230" s="399" t="s">
        <v>4475</v>
      </c>
      <c r="I230" s="400"/>
      <c r="J230" s="400"/>
      <c r="K230" s="401" t="s">
        <v>3333</v>
      </c>
      <c r="L230" s="402" t="s">
        <v>4518</v>
      </c>
      <c r="M230" s="400"/>
      <c r="N230" s="427" t="s">
        <v>4417</v>
      </c>
      <c r="O230" s="428"/>
      <c r="P230" s="405" t="s">
        <v>4570</v>
      </c>
      <c r="Q230" s="403"/>
      <c r="R230" s="403"/>
      <c r="S230" s="403" t="s">
        <v>1229</v>
      </c>
      <c r="T230" s="407"/>
      <c r="U230" s="407"/>
      <c r="V230" s="403" t="s">
        <v>1229</v>
      </c>
      <c r="W230" s="407"/>
      <c r="X230" s="403" t="s">
        <v>208</v>
      </c>
      <c r="Y230" s="407"/>
      <c r="Z230" s="403" t="s">
        <v>113</v>
      </c>
      <c r="AA230" s="407" t="s">
        <v>3178</v>
      </c>
      <c r="AB230" s="408"/>
      <c r="AC230" s="407"/>
      <c r="AD230" s="407"/>
      <c r="AE230" s="408"/>
      <c r="AF230" s="407"/>
      <c r="AG230" s="407"/>
      <c r="AH230" s="399"/>
      <c r="AI230" s="400"/>
      <c r="AJ230" s="399"/>
      <c r="AK230" s="440"/>
      <c r="AL230" s="409"/>
      <c r="AM230" s="409"/>
      <c r="AN230" s="409"/>
      <c r="AO230" s="399"/>
      <c r="AP230" s="409"/>
      <c r="AQ230" s="409" t="s">
        <v>3130</v>
      </c>
      <c r="AR230" s="409" t="s">
        <v>4478</v>
      </c>
      <c r="AS230" s="409"/>
      <c r="AT230" s="399"/>
      <c r="AU230" s="399" t="s">
        <v>1700</v>
      </c>
      <c r="AV230" s="399" t="str">
        <f t="shared" si="47"/>
        <v>Changed</v>
      </c>
      <c r="AW230" s="399"/>
      <c r="AX230" s="409" t="s">
        <v>3343</v>
      </c>
      <c r="AY230" s="399" t="e">
        <f t="shared" ca="1" si="48"/>
        <v>#NAME?</v>
      </c>
      <c r="AZ230" s="399"/>
      <c r="BA230" s="409">
        <v>1</v>
      </c>
      <c r="BB230" s="399"/>
      <c r="BC230" s="399"/>
      <c r="BD230" s="399"/>
      <c r="BE230" s="411" t="s">
        <v>4571</v>
      </c>
      <c r="BF230" s="411"/>
      <c r="BG230" s="434" t="s">
        <v>4572</v>
      </c>
      <c r="BH230" s="411"/>
      <c r="BI230" s="411"/>
      <c r="BJ230" s="399"/>
      <c r="BK230" s="399"/>
      <c r="BL230" s="399"/>
      <c r="BM230" s="399"/>
      <c r="BN230" s="399"/>
      <c r="BO230" s="399"/>
      <c r="BP230" s="399"/>
      <c r="BQ230" s="399"/>
      <c r="BR230" s="399"/>
      <c r="BS230" s="407"/>
      <c r="BT230" s="407"/>
      <c r="BU230" s="412"/>
      <c r="BV230" s="46" t="str">
        <f t="shared" si="8"/>
        <v/>
      </c>
      <c r="BW230" s="46">
        <f t="shared" si="9"/>
        <v>0</v>
      </c>
      <c r="BX230" s="46">
        <f t="shared" si="10"/>
        <v>0</v>
      </c>
      <c r="BY230" s="43" t="str">
        <f t="shared" si="11"/>
        <v>WHO-FP Condition (Medical Eligibility)</v>
      </c>
      <c r="BZ230" s="46">
        <f t="shared" si="12"/>
        <v>1</v>
      </c>
      <c r="CA230" s="46" t="str">
        <f t="shared" si="13"/>
        <v/>
      </c>
      <c r="CB230" s="46">
        <f t="shared" si="14"/>
        <v>1</v>
      </c>
      <c r="CC230" s="46">
        <f t="shared" si="15"/>
        <v>1</v>
      </c>
      <c r="CD230" s="46">
        <f t="shared" si="16"/>
        <v>1</v>
      </c>
      <c r="CE230" s="46">
        <f t="shared" si="17"/>
        <v>0</v>
      </c>
      <c r="CF230" s="46">
        <f t="shared" si="18"/>
        <v>0</v>
      </c>
      <c r="CG230" s="46" t="str">
        <f ca="1">IFERROR(__xludf.DUMMYFUNCTION("if(OR(BH230="""",LEFT(BH230,2)=""LA""),"""",IMPORTXML(CONCATENATE(""https://loinc.org/"",BH230,""/""),""//span[@id='lcn']""))"),"")</f>
        <v/>
      </c>
      <c r="CH230" s="46"/>
      <c r="CI230" s="46"/>
      <c r="CJ230" s="46"/>
      <c r="CK230" s="46"/>
      <c r="CL230" s="46"/>
      <c r="CM230" s="46"/>
      <c r="CN230" s="46"/>
      <c r="CO230" s="46"/>
      <c r="CP230" s="46"/>
      <c r="CQ230" s="46"/>
      <c r="CR230" s="46"/>
      <c r="CS230" s="46"/>
      <c r="CT230" s="46"/>
      <c r="CU230" s="46"/>
    </row>
    <row r="231" spans="1:99" ht="12.75" customHeight="1">
      <c r="A231" s="399">
        <v>1470</v>
      </c>
      <c r="B231" s="409" t="s">
        <v>4573</v>
      </c>
      <c r="C231" s="399">
        <f t="shared" si="42"/>
        <v>1470</v>
      </c>
      <c r="D231" s="399" t="e">
        <f t="shared" ca="1" si="43"/>
        <v>#NAME?</v>
      </c>
      <c r="E231" s="399" t="str">
        <f t="shared" si="44"/>
        <v>Superficial venous thrombosis</v>
      </c>
      <c r="F231" s="410" t="s">
        <v>180</v>
      </c>
      <c r="G231" s="400">
        <v>23</v>
      </c>
      <c r="H231" s="399" t="s">
        <v>4475</v>
      </c>
      <c r="I231" s="400"/>
      <c r="J231" s="400"/>
      <c r="K231" s="401" t="s">
        <v>3333</v>
      </c>
      <c r="L231" s="402" t="s">
        <v>4518</v>
      </c>
      <c r="M231" s="400"/>
      <c r="N231" s="427" t="s">
        <v>4417</v>
      </c>
      <c r="O231" s="428"/>
      <c r="P231" s="405" t="s">
        <v>4574</v>
      </c>
      <c r="Q231" s="403"/>
      <c r="R231" s="403"/>
      <c r="S231" s="403" t="s">
        <v>4573</v>
      </c>
      <c r="T231" s="407"/>
      <c r="U231" s="407"/>
      <c r="V231" s="403" t="s">
        <v>4573</v>
      </c>
      <c r="W231" s="407"/>
      <c r="X231" s="403" t="s">
        <v>208</v>
      </c>
      <c r="Y231" s="407"/>
      <c r="Z231" s="403" t="s">
        <v>113</v>
      </c>
      <c r="AA231" s="407" t="s">
        <v>3178</v>
      </c>
      <c r="AB231" s="408"/>
      <c r="AC231" s="407"/>
      <c r="AD231" s="407"/>
      <c r="AE231" s="408"/>
      <c r="AF231" s="407"/>
      <c r="AG231" s="407"/>
      <c r="AH231" s="399"/>
      <c r="AI231" s="400"/>
      <c r="AJ231" s="399"/>
      <c r="AK231" s="440"/>
      <c r="AL231" s="409"/>
      <c r="AM231" s="409"/>
      <c r="AN231" s="409"/>
      <c r="AO231" s="399"/>
      <c r="AP231" s="409"/>
      <c r="AQ231" s="409" t="s">
        <v>3130</v>
      </c>
      <c r="AR231" s="409" t="s">
        <v>4478</v>
      </c>
      <c r="AS231" s="409"/>
      <c r="AT231" s="399"/>
      <c r="AU231" s="399" t="s">
        <v>4575</v>
      </c>
      <c r="AV231" s="399" t="str">
        <f t="shared" si="47"/>
        <v>Changed</v>
      </c>
      <c r="AW231" s="399"/>
      <c r="AX231" s="409" t="s">
        <v>3343</v>
      </c>
      <c r="AY231" s="399" t="e">
        <f t="shared" ca="1" si="48"/>
        <v>#NAME?</v>
      </c>
      <c r="AZ231" s="399"/>
      <c r="BA231" s="409">
        <v>1</v>
      </c>
      <c r="BB231" s="399"/>
      <c r="BC231" s="399"/>
      <c r="BD231" s="399"/>
      <c r="BE231" s="411"/>
      <c r="BF231" s="411"/>
      <c r="BG231" s="434" t="s">
        <v>4576</v>
      </c>
      <c r="BH231" s="411"/>
      <c r="BI231" s="411"/>
      <c r="BJ231" s="399"/>
      <c r="BK231" s="399"/>
      <c r="BL231" s="399"/>
      <c r="BM231" s="399"/>
      <c r="BN231" s="399"/>
      <c r="BO231" s="399"/>
      <c r="BP231" s="399"/>
      <c r="BQ231" s="399"/>
      <c r="BR231" s="399"/>
      <c r="BS231" s="407"/>
      <c r="BT231" s="407"/>
      <c r="BU231" s="412"/>
      <c r="BV231" s="46" t="str">
        <f t="shared" si="8"/>
        <v/>
      </c>
      <c r="BW231" s="46">
        <f t="shared" si="9"/>
        <v>0</v>
      </c>
      <c r="BX231" s="46">
        <f t="shared" si="10"/>
        <v>0</v>
      </c>
      <c r="BY231" s="43" t="str">
        <f t="shared" si="11"/>
        <v>WHO-FP Condition (Medical Eligibility)</v>
      </c>
      <c r="BZ231" s="46">
        <f t="shared" si="12"/>
        <v>1</v>
      </c>
      <c r="CA231" s="46" t="str">
        <f t="shared" si="13"/>
        <v/>
      </c>
      <c r="CB231" s="46">
        <f t="shared" si="14"/>
        <v>1</v>
      </c>
      <c r="CC231" s="46">
        <f t="shared" si="15"/>
        <v>1</v>
      </c>
      <c r="CD231" s="46">
        <f t="shared" si="16"/>
        <v>1</v>
      </c>
      <c r="CE231" s="46">
        <f t="shared" si="17"/>
        <v>0</v>
      </c>
      <c r="CF231" s="46">
        <f t="shared" si="18"/>
        <v>0</v>
      </c>
      <c r="CG231" s="46" t="str">
        <f ca="1">IFERROR(__xludf.DUMMYFUNCTION("if(OR(BH231="""",LEFT(BH231,2)=""LA""),"""",IMPORTXML(CONCATENATE(""https://loinc.org/"",BH231,""/""),""//span[@id='lcn']""))"),"")</f>
        <v/>
      </c>
      <c r="CH231" s="46"/>
      <c r="CI231" s="46"/>
      <c r="CJ231" s="46"/>
      <c r="CK231" s="46"/>
      <c r="CL231" s="46"/>
      <c r="CM231" s="46"/>
      <c r="CN231" s="46"/>
      <c r="CO231" s="46"/>
      <c r="CP231" s="46"/>
      <c r="CQ231" s="46"/>
      <c r="CR231" s="46"/>
      <c r="CS231" s="46"/>
      <c r="CT231" s="46"/>
      <c r="CU231" s="46"/>
    </row>
    <row r="232" spans="1:99" ht="12.75" customHeight="1">
      <c r="A232" s="399">
        <v>1471</v>
      </c>
      <c r="B232" s="399" t="s">
        <v>4577</v>
      </c>
      <c r="C232" s="399">
        <f t="shared" si="42"/>
        <v>1471</v>
      </c>
      <c r="D232" s="399" t="e">
        <f t="shared" ca="1" si="43"/>
        <v>#NAME?</v>
      </c>
      <c r="E232" s="399" t="str">
        <f t="shared" si="44"/>
        <v>Cardiovascular disease</v>
      </c>
      <c r="F232" s="410" t="s">
        <v>180</v>
      </c>
      <c r="G232" s="400">
        <v>23</v>
      </c>
      <c r="H232" s="399" t="s">
        <v>4475</v>
      </c>
      <c r="I232" s="400"/>
      <c r="J232" s="400"/>
      <c r="K232" s="401" t="s">
        <v>3333</v>
      </c>
      <c r="L232" s="402" t="s">
        <v>4518</v>
      </c>
      <c r="M232" s="400"/>
      <c r="N232" s="427" t="s">
        <v>4417</v>
      </c>
      <c r="O232" s="428"/>
      <c r="P232" s="405" t="s">
        <v>4578</v>
      </c>
      <c r="Q232" s="403" t="s">
        <v>4577</v>
      </c>
      <c r="R232" s="403"/>
      <c r="S232" s="403"/>
      <c r="T232" s="407"/>
      <c r="U232" s="407"/>
      <c r="V232" s="407"/>
      <c r="W232" s="407"/>
      <c r="X232" s="403" t="s">
        <v>208</v>
      </c>
      <c r="Y232" s="407"/>
      <c r="Z232" s="403" t="s">
        <v>113</v>
      </c>
      <c r="AA232" s="407" t="s">
        <v>3178</v>
      </c>
      <c r="AB232" s="432" t="s">
        <v>4579</v>
      </c>
      <c r="AC232" s="421"/>
      <c r="AD232" s="421"/>
      <c r="AE232" s="408"/>
      <c r="AF232" s="407" t="s">
        <v>4489</v>
      </c>
      <c r="AG232" s="407" t="s">
        <v>3851</v>
      </c>
      <c r="AH232" s="399"/>
      <c r="AI232" s="400"/>
      <c r="AJ232" s="399"/>
      <c r="AK232" s="440"/>
      <c r="AL232" s="409"/>
      <c r="AM232" s="409"/>
      <c r="AN232" s="409"/>
      <c r="AO232" s="399"/>
      <c r="AP232" s="409"/>
      <c r="AQ232" s="409" t="s">
        <v>115</v>
      </c>
      <c r="AR232" s="409" t="s">
        <v>4478</v>
      </c>
      <c r="AS232" s="409"/>
      <c r="AT232" s="399"/>
      <c r="AU232" s="399" t="s">
        <v>4580</v>
      </c>
      <c r="AV232" s="399" t="str">
        <f t="shared" si="47"/>
        <v>Changed</v>
      </c>
      <c r="AW232" s="399"/>
      <c r="AX232" s="409" t="s">
        <v>3343</v>
      </c>
      <c r="AY232" s="399" t="e">
        <f t="shared" ca="1" si="48"/>
        <v>#NAME?</v>
      </c>
      <c r="AZ232" s="399"/>
      <c r="BA232" s="409">
        <v>0</v>
      </c>
      <c r="BB232" s="399"/>
      <c r="BC232" s="409"/>
      <c r="BD232" s="409" t="s">
        <v>3162</v>
      </c>
      <c r="BE232" s="411" t="s">
        <v>4581</v>
      </c>
      <c r="BF232" s="411" t="s">
        <v>4582</v>
      </c>
      <c r="BG232" s="411" t="s">
        <v>4583</v>
      </c>
      <c r="BH232" s="411"/>
      <c r="BI232" s="411"/>
      <c r="BJ232" s="399"/>
      <c r="BK232" s="399"/>
      <c r="BL232" s="399"/>
      <c r="BM232" s="399"/>
      <c r="BN232" s="399"/>
      <c r="BO232" s="399">
        <v>119270</v>
      </c>
      <c r="BP232" s="399"/>
      <c r="BQ232" s="399"/>
      <c r="BR232" s="399"/>
      <c r="BS232" s="407"/>
      <c r="BT232" s="407"/>
      <c r="BU232" s="412"/>
      <c r="BV232" s="46" t="str">
        <f t="shared" si="8"/>
        <v/>
      </c>
      <c r="BW232" s="46">
        <f t="shared" si="9"/>
        <v>0</v>
      </c>
      <c r="BX232" s="46">
        <f t="shared" si="10"/>
        <v>0</v>
      </c>
      <c r="BY232" s="43" t="str">
        <f t="shared" si="11"/>
        <v>WHO-FP Condition (Medical Eligibility)</v>
      </c>
      <c r="BZ232" s="46">
        <f t="shared" si="12"/>
        <v>1</v>
      </c>
      <c r="CA232" s="46" t="str">
        <f t="shared" si="13"/>
        <v/>
      </c>
      <c r="CB232" s="46">
        <f t="shared" si="14"/>
        <v>1</v>
      </c>
      <c r="CC232" s="46">
        <f t="shared" si="15"/>
        <v>1</v>
      </c>
      <c r="CD232" s="46">
        <f t="shared" si="16"/>
        <v>1</v>
      </c>
      <c r="CE232" s="46">
        <f t="shared" si="17"/>
        <v>0</v>
      </c>
      <c r="CF232" s="46">
        <f t="shared" si="18"/>
        <v>0</v>
      </c>
      <c r="CG232" s="46" t="str">
        <f ca="1">IFERROR(__xludf.DUMMYFUNCTION("if(OR(BH232="""",LEFT(BH232,2)=""LA""),"""",IMPORTXML(CONCATENATE(""https://loinc.org/"",BH232,""/""),""//span[@id='lcn']""))"),"")</f>
        <v/>
      </c>
      <c r="CH232" s="46"/>
      <c r="CI232" s="46"/>
      <c r="CJ232" s="46"/>
      <c r="CK232" s="46"/>
      <c r="CL232" s="46"/>
      <c r="CM232" s="46"/>
      <c r="CN232" s="46"/>
      <c r="CO232" s="46"/>
      <c r="CP232" s="46"/>
      <c r="CQ232" s="46"/>
      <c r="CR232" s="46"/>
      <c r="CS232" s="46"/>
      <c r="CT232" s="46"/>
      <c r="CU232" s="46"/>
    </row>
    <row r="233" spans="1:99" ht="12.75" customHeight="1">
      <c r="A233" s="399">
        <v>1472</v>
      </c>
      <c r="B233" s="399" t="s">
        <v>4584</v>
      </c>
      <c r="C233" s="399">
        <f t="shared" si="42"/>
        <v>1472</v>
      </c>
      <c r="D233" s="399" t="str">
        <f t="shared" si="43"/>
        <v>Cardiovascular disease category</v>
      </c>
      <c r="E233" s="399" t="str">
        <f t="shared" si="44"/>
        <v>Cardiovascular disease category</v>
      </c>
      <c r="F233" s="409" t="s">
        <v>3164</v>
      </c>
      <c r="G233" s="400">
        <f>LEN(B233)</f>
        <v>31</v>
      </c>
      <c r="H233" s="400" t="str">
        <f>IF(F233="Input Option",IF(H232="",B232,H232),"")</f>
        <v/>
      </c>
      <c r="I233" s="400"/>
      <c r="J233" s="400"/>
      <c r="K233" s="401" t="s">
        <v>3333</v>
      </c>
      <c r="L233" s="402" t="s">
        <v>4518</v>
      </c>
      <c r="M233" s="400"/>
      <c r="N233" s="427" t="s">
        <v>4417</v>
      </c>
      <c r="O233" s="428"/>
      <c r="P233" s="405" t="s">
        <v>4585</v>
      </c>
      <c r="Q233" s="403" t="s">
        <v>4584</v>
      </c>
      <c r="R233" s="403"/>
      <c r="S233" s="403" t="s">
        <v>4586</v>
      </c>
      <c r="T233" s="407"/>
      <c r="U233" s="407"/>
      <c r="V233" s="407"/>
      <c r="W233" s="407"/>
      <c r="X233" s="403" t="s">
        <v>208</v>
      </c>
      <c r="Y233" s="407"/>
      <c r="Z233" s="403" t="s">
        <v>113</v>
      </c>
      <c r="AA233" s="407" t="s">
        <v>3178</v>
      </c>
      <c r="AB233" s="432" t="s">
        <v>4587</v>
      </c>
      <c r="AC233" s="421"/>
      <c r="AD233" s="421"/>
      <c r="AE233" s="408"/>
      <c r="AF233" s="407" t="s">
        <v>4489</v>
      </c>
      <c r="AG233" s="407" t="s">
        <v>3851</v>
      </c>
      <c r="AH233" s="399"/>
      <c r="AI233" s="400"/>
      <c r="AJ233" s="399"/>
      <c r="AK233" s="399"/>
      <c r="AL233" s="399"/>
      <c r="AM233" s="399"/>
      <c r="AN233" s="399"/>
      <c r="AO233" s="399"/>
      <c r="AP233" s="399"/>
      <c r="AQ233" s="409" t="s">
        <v>115</v>
      </c>
      <c r="AR233" s="399"/>
      <c r="AS233" s="399"/>
      <c r="AT233" s="399"/>
      <c r="AU233" s="399" t="s">
        <v>4588</v>
      </c>
      <c r="AV233" s="399" t="str">
        <f t="shared" si="47"/>
        <v>Changed</v>
      </c>
      <c r="AW233" s="399"/>
      <c r="AX233" s="409" t="s">
        <v>3343</v>
      </c>
      <c r="AY233" s="399" t="str">
        <f t="shared" si="48"/>
        <v/>
      </c>
      <c r="AZ233" s="399"/>
      <c r="BA233" s="409">
        <v>0</v>
      </c>
      <c r="BB233" s="399"/>
      <c r="BC233" s="399"/>
      <c r="BD233" s="399"/>
      <c r="BE233" s="411"/>
      <c r="BF233" s="411"/>
      <c r="BG233" s="411"/>
      <c r="BH233" s="411"/>
      <c r="BI233" s="411"/>
      <c r="BJ233" s="399" t="s">
        <v>3106</v>
      </c>
      <c r="BK233" s="399"/>
      <c r="BL233" s="399"/>
      <c r="BM233" s="409"/>
      <c r="BN233" s="399"/>
      <c r="BO233" s="399"/>
      <c r="BP233" s="399"/>
      <c r="BQ233" s="399"/>
      <c r="BR233" s="399"/>
      <c r="BS233" s="407"/>
      <c r="BT233" s="407"/>
      <c r="BU233" s="412"/>
      <c r="BV233" s="46" t="str">
        <f t="shared" si="8"/>
        <v/>
      </c>
      <c r="BW233" s="46" t="str">
        <f t="shared" si="9"/>
        <v/>
      </c>
      <c r="BX233" s="46" t="str">
        <f t="shared" si="10"/>
        <v/>
      </c>
      <c r="BY233" s="43" t="str">
        <f t="shared" si="11"/>
        <v/>
      </c>
      <c r="BZ233" s="46">
        <f t="shared" si="12"/>
        <v>1</v>
      </c>
      <c r="CA233" s="46" t="str">
        <f t="shared" si="13"/>
        <v/>
      </c>
      <c r="CB233" s="46">
        <f t="shared" si="14"/>
        <v>1</v>
      </c>
      <c r="CC233" s="46">
        <f t="shared" si="15"/>
        <v>1</v>
      </c>
      <c r="CD233" s="46">
        <f t="shared" si="16"/>
        <v>1</v>
      </c>
      <c r="CE233" s="46">
        <f t="shared" si="17"/>
        <v>0</v>
      </c>
      <c r="CF233" s="46">
        <f t="shared" si="18"/>
        <v>0</v>
      </c>
      <c r="CG233" s="46" t="str">
        <f ca="1">IFERROR(__xludf.DUMMYFUNCTION("if(OR(BH233="""",LEFT(BH233,2)=""LA""),"""",IMPORTXML(CONCATENATE(""https://loinc.org/"",BH233,""/""),""//span[@id='lcn']""))"),"")</f>
        <v/>
      </c>
      <c r="CH233" s="46"/>
      <c r="CI233" s="46"/>
      <c r="CJ233" s="46"/>
      <c r="CK233" s="46"/>
      <c r="CL233" s="46"/>
      <c r="CM233" s="46"/>
      <c r="CN233" s="46"/>
      <c r="CO233" s="46"/>
      <c r="CP233" s="46"/>
      <c r="CQ233" s="46"/>
      <c r="CR233" s="46"/>
      <c r="CS233" s="46"/>
      <c r="CT233" s="46"/>
      <c r="CU233" s="46"/>
    </row>
    <row r="234" spans="1:99" ht="12.75" customHeight="1">
      <c r="A234" s="399">
        <v>1473</v>
      </c>
      <c r="B234" s="409" t="s">
        <v>4589</v>
      </c>
      <c r="C234" s="399">
        <f t="shared" si="42"/>
        <v>1473</v>
      </c>
      <c r="D234" s="399" t="e">
        <f t="shared" ca="1" si="43"/>
        <v>#NAME?</v>
      </c>
      <c r="E234" s="399" t="str">
        <f t="shared" si="44"/>
        <v>Stroke</v>
      </c>
      <c r="F234" s="410" t="s">
        <v>180</v>
      </c>
      <c r="G234" s="400">
        <v>23</v>
      </c>
      <c r="H234" s="399" t="s">
        <v>4475</v>
      </c>
      <c r="I234" s="400"/>
      <c r="J234" s="400"/>
      <c r="K234" s="401" t="s">
        <v>3333</v>
      </c>
      <c r="L234" s="402" t="s">
        <v>4518</v>
      </c>
      <c r="M234" s="400"/>
      <c r="N234" s="427" t="s">
        <v>4417</v>
      </c>
      <c r="O234" s="428"/>
      <c r="P234" s="405" t="s">
        <v>4590</v>
      </c>
      <c r="Q234" s="403"/>
      <c r="R234" s="403"/>
      <c r="S234" s="403"/>
      <c r="T234" s="407"/>
      <c r="U234" s="407"/>
      <c r="V234" s="407" t="s">
        <v>4589</v>
      </c>
      <c r="W234" s="407"/>
      <c r="X234" s="403" t="s">
        <v>208</v>
      </c>
      <c r="Y234" s="407"/>
      <c r="Z234" s="403" t="s">
        <v>113</v>
      </c>
      <c r="AA234" s="407" t="s">
        <v>3178</v>
      </c>
      <c r="AB234" s="408"/>
      <c r="AC234" s="407"/>
      <c r="AD234" s="407"/>
      <c r="AE234" s="408"/>
      <c r="AF234" s="407" t="s">
        <v>4489</v>
      </c>
      <c r="AG234" s="407" t="s">
        <v>3851</v>
      </c>
      <c r="AH234" s="399"/>
      <c r="AI234" s="400"/>
      <c r="AJ234" s="399"/>
      <c r="AK234" s="440"/>
      <c r="AL234" s="409"/>
      <c r="AM234" s="409"/>
      <c r="AN234" s="409"/>
      <c r="AO234" s="399"/>
      <c r="AP234" s="409"/>
      <c r="AQ234" s="409" t="s">
        <v>3130</v>
      </c>
      <c r="AR234" s="409" t="s">
        <v>4478</v>
      </c>
      <c r="AS234" s="409"/>
      <c r="AT234" s="399"/>
      <c r="AU234" s="399" t="s">
        <v>4591</v>
      </c>
      <c r="AV234" s="399" t="str">
        <f t="shared" si="47"/>
        <v>Changed</v>
      </c>
      <c r="AW234" s="399"/>
      <c r="AX234" s="409" t="s">
        <v>3343</v>
      </c>
      <c r="AY234" s="399" t="e">
        <f t="shared" ca="1" si="48"/>
        <v>#NAME?</v>
      </c>
      <c r="AZ234" s="399"/>
      <c r="BA234" s="409">
        <v>1</v>
      </c>
      <c r="BB234" s="399"/>
      <c r="BC234" s="409"/>
      <c r="BD234" s="409" t="s">
        <v>3162</v>
      </c>
      <c r="BE234" s="411" t="s">
        <v>4592</v>
      </c>
      <c r="BF234" s="411" t="s">
        <v>4593</v>
      </c>
      <c r="BG234" s="434" t="s">
        <v>4594</v>
      </c>
      <c r="BH234" s="411"/>
      <c r="BI234" s="411"/>
      <c r="BJ234" s="399"/>
      <c r="BK234" s="399"/>
      <c r="BL234" s="399"/>
      <c r="BM234" s="399"/>
      <c r="BN234" s="399"/>
      <c r="BO234" s="399">
        <v>144475</v>
      </c>
      <c r="BP234" s="399"/>
      <c r="BQ234" s="399"/>
      <c r="BR234" s="399"/>
      <c r="BS234" s="407"/>
      <c r="BT234" s="407"/>
      <c r="BU234" s="412"/>
      <c r="BV234" s="46" t="str">
        <f t="shared" si="8"/>
        <v/>
      </c>
      <c r="BW234" s="46">
        <f t="shared" si="9"/>
        <v>0</v>
      </c>
      <c r="BX234" s="46">
        <f t="shared" si="10"/>
        <v>0</v>
      </c>
      <c r="BY234" s="43" t="str">
        <f t="shared" si="11"/>
        <v>WHO-FP Condition (Medical Eligibility)</v>
      </c>
      <c r="BZ234" s="46">
        <f t="shared" si="12"/>
        <v>1</v>
      </c>
      <c r="CA234" s="46" t="str">
        <f t="shared" si="13"/>
        <v/>
      </c>
      <c r="CB234" s="46">
        <f t="shared" si="14"/>
        <v>1</v>
      </c>
      <c r="CC234" s="46">
        <f t="shared" si="15"/>
        <v>1</v>
      </c>
      <c r="CD234" s="46">
        <f t="shared" si="16"/>
        <v>1</v>
      </c>
      <c r="CE234" s="46">
        <f t="shared" si="17"/>
        <v>0</v>
      </c>
      <c r="CF234" s="46">
        <f t="shared" si="18"/>
        <v>0</v>
      </c>
      <c r="CG234" s="46" t="str">
        <f ca="1">IFERROR(__xludf.DUMMYFUNCTION("if(OR(BH234="""",LEFT(BH234,2)=""LA""),"""",IMPORTXML(CONCATENATE(""https://loinc.org/"",BH234,""/""),""//span[@id='lcn']""))"),"")</f>
        <v/>
      </c>
      <c r="CH234" s="46"/>
      <c r="CI234" s="46"/>
      <c r="CJ234" s="46"/>
      <c r="CK234" s="46"/>
      <c r="CL234" s="46"/>
      <c r="CM234" s="46"/>
      <c r="CN234" s="46"/>
      <c r="CO234" s="46"/>
      <c r="CP234" s="46"/>
      <c r="CQ234" s="46"/>
      <c r="CR234" s="46"/>
      <c r="CS234" s="46"/>
      <c r="CT234" s="46"/>
      <c r="CU234" s="46"/>
    </row>
    <row r="235" spans="1:99" ht="12.75" customHeight="1">
      <c r="A235" s="399">
        <v>1474</v>
      </c>
      <c r="B235" s="409" t="s">
        <v>4595</v>
      </c>
      <c r="C235" s="399">
        <f t="shared" si="42"/>
        <v>1474</v>
      </c>
      <c r="D235" s="399" t="e">
        <f t="shared" ca="1" si="43"/>
        <v>#NAME?</v>
      </c>
      <c r="E235" s="399" t="str">
        <f t="shared" si="44"/>
        <v>Ischaemic heart disease</v>
      </c>
      <c r="F235" s="410" t="s">
        <v>180</v>
      </c>
      <c r="G235" s="400">
        <v>23</v>
      </c>
      <c r="H235" s="399" t="s">
        <v>4475</v>
      </c>
      <c r="I235" s="400"/>
      <c r="J235" s="400"/>
      <c r="K235" s="401" t="s">
        <v>3333</v>
      </c>
      <c r="L235" s="402" t="s">
        <v>4518</v>
      </c>
      <c r="M235" s="400"/>
      <c r="N235" s="427" t="s">
        <v>4417</v>
      </c>
      <c r="O235" s="428"/>
      <c r="P235" s="405" t="s">
        <v>4596</v>
      </c>
      <c r="Q235" s="403"/>
      <c r="R235" s="403"/>
      <c r="S235" s="403"/>
      <c r="T235" s="407"/>
      <c r="U235" s="407"/>
      <c r="V235" s="432" t="s">
        <v>4595</v>
      </c>
      <c r="W235" s="407"/>
      <c r="X235" s="403" t="s">
        <v>208</v>
      </c>
      <c r="Y235" s="407"/>
      <c r="Z235" s="403" t="s">
        <v>113</v>
      </c>
      <c r="AA235" s="407" t="s">
        <v>3178</v>
      </c>
      <c r="AB235" s="408"/>
      <c r="AC235" s="407"/>
      <c r="AD235" s="407"/>
      <c r="AE235" s="408"/>
      <c r="AF235" s="407" t="s">
        <v>4489</v>
      </c>
      <c r="AG235" s="407" t="s">
        <v>3851</v>
      </c>
      <c r="AH235" s="399"/>
      <c r="AI235" s="400"/>
      <c r="AJ235" s="399"/>
      <c r="AK235" s="440"/>
      <c r="AL235" s="409"/>
      <c r="AM235" s="409"/>
      <c r="AN235" s="409"/>
      <c r="AO235" s="399"/>
      <c r="AP235" s="409"/>
      <c r="AQ235" s="409" t="s">
        <v>3130</v>
      </c>
      <c r="AR235" s="409" t="s">
        <v>4478</v>
      </c>
      <c r="AS235" s="409"/>
      <c r="AT235" s="399"/>
      <c r="AU235" s="399" t="s">
        <v>4597</v>
      </c>
      <c r="AV235" s="399" t="str">
        <f t="shared" si="47"/>
        <v>Changed</v>
      </c>
      <c r="AW235" s="399"/>
      <c r="AX235" s="409" t="s">
        <v>3343</v>
      </c>
      <c r="AY235" s="399" t="e">
        <f t="shared" ca="1" si="48"/>
        <v>#NAME?</v>
      </c>
      <c r="AZ235" s="399"/>
      <c r="BA235" s="409">
        <v>1</v>
      </c>
      <c r="BB235" s="399"/>
      <c r="BC235" s="409"/>
      <c r="BD235" s="409" t="s">
        <v>3162</v>
      </c>
      <c r="BE235" s="411" t="s">
        <v>4598</v>
      </c>
      <c r="BF235" s="411" t="s">
        <v>4599</v>
      </c>
      <c r="BG235" s="434" t="s">
        <v>4600</v>
      </c>
      <c r="BH235" s="411"/>
      <c r="BI235" s="411"/>
      <c r="BJ235" s="399"/>
      <c r="BK235" s="399"/>
      <c r="BL235" s="399"/>
      <c r="BM235" s="399"/>
      <c r="BN235" s="399"/>
      <c r="BO235" s="399">
        <v>122009</v>
      </c>
      <c r="BP235" s="399"/>
      <c r="BQ235" s="399"/>
      <c r="BR235" s="399"/>
      <c r="BS235" s="407"/>
      <c r="BT235" s="407"/>
      <c r="BU235" s="412"/>
      <c r="BV235" s="46" t="str">
        <f t="shared" si="8"/>
        <v/>
      </c>
      <c r="BW235" s="46">
        <f t="shared" si="9"/>
        <v>0</v>
      </c>
      <c r="BX235" s="46">
        <f t="shared" si="10"/>
        <v>0</v>
      </c>
      <c r="BY235" s="43" t="str">
        <f t="shared" si="11"/>
        <v>WHO-FP Condition (Medical Eligibility)</v>
      </c>
      <c r="BZ235" s="46">
        <f t="shared" si="12"/>
        <v>1</v>
      </c>
      <c r="CA235" s="46" t="str">
        <f t="shared" si="13"/>
        <v/>
      </c>
      <c r="CB235" s="46">
        <f t="shared" si="14"/>
        <v>1</v>
      </c>
      <c r="CC235" s="46">
        <f t="shared" si="15"/>
        <v>1</v>
      </c>
      <c r="CD235" s="46">
        <f t="shared" si="16"/>
        <v>1</v>
      </c>
      <c r="CE235" s="46">
        <f t="shared" si="17"/>
        <v>0</v>
      </c>
      <c r="CF235" s="46">
        <f t="shared" si="18"/>
        <v>0</v>
      </c>
      <c r="CG235" s="46" t="str">
        <f ca="1">IFERROR(__xludf.DUMMYFUNCTION("if(OR(BH235="""",LEFT(BH235,2)=""LA""),"""",IMPORTXML(CONCATENATE(""https://loinc.org/"",BH235,""/""),""//span[@id='lcn']""))"),"")</f>
        <v/>
      </c>
      <c r="CH235" s="46"/>
      <c r="CI235" s="46"/>
      <c r="CJ235" s="46"/>
      <c r="CK235" s="46"/>
      <c r="CL235" s="46"/>
      <c r="CM235" s="46"/>
      <c r="CN235" s="46"/>
      <c r="CO235" s="46"/>
      <c r="CP235" s="46"/>
      <c r="CQ235" s="46"/>
      <c r="CR235" s="46"/>
      <c r="CS235" s="46"/>
      <c r="CT235" s="46"/>
      <c r="CU235" s="46"/>
    </row>
    <row r="236" spans="1:99" ht="12.75" customHeight="1">
      <c r="A236" s="409">
        <v>1864</v>
      </c>
      <c r="B236" s="399" t="s">
        <v>4601</v>
      </c>
      <c r="C236" s="399">
        <f t="shared" si="42"/>
        <v>1864</v>
      </c>
      <c r="D236" s="399" t="str">
        <f t="shared" si="43"/>
        <v>Body mass index (BMI)</v>
      </c>
      <c r="E236" s="399" t="str">
        <f t="shared" si="44"/>
        <v>Body mass index (BMI)</v>
      </c>
      <c r="F236" s="399" t="str">
        <f t="shared" ref="F236:F243" si="52">IF(AND(ISBLANK(V236)=FALSE,OR(T236="MC",T236="")),"Input Option","Data Element")</f>
        <v>Data Element</v>
      </c>
      <c r="G236" s="400">
        <f t="shared" ref="G236:G244" si="53">LEN(B236)</f>
        <v>21</v>
      </c>
      <c r="H236" s="400" t="str">
        <f t="shared" ref="H236:H244" si="54">IF(F236="Input Option",IF(H235="",B235,H235),"")</f>
        <v/>
      </c>
      <c r="I236" s="400"/>
      <c r="J236" s="400"/>
      <c r="K236" s="401" t="s">
        <v>3333</v>
      </c>
      <c r="L236" s="402" t="s">
        <v>3450</v>
      </c>
      <c r="M236" s="400"/>
      <c r="N236" s="427" t="s">
        <v>4417</v>
      </c>
      <c r="O236" s="428"/>
      <c r="P236" s="405"/>
      <c r="Q236" s="403" t="s">
        <v>4601</v>
      </c>
      <c r="R236" s="403"/>
      <c r="S236" s="403" t="s">
        <v>1337</v>
      </c>
      <c r="T236" s="407" t="s">
        <v>1318</v>
      </c>
      <c r="U236" s="407"/>
      <c r="V236" s="407"/>
      <c r="W236" s="407"/>
      <c r="X236" s="403"/>
      <c r="Y236" s="407"/>
      <c r="Z236" s="403" t="s">
        <v>208</v>
      </c>
      <c r="AA236" s="407" t="s">
        <v>1889</v>
      </c>
      <c r="AB236" s="408"/>
      <c r="AC236" s="407"/>
      <c r="AD236" s="407"/>
      <c r="AE236" s="408"/>
      <c r="AF236" s="432" t="s">
        <v>4602</v>
      </c>
      <c r="AG236" s="421"/>
      <c r="AH236" s="399"/>
      <c r="AI236" s="400"/>
      <c r="AJ236" s="399" t="s">
        <v>1787</v>
      </c>
      <c r="AK236" s="409" t="s">
        <v>3410</v>
      </c>
      <c r="AL236" s="409" t="s">
        <v>3456</v>
      </c>
      <c r="AM236" s="409" t="s">
        <v>3100</v>
      </c>
      <c r="AN236" s="409" t="s">
        <v>3101</v>
      </c>
      <c r="AO236" s="399" t="s">
        <v>4603</v>
      </c>
      <c r="AP236" s="409" t="s">
        <v>4604</v>
      </c>
      <c r="AQ236" s="409" t="s">
        <v>3424</v>
      </c>
      <c r="AR236" s="399"/>
      <c r="AS236" s="399"/>
      <c r="AT236" s="399" t="s">
        <v>4605</v>
      </c>
      <c r="AU236" s="399"/>
      <c r="AV236" s="399" t="str">
        <f t="shared" si="47"/>
        <v/>
      </c>
      <c r="AW236" s="399"/>
      <c r="AX236" s="409" t="s">
        <v>3104</v>
      </c>
      <c r="AY236" s="399" t="str">
        <f t="shared" si="48"/>
        <v/>
      </c>
      <c r="AZ236" s="409" t="s">
        <v>3105</v>
      </c>
      <c r="BA236" s="409">
        <v>1</v>
      </c>
      <c r="BB236" s="399"/>
      <c r="BC236" s="399" t="s">
        <v>1787</v>
      </c>
      <c r="BD236" s="409" t="s">
        <v>3162</v>
      </c>
      <c r="BE236" s="411"/>
      <c r="BF236" s="411" t="s">
        <v>1787</v>
      </c>
      <c r="BG236" s="480" t="s">
        <v>4606</v>
      </c>
      <c r="BH236" s="481" t="s">
        <v>4607</v>
      </c>
      <c r="BI236" s="411"/>
      <c r="BJ236" s="399" t="s">
        <v>1787</v>
      </c>
      <c r="BK236" s="399" t="s">
        <v>1787</v>
      </c>
      <c r="BL236" s="399"/>
      <c r="BM236" s="399" t="s">
        <v>1787</v>
      </c>
      <c r="BN236" s="399" t="s">
        <v>1787</v>
      </c>
      <c r="BO236" s="399" t="s">
        <v>1787</v>
      </c>
      <c r="BP236" s="399" t="s">
        <v>1787</v>
      </c>
      <c r="BQ236" s="399" t="s">
        <v>1787</v>
      </c>
      <c r="BR236" s="399" t="s">
        <v>1787</v>
      </c>
      <c r="BS236" s="407"/>
      <c r="BT236" s="407"/>
      <c r="BU236" s="412"/>
      <c r="BV236" s="46" t="str">
        <f t="shared" si="8"/>
        <v>Observation</v>
      </c>
      <c r="BW236" s="46" t="str">
        <f t="shared" si="9"/>
        <v/>
      </c>
      <c r="BX236" s="46" t="str">
        <f t="shared" si="10"/>
        <v>Observation</v>
      </c>
      <c r="BY236" s="43" t="str">
        <f t="shared" si="11"/>
        <v xml:space="preserve">WHO-Core Observation (BMI) </v>
      </c>
      <c r="BZ236" s="46">
        <f t="shared" si="12"/>
        <v>1</v>
      </c>
      <c r="CA236" s="46">
        <f t="shared" si="13"/>
        <v>0</v>
      </c>
      <c r="CB236" s="46">
        <f t="shared" si="14"/>
        <v>1</v>
      </c>
      <c r="CC236" s="46">
        <f t="shared" si="15"/>
        <v>1</v>
      </c>
      <c r="CD236" s="46">
        <f t="shared" si="16"/>
        <v>1</v>
      </c>
      <c r="CE236" s="46">
        <f t="shared" si="17"/>
        <v>0</v>
      </c>
      <c r="CF236" s="46">
        <f t="shared" si="18"/>
        <v>0</v>
      </c>
      <c r="CG236" s="46" t="str">
        <f ca="1">IFERROR(__xludf.DUMMYFUNCTION("if(OR(BH236="""",LEFT(BH236,2)=""LA""),"""",IMPORTXML(CONCATENATE(""https://loinc.org/"",BH236,""/""),""//span[@id='lcn']""))"),"Body mass index (BMI) [Ratio]")</f>
        <v>Body mass index (BMI) [Ratio]</v>
      </c>
      <c r="CH236" s="46"/>
      <c r="CI236" s="46"/>
      <c r="CJ236" s="46"/>
      <c r="CK236" s="46"/>
      <c r="CL236" s="46"/>
      <c r="CM236" s="46"/>
      <c r="CN236" s="46"/>
      <c r="CO236" s="46"/>
      <c r="CP236" s="46"/>
      <c r="CQ236" s="46"/>
      <c r="CR236" s="46"/>
      <c r="CS236" s="46"/>
      <c r="CT236" s="46"/>
      <c r="CU236" s="46"/>
    </row>
    <row r="237" spans="1:99" ht="12.75" customHeight="1">
      <c r="A237" s="399">
        <v>1475</v>
      </c>
      <c r="B237" s="399" t="s">
        <v>4608</v>
      </c>
      <c r="C237" s="399">
        <f t="shared" si="42"/>
        <v>1475</v>
      </c>
      <c r="D237" s="399" t="str">
        <f t="shared" si="43"/>
        <v>Cardiovascular risk factor</v>
      </c>
      <c r="E237" s="399" t="str">
        <f t="shared" si="44"/>
        <v>Cardiovascular risk factor</v>
      </c>
      <c r="F237" s="399" t="str">
        <f t="shared" si="52"/>
        <v>Data Element</v>
      </c>
      <c r="G237" s="400">
        <f t="shared" si="53"/>
        <v>26</v>
      </c>
      <c r="H237" s="400" t="str">
        <f t="shared" si="54"/>
        <v/>
      </c>
      <c r="I237" s="400"/>
      <c r="J237" s="400"/>
      <c r="K237" s="401" t="s">
        <v>3333</v>
      </c>
      <c r="L237" s="402" t="s">
        <v>4518</v>
      </c>
      <c r="M237" s="400"/>
      <c r="N237" s="427" t="s">
        <v>4417</v>
      </c>
      <c r="O237" s="428"/>
      <c r="P237" s="405" t="s">
        <v>4609</v>
      </c>
      <c r="Q237" s="403" t="s">
        <v>4608</v>
      </c>
      <c r="R237" s="403"/>
      <c r="S237" s="403" t="s">
        <v>4610</v>
      </c>
      <c r="T237" s="407" t="s">
        <v>3339</v>
      </c>
      <c r="U237" s="432" t="s">
        <v>3326</v>
      </c>
      <c r="V237" s="407"/>
      <c r="W237" s="407"/>
      <c r="X237" s="403" t="s">
        <v>208</v>
      </c>
      <c r="Y237" s="407"/>
      <c r="Z237" s="403" t="s">
        <v>113</v>
      </c>
      <c r="AA237" s="407" t="s">
        <v>3178</v>
      </c>
      <c r="AB237" s="432" t="s">
        <v>4579</v>
      </c>
      <c r="AC237" s="421"/>
      <c r="AD237" s="421"/>
      <c r="AE237" s="408"/>
      <c r="AF237" s="407" t="s">
        <v>4489</v>
      </c>
      <c r="AG237" s="407" t="s">
        <v>3851</v>
      </c>
      <c r="AH237" s="399"/>
      <c r="AI237" s="400"/>
      <c r="AJ237" s="399"/>
      <c r="AK237" s="440" t="s">
        <v>3410</v>
      </c>
      <c r="AL237" s="409" t="s">
        <v>3181</v>
      </c>
      <c r="AM237" s="409" t="s">
        <v>3100</v>
      </c>
      <c r="AN237" s="409" t="s">
        <v>3101</v>
      </c>
      <c r="AO237" s="399"/>
      <c r="AP237" s="409"/>
      <c r="AQ237" s="409" t="s">
        <v>115</v>
      </c>
      <c r="AR237" s="399"/>
      <c r="AS237" s="399"/>
      <c r="AT237" s="399"/>
      <c r="AU237" s="399" t="s">
        <v>4608</v>
      </c>
      <c r="AV237" s="399" t="str">
        <f t="shared" si="47"/>
        <v>Same</v>
      </c>
      <c r="AW237" s="399"/>
      <c r="AX237" s="409" t="s">
        <v>3343</v>
      </c>
      <c r="AY237" s="399" t="str">
        <f t="shared" si="48"/>
        <v/>
      </c>
      <c r="AZ237" s="399"/>
      <c r="BA237" s="409">
        <v>0</v>
      </c>
      <c r="BB237" s="399"/>
      <c r="BC237" s="399"/>
      <c r="BD237" s="399"/>
      <c r="BE237" s="411"/>
      <c r="BF237" s="411"/>
      <c r="BG237" s="434" t="s">
        <v>4611</v>
      </c>
      <c r="BH237" s="411"/>
      <c r="BI237" s="411"/>
      <c r="BJ237" s="399"/>
      <c r="BK237" s="399"/>
      <c r="BL237" s="399"/>
      <c r="BM237" s="409" t="s">
        <v>4612</v>
      </c>
      <c r="BN237" s="438" t="str">
        <f t="shared" ref="BN237:BN239" si="55">HYPERLINK("https://github.com/who-int/Data-Dictionary-Mapping/issues/73","73 (closed)")</f>
        <v>73 (closed)</v>
      </c>
      <c r="BO237" s="399"/>
      <c r="BP237" s="399"/>
      <c r="BQ237" s="399"/>
      <c r="BR237" s="399"/>
      <c r="BS237" s="407"/>
      <c r="BT237" s="407"/>
      <c r="BU237" s="412"/>
      <c r="BV237" s="46" t="str">
        <f t="shared" si="8"/>
        <v/>
      </c>
      <c r="BW237" s="46" t="str">
        <f t="shared" si="9"/>
        <v/>
      </c>
      <c r="BX237" s="46" t="str">
        <f t="shared" si="10"/>
        <v/>
      </c>
      <c r="BY237" s="43">
        <f t="shared" si="11"/>
        <v>0</v>
      </c>
      <c r="BZ237" s="46">
        <f t="shared" si="12"/>
        <v>1</v>
      </c>
      <c r="CA237" s="46">
        <f t="shared" si="13"/>
        <v>1</v>
      </c>
      <c r="CB237" s="46">
        <f t="shared" si="14"/>
        <v>1</v>
      </c>
      <c r="CC237" s="46">
        <f t="shared" si="15"/>
        <v>1</v>
      </c>
      <c r="CD237" s="46">
        <f t="shared" si="16"/>
        <v>1</v>
      </c>
      <c r="CE237" s="46">
        <f t="shared" si="17"/>
        <v>0</v>
      </c>
      <c r="CF237" s="46">
        <f t="shared" si="18"/>
        <v>0</v>
      </c>
      <c r="CG237" s="46" t="str">
        <f ca="1">IFERROR(__xludf.DUMMYFUNCTION("if(OR(BH237="""",LEFT(BH237,2)=""LA""),"""",IMPORTXML(CONCATENATE(""https://loinc.org/"",BH237,""/""),""//span[@id='lcn']""))"),"")</f>
        <v/>
      </c>
      <c r="CH237" s="46"/>
      <c r="CI237" s="46"/>
      <c r="CJ237" s="46"/>
      <c r="CK237" s="46"/>
      <c r="CL237" s="46"/>
      <c r="CM237" s="46"/>
      <c r="CN237" s="46"/>
      <c r="CO237" s="46"/>
      <c r="CP237" s="46"/>
      <c r="CQ237" s="46"/>
      <c r="CR237" s="46"/>
      <c r="CS237" s="46"/>
      <c r="CT237" s="46"/>
      <c r="CU237" s="46"/>
    </row>
    <row r="238" spans="1:99" ht="12.75" customHeight="1">
      <c r="A238" s="409">
        <v>1476</v>
      </c>
      <c r="B238" s="399" t="s">
        <v>4613</v>
      </c>
      <c r="C238" s="399">
        <f t="shared" si="42"/>
        <v>1476</v>
      </c>
      <c r="D238" s="399" t="e">
        <f t="shared" ca="1" si="43"/>
        <v>#NAME?</v>
      </c>
      <c r="E238" s="399" t="str">
        <f t="shared" si="44"/>
        <v>Cardiovascular risk due to age</v>
      </c>
      <c r="F238" s="399" t="str">
        <f t="shared" si="52"/>
        <v>Input Option</v>
      </c>
      <c r="G238" s="400">
        <f t="shared" si="53"/>
        <v>37</v>
      </c>
      <c r="H238" s="399" t="str">
        <f t="shared" si="54"/>
        <v>Cardiovascular risk factor</v>
      </c>
      <c r="I238" s="400"/>
      <c r="J238" s="400"/>
      <c r="K238" s="401" t="s">
        <v>3333</v>
      </c>
      <c r="L238" s="402" t="s">
        <v>4518</v>
      </c>
      <c r="M238" s="400"/>
      <c r="N238" s="427" t="s">
        <v>4417</v>
      </c>
      <c r="O238" s="428"/>
      <c r="P238" s="405" t="s">
        <v>4614</v>
      </c>
      <c r="Q238" s="403"/>
      <c r="R238" s="403"/>
      <c r="S238" s="403"/>
      <c r="T238" s="407"/>
      <c r="U238" s="407"/>
      <c r="V238" s="432" t="s">
        <v>4615</v>
      </c>
      <c r="W238" s="407"/>
      <c r="X238" s="403" t="s">
        <v>208</v>
      </c>
      <c r="Y238" s="407"/>
      <c r="Z238" s="403" t="s">
        <v>113</v>
      </c>
      <c r="AA238" s="407" t="s">
        <v>3178</v>
      </c>
      <c r="AB238" s="432" t="s">
        <v>4616</v>
      </c>
      <c r="AC238" s="421"/>
      <c r="AD238" s="407"/>
      <c r="AE238" s="408"/>
      <c r="AF238" s="407" t="s">
        <v>4489</v>
      </c>
      <c r="AG238" s="407" t="s">
        <v>3851</v>
      </c>
      <c r="AH238" s="399"/>
      <c r="AI238" s="400"/>
      <c r="AJ238" s="399"/>
      <c r="AK238" s="399"/>
      <c r="AL238" s="399"/>
      <c r="AM238" s="399"/>
      <c r="AN238" s="399"/>
      <c r="AO238" s="399"/>
      <c r="AP238" s="399"/>
      <c r="AQ238" s="409" t="s">
        <v>115</v>
      </c>
      <c r="AR238" s="399"/>
      <c r="AS238" s="399"/>
      <c r="AT238" s="399"/>
      <c r="AU238" s="399" t="s">
        <v>4617</v>
      </c>
      <c r="AV238" s="399" t="str">
        <f t="shared" si="47"/>
        <v>Changed</v>
      </c>
      <c r="AW238" s="399"/>
      <c r="AX238" s="409" t="s">
        <v>3343</v>
      </c>
      <c r="AY238" s="399" t="e">
        <f t="shared" ca="1" si="48"/>
        <v>#NAME?</v>
      </c>
      <c r="AZ238" s="399"/>
      <c r="BA238" s="409">
        <v>0</v>
      </c>
      <c r="BB238" s="399"/>
      <c r="BC238" s="399"/>
      <c r="BD238" s="399"/>
      <c r="BE238" s="411"/>
      <c r="BF238" s="411"/>
      <c r="BG238" s="434" t="s">
        <v>4611</v>
      </c>
      <c r="BH238" s="434" t="s">
        <v>4618</v>
      </c>
      <c r="BI238" s="411"/>
      <c r="BJ238" s="399"/>
      <c r="BK238" s="409" t="s">
        <v>4619</v>
      </c>
      <c r="BL238" s="399"/>
      <c r="BM238" s="409" t="s">
        <v>4620</v>
      </c>
      <c r="BN238" s="438" t="str">
        <f t="shared" si="55"/>
        <v>73 (closed)</v>
      </c>
      <c r="BO238" s="399"/>
      <c r="BP238" s="399"/>
      <c r="BQ238" s="399"/>
      <c r="BR238" s="399"/>
      <c r="BS238" s="407"/>
      <c r="BT238" s="407"/>
      <c r="BU238" s="412"/>
      <c r="BV238" s="46" t="str">
        <f t="shared" si="8"/>
        <v/>
      </c>
      <c r="BW238" s="46">
        <f t="shared" si="9"/>
        <v>0</v>
      </c>
      <c r="BX238" s="46">
        <f t="shared" si="10"/>
        <v>0</v>
      </c>
      <c r="BY238" s="43">
        <f t="shared" si="11"/>
        <v>0</v>
      </c>
      <c r="BZ238" s="46">
        <f t="shared" si="12"/>
        <v>1</v>
      </c>
      <c r="CA238" s="46" t="str">
        <f t="shared" si="13"/>
        <v/>
      </c>
      <c r="CB238" s="46">
        <f t="shared" si="14"/>
        <v>1</v>
      </c>
      <c r="CC238" s="46">
        <f t="shared" si="15"/>
        <v>1</v>
      </c>
      <c r="CD238" s="46">
        <f t="shared" si="16"/>
        <v>1</v>
      </c>
      <c r="CE238" s="46">
        <f t="shared" si="17"/>
        <v>0</v>
      </c>
      <c r="CF238" s="46">
        <f t="shared" si="18"/>
        <v>0</v>
      </c>
      <c r="CG238" s="46" t="str">
        <f ca="1">IFERROR(__xludf.DUMMYFUNCTION("if(OR(BH238="""",LEFT(BH238,2)=""LA""),"""",IMPORTXML(CONCATENATE(""https://loinc.org/"",BH238,""/""),""//span[@id='lcn']""))"),"Cardiovascular disease 10Y risk")</f>
        <v>Cardiovascular disease 10Y risk</v>
      </c>
      <c r="CH238" s="46"/>
      <c r="CI238" s="46"/>
      <c r="CJ238" s="46"/>
      <c r="CK238" s="46"/>
      <c r="CL238" s="46"/>
      <c r="CM238" s="46"/>
      <c r="CN238" s="46"/>
      <c r="CO238" s="46"/>
      <c r="CP238" s="46"/>
      <c r="CQ238" s="46"/>
      <c r="CR238" s="46"/>
      <c r="CS238" s="46"/>
      <c r="CT238" s="46"/>
      <c r="CU238" s="46"/>
    </row>
    <row r="239" spans="1:99" ht="12.75" customHeight="1">
      <c r="A239" s="399">
        <v>1477</v>
      </c>
      <c r="B239" s="399" t="s">
        <v>4621</v>
      </c>
      <c r="C239" s="399">
        <f t="shared" si="42"/>
        <v>1477</v>
      </c>
      <c r="D239" s="399" t="e">
        <f t="shared" ca="1" si="43"/>
        <v>#NAME?</v>
      </c>
      <c r="E239" s="399" t="str">
        <f t="shared" si="44"/>
        <v>Smoker</v>
      </c>
      <c r="F239" s="399" t="str">
        <f t="shared" si="52"/>
        <v>Input Option</v>
      </c>
      <c r="G239" s="400">
        <f t="shared" si="53"/>
        <v>13</v>
      </c>
      <c r="H239" s="399" t="str">
        <f t="shared" si="54"/>
        <v>Cardiovascular risk factor</v>
      </c>
      <c r="I239" s="400"/>
      <c r="J239" s="400"/>
      <c r="K239" s="401" t="s">
        <v>3333</v>
      </c>
      <c r="L239" s="402" t="s">
        <v>4518</v>
      </c>
      <c r="M239" s="400"/>
      <c r="N239" s="427" t="s">
        <v>4417</v>
      </c>
      <c r="O239" s="428"/>
      <c r="P239" s="405" t="s">
        <v>4622</v>
      </c>
      <c r="Q239" s="403"/>
      <c r="R239" s="403"/>
      <c r="S239" s="403"/>
      <c r="T239" s="407"/>
      <c r="U239" s="407"/>
      <c r="V239" s="407" t="s">
        <v>4623</v>
      </c>
      <c r="W239" s="407"/>
      <c r="X239" s="403" t="s">
        <v>208</v>
      </c>
      <c r="Y239" s="407"/>
      <c r="Z239" s="403" t="s">
        <v>113</v>
      </c>
      <c r="AA239" s="407" t="s">
        <v>3178</v>
      </c>
      <c r="AB239" s="408"/>
      <c r="AC239" s="407"/>
      <c r="AD239" s="407"/>
      <c r="AE239" s="408"/>
      <c r="AF239" s="407" t="s">
        <v>4489</v>
      </c>
      <c r="AG239" s="407" t="s">
        <v>3851</v>
      </c>
      <c r="AH239" s="399"/>
      <c r="AI239" s="400"/>
      <c r="AJ239" s="399"/>
      <c r="AK239" s="399"/>
      <c r="AL239" s="399"/>
      <c r="AM239" s="399"/>
      <c r="AN239" s="399"/>
      <c r="AO239" s="399"/>
      <c r="AP239" s="399"/>
      <c r="AQ239" s="409" t="s">
        <v>115</v>
      </c>
      <c r="AR239" s="399"/>
      <c r="AS239" s="399"/>
      <c r="AT239" s="399"/>
      <c r="AU239" s="399" t="s">
        <v>4621</v>
      </c>
      <c r="AV239" s="399" t="str">
        <f t="shared" si="47"/>
        <v>Same</v>
      </c>
      <c r="AW239" s="399"/>
      <c r="AX239" s="409" t="s">
        <v>3343</v>
      </c>
      <c r="AY239" s="399" t="e">
        <f t="shared" ca="1" si="48"/>
        <v>#NAME?</v>
      </c>
      <c r="AZ239" s="399"/>
      <c r="BA239" s="409">
        <v>0</v>
      </c>
      <c r="BB239" s="399"/>
      <c r="BC239" s="399"/>
      <c r="BD239" s="399"/>
      <c r="BE239" s="411" t="s">
        <v>717</v>
      </c>
      <c r="BF239" s="411" t="s">
        <v>4624</v>
      </c>
      <c r="BG239" s="411" t="s">
        <v>4625</v>
      </c>
      <c r="BH239" s="411"/>
      <c r="BI239" s="411"/>
      <c r="BJ239" s="399"/>
      <c r="BK239" s="399"/>
      <c r="BL239" s="399"/>
      <c r="BM239" s="399"/>
      <c r="BN239" s="438" t="str">
        <f t="shared" si="55"/>
        <v>73 (closed)</v>
      </c>
      <c r="BO239" s="399"/>
      <c r="BP239" s="399"/>
      <c r="BQ239" s="399"/>
      <c r="BR239" s="399"/>
      <c r="BS239" s="407"/>
      <c r="BT239" s="407"/>
      <c r="BU239" s="412"/>
      <c r="BV239" s="46" t="str">
        <f t="shared" si="8"/>
        <v/>
      </c>
      <c r="BW239" s="46">
        <f t="shared" si="9"/>
        <v>0</v>
      </c>
      <c r="BX239" s="46">
        <f t="shared" si="10"/>
        <v>0</v>
      </c>
      <c r="BY239" s="43">
        <f t="shared" si="11"/>
        <v>0</v>
      </c>
      <c r="BZ239" s="46">
        <f t="shared" si="12"/>
        <v>1</v>
      </c>
      <c r="CA239" s="46" t="str">
        <f t="shared" si="13"/>
        <v/>
      </c>
      <c r="CB239" s="46">
        <f t="shared" si="14"/>
        <v>1</v>
      </c>
      <c r="CC239" s="46">
        <f t="shared" si="15"/>
        <v>1</v>
      </c>
      <c r="CD239" s="46">
        <f t="shared" si="16"/>
        <v>1</v>
      </c>
      <c r="CE239" s="46">
        <f t="shared" si="17"/>
        <v>0</v>
      </c>
      <c r="CF239" s="46">
        <f t="shared" si="18"/>
        <v>0</v>
      </c>
      <c r="CG239" s="46" t="str">
        <f ca="1">IFERROR(__xludf.DUMMYFUNCTION("if(OR(BH239="""",LEFT(BH239,2)=""LA""),"""",IMPORTXML(CONCATENATE(""https://loinc.org/"",BH239,""/""),""//span[@id='lcn']""))"),"")</f>
        <v/>
      </c>
      <c r="CH239" s="46"/>
      <c r="CI239" s="46"/>
      <c r="CJ239" s="46"/>
      <c r="CK239" s="46"/>
      <c r="CL239" s="46"/>
      <c r="CM239" s="46"/>
      <c r="CN239" s="46"/>
      <c r="CO239" s="46"/>
      <c r="CP239" s="46"/>
      <c r="CQ239" s="46"/>
      <c r="CR239" s="46"/>
      <c r="CS239" s="46"/>
      <c r="CT239" s="46"/>
      <c r="CU239" s="46"/>
    </row>
    <row r="240" spans="1:99" ht="12.75" customHeight="1">
      <c r="A240" s="399">
        <v>1478</v>
      </c>
      <c r="B240" s="399" t="s">
        <v>1144</v>
      </c>
      <c r="C240" s="399">
        <f t="shared" si="42"/>
        <v>1478</v>
      </c>
      <c r="D240" s="399" t="e">
        <f t="shared" ca="1" si="43"/>
        <v>#NAME?</v>
      </c>
      <c r="E240" s="399" t="str">
        <f t="shared" si="44"/>
        <v>Diabetes</v>
      </c>
      <c r="F240" s="399" t="str">
        <f t="shared" si="52"/>
        <v>Input Option</v>
      </c>
      <c r="G240" s="400">
        <f t="shared" si="53"/>
        <v>15</v>
      </c>
      <c r="H240" s="399" t="str">
        <f t="shared" si="54"/>
        <v>Cardiovascular risk factor</v>
      </c>
      <c r="I240" s="400"/>
      <c r="J240" s="400"/>
      <c r="K240" s="401" t="s">
        <v>3333</v>
      </c>
      <c r="L240" s="402" t="s">
        <v>4518</v>
      </c>
      <c r="M240" s="400"/>
      <c r="N240" s="427" t="s">
        <v>4417</v>
      </c>
      <c r="O240" s="428"/>
      <c r="P240" s="407" t="s">
        <v>4626</v>
      </c>
      <c r="Q240" s="403"/>
      <c r="R240" s="403"/>
      <c r="S240" s="403"/>
      <c r="T240" s="407"/>
      <c r="U240" s="407"/>
      <c r="V240" s="407" t="s">
        <v>879</v>
      </c>
      <c r="W240" s="407"/>
      <c r="X240" s="403" t="s">
        <v>208</v>
      </c>
      <c r="Y240" s="407"/>
      <c r="Z240" s="403" t="s">
        <v>113</v>
      </c>
      <c r="AA240" s="407" t="s">
        <v>3178</v>
      </c>
      <c r="AB240" s="408"/>
      <c r="AC240" s="407"/>
      <c r="AD240" s="407"/>
      <c r="AE240" s="408"/>
      <c r="AF240" s="407" t="s">
        <v>4489</v>
      </c>
      <c r="AG240" s="407" t="s">
        <v>3851</v>
      </c>
      <c r="AH240" s="399"/>
      <c r="AI240" s="400"/>
      <c r="AJ240" s="399"/>
      <c r="AK240" s="440"/>
      <c r="AL240" s="409"/>
      <c r="AM240" s="409"/>
      <c r="AN240" s="409"/>
      <c r="AO240" s="399"/>
      <c r="AP240" s="409"/>
      <c r="AQ240" s="409" t="s">
        <v>115</v>
      </c>
      <c r="AR240" s="399"/>
      <c r="AS240" s="399"/>
      <c r="AT240" s="399"/>
      <c r="AU240" s="399" t="s">
        <v>1144</v>
      </c>
      <c r="AV240" s="399" t="str">
        <f t="shared" si="47"/>
        <v>Same</v>
      </c>
      <c r="AW240" s="399"/>
      <c r="AX240" s="409" t="s">
        <v>3343</v>
      </c>
      <c r="AY240" s="399" t="e">
        <f t="shared" ca="1" si="48"/>
        <v>#NAME?</v>
      </c>
      <c r="AZ240" s="399"/>
      <c r="BA240" s="409">
        <v>0</v>
      </c>
      <c r="BB240" s="399"/>
      <c r="BC240" s="409"/>
      <c r="BD240" s="409" t="s">
        <v>4627</v>
      </c>
      <c r="BE240" s="411" t="s">
        <v>4628</v>
      </c>
      <c r="BF240" s="411"/>
      <c r="BG240" s="434" t="s">
        <v>4629</v>
      </c>
      <c r="BH240" s="411"/>
      <c r="BI240" s="411"/>
      <c r="BJ240" s="399"/>
      <c r="BK240" s="399"/>
      <c r="BL240" s="399"/>
      <c r="BM240" s="399"/>
      <c r="BN240" s="438" t="str">
        <f>HYPERLINK("https://github.com/who-int/Data-Dictionary-Mapping/issues/65","65")</f>
        <v>65</v>
      </c>
      <c r="BO240" s="399"/>
      <c r="BP240" s="399"/>
      <c r="BQ240" s="399"/>
      <c r="BR240" s="399"/>
      <c r="BS240" s="407"/>
      <c r="BT240" s="407"/>
      <c r="BU240" s="412"/>
      <c r="BV240" s="46" t="str">
        <f t="shared" si="8"/>
        <v/>
      </c>
      <c r="BW240" s="46">
        <f t="shared" si="9"/>
        <v>0</v>
      </c>
      <c r="BX240" s="46">
        <f t="shared" si="10"/>
        <v>0</v>
      </c>
      <c r="BY240" s="43">
        <f t="shared" si="11"/>
        <v>0</v>
      </c>
      <c r="BZ240" s="46">
        <f t="shared" si="12"/>
        <v>1</v>
      </c>
      <c r="CA240" s="46" t="str">
        <f t="shared" si="13"/>
        <v/>
      </c>
      <c r="CB240" s="46">
        <f t="shared" si="14"/>
        <v>1</v>
      </c>
      <c r="CC240" s="46">
        <f t="shared" si="15"/>
        <v>1</v>
      </c>
      <c r="CD240" s="46">
        <f t="shared" si="16"/>
        <v>1</v>
      </c>
      <c r="CE240" s="46">
        <f t="shared" si="17"/>
        <v>0</v>
      </c>
      <c r="CF240" s="46">
        <f t="shared" si="18"/>
        <v>0</v>
      </c>
      <c r="CG240" s="46" t="str">
        <f ca="1">IFERROR(__xludf.DUMMYFUNCTION("if(OR(BH240="""",LEFT(BH240,2)=""LA""),"""",IMPORTXML(CONCATENATE(""https://loinc.org/"",BH240,""/""),""//span[@id='lcn']""))"),"")</f>
        <v/>
      </c>
      <c r="CH240" s="46"/>
      <c r="CI240" s="46"/>
      <c r="CJ240" s="46"/>
      <c r="CK240" s="46"/>
      <c r="CL240" s="46"/>
      <c r="CM240" s="46"/>
      <c r="CN240" s="46"/>
      <c r="CO240" s="46"/>
      <c r="CP240" s="46"/>
      <c r="CQ240" s="46"/>
      <c r="CR240" s="46"/>
      <c r="CS240" s="46"/>
      <c r="CT240" s="46"/>
      <c r="CU240" s="46"/>
    </row>
    <row r="241" spans="1:99" ht="12.75" customHeight="1">
      <c r="A241" s="399">
        <v>1479</v>
      </c>
      <c r="B241" s="399" t="s">
        <v>1147</v>
      </c>
      <c r="C241" s="399">
        <f t="shared" si="42"/>
        <v>1479</v>
      </c>
      <c r="D241" s="399" t="e">
        <f t="shared" ca="1" si="43"/>
        <v>#NAME?</v>
      </c>
      <c r="E241" s="399" t="str">
        <f t="shared" si="44"/>
        <v>Hypertension</v>
      </c>
      <c r="F241" s="399" t="str">
        <f t="shared" si="52"/>
        <v>Input Option</v>
      </c>
      <c r="G241" s="400">
        <f t="shared" si="53"/>
        <v>19</v>
      </c>
      <c r="H241" s="399" t="str">
        <f t="shared" si="54"/>
        <v>Cardiovascular risk factor</v>
      </c>
      <c r="I241" s="400"/>
      <c r="J241" s="400"/>
      <c r="K241" s="401" t="s">
        <v>3333</v>
      </c>
      <c r="L241" s="402" t="s">
        <v>4518</v>
      </c>
      <c r="M241" s="400"/>
      <c r="N241" s="427" t="s">
        <v>4417</v>
      </c>
      <c r="O241" s="428"/>
      <c r="P241" s="407" t="s">
        <v>4630</v>
      </c>
      <c r="Q241" s="403"/>
      <c r="R241" s="403"/>
      <c r="S241" s="403"/>
      <c r="T241" s="407"/>
      <c r="U241" s="407"/>
      <c r="V241" s="407" t="s">
        <v>890</v>
      </c>
      <c r="W241" s="407"/>
      <c r="X241" s="403" t="s">
        <v>208</v>
      </c>
      <c r="Y241" s="407"/>
      <c r="Z241" s="403" t="s">
        <v>113</v>
      </c>
      <c r="AA241" s="407" t="s">
        <v>3178</v>
      </c>
      <c r="AB241" s="408"/>
      <c r="AC241" s="407"/>
      <c r="AD241" s="407"/>
      <c r="AE241" s="408"/>
      <c r="AF241" s="407" t="s">
        <v>4489</v>
      </c>
      <c r="AG241" s="407" t="s">
        <v>3851</v>
      </c>
      <c r="AH241" s="399"/>
      <c r="AI241" s="400"/>
      <c r="AJ241" s="399"/>
      <c r="AK241" s="399"/>
      <c r="AL241" s="399"/>
      <c r="AM241" s="399"/>
      <c r="AN241" s="399"/>
      <c r="AO241" s="399"/>
      <c r="AP241" s="399"/>
      <c r="AQ241" s="409" t="s">
        <v>115</v>
      </c>
      <c r="AR241" s="399"/>
      <c r="AS241" s="399"/>
      <c r="AT241" s="399"/>
      <c r="AU241" s="399" t="s">
        <v>1147</v>
      </c>
      <c r="AV241" s="399" t="str">
        <f t="shared" si="47"/>
        <v>Same</v>
      </c>
      <c r="AW241" s="399"/>
      <c r="AX241" s="409" t="s">
        <v>3343</v>
      </c>
      <c r="AY241" s="399" t="e">
        <f t="shared" ca="1" si="48"/>
        <v>#NAME?</v>
      </c>
      <c r="AZ241" s="399"/>
      <c r="BA241" s="409">
        <v>0</v>
      </c>
      <c r="BB241" s="399"/>
      <c r="BC241" s="409"/>
      <c r="BD241" s="409" t="s">
        <v>3162</v>
      </c>
      <c r="BE241" s="411" t="s">
        <v>891</v>
      </c>
      <c r="BF241" s="411" t="s">
        <v>4631</v>
      </c>
      <c r="BG241" s="411" t="s">
        <v>4632</v>
      </c>
      <c r="BH241" s="411"/>
      <c r="BI241" s="411"/>
      <c r="BJ241" s="399"/>
      <c r="BK241" s="399"/>
      <c r="BL241" s="399"/>
      <c r="BM241" s="399"/>
      <c r="BN241" s="485"/>
      <c r="BO241" s="399">
        <v>117399</v>
      </c>
      <c r="BP241" s="399"/>
      <c r="BQ241" s="399"/>
      <c r="BR241" s="399"/>
      <c r="BS241" s="407"/>
      <c r="BT241" s="407"/>
      <c r="BU241" s="412"/>
      <c r="BV241" s="46" t="str">
        <f t="shared" si="8"/>
        <v/>
      </c>
      <c r="BW241" s="46">
        <f t="shared" si="9"/>
        <v>0</v>
      </c>
      <c r="BX241" s="46">
        <f t="shared" si="10"/>
        <v>0</v>
      </c>
      <c r="BY241" s="43">
        <f t="shared" si="11"/>
        <v>0</v>
      </c>
      <c r="BZ241" s="46">
        <f t="shared" si="12"/>
        <v>1</v>
      </c>
      <c r="CA241" s="46" t="str">
        <f t="shared" si="13"/>
        <v/>
      </c>
      <c r="CB241" s="46">
        <f t="shared" si="14"/>
        <v>1</v>
      </c>
      <c r="CC241" s="46">
        <f t="shared" si="15"/>
        <v>1</v>
      </c>
      <c r="CD241" s="46">
        <f t="shared" si="16"/>
        <v>1</v>
      </c>
      <c r="CE241" s="46">
        <f t="shared" si="17"/>
        <v>0</v>
      </c>
      <c r="CF241" s="46">
        <f t="shared" si="18"/>
        <v>0</v>
      </c>
      <c r="CG241" s="46" t="str">
        <f ca="1">IFERROR(__xludf.DUMMYFUNCTION("if(OR(BH241="""",LEFT(BH241,2)=""LA""),"""",IMPORTXML(CONCATENATE(""https://loinc.org/"",BH241,""/""),""//span[@id='lcn']""))"),"")</f>
        <v/>
      </c>
      <c r="CH241" s="46"/>
      <c r="CI241" s="46"/>
      <c r="CJ241" s="46"/>
      <c r="CK241" s="46"/>
      <c r="CL241" s="46"/>
      <c r="CM241" s="46"/>
      <c r="CN241" s="46"/>
      <c r="CO241" s="46"/>
      <c r="CP241" s="46"/>
      <c r="CQ241" s="46"/>
      <c r="CR241" s="46"/>
      <c r="CS241" s="46"/>
      <c r="CT241" s="46"/>
      <c r="CU241" s="46"/>
    </row>
    <row r="242" spans="1:99" ht="12.75" customHeight="1">
      <c r="A242" s="409">
        <v>1480</v>
      </c>
      <c r="B242" s="399" t="s">
        <v>4633</v>
      </c>
      <c r="C242" s="399">
        <f t="shared" si="42"/>
        <v>1480</v>
      </c>
      <c r="D242" s="399" t="e">
        <f t="shared" ca="1" si="43"/>
        <v>#NAME?</v>
      </c>
      <c r="E242" s="399" t="str">
        <f t="shared" si="44"/>
        <v>Obese</v>
      </c>
      <c r="F242" s="399" t="str">
        <f t="shared" si="52"/>
        <v>Input Option</v>
      </c>
      <c r="G242" s="400">
        <f t="shared" si="53"/>
        <v>12</v>
      </c>
      <c r="H242" s="399" t="str">
        <f t="shared" si="54"/>
        <v>Cardiovascular risk factor</v>
      </c>
      <c r="I242" s="400"/>
      <c r="J242" s="400"/>
      <c r="K242" s="401" t="s">
        <v>3333</v>
      </c>
      <c r="L242" s="402" t="s">
        <v>4518</v>
      </c>
      <c r="M242" s="400"/>
      <c r="N242" s="427" t="s">
        <v>4417</v>
      </c>
      <c r="O242" s="428"/>
      <c r="P242" s="407" t="s">
        <v>4634</v>
      </c>
      <c r="Q242" s="403"/>
      <c r="R242" s="403"/>
      <c r="S242" s="403"/>
      <c r="T242" s="407"/>
      <c r="U242" s="407"/>
      <c r="V242" s="407" t="s">
        <v>4635</v>
      </c>
      <c r="W242" s="407"/>
      <c r="X242" s="403" t="s">
        <v>208</v>
      </c>
      <c r="Y242" s="407" t="s">
        <v>4636</v>
      </c>
      <c r="Z242" s="403" t="s">
        <v>113</v>
      </c>
      <c r="AA242" s="407" t="s">
        <v>3178</v>
      </c>
      <c r="AB242" s="432" t="s">
        <v>4637</v>
      </c>
      <c r="AC242" s="421"/>
      <c r="AD242" s="421"/>
      <c r="AE242" s="408"/>
      <c r="AF242" s="407" t="s">
        <v>4489</v>
      </c>
      <c r="AG242" s="407" t="s">
        <v>3851</v>
      </c>
      <c r="AH242" s="399"/>
      <c r="AI242" s="400"/>
      <c r="AJ242" s="399"/>
      <c r="AK242" s="440"/>
      <c r="AL242" s="409"/>
      <c r="AM242" s="409"/>
      <c r="AN242" s="409"/>
      <c r="AO242" s="399"/>
      <c r="AP242" s="409"/>
      <c r="AQ242" s="409" t="s">
        <v>115</v>
      </c>
      <c r="AR242" s="399"/>
      <c r="AS242" s="399"/>
      <c r="AT242" s="399"/>
      <c r="AU242" s="399" t="s">
        <v>4638</v>
      </c>
      <c r="AV242" s="399" t="str">
        <f t="shared" si="47"/>
        <v>Changed</v>
      </c>
      <c r="AW242" s="399"/>
      <c r="AX242" s="409" t="s">
        <v>3343</v>
      </c>
      <c r="AY242" s="399" t="e">
        <f t="shared" ca="1" si="48"/>
        <v>#NAME?</v>
      </c>
      <c r="AZ242" s="399"/>
      <c r="BA242" s="409">
        <v>0</v>
      </c>
      <c r="BB242" s="399"/>
      <c r="BC242" s="409"/>
      <c r="BD242" s="409" t="s">
        <v>3162</v>
      </c>
      <c r="BE242" s="411" t="s">
        <v>4639</v>
      </c>
      <c r="BF242" s="411"/>
      <c r="BG242" s="434" t="s">
        <v>4640</v>
      </c>
      <c r="BH242" s="411"/>
      <c r="BI242" s="411"/>
      <c r="BJ242" s="399"/>
      <c r="BK242" s="399"/>
      <c r="BL242" s="399"/>
      <c r="BM242" s="399"/>
      <c r="BN242" s="399"/>
      <c r="BO242" s="399"/>
      <c r="BP242" s="399"/>
      <c r="BQ242" s="399"/>
      <c r="BR242" s="399"/>
      <c r="BS242" s="407"/>
      <c r="BT242" s="407"/>
      <c r="BU242" s="412"/>
      <c r="BV242" s="46" t="str">
        <f t="shared" si="8"/>
        <v/>
      </c>
      <c r="BW242" s="46">
        <f t="shared" si="9"/>
        <v>0</v>
      </c>
      <c r="BX242" s="46">
        <f t="shared" si="10"/>
        <v>0</v>
      </c>
      <c r="BY242" s="43">
        <f t="shared" si="11"/>
        <v>0</v>
      </c>
      <c r="BZ242" s="46">
        <f t="shared" si="12"/>
        <v>1</v>
      </c>
      <c r="CA242" s="46" t="str">
        <f t="shared" si="13"/>
        <v/>
      </c>
      <c r="CB242" s="46">
        <f t="shared" si="14"/>
        <v>1</v>
      </c>
      <c r="CC242" s="46">
        <f t="shared" si="15"/>
        <v>1</v>
      </c>
      <c r="CD242" s="46">
        <f t="shared" si="16"/>
        <v>1</v>
      </c>
      <c r="CE242" s="46">
        <f t="shared" si="17"/>
        <v>0</v>
      </c>
      <c r="CF242" s="46">
        <f t="shared" si="18"/>
        <v>0</v>
      </c>
      <c r="CG242" s="46" t="str">
        <f ca="1">IFERROR(__xludf.DUMMYFUNCTION("if(OR(BH242="""",LEFT(BH242,2)=""LA""),"""",IMPORTXML(CONCATENATE(""https://loinc.org/"",BH242,""/""),""//span[@id='lcn']""))"),"")</f>
        <v/>
      </c>
      <c r="CH242" s="46"/>
      <c r="CI242" s="46"/>
      <c r="CJ242" s="46"/>
      <c r="CK242" s="46"/>
      <c r="CL242" s="46"/>
      <c r="CM242" s="46"/>
      <c r="CN242" s="46"/>
      <c r="CO242" s="46"/>
      <c r="CP242" s="46"/>
      <c r="CQ242" s="46"/>
      <c r="CR242" s="46"/>
      <c r="CS242" s="46"/>
      <c r="CT242" s="46"/>
      <c r="CU242" s="46"/>
    </row>
    <row r="243" spans="1:99" ht="12.75" customHeight="1">
      <c r="A243" s="399">
        <v>1481</v>
      </c>
      <c r="B243" s="399" t="s">
        <v>4641</v>
      </c>
      <c r="C243" s="399">
        <f t="shared" si="42"/>
        <v>1481</v>
      </c>
      <c r="D243" s="399" t="e">
        <f t="shared" ca="1" si="43"/>
        <v>#NAME?</v>
      </c>
      <c r="E243" s="399" t="str">
        <f t="shared" si="44"/>
        <v>Known dyslipidaemias</v>
      </c>
      <c r="F243" s="399" t="str">
        <f t="shared" si="52"/>
        <v>Input Option</v>
      </c>
      <c r="G243" s="400">
        <f t="shared" si="53"/>
        <v>27</v>
      </c>
      <c r="H243" s="399" t="str">
        <f t="shared" si="54"/>
        <v>Cardiovascular risk factor</v>
      </c>
      <c r="I243" s="400"/>
      <c r="J243" s="400"/>
      <c r="K243" s="401" t="s">
        <v>3333</v>
      </c>
      <c r="L243" s="402" t="s">
        <v>4518</v>
      </c>
      <c r="M243" s="400"/>
      <c r="N243" s="427" t="s">
        <v>4417</v>
      </c>
      <c r="O243" s="428"/>
      <c r="P243" s="407" t="s">
        <v>4642</v>
      </c>
      <c r="Q243" s="403"/>
      <c r="R243" s="403"/>
      <c r="S243" s="403"/>
      <c r="T243" s="407"/>
      <c r="U243" s="407"/>
      <c r="V243" s="432" t="s">
        <v>4643</v>
      </c>
      <c r="W243" s="407"/>
      <c r="X243" s="403" t="s">
        <v>208</v>
      </c>
      <c r="Y243" s="407"/>
      <c r="Z243" s="403" t="s">
        <v>113</v>
      </c>
      <c r="AA243" s="407" t="s">
        <v>3178</v>
      </c>
      <c r="AB243" s="408"/>
      <c r="AC243" s="407"/>
      <c r="AD243" s="407"/>
      <c r="AE243" s="408"/>
      <c r="AF243" s="407" t="s">
        <v>4489</v>
      </c>
      <c r="AG243" s="407" t="s">
        <v>3851</v>
      </c>
      <c r="AH243" s="399"/>
      <c r="AI243" s="400"/>
      <c r="AJ243" s="399"/>
      <c r="AK243" s="399"/>
      <c r="AL243" s="399"/>
      <c r="AM243" s="399"/>
      <c r="AN243" s="399"/>
      <c r="AO243" s="399"/>
      <c r="AP243" s="399"/>
      <c r="AQ243" s="409" t="s">
        <v>115</v>
      </c>
      <c r="AR243" s="399"/>
      <c r="AS243" s="399"/>
      <c r="AT243" s="399"/>
      <c r="AU243" s="399" t="s">
        <v>4641</v>
      </c>
      <c r="AV243" s="399" t="str">
        <f t="shared" si="47"/>
        <v>Same</v>
      </c>
      <c r="AW243" s="399"/>
      <c r="AX243" s="409" t="s">
        <v>3343</v>
      </c>
      <c r="AY243" s="399" t="e">
        <f t="shared" ca="1" si="48"/>
        <v>#NAME?</v>
      </c>
      <c r="AZ243" s="399"/>
      <c r="BA243" s="409">
        <v>0</v>
      </c>
      <c r="BB243" s="399"/>
      <c r="BC243" s="399"/>
      <c r="BD243" s="399"/>
      <c r="BE243" s="411" t="s">
        <v>4644</v>
      </c>
      <c r="BF243" s="411"/>
      <c r="BG243" s="434" t="s">
        <v>4645</v>
      </c>
      <c r="BH243" s="411"/>
      <c r="BI243" s="411"/>
      <c r="BJ243" s="399"/>
      <c r="BK243" s="399"/>
      <c r="BL243" s="399"/>
      <c r="BM243" s="399"/>
      <c r="BN243" s="399"/>
      <c r="BO243" s="399"/>
      <c r="BP243" s="399"/>
      <c r="BQ243" s="399"/>
      <c r="BR243" s="399"/>
      <c r="BS243" s="407"/>
      <c r="BT243" s="407"/>
      <c r="BU243" s="412"/>
      <c r="BV243" s="46" t="str">
        <f t="shared" si="8"/>
        <v/>
      </c>
      <c r="BW243" s="46">
        <f t="shared" si="9"/>
        <v>0</v>
      </c>
      <c r="BX243" s="46">
        <f t="shared" si="10"/>
        <v>0</v>
      </c>
      <c r="BY243" s="43">
        <f t="shared" si="11"/>
        <v>0</v>
      </c>
      <c r="BZ243" s="46">
        <f t="shared" si="12"/>
        <v>1</v>
      </c>
      <c r="CA243" s="46" t="str">
        <f t="shared" si="13"/>
        <v/>
      </c>
      <c r="CB243" s="46">
        <f t="shared" si="14"/>
        <v>1</v>
      </c>
      <c r="CC243" s="46">
        <f t="shared" si="15"/>
        <v>1</v>
      </c>
      <c r="CD243" s="46">
        <f t="shared" si="16"/>
        <v>1</v>
      </c>
      <c r="CE243" s="46">
        <f t="shared" si="17"/>
        <v>0</v>
      </c>
      <c r="CF243" s="46">
        <f t="shared" si="18"/>
        <v>0</v>
      </c>
      <c r="CG243" s="46" t="str">
        <f ca="1">IFERROR(__xludf.DUMMYFUNCTION("if(OR(BH243="""",LEFT(BH243,2)=""LA""),"""",IMPORTXML(CONCATENATE(""https://loinc.org/"",BH243,""/""),""//span[@id='lcn']""))"),"")</f>
        <v/>
      </c>
      <c r="CH243" s="46"/>
      <c r="CI243" s="46"/>
      <c r="CJ243" s="46"/>
      <c r="CK243" s="46"/>
      <c r="CL243" s="46"/>
      <c r="CM243" s="46"/>
      <c r="CN243" s="46"/>
      <c r="CO243" s="46"/>
      <c r="CP243" s="46"/>
      <c r="CQ243" s="46"/>
      <c r="CR243" s="46"/>
      <c r="CS243" s="46"/>
      <c r="CT243" s="46"/>
      <c r="CU243" s="46"/>
    </row>
    <row r="244" spans="1:99" ht="12.75" customHeight="1">
      <c r="A244" s="409">
        <v>1865</v>
      </c>
      <c r="B244" s="399" t="s">
        <v>4646</v>
      </c>
      <c r="C244" s="399">
        <f t="shared" si="42"/>
        <v>1865</v>
      </c>
      <c r="D244" s="399" t="str">
        <f t="shared" si="43"/>
        <v>Number of cardiovascular risk factors</v>
      </c>
      <c r="E244" s="399" t="str">
        <f t="shared" si="44"/>
        <v>Number of cardiovascular risk factors</v>
      </c>
      <c r="F244" s="409" t="s">
        <v>65</v>
      </c>
      <c r="G244" s="400">
        <f t="shared" si="53"/>
        <v>37</v>
      </c>
      <c r="H244" s="400" t="str">
        <f t="shared" si="54"/>
        <v/>
      </c>
      <c r="I244" s="400"/>
      <c r="J244" s="400"/>
      <c r="K244" s="401" t="s">
        <v>3333</v>
      </c>
      <c r="L244" s="402" t="s">
        <v>4081</v>
      </c>
      <c r="M244" s="400"/>
      <c r="N244" s="427" t="s">
        <v>4417</v>
      </c>
      <c r="O244" s="428"/>
      <c r="P244" s="407" t="s">
        <v>4647</v>
      </c>
      <c r="Q244" s="403" t="s">
        <v>4646</v>
      </c>
      <c r="R244" s="403"/>
      <c r="S244" s="403" t="s">
        <v>4648</v>
      </c>
      <c r="T244" s="407" t="s">
        <v>168</v>
      </c>
      <c r="U244" s="407"/>
      <c r="V244" s="407"/>
      <c r="W244" s="407"/>
      <c r="X244" s="403" t="s">
        <v>208</v>
      </c>
      <c r="Y244" s="407"/>
      <c r="Z244" s="403" t="s">
        <v>113</v>
      </c>
      <c r="AA244" s="407" t="s">
        <v>3178</v>
      </c>
      <c r="AB244" s="432" t="s">
        <v>4649</v>
      </c>
      <c r="AC244" s="421"/>
      <c r="AD244" s="421"/>
      <c r="AE244" s="408"/>
      <c r="AF244" s="407" t="s">
        <v>3890</v>
      </c>
      <c r="AG244" s="407"/>
      <c r="AH244" s="399"/>
      <c r="AI244" s="400"/>
      <c r="AJ244" s="399" t="s">
        <v>1787</v>
      </c>
      <c r="AK244" s="409" t="s">
        <v>3410</v>
      </c>
      <c r="AL244" s="409" t="s">
        <v>168</v>
      </c>
      <c r="AM244" s="409" t="s">
        <v>3100</v>
      </c>
      <c r="AN244" s="409" t="s">
        <v>3101</v>
      </c>
      <c r="AO244" s="399" t="s">
        <v>1787</v>
      </c>
      <c r="AP244" s="399"/>
      <c r="AQ244" s="409" t="s">
        <v>115</v>
      </c>
      <c r="AR244" s="399"/>
      <c r="AS244" s="399"/>
      <c r="AT244" s="399"/>
      <c r="AU244" s="399"/>
      <c r="AV244" s="399" t="str">
        <f t="shared" si="47"/>
        <v/>
      </c>
      <c r="AW244" s="399"/>
      <c r="AX244" s="409" t="s">
        <v>3343</v>
      </c>
      <c r="AY244" s="399" t="str">
        <f t="shared" si="48"/>
        <v/>
      </c>
      <c r="AZ244" s="399"/>
      <c r="BA244" s="409">
        <v>0</v>
      </c>
      <c r="BB244" s="399"/>
      <c r="BC244" s="399" t="s">
        <v>1787</v>
      </c>
      <c r="BD244" s="399" t="s">
        <v>1787</v>
      </c>
      <c r="BE244" s="411"/>
      <c r="BF244" s="411" t="s">
        <v>1787</v>
      </c>
      <c r="BG244" s="434" t="s">
        <v>4650</v>
      </c>
      <c r="BH244" s="411"/>
      <c r="BI244" s="411"/>
      <c r="BJ244" s="399" t="s">
        <v>1787</v>
      </c>
      <c r="BK244" s="409" t="s">
        <v>4651</v>
      </c>
      <c r="BL244" s="399"/>
      <c r="BM244" s="409" t="s">
        <v>4620</v>
      </c>
      <c r="BN244" s="399" t="s">
        <v>1787</v>
      </c>
      <c r="BO244" s="399" t="s">
        <v>1787</v>
      </c>
      <c r="BP244" s="399" t="s">
        <v>1787</v>
      </c>
      <c r="BQ244" s="399" t="s">
        <v>1787</v>
      </c>
      <c r="BR244" s="399" t="s">
        <v>1787</v>
      </c>
      <c r="BS244" s="407"/>
      <c r="BT244" s="407"/>
      <c r="BU244" s="412"/>
      <c r="BV244" s="46" t="str">
        <f t="shared" si="8"/>
        <v/>
      </c>
      <c r="BW244" s="46" t="str">
        <f t="shared" si="9"/>
        <v/>
      </c>
      <c r="BX244" s="46" t="str">
        <f t="shared" si="10"/>
        <v/>
      </c>
      <c r="BY244" s="43">
        <f t="shared" si="11"/>
        <v>0</v>
      </c>
      <c r="BZ244" s="46">
        <f t="shared" si="12"/>
        <v>1</v>
      </c>
      <c r="CA244" s="46" t="str">
        <f t="shared" si="13"/>
        <v/>
      </c>
      <c r="CB244" s="46">
        <f t="shared" si="14"/>
        <v>1</v>
      </c>
      <c r="CC244" s="46">
        <f t="shared" si="15"/>
        <v>1</v>
      </c>
      <c r="CD244" s="46">
        <f t="shared" si="16"/>
        <v>1</v>
      </c>
      <c r="CE244" s="46">
        <f t="shared" si="17"/>
        <v>0</v>
      </c>
      <c r="CF244" s="46">
        <f t="shared" si="18"/>
        <v>0</v>
      </c>
      <c r="CG244" s="46" t="str">
        <f ca="1">IFERROR(__xludf.DUMMYFUNCTION("if(OR(BH244="""",LEFT(BH244,2)=""LA""),"""",IMPORTXML(CONCATENATE(""https://loinc.org/"",BH244,""/""),""//span[@id='lcn']""))"),"")</f>
        <v/>
      </c>
      <c r="CH244" s="46"/>
      <c r="CI244" s="46"/>
      <c r="CJ244" s="46"/>
      <c r="CK244" s="46"/>
      <c r="CL244" s="46"/>
      <c r="CM244" s="46"/>
      <c r="CN244" s="46"/>
      <c r="CO244" s="46"/>
      <c r="CP244" s="46"/>
      <c r="CQ244" s="46"/>
      <c r="CR244" s="46"/>
      <c r="CS244" s="46"/>
      <c r="CT244" s="46"/>
      <c r="CU244" s="46"/>
    </row>
    <row r="245" spans="1:99" ht="12.75" customHeight="1">
      <c r="A245" s="399">
        <v>1482</v>
      </c>
      <c r="B245" s="399" t="s">
        <v>890</v>
      </c>
      <c r="C245" s="399">
        <f t="shared" si="42"/>
        <v>1482</v>
      </c>
      <c r="D245" s="399" t="e">
        <f t="shared" ca="1" si="43"/>
        <v>#NAME?</v>
      </c>
      <c r="E245" s="399" t="str">
        <f t="shared" si="44"/>
        <v>Hypertension</v>
      </c>
      <c r="F245" s="410" t="s">
        <v>180</v>
      </c>
      <c r="G245" s="400">
        <v>23</v>
      </c>
      <c r="H245" s="399" t="s">
        <v>4475</v>
      </c>
      <c r="I245" s="400"/>
      <c r="J245" s="400"/>
      <c r="K245" s="401" t="s">
        <v>3333</v>
      </c>
      <c r="L245" s="402" t="s">
        <v>4518</v>
      </c>
      <c r="M245" s="400"/>
      <c r="N245" s="427" t="s">
        <v>4417</v>
      </c>
      <c r="O245" s="428"/>
      <c r="P245" s="407" t="s">
        <v>4630</v>
      </c>
      <c r="Q245" s="403" t="s">
        <v>890</v>
      </c>
      <c r="R245" s="403"/>
      <c r="S245" s="403" t="s">
        <v>4652</v>
      </c>
      <c r="T245" s="407"/>
      <c r="U245" s="407"/>
      <c r="V245" s="407"/>
      <c r="W245" s="407"/>
      <c r="X245" s="407" t="s">
        <v>113</v>
      </c>
      <c r="Y245" s="407" t="s">
        <v>4653</v>
      </c>
      <c r="Z245" s="403" t="s">
        <v>113</v>
      </c>
      <c r="AA245" s="407" t="s">
        <v>3178</v>
      </c>
      <c r="AB245" s="432" t="s">
        <v>4654</v>
      </c>
      <c r="AC245" s="421"/>
      <c r="AD245" s="421"/>
      <c r="AE245" s="408"/>
      <c r="AF245" s="407" t="s">
        <v>4655</v>
      </c>
      <c r="AG245" s="407" t="s">
        <v>3851</v>
      </c>
      <c r="AH245" s="399"/>
      <c r="AI245" s="400"/>
      <c r="AJ245" s="399"/>
      <c r="AK245" s="440"/>
      <c r="AL245" s="409"/>
      <c r="AM245" s="409"/>
      <c r="AN245" s="409"/>
      <c r="AO245" s="399"/>
      <c r="AP245" s="409"/>
      <c r="AQ245" s="409" t="s">
        <v>3130</v>
      </c>
      <c r="AR245" s="409" t="s">
        <v>4478</v>
      </c>
      <c r="AS245" s="409"/>
      <c r="AT245" s="399"/>
      <c r="AU245" s="399" t="s">
        <v>890</v>
      </c>
      <c r="AV245" s="399" t="str">
        <f t="shared" si="47"/>
        <v>Same</v>
      </c>
      <c r="AW245" s="399"/>
      <c r="AX245" s="409" t="s">
        <v>3343</v>
      </c>
      <c r="AY245" s="399" t="e">
        <f t="shared" ca="1" si="48"/>
        <v>#NAME?</v>
      </c>
      <c r="AZ245" s="399"/>
      <c r="BA245" s="409">
        <v>1</v>
      </c>
      <c r="BB245" s="399"/>
      <c r="BC245" s="399"/>
      <c r="BD245" s="399"/>
      <c r="BE245" s="411" t="s">
        <v>891</v>
      </c>
      <c r="BF245" s="411" t="s">
        <v>4631</v>
      </c>
      <c r="BG245" s="411" t="s">
        <v>4632</v>
      </c>
      <c r="BH245" s="411"/>
      <c r="BI245" s="411"/>
      <c r="BJ245" s="399"/>
      <c r="BK245" s="399"/>
      <c r="BL245" s="399"/>
      <c r="BM245" s="399"/>
      <c r="BN245" s="399"/>
      <c r="BO245" s="399">
        <v>117399</v>
      </c>
      <c r="BP245" s="399"/>
      <c r="BQ245" s="399"/>
      <c r="BR245" s="399"/>
      <c r="BS245" s="407"/>
      <c r="BT245" s="407"/>
      <c r="BU245" s="412"/>
      <c r="BV245" s="46" t="str">
        <f t="shared" si="8"/>
        <v/>
      </c>
      <c r="BW245" s="46">
        <f t="shared" si="9"/>
        <v>0</v>
      </c>
      <c r="BX245" s="46">
        <f t="shared" si="10"/>
        <v>0</v>
      </c>
      <c r="BY245" s="43" t="str">
        <f t="shared" si="11"/>
        <v>WHO-FP Condition (Medical Eligibility)</v>
      </c>
      <c r="BZ245" s="46">
        <f t="shared" si="12"/>
        <v>1</v>
      </c>
      <c r="CA245" s="46" t="str">
        <f t="shared" si="13"/>
        <v/>
      </c>
      <c r="CB245" s="46">
        <f t="shared" si="14"/>
        <v>1</v>
      </c>
      <c r="CC245" s="46">
        <f t="shared" si="15"/>
        <v>1</v>
      </c>
      <c r="CD245" s="46">
        <f t="shared" si="16"/>
        <v>1</v>
      </c>
      <c r="CE245" s="46">
        <f t="shared" si="17"/>
        <v>0</v>
      </c>
      <c r="CF245" s="46">
        <f t="shared" si="18"/>
        <v>0</v>
      </c>
      <c r="CG245" s="46" t="str">
        <f ca="1">IFERROR(__xludf.DUMMYFUNCTION("if(OR(BH245="""",LEFT(BH245,2)=""LA""),"""",IMPORTXML(CONCATENATE(""https://loinc.org/"",BH245,""/""),""//span[@id='lcn']""))"),"")</f>
        <v/>
      </c>
      <c r="CH245" s="46"/>
      <c r="CI245" s="46"/>
      <c r="CJ245" s="46"/>
      <c r="CK245" s="46"/>
      <c r="CL245" s="46"/>
      <c r="CM245" s="46"/>
      <c r="CN245" s="46"/>
      <c r="CO245" s="46"/>
      <c r="CP245" s="46"/>
      <c r="CQ245" s="46"/>
      <c r="CR245" s="46"/>
      <c r="CS245" s="46"/>
      <c r="CT245" s="46"/>
      <c r="CU245" s="46"/>
    </row>
    <row r="246" spans="1:99" ht="12.75" customHeight="1">
      <c r="A246" s="399">
        <v>1483</v>
      </c>
      <c r="B246" s="399" t="s">
        <v>4659</v>
      </c>
      <c r="C246" s="399">
        <f t="shared" si="42"/>
        <v>1483</v>
      </c>
      <c r="D246" s="399" t="str">
        <f t="shared" si="43"/>
        <v>Hypertension status</v>
      </c>
      <c r="E246" s="399" t="str">
        <f t="shared" si="44"/>
        <v>Hypertension status</v>
      </c>
      <c r="F246" s="399" t="str">
        <f t="shared" ref="F246:F247" si="56">IF(AND(ISBLANK(V246)=FALSE,OR(T246="MC",T246="")),"Input Option","Data Element")</f>
        <v>Data Element</v>
      </c>
      <c r="G246" s="400">
        <f t="shared" ref="G246:G247" si="57">LEN(B246)</f>
        <v>19</v>
      </c>
      <c r="H246" s="400" t="str">
        <f t="shared" ref="H246:H247" si="58">IF(F246="Input Option",IF(H245="",B245,H245),"")</f>
        <v/>
      </c>
      <c r="I246" s="400"/>
      <c r="J246" s="400"/>
      <c r="K246" s="401" t="s">
        <v>3333</v>
      </c>
      <c r="L246" s="402" t="s">
        <v>4518</v>
      </c>
      <c r="M246" s="400"/>
      <c r="N246" s="427" t="s">
        <v>4417</v>
      </c>
      <c r="O246" s="428"/>
      <c r="P246" s="405" t="s">
        <v>4660</v>
      </c>
      <c r="Q246" s="403" t="s">
        <v>4659</v>
      </c>
      <c r="R246" s="403"/>
      <c r="S246" s="403"/>
      <c r="T246" s="407"/>
      <c r="U246" s="407"/>
      <c r="V246" s="407"/>
      <c r="W246" s="407"/>
      <c r="X246" s="403" t="s">
        <v>208</v>
      </c>
      <c r="Y246" s="407"/>
      <c r="Z246" s="403" t="s">
        <v>113</v>
      </c>
      <c r="AA246" s="407" t="s">
        <v>3178</v>
      </c>
      <c r="AB246" s="432" t="s">
        <v>4661</v>
      </c>
      <c r="AC246" s="421"/>
      <c r="AD246" s="421"/>
      <c r="AE246" s="408"/>
      <c r="AF246" s="407" t="s">
        <v>4489</v>
      </c>
      <c r="AG246" s="407" t="s">
        <v>3851</v>
      </c>
      <c r="AH246" s="399"/>
      <c r="AI246" s="400"/>
      <c r="AJ246" s="399"/>
      <c r="AK246" s="409"/>
      <c r="AL246" s="409"/>
      <c r="AM246" s="409"/>
      <c r="AN246" s="409"/>
      <c r="AO246" s="399"/>
      <c r="AP246" s="409"/>
      <c r="AQ246" s="409" t="s">
        <v>115</v>
      </c>
      <c r="AR246" s="399"/>
      <c r="AS246" s="399"/>
      <c r="AT246" s="399"/>
      <c r="AU246" s="399" t="s">
        <v>4659</v>
      </c>
      <c r="AV246" s="399" t="str">
        <f t="shared" si="47"/>
        <v>Same</v>
      </c>
      <c r="AW246" s="399"/>
      <c r="AX246" s="409" t="s">
        <v>3343</v>
      </c>
      <c r="AY246" s="399" t="str">
        <f t="shared" si="48"/>
        <v/>
      </c>
      <c r="AZ246" s="399"/>
      <c r="BA246" s="409">
        <v>0</v>
      </c>
      <c r="BB246" s="399"/>
      <c r="BC246" s="399"/>
      <c r="BD246" s="399"/>
      <c r="BE246" s="411"/>
      <c r="BF246" s="411"/>
      <c r="BG246" s="434" t="s">
        <v>4662</v>
      </c>
      <c r="BH246" s="411"/>
      <c r="BI246" s="411"/>
      <c r="BJ246" s="399"/>
      <c r="BK246" s="399"/>
      <c r="BL246" s="399"/>
      <c r="BM246" s="399"/>
      <c r="BN246" s="399"/>
      <c r="BO246" s="399"/>
      <c r="BP246" s="399"/>
      <c r="BQ246" s="399"/>
      <c r="BR246" s="399"/>
      <c r="BS246" s="407"/>
      <c r="BT246" s="407"/>
      <c r="BU246" s="412"/>
      <c r="BV246" s="46" t="str">
        <f t="shared" si="8"/>
        <v/>
      </c>
      <c r="BW246" s="46" t="str">
        <f t="shared" si="9"/>
        <v/>
      </c>
      <c r="BX246" s="46" t="str">
        <f t="shared" si="10"/>
        <v/>
      </c>
      <c r="BY246" s="43">
        <f t="shared" si="11"/>
        <v>0</v>
      </c>
      <c r="BZ246" s="46">
        <f t="shared" si="12"/>
        <v>1</v>
      </c>
      <c r="CA246" s="46">
        <f t="shared" si="13"/>
        <v>1</v>
      </c>
      <c r="CB246" s="46">
        <f t="shared" si="14"/>
        <v>0</v>
      </c>
      <c r="CC246" s="46">
        <f t="shared" si="15"/>
        <v>0</v>
      </c>
      <c r="CD246" s="46">
        <f t="shared" si="16"/>
        <v>1</v>
      </c>
      <c r="CE246" s="46">
        <f t="shared" si="17"/>
        <v>1</v>
      </c>
      <c r="CF246" s="46">
        <f t="shared" si="18"/>
        <v>0</v>
      </c>
      <c r="CG246" s="46" t="str">
        <f ca="1">IFERROR(__xludf.DUMMYFUNCTION("if(OR(BH246="""",LEFT(BH246,2)=""LA""),"""",IMPORTXML(CONCATENATE(""https://loinc.org/"",BH246,""/""),""//span[@id='lcn']""))"),"")</f>
        <v/>
      </c>
      <c r="CH246" s="46"/>
      <c r="CI246" s="46"/>
      <c r="CJ246" s="46"/>
      <c r="CK246" s="46"/>
      <c r="CL246" s="46"/>
      <c r="CM246" s="46"/>
      <c r="CN246" s="46"/>
      <c r="CO246" s="46"/>
      <c r="CP246" s="46"/>
      <c r="CQ246" s="46"/>
      <c r="CR246" s="46"/>
      <c r="CS246" s="46"/>
      <c r="CT246" s="46"/>
      <c r="CU246" s="46"/>
    </row>
    <row r="247" spans="1:99" ht="12.75" customHeight="1">
      <c r="A247" s="409">
        <v>1484</v>
      </c>
      <c r="B247" s="399" t="s">
        <v>4663</v>
      </c>
      <c r="C247" s="399">
        <f t="shared" si="42"/>
        <v>1484</v>
      </c>
      <c r="D247" s="399" t="e">
        <f t="shared" ca="1" si="43"/>
        <v>#NAME?</v>
      </c>
      <c r="E247" s="399" t="str">
        <f t="shared" si="44"/>
        <v>adequately controlled hypertension</v>
      </c>
      <c r="F247" s="399" t="str">
        <f t="shared" si="56"/>
        <v>Input Option</v>
      </c>
      <c r="G247" s="400">
        <f t="shared" si="57"/>
        <v>41</v>
      </c>
      <c r="H247" s="399" t="str">
        <f t="shared" si="58"/>
        <v>Hypertension status</v>
      </c>
      <c r="I247" s="400"/>
      <c r="J247" s="400"/>
      <c r="K247" s="401" t="s">
        <v>3333</v>
      </c>
      <c r="L247" s="402" t="s">
        <v>4518</v>
      </c>
      <c r="M247" s="400"/>
      <c r="N247" s="427" t="s">
        <v>4417</v>
      </c>
      <c r="O247" s="428"/>
      <c r="P247" s="405" t="s">
        <v>4664</v>
      </c>
      <c r="Q247" s="403"/>
      <c r="R247" s="403"/>
      <c r="S247" s="403"/>
      <c r="T247" s="407"/>
      <c r="U247" s="407"/>
      <c r="V247" s="432" t="s">
        <v>4665</v>
      </c>
      <c r="W247" s="407"/>
      <c r="X247" s="403" t="s">
        <v>208</v>
      </c>
      <c r="Y247" s="407"/>
      <c r="Z247" s="403" t="s">
        <v>113</v>
      </c>
      <c r="AA247" s="407"/>
      <c r="AB247" s="408"/>
      <c r="AC247" s="407"/>
      <c r="AD247" s="407"/>
      <c r="AE247" s="408"/>
      <c r="AF247" s="407" t="s">
        <v>4489</v>
      </c>
      <c r="AG247" s="407" t="s">
        <v>3851</v>
      </c>
      <c r="AH247" s="399"/>
      <c r="AI247" s="400"/>
      <c r="AJ247" s="399"/>
      <c r="AK247" s="399"/>
      <c r="AL247" s="399"/>
      <c r="AM247" s="399"/>
      <c r="AN247" s="399"/>
      <c r="AO247" s="399"/>
      <c r="AP247" s="399"/>
      <c r="AQ247" s="409" t="s">
        <v>115</v>
      </c>
      <c r="AR247" s="399"/>
      <c r="AS247" s="399"/>
      <c r="AT247" s="399"/>
      <c r="AU247" s="399" t="s">
        <v>4665</v>
      </c>
      <c r="AV247" s="399" t="str">
        <f t="shared" si="47"/>
        <v>Changed</v>
      </c>
      <c r="AW247" s="399"/>
      <c r="AX247" s="409" t="s">
        <v>3343</v>
      </c>
      <c r="AY247" s="399" t="e">
        <f t="shared" ca="1" si="48"/>
        <v>#NAME?</v>
      </c>
      <c r="AZ247" s="399"/>
      <c r="BA247" s="409">
        <v>0</v>
      </c>
      <c r="BB247" s="399"/>
      <c r="BC247" s="399"/>
      <c r="BD247" s="399"/>
      <c r="BE247" s="411"/>
      <c r="BF247" s="411"/>
      <c r="BG247" s="434" t="s">
        <v>4666</v>
      </c>
      <c r="BH247" s="411"/>
      <c r="BI247" s="411"/>
      <c r="BJ247" s="399"/>
      <c r="BK247" s="399"/>
      <c r="BL247" s="399"/>
      <c r="BM247" s="399"/>
      <c r="BN247" s="399"/>
      <c r="BO247" s="399"/>
      <c r="BP247" s="399"/>
      <c r="BQ247" s="399"/>
      <c r="BR247" s="399"/>
      <c r="BS247" s="407"/>
      <c r="BT247" s="407"/>
      <c r="BU247" s="412"/>
      <c r="BV247" s="46" t="str">
        <f t="shared" si="8"/>
        <v/>
      </c>
      <c r="BW247" s="46">
        <f t="shared" si="9"/>
        <v>0</v>
      </c>
      <c r="BX247" s="46">
        <f t="shared" si="10"/>
        <v>0</v>
      </c>
      <c r="BY247" s="43">
        <f t="shared" si="11"/>
        <v>0</v>
      </c>
      <c r="BZ247" s="46">
        <f t="shared" si="12"/>
        <v>1</v>
      </c>
      <c r="CA247" s="46" t="str">
        <f t="shared" si="13"/>
        <v/>
      </c>
      <c r="CB247" s="46">
        <f t="shared" si="14"/>
        <v>1</v>
      </c>
      <c r="CC247" s="46">
        <f t="shared" si="15"/>
        <v>1</v>
      </c>
      <c r="CD247" s="46">
        <f t="shared" si="16"/>
        <v>1</v>
      </c>
      <c r="CE247" s="46">
        <f t="shared" si="17"/>
        <v>0</v>
      </c>
      <c r="CF247" s="46">
        <f t="shared" si="18"/>
        <v>0</v>
      </c>
      <c r="CG247" s="46" t="str">
        <f ca="1">IFERROR(__xludf.DUMMYFUNCTION("if(OR(BH247="""",LEFT(BH247,2)=""LA""),"""",IMPORTXML(CONCATENATE(""https://loinc.org/"",BH247,""/""),""//span[@id='lcn']""))"),"")</f>
        <v/>
      </c>
      <c r="CH247" s="46"/>
      <c r="CI247" s="46"/>
      <c r="CJ247" s="46"/>
      <c r="CK247" s="46"/>
      <c r="CL247" s="46"/>
      <c r="CM247" s="46"/>
      <c r="CN247" s="46"/>
      <c r="CO247" s="46"/>
      <c r="CP247" s="46"/>
      <c r="CQ247" s="46"/>
      <c r="CR247" s="46"/>
      <c r="CS247" s="46"/>
      <c r="CT247" s="46"/>
      <c r="CU247" s="46"/>
    </row>
    <row r="248" spans="1:99" ht="12.75" customHeight="1">
      <c r="A248" s="409">
        <v>1485</v>
      </c>
      <c r="B248" s="399" t="s">
        <v>4635</v>
      </c>
      <c r="C248" s="399">
        <f t="shared" si="42"/>
        <v>1485</v>
      </c>
      <c r="D248" s="399" t="e">
        <f t="shared" ca="1" si="43"/>
        <v>#NAME?</v>
      </c>
      <c r="E248" s="399" t="str">
        <f t="shared" si="44"/>
        <v>Obese</v>
      </c>
      <c r="F248" s="410" t="s">
        <v>180</v>
      </c>
      <c r="G248" s="400">
        <v>23</v>
      </c>
      <c r="H248" s="399" t="s">
        <v>4475</v>
      </c>
      <c r="I248" s="400"/>
      <c r="J248" s="400"/>
      <c r="K248" s="401" t="s">
        <v>3333</v>
      </c>
      <c r="L248" s="402" t="s">
        <v>4518</v>
      </c>
      <c r="M248" s="400"/>
      <c r="N248" s="427" t="s">
        <v>4417</v>
      </c>
      <c r="O248" s="428"/>
      <c r="P248" s="407" t="s">
        <v>4634</v>
      </c>
      <c r="Q248" s="403" t="s">
        <v>4635</v>
      </c>
      <c r="R248" s="403"/>
      <c r="S248" s="403" t="s">
        <v>4667</v>
      </c>
      <c r="T248" s="407" t="s">
        <v>3169</v>
      </c>
      <c r="U248" s="407"/>
      <c r="V248" s="407" t="s">
        <v>3170</v>
      </c>
      <c r="W248" s="407"/>
      <c r="X248" s="403" t="s">
        <v>208</v>
      </c>
      <c r="Y248" s="407"/>
      <c r="Z248" s="403" t="s">
        <v>113</v>
      </c>
      <c r="AA248" s="407" t="s">
        <v>3178</v>
      </c>
      <c r="AB248" s="432" t="s">
        <v>4668</v>
      </c>
      <c r="AC248" s="421"/>
      <c r="AD248" s="421"/>
      <c r="AE248" s="408"/>
      <c r="AF248" s="407" t="s">
        <v>4489</v>
      </c>
      <c r="AG248" s="407" t="s">
        <v>3851</v>
      </c>
      <c r="AH248" s="399"/>
      <c r="AI248" s="400"/>
      <c r="AJ248" s="399"/>
      <c r="AK248" s="440"/>
      <c r="AL248" s="409"/>
      <c r="AM248" s="409"/>
      <c r="AN248" s="409"/>
      <c r="AO248" s="399"/>
      <c r="AP248" s="409"/>
      <c r="AQ248" s="409" t="s">
        <v>3130</v>
      </c>
      <c r="AR248" s="409" t="s">
        <v>4478</v>
      </c>
      <c r="AS248" s="409"/>
      <c r="AT248" s="399"/>
      <c r="AU248" s="399" t="s">
        <v>4669</v>
      </c>
      <c r="AV248" s="399" t="str">
        <f t="shared" si="47"/>
        <v>Changed</v>
      </c>
      <c r="AW248" s="399"/>
      <c r="AX248" s="409" t="s">
        <v>3343</v>
      </c>
      <c r="AY248" s="399" t="e">
        <f t="shared" ca="1" si="48"/>
        <v>#NAME?</v>
      </c>
      <c r="AZ248" s="399"/>
      <c r="BA248" s="409">
        <v>1</v>
      </c>
      <c r="BB248" s="399"/>
      <c r="BC248" s="409"/>
      <c r="BD248" s="409" t="s">
        <v>3162</v>
      </c>
      <c r="BE248" s="411" t="s">
        <v>4639</v>
      </c>
      <c r="BF248" s="411" t="s">
        <v>4670</v>
      </c>
      <c r="BG248" s="411" t="s">
        <v>4640</v>
      </c>
      <c r="BH248" s="411"/>
      <c r="BI248" s="411"/>
      <c r="BJ248" s="399"/>
      <c r="BK248" s="399"/>
      <c r="BL248" s="399"/>
      <c r="BM248" s="399"/>
      <c r="BN248" s="399"/>
      <c r="BO248" s="399">
        <v>115115</v>
      </c>
      <c r="BP248" s="399"/>
      <c r="BQ248" s="399"/>
      <c r="BR248" s="399"/>
      <c r="BS248" s="407"/>
      <c r="BT248" s="407"/>
      <c r="BU248" s="412"/>
      <c r="BV248" s="46" t="str">
        <f t="shared" si="8"/>
        <v/>
      </c>
      <c r="BW248" s="46">
        <f t="shared" si="9"/>
        <v>0</v>
      </c>
      <c r="BX248" s="46">
        <f t="shared" si="10"/>
        <v>0</v>
      </c>
      <c r="BY248" s="43" t="str">
        <f t="shared" si="11"/>
        <v>WHO-FP Condition (Medical Eligibility)</v>
      </c>
      <c r="BZ248" s="46">
        <f t="shared" si="12"/>
        <v>1</v>
      </c>
      <c r="CA248" s="46" t="str">
        <f t="shared" si="13"/>
        <v/>
      </c>
      <c r="CB248" s="46">
        <f t="shared" si="14"/>
        <v>1</v>
      </c>
      <c r="CC248" s="46">
        <f t="shared" si="15"/>
        <v>1</v>
      </c>
      <c r="CD248" s="46">
        <f t="shared" si="16"/>
        <v>1</v>
      </c>
      <c r="CE248" s="46">
        <f t="shared" si="17"/>
        <v>0</v>
      </c>
      <c r="CF248" s="46">
        <f t="shared" si="18"/>
        <v>0</v>
      </c>
      <c r="CG248" s="46" t="str">
        <f ca="1">IFERROR(__xludf.DUMMYFUNCTION("if(OR(BH248="""",LEFT(BH248,2)=""LA""),"""",IMPORTXML(CONCATENATE(""https://loinc.org/"",BH248,""/""),""//span[@id='lcn']""))"),"")</f>
        <v/>
      </c>
      <c r="CH248" s="46"/>
      <c r="CI248" s="46"/>
      <c r="CJ248" s="46"/>
      <c r="CK248" s="46"/>
      <c r="CL248" s="46"/>
      <c r="CM248" s="46"/>
      <c r="CN248" s="46"/>
      <c r="CO248" s="46"/>
      <c r="CP248" s="46"/>
      <c r="CQ248" s="46"/>
      <c r="CR248" s="46"/>
      <c r="CS248" s="46"/>
      <c r="CT248" s="46"/>
      <c r="CU248" s="46"/>
    </row>
    <row r="249" spans="1:99" ht="12.75" customHeight="1">
      <c r="A249" s="399">
        <v>1486</v>
      </c>
      <c r="B249" s="399" t="s">
        <v>879</v>
      </c>
      <c r="C249" s="399">
        <f t="shared" si="42"/>
        <v>1486</v>
      </c>
      <c r="D249" s="399" t="e">
        <f t="shared" ca="1" si="43"/>
        <v>#NAME?</v>
      </c>
      <c r="E249" s="399" t="str">
        <f t="shared" si="44"/>
        <v>Diabetes</v>
      </c>
      <c r="F249" s="410" t="s">
        <v>180</v>
      </c>
      <c r="G249" s="400">
        <v>23</v>
      </c>
      <c r="H249" s="399" t="s">
        <v>4475</v>
      </c>
      <c r="I249" s="400"/>
      <c r="J249" s="400"/>
      <c r="K249" s="401" t="s">
        <v>3333</v>
      </c>
      <c r="L249" s="402" t="s">
        <v>4518</v>
      </c>
      <c r="M249" s="400"/>
      <c r="N249" s="427" t="s">
        <v>4417</v>
      </c>
      <c r="O249" s="428"/>
      <c r="P249" s="407" t="s">
        <v>4626</v>
      </c>
      <c r="Q249" s="403" t="s">
        <v>879</v>
      </c>
      <c r="R249" s="403"/>
      <c r="S249" s="403" t="s">
        <v>4677</v>
      </c>
      <c r="T249" s="407" t="s">
        <v>3169</v>
      </c>
      <c r="U249" s="407"/>
      <c r="V249" s="407" t="s">
        <v>3170</v>
      </c>
      <c r="W249" s="407"/>
      <c r="X249" s="403" t="s">
        <v>208</v>
      </c>
      <c r="Y249" s="407"/>
      <c r="Z249" s="403" t="s">
        <v>113</v>
      </c>
      <c r="AA249" s="407" t="s">
        <v>3178</v>
      </c>
      <c r="AB249" s="432" t="s">
        <v>4668</v>
      </c>
      <c r="AC249" s="421"/>
      <c r="AD249" s="421"/>
      <c r="AE249" s="408"/>
      <c r="AF249" s="407" t="s">
        <v>4489</v>
      </c>
      <c r="AG249" s="407" t="s">
        <v>3851</v>
      </c>
      <c r="AH249" s="399"/>
      <c r="AI249" s="400"/>
      <c r="AJ249" s="399"/>
      <c r="AK249" s="440"/>
      <c r="AL249" s="409"/>
      <c r="AM249" s="409"/>
      <c r="AN249" s="409"/>
      <c r="AO249" s="399"/>
      <c r="AP249" s="409"/>
      <c r="AQ249" s="409" t="s">
        <v>3130</v>
      </c>
      <c r="AR249" s="409" t="s">
        <v>4478</v>
      </c>
      <c r="AS249" s="409"/>
      <c r="AT249" s="399"/>
      <c r="AU249" s="399" t="s">
        <v>879</v>
      </c>
      <c r="AV249" s="399" t="str">
        <f t="shared" si="47"/>
        <v>Same</v>
      </c>
      <c r="AW249" s="399"/>
      <c r="AX249" s="409" t="s">
        <v>3343</v>
      </c>
      <c r="AY249" s="399" t="e">
        <f t="shared" ca="1" si="48"/>
        <v>#NAME?</v>
      </c>
      <c r="AZ249" s="399"/>
      <c r="BA249" s="409">
        <v>1</v>
      </c>
      <c r="BB249" s="399"/>
      <c r="BC249" s="409"/>
      <c r="BD249" s="409" t="s">
        <v>4678</v>
      </c>
      <c r="BE249" s="411" t="s">
        <v>880</v>
      </c>
      <c r="BF249" s="411" t="s">
        <v>4679</v>
      </c>
      <c r="BG249" s="411" t="s">
        <v>4629</v>
      </c>
      <c r="BH249" s="411"/>
      <c r="BI249" s="411"/>
      <c r="BJ249" s="399"/>
      <c r="BK249" s="399"/>
      <c r="BL249" s="399"/>
      <c r="BM249" s="399"/>
      <c r="BN249" s="438" t="str">
        <f>HYPERLINK("https://github.com/who-int/Data-Dictionary-Mapping/issues/65","65")</f>
        <v>65</v>
      </c>
      <c r="BO249" s="399"/>
      <c r="BP249" s="399"/>
      <c r="BQ249" s="399"/>
      <c r="BR249" s="399"/>
      <c r="BS249" s="407"/>
      <c r="BT249" s="407"/>
      <c r="BU249" s="412"/>
      <c r="BV249" s="46" t="str">
        <f t="shared" si="8"/>
        <v/>
      </c>
      <c r="BW249" s="46">
        <f t="shared" si="9"/>
        <v>0</v>
      </c>
      <c r="BX249" s="46">
        <f t="shared" si="10"/>
        <v>0</v>
      </c>
      <c r="BY249" s="43" t="str">
        <f t="shared" si="11"/>
        <v>WHO-FP Condition (Medical Eligibility)</v>
      </c>
      <c r="BZ249" s="46">
        <f t="shared" si="12"/>
        <v>1</v>
      </c>
      <c r="CA249" s="46" t="str">
        <f t="shared" si="13"/>
        <v/>
      </c>
      <c r="CB249" s="46">
        <f t="shared" si="14"/>
        <v>1</v>
      </c>
      <c r="CC249" s="46">
        <f t="shared" si="15"/>
        <v>1</v>
      </c>
      <c r="CD249" s="46">
        <f t="shared" si="16"/>
        <v>1</v>
      </c>
      <c r="CE249" s="46">
        <f t="shared" si="17"/>
        <v>0</v>
      </c>
      <c r="CF249" s="46">
        <f t="shared" si="18"/>
        <v>0</v>
      </c>
      <c r="CG249" s="46" t="str">
        <f ca="1">IFERROR(__xludf.DUMMYFUNCTION("if(OR(BH249="""",LEFT(BH249,2)=""LA""),"""",IMPORTXML(CONCATENATE(""https://loinc.org/"",BH249,""/""),""//span[@id='lcn']""))"),"")</f>
        <v/>
      </c>
      <c r="CH249" s="46"/>
      <c r="CI249" s="46"/>
      <c r="CJ249" s="46"/>
      <c r="CK249" s="46"/>
      <c r="CL249" s="46"/>
      <c r="CM249" s="46"/>
      <c r="CN249" s="46"/>
      <c r="CO249" s="46"/>
      <c r="CP249" s="46"/>
      <c r="CQ249" s="46"/>
      <c r="CR249" s="46"/>
      <c r="CS249" s="46"/>
      <c r="CT249" s="46"/>
      <c r="CU249" s="46"/>
    </row>
    <row r="250" spans="1:99" ht="12.75" customHeight="1">
      <c r="A250" s="399">
        <v>1487</v>
      </c>
      <c r="B250" s="399" t="s">
        <v>4682</v>
      </c>
      <c r="C250" s="399">
        <f t="shared" si="42"/>
        <v>1487</v>
      </c>
      <c r="D250" s="399" t="str">
        <f t="shared" si="43"/>
        <v>Diabetes</v>
      </c>
      <c r="E250" s="399" t="str">
        <f t="shared" si="44"/>
        <v>Diabetes</v>
      </c>
      <c r="F250" s="409" t="s">
        <v>3164</v>
      </c>
      <c r="G250" s="400">
        <f>LEN(B250)</f>
        <v>17</v>
      </c>
      <c r="H250" s="400" t="str">
        <f>IF(F250="Input Option",IF(H249="",B249,H249),"")</f>
        <v/>
      </c>
      <c r="I250" s="400"/>
      <c r="J250" s="400"/>
      <c r="K250" s="401" t="s">
        <v>3333</v>
      </c>
      <c r="L250" s="402" t="s">
        <v>4518</v>
      </c>
      <c r="M250" s="400"/>
      <c r="N250" s="427" t="s">
        <v>4417</v>
      </c>
      <c r="O250" s="428"/>
      <c r="P250" s="407" t="s">
        <v>4683</v>
      </c>
      <c r="Q250" s="403" t="s">
        <v>879</v>
      </c>
      <c r="R250" s="403"/>
      <c r="S250" s="403" t="s">
        <v>4684</v>
      </c>
      <c r="T250" s="407"/>
      <c r="U250" s="407"/>
      <c r="V250" s="407"/>
      <c r="W250" s="407"/>
      <c r="X250" s="403" t="s">
        <v>208</v>
      </c>
      <c r="Y250" s="407"/>
      <c r="Z250" s="403" t="s">
        <v>113</v>
      </c>
      <c r="AA250" s="407" t="s">
        <v>3178</v>
      </c>
      <c r="AB250" s="432" t="s">
        <v>4685</v>
      </c>
      <c r="AC250" s="407"/>
      <c r="AD250" s="407"/>
      <c r="AE250" s="408"/>
      <c r="AF250" s="407" t="s">
        <v>4686</v>
      </c>
      <c r="AG250" s="407" t="s">
        <v>3851</v>
      </c>
      <c r="AH250" s="399"/>
      <c r="AI250" s="400"/>
      <c r="AJ250" s="399"/>
      <c r="AK250" s="399"/>
      <c r="AL250" s="399"/>
      <c r="AM250" s="399"/>
      <c r="AN250" s="399"/>
      <c r="AO250" s="399"/>
      <c r="AP250" s="399"/>
      <c r="AQ250" s="409" t="s">
        <v>115</v>
      </c>
      <c r="AR250" s="399"/>
      <c r="AS250" s="399"/>
      <c r="AT250" s="399"/>
      <c r="AU250" s="399" t="s">
        <v>4682</v>
      </c>
      <c r="AV250" s="399" t="str">
        <f t="shared" si="47"/>
        <v>Same</v>
      </c>
      <c r="AW250" s="399"/>
      <c r="AX250" s="409" t="s">
        <v>3343</v>
      </c>
      <c r="AY250" s="399" t="str">
        <f t="shared" si="48"/>
        <v>"Diabetes"-&gt;"Diabetes category"</v>
      </c>
      <c r="AZ250" s="399"/>
      <c r="BA250" s="409">
        <v>1</v>
      </c>
      <c r="BB250" s="399"/>
      <c r="BC250" s="399"/>
      <c r="BD250" s="399"/>
      <c r="BE250" s="411"/>
      <c r="BF250" s="411"/>
      <c r="BG250" s="411"/>
      <c r="BH250" s="411"/>
      <c r="BI250" s="411"/>
      <c r="BJ250" s="399" t="s">
        <v>3106</v>
      </c>
      <c r="BK250" s="399"/>
      <c r="BL250" s="399"/>
      <c r="BM250" s="399"/>
      <c r="BN250" s="399"/>
      <c r="BO250" s="399"/>
      <c r="BP250" s="399"/>
      <c r="BQ250" s="399"/>
      <c r="BR250" s="399"/>
      <c r="BS250" s="407"/>
      <c r="BT250" s="407"/>
      <c r="BU250" s="412"/>
      <c r="BV250" s="46" t="str">
        <f t="shared" si="8"/>
        <v/>
      </c>
      <c r="BW250" s="46" t="str">
        <f t="shared" si="9"/>
        <v/>
      </c>
      <c r="BX250" s="46" t="str">
        <f t="shared" si="10"/>
        <v/>
      </c>
      <c r="BY250" s="43" t="str">
        <f t="shared" si="11"/>
        <v/>
      </c>
      <c r="BZ250" s="46">
        <f t="shared" si="12"/>
        <v>1</v>
      </c>
      <c r="CA250" s="46" t="str">
        <f t="shared" si="13"/>
        <v/>
      </c>
      <c r="CB250" s="46">
        <f t="shared" si="14"/>
        <v>1</v>
      </c>
      <c r="CC250" s="46">
        <f t="shared" si="15"/>
        <v>1</v>
      </c>
      <c r="CD250" s="46">
        <f t="shared" si="16"/>
        <v>1</v>
      </c>
      <c r="CE250" s="46">
        <f t="shared" si="17"/>
        <v>0</v>
      </c>
      <c r="CF250" s="46">
        <f t="shared" si="18"/>
        <v>0</v>
      </c>
      <c r="CG250" s="46" t="str">
        <f ca="1">IFERROR(__xludf.DUMMYFUNCTION("if(OR(BH250="""",LEFT(BH250,2)=""LA""),"""",IMPORTXML(CONCATENATE(""https://loinc.org/"",BH250,""/""),""//span[@id='lcn']""))"),"")</f>
        <v/>
      </c>
      <c r="CH250" s="46"/>
      <c r="CI250" s="46"/>
      <c r="CJ250" s="46"/>
      <c r="CK250" s="46"/>
      <c r="CL250" s="46"/>
      <c r="CM250" s="46"/>
      <c r="CN250" s="46"/>
      <c r="CO250" s="46"/>
      <c r="CP250" s="46"/>
      <c r="CQ250" s="46"/>
      <c r="CR250" s="46"/>
      <c r="CS250" s="46"/>
      <c r="CT250" s="46"/>
      <c r="CU250" s="46"/>
    </row>
    <row r="251" spans="1:99" ht="12.75" customHeight="1">
      <c r="A251" s="399">
        <v>1488</v>
      </c>
      <c r="B251" s="409" t="s">
        <v>4687</v>
      </c>
      <c r="C251" s="399">
        <f t="shared" si="42"/>
        <v>1488</v>
      </c>
      <c r="D251" s="399" t="e">
        <f t="shared" ca="1" si="43"/>
        <v>#NAME?</v>
      </c>
      <c r="E251" s="399" t="str">
        <f t="shared" si="44"/>
        <v xml:space="preserve">Non-vascular Insulin-dependent </v>
      </c>
      <c r="F251" s="410" t="s">
        <v>180</v>
      </c>
      <c r="G251" s="400">
        <v>23</v>
      </c>
      <c r="H251" s="399" t="s">
        <v>4475</v>
      </c>
      <c r="I251" s="400"/>
      <c r="J251" s="400"/>
      <c r="K251" s="401" t="s">
        <v>3333</v>
      </c>
      <c r="L251" s="402" t="s">
        <v>4518</v>
      </c>
      <c r="M251" s="400"/>
      <c r="N251" s="427" t="s">
        <v>4417</v>
      </c>
      <c r="O251" s="428"/>
      <c r="P251" s="407" t="s">
        <v>4688</v>
      </c>
      <c r="Q251" s="403"/>
      <c r="R251" s="403"/>
      <c r="S251" s="403"/>
      <c r="T251" s="407"/>
      <c r="U251" s="407"/>
      <c r="V251" s="432" t="s">
        <v>4689</v>
      </c>
      <c r="W251" s="407"/>
      <c r="X251" s="403" t="s">
        <v>208</v>
      </c>
      <c r="Y251" s="407"/>
      <c r="Z251" s="403" t="s">
        <v>113</v>
      </c>
      <c r="AA251" s="407" t="s">
        <v>3178</v>
      </c>
      <c r="AB251" s="432" t="s">
        <v>4668</v>
      </c>
      <c r="AC251" s="421"/>
      <c r="AD251" s="421"/>
      <c r="AE251" s="408"/>
      <c r="AF251" s="407" t="s">
        <v>4489</v>
      </c>
      <c r="AG251" s="407" t="s">
        <v>3851</v>
      </c>
      <c r="AH251" s="399"/>
      <c r="AI251" s="400"/>
      <c r="AJ251" s="399"/>
      <c r="AK251" s="440"/>
      <c r="AL251" s="409"/>
      <c r="AM251" s="409"/>
      <c r="AN251" s="409"/>
      <c r="AO251" s="399"/>
      <c r="AP251" s="409"/>
      <c r="AQ251" s="409" t="s">
        <v>3130</v>
      </c>
      <c r="AR251" s="409" t="s">
        <v>4478</v>
      </c>
      <c r="AS251" s="409"/>
      <c r="AT251" s="399"/>
      <c r="AU251" s="399" t="s">
        <v>4690</v>
      </c>
      <c r="AV251" s="399" t="str">
        <f t="shared" si="47"/>
        <v>Changed</v>
      </c>
      <c r="AW251" s="399"/>
      <c r="AX251" s="409" t="s">
        <v>3343</v>
      </c>
      <c r="AY251" s="399" t="e">
        <f t="shared" ca="1" si="48"/>
        <v>#NAME?</v>
      </c>
      <c r="AZ251" s="399"/>
      <c r="BA251" s="409">
        <v>1</v>
      </c>
      <c r="BB251" s="399"/>
      <c r="BC251" s="399"/>
      <c r="BD251" s="399"/>
      <c r="BE251" s="411" t="s">
        <v>4691</v>
      </c>
      <c r="BF251" s="411" t="s">
        <v>4692</v>
      </c>
      <c r="BG251" s="411" t="s">
        <v>4693</v>
      </c>
      <c r="BH251" s="411"/>
      <c r="BI251" s="411"/>
      <c r="BJ251" s="399"/>
      <c r="BK251" s="399"/>
      <c r="BL251" s="399"/>
      <c r="BM251" s="399"/>
      <c r="BN251" s="399"/>
      <c r="BO251" s="399">
        <v>158473</v>
      </c>
      <c r="BP251" s="399"/>
      <c r="BQ251" s="399"/>
      <c r="BR251" s="399"/>
      <c r="BS251" s="407"/>
      <c r="BT251" s="407"/>
      <c r="BU251" s="412"/>
      <c r="BV251" s="46" t="str">
        <f t="shared" si="8"/>
        <v/>
      </c>
      <c r="BW251" s="46">
        <f t="shared" si="9"/>
        <v>0</v>
      </c>
      <c r="BX251" s="46">
        <f t="shared" si="10"/>
        <v>0</v>
      </c>
      <c r="BY251" s="43" t="str">
        <f t="shared" si="11"/>
        <v>WHO-FP Condition (Medical Eligibility)</v>
      </c>
      <c r="BZ251" s="46">
        <f t="shared" si="12"/>
        <v>1</v>
      </c>
      <c r="CA251" s="46" t="str">
        <f t="shared" si="13"/>
        <v/>
      </c>
      <c r="CB251" s="46">
        <f t="shared" si="14"/>
        <v>1</v>
      </c>
      <c r="CC251" s="46">
        <f t="shared" si="15"/>
        <v>1</v>
      </c>
      <c r="CD251" s="46">
        <f t="shared" si="16"/>
        <v>1</v>
      </c>
      <c r="CE251" s="46">
        <f t="shared" si="17"/>
        <v>0</v>
      </c>
      <c r="CF251" s="46">
        <f t="shared" si="18"/>
        <v>0</v>
      </c>
      <c r="CG251" s="46" t="str">
        <f ca="1">IFERROR(__xludf.DUMMYFUNCTION("if(OR(BH251="""",LEFT(BH251,2)=""LA""),"""",IMPORTXML(CONCATENATE(""https://loinc.org/"",BH251,""/""),""//span[@id='lcn']""))"),"")</f>
        <v/>
      </c>
      <c r="CH251" s="46"/>
      <c r="CI251" s="46"/>
      <c r="CJ251" s="46"/>
      <c r="CK251" s="46"/>
      <c r="CL251" s="46"/>
      <c r="CM251" s="46"/>
      <c r="CN251" s="46"/>
      <c r="CO251" s="46"/>
      <c r="CP251" s="46"/>
      <c r="CQ251" s="46"/>
      <c r="CR251" s="46"/>
      <c r="CS251" s="46"/>
      <c r="CT251" s="46"/>
      <c r="CU251" s="46"/>
    </row>
    <row r="252" spans="1:99" ht="12.75" customHeight="1">
      <c r="A252" s="399">
        <v>1489</v>
      </c>
      <c r="B252" s="409" t="s">
        <v>4698</v>
      </c>
      <c r="C252" s="399">
        <f t="shared" si="42"/>
        <v>1489</v>
      </c>
      <c r="D252" s="399" t="e">
        <f t="shared" ca="1" si="43"/>
        <v>#NAME?</v>
      </c>
      <c r="E252" s="399" t="str">
        <f t="shared" si="44"/>
        <v>Non-vascular non-insulin dependent</v>
      </c>
      <c r="F252" s="410" t="s">
        <v>180</v>
      </c>
      <c r="G252" s="400">
        <v>23</v>
      </c>
      <c r="H252" s="399" t="s">
        <v>4475</v>
      </c>
      <c r="I252" s="400"/>
      <c r="J252" s="400"/>
      <c r="K252" s="401" t="s">
        <v>3333</v>
      </c>
      <c r="L252" s="402" t="s">
        <v>4518</v>
      </c>
      <c r="M252" s="400"/>
      <c r="N252" s="427" t="s">
        <v>4417</v>
      </c>
      <c r="O252" s="428"/>
      <c r="P252" s="407" t="s">
        <v>4699</v>
      </c>
      <c r="Q252" s="403"/>
      <c r="R252" s="403"/>
      <c r="S252" s="403"/>
      <c r="T252" s="407"/>
      <c r="U252" s="407"/>
      <c r="V252" s="432" t="s">
        <v>4700</v>
      </c>
      <c r="W252" s="407"/>
      <c r="X252" s="403" t="s">
        <v>208</v>
      </c>
      <c r="Y252" s="407"/>
      <c r="Z252" s="403" t="s">
        <v>113</v>
      </c>
      <c r="AA252" s="407" t="s">
        <v>3178</v>
      </c>
      <c r="AB252" s="432" t="s">
        <v>4701</v>
      </c>
      <c r="AC252" s="421"/>
      <c r="AD252" s="421"/>
      <c r="AE252" s="408"/>
      <c r="AF252" s="407" t="s">
        <v>4489</v>
      </c>
      <c r="AG252" s="407" t="s">
        <v>3851</v>
      </c>
      <c r="AH252" s="399"/>
      <c r="AI252" s="400"/>
      <c r="AJ252" s="399"/>
      <c r="AK252" s="440"/>
      <c r="AL252" s="409"/>
      <c r="AM252" s="409"/>
      <c r="AN252" s="409"/>
      <c r="AO252" s="399"/>
      <c r="AP252" s="409"/>
      <c r="AQ252" s="409" t="s">
        <v>3130</v>
      </c>
      <c r="AR252" s="409" t="s">
        <v>4478</v>
      </c>
      <c r="AS252" s="409"/>
      <c r="AT252" s="399"/>
      <c r="AU252" s="399" t="s">
        <v>4702</v>
      </c>
      <c r="AV252" s="399" t="str">
        <f t="shared" si="47"/>
        <v>Changed</v>
      </c>
      <c r="AW252" s="399"/>
      <c r="AX252" s="409" t="s">
        <v>3343</v>
      </c>
      <c r="AY252" s="399" t="e">
        <f t="shared" ca="1" si="48"/>
        <v>#NAME?</v>
      </c>
      <c r="AZ252" s="399"/>
      <c r="BA252" s="409">
        <v>1</v>
      </c>
      <c r="BB252" s="399"/>
      <c r="BC252" s="399"/>
      <c r="BD252" s="399"/>
      <c r="BE252" s="411" t="s">
        <v>4703</v>
      </c>
      <c r="BF252" s="411" t="s">
        <v>4704</v>
      </c>
      <c r="BG252" s="411" t="s">
        <v>4705</v>
      </c>
      <c r="BH252" s="411"/>
      <c r="BI252" s="411"/>
      <c r="BJ252" s="399"/>
      <c r="BK252" s="399"/>
      <c r="BL252" s="399"/>
      <c r="BM252" s="399"/>
      <c r="BN252" s="399"/>
      <c r="BO252" s="399">
        <v>158474</v>
      </c>
      <c r="BP252" s="399"/>
      <c r="BQ252" s="399"/>
      <c r="BR252" s="399"/>
      <c r="BS252" s="407"/>
      <c r="BT252" s="407"/>
      <c r="BU252" s="412"/>
      <c r="BV252" s="46" t="str">
        <f t="shared" si="8"/>
        <v/>
      </c>
      <c r="BW252" s="46">
        <f t="shared" si="9"/>
        <v>0</v>
      </c>
      <c r="BX252" s="46">
        <f t="shared" si="10"/>
        <v>0</v>
      </c>
      <c r="BY252" s="43" t="str">
        <f t="shared" si="11"/>
        <v>WHO-FP Condition (Medical Eligibility)</v>
      </c>
      <c r="BZ252" s="46">
        <f t="shared" si="12"/>
        <v>1</v>
      </c>
      <c r="CA252" s="46" t="str">
        <f t="shared" si="13"/>
        <v/>
      </c>
      <c r="CB252" s="46">
        <f t="shared" si="14"/>
        <v>1</v>
      </c>
      <c r="CC252" s="46">
        <f t="shared" si="15"/>
        <v>1</v>
      </c>
      <c r="CD252" s="46">
        <f t="shared" si="16"/>
        <v>1</v>
      </c>
      <c r="CE252" s="46">
        <f t="shared" si="17"/>
        <v>0</v>
      </c>
      <c r="CF252" s="46">
        <f t="shared" si="18"/>
        <v>0</v>
      </c>
      <c r="CG252" s="46" t="str">
        <f ca="1">IFERROR(__xludf.DUMMYFUNCTION("if(OR(BH252="""",LEFT(BH252,2)=""LA""),"""",IMPORTXML(CONCATENATE(""https://loinc.org/"",BH252,""/""),""//span[@id='lcn']""))"),"")</f>
        <v/>
      </c>
      <c r="CH252" s="46"/>
      <c r="CI252" s="46"/>
      <c r="CJ252" s="46"/>
      <c r="CK252" s="46"/>
      <c r="CL252" s="46"/>
      <c r="CM252" s="46"/>
      <c r="CN252" s="46"/>
      <c r="CO252" s="46"/>
      <c r="CP252" s="46"/>
      <c r="CQ252" s="46"/>
      <c r="CR252" s="46"/>
      <c r="CS252" s="46"/>
      <c r="CT252" s="46"/>
      <c r="CU252" s="46"/>
    </row>
    <row r="253" spans="1:99" ht="12.75" customHeight="1">
      <c r="A253" s="399">
        <v>1490</v>
      </c>
      <c r="B253" s="409" t="s">
        <v>4706</v>
      </c>
      <c r="C253" s="399">
        <f t="shared" si="42"/>
        <v>1490</v>
      </c>
      <c r="D253" s="399" t="e">
        <f t="shared" ca="1" si="43"/>
        <v>#NAME?</v>
      </c>
      <c r="E253" s="399" t="str">
        <f t="shared" si="44"/>
        <v>History of diabetes in pregnancy only (Gestational diabetes)</v>
      </c>
      <c r="F253" s="410" t="s">
        <v>180</v>
      </c>
      <c r="G253" s="400">
        <v>23</v>
      </c>
      <c r="H253" s="399" t="s">
        <v>4475</v>
      </c>
      <c r="I253" s="400"/>
      <c r="J253" s="400"/>
      <c r="K253" s="401" t="s">
        <v>3333</v>
      </c>
      <c r="L253" s="402" t="s">
        <v>4518</v>
      </c>
      <c r="M253" s="400"/>
      <c r="N253" s="427" t="s">
        <v>4417</v>
      </c>
      <c r="O253" s="428"/>
      <c r="P253" s="407" t="s">
        <v>4707</v>
      </c>
      <c r="Q253" s="403"/>
      <c r="R253" s="403"/>
      <c r="S253" s="403"/>
      <c r="T253" s="407"/>
      <c r="U253" s="407"/>
      <c r="V253" s="432" t="s">
        <v>4706</v>
      </c>
      <c r="W253" s="407"/>
      <c r="X253" s="403" t="s">
        <v>208</v>
      </c>
      <c r="Y253" s="407"/>
      <c r="Z253" s="403" t="s">
        <v>113</v>
      </c>
      <c r="AA253" s="407" t="s">
        <v>3178</v>
      </c>
      <c r="AB253" s="432" t="s">
        <v>4701</v>
      </c>
      <c r="AC253" s="421"/>
      <c r="AD253" s="421"/>
      <c r="AE253" s="408"/>
      <c r="AF253" s="407" t="s">
        <v>4489</v>
      </c>
      <c r="AG253" s="407" t="s">
        <v>3851</v>
      </c>
      <c r="AH253" s="399"/>
      <c r="AI253" s="400"/>
      <c r="AJ253" s="399"/>
      <c r="AK253" s="440"/>
      <c r="AL253" s="409"/>
      <c r="AM253" s="409"/>
      <c r="AN253" s="409"/>
      <c r="AO253" s="399"/>
      <c r="AP253" s="409"/>
      <c r="AQ253" s="409" t="s">
        <v>3130</v>
      </c>
      <c r="AR253" s="409" t="s">
        <v>4478</v>
      </c>
      <c r="AS253" s="409"/>
      <c r="AT253" s="399"/>
      <c r="AU253" s="399" t="s">
        <v>4708</v>
      </c>
      <c r="AV253" s="399" t="str">
        <f t="shared" si="47"/>
        <v>Changed</v>
      </c>
      <c r="AW253" s="399"/>
      <c r="AX253" s="409" t="s">
        <v>3343</v>
      </c>
      <c r="AY253" s="399" t="e">
        <f t="shared" ca="1" si="48"/>
        <v>#NAME?</v>
      </c>
      <c r="AZ253" s="399"/>
      <c r="BA253" s="409">
        <v>1</v>
      </c>
      <c r="BB253" s="399"/>
      <c r="BC253" s="399"/>
      <c r="BD253" s="399"/>
      <c r="BE253" s="411" t="s">
        <v>4709</v>
      </c>
      <c r="BF253" s="411"/>
      <c r="BG253" s="411" t="s">
        <v>4710</v>
      </c>
      <c r="BH253" s="411"/>
      <c r="BI253" s="411"/>
      <c r="BJ253" s="399"/>
      <c r="BK253" s="399"/>
      <c r="BL253" s="399"/>
      <c r="BM253" s="399"/>
      <c r="BN253" s="399"/>
      <c r="BO253" s="399"/>
      <c r="BP253" s="399"/>
      <c r="BQ253" s="399"/>
      <c r="BR253" s="399"/>
      <c r="BS253" s="407"/>
      <c r="BT253" s="407"/>
      <c r="BU253" s="412"/>
      <c r="BV253" s="46" t="str">
        <f t="shared" si="8"/>
        <v/>
      </c>
      <c r="BW253" s="46">
        <f t="shared" si="9"/>
        <v>0</v>
      </c>
      <c r="BX253" s="46">
        <f t="shared" si="10"/>
        <v>0</v>
      </c>
      <c r="BY253" s="43" t="str">
        <f t="shared" si="11"/>
        <v>WHO-FP Condition (Medical Eligibility)</v>
      </c>
      <c r="BZ253" s="46">
        <f t="shared" si="12"/>
        <v>1</v>
      </c>
      <c r="CA253" s="46" t="str">
        <f t="shared" si="13"/>
        <v/>
      </c>
      <c r="CB253" s="46">
        <f t="shared" si="14"/>
        <v>1</v>
      </c>
      <c r="CC253" s="46">
        <f t="shared" si="15"/>
        <v>1</v>
      </c>
      <c r="CD253" s="46">
        <f t="shared" si="16"/>
        <v>1</v>
      </c>
      <c r="CE253" s="46">
        <f t="shared" si="17"/>
        <v>0</v>
      </c>
      <c r="CF253" s="46">
        <f t="shared" si="18"/>
        <v>0</v>
      </c>
      <c r="CG253" s="46" t="str">
        <f ca="1">IFERROR(__xludf.DUMMYFUNCTION("if(OR(BH253="""",LEFT(BH253,2)=""LA""),"""",IMPORTXML(CONCATENATE(""https://loinc.org/"",BH253,""/""),""//span[@id='lcn']""))"),"")</f>
        <v/>
      </c>
      <c r="CH253" s="46"/>
      <c r="CI253" s="46"/>
      <c r="CJ253" s="46"/>
      <c r="CK253" s="46"/>
      <c r="CL253" s="46"/>
      <c r="CM253" s="46"/>
      <c r="CN253" s="46"/>
      <c r="CO253" s="46"/>
      <c r="CP253" s="46"/>
      <c r="CQ253" s="46"/>
      <c r="CR253" s="46"/>
      <c r="CS253" s="46"/>
      <c r="CT253" s="46"/>
      <c r="CU253" s="46"/>
    </row>
    <row r="254" spans="1:99" ht="12.75" customHeight="1">
      <c r="A254" s="399">
        <v>1491</v>
      </c>
      <c r="B254" s="409" t="s">
        <v>4711</v>
      </c>
      <c r="C254" s="399">
        <f t="shared" si="42"/>
        <v>1491</v>
      </c>
      <c r="D254" s="399" t="e">
        <f t="shared" ca="1" si="43"/>
        <v>#NAME?</v>
      </c>
      <c r="E254" s="399" t="str">
        <f t="shared" si="44"/>
        <v>Diabetes &gt;20 years duration</v>
      </c>
      <c r="F254" s="410" t="s">
        <v>180</v>
      </c>
      <c r="G254" s="400">
        <v>23</v>
      </c>
      <c r="H254" s="399" t="s">
        <v>4475</v>
      </c>
      <c r="I254" s="400"/>
      <c r="J254" s="400"/>
      <c r="K254" s="401" t="s">
        <v>3333</v>
      </c>
      <c r="L254" s="402" t="s">
        <v>4518</v>
      </c>
      <c r="M254" s="400"/>
      <c r="N254" s="427" t="s">
        <v>4417</v>
      </c>
      <c r="O254" s="428"/>
      <c r="P254" s="407" t="s">
        <v>4712</v>
      </c>
      <c r="Q254" s="403"/>
      <c r="R254" s="403"/>
      <c r="S254" s="403"/>
      <c r="T254" s="407"/>
      <c r="U254" s="407"/>
      <c r="V254" s="432" t="s">
        <v>4711</v>
      </c>
      <c r="W254" s="407"/>
      <c r="X254" s="403" t="s">
        <v>208</v>
      </c>
      <c r="Y254" s="407"/>
      <c r="Z254" s="403" t="s">
        <v>113</v>
      </c>
      <c r="AA254" s="407" t="s">
        <v>3178</v>
      </c>
      <c r="AB254" s="432" t="s">
        <v>4701</v>
      </c>
      <c r="AC254" s="421"/>
      <c r="AD254" s="421"/>
      <c r="AE254" s="408"/>
      <c r="AF254" s="407" t="s">
        <v>4489</v>
      </c>
      <c r="AG254" s="407" t="s">
        <v>3851</v>
      </c>
      <c r="AH254" s="399"/>
      <c r="AI254" s="400"/>
      <c r="AJ254" s="399"/>
      <c r="AK254" s="440"/>
      <c r="AL254" s="409"/>
      <c r="AM254" s="409"/>
      <c r="AN254" s="409"/>
      <c r="AO254" s="409"/>
      <c r="AP254" s="409"/>
      <c r="AQ254" s="409" t="s">
        <v>3130</v>
      </c>
      <c r="AR254" s="409" t="s">
        <v>4478</v>
      </c>
      <c r="AS254" s="409"/>
      <c r="AT254" s="399"/>
      <c r="AU254" s="399" t="s">
        <v>4713</v>
      </c>
      <c r="AV254" s="399" t="str">
        <f t="shared" si="47"/>
        <v>Changed</v>
      </c>
      <c r="AW254" s="399"/>
      <c r="AX254" s="409" t="s">
        <v>3343</v>
      </c>
      <c r="AY254" s="399" t="e">
        <f t="shared" ca="1" si="48"/>
        <v>#NAME?</v>
      </c>
      <c r="AZ254" s="399"/>
      <c r="BA254" s="409">
        <v>1</v>
      </c>
      <c r="BB254" s="415" t="s">
        <v>3131</v>
      </c>
      <c r="BC254" s="399" t="s">
        <v>4711</v>
      </c>
      <c r="BD254" s="409" t="s">
        <v>3162</v>
      </c>
      <c r="BE254" s="411"/>
      <c r="BF254" s="411"/>
      <c r="BG254" s="411"/>
      <c r="BH254" s="411"/>
      <c r="BI254" s="411"/>
      <c r="BJ254" s="409" t="s">
        <v>4282</v>
      </c>
      <c r="BK254" s="399"/>
      <c r="BL254" s="399"/>
      <c r="BM254" s="409" t="s">
        <v>4714</v>
      </c>
      <c r="BN254" s="399"/>
      <c r="BO254" s="399"/>
      <c r="BP254" s="399"/>
      <c r="BQ254" s="399"/>
      <c r="BR254" s="399"/>
      <c r="BS254" s="407"/>
      <c r="BT254" s="407"/>
      <c r="BU254" s="412"/>
      <c r="BV254" s="46" t="str">
        <f t="shared" si="8"/>
        <v/>
      </c>
      <c r="BW254" s="46">
        <f t="shared" si="9"/>
        <v>0</v>
      </c>
      <c r="BX254" s="46">
        <f t="shared" si="10"/>
        <v>0</v>
      </c>
      <c r="BY254" s="43" t="str">
        <f t="shared" si="11"/>
        <v>WHO-FP Condition (Medical Eligibility)</v>
      </c>
      <c r="BZ254" s="46">
        <f t="shared" si="12"/>
        <v>1</v>
      </c>
      <c r="CA254" s="46" t="str">
        <f t="shared" si="13"/>
        <v/>
      </c>
      <c r="CB254" s="46">
        <f t="shared" si="14"/>
        <v>1</v>
      </c>
      <c r="CC254" s="46">
        <f t="shared" si="15"/>
        <v>1</v>
      </c>
      <c r="CD254" s="46">
        <f t="shared" si="16"/>
        <v>1</v>
      </c>
      <c r="CE254" s="46">
        <f t="shared" si="17"/>
        <v>0</v>
      </c>
      <c r="CF254" s="46">
        <f t="shared" si="18"/>
        <v>0</v>
      </c>
      <c r="CG254" s="46" t="str">
        <f ca="1">IFERROR(__xludf.DUMMYFUNCTION("if(OR(BH254="""",LEFT(BH254,2)=""LA""),"""",IMPORTXML(CONCATENATE(""https://loinc.org/"",BH254,""/""),""//span[@id='lcn']""))"),"")</f>
        <v/>
      </c>
      <c r="CH254" s="46"/>
      <c r="CI254" s="46"/>
      <c r="CJ254" s="46"/>
      <c r="CK254" s="46"/>
      <c r="CL254" s="46"/>
      <c r="CM254" s="46"/>
      <c r="CN254" s="46"/>
      <c r="CO254" s="46"/>
      <c r="CP254" s="46"/>
      <c r="CQ254" s="46"/>
      <c r="CR254" s="46"/>
      <c r="CS254" s="46"/>
      <c r="CT254" s="46"/>
      <c r="CU254" s="46"/>
    </row>
    <row r="255" spans="1:99" ht="12.75" customHeight="1">
      <c r="A255" s="399">
        <v>1492</v>
      </c>
      <c r="B255" s="409" t="s">
        <v>4715</v>
      </c>
      <c r="C255" s="399">
        <f t="shared" si="42"/>
        <v>1492</v>
      </c>
      <c r="D255" s="399" t="e">
        <f t="shared" ca="1" si="43"/>
        <v>#NAME?</v>
      </c>
      <c r="E255" s="399" t="str">
        <f t="shared" si="44"/>
        <v>Other vascular disease &gt;20 years duration</v>
      </c>
      <c r="F255" s="410" t="s">
        <v>180</v>
      </c>
      <c r="G255" s="400">
        <v>23</v>
      </c>
      <c r="H255" s="399" t="s">
        <v>4475</v>
      </c>
      <c r="I255" s="400"/>
      <c r="J255" s="400"/>
      <c r="K255" s="401" t="s">
        <v>3333</v>
      </c>
      <c r="L255" s="402" t="s">
        <v>4518</v>
      </c>
      <c r="M255" s="400"/>
      <c r="N255" s="427" t="s">
        <v>4417</v>
      </c>
      <c r="O255" s="428"/>
      <c r="P255" s="407" t="s">
        <v>4716</v>
      </c>
      <c r="Q255" s="403"/>
      <c r="R255" s="403"/>
      <c r="S255" s="403"/>
      <c r="T255" s="407"/>
      <c r="U255" s="407"/>
      <c r="V255" s="432" t="s">
        <v>4715</v>
      </c>
      <c r="W255" s="407"/>
      <c r="X255" s="403" t="s">
        <v>208</v>
      </c>
      <c r="Y255" s="407"/>
      <c r="Z255" s="403" t="s">
        <v>113</v>
      </c>
      <c r="AA255" s="407" t="s">
        <v>3178</v>
      </c>
      <c r="AB255" s="432" t="s">
        <v>4701</v>
      </c>
      <c r="AC255" s="421"/>
      <c r="AD255" s="421"/>
      <c r="AE255" s="408"/>
      <c r="AF255" s="407" t="s">
        <v>4489</v>
      </c>
      <c r="AG255" s="407" t="s">
        <v>3851</v>
      </c>
      <c r="AH255" s="399"/>
      <c r="AI255" s="400"/>
      <c r="AJ255" s="399"/>
      <c r="AK255" s="440"/>
      <c r="AL255" s="409"/>
      <c r="AM255" s="409"/>
      <c r="AN255" s="409"/>
      <c r="AO255" s="399"/>
      <c r="AP255" s="409"/>
      <c r="AQ255" s="409" t="s">
        <v>3130</v>
      </c>
      <c r="AR255" s="409" t="s">
        <v>4478</v>
      </c>
      <c r="AS255" s="409"/>
      <c r="AT255" s="399"/>
      <c r="AU255" s="399" t="s">
        <v>4718</v>
      </c>
      <c r="AV255" s="399" t="str">
        <f t="shared" si="47"/>
        <v>Changed</v>
      </c>
      <c r="AW255" s="399"/>
      <c r="AX255" s="409" t="s">
        <v>3343</v>
      </c>
      <c r="AY255" s="399" t="e">
        <f t="shared" ca="1" si="48"/>
        <v>#NAME?</v>
      </c>
      <c r="AZ255" s="399"/>
      <c r="BA255" s="409">
        <v>1</v>
      </c>
      <c r="BB255" s="415" t="s">
        <v>3131</v>
      </c>
      <c r="BC255" s="399" t="s">
        <v>4715</v>
      </c>
      <c r="BD255" s="399"/>
      <c r="BE255" s="411"/>
      <c r="BF255" s="411"/>
      <c r="BG255" s="411"/>
      <c r="BH255" s="411"/>
      <c r="BI255" s="411"/>
      <c r="BJ255" s="409" t="s">
        <v>4282</v>
      </c>
      <c r="BK255" s="399"/>
      <c r="BL255" s="399"/>
      <c r="BM255" s="399"/>
      <c r="BN255" s="399"/>
      <c r="BO255" s="399"/>
      <c r="BP255" s="399"/>
      <c r="BQ255" s="399"/>
      <c r="BR255" s="399"/>
      <c r="BS255" s="407"/>
      <c r="BT255" s="407"/>
      <c r="BU255" s="412"/>
      <c r="BV255" s="46" t="str">
        <f t="shared" si="8"/>
        <v/>
      </c>
      <c r="BW255" s="46">
        <f t="shared" si="9"/>
        <v>0</v>
      </c>
      <c r="BX255" s="46">
        <f t="shared" si="10"/>
        <v>0</v>
      </c>
      <c r="BY255" s="43" t="str">
        <f t="shared" si="11"/>
        <v>WHO-FP Condition (Medical Eligibility)</v>
      </c>
      <c r="BZ255" s="46">
        <f t="shared" si="12"/>
        <v>1</v>
      </c>
      <c r="CA255" s="46" t="str">
        <f t="shared" si="13"/>
        <v/>
      </c>
      <c r="CB255" s="46">
        <f t="shared" si="14"/>
        <v>1</v>
      </c>
      <c r="CC255" s="46">
        <f t="shared" si="15"/>
        <v>1</v>
      </c>
      <c r="CD255" s="46">
        <f t="shared" si="16"/>
        <v>1</v>
      </c>
      <c r="CE255" s="46">
        <f t="shared" si="17"/>
        <v>0</v>
      </c>
      <c r="CF255" s="46">
        <f t="shared" si="18"/>
        <v>0</v>
      </c>
      <c r="CG255" s="46" t="str">
        <f ca="1">IFERROR(__xludf.DUMMYFUNCTION("if(OR(BH255="""",LEFT(BH255,2)=""LA""),"""",IMPORTXML(CONCATENATE(""https://loinc.org/"",BH255,""/""),""//span[@id='lcn']""))"),"")</f>
        <v/>
      </c>
      <c r="CH255" s="46"/>
      <c r="CI255" s="46"/>
      <c r="CJ255" s="46"/>
      <c r="CK255" s="46"/>
      <c r="CL255" s="46"/>
      <c r="CM255" s="46"/>
      <c r="CN255" s="46"/>
      <c r="CO255" s="46"/>
      <c r="CP255" s="46"/>
      <c r="CQ255" s="46"/>
      <c r="CR255" s="46"/>
      <c r="CS255" s="46"/>
      <c r="CT255" s="46"/>
      <c r="CU255" s="46"/>
    </row>
    <row r="256" spans="1:99" ht="12.75" customHeight="1">
      <c r="A256" s="399">
        <v>1493</v>
      </c>
      <c r="B256" s="409" t="s">
        <v>4719</v>
      </c>
      <c r="C256" s="399">
        <f t="shared" si="42"/>
        <v>1493</v>
      </c>
      <c r="D256" s="399" t="e">
        <f t="shared" ca="1" si="43"/>
        <v>#NAME?</v>
      </c>
      <c r="E256" s="399" t="str">
        <f t="shared" si="44"/>
        <v>Nephropathy</v>
      </c>
      <c r="F256" s="410" t="s">
        <v>180</v>
      </c>
      <c r="G256" s="400">
        <v>23</v>
      </c>
      <c r="H256" s="399" t="s">
        <v>4475</v>
      </c>
      <c r="I256" s="400"/>
      <c r="J256" s="400"/>
      <c r="K256" s="401" t="s">
        <v>3333</v>
      </c>
      <c r="L256" s="402" t="s">
        <v>4518</v>
      </c>
      <c r="M256" s="400"/>
      <c r="N256" s="427" t="s">
        <v>4417</v>
      </c>
      <c r="O256" s="428"/>
      <c r="P256" s="407" t="s">
        <v>4720</v>
      </c>
      <c r="Q256" s="403"/>
      <c r="R256" s="403"/>
      <c r="S256" s="403"/>
      <c r="T256" s="407"/>
      <c r="U256" s="407"/>
      <c r="V256" s="407" t="s">
        <v>4719</v>
      </c>
      <c r="W256" s="407"/>
      <c r="X256" s="403" t="s">
        <v>208</v>
      </c>
      <c r="Y256" s="407"/>
      <c r="Z256" s="403" t="s">
        <v>113</v>
      </c>
      <c r="AA256" s="407" t="s">
        <v>3178</v>
      </c>
      <c r="AB256" s="432" t="s">
        <v>4701</v>
      </c>
      <c r="AC256" s="421"/>
      <c r="AD256" s="421"/>
      <c r="AE256" s="408"/>
      <c r="AF256" s="407" t="s">
        <v>4489</v>
      </c>
      <c r="AG256" s="407" t="s">
        <v>3851</v>
      </c>
      <c r="AH256" s="399"/>
      <c r="AI256" s="400"/>
      <c r="AJ256" s="399"/>
      <c r="AK256" s="440"/>
      <c r="AL256" s="409"/>
      <c r="AM256" s="409"/>
      <c r="AN256" s="409"/>
      <c r="AO256" s="399"/>
      <c r="AP256" s="409"/>
      <c r="AQ256" s="409" t="s">
        <v>3130</v>
      </c>
      <c r="AR256" s="409" t="s">
        <v>4478</v>
      </c>
      <c r="AS256" s="409"/>
      <c r="AT256" s="399"/>
      <c r="AU256" s="399" t="s">
        <v>4721</v>
      </c>
      <c r="AV256" s="399" t="str">
        <f t="shared" si="47"/>
        <v>Changed</v>
      </c>
      <c r="AW256" s="399"/>
      <c r="AX256" s="409" t="s">
        <v>3343</v>
      </c>
      <c r="AY256" s="399" t="e">
        <f t="shared" ca="1" si="48"/>
        <v>#NAME?</v>
      </c>
      <c r="AZ256" s="399"/>
      <c r="BA256" s="409">
        <v>1</v>
      </c>
      <c r="BB256" s="399"/>
      <c r="BC256" s="399"/>
      <c r="BD256" s="399"/>
      <c r="BE256" s="411" t="s">
        <v>4722</v>
      </c>
      <c r="BF256" s="411" t="s">
        <v>4679</v>
      </c>
      <c r="BG256" s="411" t="s">
        <v>4723</v>
      </c>
      <c r="BH256" s="411"/>
      <c r="BI256" s="411"/>
      <c r="BJ256" s="399"/>
      <c r="BK256" s="399"/>
      <c r="BL256" s="399"/>
      <c r="BM256" s="399"/>
      <c r="BN256" s="399"/>
      <c r="BO256" s="399">
        <v>142431</v>
      </c>
      <c r="BP256" s="399"/>
      <c r="BQ256" s="399"/>
      <c r="BR256" s="399"/>
      <c r="BS256" s="407"/>
      <c r="BT256" s="407"/>
      <c r="BU256" s="412"/>
      <c r="BV256" s="46" t="str">
        <f t="shared" si="8"/>
        <v/>
      </c>
      <c r="BW256" s="46">
        <f t="shared" si="9"/>
        <v>0</v>
      </c>
      <c r="BX256" s="46">
        <f t="shared" si="10"/>
        <v>0</v>
      </c>
      <c r="BY256" s="43" t="str">
        <f t="shared" si="11"/>
        <v>WHO-FP Condition (Medical Eligibility)</v>
      </c>
      <c r="BZ256" s="46">
        <f t="shared" si="12"/>
        <v>1</v>
      </c>
      <c r="CA256" s="46" t="str">
        <f t="shared" si="13"/>
        <v/>
      </c>
      <c r="CB256" s="46">
        <f t="shared" si="14"/>
        <v>1</v>
      </c>
      <c r="CC256" s="46">
        <f t="shared" si="15"/>
        <v>1</v>
      </c>
      <c r="CD256" s="46">
        <f t="shared" si="16"/>
        <v>1</v>
      </c>
      <c r="CE256" s="46">
        <f t="shared" si="17"/>
        <v>0</v>
      </c>
      <c r="CF256" s="46">
        <f t="shared" si="18"/>
        <v>0</v>
      </c>
      <c r="CG256" s="46" t="str">
        <f ca="1">IFERROR(__xludf.DUMMYFUNCTION("if(OR(BH256="""",LEFT(BH256,2)=""LA""),"""",IMPORTXML(CONCATENATE(""https://loinc.org/"",BH256,""/""),""//span[@id='lcn']""))"),"")</f>
        <v/>
      </c>
      <c r="CH256" s="46"/>
      <c r="CI256" s="46"/>
      <c r="CJ256" s="46"/>
      <c r="CK256" s="46"/>
      <c r="CL256" s="46"/>
      <c r="CM256" s="46"/>
      <c r="CN256" s="46"/>
      <c r="CO256" s="46"/>
      <c r="CP256" s="46"/>
      <c r="CQ256" s="46"/>
      <c r="CR256" s="46"/>
      <c r="CS256" s="46"/>
      <c r="CT256" s="46"/>
      <c r="CU256" s="46"/>
    </row>
    <row r="257" spans="1:99" ht="12.75" customHeight="1">
      <c r="A257" s="399">
        <v>1494</v>
      </c>
      <c r="B257" s="409" t="s">
        <v>4724</v>
      </c>
      <c r="C257" s="399">
        <f t="shared" si="42"/>
        <v>1494</v>
      </c>
      <c r="D257" s="399" t="e">
        <f t="shared" ca="1" si="43"/>
        <v>#NAME?</v>
      </c>
      <c r="E257" s="399" t="str">
        <f t="shared" si="44"/>
        <v>Retinopathy</v>
      </c>
      <c r="F257" s="410" t="s">
        <v>180</v>
      </c>
      <c r="G257" s="400">
        <v>23</v>
      </c>
      <c r="H257" s="399" t="s">
        <v>4475</v>
      </c>
      <c r="I257" s="400"/>
      <c r="J257" s="400"/>
      <c r="K257" s="401" t="s">
        <v>3333</v>
      </c>
      <c r="L257" s="402" t="s">
        <v>4518</v>
      </c>
      <c r="M257" s="400"/>
      <c r="N257" s="427" t="s">
        <v>4417</v>
      </c>
      <c r="O257" s="428"/>
      <c r="P257" s="407" t="s">
        <v>4725</v>
      </c>
      <c r="Q257" s="403"/>
      <c r="R257" s="403"/>
      <c r="S257" s="403"/>
      <c r="T257" s="407"/>
      <c r="U257" s="407"/>
      <c r="V257" s="407" t="s">
        <v>4724</v>
      </c>
      <c r="W257" s="407"/>
      <c r="X257" s="403" t="s">
        <v>208</v>
      </c>
      <c r="Y257" s="407"/>
      <c r="Z257" s="403" t="s">
        <v>113</v>
      </c>
      <c r="AA257" s="407" t="s">
        <v>3178</v>
      </c>
      <c r="AB257" s="432" t="s">
        <v>4701</v>
      </c>
      <c r="AC257" s="421"/>
      <c r="AD257" s="421"/>
      <c r="AE257" s="408"/>
      <c r="AF257" s="407" t="s">
        <v>4489</v>
      </c>
      <c r="AG257" s="407" t="s">
        <v>3851</v>
      </c>
      <c r="AH257" s="399"/>
      <c r="AI257" s="400"/>
      <c r="AJ257" s="399"/>
      <c r="AK257" s="440"/>
      <c r="AL257" s="409"/>
      <c r="AM257" s="409"/>
      <c r="AN257" s="409"/>
      <c r="AO257" s="399"/>
      <c r="AP257" s="409"/>
      <c r="AQ257" s="409" t="s">
        <v>3130</v>
      </c>
      <c r="AR257" s="409" t="s">
        <v>4478</v>
      </c>
      <c r="AS257" s="409"/>
      <c r="AT257" s="399"/>
      <c r="AU257" s="399" t="s">
        <v>4726</v>
      </c>
      <c r="AV257" s="399" t="str">
        <f t="shared" si="47"/>
        <v>Changed</v>
      </c>
      <c r="AW257" s="399"/>
      <c r="AX257" s="409" t="s">
        <v>3343</v>
      </c>
      <c r="AY257" s="399" t="e">
        <f t="shared" ca="1" si="48"/>
        <v>#NAME?</v>
      </c>
      <c r="AZ257" s="399"/>
      <c r="BA257" s="409">
        <v>1</v>
      </c>
      <c r="BB257" s="399"/>
      <c r="BC257" s="399"/>
      <c r="BD257" s="399"/>
      <c r="BE257" s="411" t="s">
        <v>4727</v>
      </c>
      <c r="BF257" s="411" t="s">
        <v>4679</v>
      </c>
      <c r="BG257" s="411" t="s">
        <v>4728</v>
      </c>
      <c r="BH257" s="411"/>
      <c r="BI257" s="411"/>
      <c r="BJ257" s="399"/>
      <c r="BK257" s="399"/>
      <c r="BL257" s="399"/>
      <c r="BM257" s="399"/>
      <c r="BN257" s="399"/>
      <c r="BO257" s="399">
        <v>142429</v>
      </c>
      <c r="BP257" s="399"/>
      <c r="BQ257" s="399"/>
      <c r="BR257" s="399"/>
      <c r="BS257" s="407"/>
      <c r="BT257" s="407"/>
      <c r="BU257" s="412"/>
      <c r="BV257" s="46" t="str">
        <f t="shared" si="8"/>
        <v/>
      </c>
      <c r="BW257" s="46">
        <f t="shared" si="9"/>
        <v>0</v>
      </c>
      <c r="BX257" s="46">
        <f t="shared" si="10"/>
        <v>0</v>
      </c>
      <c r="BY257" s="43" t="str">
        <f t="shared" si="11"/>
        <v>WHO-FP Condition (Medical Eligibility)</v>
      </c>
      <c r="BZ257" s="46">
        <f t="shared" si="12"/>
        <v>1</v>
      </c>
      <c r="CA257" s="46" t="str">
        <f t="shared" si="13"/>
        <v/>
      </c>
      <c r="CB257" s="46">
        <f t="shared" si="14"/>
        <v>1</v>
      </c>
      <c r="CC257" s="46">
        <f t="shared" si="15"/>
        <v>1</v>
      </c>
      <c r="CD257" s="46">
        <f t="shared" si="16"/>
        <v>1</v>
      </c>
      <c r="CE257" s="46">
        <f t="shared" si="17"/>
        <v>0</v>
      </c>
      <c r="CF257" s="46">
        <f t="shared" si="18"/>
        <v>0</v>
      </c>
      <c r="CG257" s="46" t="str">
        <f ca="1">IFERROR(__xludf.DUMMYFUNCTION("if(OR(BH257="""",LEFT(BH257,2)=""LA""),"""",IMPORTXML(CONCATENATE(""https://loinc.org/"",BH257,""/""),""//span[@id='lcn']""))"),"")</f>
        <v/>
      </c>
      <c r="CH257" s="46"/>
      <c r="CI257" s="46"/>
      <c r="CJ257" s="46"/>
      <c r="CK257" s="46"/>
      <c r="CL257" s="46"/>
      <c r="CM257" s="46"/>
      <c r="CN257" s="46"/>
      <c r="CO257" s="46"/>
      <c r="CP257" s="46"/>
      <c r="CQ257" s="46"/>
      <c r="CR257" s="46"/>
      <c r="CS257" s="46"/>
      <c r="CT257" s="46"/>
      <c r="CU257" s="46"/>
    </row>
    <row r="258" spans="1:99" ht="12.75" customHeight="1">
      <c r="A258" s="399">
        <v>1495</v>
      </c>
      <c r="B258" s="409" t="s">
        <v>4729</v>
      </c>
      <c r="C258" s="399">
        <f t="shared" si="42"/>
        <v>1495</v>
      </c>
      <c r="D258" s="399" t="e">
        <f t="shared" ca="1" si="43"/>
        <v>#NAME?</v>
      </c>
      <c r="E258" s="399" t="str">
        <f t="shared" si="44"/>
        <v>Neuropathy</v>
      </c>
      <c r="F258" s="410" t="s">
        <v>180</v>
      </c>
      <c r="G258" s="400">
        <v>23</v>
      </c>
      <c r="H258" s="399" t="s">
        <v>4475</v>
      </c>
      <c r="I258" s="400"/>
      <c r="J258" s="400"/>
      <c r="K258" s="401" t="s">
        <v>3333</v>
      </c>
      <c r="L258" s="402" t="s">
        <v>4518</v>
      </c>
      <c r="M258" s="400"/>
      <c r="N258" s="427" t="s">
        <v>4417</v>
      </c>
      <c r="O258" s="428"/>
      <c r="P258" s="407" t="s">
        <v>4730</v>
      </c>
      <c r="Q258" s="403"/>
      <c r="R258" s="403"/>
      <c r="S258" s="403"/>
      <c r="T258" s="407"/>
      <c r="U258" s="407"/>
      <c r="V258" s="407" t="s">
        <v>4729</v>
      </c>
      <c r="W258" s="407"/>
      <c r="X258" s="403" t="s">
        <v>208</v>
      </c>
      <c r="Y258" s="407"/>
      <c r="Z258" s="403" t="s">
        <v>113</v>
      </c>
      <c r="AA258" s="407" t="s">
        <v>3178</v>
      </c>
      <c r="AB258" s="432" t="s">
        <v>4701</v>
      </c>
      <c r="AC258" s="421"/>
      <c r="AD258" s="421"/>
      <c r="AE258" s="408"/>
      <c r="AF258" s="407" t="s">
        <v>4489</v>
      </c>
      <c r="AG258" s="407" t="s">
        <v>3851</v>
      </c>
      <c r="AH258" s="399"/>
      <c r="AI258" s="400"/>
      <c r="AJ258" s="399"/>
      <c r="AK258" s="440"/>
      <c r="AL258" s="409"/>
      <c r="AM258" s="409"/>
      <c r="AN258" s="409"/>
      <c r="AO258" s="399"/>
      <c r="AP258" s="409"/>
      <c r="AQ258" s="409" t="s">
        <v>3130</v>
      </c>
      <c r="AR258" s="409" t="s">
        <v>4478</v>
      </c>
      <c r="AS258" s="409"/>
      <c r="AT258" s="399"/>
      <c r="AU258" s="399" t="s">
        <v>4731</v>
      </c>
      <c r="AV258" s="399" t="str">
        <f t="shared" si="47"/>
        <v>Changed</v>
      </c>
      <c r="AW258" s="399"/>
      <c r="AX258" s="409" t="s">
        <v>3343</v>
      </c>
      <c r="AY258" s="399" t="e">
        <f t="shared" ca="1" si="48"/>
        <v>#NAME?</v>
      </c>
      <c r="AZ258" s="399"/>
      <c r="BA258" s="409">
        <v>1</v>
      </c>
      <c r="BB258" s="399"/>
      <c r="BC258" s="399"/>
      <c r="BD258" s="399"/>
      <c r="BE258" s="411" t="s">
        <v>4732</v>
      </c>
      <c r="BF258" s="411"/>
      <c r="BG258" s="411"/>
      <c r="BH258" s="411"/>
      <c r="BI258" s="411"/>
      <c r="BJ258" s="399"/>
      <c r="BK258" s="399"/>
      <c r="BL258" s="399"/>
      <c r="BM258" s="399"/>
      <c r="BN258" s="399"/>
      <c r="BO258" s="399"/>
      <c r="BP258" s="399"/>
      <c r="BQ258" s="399"/>
      <c r="BR258" s="399"/>
      <c r="BS258" s="407"/>
      <c r="BT258" s="407"/>
      <c r="BU258" s="412"/>
      <c r="BV258" s="46" t="str">
        <f t="shared" si="8"/>
        <v/>
      </c>
      <c r="BW258" s="46">
        <f t="shared" si="9"/>
        <v>0</v>
      </c>
      <c r="BX258" s="46">
        <f t="shared" si="10"/>
        <v>0</v>
      </c>
      <c r="BY258" s="43" t="str">
        <f t="shared" si="11"/>
        <v>WHO-FP Condition (Medical Eligibility)</v>
      </c>
      <c r="BZ258" s="46">
        <f t="shared" si="12"/>
        <v>1</v>
      </c>
      <c r="CA258" s="46" t="str">
        <f t="shared" si="13"/>
        <v/>
      </c>
      <c r="CB258" s="46">
        <f t="shared" si="14"/>
        <v>1</v>
      </c>
      <c r="CC258" s="46">
        <f t="shared" si="15"/>
        <v>1</v>
      </c>
      <c r="CD258" s="46">
        <f t="shared" si="16"/>
        <v>1</v>
      </c>
      <c r="CE258" s="46">
        <f t="shared" si="17"/>
        <v>0</v>
      </c>
      <c r="CF258" s="46">
        <f t="shared" si="18"/>
        <v>0</v>
      </c>
      <c r="CG258" s="46" t="str">
        <f ca="1">IFERROR(__xludf.DUMMYFUNCTION("if(OR(BH258="""",LEFT(BH258,2)=""LA""),"""",IMPORTXML(CONCATENATE(""https://loinc.org/"",BH258,""/""),""//span[@id='lcn']""))"),"")</f>
        <v/>
      </c>
      <c r="CH258" s="46"/>
      <c r="CI258" s="46"/>
      <c r="CJ258" s="46"/>
      <c r="CK258" s="46"/>
      <c r="CL258" s="46"/>
      <c r="CM258" s="46"/>
      <c r="CN258" s="46"/>
      <c r="CO258" s="46"/>
      <c r="CP258" s="46"/>
      <c r="CQ258" s="46"/>
      <c r="CR258" s="46"/>
      <c r="CS258" s="46"/>
      <c r="CT258" s="46"/>
      <c r="CU258" s="46"/>
    </row>
    <row r="259" spans="1:99" ht="12.75" customHeight="1">
      <c r="A259" s="399">
        <v>1496</v>
      </c>
      <c r="B259" s="399" t="s">
        <v>4623</v>
      </c>
      <c r="C259" s="399">
        <f t="shared" si="42"/>
        <v>1496</v>
      </c>
      <c r="D259" s="399" t="e">
        <f t="shared" ca="1" si="43"/>
        <v>#NAME?</v>
      </c>
      <c r="E259" s="399" t="str">
        <f t="shared" si="44"/>
        <v>Smoker</v>
      </c>
      <c r="F259" s="409" t="s">
        <v>180</v>
      </c>
      <c r="G259" s="400">
        <f t="shared" ref="G259:G262" si="59">LEN(B259)</f>
        <v>6</v>
      </c>
      <c r="H259" s="410" t="s">
        <v>4472</v>
      </c>
      <c r="I259" s="400"/>
      <c r="J259" s="400"/>
      <c r="K259" s="401" t="s">
        <v>3333</v>
      </c>
      <c r="L259" s="402" t="s">
        <v>4518</v>
      </c>
      <c r="M259" s="400"/>
      <c r="N259" s="427" t="s">
        <v>4417</v>
      </c>
      <c r="O259" s="428"/>
      <c r="P259" s="403" t="s">
        <v>4622</v>
      </c>
      <c r="Q259" s="403" t="s">
        <v>4623</v>
      </c>
      <c r="R259" s="403"/>
      <c r="S259" s="403" t="s">
        <v>4733</v>
      </c>
      <c r="T259" s="403" t="s">
        <v>3169</v>
      </c>
      <c r="U259" s="407"/>
      <c r="V259" s="407" t="s">
        <v>3170</v>
      </c>
      <c r="W259" s="407"/>
      <c r="X259" s="403" t="s">
        <v>208</v>
      </c>
      <c r="Y259" s="403"/>
      <c r="Z259" s="403" t="s">
        <v>113</v>
      </c>
      <c r="AA259" s="403" t="s">
        <v>3178</v>
      </c>
      <c r="AB259" s="432" t="s">
        <v>4734</v>
      </c>
      <c r="AC259" s="421"/>
      <c r="AD259" s="436"/>
      <c r="AE259" s="406"/>
      <c r="AF259" s="407" t="s">
        <v>4686</v>
      </c>
      <c r="AG259" s="407" t="s">
        <v>3851</v>
      </c>
      <c r="AH259" s="399"/>
      <c r="AI259" s="400"/>
      <c r="AJ259" s="399"/>
      <c r="AK259" s="409"/>
      <c r="AL259" s="409"/>
      <c r="AM259" s="409"/>
      <c r="AN259" s="409"/>
      <c r="AO259" s="399"/>
      <c r="AP259" s="409"/>
      <c r="AQ259" s="409" t="s">
        <v>3130</v>
      </c>
      <c r="AR259" s="410" t="s">
        <v>4474</v>
      </c>
      <c r="AS259" s="410"/>
      <c r="AT259" s="399"/>
      <c r="AU259" s="399" t="s">
        <v>4623</v>
      </c>
      <c r="AV259" s="399" t="str">
        <f t="shared" si="47"/>
        <v>Same</v>
      </c>
      <c r="AW259" s="399"/>
      <c r="AX259" s="409" t="s">
        <v>3343</v>
      </c>
      <c r="AY259" s="399" t="e">
        <f t="shared" ca="1" si="48"/>
        <v>#NAME?</v>
      </c>
      <c r="AZ259" s="399"/>
      <c r="BA259" s="409">
        <v>1</v>
      </c>
      <c r="BB259" s="399"/>
      <c r="BC259" s="399"/>
      <c r="BD259" s="409" t="s">
        <v>4735</v>
      </c>
      <c r="BE259" s="411" t="s">
        <v>4736</v>
      </c>
      <c r="BF259" s="411"/>
      <c r="BG259" s="434" t="s">
        <v>4737</v>
      </c>
      <c r="BH259" s="411"/>
      <c r="BI259" s="411"/>
      <c r="BJ259" s="399"/>
      <c r="BK259" s="399"/>
      <c r="BL259" s="399"/>
      <c r="BM259" s="399"/>
      <c r="BN259" s="399"/>
      <c r="BO259" s="399"/>
      <c r="BP259" s="399"/>
      <c r="BQ259" s="399"/>
      <c r="BR259" s="399"/>
      <c r="BS259" s="407"/>
      <c r="BT259" s="407"/>
      <c r="BU259" s="412"/>
      <c r="BV259" s="46" t="str">
        <f t="shared" si="8"/>
        <v/>
      </c>
      <c r="BW259" s="46">
        <f t="shared" si="9"/>
        <v>0</v>
      </c>
      <c r="BX259" s="46">
        <f t="shared" si="10"/>
        <v>0</v>
      </c>
      <c r="BY259" s="43" t="str">
        <f t="shared" si="11"/>
        <v>WHO-FP Observation (Medical Eligibility)</v>
      </c>
      <c r="BZ259" s="46">
        <f t="shared" si="12"/>
        <v>1</v>
      </c>
      <c r="CA259" s="46" t="str">
        <f t="shared" si="13"/>
        <v/>
      </c>
      <c r="CB259" s="46">
        <f t="shared" si="14"/>
        <v>1</v>
      </c>
      <c r="CC259" s="46">
        <f t="shared" si="15"/>
        <v>1</v>
      </c>
      <c r="CD259" s="46">
        <f t="shared" si="16"/>
        <v>1</v>
      </c>
      <c r="CE259" s="46">
        <f t="shared" si="17"/>
        <v>0</v>
      </c>
      <c r="CF259" s="46">
        <f t="shared" si="18"/>
        <v>0</v>
      </c>
      <c r="CG259" s="46" t="str">
        <f ca="1">IFERROR(__xludf.DUMMYFUNCTION("if(OR(BH259="""",LEFT(BH259,2)=""LA""),"""",IMPORTXML(CONCATENATE(""https://loinc.org/"",BH259,""/""),""//span[@id='lcn']""))"),"")</f>
        <v/>
      </c>
      <c r="CH259" s="46"/>
      <c r="CI259" s="46"/>
      <c r="CJ259" s="46"/>
      <c r="CK259" s="46"/>
      <c r="CL259" s="46"/>
      <c r="CM259" s="46"/>
      <c r="CN259" s="46"/>
      <c r="CO259" s="46"/>
      <c r="CP259" s="46"/>
      <c r="CQ259" s="46"/>
      <c r="CR259" s="46"/>
      <c r="CS259" s="46"/>
      <c r="CT259" s="46"/>
      <c r="CU259" s="46"/>
    </row>
    <row r="260" spans="1:99" ht="12.75" customHeight="1">
      <c r="A260" s="399">
        <v>1497</v>
      </c>
      <c r="B260" s="409" t="s">
        <v>4739</v>
      </c>
      <c r="C260" s="399">
        <f t="shared" si="42"/>
        <v>1497</v>
      </c>
      <c r="D260" s="399" t="str">
        <f t="shared" si="43"/>
        <v>Smoking category</v>
      </c>
      <c r="E260" s="399" t="str">
        <f t="shared" si="44"/>
        <v>Smoking category</v>
      </c>
      <c r="F260" s="409" t="s">
        <v>96</v>
      </c>
      <c r="G260" s="400">
        <f t="shared" si="59"/>
        <v>25</v>
      </c>
      <c r="H260" s="400" t="str">
        <f t="shared" ref="H260:H262" si="60">IF(F260="Input Option",IF(H259="",B259,H259),"")</f>
        <v/>
      </c>
      <c r="I260" s="400"/>
      <c r="J260" s="400"/>
      <c r="K260" s="401" t="s">
        <v>3333</v>
      </c>
      <c r="L260" s="402" t="s">
        <v>4518</v>
      </c>
      <c r="M260" s="400"/>
      <c r="N260" s="427" t="s">
        <v>4417</v>
      </c>
      <c r="O260" s="428"/>
      <c r="P260" s="405" t="s">
        <v>4740</v>
      </c>
      <c r="Q260" s="403" t="s">
        <v>4741</v>
      </c>
      <c r="R260" s="403"/>
      <c r="S260" s="403" t="s">
        <v>4742</v>
      </c>
      <c r="T260" s="403" t="s">
        <v>3339</v>
      </c>
      <c r="U260" s="407" t="s">
        <v>3243</v>
      </c>
      <c r="V260" s="403"/>
      <c r="W260" s="407"/>
      <c r="X260" s="403" t="s">
        <v>208</v>
      </c>
      <c r="Y260" s="403"/>
      <c r="Z260" s="403" t="s">
        <v>113</v>
      </c>
      <c r="AA260" s="403" t="s">
        <v>3178</v>
      </c>
      <c r="AB260" s="432" t="s">
        <v>4743</v>
      </c>
      <c r="AC260" s="421"/>
      <c r="AD260" s="436"/>
      <c r="AE260" s="406"/>
      <c r="AF260" s="407" t="s">
        <v>4686</v>
      </c>
      <c r="AG260" s="407" t="s">
        <v>3851</v>
      </c>
      <c r="AH260" s="399"/>
      <c r="AI260" s="400"/>
      <c r="AJ260" s="399"/>
      <c r="AK260" s="440" t="s">
        <v>3410</v>
      </c>
      <c r="AL260" s="409" t="s">
        <v>3181</v>
      </c>
      <c r="AM260" s="409" t="s">
        <v>3100</v>
      </c>
      <c r="AN260" s="409" t="s">
        <v>3101</v>
      </c>
      <c r="AO260" s="399"/>
      <c r="AP260" s="409" t="s">
        <v>4744</v>
      </c>
      <c r="AQ260" s="409" t="s">
        <v>3424</v>
      </c>
      <c r="AR260" s="399"/>
      <c r="AS260" s="399"/>
      <c r="AT260" s="399"/>
      <c r="AU260" s="399" t="s">
        <v>4741</v>
      </c>
      <c r="AV260" s="399" t="str">
        <f t="shared" si="47"/>
        <v>Changed</v>
      </c>
      <c r="AW260" s="399"/>
      <c r="AX260" s="409" t="s">
        <v>3343</v>
      </c>
      <c r="AY260" s="399" t="str">
        <f t="shared" si="48"/>
        <v>"Smoking category"-&gt;"Cigarettes smoked per day"</v>
      </c>
      <c r="AZ260" s="399"/>
      <c r="BA260" s="409">
        <v>1</v>
      </c>
      <c r="BB260" s="415" t="s">
        <v>3131</v>
      </c>
      <c r="BC260" s="399" t="s">
        <v>4739</v>
      </c>
      <c r="BD260" s="399"/>
      <c r="BE260" s="411"/>
      <c r="BF260" s="411"/>
      <c r="BG260" s="411"/>
      <c r="BH260" s="411"/>
      <c r="BI260" s="411"/>
      <c r="BJ260" s="409" t="s">
        <v>4745</v>
      </c>
      <c r="BK260" s="399"/>
      <c r="BL260" s="399"/>
      <c r="BM260" s="399"/>
      <c r="BN260" s="399"/>
      <c r="BO260" s="399"/>
      <c r="BP260" s="399"/>
      <c r="BQ260" s="399"/>
      <c r="BR260" s="399"/>
      <c r="BS260" s="407"/>
      <c r="BT260" s="407"/>
      <c r="BU260" s="412"/>
      <c r="BV260" s="46" t="str">
        <f t="shared" si="8"/>
        <v>Observation</v>
      </c>
      <c r="BW260" s="46" t="str">
        <f t="shared" si="9"/>
        <v/>
      </c>
      <c r="BX260" s="46" t="str">
        <f t="shared" si="10"/>
        <v>Observation</v>
      </c>
      <c r="BY260" s="43" t="str">
        <f t="shared" si="11"/>
        <v>WHO-FP Observation (Smoking Status)</v>
      </c>
      <c r="BZ260" s="46">
        <f t="shared" si="12"/>
        <v>1</v>
      </c>
      <c r="CA260" s="46">
        <f t="shared" si="13"/>
        <v>1</v>
      </c>
      <c r="CB260" s="46">
        <f t="shared" si="14"/>
        <v>1</v>
      </c>
      <c r="CC260" s="46">
        <f t="shared" si="15"/>
        <v>1</v>
      </c>
      <c r="CD260" s="46">
        <f t="shared" si="16"/>
        <v>1</v>
      </c>
      <c r="CE260" s="46">
        <f t="shared" si="17"/>
        <v>0</v>
      </c>
      <c r="CF260" s="46">
        <f t="shared" si="18"/>
        <v>0</v>
      </c>
      <c r="CG260" s="46" t="str">
        <f ca="1">IFERROR(__xludf.DUMMYFUNCTION("if(OR(BH260="""",LEFT(BH260,2)=""LA""),"""",IMPORTXML(CONCATENATE(""https://loinc.org/"",BH260,""/""),""//span[@id='lcn']""))"),"")</f>
        <v/>
      </c>
      <c r="CH260" s="46"/>
      <c r="CI260" s="46"/>
      <c r="CJ260" s="46"/>
      <c r="CK260" s="46"/>
      <c r="CL260" s="46"/>
      <c r="CM260" s="46"/>
      <c r="CN260" s="46"/>
      <c r="CO260" s="46"/>
      <c r="CP260" s="46"/>
      <c r="CQ260" s="46"/>
      <c r="CR260" s="46"/>
      <c r="CS260" s="46"/>
      <c r="CT260" s="46"/>
      <c r="CU260" s="46"/>
    </row>
    <row r="261" spans="1:99" ht="12.75" customHeight="1">
      <c r="A261" s="399">
        <v>1498</v>
      </c>
      <c r="B261" s="399" t="s">
        <v>4747</v>
      </c>
      <c r="C261" s="399">
        <f t="shared" si="42"/>
        <v>1498</v>
      </c>
      <c r="D261" s="399" t="e">
        <f t="shared" ca="1" si="43"/>
        <v>#NAME?</v>
      </c>
      <c r="E261" s="399" t="str">
        <f t="shared" si="44"/>
        <v>&lt;15 cigarettes per day</v>
      </c>
      <c r="F261" s="399" t="str">
        <f t="shared" ref="F261:F262" si="61">IF(AND(ISBLANK(V261)=FALSE,OR(T261="MC",T261="")),"Input Option","Data Element")</f>
        <v>Input Option</v>
      </c>
      <c r="G261" s="400">
        <f t="shared" si="59"/>
        <v>29</v>
      </c>
      <c r="H261" s="399" t="str">
        <f t="shared" si="60"/>
        <v>Cigarettes smoked per day</v>
      </c>
      <c r="I261" s="400"/>
      <c r="J261" s="400"/>
      <c r="K261" s="401" t="s">
        <v>3333</v>
      </c>
      <c r="L261" s="402" t="s">
        <v>4518</v>
      </c>
      <c r="M261" s="400"/>
      <c r="N261" s="427" t="s">
        <v>4417</v>
      </c>
      <c r="O261" s="428"/>
      <c r="P261" s="405" t="s">
        <v>4749</v>
      </c>
      <c r="Q261" s="403"/>
      <c r="R261" s="403"/>
      <c r="S261" s="403"/>
      <c r="T261" s="403"/>
      <c r="U261" s="407"/>
      <c r="V261" s="432" t="s">
        <v>4750</v>
      </c>
      <c r="W261" s="407"/>
      <c r="X261" s="403" t="s">
        <v>208</v>
      </c>
      <c r="Y261" s="403"/>
      <c r="Z261" s="403" t="s">
        <v>113</v>
      </c>
      <c r="AA261" s="403" t="s">
        <v>3178</v>
      </c>
      <c r="AB261" s="432" t="s">
        <v>4701</v>
      </c>
      <c r="AC261" s="421"/>
      <c r="AD261" s="436"/>
      <c r="AE261" s="406"/>
      <c r="AF261" s="407" t="s">
        <v>4489</v>
      </c>
      <c r="AG261" s="407" t="s">
        <v>3851</v>
      </c>
      <c r="AH261" s="399"/>
      <c r="AI261" s="400"/>
      <c r="AJ261" s="399"/>
      <c r="AK261" s="399"/>
      <c r="AL261" s="399"/>
      <c r="AM261" s="399"/>
      <c r="AN261" s="399"/>
      <c r="AO261" s="399"/>
      <c r="AP261" s="399"/>
      <c r="AQ261" s="409" t="s">
        <v>3130</v>
      </c>
      <c r="AR261" s="399"/>
      <c r="AS261" s="399"/>
      <c r="AT261" s="399"/>
      <c r="AU261" s="399" t="s">
        <v>4747</v>
      </c>
      <c r="AV261" s="399" t="str">
        <f t="shared" si="47"/>
        <v>Same</v>
      </c>
      <c r="AW261" s="399"/>
      <c r="AX261" s="409" t="s">
        <v>3343</v>
      </c>
      <c r="AY261" s="399" t="e">
        <f t="shared" ca="1" si="48"/>
        <v>#NAME?</v>
      </c>
      <c r="AZ261" s="399"/>
      <c r="BA261" s="409">
        <v>1</v>
      </c>
      <c r="BB261" s="415" t="s">
        <v>3131</v>
      </c>
      <c r="BC261" s="399" t="s">
        <v>4750</v>
      </c>
      <c r="BD261" s="399"/>
      <c r="BE261" s="411"/>
      <c r="BF261" s="411"/>
      <c r="BG261" s="411"/>
      <c r="BH261" s="411"/>
      <c r="BI261" s="411"/>
      <c r="BJ261" s="409" t="s">
        <v>4282</v>
      </c>
      <c r="BK261" s="409"/>
      <c r="BL261" s="409"/>
      <c r="BM261" s="409" t="s">
        <v>4751</v>
      </c>
      <c r="BN261" s="399"/>
      <c r="BO261" s="399"/>
      <c r="BP261" s="399"/>
      <c r="BQ261" s="399"/>
      <c r="BR261" s="399"/>
      <c r="BS261" s="407"/>
      <c r="BT261" s="407"/>
      <c r="BU261" s="412"/>
      <c r="BV261" s="46" t="str">
        <f t="shared" si="8"/>
        <v/>
      </c>
      <c r="BW261" s="46">
        <f t="shared" si="9"/>
        <v>0</v>
      </c>
      <c r="BX261" s="46">
        <f t="shared" si="10"/>
        <v>0</v>
      </c>
      <c r="BY261" s="43" t="str">
        <f t="shared" si="11"/>
        <v>WHO-FP Observation (Smoking Status)</v>
      </c>
      <c r="BZ261" s="46">
        <f t="shared" si="12"/>
        <v>1</v>
      </c>
      <c r="CA261" s="46" t="str">
        <f t="shared" si="13"/>
        <v/>
      </c>
      <c r="CB261" s="46">
        <f t="shared" si="14"/>
        <v>1</v>
      </c>
      <c r="CC261" s="46">
        <f t="shared" si="15"/>
        <v>1</v>
      </c>
      <c r="CD261" s="46">
        <f t="shared" si="16"/>
        <v>1</v>
      </c>
      <c r="CE261" s="46">
        <f t="shared" si="17"/>
        <v>0</v>
      </c>
      <c r="CF261" s="46">
        <f t="shared" si="18"/>
        <v>0</v>
      </c>
      <c r="CG261" s="46" t="str">
        <f ca="1">IFERROR(__xludf.DUMMYFUNCTION("if(OR(BH261="""",LEFT(BH261,2)=""LA""),"""",IMPORTXML(CONCATENATE(""https://loinc.org/"",BH261,""/""),""//span[@id='lcn']""))"),"")</f>
        <v/>
      </c>
      <c r="CH261" s="46"/>
      <c r="CI261" s="46"/>
      <c r="CJ261" s="46"/>
      <c r="CK261" s="46"/>
      <c r="CL261" s="46"/>
      <c r="CM261" s="46"/>
      <c r="CN261" s="46"/>
      <c r="CO261" s="46"/>
      <c r="CP261" s="46"/>
      <c r="CQ261" s="46"/>
      <c r="CR261" s="46"/>
      <c r="CS261" s="46"/>
      <c r="CT261" s="46"/>
      <c r="CU261" s="46"/>
    </row>
    <row r="262" spans="1:99" ht="12.75" customHeight="1">
      <c r="A262" s="399">
        <v>1499</v>
      </c>
      <c r="B262" s="399" t="s">
        <v>4753</v>
      </c>
      <c r="C262" s="399">
        <f t="shared" si="42"/>
        <v>1499</v>
      </c>
      <c r="D262" s="399" t="e">
        <f t="shared" ca="1" si="43"/>
        <v>#NAME?</v>
      </c>
      <c r="E262" s="399" t="str">
        <f t="shared" si="44"/>
        <v>&gt;= 15 cigarettes per day</v>
      </c>
      <c r="F262" s="399" t="str">
        <f t="shared" si="61"/>
        <v>Input Option</v>
      </c>
      <c r="G262" s="400">
        <f t="shared" si="59"/>
        <v>31</v>
      </c>
      <c r="H262" s="399" t="str">
        <f t="shared" si="60"/>
        <v>Cigarettes smoked per day</v>
      </c>
      <c r="I262" s="400"/>
      <c r="J262" s="400"/>
      <c r="K262" s="401" t="s">
        <v>3333</v>
      </c>
      <c r="L262" s="402" t="s">
        <v>4518</v>
      </c>
      <c r="M262" s="400"/>
      <c r="N262" s="427" t="s">
        <v>4417</v>
      </c>
      <c r="O262" s="428"/>
      <c r="P262" s="405" t="s">
        <v>4755</v>
      </c>
      <c r="Q262" s="403"/>
      <c r="R262" s="403"/>
      <c r="S262" s="403"/>
      <c r="T262" s="403"/>
      <c r="U262" s="407"/>
      <c r="V262" s="432" t="s">
        <v>4756</v>
      </c>
      <c r="W262" s="407"/>
      <c r="X262" s="403" t="s">
        <v>208</v>
      </c>
      <c r="Y262" s="403"/>
      <c r="Z262" s="403" t="s">
        <v>113</v>
      </c>
      <c r="AA262" s="403" t="s">
        <v>3178</v>
      </c>
      <c r="AB262" s="432" t="s">
        <v>4701</v>
      </c>
      <c r="AC262" s="421"/>
      <c r="AD262" s="436"/>
      <c r="AE262" s="406"/>
      <c r="AF262" s="407" t="s">
        <v>4489</v>
      </c>
      <c r="AG262" s="407" t="s">
        <v>3851</v>
      </c>
      <c r="AH262" s="399"/>
      <c r="AI262" s="400"/>
      <c r="AJ262" s="399"/>
      <c r="AK262" s="399"/>
      <c r="AL262" s="399"/>
      <c r="AM262" s="399"/>
      <c r="AN262" s="399"/>
      <c r="AO262" s="399"/>
      <c r="AP262" s="399"/>
      <c r="AQ262" s="409" t="s">
        <v>3130</v>
      </c>
      <c r="AR262" s="399"/>
      <c r="AS262" s="399"/>
      <c r="AT262" s="399"/>
      <c r="AU262" s="399" t="s">
        <v>4753</v>
      </c>
      <c r="AV262" s="399" t="str">
        <f t="shared" si="47"/>
        <v>Same</v>
      </c>
      <c r="AW262" s="399"/>
      <c r="AX262" s="409" t="s">
        <v>3343</v>
      </c>
      <c r="AY262" s="399" t="e">
        <f t="shared" ca="1" si="48"/>
        <v>#NAME?</v>
      </c>
      <c r="AZ262" s="399"/>
      <c r="BA262" s="409">
        <v>1</v>
      </c>
      <c r="BB262" s="415" t="s">
        <v>3131</v>
      </c>
      <c r="BC262" s="399" t="s">
        <v>4756</v>
      </c>
      <c r="BD262" s="399"/>
      <c r="BE262" s="411"/>
      <c r="BF262" s="411"/>
      <c r="BG262" s="411"/>
      <c r="BH262" s="411"/>
      <c r="BI262" s="411"/>
      <c r="BJ262" s="409" t="s">
        <v>4282</v>
      </c>
      <c r="BK262" s="399"/>
      <c r="BL262" s="399"/>
      <c r="BM262" s="399"/>
      <c r="BN262" s="399"/>
      <c r="BO262" s="399"/>
      <c r="BP262" s="399"/>
      <c r="BQ262" s="399"/>
      <c r="BR262" s="399"/>
      <c r="BS262" s="407"/>
      <c r="BT262" s="407"/>
      <c r="BU262" s="412"/>
      <c r="BV262" s="46" t="str">
        <f t="shared" si="8"/>
        <v/>
      </c>
      <c r="BW262" s="46">
        <f t="shared" si="9"/>
        <v>0</v>
      </c>
      <c r="BX262" s="46">
        <f t="shared" si="10"/>
        <v>0</v>
      </c>
      <c r="BY262" s="43" t="str">
        <f t="shared" si="11"/>
        <v>WHO-FP Observation (Smoking Status)</v>
      </c>
      <c r="BZ262" s="46">
        <f t="shared" si="12"/>
        <v>1</v>
      </c>
      <c r="CA262" s="46" t="str">
        <f t="shared" si="13"/>
        <v/>
      </c>
      <c r="CB262" s="46">
        <f t="shared" si="14"/>
        <v>1</v>
      </c>
      <c r="CC262" s="46">
        <f t="shared" si="15"/>
        <v>1</v>
      </c>
      <c r="CD262" s="46">
        <f t="shared" si="16"/>
        <v>1</v>
      </c>
      <c r="CE262" s="46">
        <f t="shared" si="17"/>
        <v>0</v>
      </c>
      <c r="CF262" s="46">
        <f t="shared" si="18"/>
        <v>0</v>
      </c>
      <c r="CG262" s="46" t="str">
        <f ca="1">IFERROR(__xludf.DUMMYFUNCTION("if(OR(BH262="""",LEFT(BH262,2)=""LA""),"""",IMPORTXML(CONCATENATE(""https://loinc.org/"",BH262,""/""),""//span[@id='lcn']""))"),"")</f>
        <v/>
      </c>
      <c r="CH262" s="46"/>
      <c r="CI262" s="46"/>
      <c r="CJ262" s="46"/>
      <c r="CK262" s="46"/>
      <c r="CL262" s="46"/>
      <c r="CM262" s="46"/>
      <c r="CN262" s="46"/>
      <c r="CO262" s="46"/>
      <c r="CP262" s="46"/>
      <c r="CQ262" s="46"/>
      <c r="CR262" s="46"/>
      <c r="CS262" s="46"/>
      <c r="CT262" s="46"/>
      <c r="CU262" s="46"/>
    </row>
    <row r="263" spans="1:99" ht="12.75" customHeight="1">
      <c r="A263" s="399">
        <v>1500</v>
      </c>
      <c r="B263" s="399" t="s">
        <v>4313</v>
      </c>
      <c r="C263" s="399">
        <f t="shared" si="42"/>
        <v>1500</v>
      </c>
      <c r="D263" s="399" t="str">
        <f>IF(AND(ISBLANK(V263)=FALSE,OR(T263="MC",T263="")),"Input Option","Data Element")</f>
        <v>Data Element</v>
      </c>
      <c r="E263" s="399" t="str">
        <f t="shared" si="44"/>
        <v>Headaches</v>
      </c>
      <c r="F263" s="410" t="s">
        <v>180</v>
      </c>
      <c r="G263" s="400">
        <v>23</v>
      </c>
      <c r="H263" s="399" t="s">
        <v>4475</v>
      </c>
      <c r="I263" s="400"/>
      <c r="J263" s="400"/>
      <c r="K263" s="401" t="s">
        <v>3333</v>
      </c>
      <c r="L263" s="402" t="s">
        <v>4518</v>
      </c>
      <c r="M263" s="400"/>
      <c r="N263" s="427" t="s">
        <v>4417</v>
      </c>
      <c r="O263" s="428"/>
      <c r="P263" s="405" t="s">
        <v>4312</v>
      </c>
      <c r="Q263" s="403" t="s">
        <v>4313</v>
      </c>
      <c r="R263" s="407"/>
      <c r="S263" s="407" t="s">
        <v>4761</v>
      </c>
      <c r="T263" s="407" t="s">
        <v>3169</v>
      </c>
      <c r="U263" s="407"/>
      <c r="V263" s="407" t="s">
        <v>3170</v>
      </c>
      <c r="W263" s="407"/>
      <c r="X263" s="403" t="s">
        <v>208</v>
      </c>
      <c r="Y263" s="407"/>
      <c r="Z263" s="403" t="s">
        <v>113</v>
      </c>
      <c r="AA263" s="407" t="s">
        <v>3178</v>
      </c>
      <c r="AB263" s="432" t="s">
        <v>4701</v>
      </c>
      <c r="AC263" s="421"/>
      <c r="AD263" s="421"/>
      <c r="AE263" s="408"/>
      <c r="AF263" s="407" t="s">
        <v>4489</v>
      </c>
      <c r="AG263" s="407" t="s">
        <v>3851</v>
      </c>
      <c r="AH263" s="399"/>
      <c r="AI263" s="400"/>
      <c r="AJ263" s="399"/>
      <c r="AK263" s="440"/>
      <c r="AL263" s="409"/>
      <c r="AM263" s="409"/>
      <c r="AN263" s="409"/>
      <c r="AO263" s="399"/>
      <c r="AP263" s="409"/>
      <c r="AQ263" s="409" t="s">
        <v>3130</v>
      </c>
      <c r="AR263" s="409" t="s">
        <v>4478</v>
      </c>
      <c r="AS263" s="409"/>
      <c r="AT263" s="399"/>
      <c r="AU263" s="399" t="s">
        <v>4313</v>
      </c>
      <c r="AV263" s="399" t="str">
        <f t="shared" si="47"/>
        <v>Same</v>
      </c>
      <c r="AW263" s="399"/>
      <c r="AX263" s="409" t="s">
        <v>3343</v>
      </c>
      <c r="AY263" s="399" t="e">
        <f>IF(B263=#REF!,"",CONCATENATE(CHAR(34),#REF!,CHAR( 34), "-&gt;", CHAR(34), B263,CHAR(34)))</f>
        <v>#REF!</v>
      </c>
      <c r="AZ263" s="399"/>
      <c r="BA263" s="409">
        <v>1</v>
      </c>
      <c r="BB263" s="399"/>
      <c r="BC263" s="399"/>
      <c r="BD263" s="399"/>
      <c r="BE263" s="411"/>
      <c r="BF263" s="411"/>
      <c r="BG263" s="411" t="s">
        <v>4769</v>
      </c>
      <c r="BH263" s="411"/>
      <c r="BI263" s="411"/>
      <c r="BJ263" s="399"/>
      <c r="BK263" s="399"/>
      <c r="BL263" s="399"/>
      <c r="BM263" s="399"/>
      <c r="BN263" s="399"/>
      <c r="BO263" s="399"/>
      <c r="BP263" s="399"/>
      <c r="BQ263" s="399"/>
      <c r="BR263" s="399"/>
      <c r="BS263" s="407"/>
      <c r="BT263" s="407"/>
      <c r="BU263" s="412"/>
      <c r="BV263" s="46" t="str">
        <f t="shared" si="8"/>
        <v/>
      </c>
      <c r="BW263" s="46">
        <f t="shared" si="9"/>
        <v>0</v>
      </c>
      <c r="BX263" s="46">
        <f t="shared" si="10"/>
        <v>0</v>
      </c>
      <c r="BY263" s="43" t="str">
        <f t="shared" si="11"/>
        <v>WHO-FP Condition (Medical Eligibility)</v>
      </c>
      <c r="BZ263" s="46">
        <f t="shared" si="12"/>
        <v>1</v>
      </c>
      <c r="CA263" s="46" t="str">
        <f t="shared" si="13"/>
        <v/>
      </c>
      <c r="CB263" s="46">
        <f t="shared" si="14"/>
        <v>1</v>
      </c>
      <c r="CC263" s="46">
        <f t="shared" si="15"/>
        <v>1</v>
      </c>
      <c r="CD263" s="46">
        <f t="shared" si="16"/>
        <v>1</v>
      </c>
      <c r="CE263" s="46">
        <f t="shared" si="17"/>
        <v>0</v>
      </c>
      <c r="CF263" s="46">
        <f t="shared" si="18"/>
        <v>0</v>
      </c>
      <c r="CG263" s="46" t="str">
        <f ca="1">IFERROR(__xludf.DUMMYFUNCTION("if(OR(BH263="""",LEFT(BH263,2)=""LA""),"""",IMPORTXML(CONCATENATE(""https://loinc.org/"",BH263,""/""),""//span[@id='lcn']""))"),"")</f>
        <v/>
      </c>
      <c r="CH263" s="46"/>
      <c r="CI263" s="46"/>
      <c r="CJ263" s="46"/>
      <c r="CK263" s="46"/>
      <c r="CL263" s="46"/>
      <c r="CM263" s="46"/>
      <c r="CN263" s="46"/>
      <c r="CO263" s="46"/>
      <c r="CP263" s="46"/>
      <c r="CQ263" s="46"/>
      <c r="CR263" s="46"/>
      <c r="CS263" s="46"/>
      <c r="CT263" s="46"/>
      <c r="CU263" s="46"/>
    </row>
    <row r="264" spans="1:99" ht="12.75" customHeight="1">
      <c r="A264" s="399">
        <v>1501</v>
      </c>
      <c r="B264" s="399" t="s">
        <v>4771</v>
      </c>
      <c r="C264" s="399">
        <f t="shared" si="42"/>
        <v>1501</v>
      </c>
      <c r="D264" s="399" t="str">
        <f t="shared" ref="D264:D441" si="62">IF(F264="Input Option",CONCAT("       ",E264),E264)</f>
        <v>Headache category</v>
      </c>
      <c r="E264" s="399" t="str">
        <f t="shared" si="44"/>
        <v>Headache category</v>
      </c>
      <c r="F264" s="409" t="s">
        <v>3164</v>
      </c>
      <c r="G264" s="400">
        <f>LEN(B264)</f>
        <v>17</v>
      </c>
      <c r="H264" s="400" t="str">
        <f>IF(F264="Input Option",IF(H263="",B263,H263),"")</f>
        <v/>
      </c>
      <c r="I264" s="400"/>
      <c r="J264" s="400"/>
      <c r="K264" s="401" t="s">
        <v>3333</v>
      </c>
      <c r="L264" s="402" t="s">
        <v>4518</v>
      </c>
      <c r="M264" s="400"/>
      <c r="N264" s="427" t="s">
        <v>4417</v>
      </c>
      <c r="O264" s="428"/>
      <c r="P264" s="407" t="s">
        <v>4775</v>
      </c>
      <c r="Q264" s="403" t="s">
        <v>4771</v>
      </c>
      <c r="R264" s="407"/>
      <c r="S264" s="432" t="s">
        <v>4776</v>
      </c>
      <c r="T264" s="407"/>
      <c r="U264" s="407"/>
      <c r="V264" s="407"/>
      <c r="W264" s="407"/>
      <c r="X264" s="403" t="s">
        <v>208</v>
      </c>
      <c r="Y264" s="407"/>
      <c r="Z264" s="403" t="s">
        <v>113</v>
      </c>
      <c r="AA264" s="403" t="s">
        <v>3178</v>
      </c>
      <c r="AB264" s="432" t="s">
        <v>4778</v>
      </c>
      <c r="AC264" s="421"/>
      <c r="AD264" s="407"/>
      <c r="AE264" s="408"/>
      <c r="AF264" s="544" t="s">
        <v>4686</v>
      </c>
      <c r="AG264" s="407" t="s">
        <v>3851</v>
      </c>
      <c r="AH264" s="399"/>
      <c r="AI264" s="400"/>
      <c r="AJ264" s="399"/>
      <c r="AK264" s="399"/>
      <c r="AL264" s="409"/>
      <c r="AM264" s="409"/>
      <c r="AN264" s="409"/>
      <c r="AO264" s="399"/>
      <c r="AP264" s="399"/>
      <c r="AQ264" s="409" t="s">
        <v>115</v>
      </c>
      <c r="AR264" s="399"/>
      <c r="AS264" s="399"/>
      <c r="AT264" s="399"/>
      <c r="AU264" s="399" t="s">
        <v>4771</v>
      </c>
      <c r="AV264" s="399" t="str">
        <f t="shared" si="47"/>
        <v>Same</v>
      </c>
      <c r="AW264" s="399"/>
      <c r="AX264" s="409" t="s">
        <v>3343</v>
      </c>
      <c r="AY264" s="399" t="str">
        <f t="shared" ref="AY264:AY441" si="63">IF(B264=D264,"",CONCATENATE(CHAR(34), D264,CHAR(34), "-&gt;", CHAR(34), B264,CHAR(34)))</f>
        <v/>
      </c>
      <c r="AZ264" s="399"/>
      <c r="BA264" s="409">
        <v>0</v>
      </c>
      <c r="BB264" s="399"/>
      <c r="BC264" s="399"/>
      <c r="BD264" s="399"/>
      <c r="BE264" s="411"/>
      <c r="BF264" s="411"/>
      <c r="BG264" s="411"/>
      <c r="BH264" s="411"/>
      <c r="BI264" s="411"/>
      <c r="BJ264" s="399" t="s">
        <v>3106</v>
      </c>
      <c r="BK264" s="399"/>
      <c r="BL264" s="399"/>
      <c r="BM264" s="399"/>
      <c r="BN264" s="399"/>
      <c r="BO264" s="399"/>
      <c r="BP264" s="399"/>
      <c r="BQ264" s="399"/>
      <c r="BR264" s="399"/>
      <c r="BS264" s="407"/>
      <c r="BT264" s="407"/>
      <c r="BU264" s="412"/>
      <c r="BV264" s="46" t="str">
        <f t="shared" si="8"/>
        <v/>
      </c>
      <c r="BW264" s="46" t="str">
        <f t="shared" si="9"/>
        <v/>
      </c>
      <c r="BX264" s="46" t="str">
        <f t="shared" si="10"/>
        <v/>
      </c>
      <c r="BY264" s="43" t="str">
        <f t="shared" si="11"/>
        <v/>
      </c>
      <c r="BZ264" s="46">
        <f t="shared" si="12"/>
        <v>1</v>
      </c>
      <c r="CA264" s="46" t="str">
        <f t="shared" si="13"/>
        <v/>
      </c>
      <c r="CB264" s="46">
        <f t="shared" si="14"/>
        <v>1</v>
      </c>
      <c r="CC264" s="46">
        <f t="shared" si="15"/>
        <v>1</v>
      </c>
      <c r="CD264" s="46">
        <f t="shared" si="16"/>
        <v>1</v>
      </c>
      <c r="CE264" s="46">
        <f t="shared" si="17"/>
        <v>0</v>
      </c>
      <c r="CF264" s="46">
        <f t="shared" si="18"/>
        <v>0</v>
      </c>
      <c r="CG264" s="46" t="str">
        <f ca="1">IFERROR(__xludf.DUMMYFUNCTION("if(OR(BH264="""",LEFT(BH264,2)=""LA""),"""",IMPORTXML(CONCATENATE(""https://loinc.org/"",BH264,""/""),""//span[@id='lcn']""))"),"")</f>
        <v/>
      </c>
      <c r="CH264" s="46"/>
      <c r="CI264" s="46"/>
      <c r="CJ264" s="46"/>
      <c r="CK264" s="46"/>
      <c r="CL264" s="46"/>
      <c r="CM264" s="46"/>
      <c r="CN264" s="46"/>
      <c r="CO264" s="46"/>
      <c r="CP264" s="46"/>
      <c r="CQ264" s="46"/>
      <c r="CR264" s="46"/>
      <c r="CS264" s="46"/>
      <c r="CT264" s="46"/>
      <c r="CU264" s="46"/>
    </row>
    <row r="265" spans="1:99" ht="12.75" customHeight="1">
      <c r="A265" s="399">
        <v>1502</v>
      </c>
      <c r="B265" s="409" t="s">
        <v>4783</v>
      </c>
      <c r="C265" s="399">
        <f t="shared" si="42"/>
        <v>1502</v>
      </c>
      <c r="D265" s="399" t="e">
        <f t="shared" ca="1" si="62"/>
        <v>#NAME?</v>
      </c>
      <c r="E265" s="399" t="str">
        <f t="shared" si="44"/>
        <v>Non-migrainous</v>
      </c>
      <c r="F265" s="410" t="s">
        <v>180</v>
      </c>
      <c r="G265" s="400">
        <v>23</v>
      </c>
      <c r="H265" s="399" t="s">
        <v>4475</v>
      </c>
      <c r="I265" s="400"/>
      <c r="J265" s="400"/>
      <c r="K265" s="401" t="s">
        <v>3333</v>
      </c>
      <c r="L265" s="402" t="s">
        <v>4518</v>
      </c>
      <c r="M265" s="400"/>
      <c r="N265" s="427" t="s">
        <v>4417</v>
      </c>
      <c r="O265" s="428"/>
      <c r="P265" s="405" t="s">
        <v>4784</v>
      </c>
      <c r="Q265" s="403"/>
      <c r="R265" s="407"/>
      <c r="S265" s="407"/>
      <c r="T265" s="407"/>
      <c r="U265" s="407"/>
      <c r="V265" s="432" t="s">
        <v>4785</v>
      </c>
      <c r="W265" s="407"/>
      <c r="X265" s="403" t="s">
        <v>208</v>
      </c>
      <c r="Y265" s="407"/>
      <c r="Z265" s="403" t="s">
        <v>113</v>
      </c>
      <c r="AA265" s="403" t="s">
        <v>3178</v>
      </c>
      <c r="AB265" s="432" t="s">
        <v>4701</v>
      </c>
      <c r="AC265" s="421"/>
      <c r="AD265" s="421"/>
      <c r="AE265" s="408"/>
      <c r="AF265" s="407" t="s">
        <v>4489</v>
      </c>
      <c r="AG265" s="407" t="s">
        <v>3851</v>
      </c>
      <c r="AH265" s="399"/>
      <c r="AI265" s="400"/>
      <c r="AJ265" s="399"/>
      <c r="AK265" s="440"/>
      <c r="AL265" s="409"/>
      <c r="AM265" s="409"/>
      <c r="AN265" s="409"/>
      <c r="AO265" s="399"/>
      <c r="AP265" s="409"/>
      <c r="AQ265" s="409" t="s">
        <v>3130</v>
      </c>
      <c r="AR265" s="409" t="s">
        <v>4478</v>
      </c>
      <c r="AS265" s="409"/>
      <c r="AT265" s="399"/>
      <c r="AU265" s="399" t="s">
        <v>4786</v>
      </c>
      <c r="AV265" s="399" t="str">
        <f t="shared" si="47"/>
        <v>Changed</v>
      </c>
      <c r="AW265" s="399"/>
      <c r="AX265" s="409" t="s">
        <v>3343</v>
      </c>
      <c r="AY265" s="399" t="e">
        <f t="shared" ca="1" si="63"/>
        <v>#NAME?</v>
      </c>
      <c r="AZ265" s="399"/>
      <c r="BA265" s="409">
        <v>1</v>
      </c>
      <c r="BB265" s="399"/>
      <c r="BC265" s="399"/>
      <c r="BD265" s="399"/>
      <c r="BE265" s="411" t="s">
        <v>4787</v>
      </c>
      <c r="BF265" s="411"/>
      <c r="BG265" s="411"/>
      <c r="BH265" s="411"/>
      <c r="BI265" s="411"/>
      <c r="BJ265" s="399"/>
      <c r="BK265" s="399"/>
      <c r="BL265" s="399"/>
      <c r="BM265" s="399"/>
      <c r="BN265" s="399"/>
      <c r="BO265" s="399"/>
      <c r="BP265" s="399"/>
      <c r="BQ265" s="399"/>
      <c r="BR265" s="399"/>
      <c r="BS265" s="407"/>
      <c r="BT265" s="407"/>
      <c r="BU265" s="412"/>
      <c r="BV265" s="46" t="str">
        <f t="shared" si="8"/>
        <v/>
      </c>
      <c r="BW265" s="46">
        <f t="shared" si="9"/>
        <v>0</v>
      </c>
      <c r="BX265" s="46">
        <f t="shared" si="10"/>
        <v>0</v>
      </c>
      <c r="BY265" s="43" t="str">
        <f t="shared" si="11"/>
        <v>WHO-FP Condition (Medical Eligibility)</v>
      </c>
      <c r="BZ265" s="46">
        <f t="shared" si="12"/>
        <v>1</v>
      </c>
      <c r="CA265" s="46" t="str">
        <f t="shared" si="13"/>
        <v/>
      </c>
      <c r="CB265" s="46">
        <f t="shared" si="14"/>
        <v>1</v>
      </c>
      <c r="CC265" s="46">
        <f t="shared" si="15"/>
        <v>1</v>
      </c>
      <c r="CD265" s="46">
        <f t="shared" si="16"/>
        <v>1</v>
      </c>
      <c r="CE265" s="46">
        <f t="shared" si="17"/>
        <v>0</v>
      </c>
      <c r="CF265" s="46">
        <f t="shared" si="18"/>
        <v>0</v>
      </c>
      <c r="CG265" s="46" t="str">
        <f ca="1">IFERROR(__xludf.DUMMYFUNCTION("if(OR(BH265="""",LEFT(BH265,2)=""LA""),"""",IMPORTXML(CONCATENATE(""https://loinc.org/"",BH265,""/""),""//span[@id='lcn']""))"),"")</f>
        <v/>
      </c>
      <c r="CH265" s="46"/>
      <c r="CI265" s="46"/>
      <c r="CJ265" s="46"/>
      <c r="CK265" s="46"/>
      <c r="CL265" s="46"/>
      <c r="CM265" s="46"/>
      <c r="CN265" s="46"/>
      <c r="CO265" s="46"/>
      <c r="CP265" s="46"/>
      <c r="CQ265" s="46"/>
      <c r="CR265" s="46"/>
      <c r="CS265" s="46"/>
      <c r="CT265" s="46"/>
      <c r="CU265" s="46"/>
    </row>
    <row r="266" spans="1:99" ht="12.75" customHeight="1">
      <c r="A266" s="399">
        <v>1503</v>
      </c>
      <c r="B266" s="409" t="s">
        <v>4788</v>
      </c>
      <c r="C266" s="399">
        <f t="shared" si="42"/>
        <v>1503</v>
      </c>
      <c r="D266" s="399" t="e">
        <f t="shared" ca="1" si="62"/>
        <v>#NAME?</v>
      </c>
      <c r="E266" s="399" t="str">
        <f t="shared" si="44"/>
        <v>Migraine without aura</v>
      </c>
      <c r="F266" s="410" t="s">
        <v>180</v>
      </c>
      <c r="G266" s="400">
        <v>23</v>
      </c>
      <c r="H266" s="399" t="s">
        <v>4475</v>
      </c>
      <c r="I266" s="400"/>
      <c r="J266" s="400"/>
      <c r="K266" s="401" t="s">
        <v>3333</v>
      </c>
      <c r="L266" s="402" t="s">
        <v>4518</v>
      </c>
      <c r="M266" s="400"/>
      <c r="N266" s="427" t="s">
        <v>4417</v>
      </c>
      <c r="O266" s="428"/>
      <c r="P266" s="405" t="s">
        <v>4789</v>
      </c>
      <c r="Q266" s="403"/>
      <c r="R266" s="407"/>
      <c r="S266" s="407"/>
      <c r="T266" s="407"/>
      <c r="U266" s="407"/>
      <c r="V266" s="432" t="s">
        <v>4791</v>
      </c>
      <c r="W266" s="407"/>
      <c r="X266" s="403" t="s">
        <v>208</v>
      </c>
      <c r="Y266" s="407"/>
      <c r="Z266" s="403" t="s">
        <v>113</v>
      </c>
      <c r="AA266" s="403" t="s">
        <v>3178</v>
      </c>
      <c r="AB266" s="432" t="s">
        <v>4701</v>
      </c>
      <c r="AC266" s="421"/>
      <c r="AD266" s="421"/>
      <c r="AE266" s="408"/>
      <c r="AF266" s="407" t="s">
        <v>4489</v>
      </c>
      <c r="AG266" s="407" t="s">
        <v>3851</v>
      </c>
      <c r="AH266" s="399"/>
      <c r="AI266" s="400"/>
      <c r="AJ266" s="399"/>
      <c r="AK266" s="440"/>
      <c r="AL266" s="409"/>
      <c r="AM266" s="409"/>
      <c r="AN266" s="409"/>
      <c r="AO266" s="399"/>
      <c r="AP266" s="409"/>
      <c r="AQ266" s="409" t="s">
        <v>3130</v>
      </c>
      <c r="AR266" s="409" t="s">
        <v>4478</v>
      </c>
      <c r="AS266" s="409"/>
      <c r="AT266" s="399"/>
      <c r="AU266" s="399" t="s">
        <v>4793</v>
      </c>
      <c r="AV266" s="399" t="str">
        <f t="shared" si="47"/>
        <v>Changed</v>
      </c>
      <c r="AW266" s="399"/>
      <c r="AX266" s="409" t="s">
        <v>3343</v>
      </c>
      <c r="AY266" s="399" t="e">
        <f t="shared" ca="1" si="63"/>
        <v>#NAME?</v>
      </c>
      <c r="AZ266" s="399"/>
      <c r="BA266" s="409">
        <v>1</v>
      </c>
      <c r="BB266" s="399"/>
      <c r="BC266" s="399"/>
      <c r="BD266" s="409" t="s">
        <v>4794</v>
      </c>
      <c r="BE266" s="411" t="s">
        <v>4795</v>
      </c>
      <c r="BF266" s="411"/>
      <c r="BG266" s="411" t="s">
        <v>4796</v>
      </c>
      <c r="BH266" s="411"/>
      <c r="BI266" s="411"/>
      <c r="BJ266" s="399"/>
      <c r="BK266" s="399"/>
      <c r="BL266" s="399"/>
      <c r="BM266" s="399"/>
      <c r="BN266" s="438" t="str">
        <f>HYPERLINK("https://github.com/who-int/Data-Dictionary-Mapping/issues/66","66")</f>
        <v>66</v>
      </c>
      <c r="BO266" s="399"/>
      <c r="BP266" s="399"/>
      <c r="BQ266" s="399"/>
      <c r="BR266" s="399"/>
      <c r="BS266" s="407"/>
      <c r="BT266" s="407"/>
      <c r="BU266" s="412"/>
      <c r="BV266" s="46" t="str">
        <f t="shared" si="8"/>
        <v/>
      </c>
      <c r="BW266" s="46">
        <f t="shared" si="9"/>
        <v>0</v>
      </c>
      <c r="BX266" s="46">
        <f t="shared" si="10"/>
        <v>0</v>
      </c>
      <c r="BY266" s="43" t="str">
        <f t="shared" si="11"/>
        <v>WHO-FP Condition (Medical Eligibility)</v>
      </c>
      <c r="BZ266" s="46">
        <f t="shared" si="12"/>
        <v>1</v>
      </c>
      <c r="CA266" s="46" t="str">
        <f t="shared" si="13"/>
        <v/>
      </c>
      <c r="CB266" s="46">
        <f t="shared" si="14"/>
        <v>1</v>
      </c>
      <c r="CC266" s="46">
        <f t="shared" si="15"/>
        <v>1</v>
      </c>
      <c r="CD266" s="46">
        <f t="shared" si="16"/>
        <v>1</v>
      </c>
      <c r="CE266" s="46">
        <f t="shared" si="17"/>
        <v>0</v>
      </c>
      <c r="CF266" s="46">
        <f t="shared" si="18"/>
        <v>0</v>
      </c>
      <c r="CG266" s="46" t="str">
        <f ca="1">IFERROR(__xludf.DUMMYFUNCTION("if(OR(BH266="""",LEFT(BH266,2)=""LA""),"""",IMPORTXML(CONCATENATE(""https://loinc.org/"",BH266,""/""),""//span[@id='lcn']""))"),"")</f>
        <v/>
      </c>
      <c r="CH266" s="46"/>
      <c r="CI266" s="46"/>
      <c r="CJ266" s="46"/>
      <c r="CK266" s="46"/>
      <c r="CL266" s="46"/>
      <c r="CM266" s="46"/>
      <c r="CN266" s="46"/>
      <c r="CO266" s="46"/>
      <c r="CP266" s="46"/>
      <c r="CQ266" s="46"/>
      <c r="CR266" s="46"/>
      <c r="CS266" s="46"/>
      <c r="CT266" s="46"/>
      <c r="CU266" s="46"/>
    </row>
    <row r="267" spans="1:99" ht="12.75" customHeight="1">
      <c r="A267" s="399">
        <v>1504</v>
      </c>
      <c r="B267" s="409" t="s">
        <v>4799</v>
      </c>
      <c r="C267" s="399">
        <f t="shared" si="42"/>
        <v>1504</v>
      </c>
      <c r="D267" s="399" t="e">
        <f t="shared" ca="1" si="62"/>
        <v>#NAME?</v>
      </c>
      <c r="E267" s="399" t="str">
        <f t="shared" si="44"/>
        <v>Migraine with aura</v>
      </c>
      <c r="F267" s="410" t="s">
        <v>180</v>
      </c>
      <c r="G267" s="400">
        <v>23</v>
      </c>
      <c r="H267" s="399" t="s">
        <v>4475</v>
      </c>
      <c r="I267" s="400"/>
      <c r="J267" s="400"/>
      <c r="K267" s="401" t="s">
        <v>3333</v>
      </c>
      <c r="L267" s="402" t="s">
        <v>4518</v>
      </c>
      <c r="M267" s="400"/>
      <c r="N267" s="427" t="s">
        <v>4417</v>
      </c>
      <c r="O267" s="428"/>
      <c r="P267" s="405" t="s">
        <v>4801</v>
      </c>
      <c r="Q267" s="403"/>
      <c r="R267" s="407"/>
      <c r="S267" s="407"/>
      <c r="T267" s="407"/>
      <c r="U267" s="407"/>
      <c r="V267" s="432" t="s">
        <v>4802</v>
      </c>
      <c r="W267" s="407"/>
      <c r="X267" s="403" t="s">
        <v>208</v>
      </c>
      <c r="Y267" s="407"/>
      <c r="Z267" s="403" t="s">
        <v>113</v>
      </c>
      <c r="AA267" s="403" t="s">
        <v>3178</v>
      </c>
      <c r="AB267" s="432" t="s">
        <v>4701</v>
      </c>
      <c r="AC267" s="421"/>
      <c r="AD267" s="421"/>
      <c r="AE267" s="408"/>
      <c r="AF267" s="407" t="s">
        <v>4489</v>
      </c>
      <c r="AG267" s="407" t="s">
        <v>3851</v>
      </c>
      <c r="AH267" s="399"/>
      <c r="AI267" s="400"/>
      <c r="AJ267" s="399"/>
      <c r="AK267" s="440"/>
      <c r="AL267" s="409"/>
      <c r="AM267" s="409"/>
      <c r="AN267" s="409"/>
      <c r="AO267" s="399"/>
      <c r="AP267" s="409"/>
      <c r="AQ267" s="409" t="s">
        <v>3130</v>
      </c>
      <c r="AR267" s="409" t="s">
        <v>4478</v>
      </c>
      <c r="AS267" s="409"/>
      <c r="AT267" s="399"/>
      <c r="AU267" s="399" t="s">
        <v>4803</v>
      </c>
      <c r="AV267" s="399" t="str">
        <f t="shared" si="47"/>
        <v>Changed</v>
      </c>
      <c r="AW267" s="399"/>
      <c r="AX267" s="409" t="s">
        <v>3343</v>
      </c>
      <c r="AY267" s="399" t="e">
        <f t="shared" ca="1" si="63"/>
        <v>#NAME?</v>
      </c>
      <c r="AZ267" s="399"/>
      <c r="BA267" s="409">
        <v>1</v>
      </c>
      <c r="BB267" s="399"/>
      <c r="BC267" s="399"/>
      <c r="BD267" s="399"/>
      <c r="BE267" s="411" t="s">
        <v>4804</v>
      </c>
      <c r="BF267" s="411"/>
      <c r="BG267" s="411" t="s">
        <v>4805</v>
      </c>
      <c r="BH267" s="411"/>
      <c r="BI267" s="411"/>
      <c r="BJ267" s="399"/>
      <c r="BK267" s="399"/>
      <c r="BL267" s="399"/>
      <c r="BM267" s="399"/>
      <c r="BN267" s="399"/>
      <c r="BO267" s="399"/>
      <c r="BP267" s="399"/>
      <c r="BQ267" s="399"/>
      <c r="BR267" s="399"/>
      <c r="BS267" s="407"/>
      <c r="BT267" s="407"/>
      <c r="BU267" s="412"/>
      <c r="BV267" s="46" t="str">
        <f t="shared" si="8"/>
        <v/>
      </c>
      <c r="BW267" s="46">
        <f t="shared" si="9"/>
        <v>0</v>
      </c>
      <c r="BX267" s="46">
        <f t="shared" si="10"/>
        <v>0</v>
      </c>
      <c r="BY267" s="43" t="str">
        <f t="shared" si="11"/>
        <v>WHO-FP Condition (Medical Eligibility)</v>
      </c>
      <c r="BZ267" s="46">
        <f t="shared" si="12"/>
        <v>1</v>
      </c>
      <c r="CA267" s="46" t="str">
        <f t="shared" si="13"/>
        <v/>
      </c>
      <c r="CB267" s="46">
        <f t="shared" si="14"/>
        <v>1</v>
      </c>
      <c r="CC267" s="46">
        <f t="shared" si="15"/>
        <v>1</v>
      </c>
      <c r="CD267" s="46">
        <f t="shared" si="16"/>
        <v>1</v>
      </c>
      <c r="CE267" s="46">
        <f t="shared" si="17"/>
        <v>0</v>
      </c>
      <c r="CF267" s="46">
        <f t="shared" si="18"/>
        <v>0</v>
      </c>
      <c r="CG267" s="46" t="str">
        <f ca="1">IFERROR(__xludf.DUMMYFUNCTION("if(OR(BH267="""",LEFT(BH267,2)=""LA""),"""",IMPORTXML(CONCATENATE(""https://loinc.org/"",BH267,""/""),""//span[@id='lcn']""))"),"")</f>
        <v/>
      </c>
      <c r="CH267" s="46"/>
      <c r="CI267" s="46"/>
      <c r="CJ267" s="46"/>
      <c r="CK267" s="46"/>
      <c r="CL267" s="46"/>
      <c r="CM267" s="46"/>
      <c r="CN267" s="46"/>
      <c r="CO267" s="46"/>
      <c r="CP267" s="46"/>
      <c r="CQ267" s="46"/>
      <c r="CR267" s="46"/>
      <c r="CS267" s="46"/>
      <c r="CT267" s="46"/>
      <c r="CU267" s="46"/>
    </row>
    <row r="268" spans="1:99" ht="12.75" customHeight="1">
      <c r="A268" s="399">
        <v>1505</v>
      </c>
      <c r="B268" s="399" t="s">
        <v>4806</v>
      </c>
      <c r="C268" s="399">
        <f t="shared" si="42"/>
        <v>1505</v>
      </c>
      <c r="D268" s="399" t="str">
        <f t="shared" si="62"/>
        <v>HIV Status</v>
      </c>
      <c r="E268" s="399" t="str">
        <f t="shared" si="44"/>
        <v>HIV Status</v>
      </c>
      <c r="F268" s="399" t="str">
        <f t="shared" ref="F268:F273" si="64">IF(AND(ISBLANK(V268)=FALSE,OR(T268="MC",T268="")),"Input Option","Data Element")</f>
        <v>Data Element</v>
      </c>
      <c r="G268" s="400">
        <f t="shared" ref="G268:G273" si="65">LEN(B268)</f>
        <v>10</v>
      </c>
      <c r="H268" s="400" t="str">
        <f t="shared" ref="H268:H273" si="66">IF(F268="Input Option",IF(H267="",B267,H267),"")</f>
        <v/>
      </c>
      <c r="I268" s="400"/>
      <c r="J268" s="400"/>
      <c r="K268" s="402" t="s">
        <v>3475</v>
      </c>
      <c r="L268" s="402" t="s">
        <v>887</v>
      </c>
      <c r="M268" s="400"/>
      <c r="N268" s="456" t="s">
        <v>4807</v>
      </c>
      <c r="O268" s="41" t="s">
        <v>4808</v>
      </c>
      <c r="P268" s="470" t="s">
        <v>4809</v>
      </c>
      <c r="Q268" s="403" t="s">
        <v>4806</v>
      </c>
      <c r="R268" s="407"/>
      <c r="S268" s="432" t="s">
        <v>4810</v>
      </c>
      <c r="T268" s="421"/>
      <c r="U268" s="407"/>
      <c r="V268" s="407"/>
      <c r="W268" s="407"/>
      <c r="X268" s="403" t="s">
        <v>208</v>
      </c>
      <c r="Y268" s="407"/>
      <c r="Z268" s="403" t="s">
        <v>113</v>
      </c>
      <c r="AA268" s="470" t="s">
        <v>4811</v>
      </c>
      <c r="AB268" s="432" t="s">
        <v>4701</v>
      </c>
      <c r="AC268" s="421"/>
      <c r="AD268" s="421"/>
      <c r="AE268" s="408"/>
      <c r="AF268" s="407" t="s">
        <v>4489</v>
      </c>
      <c r="AG268" s="407" t="s">
        <v>3851</v>
      </c>
      <c r="AH268" s="399"/>
      <c r="AI268" s="400"/>
      <c r="AJ268" s="399"/>
      <c r="AK268" s="409" t="s">
        <v>3410</v>
      </c>
      <c r="AL268" s="409" t="s">
        <v>3181</v>
      </c>
      <c r="AM268" s="409" t="s">
        <v>3100</v>
      </c>
      <c r="AN268" s="409" t="s">
        <v>3101</v>
      </c>
      <c r="AO268" s="399"/>
      <c r="AP268" s="409" t="s">
        <v>4812</v>
      </c>
      <c r="AQ268" s="409" t="s">
        <v>3424</v>
      </c>
      <c r="AR268" s="399"/>
      <c r="AS268" s="399"/>
      <c r="AT268" s="399"/>
      <c r="AU268" s="399" t="s">
        <v>4806</v>
      </c>
      <c r="AV268" s="399" t="str">
        <f t="shared" si="47"/>
        <v>Same</v>
      </c>
      <c r="AW268" s="399"/>
      <c r="AX268" s="409" t="s">
        <v>3104</v>
      </c>
      <c r="AY268" s="399" t="str">
        <f t="shared" si="63"/>
        <v/>
      </c>
      <c r="AZ268" s="409" t="s">
        <v>3105</v>
      </c>
      <c r="BA268" s="409">
        <v>1</v>
      </c>
      <c r="BB268" s="399"/>
      <c r="BC268" s="399"/>
      <c r="BD268" s="399"/>
      <c r="BE268" s="411"/>
      <c r="BF268" s="411"/>
      <c r="BG268" s="411" t="s">
        <v>4813</v>
      </c>
      <c r="BH268" s="411"/>
      <c r="BI268" s="411"/>
      <c r="BJ268" s="399"/>
      <c r="BK268" s="399"/>
      <c r="BL268" s="399"/>
      <c r="BM268" s="399"/>
      <c r="BN268" s="399"/>
      <c r="BO268" s="399"/>
      <c r="BP268" s="399"/>
      <c r="BQ268" s="399"/>
      <c r="BR268" s="399"/>
      <c r="BS268" s="407"/>
      <c r="BT268" s="407"/>
      <c r="BU268" s="412"/>
      <c r="BV268" s="46" t="str">
        <f t="shared" si="8"/>
        <v>Observation</v>
      </c>
      <c r="BW268" s="46" t="str">
        <f t="shared" si="9"/>
        <v/>
      </c>
      <c r="BX268" s="46" t="str">
        <f t="shared" si="10"/>
        <v>Observation</v>
      </c>
      <c r="BY268" s="43" t="str">
        <f t="shared" si="11"/>
        <v>WHO-Core Observation (HIV Status)</v>
      </c>
      <c r="BZ268" s="46">
        <f t="shared" si="12"/>
        <v>1</v>
      </c>
      <c r="CA268" s="46">
        <f t="shared" si="13"/>
        <v>0</v>
      </c>
      <c r="CB268" s="46">
        <f t="shared" si="14"/>
        <v>1</v>
      </c>
      <c r="CC268" s="46">
        <f t="shared" si="15"/>
        <v>1</v>
      </c>
      <c r="CD268" s="46">
        <f t="shared" si="16"/>
        <v>1</v>
      </c>
      <c r="CE268" s="46">
        <f t="shared" si="17"/>
        <v>0</v>
      </c>
      <c r="CF268" s="46">
        <f t="shared" si="18"/>
        <v>0</v>
      </c>
      <c r="CG268" s="46" t="str">
        <f ca="1">IFERROR(__xludf.DUMMYFUNCTION("if(OR(BH268="""",LEFT(BH268,2)=""LA""),"""",IMPORTXML(CONCATENATE(""https://loinc.org/"",BH268,""/""),""//span[@id='lcn']""))"),"")</f>
        <v/>
      </c>
      <c r="CH268" s="46"/>
      <c r="CI268" s="46"/>
      <c r="CJ268" s="46"/>
      <c r="CK268" s="46"/>
      <c r="CL268" s="46"/>
      <c r="CM268" s="46"/>
      <c r="CN268" s="46"/>
      <c r="CO268" s="46"/>
      <c r="CP268" s="46"/>
      <c r="CQ268" s="46"/>
      <c r="CR268" s="46"/>
      <c r="CS268" s="46"/>
      <c r="CT268" s="46"/>
      <c r="CU268" s="46"/>
    </row>
    <row r="269" spans="1:99" ht="12.75" customHeight="1">
      <c r="A269" s="399">
        <v>1506</v>
      </c>
      <c r="B269" s="399" t="s">
        <v>4815</v>
      </c>
      <c r="C269" s="399">
        <f t="shared" si="42"/>
        <v>1506</v>
      </c>
      <c r="D269" s="399" t="str">
        <f t="shared" si="62"/>
        <v>HIV Stage</v>
      </c>
      <c r="E269" s="399" t="str">
        <f t="shared" si="44"/>
        <v>HIV Stage</v>
      </c>
      <c r="F269" s="399" t="str">
        <f t="shared" si="64"/>
        <v>Data Element</v>
      </c>
      <c r="G269" s="400">
        <f t="shared" si="65"/>
        <v>9</v>
      </c>
      <c r="H269" s="400" t="str">
        <f t="shared" si="66"/>
        <v/>
      </c>
      <c r="I269" s="400"/>
      <c r="J269" s="400"/>
      <c r="K269" s="409" t="s">
        <v>3475</v>
      </c>
      <c r="L269" s="402" t="s">
        <v>887</v>
      </c>
      <c r="M269" s="400"/>
      <c r="N269" s="456" t="s">
        <v>4807</v>
      </c>
      <c r="O269" s="41" t="s">
        <v>4817</v>
      </c>
      <c r="P269" s="470" t="s">
        <v>4818</v>
      </c>
      <c r="Q269" s="403" t="s">
        <v>4815</v>
      </c>
      <c r="R269" s="407"/>
      <c r="S269" s="407" t="s">
        <v>4819</v>
      </c>
      <c r="T269" s="407"/>
      <c r="U269" s="407"/>
      <c r="V269" s="407"/>
      <c r="W269" s="407"/>
      <c r="X269" s="403" t="s">
        <v>208</v>
      </c>
      <c r="Y269" s="407"/>
      <c r="Z269" s="403" t="s">
        <v>113</v>
      </c>
      <c r="AA269" s="407" t="s">
        <v>3178</v>
      </c>
      <c r="AB269" s="432" t="s">
        <v>4820</v>
      </c>
      <c r="AC269" s="421"/>
      <c r="AD269" s="421"/>
      <c r="AE269" s="408"/>
      <c r="AF269" s="407" t="s">
        <v>4489</v>
      </c>
      <c r="AG269" s="407" t="s">
        <v>3851</v>
      </c>
      <c r="AH269" s="399"/>
      <c r="AI269" s="400"/>
      <c r="AJ269" s="399"/>
      <c r="AK269" s="409" t="s">
        <v>3410</v>
      </c>
      <c r="AL269" s="409" t="s">
        <v>3181</v>
      </c>
      <c r="AM269" s="409" t="s">
        <v>3100</v>
      </c>
      <c r="AN269" s="409" t="s">
        <v>3101</v>
      </c>
      <c r="AO269" s="399"/>
      <c r="AP269" s="409" t="s">
        <v>4824</v>
      </c>
      <c r="AQ269" s="409" t="s">
        <v>3424</v>
      </c>
      <c r="AR269" s="399"/>
      <c r="AS269" s="399"/>
      <c r="AT269" s="399"/>
      <c r="AU269" s="399" t="s">
        <v>4815</v>
      </c>
      <c r="AV269" s="399" t="str">
        <f t="shared" si="47"/>
        <v>Same</v>
      </c>
      <c r="AW269" s="399"/>
      <c r="AX269" s="409" t="s">
        <v>3104</v>
      </c>
      <c r="AY269" s="399" t="str">
        <f t="shared" si="63"/>
        <v/>
      </c>
      <c r="AZ269" s="409" t="s">
        <v>3105</v>
      </c>
      <c r="BA269" s="409">
        <v>1</v>
      </c>
      <c r="BB269" s="399"/>
      <c r="BC269" s="399"/>
      <c r="BD269" s="399"/>
      <c r="BE269" s="411"/>
      <c r="BF269" s="411"/>
      <c r="BG269" s="411" t="s">
        <v>4826</v>
      </c>
      <c r="BH269" s="411" t="s">
        <v>4827</v>
      </c>
      <c r="BI269" s="411"/>
      <c r="BJ269" s="399"/>
      <c r="BK269" s="399"/>
      <c r="BL269" s="399"/>
      <c r="BM269" s="399"/>
      <c r="BN269" s="399"/>
      <c r="BO269" s="399">
        <v>5356</v>
      </c>
      <c r="BP269" s="399"/>
      <c r="BQ269" s="399"/>
      <c r="BR269" s="399"/>
      <c r="BS269" s="407"/>
      <c r="BT269" s="407"/>
      <c r="BU269" s="412"/>
      <c r="BV269" s="46" t="str">
        <f t="shared" si="8"/>
        <v>Observation</v>
      </c>
      <c r="BW269" s="46" t="str">
        <f t="shared" si="9"/>
        <v/>
      </c>
      <c r="BX269" s="46" t="str">
        <f t="shared" si="10"/>
        <v>Observation</v>
      </c>
      <c r="BY269" s="43" t="str">
        <f t="shared" si="11"/>
        <v>WHO-Core Observation (HIV Stage)</v>
      </c>
      <c r="BZ269" s="46">
        <f t="shared" si="12"/>
        <v>1</v>
      </c>
      <c r="CA269" s="46">
        <f t="shared" si="13"/>
        <v>1</v>
      </c>
      <c r="CB269" s="46">
        <f t="shared" si="14"/>
        <v>1</v>
      </c>
      <c r="CC269" s="46">
        <f t="shared" si="15"/>
        <v>1</v>
      </c>
      <c r="CD269" s="46">
        <f t="shared" si="16"/>
        <v>1</v>
      </c>
      <c r="CE269" s="46">
        <f t="shared" si="17"/>
        <v>0</v>
      </c>
      <c r="CF269" s="46">
        <f t="shared" si="18"/>
        <v>0</v>
      </c>
      <c r="CG269" s="46" t="str">
        <f ca="1">IFERROR(__xludf.DUMMYFUNCTION("if(OR(BH269="""",LEFT(BH269,2)=""LA""),"""",IMPORTXML(CONCATENATE(""https://loinc.org/"",BH269,""/""),""//span[@id='lcn']""))"),"World Health Organization HIV stage")</f>
        <v>World Health Organization HIV stage</v>
      </c>
      <c r="CH269" s="46"/>
      <c r="CI269" s="46"/>
      <c r="CJ269" s="46"/>
      <c r="CK269" s="46"/>
      <c r="CL269" s="46"/>
      <c r="CM269" s="46"/>
      <c r="CN269" s="46"/>
      <c r="CO269" s="46"/>
      <c r="CP269" s="46"/>
      <c r="CQ269" s="46"/>
      <c r="CR269" s="46"/>
      <c r="CS269" s="46"/>
      <c r="CT269" s="46"/>
      <c r="CU269" s="46"/>
    </row>
    <row r="270" spans="1:99" ht="12.75" customHeight="1">
      <c r="A270" s="399">
        <v>1507</v>
      </c>
      <c r="B270" s="399" t="s">
        <v>4434</v>
      </c>
      <c r="C270" s="399">
        <f t="shared" si="42"/>
        <v>1507</v>
      </c>
      <c r="D270" s="399" t="e">
        <f t="shared" ca="1" si="62"/>
        <v>#NAME?</v>
      </c>
      <c r="E270" s="399">
        <f t="shared" si="44"/>
        <v>1</v>
      </c>
      <c r="F270" s="399" t="str">
        <f t="shared" si="64"/>
        <v>Input Option</v>
      </c>
      <c r="G270" s="400">
        <f t="shared" si="65"/>
        <v>8</v>
      </c>
      <c r="H270" s="399" t="str">
        <f t="shared" si="66"/>
        <v>HIV Stage</v>
      </c>
      <c r="I270" s="400"/>
      <c r="J270" s="400"/>
      <c r="K270" s="402" t="s">
        <v>3475</v>
      </c>
      <c r="L270" s="402" t="s">
        <v>887</v>
      </c>
      <c r="M270" s="400"/>
      <c r="N270" s="456" t="s">
        <v>4807</v>
      </c>
      <c r="O270" s="41" t="s">
        <v>4833</v>
      </c>
      <c r="P270" s="470" t="s">
        <v>4834</v>
      </c>
      <c r="Q270" s="403"/>
      <c r="R270" s="407"/>
      <c r="S270" s="407" t="s">
        <v>4836</v>
      </c>
      <c r="T270" s="407"/>
      <c r="U270" s="407"/>
      <c r="V270" s="407">
        <v>1</v>
      </c>
      <c r="W270" s="407"/>
      <c r="X270" s="403" t="s">
        <v>208</v>
      </c>
      <c r="Y270" s="407"/>
      <c r="Z270" s="403" t="s">
        <v>113</v>
      </c>
      <c r="AA270" s="407" t="s">
        <v>3178</v>
      </c>
      <c r="AB270" s="432" t="s">
        <v>4838</v>
      </c>
      <c r="AC270" s="421"/>
      <c r="AD270" s="421"/>
      <c r="AE270" s="432"/>
      <c r="AF270" s="421"/>
      <c r="AG270" s="421"/>
      <c r="AH270" s="399"/>
      <c r="AI270" s="400"/>
      <c r="AJ270" s="399"/>
      <c r="AK270" s="399"/>
      <c r="AL270" s="409"/>
      <c r="AM270" s="409"/>
      <c r="AN270" s="409"/>
      <c r="AO270" s="399"/>
      <c r="AP270" s="399"/>
      <c r="AQ270" s="409" t="s">
        <v>3424</v>
      </c>
      <c r="AR270" s="399"/>
      <c r="AS270" s="399"/>
      <c r="AT270" s="399"/>
      <c r="AU270" s="399" t="s">
        <v>4434</v>
      </c>
      <c r="AV270" s="399" t="str">
        <f t="shared" si="47"/>
        <v>Same</v>
      </c>
      <c r="AW270" s="399"/>
      <c r="AX270" s="409" t="s">
        <v>3104</v>
      </c>
      <c r="AY270" s="399" t="e">
        <f t="shared" ca="1" si="63"/>
        <v>#NAME?</v>
      </c>
      <c r="AZ270" s="409" t="s">
        <v>3105</v>
      </c>
      <c r="BA270" s="409">
        <v>1</v>
      </c>
      <c r="BB270" s="399"/>
      <c r="BC270" s="399"/>
      <c r="BD270" s="399"/>
      <c r="BE270" s="411"/>
      <c r="BF270" s="411"/>
      <c r="BG270" s="434" t="s">
        <v>4839</v>
      </c>
      <c r="BH270" s="411"/>
      <c r="BI270" s="411"/>
      <c r="BJ270" s="409"/>
      <c r="BK270" s="399"/>
      <c r="BL270" s="399"/>
      <c r="BM270" s="409" t="s">
        <v>4840</v>
      </c>
      <c r="BN270" s="399"/>
      <c r="BO270" s="399"/>
      <c r="BP270" s="399"/>
      <c r="BQ270" s="399"/>
      <c r="BR270" s="399"/>
      <c r="BS270" s="407"/>
      <c r="BT270" s="407"/>
      <c r="BU270" s="412"/>
      <c r="BV270" s="46" t="str">
        <f t="shared" si="8"/>
        <v/>
      </c>
      <c r="BW270" s="46">
        <f t="shared" si="9"/>
        <v>0</v>
      </c>
      <c r="BX270" s="46">
        <f t="shared" si="10"/>
        <v>0</v>
      </c>
      <c r="BY270" s="43" t="str">
        <f t="shared" si="11"/>
        <v>WHO-Core Observation (HIV Stage)</v>
      </c>
      <c r="BZ270" s="46">
        <f t="shared" si="12"/>
        <v>1</v>
      </c>
      <c r="CA270" s="46" t="str">
        <f t="shared" si="13"/>
        <v/>
      </c>
      <c r="CB270" s="46">
        <f t="shared" si="14"/>
        <v>1</v>
      </c>
      <c r="CC270" s="46">
        <f t="shared" si="15"/>
        <v>1</v>
      </c>
      <c r="CD270" s="46">
        <f t="shared" si="16"/>
        <v>1</v>
      </c>
      <c r="CE270" s="46">
        <f t="shared" si="17"/>
        <v>0</v>
      </c>
      <c r="CF270" s="46">
        <f t="shared" si="18"/>
        <v>0</v>
      </c>
      <c r="CG270" s="46" t="str">
        <f ca="1">IFERROR(__xludf.DUMMYFUNCTION("if(OR(BH270="""",LEFT(BH270,2)=""LA""),"""",IMPORTXML(CONCATENATE(""https://loinc.org/"",BH270,""/""),""//span[@id='lcn']""))"),"")</f>
        <v/>
      </c>
      <c r="CH270" s="46"/>
      <c r="CI270" s="46"/>
      <c r="CJ270" s="46"/>
      <c r="CK270" s="46"/>
      <c r="CL270" s="46"/>
      <c r="CM270" s="46"/>
      <c r="CN270" s="46"/>
      <c r="CO270" s="46"/>
      <c r="CP270" s="46"/>
      <c r="CQ270" s="46"/>
      <c r="CR270" s="46"/>
      <c r="CS270" s="46"/>
      <c r="CT270" s="46"/>
      <c r="CU270" s="46"/>
    </row>
    <row r="271" spans="1:99" ht="12.75" customHeight="1">
      <c r="A271" s="399">
        <v>1508</v>
      </c>
      <c r="B271" s="399" t="s">
        <v>4438</v>
      </c>
      <c r="C271" s="399">
        <f t="shared" si="42"/>
        <v>1508</v>
      </c>
      <c r="D271" s="399" t="e">
        <f t="shared" ca="1" si="62"/>
        <v>#NAME?</v>
      </c>
      <c r="E271" s="399">
        <f t="shared" si="44"/>
        <v>2</v>
      </c>
      <c r="F271" s="399" t="str">
        <f t="shared" si="64"/>
        <v>Input Option</v>
      </c>
      <c r="G271" s="400">
        <f t="shared" si="65"/>
        <v>8</v>
      </c>
      <c r="H271" s="399" t="str">
        <f t="shared" si="66"/>
        <v>HIV Stage</v>
      </c>
      <c r="I271" s="400"/>
      <c r="J271" s="400"/>
      <c r="K271" s="402" t="s">
        <v>3475</v>
      </c>
      <c r="L271" s="402" t="s">
        <v>887</v>
      </c>
      <c r="M271" s="400"/>
      <c r="N271" s="551" t="s">
        <v>4853</v>
      </c>
      <c r="O271" s="41" t="s">
        <v>4855</v>
      </c>
      <c r="P271" s="470" t="s">
        <v>4856</v>
      </c>
      <c r="Q271" s="403"/>
      <c r="R271" s="407"/>
      <c r="S271" s="407" t="s">
        <v>4857</v>
      </c>
      <c r="T271" s="407"/>
      <c r="U271" s="407"/>
      <c r="V271" s="407">
        <v>2</v>
      </c>
      <c r="W271" s="407"/>
      <c r="X271" s="403" t="s">
        <v>208</v>
      </c>
      <c r="Y271" s="407"/>
      <c r="Z271" s="403" t="s">
        <v>113</v>
      </c>
      <c r="AA271" s="407" t="s">
        <v>3178</v>
      </c>
      <c r="AB271" s="432" t="s">
        <v>4838</v>
      </c>
      <c r="AC271" s="421"/>
      <c r="AD271" s="421"/>
      <c r="AE271" s="432"/>
      <c r="AF271" s="421"/>
      <c r="AG271" s="421"/>
      <c r="AH271" s="399"/>
      <c r="AI271" s="400"/>
      <c r="AJ271" s="399"/>
      <c r="AK271" s="399"/>
      <c r="AL271" s="409"/>
      <c r="AM271" s="409"/>
      <c r="AN271" s="409"/>
      <c r="AO271" s="399"/>
      <c r="AP271" s="399"/>
      <c r="AQ271" s="409" t="s">
        <v>3424</v>
      </c>
      <c r="AR271" s="399"/>
      <c r="AS271" s="399"/>
      <c r="AT271" s="399"/>
      <c r="AU271" s="399" t="s">
        <v>4438</v>
      </c>
      <c r="AV271" s="399" t="str">
        <f t="shared" si="47"/>
        <v>Same</v>
      </c>
      <c r="AW271" s="399"/>
      <c r="AX271" s="409" t="s">
        <v>3104</v>
      </c>
      <c r="AY271" s="399" t="e">
        <f t="shared" ca="1" si="63"/>
        <v>#NAME?</v>
      </c>
      <c r="AZ271" s="409" t="s">
        <v>3105</v>
      </c>
      <c r="BA271" s="409">
        <v>1</v>
      </c>
      <c r="BB271" s="399"/>
      <c r="BC271" s="399"/>
      <c r="BD271" s="399"/>
      <c r="BE271" s="411"/>
      <c r="BF271" s="411"/>
      <c r="BG271" s="434" t="s">
        <v>4862</v>
      </c>
      <c r="BH271" s="411"/>
      <c r="BI271" s="411"/>
      <c r="BJ271" s="409"/>
      <c r="BK271" s="409"/>
      <c r="BL271" s="409"/>
      <c r="BM271" s="409" t="s">
        <v>4863</v>
      </c>
      <c r="BN271" s="399"/>
      <c r="BO271" s="399"/>
      <c r="BP271" s="399"/>
      <c r="BQ271" s="399"/>
      <c r="BR271" s="399"/>
      <c r="BS271" s="407"/>
      <c r="BT271" s="407"/>
      <c r="BU271" s="412"/>
      <c r="BV271" s="46" t="str">
        <f t="shared" si="8"/>
        <v/>
      </c>
      <c r="BW271" s="46">
        <f t="shared" si="9"/>
        <v>0</v>
      </c>
      <c r="BX271" s="46">
        <f t="shared" si="10"/>
        <v>0</v>
      </c>
      <c r="BY271" s="43" t="str">
        <f t="shared" si="11"/>
        <v>WHO-Core Observation (HIV Stage)</v>
      </c>
      <c r="BZ271" s="46">
        <f t="shared" si="12"/>
        <v>1</v>
      </c>
      <c r="CA271" s="46" t="str">
        <f t="shared" si="13"/>
        <v/>
      </c>
      <c r="CB271" s="46">
        <f t="shared" si="14"/>
        <v>1</v>
      </c>
      <c r="CC271" s="46">
        <f t="shared" si="15"/>
        <v>1</v>
      </c>
      <c r="CD271" s="46">
        <f t="shared" si="16"/>
        <v>1</v>
      </c>
      <c r="CE271" s="46">
        <f t="shared" si="17"/>
        <v>0</v>
      </c>
      <c r="CF271" s="46">
        <f t="shared" si="18"/>
        <v>0</v>
      </c>
      <c r="CG271" s="46" t="str">
        <f ca="1">IFERROR(__xludf.DUMMYFUNCTION("if(OR(BH271="""",LEFT(BH271,2)=""LA""),"""",IMPORTXML(CONCATENATE(""https://loinc.org/"",BH271,""/""),""//span[@id='lcn']""))"),"")</f>
        <v/>
      </c>
      <c r="CH271" s="46"/>
      <c r="CI271" s="46"/>
      <c r="CJ271" s="46"/>
      <c r="CK271" s="46"/>
      <c r="CL271" s="46"/>
      <c r="CM271" s="46"/>
      <c r="CN271" s="46"/>
      <c r="CO271" s="46"/>
      <c r="CP271" s="46"/>
      <c r="CQ271" s="46"/>
      <c r="CR271" s="46"/>
      <c r="CS271" s="46"/>
      <c r="CT271" s="46"/>
      <c r="CU271" s="46"/>
    </row>
    <row r="272" spans="1:99" ht="12.75" customHeight="1">
      <c r="A272" s="399">
        <v>1509</v>
      </c>
      <c r="B272" s="399" t="s">
        <v>4441</v>
      </c>
      <c r="C272" s="399">
        <f t="shared" si="42"/>
        <v>1509</v>
      </c>
      <c r="D272" s="399" t="e">
        <f t="shared" ca="1" si="62"/>
        <v>#NAME?</v>
      </c>
      <c r="E272" s="399">
        <f t="shared" si="44"/>
        <v>3</v>
      </c>
      <c r="F272" s="399" t="str">
        <f t="shared" si="64"/>
        <v>Input Option</v>
      </c>
      <c r="G272" s="400">
        <f t="shared" si="65"/>
        <v>8</v>
      </c>
      <c r="H272" s="399" t="str">
        <f t="shared" si="66"/>
        <v>HIV Stage</v>
      </c>
      <c r="I272" s="400"/>
      <c r="J272" s="400"/>
      <c r="K272" s="402" t="s">
        <v>3475</v>
      </c>
      <c r="L272" s="402" t="s">
        <v>887</v>
      </c>
      <c r="M272" s="400"/>
      <c r="N272" s="551" t="s">
        <v>4853</v>
      </c>
      <c r="O272" s="41" t="s">
        <v>4865</v>
      </c>
      <c r="P272" s="470" t="s">
        <v>4866</v>
      </c>
      <c r="Q272" s="403"/>
      <c r="R272" s="407"/>
      <c r="S272" s="407" t="s">
        <v>4867</v>
      </c>
      <c r="T272" s="407"/>
      <c r="U272" s="407"/>
      <c r="V272" s="407">
        <v>3</v>
      </c>
      <c r="W272" s="407"/>
      <c r="X272" s="403" t="s">
        <v>208</v>
      </c>
      <c r="Y272" s="407"/>
      <c r="Z272" s="403" t="s">
        <v>113</v>
      </c>
      <c r="AA272" s="407" t="s">
        <v>3178</v>
      </c>
      <c r="AB272" s="432" t="s">
        <v>4838</v>
      </c>
      <c r="AC272" s="421"/>
      <c r="AD272" s="421"/>
      <c r="AE272" s="408"/>
      <c r="AF272" s="407" t="s">
        <v>4489</v>
      </c>
      <c r="AG272" s="407" t="s">
        <v>3851</v>
      </c>
      <c r="AH272" s="399"/>
      <c r="AI272" s="400"/>
      <c r="AJ272" s="399"/>
      <c r="AK272" s="399"/>
      <c r="AL272" s="409"/>
      <c r="AM272" s="409"/>
      <c r="AN272" s="409"/>
      <c r="AO272" s="399"/>
      <c r="AP272" s="399"/>
      <c r="AQ272" s="409" t="s">
        <v>3130</v>
      </c>
      <c r="AR272" s="399"/>
      <c r="AS272" s="399"/>
      <c r="AT272" s="399"/>
      <c r="AU272" s="399" t="s">
        <v>4441</v>
      </c>
      <c r="AV272" s="399" t="str">
        <f t="shared" si="47"/>
        <v>Same</v>
      </c>
      <c r="AW272" s="399"/>
      <c r="AX272" s="409" t="s">
        <v>3104</v>
      </c>
      <c r="AY272" s="399" t="e">
        <f t="shared" ca="1" si="63"/>
        <v>#NAME?</v>
      </c>
      <c r="AZ272" s="409" t="s">
        <v>3105</v>
      </c>
      <c r="BA272" s="409">
        <v>1</v>
      </c>
      <c r="BB272" s="399"/>
      <c r="BC272" s="399"/>
      <c r="BD272" s="399"/>
      <c r="BE272" s="411"/>
      <c r="BF272" s="411"/>
      <c r="BG272" s="411" t="s">
        <v>4868</v>
      </c>
      <c r="BH272" s="411"/>
      <c r="BI272" s="411"/>
      <c r="BJ272" s="399"/>
      <c r="BK272" s="409"/>
      <c r="BL272" s="409"/>
      <c r="BM272" s="409" t="s">
        <v>4869</v>
      </c>
      <c r="BN272" s="399"/>
      <c r="BO272" s="399"/>
      <c r="BP272" s="399"/>
      <c r="BQ272" s="399"/>
      <c r="BR272" s="399"/>
      <c r="BS272" s="407"/>
      <c r="BT272" s="407"/>
      <c r="BU272" s="412"/>
      <c r="BV272" s="46" t="str">
        <f t="shared" si="8"/>
        <v/>
      </c>
      <c r="BW272" s="46">
        <f t="shared" si="9"/>
        <v>0</v>
      </c>
      <c r="BX272" s="46">
        <f t="shared" si="10"/>
        <v>0</v>
      </c>
      <c r="BY272" s="43" t="str">
        <f t="shared" si="11"/>
        <v>WHO-Core Observation (HIV Stage)</v>
      </c>
      <c r="BZ272" s="46">
        <f t="shared" si="12"/>
        <v>1</v>
      </c>
      <c r="CA272" s="46" t="str">
        <f t="shared" si="13"/>
        <v/>
      </c>
      <c r="CB272" s="46">
        <f t="shared" si="14"/>
        <v>1</v>
      </c>
      <c r="CC272" s="46">
        <f t="shared" si="15"/>
        <v>1</v>
      </c>
      <c r="CD272" s="46">
        <f t="shared" si="16"/>
        <v>1</v>
      </c>
      <c r="CE272" s="46">
        <f t="shared" si="17"/>
        <v>0</v>
      </c>
      <c r="CF272" s="46">
        <f t="shared" si="18"/>
        <v>0</v>
      </c>
      <c r="CG272" s="46" t="str">
        <f ca="1">IFERROR(__xludf.DUMMYFUNCTION("if(OR(BH272="""",LEFT(BH272,2)=""LA""),"""",IMPORTXML(CONCATENATE(""https://loinc.org/"",BH272,""/""),""//span[@id='lcn']""))"),"")</f>
        <v/>
      </c>
      <c r="CH272" s="46"/>
      <c r="CI272" s="46"/>
      <c r="CJ272" s="46"/>
      <c r="CK272" s="46"/>
      <c r="CL272" s="46"/>
      <c r="CM272" s="46"/>
      <c r="CN272" s="46"/>
      <c r="CO272" s="46"/>
      <c r="CP272" s="46"/>
      <c r="CQ272" s="46"/>
      <c r="CR272" s="46"/>
      <c r="CS272" s="46"/>
      <c r="CT272" s="46"/>
      <c r="CU272" s="46"/>
    </row>
    <row r="273" spans="1:99" ht="12.75" customHeight="1">
      <c r="A273" s="399">
        <v>1510</v>
      </c>
      <c r="B273" s="399" t="s">
        <v>4444</v>
      </c>
      <c r="C273" s="399">
        <f t="shared" si="42"/>
        <v>1510</v>
      </c>
      <c r="D273" s="399" t="e">
        <f t="shared" ca="1" si="62"/>
        <v>#NAME?</v>
      </c>
      <c r="E273" s="399">
        <f t="shared" si="44"/>
        <v>4</v>
      </c>
      <c r="F273" s="399" t="str">
        <f t="shared" si="64"/>
        <v>Input Option</v>
      </c>
      <c r="G273" s="400">
        <f t="shared" si="65"/>
        <v>8</v>
      </c>
      <c r="H273" s="399" t="str">
        <f t="shared" si="66"/>
        <v>HIV Stage</v>
      </c>
      <c r="I273" s="400"/>
      <c r="J273" s="400"/>
      <c r="K273" s="402" t="s">
        <v>3475</v>
      </c>
      <c r="L273" s="402" t="s">
        <v>887</v>
      </c>
      <c r="M273" s="400"/>
      <c r="N273" s="551" t="s">
        <v>4853</v>
      </c>
      <c r="O273" s="41" t="s">
        <v>4870</v>
      </c>
      <c r="P273" s="470" t="s">
        <v>4871</v>
      </c>
      <c r="Q273" s="403"/>
      <c r="R273" s="407"/>
      <c r="S273" s="432" t="s">
        <v>4872</v>
      </c>
      <c r="T273" s="407"/>
      <c r="U273" s="407"/>
      <c r="V273" s="407">
        <v>4</v>
      </c>
      <c r="W273" s="407"/>
      <c r="X273" s="403" t="s">
        <v>208</v>
      </c>
      <c r="Y273" s="407"/>
      <c r="Z273" s="403" t="s">
        <v>113</v>
      </c>
      <c r="AA273" s="407" t="s">
        <v>3178</v>
      </c>
      <c r="AB273" s="432" t="s">
        <v>4838</v>
      </c>
      <c r="AC273" s="421"/>
      <c r="AD273" s="421"/>
      <c r="AE273" s="408"/>
      <c r="AF273" s="407" t="s">
        <v>4489</v>
      </c>
      <c r="AG273" s="407" t="s">
        <v>3851</v>
      </c>
      <c r="AH273" s="399"/>
      <c r="AI273" s="400"/>
      <c r="AJ273" s="399"/>
      <c r="AK273" s="399"/>
      <c r="AL273" s="409"/>
      <c r="AM273" s="409"/>
      <c r="AN273" s="409"/>
      <c r="AO273" s="399"/>
      <c r="AP273" s="399"/>
      <c r="AQ273" s="409" t="s">
        <v>3130</v>
      </c>
      <c r="AR273" s="399"/>
      <c r="AS273" s="399"/>
      <c r="AT273" s="399"/>
      <c r="AU273" s="399" t="s">
        <v>4444</v>
      </c>
      <c r="AV273" s="399" t="str">
        <f t="shared" si="47"/>
        <v>Same</v>
      </c>
      <c r="AW273" s="399"/>
      <c r="AX273" s="409" t="s">
        <v>3104</v>
      </c>
      <c r="AY273" s="399" t="e">
        <f t="shared" ca="1" si="63"/>
        <v>#NAME?</v>
      </c>
      <c r="AZ273" s="409" t="s">
        <v>3105</v>
      </c>
      <c r="BA273" s="409">
        <v>1</v>
      </c>
      <c r="BB273" s="399"/>
      <c r="BC273" s="399"/>
      <c r="BD273" s="399"/>
      <c r="BE273" s="411"/>
      <c r="BF273" s="411"/>
      <c r="BG273" s="411" t="s">
        <v>4875</v>
      </c>
      <c r="BH273" s="411"/>
      <c r="BI273" s="411"/>
      <c r="BJ273" s="399"/>
      <c r="BK273" s="399"/>
      <c r="BL273" s="399"/>
      <c r="BM273" s="399"/>
      <c r="BN273" s="399"/>
      <c r="BO273" s="399"/>
      <c r="BP273" s="399"/>
      <c r="BQ273" s="399"/>
      <c r="BR273" s="399"/>
      <c r="BS273" s="407"/>
      <c r="BT273" s="407"/>
      <c r="BU273" s="412"/>
      <c r="BV273" s="46" t="str">
        <f t="shared" si="8"/>
        <v/>
      </c>
      <c r="BW273" s="46">
        <f t="shared" si="9"/>
        <v>0</v>
      </c>
      <c r="BX273" s="46">
        <f t="shared" si="10"/>
        <v>0</v>
      </c>
      <c r="BY273" s="43" t="str">
        <f t="shared" si="11"/>
        <v>WHO-Core Observation (HIV Stage)</v>
      </c>
      <c r="BZ273" s="46">
        <f t="shared" si="12"/>
        <v>1</v>
      </c>
      <c r="CA273" s="46" t="str">
        <f t="shared" si="13"/>
        <v/>
      </c>
      <c r="CB273" s="46">
        <f t="shared" si="14"/>
        <v>1</v>
      </c>
      <c r="CC273" s="46">
        <f t="shared" si="15"/>
        <v>1</v>
      </c>
      <c r="CD273" s="46">
        <f t="shared" si="16"/>
        <v>1</v>
      </c>
      <c r="CE273" s="46">
        <f t="shared" si="17"/>
        <v>0</v>
      </c>
      <c r="CF273" s="46">
        <f t="shared" si="18"/>
        <v>0</v>
      </c>
      <c r="CG273" s="46" t="str">
        <f ca="1">IFERROR(__xludf.DUMMYFUNCTION("if(OR(BH273="""",LEFT(BH273,2)=""LA""),"""",IMPORTXML(CONCATENATE(""https://loinc.org/"",BH273,""/""),""//span[@id='lcn']""))"),"")</f>
        <v/>
      </c>
      <c r="CH273" s="46"/>
      <c r="CI273" s="46"/>
      <c r="CJ273" s="46"/>
      <c r="CK273" s="46"/>
      <c r="CL273" s="46"/>
      <c r="CM273" s="46"/>
      <c r="CN273" s="46"/>
      <c r="CO273" s="46"/>
      <c r="CP273" s="46"/>
      <c r="CQ273" s="46"/>
      <c r="CR273" s="46"/>
      <c r="CS273" s="46"/>
      <c r="CT273" s="46"/>
      <c r="CU273" s="46"/>
    </row>
    <row r="274" spans="1:99" ht="12.75" customHeight="1">
      <c r="A274" s="399">
        <v>1511</v>
      </c>
      <c r="B274" s="399" t="s">
        <v>4878</v>
      </c>
      <c r="C274" s="399">
        <f t="shared" si="42"/>
        <v>1511</v>
      </c>
      <c r="D274" s="399" t="e">
        <f t="shared" ca="1" si="62"/>
        <v>#NAME?</v>
      </c>
      <c r="E274" s="399" t="str">
        <f t="shared" si="44"/>
        <v>Current ischemic heart disease</v>
      </c>
      <c r="F274" s="410" t="s">
        <v>180</v>
      </c>
      <c r="G274" s="400">
        <v>23</v>
      </c>
      <c r="H274" s="399" t="s">
        <v>4475</v>
      </c>
      <c r="I274" s="400"/>
      <c r="J274" s="400"/>
      <c r="K274" s="401" t="s">
        <v>3333</v>
      </c>
      <c r="L274" s="402" t="s">
        <v>4518</v>
      </c>
      <c r="M274" s="400"/>
      <c r="N274" s="427" t="s">
        <v>4417</v>
      </c>
      <c r="O274" s="428"/>
      <c r="P274" s="403" t="s">
        <v>4879</v>
      </c>
      <c r="Q274" s="405" t="s">
        <v>4878</v>
      </c>
      <c r="R274" s="403"/>
      <c r="S274" s="403"/>
      <c r="T274" s="403" t="s">
        <v>3169</v>
      </c>
      <c r="U274" s="407"/>
      <c r="V274" s="407" t="s">
        <v>3170</v>
      </c>
      <c r="W274" s="407"/>
      <c r="X274" s="403" t="s">
        <v>208</v>
      </c>
      <c r="Y274" s="403"/>
      <c r="Z274" s="403" t="s">
        <v>113</v>
      </c>
      <c r="AA274" s="403" t="s">
        <v>3178</v>
      </c>
      <c r="AB274" s="432" t="s">
        <v>4838</v>
      </c>
      <c r="AC274" s="421"/>
      <c r="AD274" s="436"/>
      <c r="AE274" s="420"/>
      <c r="AF274" s="407"/>
      <c r="AG274" s="407" t="s">
        <v>3851</v>
      </c>
      <c r="AH274" s="399"/>
      <c r="AI274" s="400"/>
      <c r="AJ274" s="399"/>
      <c r="AK274" s="440"/>
      <c r="AL274" s="409"/>
      <c r="AM274" s="409"/>
      <c r="AN274" s="409"/>
      <c r="AO274" s="399"/>
      <c r="AP274" s="409"/>
      <c r="AQ274" s="409" t="s">
        <v>3130</v>
      </c>
      <c r="AR274" s="409" t="s">
        <v>4478</v>
      </c>
      <c r="AS274" s="409"/>
      <c r="AT274" s="399"/>
      <c r="AU274" s="399" t="s">
        <v>4878</v>
      </c>
      <c r="AV274" s="399" t="str">
        <f t="shared" si="47"/>
        <v>Same</v>
      </c>
      <c r="AW274" s="399"/>
      <c r="AX274" s="409" t="s">
        <v>3343</v>
      </c>
      <c r="AY274" s="399" t="e">
        <f t="shared" ca="1" si="63"/>
        <v>#NAME?</v>
      </c>
      <c r="AZ274" s="399"/>
      <c r="BA274" s="409">
        <v>1</v>
      </c>
      <c r="BB274" s="399"/>
      <c r="BC274" s="399"/>
      <c r="BD274" s="399"/>
      <c r="BE274" s="411" t="s">
        <v>4882</v>
      </c>
      <c r="BF274" s="411" t="s">
        <v>4884</v>
      </c>
      <c r="BG274" s="411" t="s">
        <v>4600</v>
      </c>
      <c r="BH274" s="411"/>
      <c r="BI274" s="411"/>
      <c r="BJ274" s="399"/>
      <c r="BK274" s="399"/>
      <c r="BL274" s="399"/>
      <c r="BM274" s="399"/>
      <c r="BN274" s="399"/>
      <c r="BO274" s="399">
        <v>116608</v>
      </c>
      <c r="BP274" s="399"/>
      <c r="BQ274" s="399"/>
      <c r="BR274" s="399"/>
      <c r="BS274" s="407"/>
      <c r="BT274" s="407"/>
      <c r="BU274" s="412"/>
      <c r="BV274" s="46" t="str">
        <f t="shared" si="8"/>
        <v/>
      </c>
      <c r="BW274" s="46">
        <f t="shared" si="9"/>
        <v>0</v>
      </c>
      <c r="BX274" s="46">
        <f t="shared" si="10"/>
        <v>0</v>
      </c>
      <c r="BY274" s="43" t="str">
        <f t="shared" si="11"/>
        <v>WHO-FP Condition (Medical Eligibility)</v>
      </c>
      <c r="BZ274" s="46">
        <f t="shared" si="12"/>
        <v>1</v>
      </c>
      <c r="CA274" s="46" t="str">
        <f t="shared" si="13"/>
        <v/>
      </c>
      <c r="CB274" s="46">
        <f t="shared" si="14"/>
        <v>1</v>
      </c>
      <c r="CC274" s="46">
        <f t="shared" si="15"/>
        <v>1</v>
      </c>
      <c r="CD274" s="46">
        <f t="shared" si="16"/>
        <v>1</v>
      </c>
      <c r="CE274" s="46">
        <f t="shared" si="17"/>
        <v>0</v>
      </c>
      <c r="CF274" s="46">
        <f t="shared" si="18"/>
        <v>0</v>
      </c>
      <c r="CG274" s="46" t="str">
        <f ca="1">IFERROR(__xludf.DUMMYFUNCTION("if(OR(BH274="""",LEFT(BH274,2)=""LA""),"""",IMPORTXML(CONCATENATE(""https://loinc.org/"",BH274,""/""),""//span[@id='lcn']""))"),"")</f>
        <v/>
      </c>
      <c r="CH274" s="46"/>
      <c r="CI274" s="46"/>
      <c r="CJ274" s="46"/>
      <c r="CK274" s="46"/>
      <c r="CL274" s="46"/>
      <c r="CM274" s="46"/>
      <c r="CN274" s="46"/>
      <c r="CO274" s="46"/>
      <c r="CP274" s="46"/>
      <c r="CQ274" s="46"/>
      <c r="CR274" s="46"/>
      <c r="CS274" s="46"/>
      <c r="CT274" s="46"/>
      <c r="CU274" s="46"/>
    </row>
    <row r="275" spans="1:99" ht="12.75" customHeight="1">
      <c r="A275" s="399">
        <v>1512</v>
      </c>
      <c r="B275" s="399" t="s">
        <v>4886</v>
      </c>
      <c r="C275" s="399">
        <f t="shared" si="42"/>
        <v>1512</v>
      </c>
      <c r="D275" s="399" t="e">
        <f t="shared" ca="1" si="62"/>
        <v>#NAME?</v>
      </c>
      <c r="E275" s="399" t="str">
        <f t="shared" si="44"/>
        <v>History of ischemic heart disease</v>
      </c>
      <c r="F275" s="410" t="s">
        <v>180</v>
      </c>
      <c r="G275" s="400">
        <v>23</v>
      </c>
      <c r="H275" s="399" t="s">
        <v>4475</v>
      </c>
      <c r="I275" s="400"/>
      <c r="J275" s="400"/>
      <c r="K275" s="401" t="s">
        <v>3333</v>
      </c>
      <c r="L275" s="402" t="s">
        <v>4518</v>
      </c>
      <c r="M275" s="400"/>
      <c r="N275" s="427" t="s">
        <v>4417</v>
      </c>
      <c r="O275" s="428"/>
      <c r="P275" s="403" t="s">
        <v>4888</v>
      </c>
      <c r="Q275" s="405" t="s">
        <v>4886</v>
      </c>
      <c r="R275" s="403"/>
      <c r="S275" s="403"/>
      <c r="T275" s="403" t="s">
        <v>3169</v>
      </c>
      <c r="U275" s="407"/>
      <c r="V275" s="407" t="s">
        <v>3170</v>
      </c>
      <c r="W275" s="407"/>
      <c r="X275" s="403" t="s">
        <v>208</v>
      </c>
      <c r="Y275" s="403"/>
      <c r="Z275" s="403" t="s">
        <v>113</v>
      </c>
      <c r="AA275" s="403" t="s">
        <v>3178</v>
      </c>
      <c r="AB275" s="432" t="s">
        <v>4838</v>
      </c>
      <c r="AC275" s="421"/>
      <c r="AD275" s="436"/>
      <c r="AE275" s="420"/>
      <c r="AF275" s="407"/>
      <c r="AG275" s="407" t="s">
        <v>3851</v>
      </c>
      <c r="AH275" s="399"/>
      <c r="AI275" s="400"/>
      <c r="AJ275" s="399"/>
      <c r="AK275" s="440"/>
      <c r="AL275" s="409"/>
      <c r="AM275" s="409"/>
      <c r="AN275" s="409"/>
      <c r="AO275" s="399"/>
      <c r="AP275" s="409"/>
      <c r="AQ275" s="409" t="s">
        <v>115</v>
      </c>
      <c r="AR275" s="409" t="s">
        <v>4478</v>
      </c>
      <c r="AS275" s="409"/>
      <c r="AT275" s="399"/>
      <c r="AU275" s="399" t="s">
        <v>4886</v>
      </c>
      <c r="AV275" s="399" t="str">
        <f t="shared" si="47"/>
        <v>Same</v>
      </c>
      <c r="AW275" s="399"/>
      <c r="AX275" s="409" t="s">
        <v>3343</v>
      </c>
      <c r="AY275" s="399" t="e">
        <f t="shared" ca="1" si="63"/>
        <v>#NAME?</v>
      </c>
      <c r="AZ275" s="399"/>
      <c r="BA275" s="409">
        <v>0</v>
      </c>
      <c r="BB275" s="399"/>
      <c r="BC275" s="399"/>
      <c r="BD275" s="399"/>
      <c r="BE275" s="411"/>
      <c r="BF275" s="411"/>
      <c r="BG275" s="434" t="s">
        <v>4890</v>
      </c>
      <c r="BH275" s="411"/>
      <c r="BI275" s="411"/>
      <c r="BJ275" s="399"/>
      <c r="BK275" s="399"/>
      <c r="BL275" s="399"/>
      <c r="BM275" s="399"/>
      <c r="BN275" s="399"/>
      <c r="BO275" s="399"/>
      <c r="BP275" s="399"/>
      <c r="BQ275" s="399"/>
      <c r="BR275" s="399"/>
      <c r="BS275" s="407"/>
      <c r="BT275" s="407"/>
      <c r="BU275" s="412"/>
      <c r="BV275" s="46" t="str">
        <f t="shared" si="8"/>
        <v/>
      </c>
      <c r="BW275" s="46">
        <f t="shared" si="9"/>
        <v>0</v>
      </c>
      <c r="BX275" s="46">
        <f t="shared" si="10"/>
        <v>0</v>
      </c>
      <c r="BY275" s="43" t="str">
        <f t="shared" si="11"/>
        <v>WHO-FP Condition (Medical Eligibility)</v>
      </c>
      <c r="BZ275" s="46">
        <f t="shared" si="12"/>
        <v>1</v>
      </c>
      <c r="CA275" s="46" t="str">
        <f t="shared" si="13"/>
        <v/>
      </c>
      <c r="CB275" s="46">
        <f t="shared" si="14"/>
        <v>1</v>
      </c>
      <c r="CC275" s="46">
        <f t="shared" si="15"/>
        <v>1</v>
      </c>
      <c r="CD275" s="46">
        <f t="shared" si="16"/>
        <v>1</v>
      </c>
      <c r="CE275" s="46">
        <f t="shared" si="17"/>
        <v>0</v>
      </c>
      <c r="CF275" s="46">
        <f t="shared" si="18"/>
        <v>0</v>
      </c>
      <c r="CG275" s="46" t="str">
        <f ca="1">IFERROR(__xludf.DUMMYFUNCTION("if(OR(BH275="""",LEFT(BH275,2)=""LA""),"""",IMPORTXML(CONCATENATE(""https://loinc.org/"",BH275,""/""),""//span[@id='lcn']""))"),"")</f>
        <v/>
      </c>
      <c r="CH275" s="46"/>
      <c r="CI275" s="46"/>
      <c r="CJ275" s="46"/>
      <c r="CK275" s="46"/>
      <c r="CL275" s="46"/>
      <c r="CM275" s="46"/>
      <c r="CN275" s="46"/>
      <c r="CO275" s="46"/>
      <c r="CP275" s="46"/>
      <c r="CQ275" s="46"/>
      <c r="CR275" s="46"/>
      <c r="CS275" s="46"/>
      <c r="CT275" s="46"/>
      <c r="CU275" s="46"/>
    </row>
    <row r="276" spans="1:99" ht="12.75" customHeight="1">
      <c r="A276" s="399">
        <v>1513</v>
      </c>
      <c r="B276" s="399" t="s">
        <v>4891</v>
      </c>
      <c r="C276" s="399">
        <f t="shared" si="42"/>
        <v>1513</v>
      </c>
      <c r="D276" s="399" t="e">
        <f t="shared" ca="1" si="62"/>
        <v>#NAME?</v>
      </c>
      <c r="E276" s="399" t="str">
        <f t="shared" si="44"/>
        <v>Stroke (history of cerebrovascular accident)</v>
      </c>
      <c r="F276" s="410" t="s">
        <v>180</v>
      </c>
      <c r="G276" s="400">
        <v>23</v>
      </c>
      <c r="H276" s="399" t="s">
        <v>4475</v>
      </c>
      <c r="I276" s="400"/>
      <c r="J276" s="400"/>
      <c r="K276" s="401" t="s">
        <v>3333</v>
      </c>
      <c r="L276" s="402" t="s">
        <v>4518</v>
      </c>
      <c r="M276" s="400"/>
      <c r="N276" s="427" t="s">
        <v>4417</v>
      </c>
      <c r="O276" s="428"/>
      <c r="P276" s="405" t="s">
        <v>4590</v>
      </c>
      <c r="Q276" s="405" t="s">
        <v>4891</v>
      </c>
      <c r="R276" s="403"/>
      <c r="S276" s="403"/>
      <c r="T276" s="403" t="s">
        <v>3169</v>
      </c>
      <c r="U276" s="407"/>
      <c r="V276" s="407" t="s">
        <v>3170</v>
      </c>
      <c r="W276" s="407"/>
      <c r="X276" s="403" t="s">
        <v>208</v>
      </c>
      <c r="Y276" s="403"/>
      <c r="Z276" s="403" t="s">
        <v>113</v>
      </c>
      <c r="AA276" s="403" t="s">
        <v>3178</v>
      </c>
      <c r="AB276" s="432" t="s">
        <v>4838</v>
      </c>
      <c r="AC276" s="421"/>
      <c r="AD276" s="436"/>
      <c r="AE276" s="420"/>
      <c r="AF276" s="407"/>
      <c r="AG276" s="407" t="s">
        <v>3851</v>
      </c>
      <c r="AH276" s="399"/>
      <c r="AI276" s="400"/>
      <c r="AJ276" s="399"/>
      <c r="AK276" s="440"/>
      <c r="AL276" s="409"/>
      <c r="AM276" s="409"/>
      <c r="AN276" s="409"/>
      <c r="AO276" s="399"/>
      <c r="AP276" s="409"/>
      <c r="AQ276" s="409" t="s">
        <v>3130</v>
      </c>
      <c r="AR276" s="409" t="s">
        <v>4478</v>
      </c>
      <c r="AS276" s="409"/>
      <c r="AT276" s="399"/>
      <c r="AU276" s="399" t="s">
        <v>4891</v>
      </c>
      <c r="AV276" s="399" t="str">
        <f t="shared" si="47"/>
        <v>Same</v>
      </c>
      <c r="AW276" s="399"/>
      <c r="AX276" s="409" t="s">
        <v>3343</v>
      </c>
      <c r="AY276" s="399" t="e">
        <f t="shared" ca="1" si="63"/>
        <v>#NAME?</v>
      </c>
      <c r="AZ276" s="399"/>
      <c r="BA276" s="409">
        <v>1</v>
      </c>
      <c r="BB276" s="399"/>
      <c r="BC276" s="399"/>
      <c r="BD276" s="399"/>
      <c r="BE276" s="411" t="s">
        <v>4592</v>
      </c>
      <c r="BF276" s="411" t="s">
        <v>4593</v>
      </c>
      <c r="BG276" s="411" t="s">
        <v>4893</v>
      </c>
      <c r="BH276" s="411"/>
      <c r="BI276" s="411"/>
      <c r="BJ276" s="399"/>
      <c r="BK276" s="399"/>
      <c r="BL276" s="399"/>
      <c r="BM276" s="399"/>
      <c r="BN276" s="399"/>
      <c r="BO276" s="399">
        <v>144475</v>
      </c>
      <c r="BP276" s="399"/>
      <c r="BQ276" s="399"/>
      <c r="BR276" s="399"/>
      <c r="BS276" s="407"/>
      <c r="BT276" s="407"/>
      <c r="BU276" s="412"/>
      <c r="BV276" s="46" t="str">
        <f t="shared" si="8"/>
        <v/>
      </c>
      <c r="BW276" s="46">
        <f t="shared" si="9"/>
        <v>0</v>
      </c>
      <c r="BX276" s="46">
        <f t="shared" si="10"/>
        <v>0</v>
      </c>
      <c r="BY276" s="43" t="str">
        <f t="shared" si="11"/>
        <v>WHO-FP Condition (Medical Eligibility)</v>
      </c>
      <c r="BZ276" s="46">
        <f t="shared" si="12"/>
        <v>1</v>
      </c>
      <c r="CA276" s="46" t="str">
        <f t="shared" si="13"/>
        <v/>
      </c>
      <c r="CB276" s="46">
        <f t="shared" si="14"/>
        <v>1</v>
      </c>
      <c r="CC276" s="46">
        <f t="shared" si="15"/>
        <v>1</v>
      </c>
      <c r="CD276" s="46">
        <f t="shared" si="16"/>
        <v>1</v>
      </c>
      <c r="CE276" s="46">
        <f t="shared" si="17"/>
        <v>0</v>
      </c>
      <c r="CF276" s="46">
        <f t="shared" si="18"/>
        <v>0</v>
      </c>
      <c r="CG276" s="46" t="str">
        <f ca="1">IFERROR(__xludf.DUMMYFUNCTION("if(OR(BH276="""",LEFT(BH276,2)=""LA""),"""",IMPORTXML(CONCATENATE(""https://loinc.org/"",BH276,""/""),""//span[@id='lcn']""))"),"")</f>
        <v/>
      </c>
      <c r="CH276" s="46"/>
      <c r="CI276" s="46"/>
      <c r="CJ276" s="46"/>
      <c r="CK276" s="46"/>
      <c r="CL276" s="46"/>
      <c r="CM276" s="46"/>
      <c r="CN276" s="46"/>
      <c r="CO276" s="46"/>
      <c r="CP276" s="46"/>
      <c r="CQ276" s="46"/>
      <c r="CR276" s="46"/>
      <c r="CS276" s="46"/>
      <c r="CT276" s="46"/>
      <c r="CU276" s="46"/>
    </row>
    <row r="277" spans="1:99" ht="12.75" customHeight="1">
      <c r="A277" s="399">
        <v>1514</v>
      </c>
      <c r="B277" s="399" t="s">
        <v>4895</v>
      </c>
      <c r="C277" s="399">
        <f t="shared" si="42"/>
        <v>1514</v>
      </c>
      <c r="D277" s="399" t="e">
        <f t="shared" ca="1" si="62"/>
        <v>#NAME?</v>
      </c>
      <c r="E277" s="399" t="str">
        <f t="shared" si="44"/>
        <v>Dyslipidemias</v>
      </c>
      <c r="F277" s="410" t="s">
        <v>180</v>
      </c>
      <c r="G277" s="400">
        <v>23</v>
      </c>
      <c r="H277" s="399" t="s">
        <v>4475</v>
      </c>
      <c r="I277" s="400"/>
      <c r="J277" s="400"/>
      <c r="K277" s="401" t="s">
        <v>3333</v>
      </c>
      <c r="L277" s="402" t="s">
        <v>4518</v>
      </c>
      <c r="M277" s="400"/>
      <c r="N277" s="427" t="s">
        <v>4417</v>
      </c>
      <c r="O277" s="428"/>
      <c r="P277" s="405" t="s">
        <v>4897</v>
      </c>
      <c r="Q277" s="405" t="s">
        <v>4895</v>
      </c>
      <c r="R277" s="403"/>
      <c r="S277" s="403" t="s">
        <v>4898</v>
      </c>
      <c r="T277" s="403" t="s">
        <v>3169</v>
      </c>
      <c r="U277" s="407"/>
      <c r="V277" s="407" t="s">
        <v>3170</v>
      </c>
      <c r="W277" s="407"/>
      <c r="X277" s="403" t="s">
        <v>208</v>
      </c>
      <c r="Y277" s="403"/>
      <c r="Z277" s="403" t="s">
        <v>113</v>
      </c>
      <c r="AA277" s="403" t="s">
        <v>3178</v>
      </c>
      <c r="AB277" s="432" t="s">
        <v>4838</v>
      </c>
      <c r="AC277" s="421"/>
      <c r="AD277" s="436"/>
      <c r="AE277" s="420"/>
      <c r="AF277" s="407"/>
      <c r="AG277" s="407" t="s">
        <v>3851</v>
      </c>
      <c r="AH277" s="399"/>
      <c r="AI277" s="400"/>
      <c r="AJ277" s="399"/>
      <c r="AK277" s="440"/>
      <c r="AL277" s="409"/>
      <c r="AM277" s="409"/>
      <c r="AN277" s="409"/>
      <c r="AO277" s="399"/>
      <c r="AP277" s="409"/>
      <c r="AQ277" s="409" t="s">
        <v>3130</v>
      </c>
      <c r="AR277" s="409" t="s">
        <v>4478</v>
      </c>
      <c r="AS277" s="409"/>
      <c r="AT277" s="399"/>
      <c r="AU277" s="399" t="s">
        <v>4895</v>
      </c>
      <c r="AV277" s="399" t="str">
        <f t="shared" si="47"/>
        <v>Same</v>
      </c>
      <c r="AW277" s="399"/>
      <c r="AX277" s="409" t="s">
        <v>3343</v>
      </c>
      <c r="AY277" s="399" t="e">
        <f t="shared" ca="1" si="63"/>
        <v>#NAME?</v>
      </c>
      <c r="AZ277" s="399"/>
      <c r="BA277" s="409">
        <v>1</v>
      </c>
      <c r="BB277" s="399"/>
      <c r="BC277" s="399"/>
      <c r="BD277" s="399"/>
      <c r="BE277" s="411" t="s">
        <v>4900</v>
      </c>
      <c r="BF277" s="411" t="s">
        <v>4901</v>
      </c>
      <c r="BG277" s="411" t="s">
        <v>4902</v>
      </c>
      <c r="BH277" s="411"/>
      <c r="BI277" s="411"/>
      <c r="BJ277" s="399"/>
      <c r="BK277" s="399"/>
      <c r="BL277" s="399"/>
      <c r="BM277" s="399"/>
      <c r="BN277" s="399"/>
      <c r="BO277" s="399">
        <v>141623</v>
      </c>
      <c r="BP277" s="399"/>
      <c r="BQ277" s="399"/>
      <c r="BR277" s="399"/>
      <c r="BS277" s="407"/>
      <c r="BT277" s="407"/>
      <c r="BU277" s="412"/>
      <c r="BV277" s="46" t="str">
        <f t="shared" si="8"/>
        <v/>
      </c>
      <c r="BW277" s="46">
        <f t="shared" si="9"/>
        <v>0</v>
      </c>
      <c r="BX277" s="46">
        <f t="shared" si="10"/>
        <v>0</v>
      </c>
      <c r="BY277" s="43" t="str">
        <f t="shared" si="11"/>
        <v>WHO-FP Condition (Medical Eligibility)</v>
      </c>
      <c r="BZ277" s="46">
        <f t="shared" si="12"/>
        <v>1</v>
      </c>
      <c r="CA277" s="46" t="str">
        <f t="shared" si="13"/>
        <v/>
      </c>
      <c r="CB277" s="46">
        <f t="shared" si="14"/>
        <v>1</v>
      </c>
      <c r="CC277" s="46">
        <f t="shared" si="15"/>
        <v>1</v>
      </c>
      <c r="CD277" s="46">
        <f t="shared" si="16"/>
        <v>1</v>
      </c>
      <c r="CE277" s="46">
        <f t="shared" si="17"/>
        <v>0</v>
      </c>
      <c r="CF277" s="46">
        <f t="shared" si="18"/>
        <v>0</v>
      </c>
      <c r="CG277" s="46" t="str">
        <f ca="1">IFERROR(__xludf.DUMMYFUNCTION("if(OR(BH277="""",LEFT(BH277,2)=""LA""),"""",IMPORTXML(CONCATENATE(""https://loinc.org/"",BH277,""/""),""//span[@id='lcn']""))"),"")</f>
        <v/>
      </c>
      <c r="CH277" s="46"/>
      <c r="CI277" s="46"/>
      <c r="CJ277" s="46"/>
      <c r="CK277" s="46"/>
      <c r="CL277" s="46"/>
      <c r="CM277" s="46"/>
      <c r="CN277" s="46"/>
      <c r="CO277" s="46"/>
      <c r="CP277" s="46"/>
      <c r="CQ277" s="46"/>
      <c r="CR277" s="46"/>
      <c r="CS277" s="46"/>
      <c r="CT277" s="46"/>
      <c r="CU277" s="46"/>
    </row>
    <row r="278" spans="1:99" ht="12.75" customHeight="1">
      <c r="A278" s="399">
        <v>1515</v>
      </c>
      <c r="B278" s="399" t="s">
        <v>4905</v>
      </c>
      <c r="C278" s="399">
        <f t="shared" si="42"/>
        <v>1515</v>
      </c>
      <c r="D278" s="399" t="e">
        <f t="shared" ca="1" si="62"/>
        <v>#NAME?</v>
      </c>
      <c r="E278" s="399" t="str">
        <f t="shared" si="44"/>
        <v>Valvular heart disease</v>
      </c>
      <c r="F278" s="410" t="s">
        <v>180</v>
      </c>
      <c r="G278" s="400">
        <v>23</v>
      </c>
      <c r="H278" s="399" t="s">
        <v>4475</v>
      </c>
      <c r="I278" s="400"/>
      <c r="J278" s="400"/>
      <c r="K278" s="401" t="s">
        <v>3333</v>
      </c>
      <c r="L278" s="402" t="s">
        <v>4518</v>
      </c>
      <c r="M278" s="400"/>
      <c r="N278" s="427" t="s">
        <v>4417</v>
      </c>
      <c r="O278" s="428"/>
      <c r="P278" s="405" t="s">
        <v>4906</v>
      </c>
      <c r="Q278" s="405" t="s">
        <v>4905</v>
      </c>
      <c r="R278" s="403"/>
      <c r="S278" s="403"/>
      <c r="T278" s="403" t="s">
        <v>3169</v>
      </c>
      <c r="U278" s="407"/>
      <c r="V278" s="407" t="s">
        <v>3170</v>
      </c>
      <c r="W278" s="407"/>
      <c r="X278" s="403" t="s">
        <v>208</v>
      </c>
      <c r="Y278" s="403"/>
      <c r="Z278" s="403" t="s">
        <v>113</v>
      </c>
      <c r="AA278" s="403" t="s">
        <v>3178</v>
      </c>
      <c r="AB278" s="432" t="s">
        <v>4838</v>
      </c>
      <c r="AC278" s="421"/>
      <c r="AD278" s="436"/>
      <c r="AE278" s="420"/>
      <c r="AF278" s="407"/>
      <c r="AG278" s="407" t="s">
        <v>3851</v>
      </c>
      <c r="AH278" s="399"/>
      <c r="AI278" s="400"/>
      <c r="AJ278" s="399"/>
      <c r="AK278" s="440"/>
      <c r="AL278" s="409"/>
      <c r="AM278" s="409"/>
      <c r="AN278" s="409"/>
      <c r="AO278" s="399"/>
      <c r="AP278" s="409"/>
      <c r="AQ278" s="409" t="s">
        <v>3130</v>
      </c>
      <c r="AR278" s="409" t="s">
        <v>4478</v>
      </c>
      <c r="AS278" s="409"/>
      <c r="AT278" s="399"/>
      <c r="AU278" s="399" t="s">
        <v>4905</v>
      </c>
      <c r="AV278" s="399" t="str">
        <f t="shared" si="47"/>
        <v>Same</v>
      </c>
      <c r="AW278" s="399"/>
      <c r="AX278" s="409" t="s">
        <v>3343</v>
      </c>
      <c r="AY278" s="399" t="e">
        <f t="shared" ca="1" si="63"/>
        <v>#NAME?</v>
      </c>
      <c r="AZ278" s="399"/>
      <c r="BA278" s="409">
        <v>1</v>
      </c>
      <c r="BB278" s="399"/>
      <c r="BC278" s="399"/>
      <c r="BD278" s="409" t="s">
        <v>3162</v>
      </c>
      <c r="BE278" s="411"/>
      <c r="BF278" s="411"/>
      <c r="BG278" s="434" t="s">
        <v>4909</v>
      </c>
      <c r="BH278" s="411"/>
      <c r="BI278" s="411"/>
      <c r="BJ278" s="399"/>
      <c r="BK278" s="399"/>
      <c r="BL278" s="399"/>
      <c r="BM278" s="399"/>
      <c r="BN278" s="399"/>
      <c r="BO278" s="399"/>
      <c r="BP278" s="399"/>
      <c r="BQ278" s="399"/>
      <c r="BR278" s="399"/>
      <c r="BS278" s="407"/>
      <c r="BT278" s="407"/>
      <c r="BU278" s="412"/>
      <c r="BV278" s="46" t="str">
        <f t="shared" si="8"/>
        <v/>
      </c>
      <c r="BW278" s="46">
        <f t="shared" si="9"/>
        <v>0</v>
      </c>
      <c r="BX278" s="46">
        <f t="shared" si="10"/>
        <v>0</v>
      </c>
      <c r="BY278" s="43" t="str">
        <f t="shared" si="11"/>
        <v>WHO-FP Condition (Medical Eligibility)</v>
      </c>
      <c r="BZ278" s="46">
        <f t="shared" si="12"/>
        <v>1</v>
      </c>
      <c r="CA278" s="46" t="str">
        <f t="shared" si="13"/>
        <v/>
      </c>
      <c r="CB278" s="46">
        <f t="shared" si="14"/>
        <v>1</v>
      </c>
      <c r="CC278" s="46">
        <f t="shared" si="15"/>
        <v>1</v>
      </c>
      <c r="CD278" s="46">
        <f t="shared" si="16"/>
        <v>1</v>
      </c>
      <c r="CE278" s="46">
        <f t="shared" si="17"/>
        <v>0</v>
      </c>
      <c r="CF278" s="46">
        <f t="shared" si="18"/>
        <v>0</v>
      </c>
      <c r="CG278" s="46" t="str">
        <f ca="1">IFERROR(__xludf.DUMMYFUNCTION("if(OR(BH278="""",LEFT(BH278,2)=""LA""),"""",IMPORTXML(CONCATENATE(""https://loinc.org/"",BH278,""/""),""//span[@id='lcn']""))"),"")</f>
        <v/>
      </c>
      <c r="CH278" s="46"/>
      <c r="CI278" s="46"/>
      <c r="CJ278" s="46"/>
      <c r="CK278" s="46"/>
      <c r="CL278" s="46"/>
      <c r="CM278" s="46"/>
      <c r="CN278" s="46"/>
      <c r="CO278" s="46"/>
      <c r="CP278" s="46"/>
      <c r="CQ278" s="46"/>
      <c r="CR278" s="46"/>
      <c r="CS278" s="46"/>
      <c r="CT278" s="46"/>
      <c r="CU278" s="46"/>
    </row>
    <row r="279" spans="1:99" ht="12.75" customHeight="1">
      <c r="A279" s="399">
        <v>1516</v>
      </c>
      <c r="B279" s="399" t="s">
        <v>4910</v>
      </c>
      <c r="C279" s="399">
        <f t="shared" si="42"/>
        <v>1516</v>
      </c>
      <c r="D279" s="399" t="str">
        <f t="shared" si="62"/>
        <v>Valvular heart disease category</v>
      </c>
      <c r="E279" s="399" t="str">
        <f t="shared" si="44"/>
        <v>Valvular heart disease category</v>
      </c>
      <c r="F279" s="409" t="s">
        <v>3164</v>
      </c>
      <c r="G279" s="400">
        <f>LEN(B279)</f>
        <v>31</v>
      </c>
      <c r="H279" s="400" t="str">
        <f>IF(F279="Input Option",IF(H278="",B278,H278),"")</f>
        <v/>
      </c>
      <c r="I279" s="400"/>
      <c r="J279" s="400"/>
      <c r="K279" s="401" t="s">
        <v>3333</v>
      </c>
      <c r="L279" s="402" t="s">
        <v>4518</v>
      </c>
      <c r="M279" s="400"/>
      <c r="N279" s="427" t="s">
        <v>4417</v>
      </c>
      <c r="O279" s="428"/>
      <c r="P279" s="405" t="s">
        <v>4912</v>
      </c>
      <c r="Q279" s="405" t="s">
        <v>4910</v>
      </c>
      <c r="R279" s="403"/>
      <c r="S279" s="403"/>
      <c r="T279" s="403" t="s">
        <v>3339</v>
      </c>
      <c r="U279" s="407" t="s">
        <v>3177</v>
      </c>
      <c r="V279" s="407"/>
      <c r="W279" s="407"/>
      <c r="X279" s="403" t="s">
        <v>208</v>
      </c>
      <c r="Y279" s="403"/>
      <c r="Z279" s="403" t="s">
        <v>113</v>
      </c>
      <c r="AA279" s="403" t="s">
        <v>3178</v>
      </c>
      <c r="AB279" s="432" t="s">
        <v>4838</v>
      </c>
      <c r="AC279" s="421"/>
      <c r="AD279" s="436"/>
      <c r="AE279" s="420"/>
      <c r="AF279" s="407"/>
      <c r="AG279" s="407" t="s">
        <v>3851</v>
      </c>
      <c r="AH279" s="399"/>
      <c r="AI279" s="400"/>
      <c r="AJ279" s="399"/>
      <c r="AK279" s="399"/>
      <c r="AL279" s="409"/>
      <c r="AM279" s="409"/>
      <c r="AN279" s="409"/>
      <c r="AO279" s="399"/>
      <c r="AP279" s="399"/>
      <c r="AQ279" s="409" t="s">
        <v>115</v>
      </c>
      <c r="AR279" s="399"/>
      <c r="AS279" s="399"/>
      <c r="AT279" s="399"/>
      <c r="AU279" s="399" t="s">
        <v>4910</v>
      </c>
      <c r="AV279" s="399" t="str">
        <f t="shared" si="47"/>
        <v>Same</v>
      </c>
      <c r="AW279" s="399"/>
      <c r="AX279" s="409" t="s">
        <v>3343</v>
      </c>
      <c r="AY279" s="399" t="str">
        <f t="shared" si="63"/>
        <v/>
      </c>
      <c r="AZ279" s="399"/>
      <c r="BA279" s="409">
        <v>1</v>
      </c>
      <c r="BB279" s="399"/>
      <c r="BC279" s="399"/>
      <c r="BD279" s="399"/>
      <c r="BE279" s="411"/>
      <c r="BF279" s="411"/>
      <c r="BG279" s="411"/>
      <c r="BH279" s="411"/>
      <c r="BI279" s="411"/>
      <c r="BJ279" s="399" t="s">
        <v>3106</v>
      </c>
      <c r="BK279" s="399"/>
      <c r="BL279" s="399"/>
      <c r="BM279" s="399"/>
      <c r="BN279" s="399"/>
      <c r="BO279" s="399"/>
      <c r="BP279" s="399"/>
      <c r="BQ279" s="399"/>
      <c r="BR279" s="399"/>
      <c r="BS279" s="407"/>
      <c r="BT279" s="407"/>
      <c r="BU279" s="412"/>
      <c r="BV279" s="46" t="str">
        <f t="shared" si="8"/>
        <v/>
      </c>
      <c r="BW279" s="46" t="str">
        <f t="shared" si="9"/>
        <v/>
      </c>
      <c r="BX279" s="46" t="str">
        <f t="shared" si="10"/>
        <v/>
      </c>
      <c r="BY279" s="43" t="str">
        <f t="shared" si="11"/>
        <v/>
      </c>
      <c r="BZ279" s="46">
        <f t="shared" si="12"/>
        <v>1</v>
      </c>
      <c r="CA279" s="46" t="str">
        <f t="shared" si="13"/>
        <v/>
      </c>
      <c r="CB279" s="46">
        <f t="shared" si="14"/>
        <v>1</v>
      </c>
      <c r="CC279" s="46">
        <f t="shared" si="15"/>
        <v>1</v>
      </c>
      <c r="CD279" s="46">
        <f t="shared" si="16"/>
        <v>1</v>
      </c>
      <c r="CE279" s="46">
        <f t="shared" si="17"/>
        <v>0</v>
      </c>
      <c r="CF279" s="46">
        <f t="shared" si="18"/>
        <v>0</v>
      </c>
      <c r="CG279" s="46" t="str">
        <f ca="1">IFERROR(__xludf.DUMMYFUNCTION("if(OR(BH279="""",LEFT(BH279,2)=""LA""),"""",IMPORTXML(CONCATENATE(""https://loinc.org/"",BH279,""/""),""//span[@id='lcn']""))"),"")</f>
        <v/>
      </c>
      <c r="CH279" s="46"/>
      <c r="CI279" s="46"/>
      <c r="CJ279" s="46"/>
      <c r="CK279" s="46"/>
      <c r="CL279" s="46"/>
      <c r="CM279" s="46"/>
      <c r="CN279" s="46"/>
      <c r="CO279" s="46"/>
      <c r="CP279" s="46"/>
      <c r="CQ279" s="46"/>
      <c r="CR279" s="46"/>
      <c r="CS279" s="46"/>
      <c r="CT279" s="46"/>
      <c r="CU279" s="46"/>
    </row>
    <row r="280" spans="1:99" ht="12.75" customHeight="1">
      <c r="A280" s="399">
        <v>1517</v>
      </c>
      <c r="B280" s="409" t="s">
        <v>4914</v>
      </c>
      <c r="C280" s="399">
        <f t="shared" si="42"/>
        <v>1517</v>
      </c>
      <c r="D280" s="399" t="e">
        <f t="shared" ca="1" si="62"/>
        <v>#NAME?</v>
      </c>
      <c r="E280" s="399" t="str">
        <f t="shared" si="44"/>
        <v>Complicated</v>
      </c>
      <c r="F280" s="410" t="s">
        <v>180</v>
      </c>
      <c r="G280" s="400">
        <v>23</v>
      </c>
      <c r="H280" s="399" t="s">
        <v>4475</v>
      </c>
      <c r="I280" s="400"/>
      <c r="J280" s="400"/>
      <c r="K280" s="401" t="s">
        <v>3333</v>
      </c>
      <c r="L280" s="402" t="s">
        <v>4518</v>
      </c>
      <c r="M280" s="400"/>
      <c r="N280" s="427" t="s">
        <v>4417</v>
      </c>
      <c r="O280" s="428"/>
      <c r="P280" s="405" t="s">
        <v>4915</v>
      </c>
      <c r="Q280" s="405"/>
      <c r="R280" s="403"/>
      <c r="S280" s="403" t="s">
        <v>4916</v>
      </c>
      <c r="T280" s="403"/>
      <c r="U280" s="407"/>
      <c r="V280" s="407" t="s">
        <v>4917</v>
      </c>
      <c r="W280" s="407"/>
      <c r="X280" s="403" t="s">
        <v>208</v>
      </c>
      <c r="Y280" s="403"/>
      <c r="Z280" s="403" t="s">
        <v>113</v>
      </c>
      <c r="AA280" s="403" t="s">
        <v>3178</v>
      </c>
      <c r="AB280" s="432" t="s">
        <v>4838</v>
      </c>
      <c r="AC280" s="421"/>
      <c r="AD280" s="436"/>
      <c r="AE280" s="420"/>
      <c r="AF280" s="407"/>
      <c r="AG280" s="407" t="s">
        <v>3851</v>
      </c>
      <c r="AH280" s="399"/>
      <c r="AI280" s="400"/>
      <c r="AJ280" s="399"/>
      <c r="AK280" s="440"/>
      <c r="AL280" s="409"/>
      <c r="AM280" s="409"/>
      <c r="AN280" s="409"/>
      <c r="AO280" s="399"/>
      <c r="AP280" s="409"/>
      <c r="AQ280" s="409" t="s">
        <v>3130</v>
      </c>
      <c r="AR280" s="409" t="s">
        <v>4478</v>
      </c>
      <c r="AS280" s="409"/>
      <c r="AT280" s="399"/>
      <c r="AU280" s="399" t="s">
        <v>4919</v>
      </c>
      <c r="AV280" s="399" t="str">
        <f t="shared" si="47"/>
        <v>Changed</v>
      </c>
      <c r="AW280" s="399"/>
      <c r="AX280" s="409" t="s">
        <v>3343</v>
      </c>
      <c r="AY280" s="399" t="e">
        <f t="shared" ca="1" si="63"/>
        <v>#NAME?</v>
      </c>
      <c r="AZ280" s="399"/>
      <c r="BA280" s="409">
        <v>1</v>
      </c>
      <c r="BB280" s="415" t="s">
        <v>3131</v>
      </c>
      <c r="BC280" s="399" t="s">
        <v>4920</v>
      </c>
      <c r="BD280" s="399"/>
      <c r="BE280" s="411"/>
      <c r="BF280" s="411"/>
      <c r="BG280" s="411"/>
      <c r="BH280" s="411"/>
      <c r="BI280" s="411"/>
      <c r="BJ280" s="409" t="s">
        <v>4282</v>
      </c>
      <c r="BK280" s="399"/>
      <c r="BL280" s="399"/>
      <c r="BM280" s="409" t="s">
        <v>4921</v>
      </c>
      <c r="BN280" s="399"/>
      <c r="BO280" s="399"/>
      <c r="BP280" s="399"/>
      <c r="BQ280" s="399"/>
      <c r="BR280" s="399"/>
      <c r="BS280" s="407"/>
      <c r="BT280" s="407"/>
      <c r="BU280" s="412"/>
      <c r="BV280" s="46" t="str">
        <f t="shared" si="8"/>
        <v/>
      </c>
      <c r="BW280" s="46">
        <f t="shared" si="9"/>
        <v>0</v>
      </c>
      <c r="BX280" s="46">
        <f t="shared" si="10"/>
        <v>0</v>
      </c>
      <c r="BY280" s="43" t="str">
        <f t="shared" si="11"/>
        <v>WHO-FP Condition (Medical Eligibility)</v>
      </c>
      <c r="BZ280" s="46">
        <f t="shared" si="12"/>
        <v>1</v>
      </c>
      <c r="CA280" s="46" t="str">
        <f t="shared" si="13"/>
        <v/>
      </c>
      <c r="CB280" s="46">
        <f t="shared" si="14"/>
        <v>1</v>
      </c>
      <c r="CC280" s="46">
        <f t="shared" si="15"/>
        <v>1</v>
      </c>
      <c r="CD280" s="46">
        <f t="shared" si="16"/>
        <v>1</v>
      </c>
      <c r="CE280" s="46">
        <f t="shared" si="17"/>
        <v>0</v>
      </c>
      <c r="CF280" s="46">
        <f t="shared" si="18"/>
        <v>0</v>
      </c>
      <c r="CG280" s="46" t="str">
        <f ca="1">IFERROR(__xludf.DUMMYFUNCTION("if(OR(BH280="""",LEFT(BH280,2)=""LA""),"""",IMPORTXML(CONCATENATE(""https://loinc.org/"",BH280,""/""),""//span[@id='lcn']""))"),"")</f>
        <v/>
      </c>
      <c r="CH280" s="46"/>
      <c r="CI280" s="46"/>
      <c r="CJ280" s="46"/>
      <c r="CK280" s="46"/>
      <c r="CL280" s="46"/>
      <c r="CM280" s="46"/>
      <c r="CN280" s="46"/>
      <c r="CO280" s="46"/>
      <c r="CP280" s="46"/>
      <c r="CQ280" s="46"/>
      <c r="CR280" s="46"/>
      <c r="CS280" s="46"/>
      <c r="CT280" s="46"/>
      <c r="CU280" s="46"/>
    </row>
    <row r="281" spans="1:99" ht="12.75" customHeight="1">
      <c r="A281" s="399">
        <v>1518</v>
      </c>
      <c r="B281" s="409" t="s">
        <v>4927</v>
      </c>
      <c r="C281" s="399">
        <f t="shared" si="42"/>
        <v>1518</v>
      </c>
      <c r="D281" s="399" t="e">
        <f t="shared" ca="1" si="62"/>
        <v>#NAME?</v>
      </c>
      <c r="E281" s="399" t="str">
        <f t="shared" si="44"/>
        <v>Uncomplicated</v>
      </c>
      <c r="F281" s="410" t="s">
        <v>180</v>
      </c>
      <c r="G281" s="400">
        <v>23</v>
      </c>
      <c r="H281" s="399" t="s">
        <v>4475</v>
      </c>
      <c r="I281" s="400"/>
      <c r="J281" s="400"/>
      <c r="K281" s="401" t="s">
        <v>3333</v>
      </c>
      <c r="L281" s="402" t="s">
        <v>4518</v>
      </c>
      <c r="M281" s="400"/>
      <c r="N281" s="427" t="s">
        <v>4417</v>
      </c>
      <c r="O281" s="428"/>
      <c r="P281" s="405" t="s">
        <v>4928</v>
      </c>
      <c r="Q281" s="405"/>
      <c r="R281" s="403"/>
      <c r="S281" s="403"/>
      <c r="T281" s="403"/>
      <c r="U281" s="407"/>
      <c r="V281" s="432" t="s">
        <v>4930</v>
      </c>
      <c r="W281" s="407"/>
      <c r="X281" s="403" t="s">
        <v>208</v>
      </c>
      <c r="Y281" s="403"/>
      <c r="Z281" s="403" t="s">
        <v>113</v>
      </c>
      <c r="AA281" s="403"/>
      <c r="AB281" s="432" t="s">
        <v>4838</v>
      </c>
      <c r="AC281" s="421"/>
      <c r="AD281" s="436"/>
      <c r="AE281" s="420"/>
      <c r="AF281" s="421"/>
      <c r="AG281" s="421"/>
      <c r="AH281" s="399"/>
      <c r="AI281" s="400"/>
      <c r="AJ281" s="399"/>
      <c r="AK281" s="440"/>
      <c r="AL281" s="409"/>
      <c r="AM281" s="409"/>
      <c r="AN281" s="409"/>
      <c r="AO281" s="399"/>
      <c r="AP281" s="409"/>
      <c r="AQ281" s="409" t="s">
        <v>3130</v>
      </c>
      <c r="AR281" s="409" t="s">
        <v>4478</v>
      </c>
      <c r="AS281" s="409"/>
      <c r="AT281" s="399"/>
      <c r="AU281" s="399" t="s">
        <v>4932</v>
      </c>
      <c r="AV281" s="399" t="str">
        <f t="shared" si="47"/>
        <v>Changed</v>
      </c>
      <c r="AW281" s="399"/>
      <c r="AX281" s="409" t="s">
        <v>3343</v>
      </c>
      <c r="AY281" s="399" t="e">
        <f t="shared" ca="1" si="63"/>
        <v>#NAME?</v>
      </c>
      <c r="AZ281" s="399"/>
      <c r="BA281" s="409">
        <v>1</v>
      </c>
      <c r="BB281" s="415" t="s">
        <v>3131</v>
      </c>
      <c r="BC281" s="399" t="s">
        <v>4933</v>
      </c>
      <c r="BD281" s="399"/>
      <c r="BE281" s="411"/>
      <c r="BF281" s="411"/>
      <c r="BG281" s="411"/>
      <c r="BH281" s="411"/>
      <c r="BI281" s="411"/>
      <c r="BJ281" s="409" t="s">
        <v>4282</v>
      </c>
      <c r="BK281" s="399"/>
      <c r="BL281" s="399"/>
      <c r="BM281" s="409" t="s">
        <v>4921</v>
      </c>
      <c r="BN281" s="399"/>
      <c r="BO281" s="399"/>
      <c r="BP281" s="399"/>
      <c r="BQ281" s="399"/>
      <c r="BR281" s="399"/>
      <c r="BS281" s="407"/>
      <c r="BT281" s="407"/>
      <c r="BU281" s="412"/>
      <c r="BV281" s="46" t="str">
        <f t="shared" si="8"/>
        <v/>
      </c>
      <c r="BW281" s="46">
        <f t="shared" si="9"/>
        <v>0</v>
      </c>
      <c r="BX281" s="46">
        <f t="shared" si="10"/>
        <v>0</v>
      </c>
      <c r="BY281" s="43" t="str">
        <f t="shared" si="11"/>
        <v>WHO-FP Condition (Medical Eligibility)</v>
      </c>
      <c r="BZ281" s="46">
        <f t="shared" si="12"/>
        <v>1</v>
      </c>
      <c r="CA281" s="46" t="str">
        <f t="shared" si="13"/>
        <v/>
      </c>
      <c r="CB281" s="46">
        <f t="shared" si="14"/>
        <v>1</v>
      </c>
      <c r="CC281" s="46">
        <f t="shared" si="15"/>
        <v>1</v>
      </c>
      <c r="CD281" s="46">
        <f t="shared" si="16"/>
        <v>1</v>
      </c>
      <c r="CE281" s="46">
        <f t="shared" si="17"/>
        <v>0</v>
      </c>
      <c r="CF281" s="46">
        <f t="shared" si="18"/>
        <v>0</v>
      </c>
      <c r="CG281" s="46" t="str">
        <f ca="1">IFERROR(__xludf.DUMMYFUNCTION("if(OR(BH281="""",LEFT(BH281,2)=""LA""),"""",IMPORTXML(CONCATENATE(""https://loinc.org/"",BH281,""/""),""//span[@id='lcn']""))"),"")</f>
        <v/>
      </c>
      <c r="CH281" s="46"/>
      <c r="CI281" s="46"/>
      <c r="CJ281" s="46"/>
      <c r="CK281" s="46"/>
      <c r="CL281" s="46"/>
      <c r="CM281" s="46"/>
      <c r="CN281" s="46"/>
      <c r="CO281" s="46"/>
      <c r="CP281" s="46"/>
      <c r="CQ281" s="46"/>
      <c r="CR281" s="46"/>
      <c r="CS281" s="46"/>
      <c r="CT281" s="46"/>
      <c r="CU281" s="46"/>
    </row>
    <row r="282" spans="1:99" ht="12.75" customHeight="1">
      <c r="A282" s="399">
        <v>1519</v>
      </c>
      <c r="B282" s="409" t="s">
        <v>4936</v>
      </c>
      <c r="C282" s="399">
        <f t="shared" si="42"/>
        <v>1519</v>
      </c>
      <c r="D282" s="399" t="e">
        <f t="shared" ca="1" si="62"/>
        <v>#NAME?</v>
      </c>
      <c r="E282" s="399" t="str">
        <f t="shared" si="44"/>
        <v>Heart disease due to blocked or narrowed arteries</v>
      </c>
      <c r="F282" s="410" t="s">
        <v>180</v>
      </c>
      <c r="G282" s="400">
        <v>23</v>
      </c>
      <c r="H282" s="399" t="s">
        <v>4475</v>
      </c>
      <c r="I282" s="400"/>
      <c r="J282" s="400"/>
      <c r="K282" s="401" t="s">
        <v>3333</v>
      </c>
      <c r="L282" s="402" t="s">
        <v>4518</v>
      </c>
      <c r="M282" s="400"/>
      <c r="N282" s="427" t="s">
        <v>4417</v>
      </c>
      <c r="O282" s="428"/>
      <c r="P282" s="405" t="s">
        <v>4937</v>
      </c>
      <c r="Q282" s="405"/>
      <c r="R282" s="403"/>
      <c r="S282" s="403"/>
      <c r="T282" s="403"/>
      <c r="U282" s="407"/>
      <c r="V282" s="432" t="s">
        <v>4936</v>
      </c>
      <c r="W282" s="407"/>
      <c r="X282" s="403" t="s">
        <v>208</v>
      </c>
      <c r="Y282" s="403"/>
      <c r="Z282" s="403" t="s">
        <v>113</v>
      </c>
      <c r="AA282" s="403"/>
      <c r="AB282" s="432" t="s">
        <v>4838</v>
      </c>
      <c r="AC282" s="421"/>
      <c r="AD282" s="436"/>
      <c r="AE282" s="420"/>
      <c r="AF282" s="421"/>
      <c r="AG282" s="421"/>
      <c r="AH282" s="399"/>
      <c r="AI282" s="400"/>
      <c r="AJ282" s="399"/>
      <c r="AK282" s="440"/>
      <c r="AL282" s="409"/>
      <c r="AM282" s="409"/>
      <c r="AN282" s="409"/>
      <c r="AO282" s="399"/>
      <c r="AP282" s="409"/>
      <c r="AQ282" s="409" t="s">
        <v>3130</v>
      </c>
      <c r="AR282" s="409" t="s">
        <v>4478</v>
      </c>
      <c r="AS282" s="409"/>
      <c r="AT282" s="399"/>
      <c r="AU282" s="399" t="s">
        <v>4938</v>
      </c>
      <c r="AV282" s="399" t="str">
        <f t="shared" si="47"/>
        <v>Changed</v>
      </c>
      <c r="AW282" s="399"/>
      <c r="AX282" s="409" t="s">
        <v>3343</v>
      </c>
      <c r="AY282" s="399" t="e">
        <f t="shared" ca="1" si="63"/>
        <v>#NAME?</v>
      </c>
      <c r="AZ282" s="399"/>
      <c r="BA282" s="409">
        <v>1</v>
      </c>
      <c r="BB282" s="399"/>
      <c r="BC282" s="399"/>
      <c r="BD282" s="399"/>
      <c r="BE282" s="411" t="s">
        <v>4882</v>
      </c>
      <c r="BF282" s="411"/>
      <c r="BG282" s="434" t="s">
        <v>4939</v>
      </c>
      <c r="BH282" s="411"/>
      <c r="BI282" s="411"/>
      <c r="BJ282" s="399"/>
      <c r="BK282" s="399"/>
      <c r="BL282" s="399"/>
      <c r="BM282" s="409" t="s">
        <v>4940</v>
      </c>
      <c r="BN282" s="399"/>
      <c r="BO282" s="399"/>
      <c r="BP282" s="399"/>
      <c r="BQ282" s="399"/>
      <c r="BR282" s="399"/>
      <c r="BS282" s="407"/>
      <c r="BT282" s="407"/>
      <c r="BU282" s="412"/>
      <c r="BV282" s="46" t="str">
        <f t="shared" si="8"/>
        <v/>
      </c>
      <c r="BW282" s="46">
        <f t="shared" si="9"/>
        <v>0</v>
      </c>
      <c r="BX282" s="46">
        <f t="shared" si="10"/>
        <v>0</v>
      </c>
      <c r="BY282" s="43" t="str">
        <f t="shared" si="11"/>
        <v>WHO-FP Condition (Medical Eligibility)</v>
      </c>
      <c r="BZ282" s="46">
        <f t="shared" si="12"/>
        <v>1</v>
      </c>
      <c r="CA282" s="46" t="str">
        <f t="shared" si="13"/>
        <v/>
      </c>
      <c r="CB282" s="46">
        <f t="shared" si="14"/>
        <v>1</v>
      </c>
      <c r="CC282" s="46">
        <f t="shared" si="15"/>
        <v>1</v>
      </c>
      <c r="CD282" s="46">
        <f t="shared" si="16"/>
        <v>1</v>
      </c>
      <c r="CE282" s="46">
        <f t="shared" si="17"/>
        <v>0</v>
      </c>
      <c r="CF282" s="46">
        <f t="shared" si="18"/>
        <v>0</v>
      </c>
      <c r="CG282" s="46" t="str">
        <f ca="1">IFERROR(__xludf.DUMMYFUNCTION("if(OR(BH282="""",LEFT(BH282,2)=""LA""),"""",IMPORTXML(CONCATENATE(""https://loinc.org/"",BH282,""/""),""//span[@id='lcn']""))"),"")</f>
        <v/>
      </c>
      <c r="CH282" s="46"/>
      <c r="CI282" s="46"/>
      <c r="CJ282" s="46"/>
      <c r="CK282" s="46"/>
      <c r="CL282" s="46"/>
      <c r="CM282" s="46"/>
      <c r="CN282" s="46"/>
      <c r="CO282" s="46"/>
      <c r="CP282" s="46"/>
      <c r="CQ282" s="46"/>
      <c r="CR282" s="46"/>
      <c r="CS282" s="46"/>
      <c r="CT282" s="46"/>
      <c r="CU282" s="46"/>
    </row>
    <row r="283" spans="1:99" ht="12.75" customHeight="1">
      <c r="A283" s="399">
        <v>1520</v>
      </c>
      <c r="B283" s="399" t="s">
        <v>4943</v>
      </c>
      <c r="C283" s="399">
        <f t="shared" si="42"/>
        <v>1520</v>
      </c>
      <c r="D283" s="399" t="str">
        <f t="shared" si="62"/>
        <v>Neurological category</v>
      </c>
      <c r="E283" s="399" t="str">
        <f t="shared" si="44"/>
        <v>Neurological category</v>
      </c>
      <c r="F283" s="409" t="s">
        <v>3164</v>
      </c>
      <c r="G283" s="400">
        <f>LEN(B283)</f>
        <v>21</v>
      </c>
      <c r="H283" s="400" t="str">
        <f>IF(F283="Input Option",IF(H282="",B282,H282),"")</f>
        <v/>
      </c>
      <c r="I283" s="400"/>
      <c r="J283" s="400"/>
      <c r="K283" s="401" t="s">
        <v>3333</v>
      </c>
      <c r="L283" s="402" t="s">
        <v>4518</v>
      </c>
      <c r="M283" s="400"/>
      <c r="N283" s="427" t="s">
        <v>4417</v>
      </c>
      <c r="O283" s="428"/>
      <c r="P283" s="405" t="s">
        <v>4945</v>
      </c>
      <c r="Q283" s="405" t="s">
        <v>4943</v>
      </c>
      <c r="R283" s="407"/>
      <c r="S283" s="403" t="s">
        <v>4946</v>
      </c>
      <c r="T283" s="403"/>
      <c r="U283" s="407"/>
      <c r="V283" s="407"/>
      <c r="W283" s="407"/>
      <c r="X283" s="403" t="s">
        <v>208</v>
      </c>
      <c r="Y283" s="407"/>
      <c r="Z283" s="403" t="s">
        <v>113</v>
      </c>
      <c r="AA283" s="403" t="s">
        <v>3178</v>
      </c>
      <c r="AB283" s="432" t="s">
        <v>4947</v>
      </c>
      <c r="AC283" s="421"/>
      <c r="AD283" s="421"/>
      <c r="AE283" s="432"/>
      <c r="AF283" s="421"/>
      <c r="AG283" s="421"/>
      <c r="AH283" s="399"/>
      <c r="AI283" s="400"/>
      <c r="AJ283" s="399"/>
      <c r="AK283" s="399"/>
      <c r="AL283" s="399"/>
      <c r="AM283" s="399"/>
      <c r="AN283" s="399"/>
      <c r="AO283" s="399"/>
      <c r="AP283" s="399"/>
      <c r="AQ283" s="409" t="s">
        <v>115</v>
      </c>
      <c r="AR283" s="399"/>
      <c r="AS283" s="399"/>
      <c r="AT283" s="399"/>
      <c r="AU283" s="399" t="s">
        <v>4943</v>
      </c>
      <c r="AV283" s="399" t="str">
        <f t="shared" si="47"/>
        <v>Same</v>
      </c>
      <c r="AW283" s="399"/>
      <c r="AX283" s="409" t="s">
        <v>3343</v>
      </c>
      <c r="AY283" s="399" t="str">
        <f t="shared" si="63"/>
        <v/>
      </c>
      <c r="AZ283" s="399"/>
      <c r="BA283" s="409">
        <v>0</v>
      </c>
      <c r="BB283" s="399"/>
      <c r="BC283" s="399"/>
      <c r="BD283" s="399"/>
      <c r="BE283" s="411"/>
      <c r="BF283" s="411"/>
      <c r="BG283" s="411"/>
      <c r="BH283" s="411"/>
      <c r="BI283" s="411"/>
      <c r="BJ283" s="399" t="s">
        <v>3106</v>
      </c>
      <c r="BK283" s="399"/>
      <c r="BL283" s="399"/>
      <c r="BM283" s="399"/>
      <c r="BN283" s="399"/>
      <c r="BO283" s="399"/>
      <c r="BP283" s="399"/>
      <c r="BQ283" s="399"/>
      <c r="BR283" s="399"/>
      <c r="BS283" s="407"/>
      <c r="BT283" s="407"/>
      <c r="BU283" s="412"/>
      <c r="BV283" s="46" t="str">
        <f t="shared" si="8"/>
        <v/>
      </c>
      <c r="BW283" s="46" t="str">
        <f t="shared" si="9"/>
        <v/>
      </c>
      <c r="BX283" s="46" t="str">
        <f t="shared" si="10"/>
        <v/>
      </c>
      <c r="BY283" s="43" t="str">
        <f t="shared" si="11"/>
        <v/>
      </c>
      <c r="BZ283" s="46">
        <f t="shared" si="12"/>
        <v>1</v>
      </c>
      <c r="CA283" s="46" t="str">
        <f t="shared" si="13"/>
        <v/>
      </c>
      <c r="CB283" s="46">
        <f t="shared" si="14"/>
        <v>1</v>
      </c>
      <c r="CC283" s="46">
        <f t="shared" si="15"/>
        <v>1</v>
      </c>
      <c r="CD283" s="46">
        <f t="shared" si="16"/>
        <v>1</v>
      </c>
      <c r="CE283" s="46">
        <f t="shared" si="17"/>
        <v>0</v>
      </c>
      <c r="CF283" s="46">
        <f t="shared" si="18"/>
        <v>0</v>
      </c>
      <c r="CG283" s="46" t="str">
        <f ca="1">IFERROR(__xludf.DUMMYFUNCTION("if(OR(BH283="""",LEFT(BH283,2)=""LA""),"""",IMPORTXML(CONCATENATE(""https://loinc.org/"",BH283,""/""),""//span[@id='lcn']""))"),"")</f>
        <v/>
      </c>
      <c r="CH283" s="46"/>
      <c r="CI283" s="46"/>
      <c r="CJ283" s="46"/>
      <c r="CK283" s="46"/>
      <c r="CL283" s="46"/>
      <c r="CM283" s="46"/>
      <c r="CN283" s="46"/>
      <c r="CO283" s="46"/>
      <c r="CP283" s="46"/>
      <c r="CQ283" s="46"/>
      <c r="CR283" s="46"/>
      <c r="CS283" s="46"/>
      <c r="CT283" s="46"/>
      <c r="CU283" s="46"/>
    </row>
    <row r="284" spans="1:99" ht="12.75" customHeight="1">
      <c r="A284" s="399">
        <v>1521</v>
      </c>
      <c r="B284" s="399" t="s">
        <v>4949</v>
      </c>
      <c r="C284" s="399">
        <f t="shared" si="42"/>
        <v>1521</v>
      </c>
      <c r="D284" s="399" t="e">
        <f t="shared" ca="1" si="62"/>
        <v>#NAME?</v>
      </c>
      <c r="E284" s="399">
        <f t="shared" si="44"/>
        <v>0</v>
      </c>
      <c r="F284" s="410" t="s">
        <v>180</v>
      </c>
      <c r="G284" s="400">
        <v>23</v>
      </c>
      <c r="H284" s="399" t="s">
        <v>4475</v>
      </c>
      <c r="I284" s="400"/>
      <c r="J284" s="400"/>
      <c r="K284" s="401" t="s">
        <v>3333</v>
      </c>
      <c r="L284" s="402" t="s">
        <v>4518</v>
      </c>
      <c r="M284" s="400"/>
      <c r="N284" s="427" t="s">
        <v>4417</v>
      </c>
      <c r="O284" s="428"/>
      <c r="P284" s="405" t="s">
        <v>4950</v>
      </c>
      <c r="Q284" s="405"/>
      <c r="R284" s="407"/>
      <c r="S284" s="407"/>
      <c r="T284" s="403" t="s">
        <v>4949</v>
      </c>
      <c r="U284" s="407"/>
      <c r="V284" s="407"/>
      <c r="W284" s="407"/>
      <c r="X284" s="403" t="s">
        <v>208</v>
      </c>
      <c r="Y284" s="407"/>
      <c r="Z284" s="403" t="s">
        <v>113</v>
      </c>
      <c r="AA284" s="403" t="s">
        <v>3178</v>
      </c>
      <c r="AB284" s="432" t="s">
        <v>4947</v>
      </c>
      <c r="AC284" s="421"/>
      <c r="AD284" s="421"/>
      <c r="AE284" s="432"/>
      <c r="AF284" s="421"/>
      <c r="AG284" s="421"/>
      <c r="AH284" s="399"/>
      <c r="AI284" s="400"/>
      <c r="AJ284" s="399"/>
      <c r="AK284" s="440"/>
      <c r="AL284" s="409"/>
      <c r="AM284" s="409"/>
      <c r="AN284" s="409"/>
      <c r="AO284" s="399"/>
      <c r="AP284" s="409"/>
      <c r="AQ284" s="409" t="s">
        <v>3130</v>
      </c>
      <c r="AR284" s="409" t="s">
        <v>4478</v>
      </c>
      <c r="AS284" s="409"/>
      <c r="AT284" s="399"/>
      <c r="AU284" s="399" t="s">
        <v>4951</v>
      </c>
      <c r="AV284" s="399" t="str">
        <f t="shared" si="47"/>
        <v>Changed</v>
      </c>
      <c r="AW284" s="399"/>
      <c r="AX284" s="409" t="s">
        <v>3343</v>
      </c>
      <c r="AY284" s="399" t="e">
        <f t="shared" ca="1" si="63"/>
        <v>#NAME?</v>
      </c>
      <c r="AZ284" s="399"/>
      <c r="BA284" s="409">
        <v>1</v>
      </c>
      <c r="BB284" s="399"/>
      <c r="BC284" s="399"/>
      <c r="BD284" s="399"/>
      <c r="BE284" s="411" t="s">
        <v>4952</v>
      </c>
      <c r="BF284" s="411"/>
      <c r="BG284" s="434" t="s">
        <v>4953</v>
      </c>
      <c r="BH284" s="411"/>
      <c r="BI284" s="411"/>
      <c r="BJ284" s="399"/>
      <c r="BK284" s="399"/>
      <c r="BL284" s="399"/>
      <c r="BM284" s="399"/>
      <c r="BN284" s="399"/>
      <c r="BO284" s="399"/>
      <c r="BP284" s="399"/>
      <c r="BQ284" s="399"/>
      <c r="BR284" s="399"/>
      <c r="BS284" s="407"/>
      <c r="BT284" s="407"/>
      <c r="BU284" s="412"/>
      <c r="BV284" s="46" t="str">
        <f t="shared" si="8"/>
        <v/>
      </c>
      <c r="BW284" s="46">
        <f t="shared" si="9"/>
        <v>0</v>
      </c>
      <c r="BX284" s="46">
        <f t="shared" si="10"/>
        <v>0</v>
      </c>
      <c r="BY284" s="43" t="str">
        <f t="shared" si="11"/>
        <v>WHO-FP Condition (Medical Eligibility)</v>
      </c>
      <c r="BZ284" s="46">
        <f t="shared" si="12"/>
        <v>1</v>
      </c>
      <c r="CA284" s="46" t="str">
        <f t="shared" si="13"/>
        <v/>
      </c>
      <c r="CB284" s="46">
        <f t="shared" si="14"/>
        <v>1</v>
      </c>
      <c r="CC284" s="46">
        <f t="shared" si="15"/>
        <v>1</v>
      </c>
      <c r="CD284" s="46">
        <f t="shared" si="16"/>
        <v>1</v>
      </c>
      <c r="CE284" s="46">
        <f t="shared" si="17"/>
        <v>0</v>
      </c>
      <c r="CF284" s="46">
        <f t="shared" si="18"/>
        <v>0</v>
      </c>
      <c r="CG284" s="46" t="str">
        <f ca="1">IFERROR(__xludf.DUMMYFUNCTION("if(OR(BH284="""",LEFT(BH284,2)=""LA""),"""",IMPORTXML(CONCATENATE(""https://loinc.org/"",BH284,""/""),""//span[@id='lcn']""))"),"")</f>
        <v/>
      </c>
      <c r="CH284" s="46"/>
      <c r="CI284" s="46"/>
      <c r="CJ284" s="46"/>
      <c r="CK284" s="46"/>
      <c r="CL284" s="46"/>
      <c r="CM284" s="46"/>
      <c r="CN284" s="46"/>
      <c r="CO284" s="46"/>
      <c r="CP284" s="46"/>
      <c r="CQ284" s="46"/>
      <c r="CR284" s="46"/>
      <c r="CS284" s="46"/>
      <c r="CT284" s="46"/>
      <c r="CU284" s="46"/>
    </row>
    <row r="285" spans="1:99" ht="12.75" customHeight="1">
      <c r="A285" s="399">
        <v>1522</v>
      </c>
      <c r="B285" s="399" t="s">
        <v>883</v>
      </c>
      <c r="C285" s="399">
        <f t="shared" si="42"/>
        <v>1522</v>
      </c>
      <c r="D285" s="399" t="e">
        <f t="shared" ca="1" si="62"/>
        <v>#NAME?</v>
      </c>
      <c r="E285" s="399">
        <f t="shared" si="44"/>
        <v>0</v>
      </c>
      <c r="F285" s="410" t="s">
        <v>180</v>
      </c>
      <c r="G285" s="400">
        <v>23</v>
      </c>
      <c r="H285" s="399" t="s">
        <v>4475</v>
      </c>
      <c r="I285" s="400"/>
      <c r="J285" s="400"/>
      <c r="K285" s="401" t="s">
        <v>3333</v>
      </c>
      <c r="L285" s="402" t="s">
        <v>4518</v>
      </c>
      <c r="M285" s="400"/>
      <c r="N285" s="427" t="s">
        <v>4417</v>
      </c>
      <c r="O285" s="428"/>
      <c r="P285" s="405" t="s">
        <v>4957</v>
      </c>
      <c r="Q285" s="405"/>
      <c r="R285" s="403"/>
      <c r="S285" s="403"/>
      <c r="T285" s="403" t="s">
        <v>883</v>
      </c>
      <c r="U285" s="407"/>
      <c r="V285" s="407"/>
      <c r="W285" s="407"/>
      <c r="X285" s="403" t="s">
        <v>208</v>
      </c>
      <c r="Y285" s="403"/>
      <c r="Z285" s="403" t="s">
        <v>113</v>
      </c>
      <c r="AA285" s="403" t="s">
        <v>3178</v>
      </c>
      <c r="AB285" s="432" t="s">
        <v>4947</v>
      </c>
      <c r="AC285" s="421"/>
      <c r="AD285" s="436"/>
      <c r="AE285" s="420"/>
      <c r="AF285" s="421"/>
      <c r="AG285" s="421"/>
      <c r="AH285" s="399"/>
      <c r="AI285" s="400"/>
      <c r="AJ285" s="399"/>
      <c r="AK285" s="440"/>
      <c r="AL285" s="409"/>
      <c r="AM285" s="409"/>
      <c r="AN285" s="409"/>
      <c r="AO285" s="399"/>
      <c r="AP285" s="409"/>
      <c r="AQ285" s="409" t="s">
        <v>3130</v>
      </c>
      <c r="AR285" s="409" t="s">
        <v>4478</v>
      </c>
      <c r="AS285" s="409"/>
      <c r="AT285" s="399"/>
      <c r="AU285" s="399" t="s">
        <v>1145</v>
      </c>
      <c r="AV285" s="399" t="str">
        <f t="shared" si="47"/>
        <v>Changed</v>
      </c>
      <c r="AW285" s="399"/>
      <c r="AX285" s="409" t="s">
        <v>3343</v>
      </c>
      <c r="AY285" s="399" t="e">
        <f t="shared" ca="1" si="63"/>
        <v>#NAME?</v>
      </c>
      <c r="AZ285" s="399"/>
      <c r="BA285" s="409">
        <v>1</v>
      </c>
      <c r="BB285" s="399"/>
      <c r="BC285" s="399"/>
      <c r="BD285" s="409" t="s">
        <v>3162</v>
      </c>
      <c r="BE285" s="411"/>
      <c r="BF285" s="411"/>
      <c r="BG285" s="434" t="s">
        <v>4958</v>
      </c>
      <c r="BH285" s="411"/>
      <c r="BI285" s="411"/>
      <c r="BJ285" s="399"/>
      <c r="BK285" s="399"/>
      <c r="BL285" s="399"/>
      <c r="BM285" s="399"/>
      <c r="BN285" s="399"/>
      <c r="BO285" s="399"/>
      <c r="BP285" s="399"/>
      <c r="BQ285" s="399"/>
      <c r="BR285" s="399"/>
      <c r="BS285" s="407"/>
      <c r="BT285" s="407"/>
      <c r="BU285" s="412"/>
      <c r="BV285" s="46" t="str">
        <f t="shared" si="8"/>
        <v/>
      </c>
      <c r="BW285" s="46">
        <f t="shared" si="9"/>
        <v>0</v>
      </c>
      <c r="BX285" s="46">
        <f t="shared" si="10"/>
        <v>0</v>
      </c>
      <c r="BY285" s="43" t="str">
        <f t="shared" si="11"/>
        <v>WHO-FP Condition (Medical Eligibility)</v>
      </c>
      <c r="BZ285" s="46">
        <f t="shared" si="12"/>
        <v>1</v>
      </c>
      <c r="CA285" s="46" t="str">
        <f t="shared" si="13"/>
        <v/>
      </c>
      <c r="CB285" s="46">
        <f t="shared" si="14"/>
        <v>1</v>
      </c>
      <c r="CC285" s="46">
        <f t="shared" si="15"/>
        <v>1</v>
      </c>
      <c r="CD285" s="46">
        <f t="shared" si="16"/>
        <v>1</v>
      </c>
      <c r="CE285" s="46">
        <f t="shared" si="17"/>
        <v>0</v>
      </c>
      <c r="CF285" s="46">
        <f t="shared" si="18"/>
        <v>0</v>
      </c>
      <c r="CG285" s="46" t="str">
        <f ca="1">IFERROR(__xludf.DUMMYFUNCTION("if(OR(BH285="""",LEFT(BH285,2)=""LA""),"""",IMPORTXML(CONCATENATE(""https://loinc.org/"",BH285,""/""),""//span[@id='lcn']""))"),"")</f>
        <v/>
      </c>
      <c r="CH285" s="46"/>
      <c r="CI285" s="46"/>
      <c r="CJ285" s="46"/>
      <c r="CK285" s="46"/>
      <c r="CL285" s="46"/>
      <c r="CM285" s="46"/>
      <c r="CN285" s="46"/>
      <c r="CO285" s="46"/>
      <c r="CP285" s="46"/>
      <c r="CQ285" s="46"/>
      <c r="CR285" s="46"/>
      <c r="CS285" s="46"/>
      <c r="CT285" s="46"/>
      <c r="CU285" s="46"/>
    </row>
    <row r="286" spans="1:99" ht="12.75" customHeight="1">
      <c r="A286" s="399">
        <v>1523</v>
      </c>
      <c r="B286" s="399" t="s">
        <v>4961</v>
      </c>
      <c r="C286" s="399">
        <f t="shared" si="42"/>
        <v>1523</v>
      </c>
      <c r="D286" s="399" t="e">
        <f t="shared" ca="1" si="62"/>
        <v>#NAME?</v>
      </c>
      <c r="E286" s="399">
        <f t="shared" si="44"/>
        <v>0</v>
      </c>
      <c r="F286" s="410" t="s">
        <v>180</v>
      </c>
      <c r="G286" s="400">
        <v>23</v>
      </c>
      <c r="H286" s="399" t="s">
        <v>4475</v>
      </c>
      <c r="I286" s="400"/>
      <c r="J286" s="400"/>
      <c r="K286" s="401" t="s">
        <v>3333</v>
      </c>
      <c r="L286" s="402" t="s">
        <v>4518</v>
      </c>
      <c r="M286" s="400"/>
      <c r="N286" s="427" t="s">
        <v>4417</v>
      </c>
      <c r="O286" s="428"/>
      <c r="P286" s="405" t="s">
        <v>4962</v>
      </c>
      <c r="Q286" s="405"/>
      <c r="R286" s="403"/>
      <c r="S286" s="403"/>
      <c r="T286" s="403" t="s">
        <v>4961</v>
      </c>
      <c r="U286" s="407"/>
      <c r="V286" s="407"/>
      <c r="W286" s="407"/>
      <c r="X286" s="403" t="s">
        <v>208</v>
      </c>
      <c r="Y286" s="403"/>
      <c r="Z286" s="403" t="s">
        <v>113</v>
      </c>
      <c r="AA286" s="403" t="s">
        <v>3178</v>
      </c>
      <c r="AB286" s="432" t="s">
        <v>4947</v>
      </c>
      <c r="AC286" s="421"/>
      <c r="AD286" s="436"/>
      <c r="AE286" s="420"/>
      <c r="AF286" s="421"/>
      <c r="AG286" s="421"/>
      <c r="AH286" s="399"/>
      <c r="AI286" s="400"/>
      <c r="AJ286" s="399"/>
      <c r="AK286" s="440"/>
      <c r="AL286" s="409"/>
      <c r="AM286" s="409"/>
      <c r="AN286" s="409"/>
      <c r="AO286" s="399"/>
      <c r="AP286" s="409"/>
      <c r="AQ286" s="409" t="s">
        <v>3130</v>
      </c>
      <c r="AR286" s="409" t="s">
        <v>4478</v>
      </c>
      <c r="AS286" s="409"/>
      <c r="AT286" s="399"/>
      <c r="AU286" s="399" t="s">
        <v>4961</v>
      </c>
      <c r="AV286" s="399" t="str">
        <f t="shared" si="47"/>
        <v>Same</v>
      </c>
      <c r="AW286" s="399"/>
      <c r="AX286" s="409" t="s">
        <v>3343</v>
      </c>
      <c r="AY286" s="399" t="e">
        <f t="shared" ca="1" si="63"/>
        <v>#NAME?</v>
      </c>
      <c r="AZ286" s="399"/>
      <c r="BA286" s="409">
        <v>1</v>
      </c>
      <c r="BB286" s="399"/>
      <c r="BC286" s="399"/>
      <c r="BD286" s="399"/>
      <c r="BE286" s="411" t="s">
        <v>263</v>
      </c>
      <c r="BF286" s="411"/>
      <c r="BG286" s="434" t="s">
        <v>4963</v>
      </c>
      <c r="BH286" s="411"/>
      <c r="BI286" s="411"/>
      <c r="BJ286" s="399"/>
      <c r="BK286" s="399"/>
      <c r="BL286" s="399"/>
      <c r="BM286" s="399"/>
      <c r="BN286" s="399"/>
      <c r="BO286" s="399"/>
      <c r="BP286" s="399"/>
      <c r="BQ286" s="399"/>
      <c r="BR286" s="399"/>
      <c r="BS286" s="407"/>
      <c r="BT286" s="407"/>
      <c r="BU286" s="412"/>
      <c r="BV286" s="46" t="str">
        <f t="shared" si="8"/>
        <v/>
      </c>
      <c r="BW286" s="46">
        <f t="shared" si="9"/>
        <v>0</v>
      </c>
      <c r="BX286" s="46">
        <f t="shared" si="10"/>
        <v>0</v>
      </c>
      <c r="BY286" s="43" t="str">
        <f t="shared" si="11"/>
        <v>WHO-FP Condition (Medical Eligibility)</v>
      </c>
      <c r="BZ286" s="46">
        <f t="shared" si="12"/>
        <v>1</v>
      </c>
      <c r="CA286" s="46" t="str">
        <f t="shared" si="13"/>
        <v/>
      </c>
      <c r="CB286" s="46">
        <f t="shared" si="14"/>
        <v>1</v>
      </c>
      <c r="CC286" s="46">
        <f t="shared" si="15"/>
        <v>1</v>
      </c>
      <c r="CD286" s="46">
        <f t="shared" si="16"/>
        <v>1</v>
      </c>
      <c r="CE286" s="46">
        <f t="shared" si="17"/>
        <v>0</v>
      </c>
      <c r="CF286" s="46">
        <f t="shared" si="18"/>
        <v>0</v>
      </c>
      <c r="CG286" s="46" t="str">
        <f ca="1">IFERROR(__xludf.DUMMYFUNCTION("if(OR(BH286="""",LEFT(BH286,2)=""LA""),"""",IMPORTXML(CONCATENATE(""https://loinc.org/"",BH286,""/""),""//span[@id='lcn']""))"),"")</f>
        <v/>
      </c>
      <c r="CH286" s="46"/>
      <c r="CI286" s="46"/>
      <c r="CJ286" s="46"/>
      <c r="CK286" s="46"/>
      <c r="CL286" s="46"/>
      <c r="CM286" s="46"/>
      <c r="CN286" s="46"/>
      <c r="CO286" s="46"/>
      <c r="CP286" s="46"/>
      <c r="CQ286" s="46"/>
      <c r="CR286" s="46"/>
      <c r="CS286" s="46"/>
      <c r="CT286" s="46"/>
      <c r="CU286" s="46"/>
    </row>
    <row r="287" spans="1:99" ht="12.75" customHeight="1">
      <c r="A287" s="399">
        <v>1528</v>
      </c>
      <c r="B287" s="399" t="s">
        <v>4966</v>
      </c>
      <c r="C287" s="399">
        <f t="shared" si="42"/>
        <v>1528</v>
      </c>
      <c r="D287" s="399" t="e">
        <f t="shared" ca="1" si="62"/>
        <v>#NAME?</v>
      </c>
      <c r="E287" s="399" t="str">
        <f t="shared" si="44"/>
        <v>Reproductive and tract infections or disorders</v>
      </c>
      <c r="F287" s="410" t="s">
        <v>180</v>
      </c>
      <c r="G287" s="400">
        <v>23</v>
      </c>
      <c r="H287" s="399" t="s">
        <v>4475</v>
      </c>
      <c r="I287" s="400"/>
      <c r="J287" s="400"/>
      <c r="K287" s="401" t="s">
        <v>3333</v>
      </c>
      <c r="L287" s="402" t="s">
        <v>3476</v>
      </c>
      <c r="M287" s="400"/>
      <c r="N287" s="427" t="s">
        <v>4417</v>
      </c>
      <c r="O287" s="428"/>
      <c r="P287" s="403" t="s">
        <v>4967</v>
      </c>
      <c r="Q287" s="405" t="s">
        <v>4966</v>
      </c>
      <c r="R287" s="407"/>
      <c r="S287" s="407"/>
      <c r="T287" s="403" t="s">
        <v>3169</v>
      </c>
      <c r="U287" s="407"/>
      <c r="V287" s="407" t="s">
        <v>3170</v>
      </c>
      <c r="W287" s="407"/>
      <c r="X287" s="403" t="s">
        <v>208</v>
      </c>
      <c r="Y287" s="407"/>
      <c r="Z287" s="403" t="s">
        <v>113</v>
      </c>
      <c r="AA287" s="403" t="s">
        <v>3178</v>
      </c>
      <c r="AB287" s="559" t="s">
        <v>4968</v>
      </c>
      <c r="AC287" s="421"/>
      <c r="AD287" s="421"/>
      <c r="AE287" s="432"/>
      <c r="AF287" s="421"/>
      <c r="AG287" s="407"/>
      <c r="AH287" s="399"/>
      <c r="AI287" s="400"/>
      <c r="AJ287" s="399"/>
      <c r="AK287" s="440"/>
      <c r="AL287" s="399"/>
      <c r="AM287" s="399"/>
      <c r="AN287" s="399"/>
      <c r="AO287" s="409"/>
      <c r="AP287" s="409"/>
      <c r="AQ287" s="409" t="s">
        <v>3130</v>
      </c>
      <c r="AR287" s="409" t="s">
        <v>4478</v>
      </c>
      <c r="AS287" s="409"/>
      <c r="AT287" s="399"/>
      <c r="AU287" s="399" t="s">
        <v>4966</v>
      </c>
      <c r="AV287" s="399" t="str">
        <f t="shared" si="47"/>
        <v>Same</v>
      </c>
      <c r="AW287" s="399"/>
      <c r="AX287" s="409" t="s">
        <v>3343</v>
      </c>
      <c r="AY287" s="399" t="e">
        <f t="shared" ca="1" si="63"/>
        <v>#NAME?</v>
      </c>
      <c r="AZ287" s="399"/>
      <c r="BA287" s="409">
        <v>1</v>
      </c>
      <c r="BB287" s="399"/>
      <c r="BC287" s="399"/>
      <c r="BD287" s="399"/>
      <c r="BE287" s="411"/>
      <c r="BF287" s="411"/>
      <c r="BG287" s="434" t="s">
        <v>4970</v>
      </c>
      <c r="BH287" s="411"/>
      <c r="BI287" s="411"/>
      <c r="BJ287" s="399"/>
      <c r="BK287" s="399"/>
      <c r="BL287" s="399"/>
      <c r="BM287" s="399"/>
      <c r="BN287" s="399"/>
      <c r="BO287" s="399"/>
      <c r="BP287" s="399"/>
      <c r="BQ287" s="399"/>
      <c r="BR287" s="399"/>
      <c r="BS287" s="407"/>
      <c r="BT287" s="407"/>
      <c r="BU287" s="412"/>
      <c r="BV287" s="46" t="str">
        <f t="shared" si="8"/>
        <v/>
      </c>
      <c r="BW287" s="46">
        <f t="shared" si="9"/>
        <v>0</v>
      </c>
      <c r="BX287" s="46">
        <f t="shared" si="10"/>
        <v>0</v>
      </c>
      <c r="BY287" s="43" t="str">
        <f t="shared" si="11"/>
        <v>WHO-FP Condition (Medical Eligibility)</v>
      </c>
      <c r="BZ287" s="46">
        <f t="shared" si="12"/>
        <v>1</v>
      </c>
      <c r="CA287" s="46" t="str">
        <f t="shared" si="13"/>
        <v/>
      </c>
      <c r="CB287" s="46">
        <f t="shared" si="14"/>
        <v>1</v>
      </c>
      <c r="CC287" s="46">
        <f t="shared" si="15"/>
        <v>1</v>
      </c>
      <c r="CD287" s="46">
        <f t="shared" si="16"/>
        <v>1</v>
      </c>
      <c r="CE287" s="46">
        <f t="shared" si="17"/>
        <v>0</v>
      </c>
      <c r="CF287" s="46">
        <f t="shared" si="18"/>
        <v>0</v>
      </c>
      <c r="CG287" s="46" t="str">
        <f ca="1">IFERROR(__xludf.DUMMYFUNCTION("if(OR(BH287="""",LEFT(BH287,2)=""LA""),"""",IMPORTXML(CONCATENATE(""https://loinc.org/"",BH287,""/""),""//span[@id='lcn']""))"),"")</f>
        <v/>
      </c>
      <c r="CH287" s="46"/>
      <c r="CI287" s="46"/>
      <c r="CJ287" s="46"/>
      <c r="CK287" s="46"/>
      <c r="CL287" s="46"/>
      <c r="CM287" s="46"/>
      <c r="CN287" s="46"/>
      <c r="CO287" s="46"/>
      <c r="CP287" s="46"/>
      <c r="CQ287" s="46"/>
      <c r="CR287" s="46"/>
      <c r="CS287" s="46"/>
      <c r="CT287" s="46"/>
      <c r="CU287" s="46"/>
    </row>
    <row r="288" spans="1:99" ht="12.75" customHeight="1">
      <c r="A288" s="399">
        <v>1529</v>
      </c>
      <c r="B288" s="399" t="s">
        <v>4976</v>
      </c>
      <c r="C288" s="399">
        <f t="shared" si="42"/>
        <v>1529</v>
      </c>
      <c r="D288" s="399" t="str">
        <f t="shared" si="62"/>
        <v>Gynaecologic problem identified</v>
      </c>
      <c r="E288" s="399" t="str">
        <f t="shared" si="44"/>
        <v>Gynaecologic problem identified</v>
      </c>
      <c r="F288" s="409" t="s">
        <v>3164</v>
      </c>
      <c r="G288" s="400">
        <f t="shared" ref="G288:G292" si="67">LEN(B288)</f>
        <v>31</v>
      </c>
      <c r="H288" s="400" t="str">
        <f>IF(F288="Input Option",IF(H287="",B287,H287),"")</f>
        <v/>
      </c>
      <c r="I288" s="400"/>
      <c r="J288" s="400"/>
      <c r="K288" s="401" t="s">
        <v>3333</v>
      </c>
      <c r="L288" s="402" t="s">
        <v>3476</v>
      </c>
      <c r="M288" s="400"/>
      <c r="N288" s="427" t="s">
        <v>4417</v>
      </c>
      <c r="O288" s="428"/>
      <c r="P288" s="405" t="s">
        <v>4977</v>
      </c>
      <c r="Q288" s="432" t="s">
        <v>4976</v>
      </c>
      <c r="R288" s="403"/>
      <c r="S288" s="403" t="s">
        <v>4978</v>
      </c>
      <c r="T288" s="403" t="s">
        <v>3169</v>
      </c>
      <c r="U288" s="407"/>
      <c r="V288" s="407" t="s">
        <v>3170</v>
      </c>
      <c r="W288" s="407"/>
      <c r="X288" s="403" t="s">
        <v>208</v>
      </c>
      <c r="Y288" s="407"/>
      <c r="Z288" s="403" t="s">
        <v>113</v>
      </c>
      <c r="AA288" s="403" t="s">
        <v>3178</v>
      </c>
      <c r="AB288" s="559" t="s">
        <v>4968</v>
      </c>
      <c r="AC288" s="421"/>
      <c r="AD288" s="421"/>
      <c r="AE288" s="432"/>
      <c r="AF288" s="407"/>
      <c r="AG288" s="432" t="s">
        <v>4979</v>
      </c>
      <c r="AH288" s="399"/>
      <c r="AI288" s="400"/>
      <c r="AJ288" s="399"/>
      <c r="AK288" s="399"/>
      <c r="AL288" s="399"/>
      <c r="AM288" s="399"/>
      <c r="AN288" s="399"/>
      <c r="AO288" s="409"/>
      <c r="AP288" s="399"/>
      <c r="AQ288" s="409" t="s">
        <v>115</v>
      </c>
      <c r="AR288" s="399"/>
      <c r="AS288" s="399"/>
      <c r="AT288" s="399"/>
      <c r="AU288" s="399" t="s">
        <v>4976</v>
      </c>
      <c r="AV288" s="399" t="str">
        <f t="shared" si="47"/>
        <v>Same</v>
      </c>
      <c r="AW288" s="399"/>
      <c r="AX288" s="409" t="s">
        <v>3343</v>
      </c>
      <c r="AY288" s="399" t="str">
        <f t="shared" si="63"/>
        <v/>
      </c>
      <c r="AZ288" s="399"/>
      <c r="BA288" s="409">
        <v>0</v>
      </c>
      <c r="BB288" s="399"/>
      <c r="BC288" s="399"/>
      <c r="BD288" s="399"/>
      <c r="BE288" s="411"/>
      <c r="BF288" s="411"/>
      <c r="BG288" s="411"/>
      <c r="BH288" s="411"/>
      <c r="BI288" s="411"/>
      <c r="BJ288" s="399"/>
      <c r="BK288" s="399"/>
      <c r="BL288" s="399"/>
      <c r="BM288" s="409" t="s">
        <v>4983</v>
      </c>
      <c r="BN288" s="399"/>
      <c r="BO288" s="399"/>
      <c r="BP288" s="399"/>
      <c r="BQ288" s="399"/>
      <c r="BR288" s="399"/>
      <c r="BS288" s="407"/>
      <c r="BT288" s="407"/>
      <c r="BU288" s="412"/>
      <c r="BV288" s="46" t="str">
        <f t="shared" si="8"/>
        <v/>
      </c>
      <c r="BW288" s="46" t="str">
        <f t="shared" si="9"/>
        <v/>
      </c>
      <c r="BX288" s="46" t="str">
        <f t="shared" si="10"/>
        <v/>
      </c>
      <c r="BY288" s="43" t="str">
        <f t="shared" si="11"/>
        <v/>
      </c>
      <c r="BZ288" s="46">
        <f t="shared" si="12"/>
        <v>1</v>
      </c>
      <c r="CA288" s="46" t="str">
        <f t="shared" si="13"/>
        <v/>
      </c>
      <c r="CB288" s="46">
        <f t="shared" si="14"/>
        <v>1</v>
      </c>
      <c r="CC288" s="46">
        <f t="shared" si="15"/>
        <v>1</v>
      </c>
      <c r="CD288" s="46">
        <f t="shared" si="16"/>
        <v>1</v>
      </c>
      <c r="CE288" s="46">
        <f t="shared" si="17"/>
        <v>0</v>
      </c>
      <c r="CF288" s="46">
        <f t="shared" si="18"/>
        <v>0</v>
      </c>
      <c r="CG288" s="46" t="str">
        <f ca="1">IFERROR(__xludf.DUMMYFUNCTION("if(OR(BH288="""",LEFT(BH288,2)=""LA""),"""",IMPORTXML(CONCATENATE(""https://loinc.org/"",BH288,""/""),""//span[@id='lcn']""))"),"")</f>
        <v/>
      </c>
      <c r="CH288" s="46"/>
      <c r="CI288" s="46"/>
      <c r="CJ288" s="46"/>
      <c r="CK288" s="46"/>
      <c r="CL288" s="46"/>
      <c r="CM288" s="46"/>
      <c r="CN288" s="46"/>
      <c r="CO288" s="46"/>
      <c r="CP288" s="46"/>
      <c r="CQ288" s="46"/>
      <c r="CR288" s="46"/>
      <c r="CS288" s="46"/>
      <c r="CT288" s="46"/>
      <c r="CU288" s="46"/>
    </row>
    <row r="289" spans="1:99" ht="12.75" customHeight="1">
      <c r="A289" s="409">
        <v>1530</v>
      </c>
      <c r="B289" s="409" t="s">
        <v>4988</v>
      </c>
      <c r="C289" s="399">
        <f t="shared" si="42"/>
        <v>1530</v>
      </c>
      <c r="D289" s="399" t="e">
        <f t="shared" ca="1" si="62"/>
        <v>#NAME?</v>
      </c>
      <c r="E289" s="399" t="str">
        <f t="shared" si="44"/>
        <v>Bleeding or blood clots after the procedure</v>
      </c>
      <c r="F289" s="409" t="s">
        <v>180</v>
      </c>
      <c r="G289" s="400">
        <f t="shared" si="67"/>
        <v>43</v>
      </c>
      <c r="H289" s="410" t="s">
        <v>4472</v>
      </c>
      <c r="I289" s="400"/>
      <c r="J289" s="400"/>
      <c r="K289" s="401" t="s">
        <v>3333</v>
      </c>
      <c r="L289" s="402" t="s">
        <v>3476</v>
      </c>
      <c r="M289" s="400"/>
      <c r="N289" s="427" t="s">
        <v>4417</v>
      </c>
      <c r="O289" s="428"/>
      <c r="P289" s="405" t="s">
        <v>4991</v>
      </c>
      <c r="Q289" s="405"/>
      <c r="R289" s="403"/>
      <c r="S289" s="403"/>
      <c r="T289" s="403"/>
      <c r="U289" s="407"/>
      <c r="V289" s="403" t="s">
        <v>4988</v>
      </c>
      <c r="W289" s="407"/>
      <c r="X289" s="403" t="s">
        <v>208</v>
      </c>
      <c r="Y289" s="403"/>
      <c r="Z289" s="403" t="s">
        <v>113</v>
      </c>
      <c r="AA289" s="403" t="s">
        <v>3178</v>
      </c>
      <c r="AB289" s="559" t="s">
        <v>4968</v>
      </c>
      <c r="AC289" s="421"/>
      <c r="AD289" s="436"/>
      <c r="AE289" s="420"/>
      <c r="AF289" s="421"/>
      <c r="AG289" s="407"/>
      <c r="AH289" s="399"/>
      <c r="AI289" s="400"/>
      <c r="AJ289" s="399"/>
      <c r="AK289" s="409"/>
      <c r="AL289" s="399"/>
      <c r="AM289" s="399"/>
      <c r="AN289" s="399"/>
      <c r="AO289" s="409"/>
      <c r="AP289" s="409"/>
      <c r="AQ289" s="409" t="s">
        <v>3130</v>
      </c>
      <c r="AR289" s="410" t="s">
        <v>4474</v>
      </c>
      <c r="AS289" s="410"/>
      <c r="AT289" s="399"/>
      <c r="AU289" s="399" t="s">
        <v>4988</v>
      </c>
      <c r="AV289" s="399" t="str">
        <f t="shared" si="47"/>
        <v>Same</v>
      </c>
      <c r="AW289" s="399"/>
      <c r="AX289" s="409" t="s">
        <v>3343</v>
      </c>
      <c r="AY289" s="399" t="e">
        <f t="shared" ca="1" si="63"/>
        <v>#NAME?</v>
      </c>
      <c r="AZ289" s="399"/>
      <c r="BA289" s="409">
        <v>1</v>
      </c>
      <c r="BB289" s="399"/>
      <c r="BC289" s="399"/>
      <c r="BD289" s="399"/>
      <c r="BE289" s="411"/>
      <c r="BF289" s="411"/>
      <c r="BG289" s="434" t="s">
        <v>4996</v>
      </c>
      <c r="BH289" s="411"/>
      <c r="BI289" s="411"/>
      <c r="BJ289" s="399"/>
      <c r="BK289" s="399"/>
      <c r="BL289" s="409" t="s">
        <v>3162</v>
      </c>
      <c r="BM289" s="409" t="s">
        <v>4997</v>
      </c>
      <c r="BN289" s="399"/>
      <c r="BO289" s="399"/>
      <c r="BP289" s="399"/>
      <c r="BQ289" s="399"/>
      <c r="BR289" s="399"/>
      <c r="BS289" s="407"/>
      <c r="BT289" s="407"/>
      <c r="BU289" s="412"/>
      <c r="BV289" s="46" t="str">
        <f t="shared" si="8"/>
        <v/>
      </c>
      <c r="BW289" s="46">
        <f t="shared" si="9"/>
        <v>0</v>
      </c>
      <c r="BX289" s="46">
        <f t="shared" si="10"/>
        <v>0</v>
      </c>
      <c r="BY289" s="43" t="str">
        <f t="shared" si="11"/>
        <v>WHO-FP Observation (Medical Eligibility)</v>
      </c>
      <c r="BZ289" s="46">
        <f t="shared" si="12"/>
        <v>1</v>
      </c>
      <c r="CA289" s="46" t="str">
        <f t="shared" si="13"/>
        <v/>
      </c>
      <c r="CB289" s="46">
        <f t="shared" si="14"/>
        <v>1</v>
      </c>
      <c r="CC289" s="46">
        <f t="shared" si="15"/>
        <v>1</v>
      </c>
      <c r="CD289" s="46">
        <f t="shared" si="16"/>
        <v>1</v>
      </c>
      <c r="CE289" s="46">
        <f t="shared" si="17"/>
        <v>0</v>
      </c>
      <c r="CF289" s="46">
        <f t="shared" si="18"/>
        <v>0</v>
      </c>
      <c r="CG289" s="46" t="str">
        <f ca="1">IFERROR(__xludf.DUMMYFUNCTION("if(OR(BH289="""",LEFT(BH289,2)=""LA""),"""",IMPORTXML(CONCATENATE(""https://loinc.org/"",BH289,""/""),""//span[@id='lcn']""))"),"")</f>
        <v/>
      </c>
      <c r="CH289" s="46"/>
      <c r="CI289" s="46"/>
      <c r="CJ289" s="46"/>
      <c r="CK289" s="46"/>
      <c r="CL289" s="46"/>
      <c r="CM289" s="46"/>
      <c r="CN289" s="46"/>
      <c r="CO289" s="46"/>
      <c r="CP289" s="46"/>
      <c r="CQ289" s="46"/>
      <c r="CR289" s="46"/>
      <c r="CS289" s="46"/>
      <c r="CT289" s="46"/>
      <c r="CU289" s="46"/>
    </row>
    <row r="290" spans="1:99" ht="12.75" customHeight="1">
      <c r="A290" s="399">
        <v>1531</v>
      </c>
      <c r="B290" s="399" t="s">
        <v>5000</v>
      </c>
      <c r="C290" s="399">
        <f t="shared" si="42"/>
        <v>1531</v>
      </c>
      <c r="D290" s="399" t="str">
        <f t="shared" si="62"/>
        <v xml:space="preserve">Vaginal bleeding patterns </v>
      </c>
      <c r="E290" s="399" t="str">
        <f t="shared" si="44"/>
        <v xml:space="preserve">Vaginal bleeding patterns </v>
      </c>
      <c r="F290" s="409" t="s">
        <v>3164</v>
      </c>
      <c r="G290" s="400">
        <f t="shared" si="67"/>
        <v>26</v>
      </c>
      <c r="H290" s="400" t="str">
        <f>IF(F290="Input Option",IF(H289="",B289,H289),"")</f>
        <v/>
      </c>
      <c r="I290" s="400"/>
      <c r="J290" s="400"/>
      <c r="K290" s="401" t="s">
        <v>3333</v>
      </c>
      <c r="L290" s="402" t="s">
        <v>3476</v>
      </c>
      <c r="M290" s="400"/>
      <c r="N290" s="427" t="s">
        <v>4417</v>
      </c>
      <c r="O290" s="428"/>
      <c r="P290" s="403" t="s">
        <v>5001</v>
      </c>
      <c r="Q290" s="405" t="s">
        <v>5000</v>
      </c>
      <c r="R290" s="403"/>
      <c r="S290" s="403"/>
      <c r="T290" s="403" t="s">
        <v>3339</v>
      </c>
      <c r="U290" s="432" t="s">
        <v>3326</v>
      </c>
      <c r="V290" s="403"/>
      <c r="W290" s="407"/>
      <c r="X290" s="403" t="s">
        <v>208</v>
      </c>
      <c r="Y290" s="403"/>
      <c r="Z290" s="403" t="s">
        <v>113</v>
      </c>
      <c r="AA290" s="403" t="s">
        <v>3178</v>
      </c>
      <c r="AB290" s="559" t="s">
        <v>4968</v>
      </c>
      <c r="AC290" s="421"/>
      <c r="AD290" s="436"/>
      <c r="AE290" s="420"/>
      <c r="AF290" s="421"/>
      <c r="AG290" s="407"/>
      <c r="AH290" s="399"/>
      <c r="AI290" s="400"/>
      <c r="AJ290" s="399"/>
      <c r="AK290" s="399"/>
      <c r="AL290" s="399"/>
      <c r="AM290" s="399"/>
      <c r="AN290" s="399"/>
      <c r="AO290" s="409"/>
      <c r="AP290" s="399"/>
      <c r="AQ290" s="409" t="s">
        <v>115</v>
      </c>
      <c r="AR290" s="399"/>
      <c r="AS290" s="399"/>
      <c r="AT290" s="399"/>
      <c r="AU290" s="399" t="s">
        <v>5000</v>
      </c>
      <c r="AV290" s="399" t="str">
        <f t="shared" si="47"/>
        <v>Same</v>
      </c>
      <c r="AW290" s="399"/>
      <c r="AX290" s="409" t="s">
        <v>3343</v>
      </c>
      <c r="AY290" s="399" t="str">
        <f t="shared" si="63"/>
        <v/>
      </c>
      <c r="AZ290" s="399"/>
      <c r="BA290" s="409">
        <v>0</v>
      </c>
      <c r="BB290" s="399"/>
      <c r="BC290" s="399"/>
      <c r="BD290" s="399"/>
      <c r="BE290" s="411"/>
      <c r="BF290" s="411"/>
      <c r="BG290" s="411"/>
      <c r="BH290" s="411"/>
      <c r="BI290" s="411"/>
      <c r="BJ290" s="409" t="s">
        <v>3106</v>
      </c>
      <c r="BK290" s="399"/>
      <c r="BL290" s="399"/>
      <c r="BM290" s="399"/>
      <c r="BN290" s="399"/>
      <c r="BO290" s="399"/>
      <c r="BP290" s="399"/>
      <c r="BQ290" s="399"/>
      <c r="BR290" s="399"/>
      <c r="BS290" s="407"/>
      <c r="BT290" s="407"/>
      <c r="BU290" s="412"/>
      <c r="BV290" s="46" t="str">
        <f t="shared" si="8"/>
        <v/>
      </c>
      <c r="BW290" s="46" t="str">
        <f t="shared" si="9"/>
        <v/>
      </c>
      <c r="BX290" s="46" t="str">
        <f t="shared" si="10"/>
        <v/>
      </c>
      <c r="BY290" s="43" t="str">
        <f t="shared" si="11"/>
        <v/>
      </c>
      <c r="BZ290" s="46">
        <f t="shared" si="12"/>
        <v>1</v>
      </c>
      <c r="CA290" s="46" t="str">
        <f t="shared" si="13"/>
        <v/>
      </c>
      <c r="CB290" s="46">
        <f t="shared" si="14"/>
        <v>1</v>
      </c>
      <c r="CC290" s="46">
        <f t="shared" si="15"/>
        <v>1</v>
      </c>
      <c r="CD290" s="46">
        <f t="shared" si="16"/>
        <v>1</v>
      </c>
      <c r="CE290" s="46">
        <f t="shared" si="17"/>
        <v>0</v>
      </c>
      <c r="CF290" s="46">
        <f t="shared" si="18"/>
        <v>0</v>
      </c>
      <c r="CG290" s="46" t="str">
        <f ca="1">IFERROR(__xludf.DUMMYFUNCTION("if(OR(BH290="""",LEFT(BH290,2)=""LA""),"""",IMPORTXML(CONCATENATE(""https://loinc.org/"",BH290,""/""),""//span[@id='lcn']""))"),"")</f>
        <v/>
      </c>
      <c r="CH290" s="46"/>
      <c r="CI290" s="46"/>
      <c r="CJ290" s="46"/>
      <c r="CK290" s="46"/>
      <c r="CL290" s="46"/>
      <c r="CM290" s="46"/>
      <c r="CN290" s="46"/>
      <c r="CO290" s="46"/>
      <c r="CP290" s="46"/>
      <c r="CQ290" s="46"/>
      <c r="CR290" s="46"/>
      <c r="CS290" s="46"/>
      <c r="CT290" s="46"/>
      <c r="CU290" s="46"/>
    </row>
    <row r="291" spans="1:99" ht="12.75" customHeight="1">
      <c r="A291" s="399">
        <v>1532</v>
      </c>
      <c r="B291" s="409" t="s">
        <v>5003</v>
      </c>
      <c r="C291" s="399">
        <f t="shared" si="42"/>
        <v>1532</v>
      </c>
      <c r="D291" s="399" t="e">
        <f t="shared" ca="1" si="62"/>
        <v>#NAME?</v>
      </c>
      <c r="E291" s="399" t="str">
        <f t="shared" si="44"/>
        <v>Irregular</v>
      </c>
      <c r="F291" s="409" t="s">
        <v>180</v>
      </c>
      <c r="G291" s="400">
        <f t="shared" si="67"/>
        <v>34</v>
      </c>
      <c r="H291" s="410" t="s">
        <v>4472</v>
      </c>
      <c r="I291" s="400"/>
      <c r="J291" s="400"/>
      <c r="K291" s="401" t="s">
        <v>3333</v>
      </c>
      <c r="L291" s="402" t="s">
        <v>3476</v>
      </c>
      <c r="M291" s="400"/>
      <c r="N291" s="427" t="s">
        <v>4417</v>
      </c>
      <c r="O291" s="428"/>
      <c r="P291" s="403" t="s">
        <v>4159</v>
      </c>
      <c r="Q291" s="405"/>
      <c r="R291" s="403"/>
      <c r="S291" s="403"/>
      <c r="T291" s="403"/>
      <c r="U291" s="407"/>
      <c r="V291" s="431" t="s">
        <v>5004</v>
      </c>
      <c r="W291" s="407"/>
      <c r="X291" s="403" t="s">
        <v>208</v>
      </c>
      <c r="Y291" s="403"/>
      <c r="Z291" s="403" t="s">
        <v>113</v>
      </c>
      <c r="AA291" s="403" t="s">
        <v>3178</v>
      </c>
      <c r="AB291" s="559" t="s">
        <v>4968</v>
      </c>
      <c r="AC291" s="421"/>
      <c r="AD291" s="436"/>
      <c r="AE291" s="420"/>
      <c r="AF291" s="421"/>
      <c r="AG291" s="407"/>
      <c r="AH291" s="399"/>
      <c r="AI291" s="400"/>
      <c r="AJ291" s="399"/>
      <c r="AK291" s="403"/>
      <c r="AL291" s="403"/>
      <c r="AM291" s="403"/>
      <c r="AN291" s="403"/>
      <c r="AO291" s="409"/>
      <c r="AP291" s="409"/>
      <c r="AQ291" s="409" t="s">
        <v>3130</v>
      </c>
      <c r="AR291" s="410" t="s">
        <v>4474</v>
      </c>
      <c r="AS291" s="410"/>
      <c r="AT291" s="399"/>
      <c r="AU291" s="399" t="s">
        <v>5005</v>
      </c>
      <c r="AV291" s="399" t="str">
        <f t="shared" si="47"/>
        <v>Changed</v>
      </c>
      <c r="AW291" s="399"/>
      <c r="AX291" s="409" t="s">
        <v>3343</v>
      </c>
      <c r="AY291" s="399" t="e">
        <f t="shared" ca="1" si="63"/>
        <v>#NAME?</v>
      </c>
      <c r="AZ291" s="399"/>
      <c r="BA291" s="409">
        <v>1</v>
      </c>
      <c r="BB291" s="399"/>
      <c r="BC291" s="399"/>
      <c r="BD291" s="399"/>
      <c r="BE291" s="434" t="s">
        <v>5006</v>
      </c>
      <c r="BF291" s="411"/>
      <c r="BG291" s="434" t="s">
        <v>5007</v>
      </c>
      <c r="BH291" s="411"/>
      <c r="BI291" s="411"/>
      <c r="BJ291" s="399"/>
      <c r="BK291" s="409" t="s">
        <v>5008</v>
      </c>
      <c r="BL291" s="399"/>
      <c r="BM291" s="399"/>
      <c r="BN291" s="399"/>
      <c r="BO291" s="399"/>
      <c r="BP291" s="399"/>
      <c r="BQ291" s="399"/>
      <c r="BR291" s="399"/>
      <c r="BS291" s="407"/>
      <c r="BT291" s="407"/>
      <c r="BU291" s="412"/>
      <c r="BV291" s="46" t="str">
        <f t="shared" si="8"/>
        <v/>
      </c>
      <c r="BW291" s="46">
        <f t="shared" si="9"/>
        <v>0</v>
      </c>
      <c r="BX291" s="46">
        <f t="shared" si="10"/>
        <v>0</v>
      </c>
      <c r="BY291" s="43" t="str">
        <f t="shared" si="11"/>
        <v>WHO-FP Observation (Medical Eligibility)</v>
      </c>
      <c r="BZ291" s="46">
        <f t="shared" si="12"/>
        <v>1</v>
      </c>
      <c r="CA291" s="46" t="str">
        <f t="shared" si="13"/>
        <v/>
      </c>
      <c r="CB291" s="46">
        <f t="shared" si="14"/>
        <v>1</v>
      </c>
      <c r="CC291" s="46">
        <f t="shared" si="15"/>
        <v>1</v>
      </c>
      <c r="CD291" s="46">
        <f t="shared" si="16"/>
        <v>1</v>
      </c>
      <c r="CE291" s="46">
        <f t="shared" si="17"/>
        <v>0</v>
      </c>
      <c r="CF291" s="46">
        <f t="shared" si="18"/>
        <v>0</v>
      </c>
      <c r="CG291" s="46" t="str">
        <f ca="1">IFERROR(__xludf.DUMMYFUNCTION("if(OR(BH291="""",LEFT(BH291,2)=""LA""),"""",IMPORTXML(CONCATENATE(""https://loinc.org/"",BH291,""/""),""//span[@id='lcn']""))"),"")</f>
        <v/>
      </c>
      <c r="CH291" s="46"/>
      <c r="CI291" s="46"/>
      <c r="CJ291" s="46"/>
      <c r="CK291" s="46"/>
      <c r="CL291" s="46"/>
      <c r="CM291" s="46"/>
      <c r="CN291" s="46"/>
      <c r="CO291" s="46"/>
      <c r="CP291" s="46"/>
      <c r="CQ291" s="46"/>
      <c r="CR291" s="46"/>
      <c r="CS291" s="46"/>
      <c r="CT291" s="46"/>
      <c r="CU291" s="46"/>
    </row>
    <row r="292" spans="1:99" ht="12.75" customHeight="1">
      <c r="A292" s="399">
        <v>1533</v>
      </c>
      <c r="B292" s="409" t="s">
        <v>5009</v>
      </c>
      <c r="C292" s="399">
        <f t="shared" si="42"/>
        <v>1533</v>
      </c>
      <c r="D292" s="399" t="e">
        <f t="shared" ca="1" si="62"/>
        <v>#NAME?</v>
      </c>
      <c r="E292" s="399" t="str">
        <f t="shared" si="44"/>
        <v>Heavy or prolonged bleeding (including regular and irregular)</v>
      </c>
      <c r="F292" s="409" t="s">
        <v>180</v>
      </c>
      <c r="G292" s="400">
        <f t="shared" si="67"/>
        <v>59</v>
      </c>
      <c r="H292" s="410" t="s">
        <v>4472</v>
      </c>
      <c r="I292" s="400"/>
      <c r="J292" s="400"/>
      <c r="K292" s="401" t="s">
        <v>3333</v>
      </c>
      <c r="L292" s="402" t="s">
        <v>3476</v>
      </c>
      <c r="M292" s="400"/>
      <c r="N292" s="427" t="s">
        <v>4417</v>
      </c>
      <c r="O292" s="428"/>
      <c r="P292" s="405" t="s">
        <v>4191</v>
      </c>
      <c r="Q292" s="405"/>
      <c r="R292" s="403"/>
      <c r="S292" s="403"/>
      <c r="T292" s="407"/>
      <c r="U292" s="407"/>
      <c r="V292" s="429" t="s">
        <v>5010</v>
      </c>
      <c r="W292" s="407"/>
      <c r="X292" s="403" t="s">
        <v>208</v>
      </c>
      <c r="Y292" s="403"/>
      <c r="Z292" s="403" t="s">
        <v>113</v>
      </c>
      <c r="AA292" s="403" t="s">
        <v>3178</v>
      </c>
      <c r="AB292" s="559" t="s">
        <v>4968</v>
      </c>
      <c r="AC292" s="421"/>
      <c r="AD292" s="421"/>
      <c r="AE292" s="432"/>
      <c r="AF292" s="421"/>
      <c r="AG292" s="407"/>
      <c r="AH292" s="399"/>
      <c r="AI292" s="400"/>
      <c r="AJ292" s="399"/>
      <c r="AK292" s="403"/>
      <c r="AL292" s="403"/>
      <c r="AM292" s="403"/>
      <c r="AN292" s="403"/>
      <c r="AO292" s="409"/>
      <c r="AP292" s="409"/>
      <c r="AQ292" s="409" t="s">
        <v>3130</v>
      </c>
      <c r="AR292" s="410" t="s">
        <v>4474</v>
      </c>
      <c r="AS292" s="410"/>
      <c r="AT292" s="399"/>
      <c r="AU292" s="399" t="s">
        <v>5012</v>
      </c>
      <c r="AV292" s="399" t="str">
        <f t="shared" si="47"/>
        <v>Changed</v>
      </c>
      <c r="AW292" s="399"/>
      <c r="AX292" s="409" t="s">
        <v>3343</v>
      </c>
      <c r="AY292" s="399" t="e">
        <f t="shared" ca="1" si="63"/>
        <v>#NAME?</v>
      </c>
      <c r="AZ292" s="399"/>
      <c r="BA292" s="409">
        <v>1</v>
      </c>
      <c r="BB292" s="399"/>
      <c r="BC292" s="399"/>
      <c r="BD292" s="399"/>
      <c r="BE292" s="411"/>
      <c r="BF292" s="411"/>
      <c r="BG292" s="434" t="s">
        <v>5013</v>
      </c>
      <c r="BH292" s="411"/>
      <c r="BI292" s="411"/>
      <c r="BJ292" s="399"/>
      <c r="BK292" s="409" t="s">
        <v>5014</v>
      </c>
      <c r="BL292" s="399"/>
      <c r="BM292" s="399"/>
      <c r="BN292" s="399"/>
      <c r="BO292" s="399"/>
      <c r="BP292" s="399"/>
      <c r="BQ292" s="399"/>
      <c r="BR292" s="399"/>
      <c r="BS292" s="407"/>
      <c r="BT292" s="407"/>
      <c r="BU292" s="412"/>
      <c r="BV292" s="46" t="str">
        <f t="shared" si="8"/>
        <v/>
      </c>
      <c r="BW292" s="46">
        <f t="shared" si="9"/>
        <v>0</v>
      </c>
      <c r="BX292" s="46">
        <f t="shared" si="10"/>
        <v>0</v>
      </c>
      <c r="BY292" s="43" t="str">
        <f t="shared" si="11"/>
        <v>WHO-FP Observation (Medical Eligibility)</v>
      </c>
      <c r="BZ292" s="46">
        <f t="shared" si="12"/>
        <v>1</v>
      </c>
      <c r="CA292" s="46" t="str">
        <f t="shared" si="13"/>
        <v/>
      </c>
      <c r="CB292" s="46">
        <f t="shared" si="14"/>
        <v>1</v>
      </c>
      <c r="CC292" s="46">
        <f t="shared" si="15"/>
        <v>1</v>
      </c>
      <c r="CD292" s="46">
        <f t="shared" si="16"/>
        <v>1</v>
      </c>
      <c r="CE292" s="46">
        <f t="shared" si="17"/>
        <v>0</v>
      </c>
      <c r="CF292" s="46">
        <f t="shared" si="18"/>
        <v>0</v>
      </c>
      <c r="CG292" s="46" t="str">
        <f ca="1">IFERROR(__xludf.DUMMYFUNCTION("if(OR(BH292="""",LEFT(BH292,2)=""LA""),"""",IMPORTXML(CONCATENATE(""https://loinc.org/"",BH292,""/""),""//span[@id='lcn']""))"),"")</f>
        <v/>
      </c>
      <c r="CH292" s="46"/>
      <c r="CI292" s="46"/>
      <c r="CJ292" s="46"/>
      <c r="CK292" s="46"/>
      <c r="CL292" s="46"/>
      <c r="CM292" s="46"/>
      <c r="CN292" s="46"/>
      <c r="CO292" s="46"/>
      <c r="CP292" s="46"/>
      <c r="CQ292" s="46"/>
      <c r="CR292" s="46"/>
      <c r="CS292" s="46"/>
      <c r="CT292" s="46"/>
      <c r="CU292" s="46"/>
    </row>
    <row r="293" spans="1:99" ht="12.75" customHeight="1">
      <c r="A293" s="399">
        <v>1534</v>
      </c>
      <c r="B293" s="399" t="s">
        <v>5015</v>
      </c>
      <c r="C293" s="399">
        <f t="shared" si="42"/>
        <v>1534</v>
      </c>
      <c r="D293" s="399" t="e">
        <f t="shared" ca="1" si="62"/>
        <v>#NAME?</v>
      </c>
      <c r="E293" s="399" t="str">
        <f t="shared" si="44"/>
        <v>Endometriosis</v>
      </c>
      <c r="F293" s="410" t="s">
        <v>180</v>
      </c>
      <c r="G293" s="400">
        <v>23</v>
      </c>
      <c r="H293" s="399" t="s">
        <v>4475</v>
      </c>
      <c r="I293" s="400"/>
      <c r="J293" s="400"/>
      <c r="K293" s="401" t="s">
        <v>3333</v>
      </c>
      <c r="L293" s="402" t="s">
        <v>3476</v>
      </c>
      <c r="M293" s="400"/>
      <c r="N293" s="427" t="s">
        <v>4417</v>
      </c>
      <c r="O293" s="428"/>
      <c r="P293" s="403" t="s">
        <v>5016</v>
      </c>
      <c r="Q293" s="405" t="s">
        <v>5015</v>
      </c>
      <c r="R293" s="403"/>
      <c r="S293" s="403"/>
      <c r="T293" s="403" t="s">
        <v>3169</v>
      </c>
      <c r="U293" s="407"/>
      <c r="V293" s="403" t="s">
        <v>3170</v>
      </c>
      <c r="W293" s="407"/>
      <c r="X293" s="403" t="s">
        <v>208</v>
      </c>
      <c r="Y293" s="403"/>
      <c r="Z293" s="403" t="s">
        <v>113</v>
      </c>
      <c r="AA293" s="403" t="s">
        <v>3178</v>
      </c>
      <c r="AB293" s="559" t="s">
        <v>5018</v>
      </c>
      <c r="AC293" s="421"/>
      <c r="AD293" s="421"/>
      <c r="AE293" s="432"/>
      <c r="AF293" s="421"/>
      <c r="AG293" s="421"/>
      <c r="AH293" s="399"/>
      <c r="AI293" s="400"/>
      <c r="AJ293" s="399"/>
      <c r="AK293" s="440"/>
      <c r="AL293" s="399"/>
      <c r="AM293" s="399"/>
      <c r="AN293" s="399"/>
      <c r="AO293" s="409"/>
      <c r="AP293" s="409"/>
      <c r="AQ293" s="409" t="s">
        <v>3130</v>
      </c>
      <c r="AR293" s="409" t="s">
        <v>4478</v>
      </c>
      <c r="AS293" s="409"/>
      <c r="AT293" s="399"/>
      <c r="AU293" s="399" t="s">
        <v>5015</v>
      </c>
      <c r="AV293" s="399" t="str">
        <f t="shared" si="47"/>
        <v>Same</v>
      </c>
      <c r="AW293" s="399"/>
      <c r="AX293" s="409" t="s">
        <v>3343</v>
      </c>
      <c r="AY293" s="399" t="e">
        <f t="shared" ca="1" si="63"/>
        <v>#NAME?</v>
      </c>
      <c r="AZ293" s="399"/>
      <c r="BA293" s="409">
        <v>1</v>
      </c>
      <c r="BB293" s="399"/>
      <c r="BC293" s="399"/>
      <c r="BD293" s="409" t="s">
        <v>3162</v>
      </c>
      <c r="BE293" s="411" t="s">
        <v>5019</v>
      </c>
      <c r="BF293" s="411" t="s">
        <v>5020</v>
      </c>
      <c r="BG293" s="411" t="s">
        <v>5021</v>
      </c>
      <c r="BH293" s="411"/>
      <c r="BI293" s="411"/>
      <c r="BJ293" s="399"/>
      <c r="BK293" s="399"/>
      <c r="BL293" s="399"/>
      <c r="BM293" s="399"/>
      <c r="BN293" s="399"/>
      <c r="BO293" s="399">
        <v>118631</v>
      </c>
      <c r="BP293" s="399"/>
      <c r="BQ293" s="399"/>
      <c r="BR293" s="399"/>
      <c r="BS293" s="407"/>
      <c r="BT293" s="407"/>
      <c r="BU293" s="412"/>
      <c r="BV293" s="46" t="str">
        <f t="shared" si="8"/>
        <v/>
      </c>
      <c r="BW293" s="46">
        <f t="shared" si="9"/>
        <v>0</v>
      </c>
      <c r="BX293" s="46">
        <f t="shared" si="10"/>
        <v>0</v>
      </c>
      <c r="BY293" s="43" t="str">
        <f t="shared" si="11"/>
        <v>WHO-FP Condition (Medical Eligibility)</v>
      </c>
      <c r="BZ293" s="46">
        <f t="shared" si="12"/>
        <v>1</v>
      </c>
      <c r="CA293" s="46" t="str">
        <f t="shared" si="13"/>
        <v/>
      </c>
      <c r="CB293" s="46">
        <f t="shared" si="14"/>
        <v>1</v>
      </c>
      <c r="CC293" s="46">
        <f t="shared" si="15"/>
        <v>1</v>
      </c>
      <c r="CD293" s="46">
        <f t="shared" si="16"/>
        <v>1</v>
      </c>
      <c r="CE293" s="46">
        <f t="shared" si="17"/>
        <v>0</v>
      </c>
      <c r="CF293" s="46">
        <f t="shared" si="18"/>
        <v>0</v>
      </c>
      <c r="CG293" s="46" t="str">
        <f ca="1">IFERROR(__xludf.DUMMYFUNCTION("if(OR(BH293="""",LEFT(BH293,2)=""LA""),"""",IMPORTXML(CONCATENATE(""https://loinc.org/"",BH293,""/""),""//span[@id='lcn']""))"),"")</f>
        <v/>
      </c>
      <c r="CH293" s="46"/>
      <c r="CI293" s="46"/>
      <c r="CJ293" s="46"/>
      <c r="CK293" s="46"/>
      <c r="CL293" s="46"/>
      <c r="CM293" s="46"/>
      <c r="CN293" s="46"/>
      <c r="CO293" s="46"/>
      <c r="CP293" s="46"/>
      <c r="CQ293" s="46"/>
      <c r="CR293" s="46"/>
      <c r="CS293" s="46"/>
      <c r="CT293" s="46"/>
      <c r="CU293" s="46"/>
    </row>
    <row r="294" spans="1:99" ht="12.75" customHeight="1">
      <c r="A294" s="399">
        <v>1535</v>
      </c>
      <c r="B294" s="399" t="s">
        <v>5023</v>
      </c>
      <c r="C294" s="399">
        <f t="shared" si="42"/>
        <v>1535</v>
      </c>
      <c r="D294" s="399" t="e">
        <f t="shared" ca="1" si="62"/>
        <v>#NAME?</v>
      </c>
      <c r="E294" s="399" t="str">
        <f t="shared" si="44"/>
        <v>Benign ovarian tumors (including cysts)</v>
      </c>
      <c r="F294" s="410" t="s">
        <v>180</v>
      </c>
      <c r="G294" s="400">
        <v>23</v>
      </c>
      <c r="H294" s="399" t="s">
        <v>4475</v>
      </c>
      <c r="I294" s="400"/>
      <c r="J294" s="400"/>
      <c r="K294" s="401" t="s">
        <v>3333</v>
      </c>
      <c r="L294" s="402" t="s">
        <v>3476</v>
      </c>
      <c r="M294" s="400"/>
      <c r="N294" s="427" t="s">
        <v>4417</v>
      </c>
      <c r="O294" s="428"/>
      <c r="P294" s="403" t="s">
        <v>5024</v>
      </c>
      <c r="Q294" s="405" t="s">
        <v>5023</v>
      </c>
      <c r="R294" s="403"/>
      <c r="S294" s="403"/>
      <c r="T294" s="403" t="s">
        <v>3169</v>
      </c>
      <c r="U294" s="407"/>
      <c r="V294" s="403" t="s">
        <v>3170</v>
      </c>
      <c r="W294" s="407"/>
      <c r="X294" s="403" t="s">
        <v>208</v>
      </c>
      <c r="Y294" s="403"/>
      <c r="Z294" s="403" t="s">
        <v>113</v>
      </c>
      <c r="AA294" s="403" t="s">
        <v>3178</v>
      </c>
      <c r="AB294" s="562" t="s">
        <v>5025</v>
      </c>
      <c r="AC294" s="407"/>
      <c r="AD294" s="407"/>
      <c r="AE294" s="408"/>
      <c r="AF294" s="407"/>
      <c r="AG294" s="407"/>
      <c r="AH294" s="399"/>
      <c r="AI294" s="400"/>
      <c r="AJ294" s="399"/>
      <c r="AK294" s="440"/>
      <c r="AL294" s="399"/>
      <c r="AM294" s="399"/>
      <c r="AN294" s="399"/>
      <c r="AO294" s="409"/>
      <c r="AP294" s="409"/>
      <c r="AQ294" s="409" t="s">
        <v>3130</v>
      </c>
      <c r="AR294" s="409" t="s">
        <v>4478</v>
      </c>
      <c r="AS294" s="409"/>
      <c r="AT294" s="399"/>
      <c r="AU294" s="399" t="s">
        <v>5023</v>
      </c>
      <c r="AV294" s="399" t="str">
        <f t="shared" si="47"/>
        <v>Same</v>
      </c>
      <c r="AW294" s="399"/>
      <c r="AX294" s="409" t="s">
        <v>3343</v>
      </c>
      <c r="AY294" s="399" t="e">
        <f t="shared" ca="1" si="63"/>
        <v>#NAME?</v>
      </c>
      <c r="AZ294" s="399"/>
      <c r="BA294" s="409">
        <v>1</v>
      </c>
      <c r="BB294" s="399"/>
      <c r="BC294" s="399"/>
      <c r="BD294" s="409" t="s">
        <v>3162</v>
      </c>
      <c r="BE294" s="411" t="s">
        <v>5026</v>
      </c>
      <c r="BF294" s="411"/>
      <c r="BG294" s="411"/>
      <c r="BH294" s="411"/>
      <c r="BI294" s="411"/>
      <c r="BJ294" s="399"/>
      <c r="BK294" s="399"/>
      <c r="BL294" s="399"/>
      <c r="BM294" s="399"/>
      <c r="BN294" s="399"/>
      <c r="BO294" s="399"/>
      <c r="BP294" s="399"/>
      <c r="BQ294" s="399"/>
      <c r="BR294" s="399"/>
      <c r="BS294" s="407"/>
      <c r="BT294" s="407"/>
      <c r="BU294" s="412"/>
      <c r="BV294" s="46" t="str">
        <f t="shared" si="8"/>
        <v/>
      </c>
      <c r="BW294" s="46">
        <f t="shared" si="9"/>
        <v>0</v>
      </c>
      <c r="BX294" s="46">
        <f t="shared" si="10"/>
        <v>0</v>
      </c>
      <c r="BY294" s="43" t="str">
        <f t="shared" si="11"/>
        <v>WHO-FP Condition (Medical Eligibility)</v>
      </c>
      <c r="BZ294" s="46">
        <f t="shared" si="12"/>
        <v>1</v>
      </c>
      <c r="CA294" s="46" t="str">
        <f t="shared" si="13"/>
        <v/>
      </c>
      <c r="CB294" s="46">
        <f t="shared" si="14"/>
        <v>1</v>
      </c>
      <c r="CC294" s="46">
        <f t="shared" si="15"/>
        <v>1</v>
      </c>
      <c r="CD294" s="46">
        <f t="shared" si="16"/>
        <v>1</v>
      </c>
      <c r="CE294" s="46">
        <f t="shared" si="17"/>
        <v>0</v>
      </c>
      <c r="CF294" s="46">
        <f t="shared" si="18"/>
        <v>0</v>
      </c>
      <c r="CG294" s="46" t="str">
        <f ca="1">IFERROR(__xludf.DUMMYFUNCTION("if(OR(BH294="""",LEFT(BH294,2)=""LA""),"""",IMPORTXML(CONCATENATE(""https://loinc.org/"",BH294,""/""),""//span[@id='lcn']""))"),"")</f>
        <v/>
      </c>
      <c r="CH294" s="46"/>
      <c r="CI294" s="46"/>
      <c r="CJ294" s="46"/>
      <c r="CK294" s="46"/>
      <c r="CL294" s="46"/>
      <c r="CM294" s="46"/>
      <c r="CN294" s="46"/>
      <c r="CO294" s="46"/>
      <c r="CP294" s="46"/>
      <c r="CQ294" s="46"/>
      <c r="CR294" s="46"/>
      <c r="CS294" s="46"/>
      <c r="CT294" s="46"/>
      <c r="CU294" s="46"/>
    </row>
    <row r="295" spans="1:99" ht="12.75" customHeight="1">
      <c r="A295" s="399">
        <v>1536</v>
      </c>
      <c r="B295" s="399" t="s">
        <v>5028</v>
      </c>
      <c r="C295" s="399">
        <f t="shared" si="42"/>
        <v>1536</v>
      </c>
      <c r="D295" s="399" t="e">
        <f t="shared" ca="1" si="62"/>
        <v>#NAME?</v>
      </c>
      <c r="E295" s="399" t="str">
        <f t="shared" si="44"/>
        <v>Severe dysmenorrhea</v>
      </c>
      <c r="F295" s="410" t="s">
        <v>180</v>
      </c>
      <c r="G295" s="400">
        <v>23</v>
      </c>
      <c r="H295" s="399" t="s">
        <v>4475</v>
      </c>
      <c r="I295" s="400"/>
      <c r="J295" s="400"/>
      <c r="K295" s="401" t="s">
        <v>3333</v>
      </c>
      <c r="L295" s="402" t="s">
        <v>3476</v>
      </c>
      <c r="M295" s="400"/>
      <c r="N295" s="427" t="s">
        <v>4417</v>
      </c>
      <c r="O295" s="428"/>
      <c r="P295" s="403" t="s">
        <v>5030</v>
      </c>
      <c r="Q295" s="405" t="s">
        <v>5028</v>
      </c>
      <c r="R295" s="403"/>
      <c r="S295" s="403"/>
      <c r="T295" s="403" t="s">
        <v>3169</v>
      </c>
      <c r="U295" s="407"/>
      <c r="V295" s="403" t="s">
        <v>3170</v>
      </c>
      <c r="W295" s="407"/>
      <c r="X295" s="403" t="s">
        <v>208</v>
      </c>
      <c r="Y295" s="403"/>
      <c r="Z295" s="403" t="s">
        <v>113</v>
      </c>
      <c r="AA295" s="403" t="s">
        <v>3178</v>
      </c>
      <c r="AB295" s="562" t="s">
        <v>5025</v>
      </c>
      <c r="AC295" s="407"/>
      <c r="AD295" s="407"/>
      <c r="AE295" s="408"/>
      <c r="AF295" s="407"/>
      <c r="AG295" s="407"/>
      <c r="AH295" s="399"/>
      <c r="AI295" s="400"/>
      <c r="AJ295" s="399"/>
      <c r="AK295" s="440"/>
      <c r="AL295" s="399"/>
      <c r="AM295" s="399"/>
      <c r="AN295" s="399"/>
      <c r="AO295" s="409"/>
      <c r="AP295" s="409"/>
      <c r="AQ295" s="409" t="s">
        <v>3130</v>
      </c>
      <c r="AR295" s="409" t="s">
        <v>4478</v>
      </c>
      <c r="AS295" s="409"/>
      <c r="AT295" s="399"/>
      <c r="AU295" s="399" t="s">
        <v>5028</v>
      </c>
      <c r="AV295" s="399" t="str">
        <f t="shared" si="47"/>
        <v>Same</v>
      </c>
      <c r="AW295" s="399"/>
      <c r="AX295" s="409" t="s">
        <v>3343</v>
      </c>
      <c r="AY295" s="399" t="e">
        <f t="shared" ca="1" si="63"/>
        <v>#NAME?</v>
      </c>
      <c r="AZ295" s="399"/>
      <c r="BA295" s="409">
        <v>1</v>
      </c>
      <c r="BB295" s="399"/>
      <c r="BC295" s="399"/>
      <c r="BD295" s="399"/>
      <c r="BE295" s="411" t="s">
        <v>5032</v>
      </c>
      <c r="BF295" s="411" t="s">
        <v>5033</v>
      </c>
      <c r="BG295" s="411" t="s">
        <v>5034</v>
      </c>
      <c r="BH295" s="411"/>
      <c r="BI295" s="411"/>
      <c r="BJ295" s="399"/>
      <c r="BK295" s="399"/>
      <c r="BL295" s="399"/>
      <c r="BM295" s="399"/>
      <c r="BN295" s="399"/>
      <c r="BO295" s="399">
        <v>118794</v>
      </c>
      <c r="BP295" s="399"/>
      <c r="BQ295" s="399"/>
      <c r="BR295" s="399"/>
      <c r="BS295" s="407"/>
      <c r="BT295" s="407"/>
      <c r="BU295" s="412"/>
      <c r="BV295" s="46" t="str">
        <f t="shared" si="8"/>
        <v/>
      </c>
      <c r="BW295" s="46">
        <f t="shared" si="9"/>
        <v>0</v>
      </c>
      <c r="BX295" s="46">
        <f t="shared" si="10"/>
        <v>0</v>
      </c>
      <c r="BY295" s="43" t="str">
        <f t="shared" si="11"/>
        <v>WHO-FP Condition (Medical Eligibility)</v>
      </c>
      <c r="BZ295" s="46">
        <f t="shared" si="12"/>
        <v>1</v>
      </c>
      <c r="CA295" s="46" t="str">
        <f t="shared" si="13"/>
        <v/>
      </c>
      <c r="CB295" s="46">
        <f t="shared" si="14"/>
        <v>1</v>
      </c>
      <c r="CC295" s="46">
        <f t="shared" si="15"/>
        <v>1</v>
      </c>
      <c r="CD295" s="46">
        <f t="shared" si="16"/>
        <v>1</v>
      </c>
      <c r="CE295" s="46">
        <f t="shared" si="17"/>
        <v>0</v>
      </c>
      <c r="CF295" s="46">
        <f t="shared" si="18"/>
        <v>0</v>
      </c>
      <c r="CG295" s="46" t="str">
        <f ca="1">IFERROR(__xludf.DUMMYFUNCTION("if(OR(BH295="""",LEFT(BH295,2)=""LA""),"""",IMPORTXML(CONCATENATE(""https://loinc.org/"",BH295,""/""),""//span[@id='lcn']""))"),"")</f>
        <v/>
      </c>
      <c r="CH295" s="46"/>
      <c r="CI295" s="46"/>
      <c r="CJ295" s="46"/>
      <c r="CK295" s="46"/>
      <c r="CL295" s="46"/>
      <c r="CM295" s="46"/>
      <c r="CN295" s="46"/>
      <c r="CO295" s="46"/>
      <c r="CP295" s="46"/>
      <c r="CQ295" s="46"/>
      <c r="CR295" s="46"/>
      <c r="CS295" s="46"/>
      <c r="CT295" s="46"/>
      <c r="CU295" s="46"/>
    </row>
    <row r="296" spans="1:99" ht="12.75" customHeight="1">
      <c r="A296" s="399">
        <v>1537</v>
      </c>
      <c r="B296" s="399" t="s">
        <v>5036</v>
      </c>
      <c r="C296" s="399">
        <f t="shared" si="42"/>
        <v>1537</v>
      </c>
      <c r="D296" s="399" t="e">
        <f t="shared" ca="1" si="62"/>
        <v>#NAME?</v>
      </c>
      <c r="E296" s="399" t="str">
        <f t="shared" si="44"/>
        <v>Gestational trophoblastic disease</v>
      </c>
      <c r="F296" s="410" t="s">
        <v>180</v>
      </c>
      <c r="G296" s="400">
        <v>23</v>
      </c>
      <c r="H296" s="399" t="s">
        <v>4475</v>
      </c>
      <c r="I296" s="400"/>
      <c r="J296" s="400"/>
      <c r="K296" s="401" t="s">
        <v>3333</v>
      </c>
      <c r="L296" s="402" t="s">
        <v>3476</v>
      </c>
      <c r="M296" s="400"/>
      <c r="N296" s="427" t="s">
        <v>4417</v>
      </c>
      <c r="O296" s="428"/>
      <c r="P296" s="403" t="s">
        <v>5037</v>
      </c>
      <c r="Q296" s="405" t="s">
        <v>5036</v>
      </c>
      <c r="R296" s="403"/>
      <c r="S296" s="403"/>
      <c r="T296" s="403" t="s">
        <v>3169</v>
      </c>
      <c r="U296" s="407"/>
      <c r="V296" s="403" t="s">
        <v>3170</v>
      </c>
      <c r="W296" s="407"/>
      <c r="X296" s="403" t="s">
        <v>208</v>
      </c>
      <c r="Y296" s="403"/>
      <c r="Z296" s="403" t="s">
        <v>113</v>
      </c>
      <c r="AA296" s="403" t="s">
        <v>3178</v>
      </c>
      <c r="AB296" s="562" t="s">
        <v>5038</v>
      </c>
      <c r="AC296" s="407"/>
      <c r="AD296" s="407"/>
      <c r="AE296" s="408"/>
      <c r="AF296" s="407"/>
      <c r="AG296" s="407"/>
      <c r="AH296" s="399"/>
      <c r="AI296" s="400"/>
      <c r="AJ296" s="399"/>
      <c r="AK296" s="440"/>
      <c r="AL296" s="399"/>
      <c r="AM296" s="399"/>
      <c r="AN296" s="399"/>
      <c r="AO296" s="409"/>
      <c r="AP296" s="409"/>
      <c r="AQ296" s="409" t="s">
        <v>3130</v>
      </c>
      <c r="AR296" s="409" t="s">
        <v>4478</v>
      </c>
      <c r="AS296" s="409"/>
      <c r="AT296" s="399"/>
      <c r="AU296" s="399" t="s">
        <v>5036</v>
      </c>
      <c r="AV296" s="399" t="str">
        <f t="shared" si="47"/>
        <v>Same</v>
      </c>
      <c r="AW296" s="399"/>
      <c r="AX296" s="409" t="s">
        <v>3343</v>
      </c>
      <c r="AY296" s="399" t="e">
        <f t="shared" ca="1" si="63"/>
        <v>#NAME?</v>
      </c>
      <c r="AZ296" s="399"/>
      <c r="BA296" s="409">
        <v>1</v>
      </c>
      <c r="BB296" s="399"/>
      <c r="BC296" s="399"/>
      <c r="BD296" s="399"/>
      <c r="BE296" s="411" t="s">
        <v>5039</v>
      </c>
      <c r="BF296" s="411" t="s">
        <v>5040</v>
      </c>
      <c r="BG296" s="411" t="s">
        <v>5041</v>
      </c>
      <c r="BH296" s="411"/>
      <c r="BI296" s="411"/>
      <c r="BJ296" s="399"/>
      <c r="BK296" s="399"/>
      <c r="BL296" s="399"/>
      <c r="BM296" s="399"/>
      <c r="BN296" s="399"/>
      <c r="BO296" s="399">
        <v>139478</v>
      </c>
      <c r="BP296" s="399"/>
      <c r="BQ296" s="399"/>
      <c r="BR296" s="399"/>
      <c r="BS296" s="407"/>
      <c r="BT296" s="407"/>
      <c r="BU296" s="412"/>
      <c r="BV296" s="46" t="str">
        <f t="shared" si="8"/>
        <v/>
      </c>
      <c r="BW296" s="46">
        <f t="shared" si="9"/>
        <v>0</v>
      </c>
      <c r="BX296" s="46">
        <f t="shared" si="10"/>
        <v>0</v>
      </c>
      <c r="BY296" s="43" t="str">
        <f t="shared" si="11"/>
        <v>WHO-FP Condition (Medical Eligibility)</v>
      </c>
      <c r="BZ296" s="46">
        <f t="shared" si="12"/>
        <v>1</v>
      </c>
      <c r="CA296" s="46" t="str">
        <f t="shared" si="13"/>
        <v/>
      </c>
      <c r="CB296" s="46">
        <f t="shared" si="14"/>
        <v>1</v>
      </c>
      <c r="CC296" s="46">
        <f t="shared" si="15"/>
        <v>1</v>
      </c>
      <c r="CD296" s="46">
        <f t="shared" si="16"/>
        <v>1</v>
      </c>
      <c r="CE296" s="46">
        <f t="shared" si="17"/>
        <v>0</v>
      </c>
      <c r="CF296" s="46">
        <f t="shared" si="18"/>
        <v>0</v>
      </c>
      <c r="CG296" s="46" t="str">
        <f ca="1">IFERROR(__xludf.DUMMYFUNCTION("if(OR(BH296="""",LEFT(BH296,2)=""LA""),"""",IMPORTXML(CONCATENATE(""https://loinc.org/"",BH296,""/""),""//span[@id='lcn']""))"),"")</f>
        <v/>
      </c>
      <c r="CH296" s="46"/>
      <c r="CI296" s="46"/>
      <c r="CJ296" s="46"/>
      <c r="CK296" s="46"/>
      <c r="CL296" s="46"/>
      <c r="CM296" s="46"/>
      <c r="CN296" s="46"/>
      <c r="CO296" s="46"/>
      <c r="CP296" s="46"/>
      <c r="CQ296" s="46"/>
      <c r="CR296" s="46"/>
      <c r="CS296" s="46"/>
      <c r="CT296" s="46"/>
      <c r="CU296" s="46"/>
    </row>
    <row r="297" spans="1:99" ht="12.75" customHeight="1">
      <c r="A297" s="399">
        <v>1538</v>
      </c>
      <c r="B297" s="399" t="s">
        <v>5042</v>
      </c>
      <c r="C297" s="399">
        <f t="shared" si="42"/>
        <v>1538</v>
      </c>
      <c r="D297" s="399" t="str">
        <f t="shared" si="62"/>
        <v>Gestational trophoblastic disease category</v>
      </c>
      <c r="E297" s="399" t="str">
        <f t="shared" si="44"/>
        <v>Gestational trophoblastic disease category</v>
      </c>
      <c r="F297" s="409" t="s">
        <v>3164</v>
      </c>
      <c r="G297" s="400">
        <f>LEN(B297)</f>
        <v>42</v>
      </c>
      <c r="H297" s="400" t="str">
        <f>IF(F297="Input Option",IF(H296="",B296,H296),"")</f>
        <v/>
      </c>
      <c r="I297" s="400"/>
      <c r="J297" s="400"/>
      <c r="K297" s="401" t="s">
        <v>3333</v>
      </c>
      <c r="L297" s="402" t="s">
        <v>3476</v>
      </c>
      <c r="M297" s="400"/>
      <c r="N297" s="427" t="s">
        <v>4417</v>
      </c>
      <c r="O297" s="428"/>
      <c r="P297" s="403" t="s">
        <v>5043</v>
      </c>
      <c r="Q297" s="405" t="s">
        <v>5042</v>
      </c>
      <c r="R297" s="403"/>
      <c r="S297" s="403"/>
      <c r="T297" s="403" t="s">
        <v>3339</v>
      </c>
      <c r="U297" s="407" t="s">
        <v>3243</v>
      </c>
      <c r="V297" s="403"/>
      <c r="W297" s="407"/>
      <c r="X297" s="403" t="s">
        <v>208</v>
      </c>
      <c r="Y297" s="403"/>
      <c r="Z297" s="403" t="s">
        <v>113</v>
      </c>
      <c r="AA297" s="403" t="s">
        <v>3178</v>
      </c>
      <c r="AB297" s="562" t="s">
        <v>5044</v>
      </c>
      <c r="AC297" s="407"/>
      <c r="AD297" s="407"/>
      <c r="AE297" s="408"/>
      <c r="AF297" s="407"/>
      <c r="AG297" s="407"/>
      <c r="AH297" s="399"/>
      <c r="AI297" s="400"/>
      <c r="AJ297" s="399"/>
      <c r="AK297" s="440"/>
      <c r="AL297" s="399"/>
      <c r="AM297" s="399"/>
      <c r="AN297" s="399"/>
      <c r="AO297" s="409"/>
      <c r="AP297" s="409"/>
      <c r="AQ297" s="409" t="s">
        <v>115</v>
      </c>
      <c r="AR297" s="399"/>
      <c r="AS297" s="399"/>
      <c r="AT297" s="399"/>
      <c r="AU297" s="399" t="s">
        <v>5042</v>
      </c>
      <c r="AV297" s="399" t="str">
        <f t="shared" si="47"/>
        <v>Same</v>
      </c>
      <c r="AW297" s="399"/>
      <c r="AX297" s="409" t="s">
        <v>3343</v>
      </c>
      <c r="AY297" s="399" t="str">
        <f t="shared" si="63"/>
        <v/>
      </c>
      <c r="AZ297" s="399"/>
      <c r="BA297" s="409">
        <v>1</v>
      </c>
      <c r="BB297" s="399"/>
      <c r="BC297" s="399"/>
      <c r="BD297" s="399"/>
      <c r="BE297" s="411" t="s">
        <v>5039</v>
      </c>
      <c r="BF297" s="411" t="s">
        <v>5040</v>
      </c>
      <c r="BG297" s="411" t="s">
        <v>5041</v>
      </c>
      <c r="BH297" s="411"/>
      <c r="BI297" s="411"/>
      <c r="BJ297" s="399"/>
      <c r="BK297" s="399"/>
      <c r="BL297" s="399"/>
      <c r="BM297" s="399"/>
      <c r="BN297" s="399"/>
      <c r="BO297" s="399">
        <v>139478</v>
      </c>
      <c r="BP297" s="399"/>
      <c r="BQ297" s="399"/>
      <c r="BR297" s="399"/>
      <c r="BS297" s="407"/>
      <c r="BT297" s="407"/>
      <c r="BU297" s="412"/>
      <c r="BV297" s="46" t="str">
        <f t="shared" si="8"/>
        <v/>
      </c>
      <c r="BW297" s="46" t="str">
        <f t="shared" si="9"/>
        <v/>
      </c>
      <c r="BX297" s="46" t="str">
        <f t="shared" si="10"/>
        <v/>
      </c>
      <c r="BY297" s="43" t="str">
        <f t="shared" si="11"/>
        <v/>
      </c>
      <c r="BZ297" s="46">
        <f t="shared" si="12"/>
        <v>1</v>
      </c>
      <c r="CA297" s="46" t="str">
        <f t="shared" si="13"/>
        <v/>
      </c>
      <c r="CB297" s="46">
        <f t="shared" si="14"/>
        <v>1</v>
      </c>
      <c r="CC297" s="46">
        <f t="shared" si="15"/>
        <v>1</v>
      </c>
      <c r="CD297" s="46">
        <f t="shared" si="16"/>
        <v>1</v>
      </c>
      <c r="CE297" s="46">
        <f t="shared" si="17"/>
        <v>0</v>
      </c>
      <c r="CF297" s="46">
        <f t="shared" si="18"/>
        <v>0</v>
      </c>
      <c r="CG297" s="46" t="str">
        <f ca="1">IFERROR(__xludf.DUMMYFUNCTION("if(OR(BH297="""",LEFT(BH297,2)=""LA""),"""",IMPORTXML(CONCATENATE(""https://loinc.org/"",BH297,""/""),""//span[@id='lcn']""))"),"")</f>
        <v/>
      </c>
      <c r="CH297" s="46"/>
      <c r="CI297" s="46"/>
      <c r="CJ297" s="46"/>
      <c r="CK297" s="46"/>
      <c r="CL297" s="46"/>
      <c r="CM297" s="46"/>
      <c r="CN297" s="46"/>
      <c r="CO297" s="46"/>
      <c r="CP297" s="46"/>
      <c r="CQ297" s="46"/>
      <c r="CR297" s="46"/>
      <c r="CS297" s="46"/>
      <c r="CT297" s="46"/>
      <c r="CU297" s="46"/>
    </row>
    <row r="298" spans="1:99" ht="12.75" customHeight="1">
      <c r="A298" s="399">
        <v>1539</v>
      </c>
      <c r="B298" s="409" t="s">
        <v>5046</v>
      </c>
      <c r="C298" s="399">
        <f t="shared" si="42"/>
        <v>1539</v>
      </c>
      <c r="D298" s="399" t="e">
        <f t="shared" ca="1" si="62"/>
        <v>#NAME?</v>
      </c>
      <c r="E298" s="399" t="str">
        <f t="shared" si="44"/>
        <v>Decreasing or undetectable ß-hCG level</v>
      </c>
      <c r="F298" s="410" t="s">
        <v>180</v>
      </c>
      <c r="G298" s="400">
        <v>23</v>
      </c>
      <c r="H298" s="399" t="s">
        <v>4475</v>
      </c>
      <c r="I298" s="400"/>
      <c r="J298" s="400"/>
      <c r="K298" s="401" t="s">
        <v>3333</v>
      </c>
      <c r="L298" s="402" t="s">
        <v>3476</v>
      </c>
      <c r="M298" s="400"/>
      <c r="N298" s="427" t="s">
        <v>4417</v>
      </c>
      <c r="O298" s="428"/>
      <c r="P298" s="403" t="s">
        <v>5047</v>
      </c>
      <c r="Q298" s="405"/>
      <c r="R298" s="403"/>
      <c r="S298" s="403"/>
      <c r="T298" s="407"/>
      <c r="U298" s="407"/>
      <c r="V298" s="429" t="s">
        <v>5048</v>
      </c>
      <c r="W298" s="407"/>
      <c r="X298" s="403" t="s">
        <v>208</v>
      </c>
      <c r="Y298" s="403"/>
      <c r="Z298" s="403" t="s">
        <v>113</v>
      </c>
      <c r="AA298" s="403" t="s">
        <v>3178</v>
      </c>
      <c r="AB298" s="432" t="s">
        <v>5049</v>
      </c>
      <c r="AC298" s="421"/>
      <c r="AD298" s="421"/>
      <c r="AE298" s="432"/>
      <c r="AF298" s="421"/>
      <c r="AG298" s="421"/>
      <c r="AH298" s="399"/>
      <c r="AI298" s="400"/>
      <c r="AJ298" s="399"/>
      <c r="AK298" s="399"/>
      <c r="AL298" s="399"/>
      <c r="AM298" s="399"/>
      <c r="AN298" s="399"/>
      <c r="AO298" s="399"/>
      <c r="AP298" s="399"/>
      <c r="AQ298" s="409" t="s">
        <v>3130</v>
      </c>
      <c r="AR298" s="409" t="s">
        <v>4478</v>
      </c>
      <c r="AS298" s="409"/>
      <c r="AT298" s="399"/>
      <c r="AU298" s="399" t="s">
        <v>5050</v>
      </c>
      <c r="AV298" s="399" t="str">
        <f t="shared" si="47"/>
        <v>Changed</v>
      </c>
      <c r="AW298" s="399"/>
      <c r="AX298" s="409" t="s">
        <v>3343</v>
      </c>
      <c r="AY298" s="399" t="e">
        <f t="shared" ca="1" si="63"/>
        <v>#NAME?</v>
      </c>
      <c r="AZ298" s="399"/>
      <c r="BA298" s="409">
        <v>1</v>
      </c>
      <c r="BB298" s="399"/>
      <c r="BC298" s="399"/>
      <c r="BD298" s="399"/>
      <c r="BE298" s="434" t="s">
        <v>5051</v>
      </c>
      <c r="BF298" s="411"/>
      <c r="BG298" s="434" t="s">
        <v>5052</v>
      </c>
      <c r="BH298" s="411"/>
      <c r="BI298" s="411"/>
      <c r="BJ298" s="399"/>
      <c r="BK298" s="409" t="s">
        <v>5053</v>
      </c>
      <c r="BL298" s="399"/>
      <c r="BM298" s="399"/>
      <c r="BN298" s="399"/>
      <c r="BO298" s="399"/>
      <c r="BP298" s="399"/>
      <c r="BQ298" s="399"/>
      <c r="BR298" s="399"/>
      <c r="BS298" s="407"/>
      <c r="BT298" s="407"/>
      <c r="BU298" s="412"/>
      <c r="BV298" s="46" t="str">
        <f t="shared" si="8"/>
        <v/>
      </c>
      <c r="BW298" s="46">
        <f t="shared" si="9"/>
        <v>0</v>
      </c>
      <c r="BX298" s="46">
        <f t="shared" si="10"/>
        <v>0</v>
      </c>
      <c r="BY298" s="43" t="str">
        <f t="shared" si="11"/>
        <v>WHO-FP Condition (Medical Eligibility)</v>
      </c>
      <c r="BZ298" s="46">
        <f t="shared" si="12"/>
        <v>1</v>
      </c>
      <c r="CA298" s="46" t="str">
        <f t="shared" si="13"/>
        <v/>
      </c>
      <c r="CB298" s="46">
        <f t="shared" si="14"/>
        <v>1</v>
      </c>
      <c r="CC298" s="46">
        <f t="shared" si="15"/>
        <v>1</v>
      </c>
      <c r="CD298" s="46">
        <f t="shared" si="16"/>
        <v>1</v>
      </c>
      <c r="CE298" s="46">
        <f t="shared" si="17"/>
        <v>0</v>
      </c>
      <c r="CF298" s="46">
        <f t="shared" si="18"/>
        <v>0</v>
      </c>
      <c r="CG298" s="46" t="str">
        <f ca="1">IFERROR(__xludf.DUMMYFUNCTION("if(OR(BH298="""",LEFT(BH298,2)=""LA""),"""",IMPORTXML(CONCATENATE(""https://loinc.org/"",BH298,""/""),""//span[@id='lcn']""))"),"")</f>
        <v/>
      </c>
      <c r="CH298" s="46"/>
      <c r="CI298" s="46"/>
      <c r="CJ298" s="46"/>
      <c r="CK298" s="46"/>
      <c r="CL298" s="46"/>
      <c r="CM298" s="46"/>
      <c r="CN298" s="46"/>
      <c r="CO298" s="46"/>
      <c r="CP298" s="46"/>
      <c r="CQ298" s="46"/>
      <c r="CR298" s="46"/>
      <c r="CS298" s="46"/>
      <c r="CT298" s="46"/>
      <c r="CU298" s="46"/>
    </row>
    <row r="299" spans="1:99" ht="12.75" customHeight="1">
      <c r="A299" s="399">
        <v>1540</v>
      </c>
      <c r="B299" s="409" t="s">
        <v>5054</v>
      </c>
      <c r="C299" s="399">
        <f t="shared" si="42"/>
        <v>1540</v>
      </c>
      <c r="D299" s="399" t="e">
        <f t="shared" ca="1" si="62"/>
        <v>#NAME?</v>
      </c>
      <c r="E299" s="399" t="str">
        <f t="shared" si="44"/>
        <v>Persistently elevated ß-hCG levels or malignant disease</v>
      </c>
      <c r="F299" s="410" t="s">
        <v>180</v>
      </c>
      <c r="G299" s="400">
        <v>23</v>
      </c>
      <c r="H299" s="399" t="s">
        <v>4475</v>
      </c>
      <c r="I299" s="400"/>
      <c r="J299" s="400"/>
      <c r="K299" s="401" t="s">
        <v>3333</v>
      </c>
      <c r="L299" s="402" t="s">
        <v>3476</v>
      </c>
      <c r="M299" s="400"/>
      <c r="N299" s="427" t="s">
        <v>4417</v>
      </c>
      <c r="O299" s="428"/>
      <c r="P299" s="403" t="s">
        <v>5055</v>
      </c>
      <c r="Q299" s="405"/>
      <c r="R299" s="403"/>
      <c r="S299" s="403"/>
      <c r="T299" s="407"/>
      <c r="U299" s="407"/>
      <c r="V299" s="429" t="s">
        <v>5056</v>
      </c>
      <c r="W299" s="407"/>
      <c r="X299" s="403" t="s">
        <v>208</v>
      </c>
      <c r="Y299" s="403"/>
      <c r="Z299" s="403" t="s">
        <v>113</v>
      </c>
      <c r="AA299" s="403" t="s">
        <v>3178</v>
      </c>
      <c r="AB299" s="432" t="s">
        <v>5049</v>
      </c>
      <c r="AC299" s="421"/>
      <c r="AD299" s="421"/>
      <c r="AE299" s="432"/>
      <c r="AF299" s="421"/>
      <c r="AG299" s="421"/>
      <c r="AH299" s="399"/>
      <c r="AI299" s="400"/>
      <c r="AJ299" s="399"/>
      <c r="AK299" s="399"/>
      <c r="AL299" s="399"/>
      <c r="AM299" s="399"/>
      <c r="AN299" s="399"/>
      <c r="AO299" s="399"/>
      <c r="AP299" s="399"/>
      <c r="AQ299" s="409" t="s">
        <v>3130</v>
      </c>
      <c r="AR299" s="409" t="s">
        <v>4478</v>
      </c>
      <c r="AS299" s="409"/>
      <c r="AT299" s="399"/>
      <c r="AU299" s="399" t="s">
        <v>5057</v>
      </c>
      <c r="AV299" s="399" t="str">
        <f t="shared" si="47"/>
        <v>Changed</v>
      </c>
      <c r="AW299" s="399"/>
      <c r="AX299" s="409" t="s">
        <v>3343</v>
      </c>
      <c r="AY299" s="399" t="e">
        <f t="shared" ca="1" si="63"/>
        <v>#NAME?</v>
      </c>
      <c r="AZ299" s="399"/>
      <c r="BA299" s="409">
        <v>1</v>
      </c>
      <c r="BB299" s="399"/>
      <c r="BC299" s="399"/>
      <c r="BD299" s="399"/>
      <c r="BE299" s="411"/>
      <c r="BF299" s="411"/>
      <c r="BG299" s="434" t="s">
        <v>5058</v>
      </c>
      <c r="BH299" s="411"/>
      <c r="BI299" s="411"/>
      <c r="BJ299" s="399"/>
      <c r="BK299" s="409" t="s">
        <v>5060</v>
      </c>
      <c r="BL299" s="399"/>
      <c r="BM299" s="399"/>
      <c r="BN299" s="399"/>
      <c r="BO299" s="399"/>
      <c r="BP299" s="399"/>
      <c r="BQ299" s="399"/>
      <c r="BR299" s="399"/>
      <c r="BS299" s="407"/>
      <c r="BT299" s="407"/>
      <c r="BU299" s="412"/>
      <c r="BV299" s="46" t="str">
        <f t="shared" si="8"/>
        <v/>
      </c>
      <c r="BW299" s="46">
        <f t="shared" si="9"/>
        <v>0</v>
      </c>
      <c r="BX299" s="46">
        <f t="shared" si="10"/>
        <v>0</v>
      </c>
      <c r="BY299" s="43" t="str">
        <f t="shared" si="11"/>
        <v>WHO-FP Condition (Medical Eligibility)</v>
      </c>
      <c r="BZ299" s="46">
        <f t="shared" si="12"/>
        <v>1</v>
      </c>
      <c r="CA299" s="46" t="str">
        <f t="shared" si="13"/>
        <v/>
      </c>
      <c r="CB299" s="46">
        <f t="shared" si="14"/>
        <v>1</v>
      </c>
      <c r="CC299" s="46">
        <f t="shared" si="15"/>
        <v>1</v>
      </c>
      <c r="CD299" s="46">
        <f t="shared" si="16"/>
        <v>1</v>
      </c>
      <c r="CE299" s="46">
        <f t="shared" si="17"/>
        <v>0</v>
      </c>
      <c r="CF299" s="46">
        <f t="shared" si="18"/>
        <v>0</v>
      </c>
      <c r="CG299" s="46" t="str">
        <f ca="1">IFERROR(__xludf.DUMMYFUNCTION("if(OR(BH299="""",LEFT(BH299,2)=""LA""),"""",IMPORTXML(CONCATENATE(""https://loinc.org/"",BH299,""/""),""//span[@id='lcn']""))"),"")</f>
        <v/>
      </c>
      <c r="CH299" s="46"/>
      <c r="CI299" s="46"/>
      <c r="CJ299" s="46"/>
      <c r="CK299" s="46"/>
      <c r="CL299" s="46"/>
      <c r="CM299" s="46"/>
      <c r="CN299" s="46"/>
      <c r="CO299" s="46"/>
      <c r="CP299" s="46"/>
      <c r="CQ299" s="46"/>
      <c r="CR299" s="46"/>
      <c r="CS299" s="46"/>
      <c r="CT299" s="46"/>
      <c r="CU299" s="46"/>
    </row>
    <row r="300" spans="1:99" ht="12.75" customHeight="1">
      <c r="A300" s="399">
        <v>1541</v>
      </c>
      <c r="B300" s="399" t="s">
        <v>5061</v>
      </c>
      <c r="C300" s="399">
        <f t="shared" si="42"/>
        <v>1541</v>
      </c>
      <c r="D300" s="399" t="e">
        <f t="shared" ca="1" si="62"/>
        <v>#NAME?</v>
      </c>
      <c r="E300" s="399" t="str">
        <f t="shared" si="44"/>
        <v>Cervical ectropion</v>
      </c>
      <c r="F300" s="410" t="s">
        <v>180</v>
      </c>
      <c r="G300" s="400">
        <v>23</v>
      </c>
      <c r="H300" s="399" t="s">
        <v>4475</v>
      </c>
      <c r="I300" s="400"/>
      <c r="J300" s="400"/>
      <c r="K300" s="401" t="s">
        <v>3333</v>
      </c>
      <c r="L300" s="402" t="s">
        <v>3476</v>
      </c>
      <c r="M300" s="400"/>
      <c r="N300" s="427" t="s">
        <v>4417</v>
      </c>
      <c r="O300" s="428"/>
      <c r="P300" s="403" t="s">
        <v>5062</v>
      </c>
      <c r="Q300" s="405" t="s">
        <v>5061</v>
      </c>
      <c r="R300" s="403"/>
      <c r="S300" s="403"/>
      <c r="T300" s="403" t="s">
        <v>3169</v>
      </c>
      <c r="U300" s="407"/>
      <c r="V300" s="403" t="s">
        <v>3170</v>
      </c>
      <c r="W300" s="407"/>
      <c r="X300" s="403" t="s">
        <v>208</v>
      </c>
      <c r="Y300" s="403"/>
      <c r="Z300" s="403" t="s">
        <v>113</v>
      </c>
      <c r="AA300" s="403" t="s">
        <v>3178</v>
      </c>
      <c r="AB300" s="432" t="s">
        <v>5049</v>
      </c>
      <c r="AC300" s="421"/>
      <c r="AD300" s="421"/>
      <c r="AE300" s="432"/>
      <c r="AF300" s="421"/>
      <c r="AG300" s="421"/>
      <c r="AH300" s="399"/>
      <c r="AI300" s="400"/>
      <c r="AJ300" s="399"/>
      <c r="AK300" s="440"/>
      <c r="AL300" s="399"/>
      <c r="AM300" s="399"/>
      <c r="AN300" s="399"/>
      <c r="AO300" s="409"/>
      <c r="AP300" s="409"/>
      <c r="AQ300" s="409" t="s">
        <v>3130</v>
      </c>
      <c r="AR300" s="409" t="s">
        <v>4478</v>
      </c>
      <c r="AS300" s="409"/>
      <c r="AT300" s="399"/>
      <c r="AU300" s="399" t="s">
        <v>5061</v>
      </c>
      <c r="AV300" s="399" t="str">
        <f t="shared" si="47"/>
        <v>Same</v>
      </c>
      <c r="AW300" s="399"/>
      <c r="AX300" s="409" t="s">
        <v>3343</v>
      </c>
      <c r="AY300" s="399" t="e">
        <f t="shared" ca="1" si="63"/>
        <v>#NAME?</v>
      </c>
      <c r="AZ300" s="399"/>
      <c r="BA300" s="409">
        <v>1</v>
      </c>
      <c r="BB300" s="399"/>
      <c r="BC300" s="399"/>
      <c r="BD300" s="409" t="s">
        <v>3162</v>
      </c>
      <c r="BE300" s="411" t="s">
        <v>5063</v>
      </c>
      <c r="BF300" s="411"/>
      <c r="BG300" s="411"/>
      <c r="BH300" s="411"/>
      <c r="BI300" s="411"/>
      <c r="BJ300" s="399"/>
      <c r="BK300" s="399"/>
      <c r="BL300" s="399"/>
      <c r="BM300" s="399"/>
      <c r="BN300" s="399"/>
      <c r="BO300" s="399"/>
      <c r="BP300" s="399"/>
      <c r="BQ300" s="399"/>
      <c r="BR300" s="399"/>
      <c r="BS300" s="407"/>
      <c r="BT300" s="407"/>
      <c r="BU300" s="412"/>
      <c r="BV300" s="46" t="str">
        <f t="shared" si="8"/>
        <v/>
      </c>
      <c r="BW300" s="46">
        <f t="shared" si="9"/>
        <v>0</v>
      </c>
      <c r="BX300" s="46">
        <f t="shared" si="10"/>
        <v>0</v>
      </c>
      <c r="BY300" s="43" t="str">
        <f t="shared" si="11"/>
        <v>WHO-FP Condition (Medical Eligibility)</v>
      </c>
      <c r="BZ300" s="46">
        <f t="shared" si="12"/>
        <v>1</v>
      </c>
      <c r="CA300" s="46" t="str">
        <f t="shared" si="13"/>
        <v/>
      </c>
      <c r="CB300" s="46">
        <f t="shared" si="14"/>
        <v>1</v>
      </c>
      <c r="CC300" s="46">
        <f t="shared" si="15"/>
        <v>1</v>
      </c>
      <c r="CD300" s="46">
        <f t="shared" si="16"/>
        <v>1</v>
      </c>
      <c r="CE300" s="46">
        <f t="shared" si="17"/>
        <v>0</v>
      </c>
      <c r="CF300" s="46">
        <f t="shared" si="18"/>
        <v>0</v>
      </c>
      <c r="CG300" s="46" t="str">
        <f ca="1">IFERROR(__xludf.DUMMYFUNCTION("if(OR(BH300="""",LEFT(BH300,2)=""LA""),"""",IMPORTXML(CONCATENATE(""https://loinc.org/"",BH300,""/""),""//span[@id='lcn']""))"),"")</f>
        <v/>
      </c>
      <c r="CH300" s="46"/>
      <c r="CI300" s="46"/>
      <c r="CJ300" s="46"/>
      <c r="CK300" s="46"/>
      <c r="CL300" s="46"/>
      <c r="CM300" s="46"/>
      <c r="CN300" s="46"/>
      <c r="CO300" s="46"/>
      <c r="CP300" s="46"/>
      <c r="CQ300" s="46"/>
      <c r="CR300" s="46"/>
      <c r="CS300" s="46"/>
      <c r="CT300" s="46"/>
      <c r="CU300" s="46"/>
    </row>
    <row r="301" spans="1:99" ht="12.75" customHeight="1">
      <c r="A301" s="399">
        <v>1542</v>
      </c>
      <c r="B301" s="399" t="s">
        <v>5064</v>
      </c>
      <c r="C301" s="399">
        <f t="shared" si="42"/>
        <v>1542</v>
      </c>
      <c r="D301" s="399" t="e">
        <f t="shared" ca="1" si="62"/>
        <v>#NAME?</v>
      </c>
      <c r="E301" s="399" t="str">
        <f t="shared" si="44"/>
        <v>Cervical neoplasia</v>
      </c>
      <c r="F301" s="410" t="s">
        <v>180</v>
      </c>
      <c r="G301" s="400">
        <v>23</v>
      </c>
      <c r="H301" s="399" t="s">
        <v>4475</v>
      </c>
      <c r="I301" s="400"/>
      <c r="J301" s="400"/>
      <c r="K301" s="401" t="s">
        <v>3333</v>
      </c>
      <c r="L301" s="402" t="s">
        <v>3476</v>
      </c>
      <c r="M301" s="400"/>
      <c r="N301" s="427" t="s">
        <v>4417</v>
      </c>
      <c r="O301" s="428"/>
      <c r="P301" s="403" t="s">
        <v>5066</v>
      </c>
      <c r="Q301" s="405" t="s">
        <v>5064</v>
      </c>
      <c r="R301" s="403" t="s">
        <v>5067</v>
      </c>
      <c r="S301" s="403"/>
      <c r="T301" s="403" t="s">
        <v>3169</v>
      </c>
      <c r="U301" s="407"/>
      <c r="V301" s="403" t="s">
        <v>3170</v>
      </c>
      <c r="W301" s="407"/>
      <c r="X301" s="403" t="s">
        <v>208</v>
      </c>
      <c r="Y301" s="403"/>
      <c r="Z301" s="403" t="s">
        <v>113</v>
      </c>
      <c r="AA301" s="403" t="s">
        <v>3178</v>
      </c>
      <c r="AB301" s="432" t="s">
        <v>5049</v>
      </c>
      <c r="AC301" s="421"/>
      <c r="AD301" s="421"/>
      <c r="AE301" s="432"/>
      <c r="AF301" s="421"/>
      <c r="AG301" s="421"/>
      <c r="AH301" s="399"/>
      <c r="AI301" s="400"/>
      <c r="AJ301" s="399"/>
      <c r="AK301" s="440"/>
      <c r="AL301" s="399"/>
      <c r="AM301" s="399"/>
      <c r="AN301" s="399"/>
      <c r="AO301" s="409"/>
      <c r="AP301" s="409"/>
      <c r="AQ301" s="409" t="s">
        <v>3130</v>
      </c>
      <c r="AR301" s="409" t="s">
        <v>4478</v>
      </c>
      <c r="AS301" s="409"/>
      <c r="AT301" s="399"/>
      <c r="AU301" s="399" t="s">
        <v>5064</v>
      </c>
      <c r="AV301" s="399" t="str">
        <f t="shared" si="47"/>
        <v>Same</v>
      </c>
      <c r="AW301" s="399"/>
      <c r="AX301" s="409" t="s">
        <v>3343</v>
      </c>
      <c r="AY301" s="399" t="e">
        <f t="shared" ca="1" si="63"/>
        <v>#NAME?</v>
      </c>
      <c r="AZ301" s="399"/>
      <c r="BA301" s="409">
        <v>1</v>
      </c>
      <c r="BB301" s="399"/>
      <c r="BC301" s="399"/>
      <c r="BD301" s="409" t="s">
        <v>3162</v>
      </c>
      <c r="BE301" s="411" t="s">
        <v>5068</v>
      </c>
      <c r="BF301" s="411" t="s">
        <v>5069</v>
      </c>
      <c r="BG301" s="411" t="s">
        <v>5070</v>
      </c>
      <c r="BH301" s="411"/>
      <c r="BI301" s="411"/>
      <c r="BJ301" s="399"/>
      <c r="BK301" s="399"/>
      <c r="BL301" s="399"/>
      <c r="BM301" s="399"/>
      <c r="BN301" s="399"/>
      <c r="BO301" s="399">
        <v>120780</v>
      </c>
      <c r="BP301" s="399"/>
      <c r="BQ301" s="399"/>
      <c r="BR301" s="399"/>
      <c r="BS301" s="407"/>
      <c r="BT301" s="407"/>
      <c r="BU301" s="412"/>
      <c r="BV301" s="46" t="str">
        <f t="shared" si="8"/>
        <v/>
      </c>
      <c r="BW301" s="46">
        <f t="shared" si="9"/>
        <v>0</v>
      </c>
      <c r="BX301" s="46">
        <f t="shared" si="10"/>
        <v>0</v>
      </c>
      <c r="BY301" s="43" t="str">
        <f t="shared" si="11"/>
        <v>WHO-FP Condition (Medical Eligibility)</v>
      </c>
      <c r="BZ301" s="46">
        <f t="shared" si="12"/>
        <v>1</v>
      </c>
      <c r="CA301" s="46" t="str">
        <f t="shared" si="13"/>
        <v/>
      </c>
      <c r="CB301" s="46">
        <f t="shared" si="14"/>
        <v>1</v>
      </c>
      <c r="CC301" s="46">
        <f t="shared" si="15"/>
        <v>1</v>
      </c>
      <c r="CD301" s="46">
        <f t="shared" si="16"/>
        <v>1</v>
      </c>
      <c r="CE301" s="46">
        <f t="shared" si="17"/>
        <v>0</v>
      </c>
      <c r="CF301" s="46">
        <f t="shared" si="18"/>
        <v>0</v>
      </c>
      <c r="CG301" s="46" t="str">
        <f ca="1">IFERROR(__xludf.DUMMYFUNCTION("if(OR(BH301="""",LEFT(BH301,2)=""LA""),"""",IMPORTXML(CONCATENATE(""https://loinc.org/"",BH301,""/""),""//span[@id='lcn']""))"),"")</f>
        <v/>
      </c>
      <c r="CH301" s="46"/>
      <c r="CI301" s="46"/>
      <c r="CJ301" s="46"/>
      <c r="CK301" s="46"/>
      <c r="CL301" s="46"/>
      <c r="CM301" s="46"/>
      <c r="CN301" s="46"/>
      <c r="CO301" s="46"/>
      <c r="CP301" s="46"/>
      <c r="CQ301" s="46"/>
      <c r="CR301" s="46"/>
      <c r="CS301" s="46"/>
      <c r="CT301" s="46"/>
      <c r="CU301" s="46"/>
    </row>
    <row r="302" spans="1:99" ht="12.75" customHeight="1">
      <c r="A302" s="399">
        <v>1543</v>
      </c>
      <c r="B302" s="399" t="s">
        <v>5071</v>
      </c>
      <c r="C302" s="399">
        <f t="shared" si="42"/>
        <v>1543</v>
      </c>
      <c r="D302" s="399" t="e">
        <f t="shared" ca="1" si="62"/>
        <v>#NAME?</v>
      </c>
      <c r="E302" s="399" t="str">
        <f t="shared" si="44"/>
        <v>Cervical cancer awaiting treatment</v>
      </c>
      <c r="F302" s="410" t="s">
        <v>180</v>
      </c>
      <c r="G302" s="400">
        <v>23</v>
      </c>
      <c r="H302" s="399" t="s">
        <v>4475</v>
      </c>
      <c r="I302" s="400"/>
      <c r="J302" s="400"/>
      <c r="K302" s="401" t="s">
        <v>3333</v>
      </c>
      <c r="L302" s="402" t="s">
        <v>3476</v>
      </c>
      <c r="M302" s="400"/>
      <c r="N302" s="427" t="s">
        <v>4417</v>
      </c>
      <c r="O302" s="428"/>
      <c r="P302" s="403" t="s">
        <v>5072</v>
      </c>
      <c r="Q302" s="403" t="s">
        <v>5071</v>
      </c>
      <c r="R302" s="405"/>
      <c r="S302" s="405"/>
      <c r="T302" s="403" t="s">
        <v>3169</v>
      </c>
      <c r="U302" s="407"/>
      <c r="V302" s="403" t="s">
        <v>3170</v>
      </c>
      <c r="W302" s="407"/>
      <c r="X302" s="403" t="s">
        <v>208</v>
      </c>
      <c r="Y302" s="403"/>
      <c r="Z302" s="403" t="s">
        <v>113</v>
      </c>
      <c r="AA302" s="403" t="s">
        <v>3178</v>
      </c>
      <c r="AB302" s="432" t="s">
        <v>5049</v>
      </c>
      <c r="AC302" s="421"/>
      <c r="AD302" s="421"/>
      <c r="AE302" s="432"/>
      <c r="AF302" s="407"/>
      <c r="AG302" s="432" t="s">
        <v>4489</v>
      </c>
      <c r="AH302" s="399"/>
      <c r="AI302" s="400"/>
      <c r="AJ302" s="399"/>
      <c r="AK302" s="440"/>
      <c r="AL302" s="399"/>
      <c r="AM302" s="399"/>
      <c r="AN302" s="399"/>
      <c r="AO302" s="409"/>
      <c r="AP302" s="409"/>
      <c r="AQ302" s="409" t="s">
        <v>3130</v>
      </c>
      <c r="AR302" s="409" t="s">
        <v>4478</v>
      </c>
      <c r="AS302" s="409"/>
      <c r="AT302" s="399"/>
      <c r="AU302" s="399" t="s">
        <v>5071</v>
      </c>
      <c r="AV302" s="399" t="str">
        <f t="shared" si="47"/>
        <v>Same</v>
      </c>
      <c r="AW302" s="399"/>
      <c r="AX302" s="409" t="s">
        <v>3343</v>
      </c>
      <c r="AY302" s="399" t="e">
        <f t="shared" ca="1" si="63"/>
        <v>#NAME?</v>
      </c>
      <c r="AZ302" s="399"/>
      <c r="BA302" s="409">
        <v>1</v>
      </c>
      <c r="BB302" s="399"/>
      <c r="BC302" s="399"/>
      <c r="BD302" s="399"/>
      <c r="BE302" s="411" t="s">
        <v>5073</v>
      </c>
      <c r="BF302" s="411" t="s">
        <v>5074</v>
      </c>
      <c r="BG302" s="411" t="s">
        <v>5075</v>
      </c>
      <c r="BH302" s="411"/>
      <c r="BI302" s="411"/>
      <c r="BJ302" s="399"/>
      <c r="BK302" s="399"/>
      <c r="BL302" s="399"/>
      <c r="BM302" s="399"/>
      <c r="BN302" s="399"/>
      <c r="BO302" s="399">
        <v>159008</v>
      </c>
      <c r="BP302" s="399"/>
      <c r="BQ302" s="399"/>
      <c r="BR302" s="399"/>
      <c r="BS302" s="407"/>
      <c r="BT302" s="407"/>
      <c r="BU302" s="412"/>
      <c r="BV302" s="46" t="str">
        <f t="shared" si="8"/>
        <v/>
      </c>
      <c r="BW302" s="46">
        <f t="shared" si="9"/>
        <v>0</v>
      </c>
      <c r="BX302" s="46">
        <f t="shared" si="10"/>
        <v>0</v>
      </c>
      <c r="BY302" s="43" t="str">
        <f t="shared" si="11"/>
        <v>WHO-FP Condition (Medical Eligibility)</v>
      </c>
      <c r="BZ302" s="46">
        <f t="shared" si="12"/>
        <v>1</v>
      </c>
      <c r="CA302" s="46" t="str">
        <f t="shared" si="13"/>
        <v/>
      </c>
      <c r="CB302" s="46">
        <f t="shared" si="14"/>
        <v>1</v>
      </c>
      <c r="CC302" s="46">
        <f t="shared" si="15"/>
        <v>1</v>
      </c>
      <c r="CD302" s="46">
        <f t="shared" si="16"/>
        <v>1</v>
      </c>
      <c r="CE302" s="46">
        <f t="shared" si="17"/>
        <v>0</v>
      </c>
      <c r="CF302" s="46">
        <f t="shared" si="18"/>
        <v>0</v>
      </c>
      <c r="CG302" s="46" t="str">
        <f ca="1">IFERROR(__xludf.DUMMYFUNCTION("if(OR(BH302="""",LEFT(BH302,2)=""LA""),"""",IMPORTXML(CONCATENATE(""https://loinc.org/"",BH302,""/""),""//span[@id='lcn']""))"),"")</f>
        <v/>
      </c>
      <c r="CH302" s="46"/>
      <c r="CI302" s="46"/>
      <c r="CJ302" s="46"/>
      <c r="CK302" s="46"/>
      <c r="CL302" s="46"/>
      <c r="CM302" s="46"/>
      <c r="CN302" s="46"/>
      <c r="CO302" s="46"/>
      <c r="CP302" s="46"/>
      <c r="CQ302" s="46"/>
      <c r="CR302" s="46"/>
      <c r="CS302" s="46"/>
      <c r="CT302" s="46"/>
      <c r="CU302" s="46"/>
    </row>
    <row r="303" spans="1:99" ht="12.75" customHeight="1">
      <c r="A303" s="399">
        <v>1544</v>
      </c>
      <c r="B303" s="399" t="s">
        <v>5077</v>
      </c>
      <c r="C303" s="399">
        <f t="shared" si="42"/>
        <v>1544</v>
      </c>
      <c r="D303" s="399" t="str">
        <f t="shared" si="62"/>
        <v>Breast disease</v>
      </c>
      <c r="E303" s="399" t="str">
        <f t="shared" si="44"/>
        <v>Breast disease</v>
      </c>
      <c r="F303" s="409" t="s">
        <v>3164</v>
      </c>
      <c r="G303" s="400">
        <f>LEN(B303)</f>
        <v>14</v>
      </c>
      <c r="H303" s="400" t="str">
        <f>IF(F303="Input Option",IF(H302="",B302,H302),"")</f>
        <v/>
      </c>
      <c r="I303" s="400"/>
      <c r="J303" s="400"/>
      <c r="K303" s="401" t="s">
        <v>3333</v>
      </c>
      <c r="L303" s="402" t="s">
        <v>3476</v>
      </c>
      <c r="M303" s="400"/>
      <c r="N303" s="427" t="s">
        <v>4417</v>
      </c>
      <c r="O303" s="428"/>
      <c r="P303" s="403" t="s">
        <v>5078</v>
      </c>
      <c r="Q303" s="405" t="s">
        <v>5077</v>
      </c>
      <c r="R303" s="403"/>
      <c r="S303" s="403"/>
      <c r="T303" s="403" t="s">
        <v>3339</v>
      </c>
      <c r="U303" s="432" t="s">
        <v>3326</v>
      </c>
      <c r="V303" s="403"/>
      <c r="W303" s="407"/>
      <c r="X303" s="403" t="s">
        <v>208</v>
      </c>
      <c r="Y303" s="407"/>
      <c r="Z303" s="403" t="s">
        <v>113</v>
      </c>
      <c r="AA303" s="403" t="s">
        <v>3178</v>
      </c>
      <c r="AB303" s="559" t="s">
        <v>4968</v>
      </c>
      <c r="AC303" s="421"/>
      <c r="AD303" s="421"/>
      <c r="AE303" s="432"/>
      <c r="AF303" s="421"/>
      <c r="AG303" s="407"/>
      <c r="AH303" s="399"/>
      <c r="AI303" s="400"/>
      <c r="AJ303" s="399"/>
      <c r="AK303" s="440"/>
      <c r="AL303" s="399"/>
      <c r="AM303" s="399"/>
      <c r="AN303" s="399"/>
      <c r="AO303" s="409"/>
      <c r="AP303" s="409"/>
      <c r="AQ303" s="409" t="s">
        <v>115</v>
      </c>
      <c r="AR303" s="399"/>
      <c r="AS303" s="399"/>
      <c r="AT303" s="399"/>
      <c r="AU303" s="399" t="s">
        <v>5077</v>
      </c>
      <c r="AV303" s="399" t="str">
        <f t="shared" si="47"/>
        <v>Same</v>
      </c>
      <c r="AW303" s="399"/>
      <c r="AX303" s="409" t="s">
        <v>3343</v>
      </c>
      <c r="AY303" s="399" t="str">
        <f t="shared" si="63"/>
        <v/>
      </c>
      <c r="AZ303" s="399"/>
      <c r="BA303" s="409">
        <v>1</v>
      </c>
      <c r="BB303" s="399"/>
      <c r="BC303" s="399"/>
      <c r="BD303" s="399"/>
      <c r="BE303" s="411"/>
      <c r="BF303" s="411"/>
      <c r="BG303" s="434" t="s">
        <v>5081</v>
      </c>
      <c r="BH303" s="411"/>
      <c r="BI303" s="411"/>
      <c r="BJ303" s="399"/>
      <c r="BK303" s="409" t="s">
        <v>5082</v>
      </c>
      <c r="BL303" s="399"/>
      <c r="BM303" s="399"/>
      <c r="BN303" s="399"/>
      <c r="BO303" s="399"/>
      <c r="BP303" s="399"/>
      <c r="BQ303" s="399"/>
      <c r="BR303" s="399"/>
      <c r="BS303" s="407"/>
      <c r="BT303" s="407"/>
      <c r="BU303" s="412"/>
      <c r="BV303" s="46" t="str">
        <f t="shared" si="8"/>
        <v/>
      </c>
      <c r="BW303" s="46" t="str">
        <f t="shared" si="9"/>
        <v/>
      </c>
      <c r="BX303" s="46" t="str">
        <f t="shared" si="10"/>
        <v/>
      </c>
      <c r="BY303" s="43" t="str">
        <f t="shared" si="11"/>
        <v/>
      </c>
      <c r="BZ303" s="46">
        <f t="shared" si="12"/>
        <v>1</v>
      </c>
      <c r="CA303" s="46" t="str">
        <f t="shared" si="13"/>
        <v/>
      </c>
      <c r="CB303" s="46">
        <f t="shared" si="14"/>
        <v>1</v>
      </c>
      <c r="CC303" s="46">
        <f t="shared" si="15"/>
        <v>1</v>
      </c>
      <c r="CD303" s="46">
        <f t="shared" si="16"/>
        <v>1</v>
      </c>
      <c r="CE303" s="46">
        <f t="shared" si="17"/>
        <v>0</v>
      </c>
      <c r="CF303" s="46">
        <f t="shared" si="18"/>
        <v>0</v>
      </c>
      <c r="CG303" s="46" t="str">
        <f ca="1">IFERROR(__xludf.DUMMYFUNCTION("if(OR(BH303="""",LEFT(BH303,2)=""LA""),"""",IMPORTXML(CONCATENATE(""https://loinc.org/"",BH303,""/""),""//span[@id='lcn']""))"),"")</f>
        <v/>
      </c>
      <c r="CH303" s="46"/>
      <c r="CI303" s="46"/>
      <c r="CJ303" s="46"/>
      <c r="CK303" s="46"/>
      <c r="CL303" s="46"/>
      <c r="CM303" s="46"/>
      <c r="CN303" s="46"/>
      <c r="CO303" s="46"/>
      <c r="CP303" s="46"/>
      <c r="CQ303" s="46"/>
      <c r="CR303" s="46"/>
      <c r="CS303" s="46"/>
      <c r="CT303" s="46"/>
      <c r="CU303" s="46"/>
    </row>
    <row r="304" spans="1:99" ht="12.75" customHeight="1">
      <c r="A304" s="399">
        <v>1545</v>
      </c>
      <c r="B304" s="409" t="s">
        <v>5084</v>
      </c>
      <c r="C304" s="399">
        <f t="shared" si="42"/>
        <v>1545</v>
      </c>
      <c r="D304" s="399" t="e">
        <f t="shared" ca="1" si="62"/>
        <v>#NAME?</v>
      </c>
      <c r="E304" s="399" t="str">
        <f t="shared" si="44"/>
        <v>Undiagnosed mass</v>
      </c>
      <c r="F304" s="410" t="s">
        <v>180</v>
      </c>
      <c r="G304" s="400">
        <v>23</v>
      </c>
      <c r="H304" s="399" t="s">
        <v>4475</v>
      </c>
      <c r="I304" s="400"/>
      <c r="J304" s="400"/>
      <c r="K304" s="401" t="s">
        <v>3333</v>
      </c>
      <c r="L304" s="402" t="s">
        <v>3476</v>
      </c>
      <c r="M304" s="400"/>
      <c r="N304" s="427" t="s">
        <v>4417</v>
      </c>
      <c r="O304" s="428"/>
      <c r="P304" s="403" t="s">
        <v>5085</v>
      </c>
      <c r="Q304" s="405"/>
      <c r="R304" s="403"/>
      <c r="S304" s="403"/>
      <c r="T304" s="407"/>
      <c r="U304" s="407"/>
      <c r="V304" s="429" t="s">
        <v>5086</v>
      </c>
      <c r="W304" s="407"/>
      <c r="X304" s="403" t="s">
        <v>208</v>
      </c>
      <c r="Y304" s="407"/>
      <c r="Z304" s="403" t="s">
        <v>113</v>
      </c>
      <c r="AA304" s="403" t="s">
        <v>3178</v>
      </c>
      <c r="AB304" s="559" t="s">
        <v>4968</v>
      </c>
      <c r="AC304" s="421"/>
      <c r="AD304" s="421"/>
      <c r="AE304" s="432"/>
      <c r="AF304" s="421"/>
      <c r="AG304" s="407"/>
      <c r="AH304" s="399"/>
      <c r="AI304" s="400"/>
      <c r="AJ304" s="399"/>
      <c r="AK304" s="399"/>
      <c r="AL304" s="399"/>
      <c r="AM304" s="399"/>
      <c r="AN304" s="399"/>
      <c r="AO304" s="399"/>
      <c r="AP304" s="399"/>
      <c r="AQ304" s="409" t="s">
        <v>3130</v>
      </c>
      <c r="AR304" s="409" t="s">
        <v>4478</v>
      </c>
      <c r="AS304" s="409"/>
      <c r="AT304" s="399"/>
      <c r="AU304" s="399" t="s">
        <v>5087</v>
      </c>
      <c r="AV304" s="399" t="str">
        <f t="shared" si="47"/>
        <v>Changed</v>
      </c>
      <c r="AW304" s="399"/>
      <c r="AX304" s="409" t="s">
        <v>3343</v>
      </c>
      <c r="AY304" s="399" t="e">
        <f t="shared" ca="1" si="63"/>
        <v>#NAME?</v>
      </c>
      <c r="AZ304" s="399"/>
      <c r="BA304" s="409">
        <v>1</v>
      </c>
      <c r="BB304" s="399"/>
      <c r="BC304" s="399"/>
      <c r="BD304" s="409" t="s">
        <v>3162</v>
      </c>
      <c r="BE304" s="411" t="s">
        <v>1563</v>
      </c>
      <c r="BF304" s="411"/>
      <c r="BG304" s="434" t="s">
        <v>5088</v>
      </c>
      <c r="BH304" s="411"/>
      <c r="BI304" s="411"/>
      <c r="BJ304" s="399"/>
      <c r="BK304" s="399"/>
      <c r="BL304" s="399"/>
      <c r="BM304" s="409" t="s">
        <v>5089</v>
      </c>
      <c r="BN304" s="399"/>
      <c r="BO304" s="399"/>
      <c r="BP304" s="399"/>
      <c r="BQ304" s="399"/>
      <c r="BR304" s="399"/>
      <c r="BS304" s="407"/>
      <c r="BT304" s="407"/>
      <c r="BU304" s="412"/>
      <c r="BV304" s="46" t="str">
        <f t="shared" si="8"/>
        <v/>
      </c>
      <c r="BW304" s="46">
        <f t="shared" si="9"/>
        <v>0</v>
      </c>
      <c r="BX304" s="46">
        <f t="shared" si="10"/>
        <v>0</v>
      </c>
      <c r="BY304" s="43" t="str">
        <f t="shared" si="11"/>
        <v>WHO-FP Condition (Medical Eligibility)</v>
      </c>
      <c r="BZ304" s="46">
        <f t="shared" si="12"/>
        <v>1</v>
      </c>
      <c r="CA304" s="46" t="str">
        <f t="shared" si="13"/>
        <v/>
      </c>
      <c r="CB304" s="46">
        <f t="shared" si="14"/>
        <v>1</v>
      </c>
      <c r="CC304" s="46">
        <f t="shared" si="15"/>
        <v>1</v>
      </c>
      <c r="CD304" s="46">
        <f t="shared" si="16"/>
        <v>1</v>
      </c>
      <c r="CE304" s="46">
        <f t="shared" si="17"/>
        <v>0</v>
      </c>
      <c r="CF304" s="46">
        <f t="shared" si="18"/>
        <v>0</v>
      </c>
      <c r="CG304" s="46" t="str">
        <f ca="1">IFERROR(__xludf.DUMMYFUNCTION("if(OR(BH304="""",LEFT(BH304,2)=""LA""),"""",IMPORTXML(CONCATENATE(""https://loinc.org/"",BH304,""/""),""//span[@id='lcn']""))"),"")</f>
        <v/>
      </c>
      <c r="CH304" s="46"/>
      <c r="CI304" s="46"/>
      <c r="CJ304" s="46"/>
      <c r="CK304" s="46"/>
      <c r="CL304" s="46"/>
      <c r="CM304" s="46"/>
      <c r="CN304" s="46"/>
      <c r="CO304" s="46"/>
      <c r="CP304" s="46"/>
      <c r="CQ304" s="46"/>
      <c r="CR304" s="46"/>
      <c r="CS304" s="46"/>
      <c r="CT304" s="46"/>
      <c r="CU304" s="46"/>
    </row>
    <row r="305" spans="1:99" ht="12.75" customHeight="1">
      <c r="A305" s="399">
        <v>1546</v>
      </c>
      <c r="B305" s="409" t="s">
        <v>5090</v>
      </c>
      <c r="C305" s="399">
        <f t="shared" si="42"/>
        <v>1546</v>
      </c>
      <c r="D305" s="399" t="e">
        <f t="shared" ca="1" si="62"/>
        <v>#NAME?</v>
      </c>
      <c r="E305" s="399" t="str">
        <f t="shared" si="44"/>
        <v>Benign breast disease</v>
      </c>
      <c r="F305" s="410" t="s">
        <v>180</v>
      </c>
      <c r="G305" s="400">
        <v>23</v>
      </c>
      <c r="H305" s="399" t="s">
        <v>4475</v>
      </c>
      <c r="I305" s="400"/>
      <c r="J305" s="400"/>
      <c r="K305" s="401" t="s">
        <v>3333</v>
      </c>
      <c r="L305" s="402" t="s">
        <v>3476</v>
      </c>
      <c r="M305" s="400"/>
      <c r="N305" s="427" t="s">
        <v>4417</v>
      </c>
      <c r="O305" s="428"/>
      <c r="P305" s="403" t="s">
        <v>5091</v>
      </c>
      <c r="Q305" s="405"/>
      <c r="R305" s="403"/>
      <c r="S305" s="403"/>
      <c r="T305" s="407"/>
      <c r="U305" s="407"/>
      <c r="V305" s="429" t="s">
        <v>5092</v>
      </c>
      <c r="W305" s="407"/>
      <c r="X305" s="403" t="s">
        <v>208</v>
      </c>
      <c r="Y305" s="407"/>
      <c r="Z305" s="403" t="s">
        <v>113</v>
      </c>
      <c r="AA305" s="403" t="s">
        <v>3178</v>
      </c>
      <c r="AB305" s="559" t="s">
        <v>4968</v>
      </c>
      <c r="AC305" s="421"/>
      <c r="AD305" s="421"/>
      <c r="AE305" s="432"/>
      <c r="AF305" s="421"/>
      <c r="AG305" s="407"/>
      <c r="AH305" s="399"/>
      <c r="AI305" s="400"/>
      <c r="AJ305" s="399"/>
      <c r="AK305" s="399"/>
      <c r="AL305" s="399"/>
      <c r="AM305" s="399"/>
      <c r="AN305" s="399"/>
      <c r="AO305" s="399"/>
      <c r="AP305" s="399"/>
      <c r="AQ305" s="409" t="s">
        <v>3130</v>
      </c>
      <c r="AR305" s="409" t="s">
        <v>4478</v>
      </c>
      <c r="AS305" s="409"/>
      <c r="AT305" s="399"/>
      <c r="AU305" s="399" t="s">
        <v>5093</v>
      </c>
      <c r="AV305" s="399" t="str">
        <f t="shared" si="47"/>
        <v>Changed</v>
      </c>
      <c r="AW305" s="399"/>
      <c r="AX305" s="409" t="s">
        <v>3343</v>
      </c>
      <c r="AY305" s="399" t="e">
        <f t="shared" ca="1" si="63"/>
        <v>#NAME?</v>
      </c>
      <c r="AZ305" s="399"/>
      <c r="BA305" s="409">
        <v>1</v>
      </c>
      <c r="BB305" s="399"/>
      <c r="BC305" s="399"/>
      <c r="BD305" s="409" t="s">
        <v>3162</v>
      </c>
      <c r="BE305" s="411"/>
      <c r="BF305" s="411"/>
      <c r="BG305" s="434" t="s">
        <v>5094</v>
      </c>
      <c r="BH305" s="411"/>
      <c r="BI305" s="411"/>
      <c r="BJ305" s="399"/>
      <c r="BK305" s="399"/>
      <c r="BL305" s="399"/>
      <c r="BM305" s="399"/>
      <c r="BN305" s="399"/>
      <c r="BO305" s="399"/>
      <c r="BP305" s="399"/>
      <c r="BQ305" s="399"/>
      <c r="BR305" s="399"/>
      <c r="BS305" s="407"/>
      <c r="BT305" s="407"/>
      <c r="BU305" s="412"/>
      <c r="BV305" s="46" t="str">
        <f t="shared" si="8"/>
        <v/>
      </c>
      <c r="BW305" s="46">
        <f t="shared" si="9"/>
        <v>0</v>
      </c>
      <c r="BX305" s="46">
        <f t="shared" si="10"/>
        <v>0</v>
      </c>
      <c r="BY305" s="43" t="str">
        <f t="shared" si="11"/>
        <v>WHO-FP Condition (Medical Eligibility)</v>
      </c>
      <c r="BZ305" s="46">
        <f t="shared" si="12"/>
        <v>1</v>
      </c>
      <c r="CA305" s="46" t="str">
        <f t="shared" si="13"/>
        <v/>
      </c>
      <c r="CB305" s="46">
        <f t="shared" si="14"/>
        <v>1</v>
      </c>
      <c r="CC305" s="46">
        <f t="shared" si="15"/>
        <v>1</v>
      </c>
      <c r="CD305" s="46">
        <f t="shared" si="16"/>
        <v>1</v>
      </c>
      <c r="CE305" s="46">
        <f t="shared" si="17"/>
        <v>0</v>
      </c>
      <c r="CF305" s="46">
        <f t="shared" si="18"/>
        <v>0</v>
      </c>
      <c r="CG305" s="46" t="str">
        <f ca="1">IFERROR(__xludf.DUMMYFUNCTION("if(OR(BH305="""",LEFT(BH305,2)=""LA""),"""",IMPORTXML(CONCATENATE(""https://loinc.org/"",BH305,""/""),""//span[@id='lcn']""))"),"")</f>
        <v/>
      </c>
      <c r="CH305" s="46"/>
      <c r="CI305" s="46"/>
      <c r="CJ305" s="46"/>
      <c r="CK305" s="46"/>
      <c r="CL305" s="46"/>
      <c r="CM305" s="46"/>
      <c r="CN305" s="46"/>
      <c r="CO305" s="46"/>
      <c r="CP305" s="46"/>
      <c r="CQ305" s="46"/>
      <c r="CR305" s="46"/>
      <c r="CS305" s="46"/>
      <c r="CT305" s="46"/>
      <c r="CU305" s="46"/>
    </row>
    <row r="306" spans="1:99" ht="12.75" customHeight="1">
      <c r="A306" s="399">
        <v>1548</v>
      </c>
      <c r="B306" s="409" t="s">
        <v>5095</v>
      </c>
      <c r="C306" s="399">
        <f t="shared" si="42"/>
        <v>1548</v>
      </c>
      <c r="D306" s="399" t="e">
        <f t="shared" ca="1" si="62"/>
        <v>#NAME?</v>
      </c>
      <c r="E306" s="399" t="str">
        <f t="shared" si="44"/>
        <v>Family history of cancer</v>
      </c>
      <c r="F306" s="410" t="s">
        <v>180</v>
      </c>
      <c r="G306" s="400">
        <v>23</v>
      </c>
      <c r="H306" s="399" t="s">
        <v>4475</v>
      </c>
      <c r="I306" s="400"/>
      <c r="J306" s="400"/>
      <c r="K306" s="401" t="s">
        <v>3333</v>
      </c>
      <c r="L306" s="402" t="s">
        <v>3476</v>
      </c>
      <c r="M306" s="400"/>
      <c r="N306" s="427" t="s">
        <v>4417</v>
      </c>
      <c r="O306" s="428"/>
      <c r="P306" s="403" t="s">
        <v>5096</v>
      </c>
      <c r="Q306" s="405"/>
      <c r="R306" s="403"/>
      <c r="S306" s="403"/>
      <c r="T306" s="407"/>
      <c r="U306" s="407"/>
      <c r="V306" s="429" t="s">
        <v>5095</v>
      </c>
      <c r="W306" s="407"/>
      <c r="X306" s="403" t="s">
        <v>208</v>
      </c>
      <c r="Y306" s="407"/>
      <c r="Z306" s="403" t="s">
        <v>113</v>
      </c>
      <c r="AA306" s="403" t="s">
        <v>3178</v>
      </c>
      <c r="AB306" s="559" t="s">
        <v>4968</v>
      </c>
      <c r="AC306" s="421"/>
      <c r="AD306" s="421"/>
      <c r="AE306" s="432"/>
      <c r="AF306" s="421"/>
      <c r="AG306" s="407"/>
      <c r="AH306" s="399"/>
      <c r="AI306" s="400"/>
      <c r="AJ306" s="399"/>
      <c r="AK306" s="399"/>
      <c r="AL306" s="399"/>
      <c r="AM306" s="399"/>
      <c r="AN306" s="399"/>
      <c r="AO306" s="399"/>
      <c r="AP306" s="399"/>
      <c r="AQ306" s="409" t="s">
        <v>3130</v>
      </c>
      <c r="AR306" s="409" t="s">
        <v>4478</v>
      </c>
      <c r="AS306" s="409"/>
      <c r="AT306" s="399"/>
      <c r="AU306" s="399" t="s">
        <v>5097</v>
      </c>
      <c r="AV306" s="399" t="str">
        <f t="shared" si="47"/>
        <v>Changed</v>
      </c>
      <c r="AW306" s="399"/>
      <c r="AX306" s="409" t="s">
        <v>3343</v>
      </c>
      <c r="AY306" s="399" t="e">
        <f t="shared" ca="1" si="63"/>
        <v>#NAME?</v>
      </c>
      <c r="AZ306" s="399"/>
      <c r="BA306" s="409">
        <v>1</v>
      </c>
      <c r="BB306" s="399"/>
      <c r="BC306" s="399"/>
      <c r="BD306" s="409" t="s">
        <v>3162</v>
      </c>
      <c r="BE306" s="411"/>
      <c r="BF306" s="411"/>
      <c r="BG306" s="434" t="s">
        <v>5098</v>
      </c>
      <c r="BH306" s="411"/>
      <c r="BI306" s="411"/>
      <c r="BJ306" s="399"/>
      <c r="BK306" s="399"/>
      <c r="BL306" s="399"/>
      <c r="BM306" s="409" t="s">
        <v>5099</v>
      </c>
      <c r="BN306" s="399"/>
      <c r="BO306" s="399"/>
      <c r="BP306" s="399"/>
      <c r="BQ306" s="399"/>
      <c r="BR306" s="399"/>
      <c r="BS306" s="407"/>
      <c r="BT306" s="407"/>
      <c r="BU306" s="412"/>
      <c r="BV306" s="46" t="str">
        <f t="shared" si="8"/>
        <v/>
      </c>
      <c r="BW306" s="46">
        <f t="shared" si="9"/>
        <v>0</v>
      </c>
      <c r="BX306" s="46">
        <f t="shared" si="10"/>
        <v>0</v>
      </c>
      <c r="BY306" s="43" t="str">
        <f t="shared" si="11"/>
        <v>WHO-FP Condition (Medical Eligibility)</v>
      </c>
      <c r="BZ306" s="46">
        <f t="shared" si="12"/>
        <v>1</v>
      </c>
      <c r="CA306" s="46" t="str">
        <f t="shared" si="13"/>
        <v/>
      </c>
      <c r="CB306" s="46">
        <f t="shared" si="14"/>
        <v>1</v>
      </c>
      <c r="CC306" s="46">
        <f t="shared" si="15"/>
        <v>1</v>
      </c>
      <c r="CD306" s="46">
        <f t="shared" si="16"/>
        <v>1</v>
      </c>
      <c r="CE306" s="46">
        <f t="shared" si="17"/>
        <v>0</v>
      </c>
      <c r="CF306" s="46">
        <f t="shared" si="18"/>
        <v>0</v>
      </c>
      <c r="CG306" s="46" t="str">
        <f ca="1">IFERROR(__xludf.DUMMYFUNCTION("if(OR(BH306="""",LEFT(BH306,2)=""LA""),"""",IMPORTXML(CONCATENATE(""https://loinc.org/"",BH306,""/""),""//span[@id='lcn']""))"),"")</f>
        <v/>
      </c>
      <c r="CH306" s="46"/>
      <c r="CI306" s="46"/>
      <c r="CJ306" s="46"/>
      <c r="CK306" s="46"/>
      <c r="CL306" s="46"/>
      <c r="CM306" s="46"/>
      <c r="CN306" s="46"/>
      <c r="CO306" s="46"/>
      <c r="CP306" s="46"/>
      <c r="CQ306" s="46"/>
      <c r="CR306" s="46"/>
      <c r="CS306" s="46"/>
      <c r="CT306" s="46"/>
      <c r="CU306" s="46"/>
    </row>
    <row r="307" spans="1:99" ht="12.75" customHeight="1">
      <c r="A307" s="399">
        <v>1549</v>
      </c>
      <c r="B307" s="399" t="s">
        <v>5100</v>
      </c>
      <c r="C307" s="399">
        <f t="shared" si="42"/>
        <v>1549</v>
      </c>
      <c r="D307" s="399" t="str">
        <f t="shared" si="62"/>
        <v>Breast cancer</v>
      </c>
      <c r="E307" s="399" t="str">
        <f t="shared" si="44"/>
        <v>Breast cancer</v>
      </c>
      <c r="F307" s="409" t="s">
        <v>3164</v>
      </c>
      <c r="G307" s="400">
        <f>LEN(B307)</f>
        <v>13</v>
      </c>
      <c r="H307" s="400" t="str">
        <f>IF(F307="Input Option",IF(H306="",B306,H306),"")</f>
        <v/>
      </c>
      <c r="I307" s="400"/>
      <c r="J307" s="400"/>
      <c r="K307" s="401" t="s">
        <v>3333</v>
      </c>
      <c r="L307" s="402" t="s">
        <v>3476</v>
      </c>
      <c r="M307" s="400"/>
      <c r="N307" s="427" t="s">
        <v>4417</v>
      </c>
      <c r="O307" s="428"/>
      <c r="P307" s="403" t="s">
        <v>5101</v>
      </c>
      <c r="Q307" s="405" t="s">
        <v>5100</v>
      </c>
      <c r="R307" s="403"/>
      <c r="S307" s="403"/>
      <c r="T307" s="403" t="s">
        <v>3339</v>
      </c>
      <c r="U307" s="432" t="s">
        <v>3326</v>
      </c>
      <c r="V307" s="403"/>
      <c r="W307" s="407"/>
      <c r="X307" s="403" t="s">
        <v>208</v>
      </c>
      <c r="Y307" s="407"/>
      <c r="Z307" s="403" t="s">
        <v>113</v>
      </c>
      <c r="AA307" s="403" t="s">
        <v>3178</v>
      </c>
      <c r="AB307" s="432" t="s">
        <v>5102</v>
      </c>
      <c r="AC307" s="421"/>
      <c r="AD307" s="421"/>
      <c r="AE307" s="432"/>
      <c r="AF307" s="421"/>
      <c r="AG307" s="421"/>
      <c r="AH307" s="399"/>
      <c r="AI307" s="400"/>
      <c r="AJ307" s="399"/>
      <c r="AK307" s="440"/>
      <c r="AL307" s="399"/>
      <c r="AM307" s="399"/>
      <c r="AN307" s="399"/>
      <c r="AO307" s="409"/>
      <c r="AP307" s="409"/>
      <c r="AQ307" s="409" t="s">
        <v>115</v>
      </c>
      <c r="AR307" s="399"/>
      <c r="AS307" s="399"/>
      <c r="AT307" s="399"/>
      <c r="AU307" s="399" t="s">
        <v>5100</v>
      </c>
      <c r="AV307" s="399" t="str">
        <f t="shared" si="47"/>
        <v>Same</v>
      </c>
      <c r="AW307" s="399"/>
      <c r="AX307" s="409" t="s">
        <v>3343</v>
      </c>
      <c r="AY307" s="399" t="str">
        <f t="shared" si="63"/>
        <v/>
      </c>
      <c r="AZ307" s="399"/>
      <c r="BA307" s="409">
        <v>1</v>
      </c>
      <c r="BB307" s="399"/>
      <c r="BC307" s="399"/>
      <c r="BD307" s="399"/>
      <c r="BE307" s="411" t="s">
        <v>5103</v>
      </c>
      <c r="BF307" s="411" t="s">
        <v>5104</v>
      </c>
      <c r="BG307" s="411" t="s">
        <v>5105</v>
      </c>
      <c r="BH307" s="411"/>
      <c r="BI307" s="411"/>
      <c r="BJ307" s="399"/>
      <c r="BK307" s="399"/>
      <c r="BL307" s="399"/>
      <c r="BM307" s="399"/>
      <c r="BN307" s="399"/>
      <c r="BO307" s="399">
        <v>116025</v>
      </c>
      <c r="BP307" s="399"/>
      <c r="BQ307" s="399"/>
      <c r="BR307" s="399"/>
      <c r="BS307" s="407"/>
      <c r="BT307" s="407"/>
      <c r="BU307" s="412"/>
      <c r="BV307" s="46" t="str">
        <f t="shared" si="8"/>
        <v/>
      </c>
      <c r="BW307" s="46" t="str">
        <f t="shared" si="9"/>
        <v/>
      </c>
      <c r="BX307" s="46" t="str">
        <f t="shared" si="10"/>
        <v/>
      </c>
      <c r="BY307" s="43" t="str">
        <f t="shared" si="11"/>
        <v/>
      </c>
      <c r="BZ307" s="46">
        <f t="shared" si="12"/>
        <v>1</v>
      </c>
      <c r="CA307" s="46" t="str">
        <f t="shared" si="13"/>
        <v/>
      </c>
      <c r="CB307" s="46">
        <f t="shared" si="14"/>
        <v>1</v>
      </c>
      <c r="CC307" s="46">
        <f t="shared" si="15"/>
        <v>1</v>
      </c>
      <c r="CD307" s="46">
        <f t="shared" si="16"/>
        <v>1</v>
      </c>
      <c r="CE307" s="46">
        <f t="shared" si="17"/>
        <v>0</v>
      </c>
      <c r="CF307" s="46">
        <f t="shared" si="18"/>
        <v>0</v>
      </c>
      <c r="CG307" s="46" t="str">
        <f ca="1">IFERROR(__xludf.DUMMYFUNCTION("if(OR(BH307="""",LEFT(BH307,2)=""LA""),"""",IMPORTXML(CONCATENATE(""https://loinc.org/"",BH307,""/""),""//span[@id='lcn']""))"),"")</f>
        <v/>
      </c>
      <c r="CH307" s="46"/>
      <c r="CI307" s="46"/>
      <c r="CJ307" s="46"/>
      <c r="CK307" s="46"/>
      <c r="CL307" s="46"/>
      <c r="CM307" s="46"/>
      <c r="CN307" s="46"/>
      <c r="CO307" s="46"/>
      <c r="CP307" s="46"/>
      <c r="CQ307" s="46"/>
      <c r="CR307" s="46"/>
      <c r="CS307" s="46"/>
      <c r="CT307" s="46"/>
      <c r="CU307" s="46"/>
    </row>
    <row r="308" spans="1:99" ht="12.75" customHeight="1">
      <c r="A308" s="399">
        <v>1550</v>
      </c>
      <c r="B308" s="409" t="s">
        <v>5107</v>
      </c>
      <c r="C308" s="399">
        <f t="shared" si="42"/>
        <v>1550</v>
      </c>
      <c r="D308" s="399" t="e">
        <f t="shared" ca="1" si="62"/>
        <v>#NAME?</v>
      </c>
      <c r="E308" s="399" t="str">
        <f t="shared" si="44"/>
        <v>Current</v>
      </c>
      <c r="F308" s="410" t="s">
        <v>180</v>
      </c>
      <c r="G308" s="400">
        <v>23</v>
      </c>
      <c r="H308" s="399" t="s">
        <v>4475</v>
      </c>
      <c r="I308" s="400"/>
      <c r="J308" s="400"/>
      <c r="K308" s="401" t="s">
        <v>3333</v>
      </c>
      <c r="L308" s="402" t="s">
        <v>3476</v>
      </c>
      <c r="M308" s="400"/>
      <c r="N308" s="427" t="s">
        <v>4417</v>
      </c>
      <c r="O308" s="428"/>
      <c r="P308" s="403" t="s">
        <v>5108</v>
      </c>
      <c r="Q308" s="405"/>
      <c r="R308" s="403"/>
      <c r="S308" s="403"/>
      <c r="T308" s="407"/>
      <c r="U308" s="407"/>
      <c r="V308" s="431" t="s">
        <v>5109</v>
      </c>
      <c r="W308" s="407"/>
      <c r="X308" s="403" t="s">
        <v>208</v>
      </c>
      <c r="Y308" s="407"/>
      <c r="Z308" s="403" t="s">
        <v>113</v>
      </c>
      <c r="AA308" s="403" t="s">
        <v>3178</v>
      </c>
      <c r="AB308" s="559" t="s">
        <v>4968</v>
      </c>
      <c r="AC308" s="421"/>
      <c r="AD308" s="421"/>
      <c r="AE308" s="432"/>
      <c r="AF308" s="421"/>
      <c r="AG308" s="407"/>
      <c r="AH308" s="399"/>
      <c r="AI308" s="400"/>
      <c r="AJ308" s="399"/>
      <c r="AK308" s="399"/>
      <c r="AL308" s="399"/>
      <c r="AM308" s="399"/>
      <c r="AN308" s="399"/>
      <c r="AO308" s="399"/>
      <c r="AP308" s="399"/>
      <c r="AQ308" s="409" t="s">
        <v>3130</v>
      </c>
      <c r="AR308" s="409" t="s">
        <v>4478</v>
      </c>
      <c r="AS308" s="409"/>
      <c r="AT308" s="399"/>
      <c r="AU308" s="399" t="s">
        <v>5110</v>
      </c>
      <c r="AV308" s="399" t="str">
        <f t="shared" si="47"/>
        <v>Changed</v>
      </c>
      <c r="AW308" s="399"/>
      <c r="AX308" s="409" t="s">
        <v>3343</v>
      </c>
      <c r="AY308" s="399" t="e">
        <f t="shared" ca="1" si="63"/>
        <v>#NAME?</v>
      </c>
      <c r="AZ308" s="399"/>
      <c r="BA308" s="409">
        <v>1</v>
      </c>
      <c r="BB308" s="399"/>
      <c r="BC308" s="399"/>
      <c r="BD308" s="409" t="s">
        <v>3162</v>
      </c>
      <c r="BE308" s="411" t="s">
        <v>5111</v>
      </c>
      <c r="BF308" s="411"/>
      <c r="BG308" s="411"/>
      <c r="BH308" s="411"/>
      <c r="BI308" s="411"/>
      <c r="BJ308" s="399"/>
      <c r="BK308" s="399"/>
      <c r="BL308" s="399"/>
      <c r="BM308" s="409" t="s">
        <v>5112</v>
      </c>
      <c r="BN308" s="399"/>
      <c r="BO308" s="399"/>
      <c r="BP308" s="399"/>
      <c r="BQ308" s="399"/>
      <c r="BR308" s="399"/>
      <c r="BS308" s="407"/>
      <c r="BT308" s="407"/>
      <c r="BU308" s="412"/>
      <c r="BV308" s="46" t="str">
        <f t="shared" si="8"/>
        <v/>
      </c>
      <c r="BW308" s="46">
        <f t="shared" si="9"/>
        <v>0</v>
      </c>
      <c r="BX308" s="46">
        <f t="shared" si="10"/>
        <v>0</v>
      </c>
      <c r="BY308" s="43" t="str">
        <f t="shared" si="11"/>
        <v>WHO-FP Condition (Medical Eligibility)</v>
      </c>
      <c r="BZ308" s="46">
        <f t="shared" si="12"/>
        <v>1</v>
      </c>
      <c r="CA308" s="46" t="str">
        <f t="shared" si="13"/>
        <v/>
      </c>
      <c r="CB308" s="46">
        <f t="shared" si="14"/>
        <v>1</v>
      </c>
      <c r="CC308" s="46">
        <f t="shared" si="15"/>
        <v>1</v>
      </c>
      <c r="CD308" s="46">
        <f t="shared" si="16"/>
        <v>1</v>
      </c>
      <c r="CE308" s="46">
        <f t="shared" si="17"/>
        <v>0</v>
      </c>
      <c r="CF308" s="46">
        <f t="shared" si="18"/>
        <v>0</v>
      </c>
      <c r="CG308" s="46" t="str">
        <f ca="1">IFERROR(__xludf.DUMMYFUNCTION("if(OR(BH308="""",LEFT(BH308,2)=""LA""),"""",IMPORTXML(CONCATENATE(""https://loinc.org/"",BH308,""/""),""//span[@id='lcn']""))"),"")</f>
        <v/>
      </c>
      <c r="CH308" s="46"/>
      <c r="CI308" s="46"/>
      <c r="CJ308" s="46"/>
      <c r="CK308" s="46"/>
      <c r="CL308" s="46"/>
      <c r="CM308" s="46"/>
      <c r="CN308" s="46"/>
      <c r="CO308" s="46"/>
      <c r="CP308" s="46"/>
      <c r="CQ308" s="46"/>
      <c r="CR308" s="46"/>
      <c r="CS308" s="46"/>
      <c r="CT308" s="46"/>
      <c r="CU308" s="46"/>
    </row>
    <row r="309" spans="1:99" ht="12.75" customHeight="1">
      <c r="A309" s="399">
        <v>1551</v>
      </c>
      <c r="B309" s="409" t="s">
        <v>5115</v>
      </c>
      <c r="C309" s="399">
        <f t="shared" si="42"/>
        <v>1551</v>
      </c>
      <c r="D309" s="399" t="e">
        <f t="shared" ca="1" si="62"/>
        <v>#NAME?</v>
      </c>
      <c r="E309" s="399" t="str">
        <f t="shared" si="44"/>
        <v>Past, no evidence of disease for at least 5 years</v>
      </c>
      <c r="F309" s="410" t="s">
        <v>180</v>
      </c>
      <c r="G309" s="400">
        <v>23</v>
      </c>
      <c r="H309" s="399" t="s">
        <v>4475</v>
      </c>
      <c r="I309" s="400"/>
      <c r="J309" s="400"/>
      <c r="K309" s="401" t="s">
        <v>3333</v>
      </c>
      <c r="L309" s="402" t="s">
        <v>3476</v>
      </c>
      <c r="M309" s="400"/>
      <c r="N309" s="427" t="s">
        <v>4417</v>
      </c>
      <c r="O309" s="428"/>
      <c r="P309" s="403" t="s">
        <v>5116</v>
      </c>
      <c r="Q309" s="405"/>
      <c r="R309" s="403"/>
      <c r="S309" s="403"/>
      <c r="T309" s="407"/>
      <c r="U309" s="407"/>
      <c r="V309" s="429" t="s">
        <v>5117</v>
      </c>
      <c r="W309" s="407"/>
      <c r="X309" s="403" t="s">
        <v>208</v>
      </c>
      <c r="Y309" s="407"/>
      <c r="Z309" s="403" t="s">
        <v>113</v>
      </c>
      <c r="AA309" s="403" t="s">
        <v>3178</v>
      </c>
      <c r="AB309" s="559" t="s">
        <v>4968</v>
      </c>
      <c r="AC309" s="421"/>
      <c r="AD309" s="421"/>
      <c r="AE309" s="432"/>
      <c r="AF309" s="421"/>
      <c r="AG309" s="407"/>
      <c r="AH309" s="399"/>
      <c r="AI309" s="400"/>
      <c r="AJ309" s="399"/>
      <c r="AK309" s="399"/>
      <c r="AL309" s="399"/>
      <c r="AM309" s="399"/>
      <c r="AN309" s="399"/>
      <c r="AO309" s="399"/>
      <c r="AP309" s="399"/>
      <c r="AQ309" s="409" t="s">
        <v>3130</v>
      </c>
      <c r="AR309" s="409" t="s">
        <v>4478</v>
      </c>
      <c r="AS309" s="409"/>
      <c r="AT309" s="399"/>
      <c r="AU309" s="399" t="s">
        <v>5118</v>
      </c>
      <c r="AV309" s="399" t="str">
        <f t="shared" si="47"/>
        <v>Changed</v>
      </c>
      <c r="AW309" s="399"/>
      <c r="AX309" s="409" t="s">
        <v>3343</v>
      </c>
      <c r="AY309" s="399" t="e">
        <f t="shared" ca="1" si="63"/>
        <v>#NAME?</v>
      </c>
      <c r="AZ309" s="399"/>
      <c r="BA309" s="409">
        <v>1</v>
      </c>
      <c r="BB309" s="399"/>
      <c r="BC309" s="399"/>
      <c r="BD309" s="399"/>
      <c r="BE309" s="434" t="s">
        <v>5119</v>
      </c>
      <c r="BF309" s="411"/>
      <c r="BG309" s="411"/>
      <c r="BH309" s="411"/>
      <c r="BI309" s="411"/>
      <c r="BJ309" s="399"/>
      <c r="BK309" s="399"/>
      <c r="BL309" s="399"/>
      <c r="BM309" s="399"/>
      <c r="BN309" s="399"/>
      <c r="BO309" s="399"/>
      <c r="BP309" s="399"/>
      <c r="BQ309" s="399"/>
      <c r="BR309" s="399"/>
      <c r="BS309" s="407"/>
      <c r="BT309" s="407"/>
      <c r="BU309" s="412"/>
      <c r="BV309" s="46" t="str">
        <f t="shared" si="8"/>
        <v/>
      </c>
      <c r="BW309" s="46">
        <f t="shared" si="9"/>
        <v>0</v>
      </c>
      <c r="BX309" s="46">
        <f t="shared" si="10"/>
        <v>0</v>
      </c>
      <c r="BY309" s="43" t="str">
        <f t="shared" si="11"/>
        <v>WHO-FP Condition (Medical Eligibility)</v>
      </c>
      <c r="BZ309" s="46">
        <f t="shared" si="12"/>
        <v>1</v>
      </c>
      <c r="CA309" s="46" t="str">
        <f t="shared" si="13"/>
        <v/>
      </c>
      <c r="CB309" s="46">
        <f t="shared" si="14"/>
        <v>1</v>
      </c>
      <c r="CC309" s="46">
        <f t="shared" si="15"/>
        <v>1</v>
      </c>
      <c r="CD309" s="46">
        <f t="shared" si="16"/>
        <v>1</v>
      </c>
      <c r="CE309" s="46">
        <f t="shared" si="17"/>
        <v>0</v>
      </c>
      <c r="CF309" s="46">
        <f t="shared" si="18"/>
        <v>0</v>
      </c>
      <c r="CG309" s="46" t="str">
        <f ca="1">IFERROR(__xludf.DUMMYFUNCTION("if(OR(BH309="""",LEFT(BH309,2)=""LA""),"""",IMPORTXML(CONCATENATE(""https://loinc.org/"",BH309,""/""),""//span[@id='lcn']""))"),"")</f>
        <v/>
      </c>
      <c r="CH309" s="46"/>
      <c r="CI309" s="46"/>
      <c r="CJ309" s="46"/>
      <c r="CK309" s="46"/>
      <c r="CL309" s="46"/>
      <c r="CM309" s="46"/>
      <c r="CN309" s="46"/>
      <c r="CO309" s="46"/>
      <c r="CP309" s="46"/>
      <c r="CQ309" s="46"/>
      <c r="CR309" s="46"/>
      <c r="CS309" s="46"/>
      <c r="CT309" s="46"/>
      <c r="CU309" s="46"/>
    </row>
    <row r="310" spans="1:99" ht="12.75" customHeight="1">
      <c r="A310" s="399">
        <v>1552</v>
      </c>
      <c r="B310" s="399" t="s">
        <v>5121</v>
      </c>
      <c r="C310" s="399">
        <f t="shared" si="42"/>
        <v>1552</v>
      </c>
      <c r="D310" s="399" t="e">
        <f t="shared" ca="1" si="62"/>
        <v>#NAME?</v>
      </c>
      <c r="E310" s="399" t="str">
        <f t="shared" si="44"/>
        <v>Endometrial cancer</v>
      </c>
      <c r="F310" s="410" t="s">
        <v>180</v>
      </c>
      <c r="G310" s="400">
        <v>23</v>
      </c>
      <c r="H310" s="399" t="s">
        <v>4475</v>
      </c>
      <c r="I310" s="400"/>
      <c r="J310" s="400"/>
      <c r="K310" s="401" t="s">
        <v>3333</v>
      </c>
      <c r="L310" s="402" t="s">
        <v>3476</v>
      </c>
      <c r="M310" s="400"/>
      <c r="N310" s="427" t="s">
        <v>4417</v>
      </c>
      <c r="O310" s="428"/>
      <c r="P310" s="403" t="s">
        <v>5122</v>
      </c>
      <c r="Q310" s="405" t="s">
        <v>5121</v>
      </c>
      <c r="R310" s="403"/>
      <c r="S310" s="403"/>
      <c r="T310" s="403" t="s">
        <v>3169</v>
      </c>
      <c r="U310" s="407"/>
      <c r="V310" s="407" t="s">
        <v>3170</v>
      </c>
      <c r="W310" s="407"/>
      <c r="X310" s="403" t="s">
        <v>208</v>
      </c>
      <c r="Y310" s="407"/>
      <c r="Z310" s="403" t="s">
        <v>113</v>
      </c>
      <c r="AA310" s="403" t="s">
        <v>3178</v>
      </c>
      <c r="AB310" s="432" t="s">
        <v>5049</v>
      </c>
      <c r="AC310" s="421"/>
      <c r="AD310" s="421"/>
      <c r="AE310" s="432"/>
      <c r="AF310" s="421"/>
      <c r="AG310" s="421"/>
      <c r="AH310" s="399"/>
      <c r="AI310" s="400"/>
      <c r="AJ310" s="399"/>
      <c r="AK310" s="440"/>
      <c r="AL310" s="399"/>
      <c r="AM310" s="399"/>
      <c r="AN310" s="399"/>
      <c r="AO310" s="409"/>
      <c r="AP310" s="409"/>
      <c r="AQ310" s="409" t="s">
        <v>3130</v>
      </c>
      <c r="AR310" s="409" t="s">
        <v>4478</v>
      </c>
      <c r="AS310" s="409"/>
      <c r="AT310" s="399"/>
      <c r="AU310" s="399" t="s">
        <v>5121</v>
      </c>
      <c r="AV310" s="399" t="str">
        <f t="shared" si="47"/>
        <v>Same</v>
      </c>
      <c r="AW310" s="399"/>
      <c r="AX310" s="409" t="s">
        <v>3343</v>
      </c>
      <c r="AY310" s="399" t="e">
        <f t="shared" ca="1" si="63"/>
        <v>#NAME?</v>
      </c>
      <c r="AZ310" s="399"/>
      <c r="BA310" s="409">
        <v>1</v>
      </c>
      <c r="BB310" s="399"/>
      <c r="BC310" s="399"/>
      <c r="BD310" s="409" t="s">
        <v>5124</v>
      </c>
      <c r="BE310" s="411" t="s">
        <v>5125</v>
      </c>
      <c r="BF310" s="411"/>
      <c r="BG310" s="411"/>
      <c r="BH310" s="411"/>
      <c r="BI310" s="411"/>
      <c r="BJ310" s="399"/>
      <c r="BK310" s="399"/>
      <c r="BL310" s="399"/>
      <c r="BM310" s="399"/>
      <c r="BN310" s="466" t="str">
        <f>HYPERLINK("https://github.com/who-int/Data-Dictionary-Mapping/issues/38","38")</f>
        <v>38</v>
      </c>
      <c r="BO310" s="399"/>
      <c r="BP310" s="399"/>
      <c r="BQ310" s="399"/>
      <c r="BR310" s="399"/>
      <c r="BS310" s="407"/>
      <c r="BT310" s="407"/>
      <c r="BU310" s="412"/>
      <c r="BV310" s="46" t="str">
        <f t="shared" si="8"/>
        <v/>
      </c>
      <c r="BW310" s="46">
        <f t="shared" si="9"/>
        <v>0</v>
      </c>
      <c r="BX310" s="46">
        <f t="shared" si="10"/>
        <v>0</v>
      </c>
      <c r="BY310" s="43" t="str">
        <f t="shared" si="11"/>
        <v>WHO-FP Condition (Medical Eligibility)</v>
      </c>
      <c r="BZ310" s="46">
        <f t="shared" si="12"/>
        <v>1</v>
      </c>
      <c r="CA310" s="46" t="str">
        <f t="shared" si="13"/>
        <v/>
      </c>
      <c r="CB310" s="46">
        <f t="shared" si="14"/>
        <v>1</v>
      </c>
      <c r="CC310" s="46">
        <f t="shared" si="15"/>
        <v>1</v>
      </c>
      <c r="CD310" s="46">
        <f t="shared" si="16"/>
        <v>1</v>
      </c>
      <c r="CE310" s="46">
        <f t="shared" si="17"/>
        <v>0</v>
      </c>
      <c r="CF310" s="46">
        <f t="shared" si="18"/>
        <v>0</v>
      </c>
      <c r="CG310" s="46" t="str">
        <f ca="1">IFERROR(__xludf.DUMMYFUNCTION("if(OR(BH310="""",LEFT(BH310,2)=""LA""),"""",IMPORTXML(CONCATENATE(""https://loinc.org/"",BH310,""/""),""//span[@id='lcn']""))"),"")</f>
        <v/>
      </c>
      <c r="CH310" s="46"/>
      <c r="CI310" s="46"/>
      <c r="CJ310" s="46"/>
      <c r="CK310" s="46"/>
      <c r="CL310" s="46"/>
      <c r="CM310" s="46"/>
      <c r="CN310" s="46"/>
      <c r="CO310" s="46"/>
      <c r="CP310" s="46"/>
      <c r="CQ310" s="46"/>
      <c r="CR310" s="46"/>
      <c r="CS310" s="46"/>
      <c r="CT310" s="46"/>
      <c r="CU310" s="46"/>
    </row>
    <row r="311" spans="1:99" ht="12.75" customHeight="1">
      <c r="A311" s="399">
        <v>1553</v>
      </c>
      <c r="B311" s="399" t="s">
        <v>5126</v>
      </c>
      <c r="C311" s="399">
        <f t="shared" si="42"/>
        <v>1553</v>
      </c>
      <c r="D311" s="399" t="e">
        <f t="shared" ca="1" si="62"/>
        <v>#NAME?</v>
      </c>
      <c r="E311" s="399" t="str">
        <f t="shared" si="44"/>
        <v>Ovarian cancer</v>
      </c>
      <c r="F311" s="410" t="s">
        <v>180</v>
      </c>
      <c r="G311" s="400">
        <v>23</v>
      </c>
      <c r="H311" s="399" t="s">
        <v>4475</v>
      </c>
      <c r="I311" s="400"/>
      <c r="J311" s="400"/>
      <c r="K311" s="401" t="s">
        <v>3333</v>
      </c>
      <c r="L311" s="402" t="s">
        <v>3476</v>
      </c>
      <c r="M311" s="400"/>
      <c r="N311" s="427" t="s">
        <v>4417</v>
      </c>
      <c r="O311" s="428"/>
      <c r="P311" s="403" t="s">
        <v>5127</v>
      </c>
      <c r="Q311" s="405" t="s">
        <v>5126</v>
      </c>
      <c r="R311" s="403"/>
      <c r="S311" s="403"/>
      <c r="T311" s="403" t="s">
        <v>3169</v>
      </c>
      <c r="U311" s="407"/>
      <c r="V311" s="407" t="s">
        <v>3170</v>
      </c>
      <c r="W311" s="407"/>
      <c r="X311" s="403" t="s">
        <v>208</v>
      </c>
      <c r="Y311" s="407"/>
      <c r="Z311" s="403" t="s">
        <v>113</v>
      </c>
      <c r="AA311" s="403" t="s">
        <v>3178</v>
      </c>
      <c r="AB311" s="432" t="s">
        <v>5049</v>
      </c>
      <c r="AC311" s="421"/>
      <c r="AD311" s="421"/>
      <c r="AE311" s="432"/>
      <c r="AF311" s="421"/>
      <c r="AG311" s="421"/>
      <c r="AH311" s="399"/>
      <c r="AI311" s="400"/>
      <c r="AJ311" s="399"/>
      <c r="AK311" s="440"/>
      <c r="AL311" s="399"/>
      <c r="AM311" s="399"/>
      <c r="AN311" s="399"/>
      <c r="AO311" s="409"/>
      <c r="AP311" s="409"/>
      <c r="AQ311" s="409" t="s">
        <v>3130</v>
      </c>
      <c r="AR311" s="409" t="s">
        <v>4478</v>
      </c>
      <c r="AS311" s="409"/>
      <c r="AT311" s="399"/>
      <c r="AU311" s="399" t="s">
        <v>5126</v>
      </c>
      <c r="AV311" s="399" t="str">
        <f t="shared" si="47"/>
        <v>Same</v>
      </c>
      <c r="AW311" s="399"/>
      <c r="AX311" s="409" t="s">
        <v>3343</v>
      </c>
      <c r="AY311" s="399" t="e">
        <f t="shared" ca="1" si="63"/>
        <v>#NAME?</v>
      </c>
      <c r="AZ311" s="399"/>
      <c r="BA311" s="409">
        <v>1</v>
      </c>
      <c r="BB311" s="399"/>
      <c r="BC311" s="399"/>
      <c r="BD311" s="409" t="s">
        <v>5124</v>
      </c>
      <c r="BE311" s="411"/>
      <c r="BF311" s="411"/>
      <c r="BG311" s="434" t="s">
        <v>5129</v>
      </c>
      <c r="BH311" s="411"/>
      <c r="BI311" s="411"/>
      <c r="BJ311" s="399"/>
      <c r="BK311" s="399"/>
      <c r="BL311" s="399"/>
      <c r="BM311" s="399"/>
      <c r="BN311" s="399"/>
      <c r="BO311" s="399"/>
      <c r="BP311" s="399"/>
      <c r="BQ311" s="399"/>
      <c r="BR311" s="399"/>
      <c r="BS311" s="407"/>
      <c r="BT311" s="407"/>
      <c r="BU311" s="412"/>
      <c r="BV311" s="46" t="str">
        <f t="shared" si="8"/>
        <v/>
      </c>
      <c r="BW311" s="46">
        <f t="shared" si="9"/>
        <v>0</v>
      </c>
      <c r="BX311" s="46">
        <f t="shared" si="10"/>
        <v>0</v>
      </c>
      <c r="BY311" s="43" t="str">
        <f t="shared" si="11"/>
        <v>WHO-FP Condition (Medical Eligibility)</v>
      </c>
      <c r="BZ311" s="46">
        <f t="shared" si="12"/>
        <v>1</v>
      </c>
      <c r="CA311" s="46" t="str">
        <f t="shared" si="13"/>
        <v/>
      </c>
      <c r="CB311" s="46">
        <f t="shared" si="14"/>
        <v>1</v>
      </c>
      <c r="CC311" s="46">
        <f t="shared" si="15"/>
        <v>1</v>
      </c>
      <c r="CD311" s="46">
        <f t="shared" si="16"/>
        <v>1</v>
      </c>
      <c r="CE311" s="46">
        <f t="shared" si="17"/>
        <v>0</v>
      </c>
      <c r="CF311" s="46">
        <f t="shared" si="18"/>
        <v>0</v>
      </c>
      <c r="CG311" s="46" t="str">
        <f ca="1">IFERROR(__xludf.DUMMYFUNCTION("if(OR(BH311="""",LEFT(BH311,2)=""LA""),"""",IMPORTXML(CONCATENATE(""https://loinc.org/"",BH311,""/""),""//span[@id='lcn']""))"),"")</f>
        <v/>
      </c>
      <c r="CH311" s="46"/>
      <c r="CI311" s="46"/>
      <c r="CJ311" s="46"/>
      <c r="CK311" s="46"/>
      <c r="CL311" s="46"/>
      <c r="CM311" s="46"/>
      <c r="CN311" s="46"/>
      <c r="CO311" s="46"/>
      <c r="CP311" s="46"/>
      <c r="CQ311" s="46"/>
      <c r="CR311" s="46"/>
      <c r="CS311" s="46"/>
      <c r="CT311" s="46"/>
      <c r="CU311" s="46"/>
    </row>
    <row r="312" spans="1:99" ht="12.75" customHeight="1">
      <c r="A312" s="409">
        <v>1554</v>
      </c>
      <c r="B312" s="399" t="s">
        <v>5131</v>
      </c>
      <c r="C312" s="399">
        <f t="shared" si="42"/>
        <v>1554</v>
      </c>
      <c r="D312" s="399" t="str">
        <f t="shared" si="62"/>
        <v>Uterine fibroids</v>
      </c>
      <c r="E312" s="399" t="str">
        <f t="shared" si="44"/>
        <v>Uterine fibroids</v>
      </c>
      <c r="F312" s="409" t="s">
        <v>3164</v>
      </c>
      <c r="G312" s="400">
        <f>LEN(B312)</f>
        <v>16</v>
      </c>
      <c r="H312" s="400" t="str">
        <f>IF(F312="Input Option",IF(H311="",B311,H311),"")</f>
        <v/>
      </c>
      <c r="I312" s="400"/>
      <c r="J312" s="400"/>
      <c r="K312" s="401" t="s">
        <v>3333</v>
      </c>
      <c r="L312" s="402" t="s">
        <v>3476</v>
      </c>
      <c r="M312" s="400"/>
      <c r="N312" s="427" t="s">
        <v>4417</v>
      </c>
      <c r="O312" s="428"/>
      <c r="P312" s="403" t="s">
        <v>5133</v>
      </c>
      <c r="Q312" s="405" t="s">
        <v>5131</v>
      </c>
      <c r="R312" s="403"/>
      <c r="S312" s="403"/>
      <c r="T312" s="407"/>
      <c r="U312" s="407"/>
      <c r="V312" s="403"/>
      <c r="W312" s="407"/>
      <c r="X312" s="403" t="s">
        <v>208</v>
      </c>
      <c r="Y312" s="407"/>
      <c r="Z312" s="403" t="s">
        <v>113</v>
      </c>
      <c r="AA312" s="403" t="s">
        <v>3178</v>
      </c>
      <c r="AB312" s="432" t="s">
        <v>5049</v>
      </c>
      <c r="AC312" s="421"/>
      <c r="AD312" s="421"/>
      <c r="AE312" s="432"/>
      <c r="AF312" s="421"/>
      <c r="AG312" s="421"/>
      <c r="AH312" s="399"/>
      <c r="AI312" s="400"/>
      <c r="AJ312" s="399"/>
      <c r="AK312" s="440"/>
      <c r="AL312" s="399"/>
      <c r="AM312" s="399"/>
      <c r="AN312" s="399"/>
      <c r="AO312" s="399"/>
      <c r="AP312" s="409"/>
      <c r="AQ312" s="409" t="s">
        <v>115</v>
      </c>
      <c r="AR312" s="399"/>
      <c r="AS312" s="399"/>
      <c r="AT312" s="399"/>
      <c r="AU312" s="399" t="s">
        <v>5135</v>
      </c>
      <c r="AV312" s="399" t="str">
        <f t="shared" si="47"/>
        <v>Changed</v>
      </c>
      <c r="AW312" s="399"/>
      <c r="AX312" s="409" t="s">
        <v>3343</v>
      </c>
      <c r="AY312" s="399" t="str">
        <f t="shared" si="63"/>
        <v/>
      </c>
      <c r="AZ312" s="399"/>
      <c r="BA312" s="409">
        <v>1</v>
      </c>
      <c r="BB312" s="399"/>
      <c r="BC312" s="399"/>
      <c r="BD312" s="409" t="s">
        <v>5136</v>
      </c>
      <c r="BE312" s="411"/>
      <c r="BF312" s="411" t="s">
        <v>5137</v>
      </c>
      <c r="BG312" s="411" t="s">
        <v>5138</v>
      </c>
      <c r="BH312" s="411"/>
      <c r="BI312" s="411"/>
      <c r="BJ312" s="399"/>
      <c r="BK312" s="399"/>
      <c r="BL312" s="399"/>
      <c r="BM312" s="399"/>
      <c r="BN312" s="399"/>
      <c r="BO312" s="399">
        <v>123456</v>
      </c>
      <c r="BP312" s="399"/>
      <c r="BQ312" s="399"/>
      <c r="BR312" s="399"/>
      <c r="BS312" s="407"/>
      <c r="BT312" s="407"/>
      <c r="BU312" s="412"/>
      <c r="BV312" s="46" t="str">
        <f t="shared" si="8"/>
        <v/>
      </c>
      <c r="BW312" s="46" t="str">
        <f t="shared" si="9"/>
        <v/>
      </c>
      <c r="BX312" s="46" t="str">
        <f t="shared" si="10"/>
        <v/>
      </c>
      <c r="BY312" s="43" t="str">
        <f t="shared" si="11"/>
        <v/>
      </c>
      <c r="BZ312" s="46">
        <f t="shared" si="12"/>
        <v>1</v>
      </c>
      <c r="CA312" s="46" t="str">
        <f t="shared" si="13"/>
        <v/>
      </c>
      <c r="CB312" s="46">
        <f t="shared" si="14"/>
        <v>1</v>
      </c>
      <c r="CC312" s="46">
        <f t="shared" si="15"/>
        <v>1</v>
      </c>
      <c r="CD312" s="46">
        <f t="shared" si="16"/>
        <v>1</v>
      </c>
      <c r="CE312" s="46">
        <f t="shared" si="17"/>
        <v>0</v>
      </c>
      <c r="CF312" s="46">
        <f t="shared" si="18"/>
        <v>0</v>
      </c>
      <c r="CG312" s="46" t="str">
        <f ca="1">IFERROR(__xludf.DUMMYFUNCTION("if(OR(BH312="""",LEFT(BH312,2)=""LA""),"""",IMPORTXML(CONCATENATE(""https://loinc.org/"",BH312,""/""),""//span[@id='lcn']""))"),"")</f>
        <v/>
      </c>
      <c r="CH312" s="46"/>
      <c r="CI312" s="46"/>
      <c r="CJ312" s="46"/>
      <c r="CK312" s="46"/>
      <c r="CL312" s="46"/>
      <c r="CM312" s="46"/>
      <c r="CN312" s="46"/>
      <c r="CO312" s="46"/>
      <c r="CP312" s="46"/>
      <c r="CQ312" s="46"/>
      <c r="CR312" s="46"/>
      <c r="CS312" s="46"/>
      <c r="CT312" s="46"/>
      <c r="CU312" s="46"/>
    </row>
    <row r="313" spans="1:99" ht="12.75" customHeight="1">
      <c r="A313" s="399">
        <v>1555</v>
      </c>
      <c r="B313" s="409" t="s">
        <v>5139</v>
      </c>
      <c r="C313" s="399">
        <f t="shared" si="42"/>
        <v>1555</v>
      </c>
      <c r="D313" s="399" t="e">
        <f t="shared" ca="1" si="62"/>
        <v>#NAME?</v>
      </c>
      <c r="E313" s="399" t="str">
        <f t="shared" si="44"/>
        <v>Without distortion of the uterine cavity</v>
      </c>
      <c r="F313" s="410" t="s">
        <v>180</v>
      </c>
      <c r="G313" s="400">
        <v>23</v>
      </c>
      <c r="H313" s="399" t="s">
        <v>4475</v>
      </c>
      <c r="I313" s="400"/>
      <c r="J313" s="400"/>
      <c r="K313" s="401" t="s">
        <v>3333</v>
      </c>
      <c r="L313" s="402" t="s">
        <v>3476</v>
      </c>
      <c r="M313" s="400"/>
      <c r="N313" s="427" t="s">
        <v>4417</v>
      </c>
      <c r="O313" s="428"/>
      <c r="P313" s="403" t="s">
        <v>5140</v>
      </c>
      <c r="Q313" s="405"/>
      <c r="R313" s="403"/>
      <c r="S313" s="403"/>
      <c r="T313" s="407"/>
      <c r="U313" s="407"/>
      <c r="V313" s="429" t="s">
        <v>5141</v>
      </c>
      <c r="W313" s="407"/>
      <c r="X313" s="403" t="s">
        <v>208</v>
      </c>
      <c r="Y313" s="407"/>
      <c r="Z313" s="403" t="s">
        <v>113</v>
      </c>
      <c r="AA313" s="403" t="s">
        <v>3178</v>
      </c>
      <c r="AB313" s="432" t="s">
        <v>5049</v>
      </c>
      <c r="AC313" s="421"/>
      <c r="AD313" s="421"/>
      <c r="AE313" s="432"/>
      <c r="AF313" s="421"/>
      <c r="AG313" s="421"/>
      <c r="AH313" s="399"/>
      <c r="AI313" s="400"/>
      <c r="AJ313" s="399"/>
      <c r="AK313" s="399"/>
      <c r="AL313" s="399"/>
      <c r="AM313" s="399"/>
      <c r="AN313" s="399"/>
      <c r="AO313" s="399"/>
      <c r="AP313" s="399"/>
      <c r="AQ313" s="409" t="s">
        <v>3130</v>
      </c>
      <c r="AR313" s="409" t="s">
        <v>4478</v>
      </c>
      <c r="AS313" s="409"/>
      <c r="AT313" s="399"/>
      <c r="AU313" s="399" t="s">
        <v>5143</v>
      </c>
      <c r="AV313" s="399" t="str">
        <f t="shared" si="47"/>
        <v>Changed</v>
      </c>
      <c r="AW313" s="399"/>
      <c r="AX313" s="409" t="s">
        <v>3343</v>
      </c>
      <c r="AY313" s="399" t="e">
        <f t="shared" ca="1" si="63"/>
        <v>#NAME?</v>
      </c>
      <c r="AZ313" s="399"/>
      <c r="BA313" s="409">
        <v>1</v>
      </c>
      <c r="BB313" s="399"/>
      <c r="BC313" s="399"/>
      <c r="BD313" s="409" t="s">
        <v>5124</v>
      </c>
      <c r="BE313" s="411" t="s">
        <v>5144</v>
      </c>
      <c r="BF313" s="411"/>
      <c r="BG313" s="411"/>
      <c r="BH313" s="411"/>
      <c r="BI313" s="411"/>
      <c r="BJ313" s="399"/>
      <c r="BK313" s="399"/>
      <c r="BL313" s="399"/>
      <c r="BM313" s="399"/>
      <c r="BN313" s="399"/>
      <c r="BO313" s="399"/>
      <c r="BP313" s="399"/>
      <c r="BQ313" s="399"/>
      <c r="BR313" s="399"/>
      <c r="BS313" s="407"/>
      <c r="BT313" s="407"/>
      <c r="BU313" s="412"/>
      <c r="BV313" s="46" t="str">
        <f t="shared" si="8"/>
        <v/>
      </c>
      <c r="BW313" s="46">
        <f t="shared" si="9"/>
        <v>0</v>
      </c>
      <c r="BX313" s="46">
        <f t="shared" si="10"/>
        <v>0</v>
      </c>
      <c r="BY313" s="43" t="str">
        <f t="shared" si="11"/>
        <v>WHO-FP Condition (Medical Eligibility)</v>
      </c>
      <c r="BZ313" s="46">
        <f t="shared" si="12"/>
        <v>1</v>
      </c>
      <c r="CA313" s="46" t="str">
        <f t="shared" si="13"/>
        <v/>
      </c>
      <c r="CB313" s="46">
        <f t="shared" si="14"/>
        <v>1</v>
      </c>
      <c r="CC313" s="46">
        <f t="shared" si="15"/>
        <v>1</v>
      </c>
      <c r="CD313" s="46">
        <f t="shared" si="16"/>
        <v>1</v>
      </c>
      <c r="CE313" s="46">
        <f t="shared" si="17"/>
        <v>0</v>
      </c>
      <c r="CF313" s="46">
        <f t="shared" si="18"/>
        <v>0</v>
      </c>
      <c r="CG313" s="46" t="str">
        <f ca="1">IFERROR(__xludf.DUMMYFUNCTION("if(OR(BH313="""",LEFT(BH313,2)=""LA""),"""",IMPORTXML(CONCATENATE(""https://loinc.org/"",BH313,""/""),""//span[@id='lcn']""))"),"")</f>
        <v/>
      </c>
      <c r="CH313" s="46"/>
      <c r="CI313" s="46"/>
      <c r="CJ313" s="46"/>
      <c r="CK313" s="46"/>
      <c r="CL313" s="46"/>
      <c r="CM313" s="46"/>
      <c r="CN313" s="46"/>
      <c r="CO313" s="46"/>
      <c r="CP313" s="46"/>
      <c r="CQ313" s="46"/>
      <c r="CR313" s="46"/>
      <c r="CS313" s="46"/>
      <c r="CT313" s="46"/>
      <c r="CU313" s="46"/>
    </row>
    <row r="314" spans="1:99" ht="12.75" customHeight="1">
      <c r="A314" s="399">
        <v>1556</v>
      </c>
      <c r="B314" s="409" t="s">
        <v>5145</v>
      </c>
      <c r="C314" s="399">
        <f t="shared" si="42"/>
        <v>1556</v>
      </c>
      <c r="D314" s="399" t="e">
        <f t="shared" ca="1" si="62"/>
        <v>#NAME?</v>
      </c>
      <c r="E314" s="399" t="str">
        <f t="shared" si="44"/>
        <v>With distortion of the uterine cavity</v>
      </c>
      <c r="F314" s="410" t="s">
        <v>180</v>
      </c>
      <c r="G314" s="400">
        <v>23</v>
      </c>
      <c r="H314" s="399" t="s">
        <v>4475</v>
      </c>
      <c r="I314" s="400"/>
      <c r="J314" s="400"/>
      <c r="K314" s="401" t="s">
        <v>3333</v>
      </c>
      <c r="L314" s="402" t="s">
        <v>3476</v>
      </c>
      <c r="M314" s="400"/>
      <c r="N314" s="427" t="s">
        <v>4417</v>
      </c>
      <c r="O314" s="428"/>
      <c r="P314" s="403" t="s">
        <v>5146</v>
      </c>
      <c r="Q314" s="405"/>
      <c r="R314" s="403"/>
      <c r="S314" s="403"/>
      <c r="T314" s="407"/>
      <c r="U314" s="407"/>
      <c r="V314" s="429" t="s">
        <v>5147</v>
      </c>
      <c r="W314" s="407"/>
      <c r="X314" s="403" t="s">
        <v>208</v>
      </c>
      <c r="Y314" s="407"/>
      <c r="Z314" s="403" t="s">
        <v>113</v>
      </c>
      <c r="AA314" s="403" t="s">
        <v>3178</v>
      </c>
      <c r="AB314" s="432" t="s">
        <v>5049</v>
      </c>
      <c r="AC314" s="421"/>
      <c r="AD314" s="421"/>
      <c r="AE314" s="432"/>
      <c r="AF314" s="421"/>
      <c r="AG314" s="421"/>
      <c r="AH314" s="399"/>
      <c r="AI314" s="400"/>
      <c r="AJ314" s="399"/>
      <c r="AK314" s="399"/>
      <c r="AL314" s="399"/>
      <c r="AM314" s="399"/>
      <c r="AN314" s="399"/>
      <c r="AO314" s="399"/>
      <c r="AP314" s="399"/>
      <c r="AQ314" s="409" t="s">
        <v>3130</v>
      </c>
      <c r="AR314" s="409" t="s">
        <v>4478</v>
      </c>
      <c r="AS314" s="409"/>
      <c r="AT314" s="399"/>
      <c r="AU314" s="399" t="s">
        <v>5148</v>
      </c>
      <c r="AV314" s="399" t="str">
        <f t="shared" si="47"/>
        <v>Changed</v>
      </c>
      <c r="AW314" s="399"/>
      <c r="AX314" s="409" t="s">
        <v>3343</v>
      </c>
      <c r="AY314" s="399" t="e">
        <f t="shared" ca="1" si="63"/>
        <v>#NAME?</v>
      </c>
      <c r="AZ314" s="399"/>
      <c r="BA314" s="409">
        <v>1</v>
      </c>
      <c r="BB314" s="399"/>
      <c r="BC314" s="399"/>
      <c r="BD314" s="399"/>
      <c r="BE314" s="434" t="s">
        <v>5144</v>
      </c>
      <c r="BF314" s="411"/>
      <c r="BG314" s="434" t="s">
        <v>5149</v>
      </c>
      <c r="BH314" s="411"/>
      <c r="BI314" s="411"/>
      <c r="BJ314" s="399"/>
      <c r="BK314" s="409" t="s">
        <v>5150</v>
      </c>
      <c r="BL314" s="399"/>
      <c r="BM314" s="399"/>
      <c r="BN314" s="399"/>
      <c r="BO314" s="399"/>
      <c r="BP314" s="399"/>
      <c r="BQ314" s="399"/>
      <c r="BR314" s="399"/>
      <c r="BS314" s="407"/>
      <c r="BT314" s="407"/>
      <c r="BU314" s="412"/>
      <c r="BV314" s="46" t="str">
        <f t="shared" si="8"/>
        <v/>
      </c>
      <c r="BW314" s="46">
        <f t="shared" si="9"/>
        <v>0</v>
      </c>
      <c r="BX314" s="46">
        <f t="shared" si="10"/>
        <v>0</v>
      </c>
      <c r="BY314" s="43" t="str">
        <f t="shared" si="11"/>
        <v>WHO-FP Condition (Medical Eligibility)</v>
      </c>
      <c r="BZ314" s="46">
        <f t="shared" si="12"/>
        <v>1</v>
      </c>
      <c r="CA314" s="46" t="str">
        <f t="shared" si="13"/>
        <v/>
      </c>
      <c r="CB314" s="46">
        <f t="shared" si="14"/>
        <v>1</v>
      </c>
      <c r="CC314" s="46">
        <f t="shared" si="15"/>
        <v>1</v>
      </c>
      <c r="CD314" s="46">
        <f t="shared" si="16"/>
        <v>1</v>
      </c>
      <c r="CE314" s="46">
        <f t="shared" si="17"/>
        <v>0</v>
      </c>
      <c r="CF314" s="46">
        <f t="shared" si="18"/>
        <v>0</v>
      </c>
      <c r="CG314" s="46" t="str">
        <f ca="1">IFERROR(__xludf.DUMMYFUNCTION("if(OR(BH314="""",LEFT(BH314,2)=""LA""),"""",IMPORTXML(CONCATENATE(""https://loinc.org/"",BH314,""/""),""//span[@id='lcn']""))"),"")</f>
        <v/>
      </c>
      <c r="CH314" s="46"/>
      <c r="CI314" s="46"/>
      <c r="CJ314" s="46"/>
      <c r="CK314" s="46"/>
      <c r="CL314" s="46"/>
      <c r="CM314" s="46"/>
      <c r="CN314" s="46"/>
      <c r="CO314" s="46"/>
      <c r="CP314" s="46"/>
      <c r="CQ314" s="46"/>
      <c r="CR314" s="46"/>
      <c r="CS314" s="46"/>
      <c r="CT314" s="46"/>
      <c r="CU314" s="46"/>
    </row>
    <row r="315" spans="1:99" ht="12.75" customHeight="1">
      <c r="A315" s="399">
        <v>1557</v>
      </c>
      <c r="B315" s="399" t="s">
        <v>5151</v>
      </c>
      <c r="C315" s="399">
        <f t="shared" si="42"/>
        <v>1557</v>
      </c>
      <c r="D315" s="399" t="str">
        <f t="shared" si="62"/>
        <v>Anatomical abnormalities</v>
      </c>
      <c r="E315" s="399" t="str">
        <f t="shared" si="44"/>
        <v>Anatomical abnormalities</v>
      </c>
      <c r="F315" s="409" t="s">
        <v>3164</v>
      </c>
      <c r="G315" s="400">
        <f>LEN(B315)</f>
        <v>24</v>
      </c>
      <c r="H315" s="400" t="str">
        <f>IF(F315="Input Option",IF(H314="",B314,H314),"")</f>
        <v/>
      </c>
      <c r="I315" s="400"/>
      <c r="J315" s="400"/>
      <c r="K315" s="401" t="s">
        <v>3333</v>
      </c>
      <c r="L315" s="402" t="s">
        <v>3476</v>
      </c>
      <c r="M315" s="400"/>
      <c r="N315" s="427" t="s">
        <v>4417</v>
      </c>
      <c r="O315" s="428"/>
      <c r="P315" s="403" t="s">
        <v>5152</v>
      </c>
      <c r="Q315" s="405" t="s">
        <v>5151</v>
      </c>
      <c r="R315" s="403"/>
      <c r="S315" s="403"/>
      <c r="T315" s="407"/>
      <c r="U315" s="407"/>
      <c r="V315" s="403"/>
      <c r="W315" s="407"/>
      <c r="X315" s="403" t="s">
        <v>208</v>
      </c>
      <c r="Y315" s="407"/>
      <c r="Z315" s="403" t="s">
        <v>113</v>
      </c>
      <c r="AA315" s="403" t="s">
        <v>3178</v>
      </c>
      <c r="AB315" s="432" t="s">
        <v>5049</v>
      </c>
      <c r="AC315" s="421"/>
      <c r="AD315" s="421"/>
      <c r="AE315" s="408"/>
      <c r="AF315" s="432" t="s">
        <v>5153</v>
      </c>
      <c r="AG315" s="407"/>
      <c r="AH315" s="399"/>
      <c r="AI315" s="400"/>
      <c r="AJ315" s="399"/>
      <c r="AK315" s="440"/>
      <c r="AL315" s="399"/>
      <c r="AM315" s="399"/>
      <c r="AN315" s="399"/>
      <c r="AO315" s="409"/>
      <c r="AP315" s="409"/>
      <c r="AQ315" s="409" t="s">
        <v>115</v>
      </c>
      <c r="AR315" s="399"/>
      <c r="AS315" s="399"/>
      <c r="AT315" s="399"/>
      <c r="AU315" s="399" t="s">
        <v>5151</v>
      </c>
      <c r="AV315" s="399" t="str">
        <f t="shared" si="47"/>
        <v>Same</v>
      </c>
      <c r="AW315" s="399"/>
      <c r="AX315" s="409" t="s">
        <v>3343</v>
      </c>
      <c r="AY315" s="399" t="str">
        <f t="shared" si="63"/>
        <v/>
      </c>
      <c r="AZ315" s="399"/>
      <c r="BA315" s="409">
        <v>1</v>
      </c>
      <c r="BB315" s="399"/>
      <c r="BC315" s="399"/>
      <c r="BD315" s="399"/>
      <c r="BE315" s="411"/>
      <c r="BF315" s="411"/>
      <c r="BG315" s="411"/>
      <c r="BH315" s="411"/>
      <c r="BI315" s="411"/>
      <c r="BJ315" s="399"/>
      <c r="BK315" s="399"/>
      <c r="BL315" s="399"/>
      <c r="BM315" s="409" t="s">
        <v>5154</v>
      </c>
      <c r="BN315" s="399"/>
      <c r="BO315" s="399"/>
      <c r="BP315" s="399"/>
      <c r="BQ315" s="399"/>
      <c r="BR315" s="399"/>
      <c r="BS315" s="407"/>
      <c r="BT315" s="407"/>
      <c r="BU315" s="412"/>
      <c r="BV315" s="46" t="str">
        <f t="shared" si="8"/>
        <v/>
      </c>
      <c r="BW315" s="46" t="str">
        <f t="shared" si="9"/>
        <v/>
      </c>
      <c r="BX315" s="46" t="str">
        <f t="shared" si="10"/>
        <v/>
      </c>
      <c r="BY315" s="43" t="str">
        <f t="shared" si="11"/>
        <v/>
      </c>
      <c r="BZ315" s="46">
        <f t="shared" si="12"/>
        <v>1</v>
      </c>
      <c r="CA315" s="46" t="str">
        <f t="shared" si="13"/>
        <v/>
      </c>
      <c r="CB315" s="46">
        <f t="shared" si="14"/>
        <v>1</v>
      </c>
      <c r="CC315" s="46">
        <f t="shared" si="15"/>
        <v>1</v>
      </c>
      <c r="CD315" s="46">
        <f t="shared" si="16"/>
        <v>1</v>
      </c>
      <c r="CE315" s="46">
        <f t="shared" si="17"/>
        <v>0</v>
      </c>
      <c r="CF315" s="46">
        <f t="shared" si="18"/>
        <v>0</v>
      </c>
      <c r="CG315" s="46" t="str">
        <f ca="1">IFERROR(__xludf.DUMMYFUNCTION("if(OR(BH315="""",LEFT(BH315,2)=""LA""),"""",IMPORTXML(CONCATENATE(""https://loinc.org/"",BH315,""/""),""//span[@id='lcn']""))"),"")</f>
        <v/>
      </c>
      <c r="CH315" s="46"/>
      <c r="CI315" s="46"/>
      <c r="CJ315" s="46"/>
      <c r="CK315" s="46"/>
      <c r="CL315" s="46"/>
      <c r="CM315" s="46"/>
      <c r="CN315" s="46"/>
      <c r="CO315" s="46"/>
      <c r="CP315" s="46"/>
      <c r="CQ315" s="46"/>
      <c r="CR315" s="46"/>
      <c r="CS315" s="46"/>
      <c r="CT315" s="46"/>
      <c r="CU315" s="46"/>
    </row>
    <row r="316" spans="1:99" ht="12.75" customHeight="1">
      <c r="A316" s="399">
        <v>1558</v>
      </c>
      <c r="B316" s="399" t="s">
        <v>5155</v>
      </c>
      <c r="C316" s="399">
        <f t="shared" si="42"/>
        <v>1558</v>
      </c>
      <c r="D316" s="399" t="e">
        <f t="shared" ca="1" si="62"/>
        <v>#NAME?</v>
      </c>
      <c r="E316" s="399" t="str">
        <f t="shared" si="44"/>
        <v>Distorted uterine cavity</v>
      </c>
      <c r="F316" s="410" t="s">
        <v>180</v>
      </c>
      <c r="G316" s="400">
        <v>23</v>
      </c>
      <c r="H316" s="399" t="s">
        <v>4475</v>
      </c>
      <c r="I316" s="400"/>
      <c r="J316" s="400"/>
      <c r="K316" s="401" t="s">
        <v>3333</v>
      </c>
      <c r="L316" s="402" t="s">
        <v>3476</v>
      </c>
      <c r="M316" s="400"/>
      <c r="N316" s="427" t="s">
        <v>4417</v>
      </c>
      <c r="O316" s="428"/>
      <c r="P316" s="403" t="s">
        <v>5157</v>
      </c>
      <c r="Q316" s="405"/>
      <c r="R316" s="403"/>
      <c r="S316" s="403"/>
      <c r="T316" s="407"/>
      <c r="U316" s="407"/>
      <c r="V316" s="432" t="s">
        <v>5159</v>
      </c>
      <c r="W316" s="407"/>
      <c r="X316" s="403" t="s">
        <v>208</v>
      </c>
      <c r="Y316" s="407"/>
      <c r="Z316" s="403" t="s">
        <v>113</v>
      </c>
      <c r="AA316" s="403" t="s">
        <v>3178</v>
      </c>
      <c r="AB316" s="432" t="s">
        <v>5049</v>
      </c>
      <c r="AC316" s="421"/>
      <c r="AD316" s="421"/>
      <c r="AE316" s="432"/>
      <c r="AF316" s="421"/>
      <c r="AG316" s="421"/>
      <c r="AH316" s="399"/>
      <c r="AI316" s="400"/>
      <c r="AJ316" s="399"/>
      <c r="AK316" s="399"/>
      <c r="AL316" s="399"/>
      <c r="AM316" s="399"/>
      <c r="AN316" s="399"/>
      <c r="AO316" s="399"/>
      <c r="AP316" s="409"/>
      <c r="AQ316" s="409" t="s">
        <v>3130</v>
      </c>
      <c r="AR316" s="409" t="s">
        <v>4478</v>
      </c>
      <c r="AS316" s="409"/>
      <c r="AT316" s="399"/>
      <c r="AU316" s="399" t="s">
        <v>5155</v>
      </c>
      <c r="AV316" s="399" t="str">
        <f t="shared" si="47"/>
        <v>Same</v>
      </c>
      <c r="AW316" s="399"/>
      <c r="AX316" s="409" t="s">
        <v>3343</v>
      </c>
      <c r="AY316" s="399" t="e">
        <f t="shared" ca="1" si="63"/>
        <v>#NAME?</v>
      </c>
      <c r="AZ316" s="399"/>
      <c r="BA316" s="409">
        <v>1</v>
      </c>
      <c r="BB316" s="399"/>
      <c r="BC316" s="399"/>
      <c r="BD316" s="399"/>
      <c r="BE316" s="411"/>
      <c r="BF316" s="411"/>
      <c r="BG316" s="434" t="s">
        <v>5160</v>
      </c>
      <c r="BH316" s="411"/>
      <c r="BI316" s="411"/>
      <c r="BJ316" s="399"/>
      <c r="BK316" s="399"/>
      <c r="BL316" s="409" t="s">
        <v>3162</v>
      </c>
      <c r="BM316" s="409" t="s">
        <v>5161</v>
      </c>
      <c r="BN316" s="399"/>
      <c r="BO316" s="399"/>
      <c r="BP316" s="399"/>
      <c r="BQ316" s="399"/>
      <c r="BR316" s="399"/>
      <c r="BS316" s="407"/>
      <c r="BT316" s="407"/>
      <c r="BU316" s="412"/>
      <c r="BV316" s="46" t="str">
        <f t="shared" si="8"/>
        <v/>
      </c>
      <c r="BW316" s="46">
        <f t="shared" si="9"/>
        <v>0</v>
      </c>
      <c r="BX316" s="46">
        <f t="shared" si="10"/>
        <v>0</v>
      </c>
      <c r="BY316" s="43" t="str">
        <f t="shared" si="11"/>
        <v>WHO-FP Condition (Medical Eligibility)</v>
      </c>
      <c r="BZ316" s="46">
        <f t="shared" si="12"/>
        <v>1</v>
      </c>
      <c r="CA316" s="46" t="str">
        <f t="shared" si="13"/>
        <v/>
      </c>
      <c r="CB316" s="46">
        <f t="shared" si="14"/>
        <v>1</v>
      </c>
      <c r="CC316" s="46">
        <f t="shared" si="15"/>
        <v>1</v>
      </c>
      <c r="CD316" s="46">
        <f t="shared" si="16"/>
        <v>1</v>
      </c>
      <c r="CE316" s="46">
        <f t="shared" si="17"/>
        <v>0</v>
      </c>
      <c r="CF316" s="46">
        <f t="shared" si="18"/>
        <v>0</v>
      </c>
      <c r="CG316" s="46" t="str">
        <f ca="1">IFERROR(__xludf.DUMMYFUNCTION("if(OR(BH316="""",LEFT(BH316,2)=""LA""),"""",IMPORTXML(CONCATENATE(""https://loinc.org/"",BH316,""/""),""//span[@id='lcn']""))"),"")</f>
        <v/>
      </c>
      <c r="CH316" s="46"/>
      <c r="CI316" s="46"/>
      <c r="CJ316" s="46"/>
      <c r="CK316" s="46"/>
      <c r="CL316" s="46"/>
      <c r="CM316" s="46"/>
      <c r="CN316" s="46"/>
      <c r="CO316" s="46"/>
      <c r="CP316" s="46"/>
      <c r="CQ316" s="46"/>
      <c r="CR316" s="46"/>
      <c r="CS316" s="46"/>
      <c r="CT316" s="46"/>
      <c r="CU316" s="46"/>
    </row>
    <row r="317" spans="1:99" ht="12.75" customHeight="1">
      <c r="A317" s="399">
        <v>1559</v>
      </c>
      <c r="B317" s="409" t="s">
        <v>5162</v>
      </c>
      <c r="C317" s="399">
        <f t="shared" si="42"/>
        <v>1559</v>
      </c>
      <c r="D317" s="399" t="e">
        <f t="shared" ca="1" si="62"/>
        <v>#NAME?</v>
      </c>
      <c r="E317" s="399" t="str">
        <f t="shared" si="44"/>
        <v>Other abnormalities not distorting the uterine cavity or interfering with IUD insertion (including cervical stenosis or lacerations)</v>
      </c>
      <c r="F317" s="410" t="s">
        <v>180</v>
      </c>
      <c r="G317" s="400">
        <v>23</v>
      </c>
      <c r="H317" s="399" t="s">
        <v>4475</v>
      </c>
      <c r="I317" s="400"/>
      <c r="J317" s="400"/>
      <c r="K317" s="401" t="s">
        <v>3333</v>
      </c>
      <c r="L317" s="402" t="s">
        <v>3476</v>
      </c>
      <c r="M317" s="400"/>
      <c r="N317" s="427" t="s">
        <v>4417</v>
      </c>
      <c r="O317" s="428"/>
      <c r="P317" s="403" t="s">
        <v>5163</v>
      </c>
      <c r="Q317" s="405"/>
      <c r="R317" s="403"/>
      <c r="S317" s="440" t="s">
        <v>5164</v>
      </c>
      <c r="T317" s="407"/>
      <c r="U317" s="407"/>
      <c r="V317" s="429" t="s">
        <v>5164</v>
      </c>
      <c r="W317" s="407"/>
      <c r="X317" s="403" t="s">
        <v>208</v>
      </c>
      <c r="Y317" s="407"/>
      <c r="Z317" s="403" t="s">
        <v>113</v>
      </c>
      <c r="AA317" s="403" t="s">
        <v>3178</v>
      </c>
      <c r="AB317" s="432" t="s">
        <v>5049</v>
      </c>
      <c r="AC317" s="421"/>
      <c r="AD317" s="421"/>
      <c r="AE317" s="432"/>
      <c r="AF317" s="421"/>
      <c r="AG317" s="421"/>
      <c r="AH317" s="399"/>
      <c r="AI317" s="400"/>
      <c r="AJ317" s="399"/>
      <c r="AK317" s="399"/>
      <c r="AL317" s="399"/>
      <c r="AM317" s="399"/>
      <c r="AN317" s="399"/>
      <c r="AO317" s="399"/>
      <c r="AP317" s="409"/>
      <c r="AQ317" s="409" t="s">
        <v>3130</v>
      </c>
      <c r="AR317" s="409" t="s">
        <v>4478</v>
      </c>
      <c r="AS317" s="409"/>
      <c r="AT317" s="399"/>
      <c r="AU317" s="399" t="s">
        <v>5165</v>
      </c>
      <c r="AV317" s="399" t="str">
        <f t="shared" si="47"/>
        <v>Changed</v>
      </c>
      <c r="AW317" s="399"/>
      <c r="AX317" s="409" t="s">
        <v>3343</v>
      </c>
      <c r="AY317" s="399" t="e">
        <f t="shared" ca="1" si="63"/>
        <v>#NAME?</v>
      </c>
      <c r="AZ317" s="399"/>
      <c r="BA317" s="409">
        <v>1</v>
      </c>
      <c r="BB317" s="399"/>
      <c r="BC317" s="399"/>
      <c r="BD317" s="399"/>
      <c r="BE317" s="411"/>
      <c r="BF317" s="411"/>
      <c r="BG317" s="434" t="s">
        <v>5166</v>
      </c>
      <c r="BH317" s="411"/>
      <c r="BI317" s="411"/>
      <c r="BJ317" s="399"/>
      <c r="BK317" s="399"/>
      <c r="BL317" s="409" t="s">
        <v>3162</v>
      </c>
      <c r="BM317" s="399"/>
      <c r="BN317" s="399"/>
      <c r="BO317" s="399"/>
      <c r="BP317" s="399"/>
      <c r="BQ317" s="399"/>
      <c r="BR317" s="399"/>
      <c r="BS317" s="407"/>
      <c r="BT317" s="407"/>
      <c r="BU317" s="412"/>
      <c r="BV317" s="46" t="str">
        <f t="shared" si="8"/>
        <v/>
      </c>
      <c r="BW317" s="46">
        <f t="shared" si="9"/>
        <v>0</v>
      </c>
      <c r="BX317" s="46">
        <f t="shared" si="10"/>
        <v>0</v>
      </c>
      <c r="BY317" s="43" t="str">
        <f t="shared" si="11"/>
        <v>WHO-FP Condition (Medical Eligibility)</v>
      </c>
      <c r="BZ317" s="46">
        <f t="shared" si="12"/>
        <v>1</v>
      </c>
      <c r="CA317" s="46" t="str">
        <f t="shared" si="13"/>
        <v/>
      </c>
      <c r="CB317" s="46">
        <f t="shared" si="14"/>
        <v>1</v>
      </c>
      <c r="CC317" s="46">
        <f t="shared" si="15"/>
        <v>1</v>
      </c>
      <c r="CD317" s="46">
        <f t="shared" si="16"/>
        <v>1</v>
      </c>
      <c r="CE317" s="46">
        <f t="shared" si="17"/>
        <v>0</v>
      </c>
      <c r="CF317" s="46">
        <f t="shared" si="18"/>
        <v>0</v>
      </c>
      <c r="CG317" s="46" t="str">
        <f ca="1">IFERROR(__xludf.DUMMYFUNCTION("if(OR(BH317="""",LEFT(BH317,2)=""LA""),"""",IMPORTXML(CONCATENATE(""https://loinc.org/"",BH317,""/""),""//span[@id='lcn']""))"),"")</f>
        <v/>
      </c>
      <c r="CH317" s="46"/>
      <c r="CI317" s="46"/>
      <c r="CJ317" s="46"/>
      <c r="CK317" s="46"/>
      <c r="CL317" s="46"/>
      <c r="CM317" s="46"/>
      <c r="CN317" s="46"/>
      <c r="CO317" s="46"/>
      <c r="CP317" s="46"/>
      <c r="CQ317" s="46"/>
      <c r="CR317" s="46"/>
      <c r="CS317" s="46"/>
      <c r="CT317" s="46"/>
      <c r="CU317" s="46"/>
    </row>
    <row r="318" spans="1:99" ht="12.75" customHeight="1">
      <c r="A318" s="399">
        <v>1560</v>
      </c>
      <c r="B318" s="399" t="s">
        <v>5170</v>
      </c>
      <c r="C318" s="399">
        <f t="shared" si="42"/>
        <v>1560</v>
      </c>
      <c r="D318" s="399" t="str">
        <f t="shared" si="62"/>
        <v>Pelvic inflammatory disease (PID)</v>
      </c>
      <c r="E318" s="399" t="str">
        <f t="shared" si="44"/>
        <v>Pelvic inflammatory disease (PID)</v>
      </c>
      <c r="F318" s="409" t="s">
        <v>3164</v>
      </c>
      <c r="G318" s="400">
        <f>LEN(B318)</f>
        <v>33</v>
      </c>
      <c r="H318" s="400" t="str">
        <f>IF(F318="Input Option",IF(H317="",B317,H317),"")</f>
        <v/>
      </c>
      <c r="I318" s="400"/>
      <c r="J318" s="400"/>
      <c r="K318" s="401" t="s">
        <v>3333</v>
      </c>
      <c r="L318" s="402" t="s">
        <v>3476</v>
      </c>
      <c r="M318" s="400"/>
      <c r="N318" s="427" t="s">
        <v>4417</v>
      </c>
      <c r="O318" s="428"/>
      <c r="P318" s="405" t="s">
        <v>5173</v>
      </c>
      <c r="Q318" s="405" t="s">
        <v>5170</v>
      </c>
      <c r="R318" s="403"/>
      <c r="S318" s="403"/>
      <c r="T318" s="403" t="s">
        <v>3339</v>
      </c>
      <c r="U318" s="432" t="s">
        <v>3326</v>
      </c>
      <c r="V318" s="403"/>
      <c r="W318" s="407"/>
      <c r="X318" s="403" t="s">
        <v>208</v>
      </c>
      <c r="Y318" s="407"/>
      <c r="Z318" s="403" t="s">
        <v>113</v>
      </c>
      <c r="AA318" s="403" t="s">
        <v>3178</v>
      </c>
      <c r="AB318" s="432" t="s">
        <v>5049</v>
      </c>
      <c r="AC318" s="421"/>
      <c r="AD318" s="421"/>
      <c r="AE318" s="408"/>
      <c r="AF318" s="432" t="s">
        <v>5174</v>
      </c>
      <c r="AG318" s="407"/>
      <c r="AH318" s="399"/>
      <c r="AI318" s="400"/>
      <c r="AJ318" s="399"/>
      <c r="AK318" s="440"/>
      <c r="AL318" s="399"/>
      <c r="AM318" s="399"/>
      <c r="AN318" s="399"/>
      <c r="AO318" s="409"/>
      <c r="AP318" s="409"/>
      <c r="AQ318" s="409" t="s">
        <v>115</v>
      </c>
      <c r="AR318" s="399"/>
      <c r="AS318" s="399"/>
      <c r="AT318" s="399"/>
      <c r="AU318" s="399" t="s">
        <v>5170</v>
      </c>
      <c r="AV318" s="399" t="str">
        <f t="shared" si="47"/>
        <v>Same</v>
      </c>
      <c r="AW318" s="399"/>
      <c r="AX318" s="409" t="s">
        <v>3343</v>
      </c>
      <c r="AY318" s="399" t="str">
        <f t="shared" si="63"/>
        <v/>
      </c>
      <c r="AZ318" s="399"/>
      <c r="BA318" s="409">
        <v>1</v>
      </c>
      <c r="BB318" s="399"/>
      <c r="BC318" s="399"/>
      <c r="BD318" s="409" t="s">
        <v>3162</v>
      </c>
      <c r="BE318" s="411" t="s">
        <v>5178</v>
      </c>
      <c r="BF318" s="411" t="s">
        <v>5179</v>
      </c>
      <c r="BG318" s="411" t="s">
        <v>5180</v>
      </c>
      <c r="BH318" s="411"/>
      <c r="BI318" s="411"/>
      <c r="BJ318" s="399"/>
      <c r="BK318" s="399"/>
      <c r="BL318" s="399"/>
      <c r="BM318" s="399"/>
      <c r="BN318" s="399"/>
      <c r="BO318" s="399">
        <v>902</v>
      </c>
      <c r="BP318" s="399"/>
      <c r="BQ318" s="399"/>
      <c r="BR318" s="399"/>
      <c r="BS318" s="407"/>
      <c r="BT318" s="407"/>
      <c r="BU318" s="412"/>
      <c r="BV318" s="46" t="str">
        <f t="shared" si="8"/>
        <v/>
      </c>
      <c r="BW318" s="46" t="str">
        <f t="shared" si="9"/>
        <v/>
      </c>
      <c r="BX318" s="46" t="str">
        <f t="shared" si="10"/>
        <v/>
      </c>
      <c r="BY318" s="43" t="str">
        <f t="shared" si="11"/>
        <v/>
      </c>
      <c r="BZ318" s="46">
        <f t="shared" si="12"/>
        <v>1</v>
      </c>
      <c r="CA318" s="46" t="str">
        <f t="shared" si="13"/>
        <v/>
      </c>
      <c r="CB318" s="46">
        <f t="shared" si="14"/>
        <v>1</v>
      </c>
      <c r="CC318" s="46">
        <f t="shared" si="15"/>
        <v>1</v>
      </c>
      <c r="CD318" s="46">
        <f t="shared" si="16"/>
        <v>1</v>
      </c>
      <c r="CE318" s="46">
        <f t="shared" si="17"/>
        <v>0</v>
      </c>
      <c r="CF318" s="46">
        <f t="shared" si="18"/>
        <v>0</v>
      </c>
      <c r="CG318" s="46" t="str">
        <f ca="1">IFERROR(__xludf.DUMMYFUNCTION("if(OR(BH318="""",LEFT(BH318,2)=""LA""),"""",IMPORTXML(CONCATENATE(""https://loinc.org/"",BH318,""/""),""//span[@id='lcn']""))"),"")</f>
        <v/>
      </c>
      <c r="CH318" s="46"/>
      <c r="CI318" s="46"/>
      <c r="CJ318" s="46"/>
      <c r="CK318" s="46"/>
      <c r="CL318" s="46"/>
      <c r="CM318" s="46"/>
      <c r="CN318" s="46"/>
      <c r="CO318" s="46"/>
      <c r="CP318" s="46"/>
      <c r="CQ318" s="46"/>
      <c r="CR318" s="46"/>
      <c r="CS318" s="46"/>
      <c r="CT318" s="46"/>
      <c r="CU318" s="46"/>
    </row>
    <row r="319" spans="1:99" ht="12.75" customHeight="1">
      <c r="A319" s="399">
        <v>1561</v>
      </c>
      <c r="B319" s="409" t="s">
        <v>5183</v>
      </c>
      <c r="C319" s="399">
        <f t="shared" si="42"/>
        <v>1561</v>
      </c>
      <c r="D319" s="399" t="e">
        <f t="shared" ca="1" si="62"/>
        <v>#NAME?</v>
      </c>
      <c r="E319" s="399" t="str">
        <f t="shared" si="44"/>
        <v>History of</v>
      </c>
      <c r="F319" s="410" t="s">
        <v>180</v>
      </c>
      <c r="G319" s="400">
        <v>23</v>
      </c>
      <c r="H319" s="399" t="s">
        <v>4475</v>
      </c>
      <c r="I319" s="400"/>
      <c r="J319" s="400"/>
      <c r="K319" s="401" t="s">
        <v>3333</v>
      </c>
      <c r="L319" s="402" t="s">
        <v>3476</v>
      </c>
      <c r="M319" s="400"/>
      <c r="N319" s="427" t="s">
        <v>4417</v>
      </c>
      <c r="O319" s="428"/>
      <c r="P319" s="403" t="s">
        <v>5184</v>
      </c>
      <c r="Q319" s="405"/>
      <c r="R319" s="403"/>
      <c r="S319" s="403"/>
      <c r="T319" s="407"/>
      <c r="U319" s="407"/>
      <c r="V319" s="431" t="s">
        <v>5185</v>
      </c>
      <c r="W319" s="407"/>
      <c r="X319" s="403" t="s">
        <v>208</v>
      </c>
      <c r="Y319" s="407"/>
      <c r="Z319" s="403" t="s">
        <v>113</v>
      </c>
      <c r="AA319" s="403" t="s">
        <v>3178</v>
      </c>
      <c r="AB319" s="432" t="s">
        <v>5186</v>
      </c>
      <c r="AC319" s="421"/>
      <c r="AD319" s="421"/>
      <c r="AE319" s="432"/>
      <c r="AF319" s="421"/>
      <c r="AG319" s="421"/>
      <c r="AH319" s="399"/>
      <c r="AI319" s="400"/>
      <c r="AJ319" s="399"/>
      <c r="AK319" s="399"/>
      <c r="AL319" s="399"/>
      <c r="AM319" s="399"/>
      <c r="AN319" s="399"/>
      <c r="AO319" s="399"/>
      <c r="AP319" s="399"/>
      <c r="AQ319" s="409" t="s">
        <v>3130</v>
      </c>
      <c r="AR319" s="409" t="s">
        <v>4478</v>
      </c>
      <c r="AS319" s="409"/>
      <c r="AT319" s="399"/>
      <c r="AU319" s="399" t="s">
        <v>5187</v>
      </c>
      <c r="AV319" s="399" t="str">
        <f t="shared" si="47"/>
        <v>Changed</v>
      </c>
      <c r="AW319" s="399"/>
      <c r="AX319" s="409" t="s">
        <v>3343</v>
      </c>
      <c r="AY319" s="399" t="e">
        <f t="shared" ca="1" si="63"/>
        <v>#NAME?</v>
      </c>
      <c r="AZ319" s="399"/>
      <c r="BA319" s="409">
        <v>1</v>
      </c>
      <c r="BB319" s="399"/>
      <c r="BC319" s="399"/>
      <c r="BD319" s="409" t="s">
        <v>3162</v>
      </c>
      <c r="BE319" s="411" t="s">
        <v>5178</v>
      </c>
      <c r="BF319" s="411"/>
      <c r="BG319" s="411"/>
      <c r="BH319" s="411"/>
      <c r="BI319" s="411"/>
      <c r="BJ319" s="399"/>
      <c r="BK319" s="399"/>
      <c r="BL319" s="399"/>
      <c r="BM319" s="399"/>
      <c r="BN319" s="399"/>
      <c r="BO319" s="399"/>
      <c r="BP319" s="399"/>
      <c r="BQ319" s="399"/>
      <c r="BR319" s="399"/>
      <c r="BS319" s="407"/>
      <c r="BT319" s="407"/>
      <c r="BU319" s="412"/>
      <c r="BV319" s="46" t="str">
        <f t="shared" si="8"/>
        <v/>
      </c>
      <c r="BW319" s="46">
        <f t="shared" si="9"/>
        <v>0</v>
      </c>
      <c r="BX319" s="46">
        <f t="shared" si="10"/>
        <v>0</v>
      </c>
      <c r="BY319" s="43" t="str">
        <f t="shared" si="11"/>
        <v>WHO-FP Condition (Medical Eligibility)</v>
      </c>
      <c r="BZ319" s="46">
        <f t="shared" si="12"/>
        <v>1</v>
      </c>
      <c r="CA319" s="46" t="str">
        <f t="shared" si="13"/>
        <v/>
      </c>
      <c r="CB319" s="46">
        <f t="shared" si="14"/>
        <v>1</v>
      </c>
      <c r="CC319" s="46">
        <f t="shared" si="15"/>
        <v>1</v>
      </c>
      <c r="CD319" s="46">
        <f t="shared" si="16"/>
        <v>1</v>
      </c>
      <c r="CE319" s="46">
        <f t="shared" si="17"/>
        <v>0</v>
      </c>
      <c r="CF319" s="46">
        <f t="shared" si="18"/>
        <v>0</v>
      </c>
      <c r="CG319" s="46" t="str">
        <f ca="1">IFERROR(__xludf.DUMMYFUNCTION("if(OR(BH319="""",LEFT(BH319,2)=""LA""),"""",IMPORTXML(CONCATENATE(""https://loinc.org/"",BH319,""/""),""//span[@id='lcn']""))"),"")</f>
        <v/>
      </c>
      <c r="CH319" s="46"/>
      <c r="CI319" s="46"/>
      <c r="CJ319" s="46"/>
      <c r="CK319" s="46"/>
      <c r="CL319" s="46"/>
      <c r="CM319" s="46"/>
      <c r="CN319" s="46"/>
      <c r="CO319" s="46"/>
      <c r="CP319" s="46"/>
      <c r="CQ319" s="46"/>
      <c r="CR319" s="46"/>
      <c r="CS319" s="46"/>
      <c r="CT319" s="46"/>
      <c r="CU319" s="46"/>
    </row>
    <row r="320" spans="1:99" ht="12.75" customHeight="1">
      <c r="A320" s="399">
        <v>1562</v>
      </c>
      <c r="B320" s="409" t="s">
        <v>5188</v>
      </c>
      <c r="C320" s="399">
        <f t="shared" si="42"/>
        <v>1562</v>
      </c>
      <c r="D320" s="399" t="e">
        <f t="shared" ca="1" si="62"/>
        <v>#NAME?</v>
      </c>
      <c r="E320" s="399" t="str">
        <f t="shared" si="44"/>
        <v xml:space="preserve">Current </v>
      </c>
      <c r="F320" s="410" t="s">
        <v>180</v>
      </c>
      <c r="G320" s="400">
        <v>23</v>
      </c>
      <c r="H320" s="399" t="s">
        <v>4475</v>
      </c>
      <c r="I320" s="400"/>
      <c r="J320" s="400"/>
      <c r="K320" s="401" t="s">
        <v>3333</v>
      </c>
      <c r="L320" s="402" t="s">
        <v>3476</v>
      </c>
      <c r="M320" s="400"/>
      <c r="N320" s="427" t="s">
        <v>4417</v>
      </c>
      <c r="O320" s="428"/>
      <c r="P320" s="403" t="s">
        <v>5189</v>
      </c>
      <c r="Q320" s="405"/>
      <c r="R320" s="403"/>
      <c r="S320" s="403"/>
      <c r="T320" s="407"/>
      <c r="U320" s="407"/>
      <c r="V320" s="431" t="s">
        <v>5190</v>
      </c>
      <c r="W320" s="407"/>
      <c r="X320" s="403" t="s">
        <v>208</v>
      </c>
      <c r="Y320" s="407"/>
      <c r="Z320" s="403" t="s">
        <v>113</v>
      </c>
      <c r="AA320" s="403" t="s">
        <v>3178</v>
      </c>
      <c r="AB320" s="432" t="s">
        <v>5186</v>
      </c>
      <c r="AC320" s="421"/>
      <c r="AD320" s="421"/>
      <c r="AE320" s="432"/>
      <c r="AF320" s="421"/>
      <c r="AG320" s="421"/>
      <c r="AH320" s="399"/>
      <c r="AI320" s="400"/>
      <c r="AJ320" s="399"/>
      <c r="AK320" s="399"/>
      <c r="AL320" s="399"/>
      <c r="AM320" s="399"/>
      <c r="AN320" s="399"/>
      <c r="AO320" s="399"/>
      <c r="AP320" s="399"/>
      <c r="AQ320" s="409" t="s">
        <v>3130</v>
      </c>
      <c r="AR320" s="409" t="s">
        <v>4478</v>
      </c>
      <c r="AS320" s="409"/>
      <c r="AT320" s="399"/>
      <c r="AU320" s="399" t="s">
        <v>5191</v>
      </c>
      <c r="AV320" s="399" t="str">
        <f t="shared" si="47"/>
        <v>Changed</v>
      </c>
      <c r="AW320" s="399"/>
      <c r="AX320" s="409" t="s">
        <v>3343</v>
      </c>
      <c r="AY320" s="399" t="e">
        <f t="shared" ca="1" si="63"/>
        <v>#NAME?</v>
      </c>
      <c r="AZ320" s="399"/>
      <c r="BA320" s="409">
        <v>1</v>
      </c>
      <c r="BB320" s="399"/>
      <c r="BC320" s="399"/>
      <c r="BD320" s="409" t="s">
        <v>3162</v>
      </c>
      <c r="BE320" s="411" t="s">
        <v>5178</v>
      </c>
      <c r="BF320" s="411"/>
      <c r="BG320" s="411"/>
      <c r="BH320" s="411"/>
      <c r="BI320" s="411"/>
      <c r="BJ320" s="399"/>
      <c r="BK320" s="399"/>
      <c r="BL320" s="399"/>
      <c r="BM320" s="399"/>
      <c r="BN320" s="399"/>
      <c r="BO320" s="399"/>
      <c r="BP320" s="399"/>
      <c r="BQ320" s="399"/>
      <c r="BR320" s="399"/>
      <c r="BS320" s="407"/>
      <c r="BT320" s="407"/>
      <c r="BU320" s="412"/>
      <c r="BV320" s="46" t="str">
        <f t="shared" si="8"/>
        <v/>
      </c>
      <c r="BW320" s="46">
        <f t="shared" si="9"/>
        <v>0</v>
      </c>
      <c r="BX320" s="46">
        <f t="shared" si="10"/>
        <v>0</v>
      </c>
      <c r="BY320" s="43" t="str">
        <f t="shared" si="11"/>
        <v>WHO-FP Condition (Medical Eligibility)</v>
      </c>
      <c r="BZ320" s="46">
        <f t="shared" si="12"/>
        <v>1</v>
      </c>
      <c r="CA320" s="46" t="str">
        <f t="shared" si="13"/>
        <v/>
      </c>
      <c r="CB320" s="46">
        <f t="shared" si="14"/>
        <v>1</v>
      </c>
      <c r="CC320" s="46">
        <f t="shared" si="15"/>
        <v>1</v>
      </c>
      <c r="CD320" s="46">
        <f t="shared" si="16"/>
        <v>1</v>
      </c>
      <c r="CE320" s="46">
        <f t="shared" si="17"/>
        <v>0</v>
      </c>
      <c r="CF320" s="46">
        <f t="shared" si="18"/>
        <v>0</v>
      </c>
      <c r="CG320" s="46" t="str">
        <f ca="1">IFERROR(__xludf.DUMMYFUNCTION("if(OR(BH320="""",LEFT(BH320,2)=""LA""),"""",IMPORTXML(CONCATENATE(""https://loinc.org/"",BH320,""/""),""//span[@id='lcn']""))"),"")</f>
        <v/>
      </c>
      <c r="CH320" s="46"/>
      <c r="CI320" s="46"/>
      <c r="CJ320" s="46"/>
      <c r="CK320" s="46"/>
      <c r="CL320" s="46"/>
      <c r="CM320" s="46"/>
      <c r="CN320" s="46"/>
      <c r="CO320" s="46"/>
      <c r="CP320" s="46"/>
      <c r="CQ320" s="46"/>
      <c r="CR320" s="46"/>
      <c r="CS320" s="46"/>
      <c r="CT320" s="46"/>
      <c r="CU320" s="46"/>
    </row>
    <row r="321" spans="1:99" ht="12.75" customHeight="1">
      <c r="A321" s="399">
        <v>1563</v>
      </c>
      <c r="B321" s="399" t="s">
        <v>5192</v>
      </c>
      <c r="C321" s="399">
        <f t="shared" si="42"/>
        <v>1563</v>
      </c>
      <c r="D321" s="399" t="str">
        <f t="shared" si="62"/>
        <v>Sexually transmitted infections (STIs)</v>
      </c>
      <c r="E321" s="399" t="str">
        <f t="shared" si="44"/>
        <v>Sexually transmitted infections (STIs)</v>
      </c>
      <c r="F321" s="409" t="s">
        <v>3164</v>
      </c>
      <c r="G321" s="400">
        <f>LEN(B321)</f>
        <v>38</v>
      </c>
      <c r="H321" s="400" t="str">
        <f>IF(F321="Input Option",IF(H320="",B320,H320),"")</f>
        <v/>
      </c>
      <c r="I321" s="400"/>
      <c r="J321" s="400"/>
      <c r="K321" s="401" t="s">
        <v>3333</v>
      </c>
      <c r="L321" s="402" t="s">
        <v>3499</v>
      </c>
      <c r="M321" s="400"/>
      <c r="N321" s="427" t="s">
        <v>4417</v>
      </c>
      <c r="O321" s="428"/>
      <c r="P321" s="405" t="s">
        <v>5193</v>
      </c>
      <c r="Q321" s="431" t="s">
        <v>5192</v>
      </c>
      <c r="R321" s="403" t="s">
        <v>5194</v>
      </c>
      <c r="S321" s="407"/>
      <c r="T321" s="403" t="s">
        <v>3339</v>
      </c>
      <c r="U321" s="432" t="s">
        <v>3326</v>
      </c>
      <c r="V321" s="403"/>
      <c r="W321" s="407"/>
      <c r="X321" s="403" t="s">
        <v>208</v>
      </c>
      <c r="Y321" s="407"/>
      <c r="Z321" s="403" t="s">
        <v>113</v>
      </c>
      <c r="AA321" s="403" t="s">
        <v>3178</v>
      </c>
      <c r="AB321" s="559" t="s">
        <v>4968</v>
      </c>
      <c r="AC321" s="421"/>
      <c r="AD321" s="421"/>
      <c r="AE321" s="432"/>
      <c r="AF321" s="421"/>
      <c r="AG321" s="407"/>
      <c r="AH321" s="399"/>
      <c r="AI321" s="400"/>
      <c r="AJ321" s="399"/>
      <c r="AK321" s="399"/>
      <c r="AL321" s="399"/>
      <c r="AM321" s="399"/>
      <c r="AN321" s="399"/>
      <c r="AO321" s="399"/>
      <c r="AP321" s="399"/>
      <c r="AQ321" s="409" t="s">
        <v>115</v>
      </c>
      <c r="AR321" s="399"/>
      <c r="AS321" s="399"/>
      <c r="AT321" s="399"/>
      <c r="AU321" s="399" t="s">
        <v>5192</v>
      </c>
      <c r="AV321" s="399" t="str">
        <f t="shared" si="47"/>
        <v>Same</v>
      </c>
      <c r="AW321" s="399"/>
      <c r="AX321" s="409" t="s">
        <v>3343</v>
      </c>
      <c r="AY321" s="399" t="str">
        <f t="shared" si="63"/>
        <v/>
      </c>
      <c r="AZ321" s="399"/>
      <c r="BA321" s="409">
        <v>0</v>
      </c>
      <c r="BB321" s="399"/>
      <c r="BC321" s="399"/>
      <c r="BD321" s="399"/>
      <c r="BE321" s="411"/>
      <c r="BF321" s="411"/>
      <c r="BG321" s="411"/>
      <c r="BH321" s="411"/>
      <c r="BI321" s="411"/>
      <c r="BJ321" s="409" t="s">
        <v>3106</v>
      </c>
      <c r="BK321" s="399"/>
      <c r="BL321" s="399"/>
      <c r="BM321" s="399"/>
      <c r="BN321" s="399"/>
      <c r="BO321" s="399"/>
      <c r="BP321" s="399"/>
      <c r="BQ321" s="399"/>
      <c r="BR321" s="399"/>
      <c r="BS321" s="407"/>
      <c r="BT321" s="407"/>
      <c r="BU321" s="412"/>
      <c r="BV321" s="46" t="str">
        <f t="shared" si="8"/>
        <v/>
      </c>
      <c r="BW321" s="46" t="str">
        <f t="shared" si="9"/>
        <v/>
      </c>
      <c r="BX321" s="46" t="str">
        <f t="shared" si="10"/>
        <v/>
      </c>
      <c r="BY321" s="43" t="str">
        <f t="shared" si="11"/>
        <v/>
      </c>
      <c r="BZ321" s="46">
        <f t="shared" si="12"/>
        <v>1</v>
      </c>
      <c r="CA321" s="46" t="str">
        <f t="shared" si="13"/>
        <v/>
      </c>
      <c r="CB321" s="46">
        <f t="shared" si="14"/>
        <v>1</v>
      </c>
      <c r="CC321" s="46">
        <f t="shared" si="15"/>
        <v>1</v>
      </c>
      <c r="CD321" s="46">
        <f t="shared" si="16"/>
        <v>1</v>
      </c>
      <c r="CE321" s="46">
        <f t="shared" si="17"/>
        <v>0</v>
      </c>
      <c r="CF321" s="46">
        <f t="shared" si="18"/>
        <v>0</v>
      </c>
      <c r="CG321" s="46" t="str">
        <f ca="1">IFERROR(__xludf.DUMMYFUNCTION("if(OR(BH321="""",LEFT(BH321,2)=""LA""),"""",IMPORTXML(CONCATENATE(""https://loinc.org/"",BH321,""/""),""//span[@id='lcn']""))"),"")</f>
        <v/>
      </c>
      <c r="CH321" s="46"/>
      <c r="CI321" s="46"/>
      <c r="CJ321" s="46"/>
      <c r="CK321" s="46"/>
      <c r="CL321" s="46"/>
      <c r="CM321" s="46"/>
      <c r="CN321" s="46"/>
      <c r="CO321" s="46"/>
      <c r="CP321" s="46"/>
      <c r="CQ321" s="46"/>
      <c r="CR321" s="46"/>
      <c r="CS321" s="46"/>
      <c r="CT321" s="46"/>
      <c r="CU321" s="46"/>
    </row>
    <row r="322" spans="1:99" ht="12.75" customHeight="1">
      <c r="A322" s="399">
        <v>1564</v>
      </c>
      <c r="B322" s="409" t="s">
        <v>5201</v>
      </c>
      <c r="C322" s="399">
        <f t="shared" si="42"/>
        <v>1564</v>
      </c>
      <c r="D322" s="399" t="e">
        <f t="shared" ca="1" si="62"/>
        <v>#NAME?</v>
      </c>
      <c r="E322" s="399" t="str">
        <f t="shared" si="44"/>
        <v>Current gonorrhea</v>
      </c>
      <c r="F322" s="410" t="s">
        <v>180</v>
      </c>
      <c r="G322" s="400">
        <v>23</v>
      </c>
      <c r="H322" s="399" t="s">
        <v>4475</v>
      </c>
      <c r="I322" s="400"/>
      <c r="J322" s="400"/>
      <c r="K322" s="401" t="s">
        <v>3333</v>
      </c>
      <c r="L322" s="402" t="s">
        <v>3499</v>
      </c>
      <c r="M322" s="400"/>
      <c r="N322" s="427" t="s">
        <v>4417</v>
      </c>
      <c r="O322" s="428"/>
      <c r="P322" s="403" t="s">
        <v>5202</v>
      </c>
      <c r="Q322" s="403"/>
      <c r="R322" s="403"/>
      <c r="S322" s="403"/>
      <c r="T322" s="407"/>
      <c r="U322" s="407"/>
      <c r="V322" s="432" t="s">
        <v>5201</v>
      </c>
      <c r="W322" s="407"/>
      <c r="X322" s="403" t="s">
        <v>208</v>
      </c>
      <c r="Y322" s="407"/>
      <c r="Z322" s="403" t="s">
        <v>113</v>
      </c>
      <c r="AA322" s="403" t="s">
        <v>3178</v>
      </c>
      <c r="AB322" s="559" t="s">
        <v>4968</v>
      </c>
      <c r="AC322" s="421"/>
      <c r="AD322" s="421"/>
      <c r="AE322" s="408"/>
      <c r="AF322" s="407" t="s">
        <v>4489</v>
      </c>
      <c r="AG322" s="407" t="s">
        <v>3851</v>
      </c>
      <c r="AH322" s="399"/>
      <c r="AI322" s="400"/>
      <c r="AJ322" s="399"/>
      <c r="AK322" s="440"/>
      <c r="AL322" s="399"/>
      <c r="AM322" s="399"/>
      <c r="AN322" s="399"/>
      <c r="AO322" s="399"/>
      <c r="AP322" s="409"/>
      <c r="AQ322" s="409" t="s">
        <v>3130</v>
      </c>
      <c r="AR322" s="409" t="s">
        <v>4478</v>
      </c>
      <c r="AS322" s="409"/>
      <c r="AT322" s="399"/>
      <c r="AU322" s="399" t="s">
        <v>5206</v>
      </c>
      <c r="AV322" s="399" t="str">
        <f t="shared" si="47"/>
        <v>Changed</v>
      </c>
      <c r="AW322" s="399"/>
      <c r="AX322" s="409" t="s">
        <v>3343</v>
      </c>
      <c r="AY322" s="399" t="e">
        <f t="shared" ca="1" si="63"/>
        <v>#NAME?</v>
      </c>
      <c r="AZ322" s="399"/>
      <c r="BA322" s="409">
        <v>1</v>
      </c>
      <c r="BB322" s="399"/>
      <c r="BC322" s="399"/>
      <c r="BD322" s="399"/>
      <c r="BE322" s="411" t="s">
        <v>5208</v>
      </c>
      <c r="BF322" s="411" t="s">
        <v>5209</v>
      </c>
      <c r="BG322" s="411" t="s">
        <v>5210</v>
      </c>
      <c r="BH322" s="411"/>
      <c r="BI322" s="411"/>
      <c r="BJ322" s="399"/>
      <c r="BK322" s="399"/>
      <c r="BL322" s="399"/>
      <c r="BM322" s="399"/>
      <c r="BN322" s="399"/>
      <c r="BO322" s="399">
        <v>117767</v>
      </c>
      <c r="BP322" s="399"/>
      <c r="BQ322" s="399"/>
      <c r="BR322" s="399"/>
      <c r="BS322" s="407"/>
      <c r="BT322" s="407"/>
      <c r="BU322" s="412"/>
      <c r="BV322" s="46" t="str">
        <f t="shared" si="8"/>
        <v/>
      </c>
      <c r="BW322" s="46">
        <f t="shared" si="9"/>
        <v>0</v>
      </c>
      <c r="BX322" s="46">
        <f t="shared" si="10"/>
        <v>0</v>
      </c>
      <c r="BY322" s="43" t="str">
        <f t="shared" si="11"/>
        <v>WHO-FP Condition (Medical Eligibility)</v>
      </c>
      <c r="BZ322" s="46">
        <f t="shared" si="12"/>
        <v>1</v>
      </c>
      <c r="CA322" s="46" t="str">
        <f t="shared" si="13"/>
        <v/>
      </c>
      <c r="CB322" s="46">
        <f t="shared" si="14"/>
        <v>1</v>
      </c>
      <c r="CC322" s="46">
        <f t="shared" si="15"/>
        <v>1</v>
      </c>
      <c r="CD322" s="46">
        <f t="shared" si="16"/>
        <v>1</v>
      </c>
      <c r="CE322" s="46">
        <f t="shared" si="17"/>
        <v>0</v>
      </c>
      <c r="CF322" s="46">
        <f t="shared" si="18"/>
        <v>0</v>
      </c>
      <c r="CG322" s="46" t="str">
        <f ca="1">IFERROR(__xludf.DUMMYFUNCTION("if(OR(BH322="""",LEFT(BH322,2)=""LA""),"""",IMPORTXML(CONCATENATE(""https://loinc.org/"",BH322,""/""),""//span[@id='lcn']""))"),"")</f>
        <v/>
      </c>
      <c r="CH322" s="46"/>
      <c r="CI322" s="46"/>
      <c r="CJ322" s="46"/>
      <c r="CK322" s="46"/>
      <c r="CL322" s="46"/>
      <c r="CM322" s="46"/>
      <c r="CN322" s="46"/>
      <c r="CO322" s="46"/>
      <c r="CP322" s="46"/>
      <c r="CQ322" s="46"/>
      <c r="CR322" s="46"/>
      <c r="CS322" s="46"/>
      <c r="CT322" s="46"/>
      <c r="CU322" s="46"/>
    </row>
    <row r="323" spans="1:99" ht="12.75" customHeight="1">
      <c r="A323" s="399">
        <v>1565</v>
      </c>
      <c r="B323" s="409" t="s">
        <v>5212</v>
      </c>
      <c r="C323" s="399">
        <f t="shared" si="42"/>
        <v>1565</v>
      </c>
      <c r="D323" s="399" t="e">
        <f t="shared" ca="1" si="62"/>
        <v>#NAME?</v>
      </c>
      <c r="E323" s="399" t="str">
        <f t="shared" si="44"/>
        <v>Current chlamydia</v>
      </c>
      <c r="F323" s="410" t="s">
        <v>180</v>
      </c>
      <c r="G323" s="400">
        <v>23</v>
      </c>
      <c r="H323" s="399" t="s">
        <v>4475</v>
      </c>
      <c r="I323" s="400"/>
      <c r="J323" s="400"/>
      <c r="K323" s="401" t="s">
        <v>3333</v>
      </c>
      <c r="L323" s="402" t="s">
        <v>3499</v>
      </c>
      <c r="M323" s="400"/>
      <c r="N323" s="427" t="s">
        <v>4417</v>
      </c>
      <c r="O323" s="428"/>
      <c r="P323" s="403" t="s">
        <v>5213</v>
      </c>
      <c r="Q323" s="403"/>
      <c r="R323" s="403"/>
      <c r="S323" s="403"/>
      <c r="T323" s="407"/>
      <c r="U323" s="407"/>
      <c r="V323" s="432" t="s">
        <v>5212</v>
      </c>
      <c r="W323" s="407"/>
      <c r="X323" s="403" t="s">
        <v>208</v>
      </c>
      <c r="Y323" s="407"/>
      <c r="Z323" s="403" t="s">
        <v>113</v>
      </c>
      <c r="AA323" s="403" t="s">
        <v>3178</v>
      </c>
      <c r="AB323" s="559" t="s">
        <v>4968</v>
      </c>
      <c r="AC323" s="421"/>
      <c r="AD323" s="421"/>
      <c r="AE323" s="408"/>
      <c r="AF323" s="407" t="s">
        <v>4489</v>
      </c>
      <c r="AG323" s="407" t="s">
        <v>3851</v>
      </c>
      <c r="AH323" s="399"/>
      <c r="AI323" s="400"/>
      <c r="AJ323" s="399"/>
      <c r="AK323" s="440"/>
      <c r="AL323" s="399"/>
      <c r="AM323" s="399"/>
      <c r="AN323" s="399"/>
      <c r="AO323" s="399"/>
      <c r="AP323" s="409"/>
      <c r="AQ323" s="409" t="s">
        <v>3130</v>
      </c>
      <c r="AR323" s="409" t="s">
        <v>4478</v>
      </c>
      <c r="AS323" s="409"/>
      <c r="AT323" s="399"/>
      <c r="AU323" s="399" t="s">
        <v>5214</v>
      </c>
      <c r="AV323" s="399" t="str">
        <f t="shared" si="47"/>
        <v>Changed</v>
      </c>
      <c r="AW323" s="399"/>
      <c r="AX323" s="409" t="s">
        <v>3343</v>
      </c>
      <c r="AY323" s="399" t="e">
        <f t="shared" ca="1" si="63"/>
        <v>#NAME?</v>
      </c>
      <c r="AZ323" s="399"/>
      <c r="BA323" s="409">
        <v>1</v>
      </c>
      <c r="BB323" s="399"/>
      <c r="BC323" s="399"/>
      <c r="BD323" s="399"/>
      <c r="BE323" s="411" t="s">
        <v>5215</v>
      </c>
      <c r="BF323" s="411" t="s">
        <v>5216</v>
      </c>
      <c r="BG323" s="411" t="s">
        <v>5217</v>
      </c>
      <c r="BH323" s="411"/>
      <c r="BI323" s="411"/>
      <c r="BJ323" s="399"/>
      <c r="BK323" s="399"/>
      <c r="BL323" s="399"/>
      <c r="BM323" s="399"/>
      <c r="BN323" s="399"/>
      <c r="BO323" s="399">
        <v>120733</v>
      </c>
      <c r="BP323" s="399"/>
      <c r="BQ323" s="399"/>
      <c r="BR323" s="399"/>
      <c r="BS323" s="407"/>
      <c r="BT323" s="407"/>
      <c r="BU323" s="412"/>
      <c r="BV323" s="46" t="str">
        <f t="shared" si="8"/>
        <v/>
      </c>
      <c r="BW323" s="46">
        <f t="shared" si="9"/>
        <v>0</v>
      </c>
      <c r="BX323" s="46">
        <f t="shared" si="10"/>
        <v>0</v>
      </c>
      <c r="BY323" s="43" t="str">
        <f t="shared" si="11"/>
        <v>WHO-FP Condition (Medical Eligibility)</v>
      </c>
      <c r="BZ323" s="46">
        <f t="shared" si="12"/>
        <v>1</v>
      </c>
      <c r="CA323" s="46" t="str">
        <f t="shared" si="13"/>
        <v/>
      </c>
      <c r="CB323" s="46">
        <f t="shared" si="14"/>
        <v>1</v>
      </c>
      <c r="CC323" s="46">
        <f t="shared" si="15"/>
        <v>1</v>
      </c>
      <c r="CD323" s="46">
        <f t="shared" si="16"/>
        <v>1</v>
      </c>
      <c r="CE323" s="46">
        <f t="shared" si="17"/>
        <v>0</v>
      </c>
      <c r="CF323" s="46">
        <f t="shared" si="18"/>
        <v>0</v>
      </c>
      <c r="CG323" s="46" t="str">
        <f ca="1">IFERROR(__xludf.DUMMYFUNCTION("if(OR(BH323="""",LEFT(BH323,2)=""LA""),"""",IMPORTXML(CONCATENATE(""https://loinc.org/"",BH323,""/""),""//span[@id='lcn']""))"),"")</f>
        <v/>
      </c>
      <c r="CH323" s="46"/>
      <c r="CI323" s="46"/>
      <c r="CJ323" s="46"/>
      <c r="CK323" s="46"/>
      <c r="CL323" s="46"/>
      <c r="CM323" s="46"/>
      <c r="CN323" s="46"/>
      <c r="CO323" s="46"/>
      <c r="CP323" s="46"/>
      <c r="CQ323" s="46"/>
      <c r="CR323" s="46"/>
      <c r="CS323" s="46"/>
      <c r="CT323" s="46"/>
      <c r="CU323" s="46"/>
    </row>
    <row r="324" spans="1:99" ht="12.75" customHeight="1">
      <c r="A324" s="399">
        <v>1566</v>
      </c>
      <c r="B324" s="409" t="s">
        <v>5221</v>
      </c>
      <c r="C324" s="399">
        <f t="shared" si="42"/>
        <v>1566</v>
      </c>
      <c r="D324" s="399" t="e">
        <f t="shared" ca="1" si="62"/>
        <v>#NAME?</v>
      </c>
      <c r="E324" s="399" t="str">
        <f t="shared" si="44"/>
        <v>Current purulent cervicitis</v>
      </c>
      <c r="F324" s="410" t="s">
        <v>180</v>
      </c>
      <c r="G324" s="400">
        <v>23</v>
      </c>
      <c r="H324" s="399" t="s">
        <v>4475</v>
      </c>
      <c r="I324" s="400"/>
      <c r="J324" s="400"/>
      <c r="K324" s="401" t="s">
        <v>3333</v>
      </c>
      <c r="L324" s="402" t="s">
        <v>3499</v>
      </c>
      <c r="M324" s="400"/>
      <c r="N324" s="427" t="s">
        <v>4417</v>
      </c>
      <c r="O324" s="428"/>
      <c r="P324" s="403" t="s">
        <v>5222</v>
      </c>
      <c r="Q324" s="405"/>
      <c r="R324" s="403"/>
      <c r="S324" s="403"/>
      <c r="T324" s="407"/>
      <c r="U324" s="407"/>
      <c r="V324" s="432" t="s">
        <v>5221</v>
      </c>
      <c r="W324" s="407"/>
      <c r="X324" s="403" t="s">
        <v>208</v>
      </c>
      <c r="Y324" s="407"/>
      <c r="Z324" s="403" t="s">
        <v>113</v>
      </c>
      <c r="AA324" s="403" t="s">
        <v>3178</v>
      </c>
      <c r="AB324" s="559" t="s">
        <v>4968</v>
      </c>
      <c r="AC324" s="421"/>
      <c r="AD324" s="421"/>
      <c r="AE324" s="432"/>
      <c r="AF324" s="421"/>
      <c r="AG324" s="407"/>
      <c r="AH324" s="399"/>
      <c r="AI324" s="400"/>
      <c r="AJ324" s="399"/>
      <c r="AK324" s="440"/>
      <c r="AL324" s="399"/>
      <c r="AM324" s="399"/>
      <c r="AN324" s="399"/>
      <c r="AO324" s="399"/>
      <c r="AP324" s="409"/>
      <c r="AQ324" s="409" t="s">
        <v>3130</v>
      </c>
      <c r="AR324" s="409" t="s">
        <v>4478</v>
      </c>
      <c r="AS324" s="409"/>
      <c r="AT324" s="399"/>
      <c r="AU324" s="399" t="s">
        <v>5223</v>
      </c>
      <c r="AV324" s="399" t="str">
        <f t="shared" si="47"/>
        <v>Changed</v>
      </c>
      <c r="AW324" s="399"/>
      <c r="AX324" s="409" t="s">
        <v>3343</v>
      </c>
      <c r="AY324" s="399" t="e">
        <f t="shared" ca="1" si="63"/>
        <v>#NAME?</v>
      </c>
      <c r="AZ324" s="399"/>
      <c r="BA324" s="409">
        <v>1</v>
      </c>
      <c r="BB324" s="399"/>
      <c r="BC324" s="399"/>
      <c r="BD324" s="399"/>
      <c r="BE324" s="434" t="s">
        <v>5224</v>
      </c>
      <c r="BF324" s="411"/>
      <c r="BG324" s="411"/>
      <c r="BH324" s="411"/>
      <c r="BI324" s="411"/>
      <c r="BJ324" s="399"/>
      <c r="BK324" s="409" t="s">
        <v>5225</v>
      </c>
      <c r="BL324" s="399"/>
      <c r="BM324" s="399"/>
      <c r="BN324" s="399"/>
      <c r="BO324" s="399"/>
      <c r="BP324" s="399"/>
      <c r="BQ324" s="399"/>
      <c r="BR324" s="399"/>
      <c r="BS324" s="407"/>
      <c r="BT324" s="407"/>
      <c r="BU324" s="412"/>
      <c r="BV324" s="46" t="str">
        <f t="shared" si="8"/>
        <v/>
      </c>
      <c r="BW324" s="46">
        <f t="shared" si="9"/>
        <v>0</v>
      </c>
      <c r="BX324" s="46">
        <f t="shared" si="10"/>
        <v>0</v>
      </c>
      <c r="BY324" s="43" t="str">
        <f t="shared" si="11"/>
        <v>WHO-FP Condition (Medical Eligibility)</v>
      </c>
      <c r="BZ324" s="46">
        <f t="shared" si="12"/>
        <v>1</v>
      </c>
      <c r="CA324" s="46" t="str">
        <f t="shared" si="13"/>
        <v/>
      </c>
      <c r="CB324" s="46">
        <f t="shared" si="14"/>
        <v>1</v>
      </c>
      <c r="CC324" s="46">
        <f t="shared" si="15"/>
        <v>1</v>
      </c>
      <c r="CD324" s="46">
        <f t="shared" si="16"/>
        <v>1</v>
      </c>
      <c r="CE324" s="46">
        <f t="shared" si="17"/>
        <v>0</v>
      </c>
      <c r="CF324" s="46">
        <f t="shared" si="18"/>
        <v>0</v>
      </c>
      <c r="CG324" s="46" t="str">
        <f ca="1">IFERROR(__xludf.DUMMYFUNCTION("if(OR(BH324="""",LEFT(BH324,2)=""LA""),"""",IMPORTXML(CONCATENATE(""https://loinc.org/"",BH324,""/""),""//span[@id='lcn']""))"),"")</f>
        <v/>
      </c>
      <c r="CH324" s="46"/>
      <c r="CI324" s="46"/>
      <c r="CJ324" s="46"/>
      <c r="CK324" s="46"/>
      <c r="CL324" s="46"/>
      <c r="CM324" s="46"/>
      <c r="CN324" s="46"/>
      <c r="CO324" s="46"/>
      <c r="CP324" s="46"/>
      <c r="CQ324" s="46"/>
      <c r="CR324" s="46"/>
      <c r="CS324" s="46"/>
      <c r="CT324" s="46"/>
      <c r="CU324" s="46"/>
    </row>
    <row r="325" spans="1:99" ht="12.75" customHeight="1">
      <c r="A325" s="399">
        <v>1567</v>
      </c>
      <c r="B325" s="409" t="s">
        <v>5226</v>
      </c>
      <c r="C325" s="399">
        <f t="shared" si="42"/>
        <v>1567</v>
      </c>
      <c r="D325" s="399" t="e">
        <f t="shared" ca="1" si="62"/>
        <v>#NAME?</v>
      </c>
      <c r="E325" s="399" t="str">
        <f t="shared" si="44"/>
        <v>Other STIs (excluding HIV and hepatitis)</v>
      </c>
      <c r="F325" s="410" t="s">
        <v>180</v>
      </c>
      <c r="G325" s="400">
        <v>23</v>
      </c>
      <c r="H325" s="399" t="s">
        <v>4475</v>
      </c>
      <c r="I325" s="400"/>
      <c r="J325" s="400"/>
      <c r="K325" s="401" t="s">
        <v>3333</v>
      </c>
      <c r="L325" s="402" t="s">
        <v>3499</v>
      </c>
      <c r="M325" s="400"/>
      <c r="N325" s="427" t="s">
        <v>4417</v>
      </c>
      <c r="O325" s="428"/>
      <c r="P325" s="403" t="s">
        <v>5227</v>
      </c>
      <c r="Q325" s="405"/>
      <c r="R325" s="403"/>
      <c r="S325" s="403"/>
      <c r="T325" s="407"/>
      <c r="U325" s="407"/>
      <c r="V325" s="432" t="s">
        <v>5226</v>
      </c>
      <c r="W325" s="407"/>
      <c r="X325" s="403" t="s">
        <v>208</v>
      </c>
      <c r="Y325" s="407"/>
      <c r="Z325" s="403" t="s">
        <v>113</v>
      </c>
      <c r="AA325" s="403" t="s">
        <v>3178</v>
      </c>
      <c r="AB325" s="559" t="s">
        <v>4968</v>
      </c>
      <c r="AC325" s="421"/>
      <c r="AD325" s="421"/>
      <c r="AE325" s="432"/>
      <c r="AF325" s="421"/>
      <c r="AG325" s="407"/>
      <c r="AH325" s="399"/>
      <c r="AI325" s="400"/>
      <c r="AJ325" s="399"/>
      <c r="AK325" s="440"/>
      <c r="AL325" s="399"/>
      <c r="AM325" s="399"/>
      <c r="AN325" s="399"/>
      <c r="AO325" s="399"/>
      <c r="AP325" s="409"/>
      <c r="AQ325" s="409" t="s">
        <v>3130</v>
      </c>
      <c r="AR325" s="409" t="s">
        <v>4478</v>
      </c>
      <c r="AS325" s="409"/>
      <c r="AT325" s="399"/>
      <c r="AU325" s="399" t="s">
        <v>5228</v>
      </c>
      <c r="AV325" s="399" t="str">
        <f t="shared" si="47"/>
        <v>Changed</v>
      </c>
      <c r="AW325" s="399"/>
      <c r="AX325" s="409" t="s">
        <v>3343</v>
      </c>
      <c r="AY325" s="399" t="e">
        <f t="shared" ca="1" si="63"/>
        <v>#NAME?</v>
      </c>
      <c r="AZ325" s="399"/>
      <c r="BA325" s="409">
        <v>1</v>
      </c>
      <c r="BB325" s="399"/>
      <c r="BC325" s="409"/>
      <c r="BD325" s="399"/>
      <c r="BE325" s="434" t="s">
        <v>5229</v>
      </c>
      <c r="BF325" s="411"/>
      <c r="BG325" s="411"/>
      <c r="BH325" s="411"/>
      <c r="BI325" s="411"/>
      <c r="BJ325" s="399"/>
      <c r="BK325" s="399"/>
      <c r="BL325" s="409" t="s">
        <v>3162</v>
      </c>
      <c r="BM325" s="399"/>
      <c r="BN325" s="399"/>
      <c r="BO325" s="399"/>
      <c r="BP325" s="399"/>
      <c r="BQ325" s="399"/>
      <c r="BR325" s="399"/>
      <c r="BS325" s="407"/>
      <c r="BT325" s="407"/>
      <c r="BU325" s="412"/>
      <c r="BV325" s="46" t="str">
        <f t="shared" si="8"/>
        <v/>
      </c>
      <c r="BW325" s="46">
        <f t="shared" si="9"/>
        <v>0</v>
      </c>
      <c r="BX325" s="46">
        <f t="shared" si="10"/>
        <v>0</v>
      </c>
      <c r="BY325" s="43" t="str">
        <f t="shared" si="11"/>
        <v>WHO-FP Condition (Medical Eligibility)</v>
      </c>
      <c r="BZ325" s="46">
        <f t="shared" si="12"/>
        <v>1</v>
      </c>
      <c r="CA325" s="46" t="str">
        <f t="shared" si="13"/>
        <v/>
      </c>
      <c r="CB325" s="46">
        <f t="shared" si="14"/>
        <v>1</v>
      </c>
      <c r="CC325" s="46">
        <f t="shared" si="15"/>
        <v>1</v>
      </c>
      <c r="CD325" s="46">
        <f t="shared" si="16"/>
        <v>1</v>
      </c>
      <c r="CE325" s="46">
        <f t="shared" si="17"/>
        <v>0</v>
      </c>
      <c r="CF325" s="46">
        <f t="shared" si="18"/>
        <v>0</v>
      </c>
      <c r="CG325" s="46" t="str">
        <f ca="1">IFERROR(__xludf.DUMMYFUNCTION("if(OR(BH325="""",LEFT(BH325,2)=""LA""),"""",IMPORTXML(CONCATENATE(""https://loinc.org/"",BH325,""/""),""//span[@id='lcn']""))"),"")</f>
        <v/>
      </c>
      <c r="CH325" s="46"/>
      <c r="CI325" s="46"/>
      <c r="CJ325" s="46"/>
      <c r="CK325" s="46"/>
      <c r="CL325" s="46"/>
      <c r="CM325" s="46"/>
      <c r="CN325" s="46"/>
      <c r="CO325" s="46"/>
      <c r="CP325" s="46"/>
      <c r="CQ325" s="46"/>
      <c r="CR325" s="46"/>
      <c r="CS325" s="46"/>
      <c r="CT325" s="46"/>
      <c r="CU325" s="46"/>
    </row>
    <row r="326" spans="1:99" ht="12.75" customHeight="1">
      <c r="A326" s="399">
        <v>1568</v>
      </c>
      <c r="B326" s="409" t="s">
        <v>5231</v>
      </c>
      <c r="C326" s="399">
        <f t="shared" si="42"/>
        <v>1568</v>
      </c>
      <c r="D326" s="399" t="e">
        <f t="shared" ca="1" si="62"/>
        <v>#NAME?</v>
      </c>
      <c r="E326" s="399" t="str">
        <f t="shared" si="44"/>
        <v>Vaginitis (including trichomonas vaginalis and bacterial vaginosis)</v>
      </c>
      <c r="F326" s="410" t="s">
        <v>180</v>
      </c>
      <c r="G326" s="400">
        <v>23</v>
      </c>
      <c r="H326" s="399" t="s">
        <v>4475</v>
      </c>
      <c r="I326" s="400"/>
      <c r="J326" s="400"/>
      <c r="K326" s="401" t="s">
        <v>3333</v>
      </c>
      <c r="L326" s="402" t="s">
        <v>3499</v>
      </c>
      <c r="M326" s="400"/>
      <c r="N326" s="427" t="s">
        <v>4417</v>
      </c>
      <c r="O326" s="428"/>
      <c r="P326" s="405" t="s">
        <v>4245</v>
      </c>
      <c r="Q326" s="405"/>
      <c r="R326" s="403"/>
      <c r="S326" s="585" t="s">
        <v>5232</v>
      </c>
      <c r="T326" s="407"/>
      <c r="U326" s="407"/>
      <c r="V326" s="429" t="s">
        <v>5232</v>
      </c>
      <c r="W326" s="407"/>
      <c r="X326" s="403" t="s">
        <v>113</v>
      </c>
      <c r="Y326" s="403" t="s">
        <v>5233</v>
      </c>
      <c r="Z326" s="403" t="s">
        <v>113</v>
      </c>
      <c r="AA326" s="403" t="s">
        <v>3178</v>
      </c>
      <c r="AB326" s="432" t="s">
        <v>5234</v>
      </c>
      <c r="AC326" s="421"/>
      <c r="AD326" s="421"/>
      <c r="AE326" s="408"/>
      <c r="AF326" s="407" t="s">
        <v>4489</v>
      </c>
      <c r="AG326" s="407" t="s">
        <v>3851</v>
      </c>
      <c r="AH326" s="399"/>
      <c r="AI326" s="400"/>
      <c r="AJ326" s="399"/>
      <c r="AK326" s="440"/>
      <c r="AL326" s="399"/>
      <c r="AM326" s="399"/>
      <c r="AN326" s="399"/>
      <c r="AO326" s="399"/>
      <c r="AP326" s="409"/>
      <c r="AQ326" s="409" t="s">
        <v>3130</v>
      </c>
      <c r="AR326" s="409" t="s">
        <v>4478</v>
      </c>
      <c r="AS326" s="409"/>
      <c r="AT326" s="399"/>
      <c r="AU326" s="399" t="s">
        <v>5235</v>
      </c>
      <c r="AV326" s="399" t="str">
        <f t="shared" si="47"/>
        <v>Changed</v>
      </c>
      <c r="AW326" s="399"/>
      <c r="AX326" s="409" t="s">
        <v>3343</v>
      </c>
      <c r="AY326" s="399" t="e">
        <f t="shared" ca="1" si="63"/>
        <v>#NAME?</v>
      </c>
      <c r="AZ326" s="399"/>
      <c r="BA326" s="409">
        <v>1</v>
      </c>
      <c r="BB326" s="399"/>
      <c r="BC326" s="399"/>
      <c r="BD326" s="409" t="s">
        <v>5236</v>
      </c>
      <c r="BE326" s="411" t="s">
        <v>5237</v>
      </c>
      <c r="BF326" s="411"/>
      <c r="BG326" s="411" t="s">
        <v>5238</v>
      </c>
      <c r="BH326" s="411"/>
      <c r="BI326" s="411"/>
      <c r="BJ326" s="399"/>
      <c r="BK326" s="399"/>
      <c r="BL326" s="399"/>
      <c r="BM326" s="399"/>
      <c r="BN326" s="399"/>
      <c r="BO326" s="399"/>
      <c r="BP326" s="399"/>
      <c r="BQ326" s="399"/>
      <c r="BR326" s="399"/>
      <c r="BS326" s="407"/>
      <c r="BT326" s="407"/>
      <c r="BU326" s="412"/>
      <c r="BV326" s="46" t="str">
        <f t="shared" si="8"/>
        <v/>
      </c>
      <c r="BW326" s="46">
        <f t="shared" si="9"/>
        <v>0</v>
      </c>
      <c r="BX326" s="46">
        <f t="shared" si="10"/>
        <v>0</v>
      </c>
      <c r="BY326" s="43" t="str">
        <f t="shared" si="11"/>
        <v>WHO-FP Condition (Medical Eligibility)</v>
      </c>
      <c r="BZ326" s="46">
        <f t="shared" si="12"/>
        <v>1</v>
      </c>
      <c r="CA326" s="46" t="str">
        <f t="shared" si="13"/>
        <v/>
      </c>
      <c r="CB326" s="46">
        <f t="shared" si="14"/>
        <v>1</v>
      </c>
      <c r="CC326" s="46">
        <f t="shared" si="15"/>
        <v>1</v>
      </c>
      <c r="CD326" s="46">
        <f t="shared" si="16"/>
        <v>1</v>
      </c>
      <c r="CE326" s="46">
        <f t="shared" si="17"/>
        <v>0</v>
      </c>
      <c r="CF326" s="46">
        <f t="shared" si="18"/>
        <v>0</v>
      </c>
      <c r="CG326" s="46" t="str">
        <f ca="1">IFERROR(__xludf.DUMMYFUNCTION("if(OR(BH326="""",LEFT(BH326,2)=""LA""),"""",IMPORTXML(CONCATENATE(""https://loinc.org/"",BH326,""/""),""//span[@id='lcn']""))"),"")</f>
        <v/>
      </c>
      <c r="CH326" s="46"/>
      <c r="CI326" s="46"/>
      <c r="CJ326" s="46"/>
      <c r="CK326" s="46"/>
      <c r="CL326" s="46"/>
      <c r="CM326" s="46"/>
      <c r="CN326" s="46"/>
      <c r="CO326" s="46"/>
      <c r="CP326" s="46"/>
      <c r="CQ326" s="46"/>
      <c r="CR326" s="46"/>
      <c r="CS326" s="46"/>
      <c r="CT326" s="46"/>
      <c r="CU326" s="46"/>
    </row>
    <row r="327" spans="1:99" ht="12.75" customHeight="1">
      <c r="A327" s="399">
        <v>1569</v>
      </c>
      <c r="B327" s="409" t="s">
        <v>5241</v>
      </c>
      <c r="C327" s="399">
        <f t="shared" si="42"/>
        <v>1569</v>
      </c>
      <c r="D327" s="399" t="str">
        <f t="shared" si="62"/>
        <v>Increased risk of STIs</v>
      </c>
      <c r="E327" s="399" t="str">
        <f t="shared" si="44"/>
        <v>Increased risk of STIs</v>
      </c>
      <c r="F327" s="409" t="s">
        <v>3164</v>
      </c>
      <c r="G327" s="400">
        <f t="shared" ref="G327:G332" si="68">LEN(B327)</f>
        <v>31</v>
      </c>
      <c r="H327" s="400" t="str">
        <f t="shared" ref="H327:H330" si="69">IF(F327="Input Option",IF(H326="",B326,H326),"")</f>
        <v/>
      </c>
      <c r="I327" s="400"/>
      <c r="J327" s="400"/>
      <c r="K327" s="401" t="s">
        <v>3333</v>
      </c>
      <c r="L327" s="402" t="s">
        <v>3499</v>
      </c>
      <c r="M327" s="400"/>
      <c r="N327" s="427" t="s">
        <v>4417</v>
      </c>
      <c r="O327" s="428"/>
      <c r="P327" s="405" t="s">
        <v>5243</v>
      </c>
      <c r="Q327" s="405" t="s">
        <v>5244</v>
      </c>
      <c r="R327" s="403" t="s">
        <v>5244</v>
      </c>
      <c r="S327" s="403" t="s">
        <v>5245</v>
      </c>
      <c r="T327" s="403" t="s">
        <v>3339</v>
      </c>
      <c r="U327" s="407" t="s">
        <v>3326</v>
      </c>
      <c r="V327" s="429" t="s">
        <v>5244</v>
      </c>
      <c r="W327" s="407"/>
      <c r="X327" s="403" t="s">
        <v>208</v>
      </c>
      <c r="Y327" s="407"/>
      <c r="Z327" s="403" t="s">
        <v>113</v>
      </c>
      <c r="AA327" s="403" t="s">
        <v>3178</v>
      </c>
      <c r="AB327" s="432" t="s">
        <v>5186</v>
      </c>
      <c r="AC327" s="421"/>
      <c r="AD327" s="421"/>
      <c r="AE327" s="408"/>
      <c r="AF327" s="407" t="s">
        <v>4489</v>
      </c>
      <c r="AG327" s="407" t="s">
        <v>3851</v>
      </c>
      <c r="AH327" s="399"/>
      <c r="AI327" s="400"/>
      <c r="AJ327" s="399"/>
      <c r="AK327" s="399"/>
      <c r="AL327" s="409"/>
      <c r="AM327" s="409"/>
      <c r="AN327" s="409"/>
      <c r="AO327" s="399"/>
      <c r="AP327" s="399"/>
      <c r="AQ327" s="409" t="s">
        <v>115</v>
      </c>
      <c r="AR327" s="399"/>
      <c r="AS327" s="399"/>
      <c r="AT327" s="399"/>
      <c r="AU327" s="399" t="s">
        <v>5244</v>
      </c>
      <c r="AV327" s="399" t="str">
        <f t="shared" si="47"/>
        <v>Changed</v>
      </c>
      <c r="AW327" s="399"/>
      <c r="AX327" s="409" t="s">
        <v>3343</v>
      </c>
      <c r="AY327" s="399" t="str">
        <f t="shared" si="63"/>
        <v>"Increased risk of STIs"-&gt;"Header - Increased risk of STIs"</v>
      </c>
      <c r="AZ327" s="399"/>
      <c r="BA327" s="409">
        <v>1</v>
      </c>
      <c r="BB327" s="399"/>
      <c r="BC327" s="399"/>
      <c r="BD327" s="409" t="s">
        <v>5246</v>
      </c>
      <c r="BE327" s="411" t="s">
        <v>5247</v>
      </c>
      <c r="BF327" s="411"/>
      <c r="BG327" s="411"/>
      <c r="BH327" s="411"/>
      <c r="BI327" s="411"/>
      <c r="BJ327" s="399"/>
      <c r="BK327" s="399"/>
      <c r="BL327" s="399"/>
      <c r="BM327" s="399"/>
      <c r="BN327" s="399"/>
      <c r="BO327" s="399"/>
      <c r="BP327" s="399"/>
      <c r="BQ327" s="399"/>
      <c r="BR327" s="399"/>
      <c r="BS327" s="407"/>
      <c r="BT327" s="407"/>
      <c r="BU327" s="412"/>
      <c r="BV327" s="46" t="str">
        <f t="shared" si="8"/>
        <v/>
      </c>
      <c r="BW327" s="46" t="str">
        <f t="shared" si="9"/>
        <v/>
      </c>
      <c r="BX327" s="46" t="str">
        <f t="shared" si="10"/>
        <v/>
      </c>
      <c r="BY327" s="43" t="str">
        <f t="shared" si="11"/>
        <v/>
      </c>
      <c r="BZ327" s="46">
        <f t="shared" si="12"/>
        <v>1</v>
      </c>
      <c r="CA327" s="46" t="str">
        <f t="shared" si="13"/>
        <v/>
      </c>
      <c r="CB327" s="46">
        <f t="shared" si="14"/>
        <v>1</v>
      </c>
      <c r="CC327" s="46">
        <f t="shared" si="15"/>
        <v>1</v>
      </c>
      <c r="CD327" s="46">
        <f t="shared" si="16"/>
        <v>1</v>
      </c>
      <c r="CE327" s="46">
        <f t="shared" si="17"/>
        <v>0</v>
      </c>
      <c r="CF327" s="46">
        <f t="shared" si="18"/>
        <v>0</v>
      </c>
      <c r="CG327" s="46" t="str">
        <f ca="1">IFERROR(__xludf.DUMMYFUNCTION("if(OR(BH327="""",LEFT(BH327,2)=""LA""),"""",IMPORTXML(CONCATENATE(""https://loinc.org/"",BH327,""/""),""//span[@id='lcn']""))"),"")</f>
        <v/>
      </c>
      <c r="CH327" s="46"/>
      <c r="CI327" s="46"/>
      <c r="CJ327" s="46"/>
      <c r="CK327" s="46"/>
      <c r="CL327" s="46"/>
      <c r="CM327" s="46"/>
      <c r="CN327" s="46"/>
      <c r="CO327" s="46"/>
      <c r="CP327" s="46"/>
      <c r="CQ327" s="46"/>
      <c r="CR327" s="46"/>
      <c r="CS327" s="46"/>
      <c r="CT327" s="46"/>
      <c r="CU327" s="46"/>
    </row>
    <row r="328" spans="1:99" ht="12.75" customHeight="1">
      <c r="A328" s="399">
        <v>1570</v>
      </c>
      <c r="B328" s="409" t="s">
        <v>5249</v>
      </c>
      <c r="C328" s="399">
        <f t="shared" si="42"/>
        <v>1570</v>
      </c>
      <c r="D328" s="399" t="str">
        <f t="shared" si="62"/>
        <v xml:space="preserve">High likelihood of gonorrhoea </v>
      </c>
      <c r="E328" s="399" t="str">
        <f t="shared" si="44"/>
        <v xml:space="preserve">High likelihood of gonorrhoea </v>
      </c>
      <c r="F328" s="410" t="s">
        <v>96</v>
      </c>
      <c r="G328" s="400">
        <f t="shared" si="68"/>
        <v>30</v>
      </c>
      <c r="H328" s="400" t="str">
        <f t="shared" si="69"/>
        <v/>
      </c>
      <c r="I328" s="400"/>
      <c r="J328" s="400"/>
      <c r="K328" s="401" t="s">
        <v>3333</v>
      </c>
      <c r="L328" s="402" t="s">
        <v>3499</v>
      </c>
      <c r="M328" s="400"/>
      <c r="N328" s="427" t="s">
        <v>4417</v>
      </c>
      <c r="O328" s="428"/>
      <c r="P328" s="403" t="s">
        <v>5250</v>
      </c>
      <c r="Q328" s="405"/>
      <c r="R328" s="403"/>
      <c r="S328" s="403"/>
      <c r="T328" s="407"/>
      <c r="U328" s="407"/>
      <c r="V328" s="432" t="s">
        <v>5249</v>
      </c>
      <c r="W328" s="407"/>
      <c r="X328" s="403" t="s">
        <v>208</v>
      </c>
      <c r="Y328" s="407"/>
      <c r="Z328" s="403" t="s">
        <v>113</v>
      </c>
      <c r="AA328" s="403" t="s">
        <v>3178</v>
      </c>
      <c r="AB328" s="559" t="s">
        <v>4968</v>
      </c>
      <c r="AC328" s="421"/>
      <c r="AD328" s="421"/>
      <c r="AE328" s="408"/>
      <c r="AF328" s="407" t="s">
        <v>4489</v>
      </c>
      <c r="AG328" s="407" t="s">
        <v>3851</v>
      </c>
      <c r="AH328" s="399"/>
      <c r="AI328" s="400"/>
      <c r="AJ328" s="399"/>
      <c r="AK328" s="409" t="s">
        <v>3916</v>
      </c>
      <c r="AL328" s="409"/>
      <c r="AM328" s="409" t="s">
        <v>3100</v>
      </c>
      <c r="AN328" s="409" t="s">
        <v>3101</v>
      </c>
      <c r="AO328" s="399"/>
      <c r="AP328" s="399"/>
      <c r="AQ328" s="409" t="s">
        <v>115</v>
      </c>
      <c r="AR328" s="399"/>
      <c r="AS328" s="399"/>
      <c r="AT328" s="399"/>
      <c r="AU328" s="399" t="s">
        <v>5251</v>
      </c>
      <c r="AV328" s="399" t="str">
        <f t="shared" si="47"/>
        <v>Changed</v>
      </c>
      <c r="AW328" s="399"/>
      <c r="AX328" s="409" t="s">
        <v>3343</v>
      </c>
      <c r="AY328" s="399" t="str">
        <f t="shared" si="63"/>
        <v/>
      </c>
      <c r="AZ328" s="399"/>
      <c r="BA328" s="409">
        <v>0</v>
      </c>
      <c r="BB328" s="399"/>
      <c r="BC328" s="399"/>
      <c r="BD328" s="409" t="s">
        <v>5246</v>
      </c>
      <c r="BE328" s="411" t="s">
        <v>5247</v>
      </c>
      <c r="BF328" s="411"/>
      <c r="BG328" s="411"/>
      <c r="BH328" s="411"/>
      <c r="BI328" s="411"/>
      <c r="BJ328" s="399"/>
      <c r="BK328" s="399"/>
      <c r="BL328" s="399"/>
      <c r="BM328" s="399"/>
      <c r="BN328" s="399"/>
      <c r="BO328" s="399"/>
      <c r="BP328" s="399"/>
      <c r="BQ328" s="399"/>
      <c r="BR328" s="399"/>
      <c r="BS328" s="407"/>
      <c r="BT328" s="407"/>
      <c r="BU328" s="412"/>
      <c r="BV328" s="46" t="str">
        <f t="shared" si="8"/>
        <v/>
      </c>
      <c r="BW328" s="46" t="str">
        <f t="shared" si="9"/>
        <v/>
      </c>
      <c r="BX328" s="46" t="str">
        <f t="shared" si="10"/>
        <v/>
      </c>
      <c r="BY328" s="43">
        <f t="shared" si="11"/>
        <v>0</v>
      </c>
      <c r="BZ328" s="46">
        <f t="shared" si="12"/>
        <v>1</v>
      </c>
      <c r="CA328" s="46">
        <f t="shared" si="13"/>
        <v>0</v>
      </c>
      <c r="CB328" s="46">
        <f t="shared" si="14"/>
        <v>1</v>
      </c>
      <c r="CC328" s="46">
        <f t="shared" si="15"/>
        <v>1</v>
      </c>
      <c r="CD328" s="46">
        <f t="shared" si="16"/>
        <v>1</v>
      </c>
      <c r="CE328" s="46">
        <f t="shared" si="17"/>
        <v>0</v>
      </c>
      <c r="CF328" s="46">
        <f t="shared" si="18"/>
        <v>0</v>
      </c>
      <c r="CG328" s="46" t="str">
        <f ca="1">IFERROR(__xludf.DUMMYFUNCTION("if(OR(BH328="""",LEFT(BH328,2)=""LA""),"""",IMPORTXML(CONCATENATE(""https://loinc.org/"",BH328,""/""),""//span[@id='lcn']""))"),"")</f>
        <v/>
      </c>
      <c r="CH328" s="46"/>
      <c r="CI328" s="46"/>
      <c r="CJ328" s="46"/>
      <c r="CK328" s="46"/>
      <c r="CL328" s="46"/>
      <c r="CM328" s="46"/>
      <c r="CN328" s="46"/>
      <c r="CO328" s="46"/>
      <c r="CP328" s="46"/>
      <c r="CQ328" s="46"/>
      <c r="CR328" s="46"/>
      <c r="CS328" s="46"/>
      <c r="CT328" s="46"/>
      <c r="CU328" s="46"/>
    </row>
    <row r="329" spans="1:99" ht="12.75" customHeight="1">
      <c r="A329" s="399">
        <v>1571</v>
      </c>
      <c r="B329" s="409" t="s">
        <v>5253</v>
      </c>
      <c r="C329" s="399">
        <f t="shared" si="42"/>
        <v>1571</v>
      </c>
      <c r="D329" s="399" t="str">
        <f t="shared" si="62"/>
        <v>High likelihood of chlamydia</v>
      </c>
      <c r="E329" s="399" t="str">
        <f t="shared" si="44"/>
        <v>High likelihood of chlamydia</v>
      </c>
      <c r="F329" s="410" t="s">
        <v>96</v>
      </c>
      <c r="G329" s="400">
        <f t="shared" si="68"/>
        <v>28</v>
      </c>
      <c r="H329" s="400" t="str">
        <f t="shared" si="69"/>
        <v/>
      </c>
      <c r="I329" s="400"/>
      <c r="J329" s="400"/>
      <c r="K329" s="401" t="s">
        <v>3333</v>
      </c>
      <c r="L329" s="402" t="s">
        <v>3499</v>
      </c>
      <c r="M329" s="400"/>
      <c r="N329" s="427" t="s">
        <v>4417</v>
      </c>
      <c r="O329" s="428"/>
      <c r="P329" s="403" t="s">
        <v>5255</v>
      </c>
      <c r="Q329" s="405"/>
      <c r="R329" s="403"/>
      <c r="S329" s="403"/>
      <c r="T329" s="407"/>
      <c r="U329" s="407"/>
      <c r="V329" s="432" t="s">
        <v>5253</v>
      </c>
      <c r="W329" s="407"/>
      <c r="X329" s="403" t="s">
        <v>208</v>
      </c>
      <c r="Y329" s="407"/>
      <c r="Z329" s="403" t="s">
        <v>113</v>
      </c>
      <c r="AA329" s="403" t="s">
        <v>3178</v>
      </c>
      <c r="AB329" s="559" t="s">
        <v>4968</v>
      </c>
      <c r="AC329" s="421"/>
      <c r="AD329" s="421"/>
      <c r="AE329" s="432"/>
      <c r="AF329" s="407"/>
      <c r="AG329" s="407" t="s">
        <v>3851</v>
      </c>
      <c r="AH329" s="399"/>
      <c r="AI329" s="400"/>
      <c r="AJ329" s="399"/>
      <c r="AK329" s="409" t="s">
        <v>3916</v>
      </c>
      <c r="AL329" s="409"/>
      <c r="AM329" s="409" t="s">
        <v>3100</v>
      </c>
      <c r="AN329" s="409" t="s">
        <v>3101</v>
      </c>
      <c r="AO329" s="399"/>
      <c r="AP329" s="399"/>
      <c r="AQ329" s="409" t="s">
        <v>115</v>
      </c>
      <c r="AR329" s="399"/>
      <c r="AS329" s="399"/>
      <c r="AT329" s="399"/>
      <c r="AU329" s="399" t="s">
        <v>5256</v>
      </c>
      <c r="AV329" s="399" t="str">
        <f t="shared" si="47"/>
        <v>Changed</v>
      </c>
      <c r="AW329" s="399"/>
      <c r="AX329" s="409" t="s">
        <v>3343</v>
      </c>
      <c r="AY329" s="399" t="str">
        <f t="shared" si="63"/>
        <v/>
      </c>
      <c r="AZ329" s="399"/>
      <c r="BA329" s="409">
        <v>0</v>
      </c>
      <c r="BB329" s="399"/>
      <c r="BC329" s="399"/>
      <c r="BD329" s="409" t="s">
        <v>5246</v>
      </c>
      <c r="BE329" s="411" t="s">
        <v>5247</v>
      </c>
      <c r="BF329" s="411"/>
      <c r="BG329" s="411"/>
      <c r="BH329" s="411"/>
      <c r="BI329" s="411"/>
      <c r="BJ329" s="399"/>
      <c r="BK329" s="399"/>
      <c r="BL329" s="399"/>
      <c r="BM329" s="399"/>
      <c r="BN329" s="399"/>
      <c r="BO329" s="399"/>
      <c r="BP329" s="399"/>
      <c r="BQ329" s="399"/>
      <c r="BR329" s="399"/>
      <c r="BS329" s="407"/>
      <c r="BT329" s="407"/>
      <c r="BU329" s="412"/>
      <c r="BV329" s="46" t="str">
        <f t="shared" si="8"/>
        <v/>
      </c>
      <c r="BW329" s="46" t="str">
        <f t="shared" si="9"/>
        <v/>
      </c>
      <c r="BX329" s="46" t="str">
        <f t="shared" si="10"/>
        <v/>
      </c>
      <c r="BY329" s="43">
        <f t="shared" si="11"/>
        <v>0</v>
      </c>
      <c r="BZ329" s="46">
        <f t="shared" si="12"/>
        <v>1</v>
      </c>
      <c r="CA329" s="46">
        <f t="shared" si="13"/>
        <v>0</v>
      </c>
      <c r="CB329" s="46">
        <f t="shared" si="14"/>
        <v>1</v>
      </c>
      <c r="CC329" s="46">
        <f t="shared" si="15"/>
        <v>1</v>
      </c>
      <c r="CD329" s="46">
        <f t="shared" si="16"/>
        <v>1</v>
      </c>
      <c r="CE329" s="46">
        <f t="shared" si="17"/>
        <v>0</v>
      </c>
      <c r="CF329" s="46">
        <f t="shared" si="18"/>
        <v>0</v>
      </c>
      <c r="CG329" s="46" t="str">
        <f ca="1">IFERROR(__xludf.DUMMYFUNCTION("if(OR(BH329="""",LEFT(BH329,2)=""LA""),"""",IMPORTXML(CONCATENATE(""https://loinc.org/"",BH329,""/""),""//span[@id='lcn']""))"),"")</f>
        <v/>
      </c>
      <c r="CH329" s="46"/>
      <c r="CI329" s="46"/>
      <c r="CJ329" s="46"/>
      <c r="CK329" s="46"/>
      <c r="CL329" s="46"/>
      <c r="CM329" s="46"/>
      <c r="CN329" s="46"/>
      <c r="CO329" s="46"/>
      <c r="CP329" s="46"/>
      <c r="CQ329" s="46"/>
      <c r="CR329" s="46"/>
      <c r="CS329" s="46"/>
      <c r="CT329" s="46"/>
      <c r="CU329" s="46"/>
    </row>
    <row r="330" spans="1:99" ht="12.75" customHeight="1">
      <c r="A330" s="409">
        <v>1866</v>
      </c>
      <c r="B330" s="399" t="s">
        <v>887</v>
      </c>
      <c r="C330" s="399">
        <f t="shared" si="42"/>
        <v>1866</v>
      </c>
      <c r="D330" s="399" t="str">
        <f t="shared" si="62"/>
        <v>HIV</v>
      </c>
      <c r="E330" s="399" t="str">
        <f t="shared" si="44"/>
        <v>HIV</v>
      </c>
      <c r="F330" s="399" t="str">
        <f>IF(AND(ISBLANK(V330)=FALSE,OR(T330="MC",T330="")),"Input Option","Data Element")</f>
        <v>Data Element</v>
      </c>
      <c r="G330" s="400">
        <f t="shared" si="68"/>
        <v>3</v>
      </c>
      <c r="H330" s="400" t="str">
        <f t="shared" si="69"/>
        <v/>
      </c>
      <c r="I330" s="400"/>
      <c r="J330" s="400"/>
      <c r="K330" s="401" t="s">
        <v>3333</v>
      </c>
      <c r="L330" s="402" t="s">
        <v>4081</v>
      </c>
      <c r="M330" s="402"/>
      <c r="N330" s="427" t="s">
        <v>4417</v>
      </c>
      <c r="O330" s="428"/>
      <c r="P330" s="403" t="s">
        <v>5258</v>
      </c>
      <c r="Q330" s="405" t="s">
        <v>887</v>
      </c>
      <c r="R330" s="403"/>
      <c r="S330" s="403"/>
      <c r="T330" s="407"/>
      <c r="U330" s="407"/>
      <c r="V330" s="403"/>
      <c r="W330" s="407"/>
      <c r="X330" s="403" t="s">
        <v>208</v>
      </c>
      <c r="Y330" s="407"/>
      <c r="Z330" s="403" t="s">
        <v>113</v>
      </c>
      <c r="AA330" s="403" t="s">
        <v>3178</v>
      </c>
      <c r="AB330" s="559" t="s">
        <v>4968</v>
      </c>
      <c r="AC330" s="421"/>
      <c r="AD330" s="421"/>
      <c r="AE330" s="432"/>
      <c r="AF330" s="407"/>
      <c r="AG330" s="407" t="s">
        <v>3851</v>
      </c>
      <c r="AH330" s="399"/>
      <c r="AI330" s="400"/>
      <c r="AJ330" s="399" t="s">
        <v>1787</v>
      </c>
      <c r="AK330" s="409"/>
      <c r="AL330" s="409"/>
      <c r="AM330" s="409"/>
      <c r="AN330" s="409"/>
      <c r="AO330" s="399"/>
      <c r="AP330" s="409"/>
      <c r="AQ330" s="409" t="s">
        <v>115</v>
      </c>
      <c r="AR330" s="399"/>
      <c r="AS330" s="399"/>
      <c r="AT330" s="399"/>
      <c r="AU330" s="399"/>
      <c r="AV330" s="399" t="str">
        <f t="shared" si="47"/>
        <v/>
      </c>
      <c r="AW330" s="399"/>
      <c r="AX330" s="409" t="s">
        <v>3343</v>
      </c>
      <c r="AY330" s="399" t="str">
        <f t="shared" si="63"/>
        <v/>
      </c>
      <c r="AZ330" s="399"/>
      <c r="BA330" s="409">
        <v>0</v>
      </c>
      <c r="BB330" s="399"/>
      <c r="BC330" s="399" t="s">
        <v>1787</v>
      </c>
      <c r="BD330" s="409" t="s">
        <v>5259</v>
      </c>
      <c r="BE330" s="434" t="s">
        <v>5260</v>
      </c>
      <c r="BF330" s="411" t="s">
        <v>1787</v>
      </c>
      <c r="BG330" s="434" t="s">
        <v>5261</v>
      </c>
      <c r="BH330" s="411"/>
      <c r="BI330" s="411"/>
      <c r="BJ330" s="399" t="s">
        <v>1787</v>
      </c>
      <c r="BK330" s="409" t="s">
        <v>5262</v>
      </c>
      <c r="BL330" s="399"/>
      <c r="BM330" s="399" t="s">
        <v>1787</v>
      </c>
      <c r="BN330" s="399" t="s">
        <v>1787</v>
      </c>
      <c r="BO330" s="399" t="s">
        <v>1787</v>
      </c>
      <c r="BP330" s="399" t="s">
        <v>1787</v>
      </c>
      <c r="BQ330" s="399" t="s">
        <v>1787</v>
      </c>
      <c r="BR330" s="399" t="s">
        <v>1787</v>
      </c>
      <c r="BS330" s="407"/>
      <c r="BT330" s="407"/>
      <c r="BU330" s="412"/>
      <c r="BV330" s="46" t="str">
        <f t="shared" si="8"/>
        <v/>
      </c>
      <c r="BW330" s="46" t="str">
        <f t="shared" si="9"/>
        <v/>
      </c>
      <c r="BX330" s="46" t="str">
        <f t="shared" si="10"/>
        <v/>
      </c>
      <c r="BY330" s="43">
        <f t="shared" si="11"/>
        <v>0</v>
      </c>
      <c r="BZ330" s="46">
        <f t="shared" si="12"/>
        <v>1</v>
      </c>
      <c r="CA330" s="46">
        <f t="shared" si="13"/>
        <v>1</v>
      </c>
      <c r="CB330" s="46">
        <f t="shared" si="14"/>
        <v>0</v>
      </c>
      <c r="CC330" s="46">
        <f t="shared" si="15"/>
        <v>0</v>
      </c>
      <c r="CD330" s="46">
        <f t="shared" si="16"/>
        <v>1</v>
      </c>
      <c r="CE330" s="46">
        <f t="shared" si="17"/>
        <v>1</v>
      </c>
      <c r="CF330" s="46">
        <f t="shared" si="18"/>
        <v>0</v>
      </c>
      <c r="CG330" s="46" t="str">
        <f ca="1">IFERROR(__xludf.DUMMYFUNCTION("if(OR(BH330="""",LEFT(BH330,2)=""LA""),"""",IMPORTXML(CONCATENATE(""https://loinc.org/"",BH330,""/""),""//span[@id='lcn']""))"),"")</f>
        <v/>
      </c>
      <c r="CH330" s="46"/>
      <c r="CI330" s="46"/>
      <c r="CJ330" s="46"/>
      <c r="CK330" s="46"/>
      <c r="CL330" s="46"/>
      <c r="CM330" s="46"/>
      <c r="CN330" s="46"/>
      <c r="CO330" s="46"/>
      <c r="CP330" s="46"/>
      <c r="CQ330" s="46"/>
      <c r="CR330" s="46"/>
      <c r="CS330" s="46"/>
      <c r="CT330" s="46"/>
      <c r="CU330" s="46"/>
    </row>
    <row r="331" spans="1:99" ht="12.75" customHeight="1">
      <c r="A331" s="399">
        <v>1573</v>
      </c>
      <c r="B331" s="409" t="s">
        <v>5267</v>
      </c>
      <c r="C331" s="399">
        <f t="shared" si="42"/>
        <v>1573</v>
      </c>
      <c r="D331" s="399" t="e">
        <f t="shared" ca="1" si="62"/>
        <v>#NAME?</v>
      </c>
      <c r="E331" s="399" t="str">
        <f t="shared" si="44"/>
        <v>High risk of HIV</v>
      </c>
      <c r="F331" s="409" t="s">
        <v>180</v>
      </c>
      <c r="G331" s="400">
        <f t="shared" si="68"/>
        <v>16</v>
      </c>
      <c r="H331" s="410" t="s">
        <v>4472</v>
      </c>
      <c r="I331" s="400"/>
      <c r="J331" s="400"/>
      <c r="K331" s="401" t="s">
        <v>3333</v>
      </c>
      <c r="L331" s="402" t="s">
        <v>3499</v>
      </c>
      <c r="M331" s="400"/>
      <c r="N331" s="427" t="s">
        <v>4417</v>
      </c>
      <c r="O331" s="428"/>
      <c r="P331" s="403" t="s">
        <v>5269</v>
      </c>
      <c r="Q331" s="405"/>
      <c r="R331" s="403"/>
      <c r="S331" s="403"/>
      <c r="T331" s="407"/>
      <c r="U331" s="407"/>
      <c r="V331" s="429" t="s">
        <v>5267</v>
      </c>
      <c r="W331" s="407"/>
      <c r="X331" s="403" t="s">
        <v>208</v>
      </c>
      <c r="Y331" s="407"/>
      <c r="Z331" s="403" t="s">
        <v>113</v>
      </c>
      <c r="AA331" s="403" t="s">
        <v>3178</v>
      </c>
      <c r="AB331" s="559" t="s">
        <v>4968</v>
      </c>
      <c r="AC331" s="421"/>
      <c r="AD331" s="421"/>
      <c r="AE331" s="432"/>
      <c r="AF331" s="407"/>
      <c r="AG331" s="407" t="s">
        <v>3851</v>
      </c>
      <c r="AH331" s="399"/>
      <c r="AI331" s="400"/>
      <c r="AJ331" s="399"/>
      <c r="AK331" s="409"/>
      <c r="AL331" s="409"/>
      <c r="AM331" s="409"/>
      <c r="AN331" s="409"/>
      <c r="AO331" s="399"/>
      <c r="AP331" s="409"/>
      <c r="AQ331" s="409" t="s">
        <v>3130</v>
      </c>
      <c r="AR331" s="410" t="s">
        <v>4474</v>
      </c>
      <c r="AS331" s="410"/>
      <c r="AT331" s="399"/>
      <c r="AU331" s="399" t="s">
        <v>5272</v>
      </c>
      <c r="AV331" s="399" t="str">
        <f t="shared" si="47"/>
        <v>Changed</v>
      </c>
      <c r="AW331" s="399"/>
      <c r="AX331" s="409" t="s">
        <v>3343</v>
      </c>
      <c r="AY331" s="399" t="e">
        <f t="shared" ca="1" si="63"/>
        <v>#NAME?</v>
      </c>
      <c r="AZ331" s="399"/>
      <c r="BA331" s="409">
        <v>1</v>
      </c>
      <c r="BB331" s="399"/>
      <c r="BC331" s="399"/>
      <c r="BD331" s="399"/>
      <c r="BE331" s="434" t="s">
        <v>5273</v>
      </c>
      <c r="BF331" s="411"/>
      <c r="BG331" s="434" t="s">
        <v>5274</v>
      </c>
      <c r="BH331" s="411"/>
      <c r="BI331" s="411"/>
      <c r="BJ331" s="399"/>
      <c r="BK331" s="409" t="s">
        <v>5275</v>
      </c>
      <c r="BL331" s="399"/>
      <c r="BM331" s="399"/>
      <c r="BN331" s="399"/>
      <c r="BO331" s="399"/>
      <c r="BP331" s="399"/>
      <c r="BQ331" s="399"/>
      <c r="BR331" s="399"/>
      <c r="BS331" s="407"/>
      <c r="BT331" s="407"/>
      <c r="BU331" s="412"/>
      <c r="BV331" s="46" t="str">
        <f t="shared" si="8"/>
        <v/>
      </c>
      <c r="BW331" s="46">
        <f t="shared" si="9"/>
        <v>0</v>
      </c>
      <c r="BX331" s="46">
        <f t="shared" si="10"/>
        <v>0</v>
      </c>
      <c r="BY331" s="43" t="str">
        <f t="shared" si="11"/>
        <v>WHO-FP Observation (Medical Eligibility)</v>
      </c>
      <c r="BZ331" s="46">
        <f t="shared" si="12"/>
        <v>1</v>
      </c>
      <c r="CA331" s="46" t="str">
        <f t="shared" si="13"/>
        <v/>
      </c>
      <c r="CB331" s="46">
        <f t="shared" si="14"/>
        <v>1</v>
      </c>
      <c r="CC331" s="46">
        <f t="shared" si="15"/>
        <v>1</v>
      </c>
      <c r="CD331" s="46">
        <f t="shared" si="16"/>
        <v>1</v>
      </c>
      <c r="CE331" s="46">
        <f t="shared" si="17"/>
        <v>0</v>
      </c>
      <c r="CF331" s="46">
        <f t="shared" si="18"/>
        <v>0</v>
      </c>
      <c r="CG331" s="46" t="str">
        <f ca="1">IFERROR(__xludf.DUMMYFUNCTION("if(OR(BH331="""",LEFT(BH331,2)=""LA""),"""",IMPORTXML(CONCATENATE(""https://loinc.org/"",BH331,""/""),""//span[@id='lcn']""))"),"")</f>
        <v/>
      </c>
      <c r="CH331" s="46"/>
      <c r="CI331" s="46"/>
      <c r="CJ331" s="46"/>
      <c r="CK331" s="46"/>
      <c r="CL331" s="46"/>
      <c r="CM331" s="46"/>
      <c r="CN331" s="46"/>
      <c r="CO331" s="46"/>
      <c r="CP331" s="46"/>
      <c r="CQ331" s="46"/>
      <c r="CR331" s="46"/>
      <c r="CS331" s="46"/>
      <c r="CT331" s="46"/>
      <c r="CU331" s="46"/>
    </row>
    <row r="332" spans="1:99" ht="12.75" customHeight="1">
      <c r="A332" s="399">
        <v>1574</v>
      </c>
      <c r="B332" s="399" t="s">
        <v>5277</v>
      </c>
      <c r="C332" s="399">
        <f t="shared" si="42"/>
        <v>1574</v>
      </c>
      <c r="D332" s="399" t="str">
        <f t="shared" si="62"/>
        <v>Other Reproductive Tract Infection</v>
      </c>
      <c r="E332" s="399" t="str">
        <f t="shared" si="44"/>
        <v>Other Reproductive Tract Infection</v>
      </c>
      <c r="F332" s="409" t="s">
        <v>3164</v>
      </c>
      <c r="G332" s="400">
        <f t="shared" si="68"/>
        <v>34</v>
      </c>
      <c r="H332" s="400" t="str">
        <f>IF(F332="Input Option",IF(H331="",B331,H331),"")</f>
        <v/>
      </c>
      <c r="I332" s="400"/>
      <c r="J332" s="400"/>
      <c r="K332" s="401" t="s">
        <v>3333</v>
      </c>
      <c r="L332" s="402" t="s">
        <v>3476</v>
      </c>
      <c r="M332" s="400"/>
      <c r="N332" s="427" t="s">
        <v>4417</v>
      </c>
      <c r="O332" s="428"/>
      <c r="P332" s="403" t="s">
        <v>5278</v>
      </c>
      <c r="Q332" s="405" t="s">
        <v>5277</v>
      </c>
      <c r="R332" s="403"/>
      <c r="S332" s="403"/>
      <c r="T332" s="403" t="s">
        <v>3169</v>
      </c>
      <c r="U332" s="407"/>
      <c r="V332" s="407" t="s">
        <v>3170</v>
      </c>
      <c r="W332" s="407"/>
      <c r="X332" s="403" t="s">
        <v>208</v>
      </c>
      <c r="Y332" s="407"/>
      <c r="Z332" s="403" t="s">
        <v>113</v>
      </c>
      <c r="AA332" s="403" t="s">
        <v>3178</v>
      </c>
      <c r="AB332" s="559" t="s">
        <v>4968</v>
      </c>
      <c r="AC332" s="421"/>
      <c r="AD332" s="421"/>
      <c r="AE332" s="432"/>
      <c r="AF332" s="407"/>
      <c r="AG332" s="407" t="s">
        <v>3851</v>
      </c>
      <c r="AH332" s="399"/>
      <c r="AI332" s="400"/>
      <c r="AJ332" s="399"/>
      <c r="AK332" s="399"/>
      <c r="AL332" s="409" t="s">
        <v>3218</v>
      </c>
      <c r="AM332" s="409"/>
      <c r="AN332" s="409" t="s">
        <v>3218</v>
      </c>
      <c r="AO332" s="409" t="s">
        <v>3218</v>
      </c>
      <c r="AP332" s="399"/>
      <c r="AQ332" s="409" t="s">
        <v>115</v>
      </c>
      <c r="AR332" s="399"/>
      <c r="AS332" s="399"/>
      <c r="AT332" s="399"/>
      <c r="AU332" s="399" t="s">
        <v>5277</v>
      </c>
      <c r="AV332" s="399" t="str">
        <f t="shared" si="47"/>
        <v>Same</v>
      </c>
      <c r="AW332" s="399"/>
      <c r="AX332" s="409" t="s">
        <v>3343</v>
      </c>
      <c r="AY332" s="399" t="str">
        <f t="shared" si="63"/>
        <v/>
      </c>
      <c r="AZ332" s="399"/>
      <c r="BA332" s="409">
        <v>0</v>
      </c>
      <c r="BB332" s="399"/>
      <c r="BC332" s="399"/>
      <c r="BD332" s="399"/>
      <c r="BE332" s="411"/>
      <c r="BF332" s="411"/>
      <c r="BG332" s="411"/>
      <c r="BH332" s="411"/>
      <c r="BI332" s="411"/>
      <c r="BJ332" s="409" t="s">
        <v>3106</v>
      </c>
      <c r="BK332" s="399"/>
      <c r="BL332" s="399"/>
      <c r="BM332" s="399"/>
      <c r="BN332" s="399"/>
      <c r="BO332" s="399"/>
      <c r="BP332" s="399"/>
      <c r="BQ332" s="399"/>
      <c r="BR332" s="399"/>
      <c r="BS332" s="407"/>
      <c r="BT332" s="407"/>
      <c r="BU332" s="412"/>
      <c r="BV332" s="46" t="str">
        <f t="shared" si="8"/>
        <v/>
      </c>
      <c r="BW332" s="46" t="str">
        <f t="shared" si="9"/>
        <v/>
      </c>
      <c r="BX332" s="46" t="str">
        <f t="shared" si="10"/>
        <v/>
      </c>
      <c r="BY332" s="43" t="str">
        <f t="shared" si="11"/>
        <v/>
      </c>
      <c r="BZ332" s="46">
        <f t="shared" si="12"/>
        <v>1</v>
      </c>
      <c r="CA332" s="46" t="str">
        <f t="shared" si="13"/>
        <v/>
      </c>
      <c r="CB332" s="46">
        <f t="shared" si="14"/>
        <v>1</v>
      </c>
      <c r="CC332" s="46">
        <f t="shared" si="15"/>
        <v>1</v>
      </c>
      <c r="CD332" s="46">
        <f t="shared" si="16"/>
        <v>1</v>
      </c>
      <c r="CE332" s="46">
        <f t="shared" si="17"/>
        <v>0</v>
      </c>
      <c r="CF332" s="46">
        <f t="shared" si="18"/>
        <v>0</v>
      </c>
      <c r="CG332" s="46" t="str">
        <f ca="1">IFERROR(__xludf.DUMMYFUNCTION("if(OR(BH332="""",LEFT(BH332,2)=""LA""),"""",IMPORTXML(CONCATENATE(""https://loinc.org/"",BH332,""/""),""//span[@id='lcn']""))"),"")</f>
        <v/>
      </c>
      <c r="CH332" s="46"/>
      <c r="CI332" s="46"/>
      <c r="CJ332" s="46"/>
      <c r="CK332" s="46"/>
      <c r="CL332" s="46"/>
      <c r="CM332" s="46"/>
      <c r="CN332" s="46"/>
      <c r="CO332" s="46"/>
      <c r="CP332" s="46"/>
      <c r="CQ332" s="46"/>
      <c r="CR332" s="46"/>
      <c r="CS332" s="46"/>
      <c r="CT332" s="46"/>
      <c r="CU332" s="46"/>
    </row>
    <row r="333" spans="1:99" ht="12.75" customHeight="1">
      <c r="A333" s="399">
        <v>1575</v>
      </c>
      <c r="B333" s="409" t="s">
        <v>4252</v>
      </c>
      <c r="C333" s="399">
        <f t="shared" si="42"/>
        <v>1575</v>
      </c>
      <c r="D333" s="399" t="e">
        <f t="shared" ca="1" si="62"/>
        <v>#NAME?</v>
      </c>
      <c r="E333" s="399" t="str">
        <f t="shared" si="44"/>
        <v>Toxic shock syndrome</v>
      </c>
      <c r="F333" s="410" t="s">
        <v>180</v>
      </c>
      <c r="G333" s="400">
        <v>23</v>
      </c>
      <c r="H333" s="399" t="s">
        <v>4475</v>
      </c>
      <c r="I333" s="400"/>
      <c r="J333" s="400"/>
      <c r="K333" s="401" t="s">
        <v>3333</v>
      </c>
      <c r="L333" s="402" t="s">
        <v>3476</v>
      </c>
      <c r="M333" s="400"/>
      <c r="N333" s="427" t="s">
        <v>4417</v>
      </c>
      <c r="O333" s="428"/>
      <c r="P333" s="405" t="s">
        <v>4251</v>
      </c>
      <c r="Q333" s="405"/>
      <c r="R333" s="403"/>
      <c r="S333" s="403"/>
      <c r="T333" s="407"/>
      <c r="U333" s="407"/>
      <c r="V333" s="429" t="s">
        <v>4252</v>
      </c>
      <c r="W333" s="407"/>
      <c r="X333" s="403" t="s">
        <v>113</v>
      </c>
      <c r="Y333" s="403"/>
      <c r="Z333" s="403" t="s">
        <v>113</v>
      </c>
      <c r="AA333" s="403" t="s">
        <v>3178</v>
      </c>
      <c r="AB333" s="559" t="s">
        <v>4968</v>
      </c>
      <c r="AC333" s="421"/>
      <c r="AD333" s="421"/>
      <c r="AE333" s="432"/>
      <c r="AF333" s="407"/>
      <c r="AG333" s="407" t="s">
        <v>3851</v>
      </c>
      <c r="AH333" s="399"/>
      <c r="AI333" s="400"/>
      <c r="AJ333" s="399"/>
      <c r="AK333" s="440"/>
      <c r="AL333" s="399"/>
      <c r="AM333" s="399"/>
      <c r="AN333" s="399"/>
      <c r="AO333" s="399"/>
      <c r="AP333" s="409"/>
      <c r="AQ333" s="409" t="s">
        <v>3130</v>
      </c>
      <c r="AR333" s="409" t="s">
        <v>4478</v>
      </c>
      <c r="AS333" s="409"/>
      <c r="AT333" s="399"/>
      <c r="AU333" s="399" t="s">
        <v>4250</v>
      </c>
      <c r="AV333" s="399" t="str">
        <f t="shared" si="47"/>
        <v>Changed</v>
      </c>
      <c r="AW333" s="399"/>
      <c r="AX333" s="409" t="s">
        <v>3343</v>
      </c>
      <c r="AY333" s="399" t="e">
        <f t="shared" ca="1" si="63"/>
        <v>#NAME?</v>
      </c>
      <c r="AZ333" s="399"/>
      <c r="BA333" s="409">
        <v>1</v>
      </c>
      <c r="BB333" s="399"/>
      <c r="BC333" s="399"/>
      <c r="BD333" s="409" t="s">
        <v>3162</v>
      </c>
      <c r="BE333" s="411" t="s">
        <v>4253</v>
      </c>
      <c r="BF333" s="411"/>
      <c r="BG333" s="411"/>
      <c r="BH333" s="411"/>
      <c r="BI333" s="411"/>
      <c r="BJ333" s="399"/>
      <c r="BK333" s="399"/>
      <c r="BL333" s="399"/>
      <c r="BM333" s="399"/>
      <c r="BN333" s="399"/>
      <c r="BO333" s="399"/>
      <c r="BP333" s="399"/>
      <c r="BQ333" s="399"/>
      <c r="BR333" s="399"/>
      <c r="BS333" s="407"/>
      <c r="BT333" s="407"/>
      <c r="BU333" s="412"/>
      <c r="BV333" s="46" t="str">
        <f t="shared" si="8"/>
        <v/>
      </c>
      <c r="BW333" s="46">
        <f t="shared" si="9"/>
        <v>0</v>
      </c>
      <c r="BX333" s="46">
        <f t="shared" si="10"/>
        <v>0</v>
      </c>
      <c r="BY333" s="43" t="str">
        <f t="shared" si="11"/>
        <v>WHO-FP Condition (Medical Eligibility)</v>
      </c>
      <c r="BZ333" s="46">
        <f t="shared" si="12"/>
        <v>1</v>
      </c>
      <c r="CA333" s="46" t="str">
        <f t="shared" si="13"/>
        <v/>
      </c>
      <c r="CB333" s="46">
        <f t="shared" si="14"/>
        <v>1</v>
      </c>
      <c r="CC333" s="46">
        <f t="shared" si="15"/>
        <v>1</v>
      </c>
      <c r="CD333" s="46">
        <f t="shared" si="16"/>
        <v>1</v>
      </c>
      <c r="CE333" s="46">
        <f t="shared" si="17"/>
        <v>0</v>
      </c>
      <c r="CF333" s="46">
        <f t="shared" si="18"/>
        <v>0</v>
      </c>
      <c r="CG333" s="46" t="str">
        <f ca="1">IFERROR(__xludf.DUMMYFUNCTION("if(OR(BH333="""",LEFT(BH333,2)=""LA""),"""",IMPORTXML(CONCATENATE(""https://loinc.org/"",BH333,""/""),""//span[@id='lcn']""))"),"")</f>
        <v/>
      </c>
      <c r="CH333" s="46"/>
      <c r="CI333" s="46"/>
      <c r="CJ333" s="46"/>
      <c r="CK333" s="46"/>
      <c r="CL333" s="46"/>
      <c r="CM333" s="46"/>
      <c r="CN333" s="46"/>
      <c r="CO333" s="46"/>
      <c r="CP333" s="46"/>
      <c r="CQ333" s="46"/>
      <c r="CR333" s="46"/>
      <c r="CS333" s="46"/>
      <c r="CT333" s="46"/>
      <c r="CU333" s="46"/>
    </row>
    <row r="334" spans="1:99" ht="12.75" customHeight="1">
      <c r="A334" s="399">
        <v>1576</v>
      </c>
      <c r="B334" s="409" t="s">
        <v>4237</v>
      </c>
      <c r="C334" s="399">
        <f t="shared" si="42"/>
        <v>1576</v>
      </c>
      <c r="D334" s="399" t="e">
        <f t="shared" ca="1" si="62"/>
        <v>#NAME?</v>
      </c>
      <c r="E334" s="399" t="str">
        <f t="shared" si="44"/>
        <v>Candidiasis</v>
      </c>
      <c r="F334" s="410" t="s">
        <v>180</v>
      </c>
      <c r="G334" s="400">
        <v>23</v>
      </c>
      <c r="H334" s="399" t="s">
        <v>4475</v>
      </c>
      <c r="I334" s="400"/>
      <c r="J334" s="400"/>
      <c r="K334" s="401" t="s">
        <v>3333</v>
      </c>
      <c r="L334" s="402" t="s">
        <v>3476</v>
      </c>
      <c r="M334" s="400"/>
      <c r="N334" s="427" t="s">
        <v>4417</v>
      </c>
      <c r="O334" s="428"/>
      <c r="P334" s="405" t="s">
        <v>4236</v>
      </c>
      <c r="Q334" s="405"/>
      <c r="R334" s="403"/>
      <c r="S334" s="403"/>
      <c r="T334" s="407"/>
      <c r="U334" s="407"/>
      <c r="V334" s="431" t="s">
        <v>4237</v>
      </c>
      <c r="W334" s="407"/>
      <c r="X334" s="403" t="s">
        <v>208</v>
      </c>
      <c r="Y334" s="407"/>
      <c r="Z334" s="403" t="s">
        <v>113</v>
      </c>
      <c r="AA334" s="403" t="s">
        <v>3178</v>
      </c>
      <c r="AB334" s="559" t="s">
        <v>4968</v>
      </c>
      <c r="AC334" s="421"/>
      <c r="AD334" s="421"/>
      <c r="AE334" s="432"/>
      <c r="AF334" s="407"/>
      <c r="AG334" s="407" t="s">
        <v>3851</v>
      </c>
      <c r="AH334" s="399"/>
      <c r="AI334" s="400"/>
      <c r="AJ334" s="399"/>
      <c r="AK334" s="440"/>
      <c r="AL334" s="399"/>
      <c r="AM334" s="399"/>
      <c r="AN334" s="399"/>
      <c r="AO334" s="399"/>
      <c r="AP334" s="409"/>
      <c r="AQ334" s="409" t="s">
        <v>115</v>
      </c>
      <c r="AR334" s="409" t="s">
        <v>4478</v>
      </c>
      <c r="AS334" s="409"/>
      <c r="AT334" s="399"/>
      <c r="AU334" s="399" t="s">
        <v>4235</v>
      </c>
      <c r="AV334" s="399" t="str">
        <f t="shared" si="47"/>
        <v>Changed</v>
      </c>
      <c r="AW334" s="399"/>
      <c r="AX334" s="409" t="s">
        <v>3343</v>
      </c>
      <c r="AY334" s="399" t="e">
        <f t="shared" ca="1" si="63"/>
        <v>#NAME?</v>
      </c>
      <c r="AZ334" s="399"/>
      <c r="BA334" s="409">
        <v>0</v>
      </c>
      <c r="BB334" s="399"/>
      <c r="BC334" s="399"/>
      <c r="BD334" s="409" t="s">
        <v>3162</v>
      </c>
      <c r="BE334" s="411" t="s">
        <v>4240</v>
      </c>
      <c r="BF334" s="411"/>
      <c r="BG334" s="411" t="s">
        <v>4241</v>
      </c>
      <c r="BH334" s="434" t="s">
        <v>4242</v>
      </c>
      <c r="BI334" s="411"/>
      <c r="BJ334" s="399"/>
      <c r="BK334" s="399"/>
      <c r="BL334" s="399"/>
      <c r="BM334" s="399"/>
      <c r="BN334" s="399"/>
      <c r="BO334" s="399"/>
      <c r="BP334" s="399"/>
      <c r="BQ334" s="399"/>
      <c r="BR334" s="399"/>
      <c r="BS334" s="407"/>
      <c r="BT334" s="407"/>
      <c r="BU334" s="412"/>
      <c r="BV334" s="46" t="str">
        <f t="shared" si="8"/>
        <v/>
      </c>
      <c r="BW334" s="46">
        <f t="shared" si="9"/>
        <v>0</v>
      </c>
      <c r="BX334" s="46">
        <f t="shared" si="10"/>
        <v>0</v>
      </c>
      <c r="BY334" s="43" t="str">
        <f t="shared" si="11"/>
        <v>WHO-FP Condition (Medical Eligibility)</v>
      </c>
      <c r="BZ334" s="46">
        <f t="shared" si="12"/>
        <v>1</v>
      </c>
      <c r="CA334" s="46" t="str">
        <f t="shared" si="13"/>
        <v/>
      </c>
      <c r="CB334" s="46">
        <f t="shared" si="14"/>
        <v>1</v>
      </c>
      <c r="CC334" s="46">
        <f t="shared" si="15"/>
        <v>1</v>
      </c>
      <c r="CD334" s="46">
        <f t="shared" si="16"/>
        <v>1</v>
      </c>
      <c r="CE334" s="46">
        <f t="shared" si="17"/>
        <v>0</v>
      </c>
      <c r="CF334" s="46">
        <f t="shared" si="18"/>
        <v>0</v>
      </c>
      <c r="CG334" s="46" t="str">
        <f ca="1">IFERROR(__xludf.DUMMYFUNCTION("if(OR(BH334="""",LEFT(BH334,2)=""LA""),"""",IMPORTXML(CONCATENATE(""https://loinc.org/"",BH334,""/""),""//span[@id='lcn']""))"),"Yeast [Presence] in Genital specimen by Wet preparation")</f>
        <v>Yeast [Presence] in Genital specimen by Wet preparation</v>
      </c>
      <c r="CH334" s="46"/>
      <c r="CI334" s="46"/>
      <c r="CJ334" s="46"/>
      <c r="CK334" s="46"/>
      <c r="CL334" s="46"/>
      <c r="CM334" s="46"/>
      <c r="CN334" s="46"/>
      <c r="CO334" s="46"/>
      <c r="CP334" s="46"/>
      <c r="CQ334" s="46"/>
      <c r="CR334" s="46"/>
      <c r="CS334" s="46"/>
      <c r="CT334" s="46"/>
      <c r="CU334" s="46"/>
    </row>
    <row r="335" spans="1:99" ht="12.75" customHeight="1">
      <c r="A335" s="399">
        <v>1577</v>
      </c>
      <c r="B335" s="409" t="s">
        <v>4258</v>
      </c>
      <c r="C335" s="399">
        <f t="shared" si="42"/>
        <v>1577</v>
      </c>
      <c r="D335" s="399" t="e">
        <f t="shared" ca="1" si="62"/>
        <v>#NAME?</v>
      </c>
      <c r="E335" s="399" t="str">
        <f t="shared" si="44"/>
        <v>Urinary tract infection</v>
      </c>
      <c r="F335" s="410" t="s">
        <v>180</v>
      </c>
      <c r="G335" s="400">
        <v>23</v>
      </c>
      <c r="H335" s="399" t="s">
        <v>4475</v>
      </c>
      <c r="I335" s="400"/>
      <c r="J335" s="400"/>
      <c r="K335" s="409" t="s">
        <v>3333</v>
      </c>
      <c r="L335" s="402" t="s">
        <v>3476</v>
      </c>
      <c r="M335" s="400"/>
      <c r="N335" s="427" t="s">
        <v>4417</v>
      </c>
      <c r="O335" s="41" t="s">
        <v>5279</v>
      </c>
      <c r="P335" s="454" t="s">
        <v>4257</v>
      </c>
      <c r="Q335" s="405"/>
      <c r="R335" s="404" t="s">
        <v>5280</v>
      </c>
      <c r="S335" s="403"/>
      <c r="T335" s="407"/>
      <c r="U335" s="407"/>
      <c r="V335" s="429" t="s">
        <v>4258</v>
      </c>
      <c r="W335" s="407"/>
      <c r="X335" s="403" t="s">
        <v>208</v>
      </c>
      <c r="Y335" s="407"/>
      <c r="Z335" s="403" t="s">
        <v>113</v>
      </c>
      <c r="AA335" s="403" t="s">
        <v>3178</v>
      </c>
      <c r="AB335" s="559" t="s">
        <v>4968</v>
      </c>
      <c r="AC335" s="421"/>
      <c r="AD335" s="421"/>
      <c r="AE335" s="432"/>
      <c r="AF335" s="407"/>
      <c r="AG335" s="407" t="s">
        <v>3851</v>
      </c>
      <c r="AH335" s="399"/>
      <c r="AI335" s="400"/>
      <c r="AJ335" s="399"/>
      <c r="AK335" s="440"/>
      <c r="AL335" s="399"/>
      <c r="AM335" s="399"/>
      <c r="AN335" s="399"/>
      <c r="AO335" s="399"/>
      <c r="AP335" s="409"/>
      <c r="AQ335" s="409" t="s">
        <v>3130</v>
      </c>
      <c r="AR335" s="409" t="s">
        <v>4478</v>
      </c>
      <c r="AS335" s="409"/>
      <c r="AT335" s="399"/>
      <c r="AU335" s="399" t="s">
        <v>4256</v>
      </c>
      <c r="AV335" s="399" t="str">
        <f t="shared" si="47"/>
        <v>Changed</v>
      </c>
      <c r="AW335" s="399"/>
      <c r="AX335" s="409" t="s">
        <v>3343</v>
      </c>
      <c r="AY335" s="399" t="e">
        <f t="shared" ca="1" si="63"/>
        <v>#NAME?</v>
      </c>
      <c r="AZ335" s="409" t="s">
        <v>3105</v>
      </c>
      <c r="BA335" s="409" t="s">
        <v>3125</v>
      </c>
      <c r="BB335" s="399"/>
      <c r="BC335" s="399"/>
      <c r="BD335" s="409" t="s">
        <v>3162</v>
      </c>
      <c r="BE335" s="411" t="s">
        <v>5281</v>
      </c>
      <c r="BF335" s="411"/>
      <c r="BG335" s="434" t="s">
        <v>4260</v>
      </c>
      <c r="BH335" s="411"/>
      <c r="BI335" s="411"/>
      <c r="BJ335" s="399"/>
      <c r="BK335" s="399"/>
      <c r="BL335" s="399"/>
      <c r="BM335" s="399"/>
      <c r="BN335" s="399"/>
      <c r="BO335" s="399"/>
      <c r="BP335" s="399"/>
      <c r="BQ335" s="399"/>
      <c r="BR335" s="399"/>
      <c r="BS335" s="407"/>
      <c r="BT335" s="407"/>
      <c r="BU335" s="412"/>
      <c r="BV335" s="46" t="str">
        <f t="shared" si="8"/>
        <v/>
      </c>
      <c r="BW335" s="46">
        <f t="shared" si="9"/>
        <v>0</v>
      </c>
      <c r="BX335" s="46">
        <f t="shared" si="10"/>
        <v>0</v>
      </c>
      <c r="BY335" s="43" t="str">
        <f t="shared" si="11"/>
        <v>WHO-FP Condition (Medical Eligibility)</v>
      </c>
      <c r="BZ335" s="46">
        <f t="shared" si="12"/>
        <v>1</v>
      </c>
      <c r="CA335" s="46" t="str">
        <f t="shared" si="13"/>
        <v/>
      </c>
      <c r="CB335" s="46">
        <f t="shared" si="14"/>
        <v>1</v>
      </c>
      <c r="CC335" s="46">
        <f t="shared" si="15"/>
        <v>1</v>
      </c>
      <c r="CD335" s="46">
        <f t="shared" si="16"/>
        <v>1</v>
      </c>
      <c r="CE335" s="46">
        <f t="shared" si="17"/>
        <v>0</v>
      </c>
      <c r="CF335" s="46">
        <f t="shared" si="18"/>
        <v>0</v>
      </c>
      <c r="CG335" s="46" t="str">
        <f ca="1">IFERROR(__xludf.DUMMYFUNCTION("if(OR(BH335="""",LEFT(BH335,2)=""LA""),"""",IMPORTXML(CONCATENATE(""https://loinc.org/"",BH335,""/""),""//span[@id='lcn']""))"),"")</f>
        <v/>
      </c>
      <c r="CH335" s="46"/>
      <c r="CI335" s="46"/>
      <c r="CJ335" s="46"/>
      <c r="CK335" s="46"/>
      <c r="CL335" s="46"/>
      <c r="CM335" s="46"/>
      <c r="CN335" s="46"/>
      <c r="CO335" s="46"/>
      <c r="CP335" s="46"/>
      <c r="CQ335" s="46"/>
      <c r="CR335" s="46"/>
      <c r="CS335" s="46"/>
      <c r="CT335" s="46"/>
      <c r="CU335" s="46"/>
    </row>
    <row r="336" spans="1:99" ht="12.75" customHeight="1">
      <c r="A336" s="409">
        <v>1919</v>
      </c>
      <c r="B336" s="409" t="s">
        <v>4258</v>
      </c>
      <c r="C336" s="399">
        <f t="shared" si="42"/>
        <v>1919</v>
      </c>
      <c r="D336" s="399" t="e">
        <f t="shared" ca="1" si="62"/>
        <v>#NAME?</v>
      </c>
      <c r="E336" s="399" t="str">
        <f t="shared" si="44"/>
        <v>Urinary tract infection</v>
      </c>
      <c r="F336" s="410" t="s">
        <v>180</v>
      </c>
      <c r="G336" s="400">
        <v>23</v>
      </c>
      <c r="H336" s="399" t="s">
        <v>4475</v>
      </c>
      <c r="I336" s="400"/>
      <c r="J336" s="400"/>
      <c r="K336" s="409" t="s">
        <v>5283</v>
      </c>
      <c r="L336" s="402" t="s">
        <v>3476</v>
      </c>
      <c r="M336" s="400"/>
      <c r="N336" s="427"/>
      <c r="O336" s="41" t="s">
        <v>5279</v>
      </c>
      <c r="P336" s="454" t="s">
        <v>4257</v>
      </c>
      <c r="Q336" s="405"/>
      <c r="R336" s="404" t="s">
        <v>5280</v>
      </c>
      <c r="S336" s="403"/>
      <c r="T336" s="407"/>
      <c r="U336" s="407"/>
      <c r="V336" s="429" t="s">
        <v>4258</v>
      </c>
      <c r="W336" s="407"/>
      <c r="X336" s="403" t="s">
        <v>208</v>
      </c>
      <c r="Y336" s="407"/>
      <c r="Z336" s="403" t="s">
        <v>113</v>
      </c>
      <c r="AA336" s="403" t="s">
        <v>3178</v>
      </c>
      <c r="AB336" s="559" t="s">
        <v>4968</v>
      </c>
      <c r="AC336" s="421"/>
      <c r="AD336" s="421"/>
      <c r="AE336" s="432"/>
      <c r="AF336" s="407"/>
      <c r="AG336" s="407" t="s">
        <v>3851</v>
      </c>
      <c r="AH336" s="399"/>
      <c r="AI336" s="400"/>
      <c r="AJ336" s="399"/>
      <c r="AK336" s="440"/>
      <c r="AL336" s="399"/>
      <c r="AM336" s="399"/>
      <c r="AN336" s="399"/>
      <c r="AO336" s="399"/>
      <c r="AP336" s="399"/>
      <c r="AQ336" s="409" t="s">
        <v>3130</v>
      </c>
      <c r="AR336" s="409" t="s">
        <v>4478</v>
      </c>
      <c r="AS336" s="409"/>
      <c r="AT336" s="399"/>
      <c r="AU336" s="399" t="s">
        <v>4256</v>
      </c>
      <c r="AV336" s="399" t="str">
        <f t="shared" si="47"/>
        <v>Changed</v>
      </c>
      <c r="AW336" s="399"/>
      <c r="AX336" s="409" t="s">
        <v>5194</v>
      </c>
      <c r="AY336" s="399" t="e">
        <f t="shared" ca="1" si="63"/>
        <v>#NAME?</v>
      </c>
      <c r="AZ336" s="409" t="s">
        <v>3105</v>
      </c>
      <c r="BA336" s="409" t="s">
        <v>3125</v>
      </c>
      <c r="BB336" s="399"/>
      <c r="BC336" s="399"/>
      <c r="BD336" s="409" t="s">
        <v>3162</v>
      </c>
      <c r="BE336" s="411" t="s">
        <v>5281</v>
      </c>
      <c r="BF336" s="411"/>
      <c r="BG336" s="434" t="s">
        <v>4260</v>
      </c>
      <c r="BH336" s="411"/>
      <c r="BI336" s="411"/>
      <c r="BJ336" s="399"/>
      <c r="BK336" s="399"/>
      <c r="BL336" s="399"/>
      <c r="BM336" s="399"/>
      <c r="BN336" s="399"/>
      <c r="BO336" s="399"/>
      <c r="BP336" s="399"/>
      <c r="BQ336" s="399"/>
      <c r="BR336" s="399"/>
      <c r="BS336" s="407"/>
      <c r="BT336" s="407"/>
      <c r="BU336" s="412"/>
      <c r="BV336" s="46" t="str">
        <f t="shared" si="8"/>
        <v/>
      </c>
      <c r="BW336" s="46">
        <f t="shared" si="9"/>
        <v>0</v>
      </c>
      <c r="BX336" s="46">
        <f t="shared" si="10"/>
        <v>0</v>
      </c>
      <c r="BY336" s="43" t="str">
        <f t="shared" si="11"/>
        <v>WHO-FP Condition (Medical Eligibility)</v>
      </c>
      <c r="BZ336" s="46">
        <f t="shared" si="12"/>
        <v>1</v>
      </c>
      <c r="CA336" s="46" t="str">
        <f t="shared" si="13"/>
        <v/>
      </c>
      <c r="CB336" s="46">
        <f t="shared" si="14"/>
        <v>1</v>
      </c>
      <c r="CC336" s="46">
        <f t="shared" si="15"/>
        <v>1</v>
      </c>
      <c r="CD336" s="46">
        <f t="shared" si="16"/>
        <v>1</v>
      </c>
      <c r="CE336" s="46">
        <f t="shared" si="17"/>
        <v>0</v>
      </c>
      <c r="CF336" s="46">
        <f t="shared" si="18"/>
        <v>0</v>
      </c>
      <c r="CG336" s="46" t="str">
        <f ca="1">IFERROR(__xludf.DUMMYFUNCTION("if(OR(BH336="""",LEFT(BH336,2)=""LA""),"""",IMPORTXML(CONCATENATE(""https://loinc.org/"",BH336,""/""),""//span[@id='lcn']""))"),"")</f>
        <v/>
      </c>
      <c r="CH336" s="46"/>
      <c r="CI336" s="46"/>
      <c r="CJ336" s="46"/>
      <c r="CK336" s="46"/>
      <c r="CL336" s="46"/>
      <c r="CM336" s="46"/>
      <c r="CN336" s="46"/>
      <c r="CO336" s="46"/>
      <c r="CP336" s="46"/>
      <c r="CQ336" s="46"/>
      <c r="CR336" s="46"/>
      <c r="CS336" s="46"/>
      <c r="CT336" s="46"/>
      <c r="CU336" s="46"/>
    </row>
    <row r="337" spans="1:99" ht="12.75" customHeight="1">
      <c r="A337" s="399">
        <v>1578</v>
      </c>
      <c r="B337" s="399" t="s">
        <v>5284</v>
      </c>
      <c r="C337" s="399">
        <f t="shared" si="42"/>
        <v>1578</v>
      </c>
      <c r="D337" s="399" t="str">
        <f t="shared" si="62"/>
        <v>Schistosomiasis</v>
      </c>
      <c r="E337" s="399" t="str">
        <f t="shared" si="44"/>
        <v>Schistosomiasis</v>
      </c>
      <c r="F337" s="409" t="s">
        <v>3164</v>
      </c>
      <c r="G337" s="400">
        <f>LEN(B337)</f>
        <v>15</v>
      </c>
      <c r="H337" s="400" t="str">
        <f>IF(F337="Input Option",IF(H335="",B335,H335),"")</f>
        <v/>
      </c>
      <c r="I337" s="400"/>
      <c r="J337" s="400"/>
      <c r="K337" s="401" t="s">
        <v>3333</v>
      </c>
      <c r="L337" s="402" t="s">
        <v>4518</v>
      </c>
      <c r="M337" s="400"/>
      <c r="N337" s="427" t="s">
        <v>4417</v>
      </c>
      <c r="O337" s="428"/>
      <c r="P337" s="403" t="s">
        <v>5285</v>
      </c>
      <c r="Q337" s="405" t="s">
        <v>5284</v>
      </c>
      <c r="R337" s="403"/>
      <c r="S337" s="403"/>
      <c r="T337" s="403" t="s">
        <v>3169</v>
      </c>
      <c r="U337" s="407"/>
      <c r="V337" s="407" t="s">
        <v>3170</v>
      </c>
      <c r="W337" s="407"/>
      <c r="X337" s="403" t="s">
        <v>208</v>
      </c>
      <c r="Y337" s="407"/>
      <c r="Z337" s="403" t="s">
        <v>113</v>
      </c>
      <c r="AA337" s="403" t="s">
        <v>3178</v>
      </c>
      <c r="AB337" s="559" t="s">
        <v>4968</v>
      </c>
      <c r="AC337" s="421"/>
      <c r="AD337" s="421"/>
      <c r="AE337" s="432"/>
      <c r="AF337" s="407"/>
      <c r="AG337" s="407" t="s">
        <v>3851</v>
      </c>
      <c r="AH337" s="399"/>
      <c r="AI337" s="400"/>
      <c r="AJ337" s="399"/>
      <c r="AK337" s="399"/>
      <c r="AL337" s="399"/>
      <c r="AM337" s="399"/>
      <c r="AN337" s="399"/>
      <c r="AO337" s="399"/>
      <c r="AP337" s="399"/>
      <c r="AQ337" s="409" t="s">
        <v>115</v>
      </c>
      <c r="AR337" s="399"/>
      <c r="AS337" s="399"/>
      <c r="AT337" s="399"/>
      <c r="AU337" s="399" t="s">
        <v>5284</v>
      </c>
      <c r="AV337" s="399" t="str">
        <f t="shared" si="47"/>
        <v>Same</v>
      </c>
      <c r="AW337" s="399"/>
      <c r="AX337" s="409" t="s">
        <v>3343</v>
      </c>
      <c r="AY337" s="399" t="str">
        <f t="shared" si="63"/>
        <v/>
      </c>
      <c r="AZ337" s="399"/>
      <c r="BA337" s="409">
        <v>0</v>
      </c>
      <c r="BB337" s="399"/>
      <c r="BC337" s="399"/>
      <c r="BD337" s="399"/>
      <c r="BE337" s="411" t="s">
        <v>5286</v>
      </c>
      <c r="BF337" s="411" t="s">
        <v>5287</v>
      </c>
      <c r="BG337" s="411" t="s">
        <v>5288</v>
      </c>
      <c r="BH337" s="411"/>
      <c r="BI337" s="411"/>
      <c r="BJ337" s="409" t="s">
        <v>3106</v>
      </c>
      <c r="BK337" s="399"/>
      <c r="BL337" s="399"/>
      <c r="BM337" s="399"/>
      <c r="BN337" s="399"/>
      <c r="BO337" s="399">
        <v>117152</v>
      </c>
      <c r="BP337" s="399"/>
      <c r="BQ337" s="399"/>
      <c r="BR337" s="399"/>
      <c r="BS337" s="407"/>
      <c r="BT337" s="407"/>
      <c r="BU337" s="412"/>
      <c r="BV337" s="46" t="str">
        <f t="shared" si="8"/>
        <v/>
      </c>
      <c r="BW337" s="46" t="str">
        <f t="shared" si="9"/>
        <v/>
      </c>
      <c r="BX337" s="46" t="str">
        <f t="shared" si="10"/>
        <v/>
      </c>
      <c r="BY337" s="43" t="str">
        <f t="shared" si="11"/>
        <v/>
      </c>
      <c r="BZ337" s="46">
        <f t="shared" si="12"/>
        <v>1</v>
      </c>
      <c r="CA337" s="46" t="str">
        <f t="shared" si="13"/>
        <v/>
      </c>
      <c r="CB337" s="46">
        <f t="shared" si="14"/>
        <v>1</v>
      </c>
      <c r="CC337" s="46">
        <f t="shared" si="15"/>
        <v>1</v>
      </c>
      <c r="CD337" s="46">
        <f t="shared" si="16"/>
        <v>1</v>
      </c>
      <c r="CE337" s="46">
        <f t="shared" si="17"/>
        <v>0</v>
      </c>
      <c r="CF337" s="46">
        <f t="shared" si="18"/>
        <v>0</v>
      </c>
      <c r="CG337" s="46" t="str">
        <f ca="1">IFERROR(__xludf.DUMMYFUNCTION("if(OR(BH337="""",LEFT(BH337,2)=""LA""),"""",IMPORTXML(CONCATENATE(""https://loinc.org/"",BH337,""/""),""//span[@id='lcn']""))"),"")</f>
        <v/>
      </c>
      <c r="CH337" s="46"/>
      <c r="CI337" s="46"/>
      <c r="CJ337" s="46"/>
      <c r="CK337" s="46"/>
      <c r="CL337" s="46"/>
      <c r="CM337" s="46"/>
      <c r="CN337" s="46"/>
      <c r="CO337" s="46"/>
      <c r="CP337" s="46"/>
      <c r="CQ337" s="46"/>
      <c r="CR337" s="46"/>
      <c r="CS337" s="46"/>
      <c r="CT337" s="46"/>
      <c r="CU337" s="46"/>
    </row>
    <row r="338" spans="1:99" ht="12.75" customHeight="1">
      <c r="A338" s="399">
        <v>1579</v>
      </c>
      <c r="B338" s="409" t="s">
        <v>5289</v>
      </c>
      <c r="C338" s="399">
        <f t="shared" si="42"/>
        <v>1579</v>
      </c>
      <c r="D338" s="399" t="e">
        <f t="shared" ca="1" si="62"/>
        <v>#NAME?</v>
      </c>
      <c r="E338" s="399" t="str">
        <f t="shared" si="44"/>
        <v>Uncomplicated</v>
      </c>
      <c r="F338" s="410" t="s">
        <v>180</v>
      </c>
      <c r="G338" s="400">
        <v>23</v>
      </c>
      <c r="H338" s="399" t="s">
        <v>4475</v>
      </c>
      <c r="I338" s="400"/>
      <c r="J338" s="400"/>
      <c r="K338" s="401" t="s">
        <v>3333</v>
      </c>
      <c r="L338" s="402" t="s">
        <v>4518</v>
      </c>
      <c r="M338" s="400"/>
      <c r="N338" s="427" t="s">
        <v>4417</v>
      </c>
      <c r="O338" s="428"/>
      <c r="P338" s="403" t="s">
        <v>5290</v>
      </c>
      <c r="Q338" s="405"/>
      <c r="R338" s="403"/>
      <c r="S338" s="403"/>
      <c r="T338" s="407"/>
      <c r="U338" s="407"/>
      <c r="V338" s="429" t="s">
        <v>4930</v>
      </c>
      <c r="W338" s="407"/>
      <c r="X338" s="403" t="s">
        <v>208</v>
      </c>
      <c r="Y338" s="407"/>
      <c r="Z338" s="403" t="s">
        <v>113</v>
      </c>
      <c r="AA338" s="403" t="s">
        <v>3178</v>
      </c>
      <c r="AB338" s="559" t="s">
        <v>4968</v>
      </c>
      <c r="AC338" s="421"/>
      <c r="AD338" s="421"/>
      <c r="AE338" s="432"/>
      <c r="AF338" s="407"/>
      <c r="AG338" s="407" t="s">
        <v>3851</v>
      </c>
      <c r="AH338" s="399"/>
      <c r="AI338" s="400"/>
      <c r="AJ338" s="399"/>
      <c r="AK338" s="440"/>
      <c r="AL338" s="409"/>
      <c r="AM338" s="409"/>
      <c r="AN338" s="409"/>
      <c r="AO338" s="399"/>
      <c r="AP338" s="409"/>
      <c r="AQ338" s="409" t="s">
        <v>3130</v>
      </c>
      <c r="AR338" s="409" t="s">
        <v>4478</v>
      </c>
      <c r="AS338" s="409"/>
      <c r="AT338" s="399"/>
      <c r="AU338" s="399" t="s">
        <v>4932</v>
      </c>
      <c r="AV338" s="399" t="str">
        <f t="shared" si="47"/>
        <v>Changed</v>
      </c>
      <c r="AW338" s="399"/>
      <c r="AX338" s="409" t="s">
        <v>3343</v>
      </c>
      <c r="AY338" s="399" t="e">
        <f t="shared" ca="1" si="63"/>
        <v>#NAME?</v>
      </c>
      <c r="AZ338" s="399"/>
      <c r="BA338" s="409">
        <v>1</v>
      </c>
      <c r="BB338" s="399"/>
      <c r="BC338" s="399"/>
      <c r="BD338" s="399"/>
      <c r="BE338" s="411" t="s">
        <v>5286</v>
      </c>
      <c r="BF338" s="411"/>
      <c r="BG338" s="411"/>
      <c r="BH338" s="411"/>
      <c r="BI338" s="411"/>
      <c r="BJ338" s="399"/>
      <c r="BK338" s="409"/>
      <c r="BL338" s="409"/>
      <c r="BM338" s="409" t="s">
        <v>5291</v>
      </c>
      <c r="BN338" s="399"/>
      <c r="BO338" s="399"/>
      <c r="BP338" s="399"/>
      <c r="BQ338" s="399"/>
      <c r="BR338" s="399"/>
      <c r="BS338" s="407"/>
      <c r="BT338" s="407"/>
      <c r="BU338" s="412"/>
      <c r="BV338" s="46" t="str">
        <f t="shared" si="8"/>
        <v/>
      </c>
      <c r="BW338" s="46">
        <f t="shared" si="9"/>
        <v>0</v>
      </c>
      <c r="BX338" s="46">
        <f t="shared" si="10"/>
        <v>0</v>
      </c>
      <c r="BY338" s="43" t="str">
        <f t="shared" si="11"/>
        <v>WHO-FP Condition (Medical Eligibility)</v>
      </c>
      <c r="BZ338" s="46">
        <f t="shared" si="12"/>
        <v>1</v>
      </c>
      <c r="CA338" s="46" t="str">
        <f t="shared" si="13"/>
        <v/>
      </c>
      <c r="CB338" s="46">
        <f t="shared" si="14"/>
        <v>1</v>
      </c>
      <c r="CC338" s="46">
        <f t="shared" si="15"/>
        <v>1</v>
      </c>
      <c r="CD338" s="46">
        <f t="shared" si="16"/>
        <v>1</v>
      </c>
      <c r="CE338" s="46">
        <f t="shared" si="17"/>
        <v>0</v>
      </c>
      <c r="CF338" s="46">
        <f t="shared" si="18"/>
        <v>0</v>
      </c>
      <c r="CG338" s="46" t="str">
        <f ca="1">IFERROR(__xludf.DUMMYFUNCTION("if(OR(BH338="""",LEFT(BH338,2)=""LA""),"""",IMPORTXML(CONCATENATE(""https://loinc.org/"",BH338,""/""),""//span[@id='lcn']""))"),"")</f>
        <v/>
      </c>
      <c r="CH338" s="46"/>
      <c r="CI338" s="46"/>
      <c r="CJ338" s="46"/>
      <c r="CK338" s="46"/>
      <c r="CL338" s="46"/>
      <c r="CM338" s="46"/>
      <c r="CN338" s="46"/>
      <c r="CO338" s="46"/>
      <c r="CP338" s="46"/>
      <c r="CQ338" s="46"/>
      <c r="CR338" s="46"/>
      <c r="CS338" s="46"/>
      <c r="CT338" s="46"/>
      <c r="CU338" s="46"/>
    </row>
    <row r="339" spans="1:99" ht="12.75" customHeight="1">
      <c r="A339" s="399">
        <v>1580</v>
      </c>
      <c r="B339" s="409" t="s">
        <v>5292</v>
      </c>
      <c r="C339" s="399">
        <f t="shared" si="42"/>
        <v>1580</v>
      </c>
      <c r="D339" s="399" t="e">
        <f t="shared" ca="1" si="62"/>
        <v>#NAME?</v>
      </c>
      <c r="E339" s="399" t="str">
        <f t="shared" si="44"/>
        <v>Fibrosis of liver</v>
      </c>
      <c r="F339" s="410" t="s">
        <v>180</v>
      </c>
      <c r="G339" s="400">
        <v>23</v>
      </c>
      <c r="H339" s="399" t="s">
        <v>4475</v>
      </c>
      <c r="I339" s="400"/>
      <c r="J339" s="400"/>
      <c r="K339" s="401" t="s">
        <v>3333</v>
      </c>
      <c r="L339" s="402" t="s">
        <v>4518</v>
      </c>
      <c r="M339" s="400"/>
      <c r="N339" s="427" t="s">
        <v>4417</v>
      </c>
      <c r="O339" s="428"/>
      <c r="P339" s="403" t="s">
        <v>5293</v>
      </c>
      <c r="Q339" s="405"/>
      <c r="R339" s="403"/>
      <c r="S339" s="403"/>
      <c r="T339" s="407"/>
      <c r="U339" s="407"/>
      <c r="V339" s="429" t="s">
        <v>5294</v>
      </c>
      <c r="W339" s="407"/>
      <c r="X339" s="403" t="s">
        <v>208</v>
      </c>
      <c r="Y339" s="407"/>
      <c r="Z339" s="403" t="s">
        <v>113</v>
      </c>
      <c r="AA339" s="403" t="s">
        <v>3178</v>
      </c>
      <c r="AB339" s="559" t="s">
        <v>4968</v>
      </c>
      <c r="AC339" s="421"/>
      <c r="AD339" s="421"/>
      <c r="AE339" s="432"/>
      <c r="AF339" s="407"/>
      <c r="AG339" s="407" t="s">
        <v>3851</v>
      </c>
      <c r="AH339" s="399"/>
      <c r="AI339" s="400"/>
      <c r="AJ339" s="399"/>
      <c r="AK339" s="440"/>
      <c r="AL339" s="409"/>
      <c r="AM339" s="409"/>
      <c r="AN339" s="409"/>
      <c r="AO339" s="399"/>
      <c r="AP339" s="409"/>
      <c r="AQ339" s="409" t="s">
        <v>3130</v>
      </c>
      <c r="AR339" s="409" t="s">
        <v>4478</v>
      </c>
      <c r="AS339" s="409"/>
      <c r="AT339" s="399"/>
      <c r="AU339" s="399" t="s">
        <v>5295</v>
      </c>
      <c r="AV339" s="399" t="str">
        <f t="shared" si="47"/>
        <v>Changed</v>
      </c>
      <c r="AW339" s="399"/>
      <c r="AX339" s="409" t="s">
        <v>3343</v>
      </c>
      <c r="AY339" s="399" t="e">
        <f t="shared" ca="1" si="63"/>
        <v>#NAME?</v>
      </c>
      <c r="AZ339" s="399"/>
      <c r="BA339" s="409">
        <v>1</v>
      </c>
      <c r="BB339" s="399"/>
      <c r="BC339" s="399"/>
      <c r="BD339" s="409"/>
      <c r="BE339" s="411"/>
      <c r="BF339" s="411"/>
      <c r="BG339" s="434" t="s">
        <v>5296</v>
      </c>
      <c r="BH339" s="411"/>
      <c r="BI339" s="411"/>
      <c r="BJ339" s="399"/>
      <c r="BK339" s="409"/>
      <c r="BL339" s="409"/>
      <c r="BM339" s="409" t="s">
        <v>5297</v>
      </c>
      <c r="BN339" s="399"/>
      <c r="BO339" s="399"/>
      <c r="BP339" s="399"/>
      <c r="BQ339" s="399"/>
      <c r="BR339" s="399"/>
      <c r="BS339" s="407"/>
      <c r="BT339" s="407"/>
      <c r="BU339" s="412"/>
      <c r="BV339" s="46" t="str">
        <f t="shared" si="8"/>
        <v/>
      </c>
      <c r="BW339" s="46">
        <f t="shared" si="9"/>
        <v>0</v>
      </c>
      <c r="BX339" s="46">
        <f t="shared" si="10"/>
        <v>0</v>
      </c>
      <c r="BY339" s="43" t="str">
        <f t="shared" si="11"/>
        <v>WHO-FP Condition (Medical Eligibility)</v>
      </c>
      <c r="BZ339" s="46">
        <f t="shared" si="12"/>
        <v>1</v>
      </c>
      <c r="CA339" s="46" t="str">
        <f t="shared" si="13"/>
        <v/>
      </c>
      <c r="CB339" s="46">
        <f t="shared" si="14"/>
        <v>1</v>
      </c>
      <c r="CC339" s="46">
        <f t="shared" si="15"/>
        <v>1</v>
      </c>
      <c r="CD339" s="46">
        <f t="shared" si="16"/>
        <v>1</v>
      </c>
      <c r="CE339" s="46">
        <f t="shared" si="17"/>
        <v>0</v>
      </c>
      <c r="CF339" s="46">
        <f t="shared" si="18"/>
        <v>0</v>
      </c>
      <c r="CG339" s="46" t="str">
        <f ca="1">IFERROR(__xludf.DUMMYFUNCTION("if(OR(BH339="""",LEFT(BH339,2)=""LA""),"""",IMPORTXML(CONCATENATE(""https://loinc.org/"",BH339,""/""),""//span[@id='lcn']""))"),"")</f>
        <v/>
      </c>
      <c r="CH339" s="46"/>
      <c r="CI339" s="46"/>
      <c r="CJ339" s="46"/>
      <c r="CK339" s="46"/>
      <c r="CL339" s="46"/>
      <c r="CM339" s="46"/>
      <c r="CN339" s="46"/>
      <c r="CO339" s="46"/>
      <c r="CP339" s="46"/>
      <c r="CQ339" s="46"/>
      <c r="CR339" s="46"/>
      <c r="CS339" s="46"/>
      <c r="CT339" s="46"/>
      <c r="CU339" s="46"/>
    </row>
    <row r="340" spans="1:99" ht="12.75" customHeight="1">
      <c r="A340" s="399">
        <v>1581</v>
      </c>
      <c r="B340" s="399" t="s">
        <v>5298</v>
      </c>
      <c r="C340" s="399">
        <f t="shared" si="42"/>
        <v>1581</v>
      </c>
      <c r="D340" s="399" t="str">
        <f t="shared" si="62"/>
        <v>Tuberculosis</v>
      </c>
      <c r="E340" s="399" t="str">
        <f t="shared" si="44"/>
        <v>Tuberculosis</v>
      </c>
      <c r="F340" s="409" t="s">
        <v>3164</v>
      </c>
      <c r="G340" s="400">
        <f>LEN(B340)</f>
        <v>12</v>
      </c>
      <c r="H340" s="400" t="str">
        <f>IF(F340="Input Option",IF(H339="",B339,H339),"")</f>
        <v/>
      </c>
      <c r="I340" s="400"/>
      <c r="J340" s="400"/>
      <c r="K340" s="401" t="s">
        <v>3333</v>
      </c>
      <c r="L340" s="402" t="s">
        <v>4518</v>
      </c>
      <c r="M340" s="400"/>
      <c r="N340" s="427" t="s">
        <v>4417</v>
      </c>
      <c r="O340" s="428"/>
      <c r="P340" s="403" t="s">
        <v>5299</v>
      </c>
      <c r="Q340" s="405" t="s">
        <v>5298</v>
      </c>
      <c r="R340" s="403"/>
      <c r="S340" s="403"/>
      <c r="T340" s="403" t="s">
        <v>3169</v>
      </c>
      <c r="U340" s="407"/>
      <c r="V340" s="407" t="s">
        <v>3170</v>
      </c>
      <c r="W340" s="407"/>
      <c r="X340" s="403" t="s">
        <v>208</v>
      </c>
      <c r="Y340" s="407"/>
      <c r="Z340" s="403" t="s">
        <v>113</v>
      </c>
      <c r="AA340" s="403" t="s">
        <v>3178</v>
      </c>
      <c r="AB340" s="559" t="s">
        <v>4968</v>
      </c>
      <c r="AC340" s="421"/>
      <c r="AD340" s="421"/>
      <c r="AE340" s="432"/>
      <c r="AF340" s="407"/>
      <c r="AG340" s="407" t="s">
        <v>3851</v>
      </c>
      <c r="AH340" s="399"/>
      <c r="AI340" s="400"/>
      <c r="AJ340" s="399"/>
      <c r="AK340" s="399"/>
      <c r="AL340" s="399"/>
      <c r="AM340" s="399"/>
      <c r="AN340" s="399"/>
      <c r="AO340" s="399"/>
      <c r="AP340" s="399"/>
      <c r="AQ340" s="409" t="s">
        <v>115</v>
      </c>
      <c r="AR340" s="399"/>
      <c r="AS340" s="399"/>
      <c r="AT340" s="399"/>
      <c r="AU340" s="399" t="s">
        <v>5298</v>
      </c>
      <c r="AV340" s="399" t="str">
        <f t="shared" si="47"/>
        <v>Same</v>
      </c>
      <c r="AW340" s="399"/>
      <c r="AX340" s="409" t="s">
        <v>3343</v>
      </c>
      <c r="AY340" s="399" t="str">
        <f t="shared" si="63"/>
        <v/>
      </c>
      <c r="AZ340" s="399"/>
      <c r="BA340" s="409">
        <v>0</v>
      </c>
      <c r="BB340" s="399"/>
      <c r="BC340" s="399"/>
      <c r="BD340" s="409" t="s">
        <v>5300</v>
      </c>
      <c r="BE340" s="411"/>
      <c r="BF340" s="411"/>
      <c r="BG340" s="411" t="s">
        <v>5301</v>
      </c>
      <c r="BH340" s="411"/>
      <c r="BI340" s="411"/>
      <c r="BJ340" s="409" t="s">
        <v>3106</v>
      </c>
      <c r="BK340" s="409"/>
      <c r="BL340" s="409"/>
      <c r="BM340" s="409" t="s">
        <v>5302</v>
      </c>
      <c r="BN340" s="466" t="str">
        <f>HYPERLINK("https://github.com/who-int/Data-Dictionary-Mapping/issues/67","67")</f>
        <v>67</v>
      </c>
      <c r="BO340" s="399"/>
      <c r="BP340" s="399"/>
      <c r="BQ340" s="399"/>
      <c r="BR340" s="399"/>
      <c r="BS340" s="407"/>
      <c r="BT340" s="407"/>
      <c r="BU340" s="412"/>
      <c r="BV340" s="46" t="str">
        <f t="shared" si="8"/>
        <v/>
      </c>
      <c r="BW340" s="46" t="str">
        <f t="shared" si="9"/>
        <v/>
      </c>
      <c r="BX340" s="46" t="str">
        <f t="shared" si="10"/>
        <v/>
      </c>
      <c r="BY340" s="43" t="str">
        <f t="shared" si="11"/>
        <v/>
      </c>
      <c r="BZ340" s="46">
        <f t="shared" si="12"/>
        <v>1</v>
      </c>
      <c r="CA340" s="46" t="str">
        <f t="shared" si="13"/>
        <v/>
      </c>
      <c r="CB340" s="46">
        <f t="shared" si="14"/>
        <v>1</v>
      </c>
      <c r="CC340" s="46">
        <f t="shared" si="15"/>
        <v>1</v>
      </c>
      <c r="CD340" s="46">
        <f t="shared" si="16"/>
        <v>1</v>
      </c>
      <c r="CE340" s="46">
        <f t="shared" si="17"/>
        <v>0</v>
      </c>
      <c r="CF340" s="46">
        <f t="shared" si="18"/>
        <v>0</v>
      </c>
      <c r="CG340" s="46" t="str">
        <f ca="1">IFERROR(__xludf.DUMMYFUNCTION("if(OR(BH340="""",LEFT(BH340,2)=""LA""),"""",IMPORTXML(CONCATENATE(""https://loinc.org/"",BH340,""/""),""//span[@id='lcn']""))"),"")</f>
        <v/>
      </c>
      <c r="CH340" s="46"/>
      <c r="CI340" s="46"/>
      <c r="CJ340" s="46"/>
      <c r="CK340" s="46"/>
      <c r="CL340" s="46"/>
      <c r="CM340" s="46"/>
      <c r="CN340" s="46"/>
      <c r="CO340" s="46"/>
      <c r="CP340" s="46"/>
      <c r="CQ340" s="46"/>
      <c r="CR340" s="46"/>
      <c r="CS340" s="46"/>
      <c r="CT340" s="46"/>
      <c r="CU340" s="46"/>
    </row>
    <row r="341" spans="1:99" ht="12.75" customHeight="1">
      <c r="A341" s="399">
        <v>1582</v>
      </c>
      <c r="B341" s="409" t="s">
        <v>5303</v>
      </c>
      <c r="C341" s="399">
        <f t="shared" si="42"/>
        <v>1582</v>
      </c>
      <c r="D341" s="399" t="e">
        <f t="shared" ca="1" si="62"/>
        <v>#NAME?</v>
      </c>
      <c r="E341" s="399" t="str">
        <f t="shared" si="44"/>
        <v>Non-pelvic</v>
      </c>
      <c r="F341" s="410" t="s">
        <v>180</v>
      </c>
      <c r="G341" s="400">
        <v>23</v>
      </c>
      <c r="H341" s="399" t="s">
        <v>4475</v>
      </c>
      <c r="I341" s="400"/>
      <c r="J341" s="400"/>
      <c r="K341" s="401" t="s">
        <v>3333</v>
      </c>
      <c r="L341" s="402" t="s">
        <v>4518</v>
      </c>
      <c r="M341" s="400"/>
      <c r="N341" s="427" t="s">
        <v>4417</v>
      </c>
      <c r="O341" s="428"/>
      <c r="P341" s="403" t="s">
        <v>5304</v>
      </c>
      <c r="Q341" s="405"/>
      <c r="R341" s="403"/>
      <c r="S341" s="403"/>
      <c r="T341" s="407"/>
      <c r="U341" s="407"/>
      <c r="V341" s="431" t="s">
        <v>5305</v>
      </c>
      <c r="W341" s="407"/>
      <c r="X341" s="403" t="s">
        <v>208</v>
      </c>
      <c r="Y341" s="407"/>
      <c r="Z341" s="403" t="s">
        <v>113</v>
      </c>
      <c r="AA341" s="403" t="s">
        <v>3178</v>
      </c>
      <c r="AB341" s="559" t="s">
        <v>4968</v>
      </c>
      <c r="AC341" s="421"/>
      <c r="AD341" s="421"/>
      <c r="AE341" s="432"/>
      <c r="AF341" s="407"/>
      <c r="AG341" s="407" t="s">
        <v>3851</v>
      </c>
      <c r="AH341" s="399"/>
      <c r="AI341" s="400"/>
      <c r="AJ341" s="399"/>
      <c r="AK341" s="440"/>
      <c r="AL341" s="409"/>
      <c r="AM341" s="409"/>
      <c r="AN341" s="409"/>
      <c r="AO341" s="399"/>
      <c r="AP341" s="409"/>
      <c r="AQ341" s="409" t="s">
        <v>3130</v>
      </c>
      <c r="AR341" s="409" t="s">
        <v>4478</v>
      </c>
      <c r="AS341" s="409"/>
      <c r="AT341" s="399"/>
      <c r="AU341" s="399" t="s">
        <v>5306</v>
      </c>
      <c r="AV341" s="399" t="str">
        <f t="shared" si="47"/>
        <v>Changed</v>
      </c>
      <c r="AW341" s="399"/>
      <c r="AX341" s="409" t="s">
        <v>3343</v>
      </c>
      <c r="AY341" s="399" t="e">
        <f t="shared" ca="1" si="63"/>
        <v>#NAME?</v>
      </c>
      <c r="AZ341" s="399"/>
      <c r="BA341" s="409">
        <v>1</v>
      </c>
      <c r="BB341" s="415" t="s">
        <v>3131</v>
      </c>
      <c r="BC341" s="399" t="s">
        <v>5303</v>
      </c>
      <c r="BD341" s="399"/>
      <c r="BE341" s="411"/>
      <c r="BF341" s="411"/>
      <c r="BG341" s="411"/>
      <c r="BH341" s="411"/>
      <c r="BI341" s="411"/>
      <c r="BJ341" s="409" t="s">
        <v>4282</v>
      </c>
      <c r="BK341" s="409"/>
      <c r="BL341" s="409"/>
      <c r="BM341" s="409" t="s">
        <v>5307</v>
      </c>
      <c r="BN341" s="399"/>
      <c r="BO341" s="399"/>
      <c r="BP341" s="399"/>
      <c r="BQ341" s="399"/>
      <c r="BR341" s="399"/>
      <c r="BS341" s="407"/>
      <c r="BT341" s="407"/>
      <c r="BU341" s="412"/>
      <c r="BV341" s="46" t="str">
        <f t="shared" si="8"/>
        <v/>
      </c>
      <c r="BW341" s="46">
        <f t="shared" si="9"/>
        <v>0</v>
      </c>
      <c r="BX341" s="46">
        <f t="shared" si="10"/>
        <v>0</v>
      </c>
      <c r="BY341" s="43" t="str">
        <f t="shared" si="11"/>
        <v>WHO-FP Condition (Medical Eligibility)</v>
      </c>
      <c r="BZ341" s="46">
        <f t="shared" si="12"/>
        <v>1</v>
      </c>
      <c r="CA341" s="46" t="str">
        <f t="shared" si="13"/>
        <v/>
      </c>
      <c r="CB341" s="46">
        <f t="shared" si="14"/>
        <v>1</v>
      </c>
      <c r="CC341" s="46">
        <f t="shared" si="15"/>
        <v>1</v>
      </c>
      <c r="CD341" s="46">
        <f t="shared" si="16"/>
        <v>1</v>
      </c>
      <c r="CE341" s="46">
        <f t="shared" si="17"/>
        <v>0</v>
      </c>
      <c r="CF341" s="46">
        <f t="shared" si="18"/>
        <v>0</v>
      </c>
      <c r="CG341" s="46" t="str">
        <f ca="1">IFERROR(__xludf.DUMMYFUNCTION("if(OR(BH341="""",LEFT(BH341,2)=""LA""),"""",IMPORTXML(CONCATENATE(""https://loinc.org/"",BH341,""/""),""//span[@id='lcn']""))"),"")</f>
        <v/>
      </c>
      <c r="CH341" s="46"/>
      <c r="CI341" s="46"/>
      <c r="CJ341" s="46"/>
      <c r="CK341" s="46"/>
      <c r="CL341" s="46"/>
      <c r="CM341" s="46"/>
      <c r="CN341" s="46"/>
      <c r="CO341" s="46"/>
      <c r="CP341" s="46"/>
      <c r="CQ341" s="46"/>
      <c r="CR341" s="46"/>
      <c r="CS341" s="46"/>
      <c r="CT341" s="46"/>
      <c r="CU341" s="46"/>
    </row>
    <row r="342" spans="1:99" ht="12.75" customHeight="1">
      <c r="A342" s="399">
        <v>1583</v>
      </c>
      <c r="B342" s="409" t="s">
        <v>5308</v>
      </c>
      <c r="C342" s="399">
        <f t="shared" si="42"/>
        <v>1583</v>
      </c>
      <c r="D342" s="399" t="e">
        <f t="shared" ca="1" si="62"/>
        <v>#NAME?</v>
      </c>
      <c r="E342" s="399" t="str">
        <f t="shared" si="44"/>
        <v>Known pelvic</v>
      </c>
      <c r="F342" s="410" t="s">
        <v>180</v>
      </c>
      <c r="G342" s="400">
        <v>23</v>
      </c>
      <c r="H342" s="399" t="s">
        <v>4475</v>
      </c>
      <c r="I342" s="400"/>
      <c r="J342" s="400"/>
      <c r="K342" s="401" t="s">
        <v>3333</v>
      </c>
      <c r="L342" s="402" t="s">
        <v>4518</v>
      </c>
      <c r="M342" s="400"/>
      <c r="N342" s="427" t="s">
        <v>4417</v>
      </c>
      <c r="O342" s="428"/>
      <c r="P342" s="403" t="s">
        <v>5309</v>
      </c>
      <c r="Q342" s="405"/>
      <c r="R342" s="403"/>
      <c r="S342" s="403" t="s">
        <v>5310</v>
      </c>
      <c r="T342" s="407"/>
      <c r="U342" s="407"/>
      <c r="V342" s="431" t="s">
        <v>5311</v>
      </c>
      <c r="W342" s="407"/>
      <c r="X342" s="403" t="s">
        <v>113</v>
      </c>
      <c r="Y342" s="403"/>
      <c r="Z342" s="403" t="s">
        <v>113</v>
      </c>
      <c r="AA342" s="403" t="s">
        <v>3178</v>
      </c>
      <c r="AB342" s="559" t="s">
        <v>4968</v>
      </c>
      <c r="AC342" s="421"/>
      <c r="AD342" s="421"/>
      <c r="AE342" s="432"/>
      <c r="AF342" s="407"/>
      <c r="AG342" s="407" t="s">
        <v>3851</v>
      </c>
      <c r="AH342" s="399"/>
      <c r="AI342" s="400"/>
      <c r="AJ342" s="399"/>
      <c r="AK342" s="440"/>
      <c r="AL342" s="409"/>
      <c r="AM342" s="409"/>
      <c r="AN342" s="409"/>
      <c r="AO342" s="399"/>
      <c r="AP342" s="409"/>
      <c r="AQ342" s="409" t="s">
        <v>3130</v>
      </c>
      <c r="AR342" s="409" t="s">
        <v>4478</v>
      </c>
      <c r="AS342" s="409"/>
      <c r="AT342" s="399"/>
      <c r="AU342" s="399" t="s">
        <v>5313</v>
      </c>
      <c r="AV342" s="399" t="str">
        <f t="shared" si="47"/>
        <v>Changed</v>
      </c>
      <c r="AW342" s="399"/>
      <c r="AX342" s="409" t="s">
        <v>3343</v>
      </c>
      <c r="AY342" s="399" t="e">
        <f t="shared" ca="1" si="63"/>
        <v>#NAME?</v>
      </c>
      <c r="AZ342" s="399"/>
      <c r="BA342" s="409">
        <v>1</v>
      </c>
      <c r="BB342" s="399"/>
      <c r="BC342" s="399"/>
      <c r="BD342" s="399"/>
      <c r="BE342" s="411"/>
      <c r="BF342" s="411"/>
      <c r="BG342" s="434" t="s">
        <v>5314</v>
      </c>
      <c r="BH342" s="411"/>
      <c r="BI342" s="411"/>
      <c r="BJ342" s="399"/>
      <c r="BK342" s="399"/>
      <c r="BL342" s="399"/>
      <c r="BM342" s="399"/>
      <c r="BN342" s="399"/>
      <c r="BO342" s="399"/>
      <c r="BP342" s="399"/>
      <c r="BQ342" s="399"/>
      <c r="BR342" s="399"/>
      <c r="BS342" s="407"/>
      <c r="BT342" s="407"/>
      <c r="BU342" s="412"/>
      <c r="BV342" s="46" t="str">
        <f t="shared" si="8"/>
        <v/>
      </c>
      <c r="BW342" s="46">
        <f t="shared" si="9"/>
        <v>0</v>
      </c>
      <c r="BX342" s="46">
        <f t="shared" si="10"/>
        <v>0</v>
      </c>
      <c r="BY342" s="43" t="str">
        <f t="shared" si="11"/>
        <v>WHO-FP Condition (Medical Eligibility)</v>
      </c>
      <c r="BZ342" s="46">
        <f t="shared" si="12"/>
        <v>1</v>
      </c>
      <c r="CA342" s="46" t="str">
        <f t="shared" si="13"/>
        <v/>
      </c>
      <c r="CB342" s="46">
        <f t="shared" si="14"/>
        <v>1</v>
      </c>
      <c r="CC342" s="46">
        <f t="shared" si="15"/>
        <v>1</v>
      </c>
      <c r="CD342" s="46">
        <f t="shared" si="16"/>
        <v>1</v>
      </c>
      <c r="CE342" s="46">
        <f t="shared" si="17"/>
        <v>0</v>
      </c>
      <c r="CF342" s="46">
        <f t="shared" si="18"/>
        <v>0</v>
      </c>
      <c r="CG342" s="46" t="str">
        <f ca="1">IFERROR(__xludf.DUMMYFUNCTION("if(OR(BH342="""",LEFT(BH342,2)=""LA""),"""",IMPORTXML(CONCATENATE(""https://loinc.org/"",BH342,""/""),""//span[@id='lcn']""))"),"")</f>
        <v/>
      </c>
      <c r="CH342" s="46"/>
      <c r="CI342" s="46"/>
      <c r="CJ342" s="46"/>
      <c r="CK342" s="46"/>
      <c r="CL342" s="46"/>
      <c r="CM342" s="46"/>
      <c r="CN342" s="46"/>
      <c r="CO342" s="46"/>
      <c r="CP342" s="46"/>
      <c r="CQ342" s="46"/>
      <c r="CR342" s="46"/>
      <c r="CS342" s="46"/>
      <c r="CT342" s="46"/>
      <c r="CU342" s="46"/>
    </row>
    <row r="343" spans="1:99" ht="12.75" customHeight="1">
      <c r="A343" s="399">
        <v>1584</v>
      </c>
      <c r="B343" s="399" t="s">
        <v>5315</v>
      </c>
      <c r="C343" s="399">
        <f t="shared" si="42"/>
        <v>1584</v>
      </c>
      <c r="D343" s="399" t="e">
        <f t="shared" ca="1" si="62"/>
        <v>#NAME?</v>
      </c>
      <c r="E343" s="399" t="str">
        <f t="shared" si="44"/>
        <v>Malaria</v>
      </c>
      <c r="F343" s="410" t="s">
        <v>180</v>
      </c>
      <c r="G343" s="400">
        <v>23</v>
      </c>
      <c r="H343" s="399" t="s">
        <v>4475</v>
      </c>
      <c r="I343" s="400"/>
      <c r="J343" s="400"/>
      <c r="K343" s="401" t="s">
        <v>3333</v>
      </c>
      <c r="L343" s="402" t="s">
        <v>4518</v>
      </c>
      <c r="M343" s="400"/>
      <c r="N343" s="427" t="s">
        <v>4417</v>
      </c>
      <c r="O343" s="428"/>
      <c r="P343" s="403" t="s">
        <v>5316</v>
      </c>
      <c r="Q343" s="405" t="s">
        <v>5315</v>
      </c>
      <c r="R343" s="403"/>
      <c r="S343" s="403"/>
      <c r="T343" s="403" t="s">
        <v>3169</v>
      </c>
      <c r="U343" s="407"/>
      <c r="V343" s="407" t="s">
        <v>3170</v>
      </c>
      <c r="W343" s="407"/>
      <c r="X343" s="407" t="s">
        <v>208</v>
      </c>
      <c r="Y343" s="407"/>
      <c r="Z343" s="403" t="s">
        <v>113</v>
      </c>
      <c r="AA343" s="403" t="s">
        <v>3178</v>
      </c>
      <c r="AB343" s="559" t="s">
        <v>4968</v>
      </c>
      <c r="AC343" s="421"/>
      <c r="AD343" s="421"/>
      <c r="AE343" s="432"/>
      <c r="AF343" s="407"/>
      <c r="AG343" s="407" t="s">
        <v>3851</v>
      </c>
      <c r="AH343" s="399"/>
      <c r="AI343" s="400"/>
      <c r="AJ343" s="399"/>
      <c r="AK343" s="440"/>
      <c r="AL343" s="409"/>
      <c r="AM343" s="409"/>
      <c r="AN343" s="409"/>
      <c r="AO343" s="399"/>
      <c r="AP343" s="409"/>
      <c r="AQ343" s="409" t="s">
        <v>3130</v>
      </c>
      <c r="AR343" s="409" t="s">
        <v>4478</v>
      </c>
      <c r="AS343" s="409"/>
      <c r="AT343" s="399"/>
      <c r="AU343" s="399" t="s">
        <v>5315</v>
      </c>
      <c r="AV343" s="399" t="str">
        <f t="shared" si="47"/>
        <v>Same</v>
      </c>
      <c r="AW343" s="399"/>
      <c r="AX343" s="409" t="s">
        <v>3343</v>
      </c>
      <c r="AY343" s="399" t="e">
        <f t="shared" ca="1" si="63"/>
        <v>#NAME?</v>
      </c>
      <c r="AZ343" s="399"/>
      <c r="BA343" s="409">
        <v>1</v>
      </c>
      <c r="BB343" s="399"/>
      <c r="BC343" s="399"/>
      <c r="BD343" s="399"/>
      <c r="BE343" s="411" t="s">
        <v>5317</v>
      </c>
      <c r="BF343" s="411" t="s">
        <v>5318</v>
      </c>
      <c r="BG343" s="411" t="s">
        <v>5319</v>
      </c>
      <c r="BH343" s="411"/>
      <c r="BI343" s="411"/>
      <c r="BJ343" s="399"/>
      <c r="BK343" s="399"/>
      <c r="BL343" s="399"/>
      <c r="BM343" s="399"/>
      <c r="BN343" s="399"/>
      <c r="BO343" s="399">
        <v>116128</v>
      </c>
      <c r="BP343" s="399"/>
      <c r="BQ343" s="399"/>
      <c r="BR343" s="399"/>
      <c r="BS343" s="407"/>
      <c r="BT343" s="407"/>
      <c r="BU343" s="412"/>
      <c r="BV343" s="46" t="str">
        <f t="shared" si="8"/>
        <v/>
      </c>
      <c r="BW343" s="46">
        <f t="shared" si="9"/>
        <v>0</v>
      </c>
      <c r="BX343" s="46">
        <f t="shared" si="10"/>
        <v>0</v>
      </c>
      <c r="BY343" s="43" t="str">
        <f t="shared" si="11"/>
        <v>WHO-FP Condition (Medical Eligibility)</v>
      </c>
      <c r="BZ343" s="46">
        <f t="shared" si="12"/>
        <v>1</v>
      </c>
      <c r="CA343" s="46" t="str">
        <f t="shared" si="13"/>
        <v/>
      </c>
      <c r="CB343" s="46">
        <f t="shared" si="14"/>
        <v>1</v>
      </c>
      <c r="CC343" s="46">
        <f t="shared" si="15"/>
        <v>1</v>
      </c>
      <c r="CD343" s="46">
        <f t="shared" si="16"/>
        <v>1</v>
      </c>
      <c r="CE343" s="46">
        <f t="shared" si="17"/>
        <v>0</v>
      </c>
      <c r="CF343" s="46">
        <f t="shared" si="18"/>
        <v>0</v>
      </c>
      <c r="CG343" s="46" t="str">
        <f ca="1">IFERROR(__xludf.DUMMYFUNCTION("if(OR(BH343="""",LEFT(BH343,2)=""LA""),"""",IMPORTXML(CONCATENATE(""https://loinc.org/"",BH343,""/""),""//span[@id='lcn']""))"),"")</f>
        <v/>
      </c>
      <c r="CH343" s="46"/>
      <c r="CI343" s="46"/>
      <c r="CJ343" s="46"/>
      <c r="CK343" s="46"/>
      <c r="CL343" s="46"/>
      <c r="CM343" s="46"/>
      <c r="CN343" s="46"/>
      <c r="CO343" s="46"/>
      <c r="CP343" s="46"/>
      <c r="CQ343" s="46"/>
      <c r="CR343" s="46"/>
      <c r="CS343" s="46"/>
      <c r="CT343" s="46"/>
      <c r="CU343" s="46"/>
    </row>
    <row r="344" spans="1:99" ht="12.75" customHeight="1">
      <c r="A344" s="399">
        <v>1585</v>
      </c>
      <c r="B344" s="409" t="s">
        <v>5320</v>
      </c>
      <c r="C344" s="399">
        <f t="shared" si="42"/>
        <v>1585</v>
      </c>
      <c r="D344" s="399" t="e">
        <f t="shared" ca="1" si="62"/>
        <v>#NAME?</v>
      </c>
      <c r="E344" s="399" t="str">
        <f t="shared" si="44"/>
        <v>Infection at the puncture or incision site</v>
      </c>
      <c r="F344" s="409" t="s">
        <v>180</v>
      </c>
      <c r="G344" s="400">
        <f>LEN(B344)</f>
        <v>42</v>
      </c>
      <c r="H344" s="410" t="s">
        <v>4472</v>
      </c>
      <c r="I344" s="400"/>
      <c r="J344" s="400"/>
      <c r="K344" s="401" t="s">
        <v>3333</v>
      </c>
      <c r="L344" s="402" t="s">
        <v>4518</v>
      </c>
      <c r="M344" s="400"/>
      <c r="N344" s="427" t="s">
        <v>4417</v>
      </c>
      <c r="O344" s="428"/>
      <c r="P344" s="405" t="s">
        <v>5321</v>
      </c>
      <c r="Q344" s="405"/>
      <c r="R344" s="403"/>
      <c r="S344" s="403"/>
      <c r="T344" s="407"/>
      <c r="U344" s="407"/>
      <c r="V344" s="432" t="s">
        <v>5320</v>
      </c>
      <c r="W344" s="407"/>
      <c r="X344" s="407" t="s">
        <v>208</v>
      </c>
      <c r="Y344" s="407"/>
      <c r="Z344" s="403" t="s">
        <v>113</v>
      </c>
      <c r="AA344" s="403" t="s">
        <v>3178</v>
      </c>
      <c r="AB344" s="559" t="s">
        <v>4968</v>
      </c>
      <c r="AC344" s="421"/>
      <c r="AD344" s="421"/>
      <c r="AE344" s="432"/>
      <c r="AF344" s="407"/>
      <c r="AG344" s="407" t="s">
        <v>3851</v>
      </c>
      <c r="AH344" s="399"/>
      <c r="AI344" s="400"/>
      <c r="AJ344" s="399"/>
      <c r="AK344" s="409"/>
      <c r="AL344" s="409"/>
      <c r="AM344" s="409"/>
      <c r="AN344" s="409"/>
      <c r="AO344" s="399"/>
      <c r="AP344" s="409"/>
      <c r="AQ344" s="409" t="s">
        <v>3130</v>
      </c>
      <c r="AR344" s="410" t="s">
        <v>4474</v>
      </c>
      <c r="AS344" s="410"/>
      <c r="AT344" s="399"/>
      <c r="AU344" s="399" t="s">
        <v>5322</v>
      </c>
      <c r="AV344" s="399" t="str">
        <f t="shared" si="47"/>
        <v>Changed</v>
      </c>
      <c r="AW344" s="399"/>
      <c r="AX344" s="409" t="s">
        <v>3343</v>
      </c>
      <c r="AY344" s="399" t="e">
        <f t="shared" ca="1" si="63"/>
        <v>#NAME?</v>
      </c>
      <c r="AZ344" s="399"/>
      <c r="BA344" s="409">
        <v>1</v>
      </c>
      <c r="BB344" s="399"/>
      <c r="BC344" s="399"/>
      <c r="BD344" s="399"/>
      <c r="BE344" s="411"/>
      <c r="BF344" s="411"/>
      <c r="BG344" s="434" t="s">
        <v>5323</v>
      </c>
      <c r="BH344" s="411"/>
      <c r="BI344" s="411"/>
      <c r="BJ344" s="399"/>
      <c r="BK344" s="399"/>
      <c r="BL344" s="399"/>
      <c r="BM344" s="399"/>
      <c r="BN344" s="399"/>
      <c r="BO344" s="399"/>
      <c r="BP344" s="399"/>
      <c r="BQ344" s="399"/>
      <c r="BR344" s="399"/>
      <c r="BS344" s="407"/>
      <c r="BT344" s="407"/>
      <c r="BU344" s="412"/>
      <c r="BV344" s="46" t="str">
        <f t="shared" si="8"/>
        <v/>
      </c>
      <c r="BW344" s="46">
        <f t="shared" si="9"/>
        <v>0</v>
      </c>
      <c r="BX344" s="46">
        <f t="shared" si="10"/>
        <v>0</v>
      </c>
      <c r="BY344" s="43" t="str">
        <f t="shared" si="11"/>
        <v>WHO-FP Observation (Medical Eligibility)</v>
      </c>
      <c r="BZ344" s="46">
        <f t="shared" si="12"/>
        <v>1</v>
      </c>
      <c r="CA344" s="46" t="str">
        <f t="shared" si="13"/>
        <v/>
      </c>
      <c r="CB344" s="46">
        <f t="shared" si="14"/>
        <v>1</v>
      </c>
      <c r="CC344" s="46">
        <f t="shared" si="15"/>
        <v>1</v>
      </c>
      <c r="CD344" s="46">
        <f t="shared" si="16"/>
        <v>1</v>
      </c>
      <c r="CE344" s="46">
        <f t="shared" si="17"/>
        <v>0</v>
      </c>
      <c r="CF344" s="46">
        <f t="shared" si="18"/>
        <v>0</v>
      </c>
      <c r="CG344" s="46" t="str">
        <f ca="1">IFERROR(__xludf.DUMMYFUNCTION("if(OR(BH344="""",LEFT(BH344,2)=""LA""),"""",IMPORTXML(CONCATENATE(""https://loinc.org/"",BH344,""/""),""//span[@id='lcn']""))"),"")</f>
        <v/>
      </c>
      <c r="CH344" s="46"/>
      <c r="CI344" s="46"/>
      <c r="CJ344" s="46"/>
      <c r="CK344" s="46"/>
      <c r="CL344" s="46"/>
      <c r="CM344" s="46"/>
      <c r="CN344" s="46"/>
      <c r="CO344" s="46"/>
      <c r="CP344" s="46"/>
      <c r="CQ344" s="46"/>
      <c r="CR344" s="46"/>
      <c r="CS344" s="46"/>
      <c r="CT344" s="46"/>
      <c r="CU344" s="46"/>
    </row>
    <row r="345" spans="1:99" ht="12.75" customHeight="1">
      <c r="A345" s="399">
        <v>1586</v>
      </c>
      <c r="B345" s="409" t="s">
        <v>5324</v>
      </c>
      <c r="C345" s="399">
        <f t="shared" si="42"/>
        <v>1586</v>
      </c>
      <c r="D345" s="399" t="e">
        <f t="shared" ca="1" si="62"/>
        <v>#NAME?</v>
      </c>
      <c r="E345" s="399" t="str">
        <f t="shared" si="44"/>
        <v>Certain serious health conditions</v>
      </c>
      <c r="F345" s="410" t="s">
        <v>180</v>
      </c>
      <c r="G345" s="400">
        <v>23</v>
      </c>
      <c r="H345" s="399" t="s">
        <v>4475</v>
      </c>
      <c r="I345" s="400"/>
      <c r="J345" s="400"/>
      <c r="K345" s="401" t="s">
        <v>3333</v>
      </c>
      <c r="L345" s="402" t="s">
        <v>4518</v>
      </c>
      <c r="M345" s="400"/>
      <c r="N345" s="427" t="s">
        <v>4417</v>
      </c>
      <c r="O345" s="428"/>
      <c r="P345" s="405" t="s">
        <v>5325</v>
      </c>
      <c r="Q345" s="405"/>
      <c r="R345" s="403"/>
      <c r="S345" s="403"/>
      <c r="T345" s="407"/>
      <c r="U345" s="407"/>
      <c r="V345" s="432" t="s">
        <v>5324</v>
      </c>
      <c r="W345" s="407"/>
      <c r="X345" s="407" t="s">
        <v>208</v>
      </c>
      <c r="Y345" s="407"/>
      <c r="Z345" s="403" t="s">
        <v>113</v>
      </c>
      <c r="AA345" s="403" t="s">
        <v>3178</v>
      </c>
      <c r="AB345" s="559" t="s">
        <v>4968</v>
      </c>
      <c r="AC345" s="421"/>
      <c r="AD345" s="421"/>
      <c r="AE345" s="432"/>
      <c r="AF345" s="407"/>
      <c r="AG345" s="407" t="s">
        <v>3851</v>
      </c>
      <c r="AH345" s="399"/>
      <c r="AI345" s="400"/>
      <c r="AJ345" s="399"/>
      <c r="AK345" s="409"/>
      <c r="AL345" s="409"/>
      <c r="AM345" s="409"/>
      <c r="AN345" s="409"/>
      <c r="AO345" s="399"/>
      <c r="AP345" s="409"/>
      <c r="AQ345" s="409" t="s">
        <v>115</v>
      </c>
      <c r="AR345" s="409" t="s">
        <v>4478</v>
      </c>
      <c r="AS345" s="409"/>
      <c r="AT345" s="399"/>
      <c r="AU345" s="399" t="s">
        <v>5326</v>
      </c>
      <c r="AV345" s="399" t="str">
        <f t="shared" si="47"/>
        <v>Changed</v>
      </c>
      <c r="AW345" s="399"/>
      <c r="AX345" s="409" t="s">
        <v>3343</v>
      </c>
      <c r="AY345" s="399" t="e">
        <f t="shared" ca="1" si="63"/>
        <v>#NAME?</v>
      </c>
      <c r="AZ345" s="399"/>
      <c r="BA345" s="409">
        <v>0</v>
      </c>
      <c r="BB345" s="399"/>
      <c r="BC345" s="399"/>
      <c r="BD345" s="399"/>
      <c r="BE345" s="411"/>
      <c r="BF345" s="411"/>
      <c r="BG345" s="434" t="s">
        <v>5327</v>
      </c>
      <c r="BH345" s="411"/>
      <c r="BI345" s="411"/>
      <c r="BJ345" s="399"/>
      <c r="BK345" s="399"/>
      <c r="BL345" s="399"/>
      <c r="BM345" s="399"/>
      <c r="BN345" s="399"/>
      <c r="BO345" s="399"/>
      <c r="BP345" s="399"/>
      <c r="BQ345" s="399"/>
      <c r="BR345" s="399"/>
      <c r="BS345" s="407"/>
      <c r="BT345" s="407"/>
      <c r="BU345" s="412"/>
      <c r="BV345" s="46" t="str">
        <f t="shared" si="8"/>
        <v/>
      </c>
      <c r="BW345" s="46">
        <f t="shared" si="9"/>
        <v>0</v>
      </c>
      <c r="BX345" s="46">
        <f t="shared" si="10"/>
        <v>0</v>
      </c>
      <c r="BY345" s="43" t="str">
        <f t="shared" si="11"/>
        <v>WHO-FP Condition (Medical Eligibility)</v>
      </c>
      <c r="BZ345" s="46">
        <f t="shared" si="12"/>
        <v>1</v>
      </c>
      <c r="CA345" s="46" t="str">
        <f t="shared" si="13"/>
        <v/>
      </c>
      <c r="CB345" s="46">
        <f t="shared" si="14"/>
        <v>1</v>
      </c>
      <c r="CC345" s="46">
        <f t="shared" si="15"/>
        <v>1</v>
      </c>
      <c r="CD345" s="46">
        <f t="shared" si="16"/>
        <v>1</v>
      </c>
      <c r="CE345" s="46">
        <f t="shared" si="17"/>
        <v>0</v>
      </c>
      <c r="CF345" s="46">
        <f t="shared" si="18"/>
        <v>0</v>
      </c>
      <c r="CG345" s="46" t="str">
        <f ca="1">IFERROR(__xludf.DUMMYFUNCTION("if(OR(BH345="""",LEFT(BH345,2)=""LA""),"""",IMPORTXML(CONCATENATE(""https://loinc.org/"",BH345,""/""),""//span[@id='lcn']""))"),"")</f>
        <v/>
      </c>
      <c r="CH345" s="46"/>
      <c r="CI345" s="46"/>
      <c r="CJ345" s="46"/>
      <c r="CK345" s="46"/>
      <c r="CL345" s="46"/>
      <c r="CM345" s="46"/>
      <c r="CN345" s="46"/>
      <c r="CO345" s="46"/>
      <c r="CP345" s="46"/>
      <c r="CQ345" s="46"/>
      <c r="CR345" s="46"/>
      <c r="CS345" s="46"/>
      <c r="CT345" s="46"/>
      <c r="CU345" s="46"/>
    </row>
    <row r="346" spans="1:99" ht="12.75" customHeight="1">
      <c r="A346" s="399">
        <v>1587</v>
      </c>
      <c r="B346" s="409" t="s">
        <v>5328</v>
      </c>
      <c r="C346" s="399">
        <f t="shared" si="42"/>
        <v>1587</v>
      </c>
      <c r="D346" s="399" t="e">
        <f t="shared" ca="1" si="62"/>
        <v>#NAME?</v>
      </c>
      <c r="E346" s="399" t="str">
        <f t="shared" si="44"/>
        <v>Circumstances that will keep her from walking for one week or more</v>
      </c>
      <c r="F346" s="410" t="s">
        <v>180</v>
      </c>
      <c r="G346" s="400">
        <v>23</v>
      </c>
      <c r="H346" s="399" t="s">
        <v>4475</v>
      </c>
      <c r="I346" s="400"/>
      <c r="J346" s="400"/>
      <c r="K346" s="401" t="s">
        <v>3333</v>
      </c>
      <c r="L346" s="402" t="s">
        <v>4518</v>
      </c>
      <c r="M346" s="400"/>
      <c r="N346" s="427" t="s">
        <v>4417</v>
      </c>
      <c r="O346" s="428"/>
      <c r="P346" s="405" t="s">
        <v>5329</v>
      </c>
      <c r="Q346" s="405"/>
      <c r="R346" s="403"/>
      <c r="S346" s="440" t="s">
        <v>5330</v>
      </c>
      <c r="T346" s="407"/>
      <c r="U346" s="407"/>
      <c r="V346" s="432" t="s">
        <v>5330</v>
      </c>
      <c r="W346" s="407"/>
      <c r="X346" s="407" t="s">
        <v>208</v>
      </c>
      <c r="Y346" s="407"/>
      <c r="Z346" s="403" t="s">
        <v>113</v>
      </c>
      <c r="AA346" s="403" t="s">
        <v>3178</v>
      </c>
      <c r="AB346" s="559" t="s">
        <v>4968</v>
      </c>
      <c r="AC346" s="421"/>
      <c r="AD346" s="421"/>
      <c r="AE346" s="432"/>
      <c r="AF346" s="407"/>
      <c r="AG346" s="407" t="s">
        <v>3851</v>
      </c>
      <c r="AH346" s="399"/>
      <c r="AI346" s="400"/>
      <c r="AJ346" s="399"/>
      <c r="AK346" s="440"/>
      <c r="AL346" s="409"/>
      <c r="AM346" s="409"/>
      <c r="AN346" s="409"/>
      <c r="AO346" s="399"/>
      <c r="AP346" s="409"/>
      <c r="AQ346" s="409" t="s">
        <v>115</v>
      </c>
      <c r="AR346" s="409" t="s">
        <v>4478</v>
      </c>
      <c r="AS346" s="409"/>
      <c r="AT346" s="399"/>
      <c r="AU346" s="399" t="s">
        <v>5332</v>
      </c>
      <c r="AV346" s="399" t="str">
        <f t="shared" si="47"/>
        <v>Changed</v>
      </c>
      <c r="AW346" s="399"/>
      <c r="AX346" s="409" t="s">
        <v>3343</v>
      </c>
      <c r="AY346" s="399" t="e">
        <f t="shared" ca="1" si="63"/>
        <v>#NAME?</v>
      </c>
      <c r="AZ346" s="399"/>
      <c r="BA346" s="409">
        <v>0</v>
      </c>
      <c r="BB346" s="399"/>
      <c r="BC346" s="399"/>
      <c r="BD346" s="399"/>
      <c r="BE346" s="411" t="s">
        <v>5333</v>
      </c>
      <c r="BF346" s="411"/>
      <c r="BG346" s="434" t="s">
        <v>5334</v>
      </c>
      <c r="BH346" s="411"/>
      <c r="BI346" s="411"/>
      <c r="BJ346" s="399"/>
      <c r="BK346" s="409"/>
      <c r="BL346" s="409"/>
      <c r="BM346" s="409" t="s">
        <v>5335</v>
      </c>
      <c r="BN346" s="399"/>
      <c r="BO346" s="399"/>
      <c r="BP346" s="399"/>
      <c r="BQ346" s="399"/>
      <c r="BR346" s="399"/>
      <c r="BS346" s="407"/>
      <c r="BT346" s="407"/>
      <c r="BU346" s="412"/>
      <c r="BV346" s="46" t="str">
        <f t="shared" si="8"/>
        <v/>
      </c>
      <c r="BW346" s="46">
        <f t="shared" si="9"/>
        <v>0</v>
      </c>
      <c r="BX346" s="46">
        <f t="shared" si="10"/>
        <v>0</v>
      </c>
      <c r="BY346" s="43" t="str">
        <f t="shared" si="11"/>
        <v>WHO-FP Condition (Medical Eligibility)</v>
      </c>
      <c r="BZ346" s="46">
        <f t="shared" si="12"/>
        <v>1</v>
      </c>
      <c r="CA346" s="46" t="str">
        <f t="shared" si="13"/>
        <v/>
      </c>
      <c r="CB346" s="46">
        <f t="shared" si="14"/>
        <v>1</v>
      </c>
      <c r="CC346" s="46">
        <f t="shared" si="15"/>
        <v>1</v>
      </c>
      <c r="CD346" s="46">
        <f t="shared" si="16"/>
        <v>1</v>
      </c>
      <c r="CE346" s="46">
        <f t="shared" si="17"/>
        <v>0</v>
      </c>
      <c r="CF346" s="46">
        <f t="shared" si="18"/>
        <v>0</v>
      </c>
      <c r="CG346" s="46" t="str">
        <f ca="1">IFERROR(__xludf.DUMMYFUNCTION("if(OR(BH346="""",LEFT(BH346,2)=""LA""),"""",IMPORTXML(CONCATENATE(""https://loinc.org/"",BH346,""/""),""//span[@id='lcn']""))"),"")</f>
        <v/>
      </c>
      <c r="CH346" s="46"/>
      <c r="CI346" s="46"/>
      <c r="CJ346" s="46"/>
      <c r="CK346" s="46"/>
      <c r="CL346" s="46"/>
      <c r="CM346" s="46"/>
      <c r="CN346" s="46"/>
      <c r="CO346" s="46"/>
      <c r="CP346" s="46"/>
      <c r="CQ346" s="46"/>
      <c r="CR346" s="46"/>
      <c r="CS346" s="46"/>
      <c r="CT346" s="46"/>
      <c r="CU346" s="46"/>
    </row>
    <row r="347" spans="1:99" ht="12.75" customHeight="1">
      <c r="A347" s="399">
        <v>1589</v>
      </c>
      <c r="B347" s="409" t="s">
        <v>5337</v>
      </c>
      <c r="C347" s="399">
        <f t="shared" si="42"/>
        <v>1589</v>
      </c>
      <c r="D347" s="399" t="e">
        <f t="shared" ca="1" si="62"/>
        <v>#NAME?</v>
      </c>
      <c r="E347" s="399" t="str">
        <f t="shared" si="44"/>
        <v>Thyroid disorders</v>
      </c>
      <c r="F347" s="410" t="s">
        <v>180</v>
      </c>
      <c r="G347" s="400">
        <v>23</v>
      </c>
      <c r="H347" s="399" t="s">
        <v>4475</v>
      </c>
      <c r="I347" s="400"/>
      <c r="J347" s="400"/>
      <c r="K347" s="401" t="s">
        <v>3333</v>
      </c>
      <c r="L347" s="402" t="s">
        <v>4518</v>
      </c>
      <c r="M347" s="400"/>
      <c r="N347" s="427" t="s">
        <v>4417</v>
      </c>
      <c r="O347" s="428"/>
      <c r="P347" s="403" t="s">
        <v>5338</v>
      </c>
      <c r="Q347" s="405"/>
      <c r="R347" s="403"/>
      <c r="S347" s="403" t="s">
        <v>5339</v>
      </c>
      <c r="T347" s="407"/>
      <c r="U347" s="407"/>
      <c r="V347" s="429" t="s">
        <v>5337</v>
      </c>
      <c r="W347" s="407"/>
      <c r="X347" s="407" t="s">
        <v>208</v>
      </c>
      <c r="Y347" s="407"/>
      <c r="Z347" s="403" t="s">
        <v>113</v>
      </c>
      <c r="AA347" s="403" t="s">
        <v>3178</v>
      </c>
      <c r="AB347" s="559" t="s">
        <v>4968</v>
      </c>
      <c r="AC347" s="421"/>
      <c r="AD347" s="421"/>
      <c r="AE347" s="432"/>
      <c r="AF347" s="407"/>
      <c r="AG347" s="407" t="s">
        <v>3851</v>
      </c>
      <c r="AH347" s="399"/>
      <c r="AI347" s="400"/>
      <c r="AJ347" s="399"/>
      <c r="AK347" s="440"/>
      <c r="AL347" s="409"/>
      <c r="AM347" s="409"/>
      <c r="AN347" s="409"/>
      <c r="AO347" s="399"/>
      <c r="AP347" s="409"/>
      <c r="AQ347" s="409" t="s">
        <v>3130</v>
      </c>
      <c r="AR347" s="409" t="s">
        <v>4478</v>
      </c>
      <c r="AS347" s="409"/>
      <c r="AT347" s="399"/>
      <c r="AU347" s="399" t="s">
        <v>5340</v>
      </c>
      <c r="AV347" s="399" t="str">
        <f t="shared" si="47"/>
        <v>Changed</v>
      </c>
      <c r="AW347" s="399"/>
      <c r="AX347" s="409" t="s">
        <v>3343</v>
      </c>
      <c r="AY347" s="399" t="e">
        <f t="shared" ca="1" si="63"/>
        <v>#NAME?</v>
      </c>
      <c r="AZ347" s="399"/>
      <c r="BA347" s="409">
        <v>1</v>
      </c>
      <c r="BB347" s="399"/>
      <c r="BC347" s="399"/>
      <c r="BD347" s="399"/>
      <c r="BE347" s="411"/>
      <c r="BF347" s="411"/>
      <c r="BG347" s="411" t="s">
        <v>5342</v>
      </c>
      <c r="BH347" s="411" t="s">
        <v>5343</v>
      </c>
      <c r="BI347" s="411"/>
      <c r="BJ347" s="399"/>
      <c r="BK347" s="399"/>
      <c r="BL347" s="399"/>
      <c r="BM347" s="399"/>
      <c r="BN347" s="399"/>
      <c r="BO347" s="399"/>
      <c r="BP347" s="399"/>
      <c r="BQ347" s="399"/>
      <c r="BR347" s="399"/>
      <c r="BS347" s="407"/>
      <c r="BT347" s="407"/>
      <c r="BU347" s="412"/>
      <c r="BV347" s="46" t="str">
        <f t="shared" si="8"/>
        <v/>
      </c>
      <c r="BW347" s="46">
        <f t="shared" si="9"/>
        <v>0</v>
      </c>
      <c r="BX347" s="46">
        <f t="shared" si="10"/>
        <v>0</v>
      </c>
      <c r="BY347" s="43" t="str">
        <f t="shared" si="11"/>
        <v>WHO-FP Condition (Medical Eligibility)</v>
      </c>
      <c r="BZ347" s="46">
        <f t="shared" si="12"/>
        <v>1</v>
      </c>
      <c r="CA347" s="46" t="str">
        <f t="shared" si="13"/>
        <v/>
      </c>
      <c r="CB347" s="46">
        <f t="shared" si="14"/>
        <v>1</v>
      </c>
      <c r="CC347" s="46">
        <f t="shared" si="15"/>
        <v>1</v>
      </c>
      <c r="CD347" s="46">
        <f t="shared" si="16"/>
        <v>1</v>
      </c>
      <c r="CE347" s="46">
        <f t="shared" si="17"/>
        <v>0</v>
      </c>
      <c r="CF347" s="46">
        <f t="shared" si="18"/>
        <v>0</v>
      </c>
      <c r="CG347" s="46" t="str">
        <f ca="1">IFERROR(__xludf.DUMMYFUNCTION("if(OR(BH347="""",LEFT(BH347,2)=""LA""),"""",IMPORTXML(CONCATENATE(""https://loinc.org/"",BH347,""/""),""//span[@id='lcn']""))"),"#N/A")</f>
        <v>#N/A</v>
      </c>
      <c r="CH347" s="46"/>
      <c r="CI347" s="46"/>
      <c r="CJ347" s="46"/>
      <c r="CK347" s="46"/>
      <c r="CL347" s="46"/>
      <c r="CM347" s="46"/>
      <c r="CN347" s="46"/>
      <c r="CO347" s="46"/>
      <c r="CP347" s="46"/>
      <c r="CQ347" s="46"/>
      <c r="CR347" s="46"/>
      <c r="CS347" s="46"/>
      <c r="CT347" s="46"/>
      <c r="CU347" s="46"/>
    </row>
    <row r="348" spans="1:99" ht="12.75" customHeight="1">
      <c r="A348" s="399">
        <v>1590</v>
      </c>
      <c r="B348" s="399" t="s">
        <v>5344</v>
      </c>
      <c r="C348" s="399">
        <f t="shared" si="42"/>
        <v>1590</v>
      </c>
      <c r="D348" s="399" t="str">
        <f t="shared" si="62"/>
        <v>Thyroid disorder category</v>
      </c>
      <c r="E348" s="399" t="str">
        <f t="shared" si="44"/>
        <v>Thyroid disorder category</v>
      </c>
      <c r="F348" s="409" t="s">
        <v>3164</v>
      </c>
      <c r="G348" s="400">
        <f>LEN(B348)</f>
        <v>25</v>
      </c>
      <c r="H348" s="400" t="str">
        <f>IF(F348="Input Option",IF(H347="",B347,H347),"")</f>
        <v/>
      </c>
      <c r="I348" s="400"/>
      <c r="J348" s="400"/>
      <c r="K348" s="401" t="s">
        <v>3333</v>
      </c>
      <c r="L348" s="402" t="s">
        <v>4518</v>
      </c>
      <c r="M348" s="400"/>
      <c r="N348" s="427" t="s">
        <v>4417</v>
      </c>
      <c r="O348" s="428"/>
      <c r="P348" s="407" t="s">
        <v>5345</v>
      </c>
      <c r="Q348" s="405" t="s">
        <v>5344</v>
      </c>
      <c r="R348" s="403"/>
      <c r="S348" s="403" t="s">
        <v>5347</v>
      </c>
      <c r="T348" s="403" t="s">
        <v>3339</v>
      </c>
      <c r="U348" s="407" t="s">
        <v>3243</v>
      </c>
      <c r="V348" s="403"/>
      <c r="W348" s="407"/>
      <c r="X348" s="407" t="s">
        <v>208</v>
      </c>
      <c r="Y348" s="407"/>
      <c r="Z348" s="403" t="s">
        <v>113</v>
      </c>
      <c r="AA348" s="403" t="s">
        <v>3178</v>
      </c>
      <c r="AB348" s="432" t="s">
        <v>5348</v>
      </c>
      <c r="AC348" s="421"/>
      <c r="AD348" s="421"/>
      <c r="AE348" s="432"/>
      <c r="AF348" s="407"/>
      <c r="AG348" s="407" t="s">
        <v>3851</v>
      </c>
      <c r="AH348" s="399"/>
      <c r="AI348" s="400"/>
      <c r="AJ348" s="399"/>
      <c r="AK348" s="399"/>
      <c r="AL348" s="399"/>
      <c r="AM348" s="399"/>
      <c r="AN348" s="399"/>
      <c r="AO348" s="399"/>
      <c r="AP348" s="399"/>
      <c r="AQ348" s="409" t="s">
        <v>115</v>
      </c>
      <c r="AR348" s="399"/>
      <c r="AS348" s="399"/>
      <c r="AT348" s="399"/>
      <c r="AU348" s="399" t="s">
        <v>5344</v>
      </c>
      <c r="AV348" s="399" t="str">
        <f t="shared" si="47"/>
        <v>Same</v>
      </c>
      <c r="AW348" s="399"/>
      <c r="AX348" s="409" t="s">
        <v>3343</v>
      </c>
      <c r="AY348" s="399" t="str">
        <f t="shared" si="63"/>
        <v/>
      </c>
      <c r="AZ348" s="399"/>
      <c r="BA348" s="409">
        <v>1</v>
      </c>
      <c r="BB348" s="399"/>
      <c r="BC348" s="399"/>
      <c r="BD348" s="399"/>
      <c r="BE348" s="411"/>
      <c r="BF348" s="411"/>
      <c r="BG348" s="411"/>
      <c r="BH348" s="411"/>
      <c r="BI348" s="411"/>
      <c r="BJ348" s="399" t="s">
        <v>3106</v>
      </c>
      <c r="BK348" s="399"/>
      <c r="BL348" s="399"/>
      <c r="BM348" s="399"/>
      <c r="BN348" s="399"/>
      <c r="BO348" s="399"/>
      <c r="BP348" s="399"/>
      <c r="BQ348" s="399"/>
      <c r="BR348" s="399"/>
      <c r="BS348" s="407"/>
      <c r="BT348" s="407"/>
      <c r="BU348" s="412"/>
      <c r="BV348" s="46" t="str">
        <f t="shared" si="8"/>
        <v/>
      </c>
      <c r="BW348" s="46" t="str">
        <f t="shared" si="9"/>
        <v/>
      </c>
      <c r="BX348" s="46" t="str">
        <f t="shared" si="10"/>
        <v/>
      </c>
      <c r="BY348" s="43" t="str">
        <f t="shared" si="11"/>
        <v/>
      </c>
      <c r="BZ348" s="46">
        <f t="shared" si="12"/>
        <v>1</v>
      </c>
      <c r="CA348" s="46" t="str">
        <f t="shared" si="13"/>
        <v/>
      </c>
      <c r="CB348" s="46">
        <f t="shared" si="14"/>
        <v>1</v>
      </c>
      <c r="CC348" s="46">
        <f t="shared" si="15"/>
        <v>1</v>
      </c>
      <c r="CD348" s="46">
        <f t="shared" si="16"/>
        <v>1</v>
      </c>
      <c r="CE348" s="46">
        <f t="shared" si="17"/>
        <v>0</v>
      </c>
      <c r="CF348" s="46">
        <f t="shared" si="18"/>
        <v>0</v>
      </c>
      <c r="CG348" s="46" t="str">
        <f ca="1">IFERROR(__xludf.DUMMYFUNCTION("if(OR(BH348="""",LEFT(BH348,2)=""LA""),"""",IMPORTXML(CONCATENATE(""https://loinc.org/"",BH348,""/""),""//span[@id='lcn']""))"),"")</f>
        <v/>
      </c>
      <c r="CH348" s="46"/>
      <c r="CI348" s="46"/>
      <c r="CJ348" s="46"/>
      <c r="CK348" s="46"/>
      <c r="CL348" s="46"/>
      <c r="CM348" s="46"/>
      <c r="CN348" s="46"/>
      <c r="CO348" s="46"/>
      <c r="CP348" s="46"/>
      <c r="CQ348" s="46"/>
      <c r="CR348" s="46"/>
      <c r="CS348" s="46"/>
      <c r="CT348" s="46"/>
      <c r="CU348" s="46"/>
    </row>
    <row r="349" spans="1:99" ht="12.75" customHeight="1">
      <c r="A349" s="399">
        <v>1591</v>
      </c>
      <c r="B349" s="409" t="s">
        <v>5350</v>
      </c>
      <c r="C349" s="399">
        <f t="shared" si="42"/>
        <v>1591</v>
      </c>
      <c r="D349" s="399" t="e">
        <f t="shared" ca="1" si="62"/>
        <v>#NAME?</v>
      </c>
      <c r="E349" s="399" t="str">
        <f t="shared" si="44"/>
        <v>Simple goiter</v>
      </c>
      <c r="F349" s="410" t="s">
        <v>180</v>
      </c>
      <c r="G349" s="400">
        <v>23</v>
      </c>
      <c r="H349" s="399" t="s">
        <v>4475</v>
      </c>
      <c r="I349" s="400"/>
      <c r="J349" s="400"/>
      <c r="K349" s="401" t="s">
        <v>3333</v>
      </c>
      <c r="L349" s="402" t="s">
        <v>4518</v>
      </c>
      <c r="M349" s="400"/>
      <c r="N349" s="427" t="s">
        <v>4417</v>
      </c>
      <c r="O349" s="428"/>
      <c r="P349" s="407" t="s">
        <v>5351</v>
      </c>
      <c r="Q349" s="405"/>
      <c r="R349" s="403"/>
      <c r="S349" s="403" t="s">
        <v>5352</v>
      </c>
      <c r="T349" s="407"/>
      <c r="U349" s="407"/>
      <c r="V349" s="431" t="s">
        <v>5350</v>
      </c>
      <c r="W349" s="407"/>
      <c r="X349" s="407" t="s">
        <v>208</v>
      </c>
      <c r="Y349" s="407"/>
      <c r="Z349" s="403" t="s">
        <v>113</v>
      </c>
      <c r="AA349" s="403" t="s">
        <v>3178</v>
      </c>
      <c r="AB349" s="559" t="s">
        <v>4968</v>
      </c>
      <c r="AC349" s="421"/>
      <c r="AD349" s="421"/>
      <c r="AE349" s="432"/>
      <c r="AF349" s="407"/>
      <c r="AG349" s="407" t="s">
        <v>3851</v>
      </c>
      <c r="AH349" s="399"/>
      <c r="AI349" s="400"/>
      <c r="AJ349" s="399"/>
      <c r="AK349" s="440"/>
      <c r="AL349" s="409"/>
      <c r="AM349" s="409"/>
      <c r="AN349" s="409"/>
      <c r="AO349" s="399"/>
      <c r="AP349" s="409"/>
      <c r="AQ349" s="409" t="s">
        <v>3130</v>
      </c>
      <c r="AR349" s="409" t="s">
        <v>4478</v>
      </c>
      <c r="AS349" s="409"/>
      <c r="AT349" s="399"/>
      <c r="AU349" s="399" t="s">
        <v>5353</v>
      </c>
      <c r="AV349" s="399" t="str">
        <f t="shared" si="47"/>
        <v>Changed</v>
      </c>
      <c r="AW349" s="399"/>
      <c r="AX349" s="409" t="s">
        <v>3343</v>
      </c>
      <c r="AY349" s="399" t="e">
        <f t="shared" ca="1" si="63"/>
        <v>#NAME?</v>
      </c>
      <c r="AZ349" s="399"/>
      <c r="BA349" s="409">
        <v>1</v>
      </c>
      <c r="BB349" s="399"/>
      <c r="BC349" s="399"/>
      <c r="BD349" s="409" t="s">
        <v>3162</v>
      </c>
      <c r="BE349" s="411"/>
      <c r="BF349" s="411"/>
      <c r="BG349" s="411" t="s">
        <v>5354</v>
      </c>
      <c r="BH349" s="411"/>
      <c r="BI349" s="411"/>
      <c r="BJ349" s="399"/>
      <c r="BK349" s="399"/>
      <c r="BL349" s="399"/>
      <c r="BM349" s="399"/>
      <c r="BN349" s="399"/>
      <c r="BO349" s="399"/>
      <c r="BP349" s="399"/>
      <c r="BQ349" s="399"/>
      <c r="BR349" s="399"/>
      <c r="BS349" s="407"/>
      <c r="BT349" s="407"/>
      <c r="BU349" s="412"/>
      <c r="BV349" s="46" t="str">
        <f t="shared" si="8"/>
        <v/>
      </c>
      <c r="BW349" s="46">
        <f t="shared" si="9"/>
        <v>0</v>
      </c>
      <c r="BX349" s="46">
        <f t="shared" si="10"/>
        <v>0</v>
      </c>
      <c r="BY349" s="43" t="str">
        <f t="shared" si="11"/>
        <v>WHO-FP Condition (Medical Eligibility)</v>
      </c>
      <c r="BZ349" s="46">
        <f t="shared" si="12"/>
        <v>1</v>
      </c>
      <c r="CA349" s="46" t="str">
        <f t="shared" si="13"/>
        <v/>
      </c>
      <c r="CB349" s="46">
        <f t="shared" si="14"/>
        <v>1</v>
      </c>
      <c r="CC349" s="46">
        <f t="shared" si="15"/>
        <v>1</v>
      </c>
      <c r="CD349" s="46">
        <f t="shared" si="16"/>
        <v>1</v>
      </c>
      <c r="CE349" s="46">
        <f t="shared" si="17"/>
        <v>0</v>
      </c>
      <c r="CF349" s="46">
        <f t="shared" si="18"/>
        <v>0</v>
      </c>
      <c r="CG349" s="46" t="str">
        <f ca="1">IFERROR(__xludf.DUMMYFUNCTION("if(OR(BH349="""",LEFT(BH349,2)=""LA""),"""",IMPORTXML(CONCATENATE(""https://loinc.org/"",BH349,""/""),""//span[@id='lcn']""))"),"")</f>
        <v/>
      </c>
      <c r="CH349" s="46"/>
      <c r="CI349" s="46"/>
      <c r="CJ349" s="46"/>
      <c r="CK349" s="46"/>
      <c r="CL349" s="46"/>
      <c r="CM349" s="46"/>
      <c r="CN349" s="46"/>
      <c r="CO349" s="46"/>
      <c r="CP349" s="46"/>
      <c r="CQ349" s="46"/>
      <c r="CR349" s="46"/>
      <c r="CS349" s="46"/>
      <c r="CT349" s="46"/>
      <c r="CU349" s="46"/>
    </row>
    <row r="350" spans="1:99" ht="12.75" customHeight="1">
      <c r="A350" s="399">
        <v>1592</v>
      </c>
      <c r="B350" s="409" t="s">
        <v>5355</v>
      </c>
      <c r="C350" s="399">
        <f t="shared" si="42"/>
        <v>1592</v>
      </c>
      <c r="D350" s="399" t="e">
        <f t="shared" ca="1" si="62"/>
        <v>#NAME?</v>
      </c>
      <c r="E350" s="399" t="str">
        <f t="shared" si="44"/>
        <v>Hyperthyroid</v>
      </c>
      <c r="F350" s="410" t="s">
        <v>180</v>
      </c>
      <c r="G350" s="400">
        <v>23</v>
      </c>
      <c r="H350" s="399" t="s">
        <v>4475</v>
      </c>
      <c r="I350" s="400"/>
      <c r="J350" s="400"/>
      <c r="K350" s="401" t="s">
        <v>3333</v>
      </c>
      <c r="L350" s="402" t="s">
        <v>4518</v>
      </c>
      <c r="M350" s="400"/>
      <c r="N350" s="427" t="s">
        <v>4417</v>
      </c>
      <c r="O350" s="428"/>
      <c r="P350" s="407" t="s">
        <v>5356</v>
      </c>
      <c r="Q350" s="405"/>
      <c r="R350" s="403"/>
      <c r="S350" s="403" t="s">
        <v>5357</v>
      </c>
      <c r="T350" s="407"/>
      <c r="U350" s="407"/>
      <c r="V350" s="431" t="s">
        <v>5355</v>
      </c>
      <c r="W350" s="407"/>
      <c r="X350" s="407" t="s">
        <v>208</v>
      </c>
      <c r="Y350" s="407"/>
      <c r="Z350" s="403" t="s">
        <v>113</v>
      </c>
      <c r="AA350" s="403" t="s">
        <v>3178</v>
      </c>
      <c r="AB350" s="559" t="s">
        <v>4968</v>
      </c>
      <c r="AC350" s="421"/>
      <c r="AD350" s="421"/>
      <c r="AE350" s="432"/>
      <c r="AF350" s="407"/>
      <c r="AG350" s="407" t="s">
        <v>3851</v>
      </c>
      <c r="AH350" s="399"/>
      <c r="AI350" s="400"/>
      <c r="AJ350" s="399"/>
      <c r="AK350" s="440"/>
      <c r="AL350" s="409"/>
      <c r="AM350" s="409"/>
      <c r="AN350" s="409"/>
      <c r="AO350" s="399"/>
      <c r="AP350" s="409"/>
      <c r="AQ350" s="409" t="s">
        <v>3130</v>
      </c>
      <c r="AR350" s="409" t="s">
        <v>4478</v>
      </c>
      <c r="AS350" s="409"/>
      <c r="AT350" s="399"/>
      <c r="AU350" s="399" t="s">
        <v>5358</v>
      </c>
      <c r="AV350" s="399" t="str">
        <f t="shared" si="47"/>
        <v>Changed</v>
      </c>
      <c r="AW350" s="399"/>
      <c r="AX350" s="409" t="s">
        <v>3343</v>
      </c>
      <c r="AY350" s="399" t="e">
        <f t="shared" ca="1" si="63"/>
        <v>#NAME?</v>
      </c>
      <c r="AZ350" s="399"/>
      <c r="BA350" s="409">
        <v>1</v>
      </c>
      <c r="BB350" s="399"/>
      <c r="BC350" s="399"/>
      <c r="BD350" s="409" t="s">
        <v>3162</v>
      </c>
      <c r="BE350" s="411" t="s">
        <v>5359</v>
      </c>
      <c r="BF350" s="411" t="s">
        <v>5360</v>
      </c>
      <c r="BG350" s="411" t="s">
        <v>5361</v>
      </c>
      <c r="BH350" s="411"/>
      <c r="BI350" s="411"/>
      <c r="BJ350" s="399"/>
      <c r="BK350" s="399"/>
      <c r="BL350" s="399"/>
      <c r="BM350" s="399"/>
      <c r="BN350" s="399"/>
      <c r="BO350" s="399">
        <v>138176</v>
      </c>
      <c r="BP350" s="399"/>
      <c r="BQ350" s="399"/>
      <c r="BR350" s="399"/>
      <c r="BS350" s="407"/>
      <c r="BT350" s="407"/>
      <c r="BU350" s="412"/>
      <c r="BV350" s="46" t="str">
        <f t="shared" si="8"/>
        <v/>
      </c>
      <c r="BW350" s="46">
        <f t="shared" si="9"/>
        <v>0</v>
      </c>
      <c r="BX350" s="46">
        <f t="shared" si="10"/>
        <v>0</v>
      </c>
      <c r="BY350" s="43" t="str">
        <f t="shared" si="11"/>
        <v>WHO-FP Condition (Medical Eligibility)</v>
      </c>
      <c r="BZ350" s="46">
        <f t="shared" si="12"/>
        <v>1</v>
      </c>
      <c r="CA350" s="46" t="str">
        <f t="shared" si="13"/>
        <v/>
      </c>
      <c r="CB350" s="46">
        <f t="shared" si="14"/>
        <v>1</v>
      </c>
      <c r="CC350" s="46">
        <f t="shared" si="15"/>
        <v>1</v>
      </c>
      <c r="CD350" s="46">
        <f t="shared" si="16"/>
        <v>1</v>
      </c>
      <c r="CE350" s="46">
        <f t="shared" si="17"/>
        <v>0</v>
      </c>
      <c r="CF350" s="46">
        <f t="shared" si="18"/>
        <v>0</v>
      </c>
      <c r="CG350" s="46" t="str">
        <f ca="1">IFERROR(__xludf.DUMMYFUNCTION("if(OR(BH350="""",LEFT(BH350,2)=""LA""),"""",IMPORTXML(CONCATENATE(""https://loinc.org/"",BH350,""/""),""//span[@id='lcn']""))"),"")</f>
        <v/>
      </c>
      <c r="CH350" s="46"/>
      <c r="CI350" s="46"/>
      <c r="CJ350" s="46"/>
      <c r="CK350" s="46"/>
      <c r="CL350" s="46"/>
      <c r="CM350" s="46"/>
      <c r="CN350" s="46"/>
      <c r="CO350" s="46"/>
      <c r="CP350" s="46"/>
      <c r="CQ350" s="46"/>
      <c r="CR350" s="46"/>
      <c r="CS350" s="46"/>
      <c r="CT350" s="46"/>
      <c r="CU350" s="46"/>
    </row>
    <row r="351" spans="1:99" ht="12.75" customHeight="1">
      <c r="A351" s="399">
        <v>1593</v>
      </c>
      <c r="B351" s="409" t="s">
        <v>5362</v>
      </c>
      <c r="C351" s="399">
        <f t="shared" si="42"/>
        <v>1593</v>
      </c>
      <c r="D351" s="399" t="e">
        <f t="shared" ca="1" si="62"/>
        <v>#NAME?</v>
      </c>
      <c r="E351" s="399" t="str">
        <f t="shared" si="44"/>
        <v>Hypothyroid</v>
      </c>
      <c r="F351" s="410" t="s">
        <v>180</v>
      </c>
      <c r="G351" s="400">
        <v>23</v>
      </c>
      <c r="H351" s="399" t="s">
        <v>4475</v>
      </c>
      <c r="I351" s="400"/>
      <c r="J351" s="400"/>
      <c r="K351" s="401" t="s">
        <v>3333</v>
      </c>
      <c r="L351" s="402" t="s">
        <v>4518</v>
      </c>
      <c r="M351" s="400"/>
      <c r="N351" s="427" t="s">
        <v>4417</v>
      </c>
      <c r="O351" s="428"/>
      <c r="P351" s="407" t="s">
        <v>5363</v>
      </c>
      <c r="Q351" s="405"/>
      <c r="R351" s="403"/>
      <c r="S351" s="403" t="s">
        <v>5364</v>
      </c>
      <c r="T351" s="407"/>
      <c r="U351" s="407"/>
      <c r="V351" s="407" t="s">
        <v>5362</v>
      </c>
      <c r="W351" s="407"/>
      <c r="X351" s="407" t="s">
        <v>208</v>
      </c>
      <c r="Y351" s="407"/>
      <c r="Z351" s="403" t="s">
        <v>113</v>
      </c>
      <c r="AA351" s="403" t="s">
        <v>3178</v>
      </c>
      <c r="AB351" s="559" t="s">
        <v>4968</v>
      </c>
      <c r="AC351" s="421"/>
      <c r="AD351" s="421"/>
      <c r="AE351" s="432"/>
      <c r="AF351" s="407"/>
      <c r="AG351" s="407" t="s">
        <v>3851</v>
      </c>
      <c r="AH351" s="399"/>
      <c r="AI351" s="400"/>
      <c r="AJ351" s="399"/>
      <c r="AK351" s="440"/>
      <c r="AL351" s="409"/>
      <c r="AM351" s="409"/>
      <c r="AN351" s="409"/>
      <c r="AO351" s="399"/>
      <c r="AP351" s="409"/>
      <c r="AQ351" s="409" t="s">
        <v>3130</v>
      </c>
      <c r="AR351" s="409" t="s">
        <v>4478</v>
      </c>
      <c r="AS351" s="409"/>
      <c r="AT351" s="399"/>
      <c r="AU351" s="399" t="s">
        <v>5365</v>
      </c>
      <c r="AV351" s="399" t="str">
        <f t="shared" si="47"/>
        <v>Changed</v>
      </c>
      <c r="AW351" s="399"/>
      <c r="AX351" s="409" t="s">
        <v>3343</v>
      </c>
      <c r="AY351" s="399" t="e">
        <f t="shared" ca="1" si="63"/>
        <v>#NAME?</v>
      </c>
      <c r="AZ351" s="399"/>
      <c r="BA351" s="409">
        <v>1</v>
      </c>
      <c r="BB351" s="399"/>
      <c r="BC351" s="399"/>
      <c r="BD351" s="399"/>
      <c r="BE351" s="411" t="s">
        <v>5366</v>
      </c>
      <c r="BF351" s="411" t="s">
        <v>5367</v>
      </c>
      <c r="BG351" s="411" t="s">
        <v>5368</v>
      </c>
      <c r="BH351" s="411"/>
      <c r="BI351" s="411"/>
      <c r="BJ351" s="399"/>
      <c r="BK351" s="399"/>
      <c r="BL351" s="399"/>
      <c r="BM351" s="399"/>
      <c r="BN351" s="399"/>
      <c r="BO351" s="399">
        <v>117321</v>
      </c>
      <c r="BP351" s="399"/>
      <c r="BQ351" s="399"/>
      <c r="BR351" s="399"/>
      <c r="BS351" s="407"/>
      <c r="BT351" s="407"/>
      <c r="BU351" s="412"/>
      <c r="BV351" s="46" t="str">
        <f t="shared" si="8"/>
        <v/>
      </c>
      <c r="BW351" s="46">
        <f t="shared" si="9"/>
        <v>0</v>
      </c>
      <c r="BX351" s="46">
        <f t="shared" si="10"/>
        <v>0</v>
      </c>
      <c r="BY351" s="43" t="str">
        <f t="shared" si="11"/>
        <v>WHO-FP Condition (Medical Eligibility)</v>
      </c>
      <c r="BZ351" s="46">
        <f t="shared" si="12"/>
        <v>1</v>
      </c>
      <c r="CA351" s="46" t="str">
        <f t="shared" si="13"/>
        <v/>
      </c>
      <c r="CB351" s="46">
        <f t="shared" si="14"/>
        <v>1</v>
      </c>
      <c r="CC351" s="46">
        <f t="shared" si="15"/>
        <v>1</v>
      </c>
      <c r="CD351" s="46">
        <f t="shared" si="16"/>
        <v>1</v>
      </c>
      <c r="CE351" s="46">
        <f t="shared" si="17"/>
        <v>0</v>
      </c>
      <c r="CF351" s="46">
        <f t="shared" si="18"/>
        <v>0</v>
      </c>
      <c r="CG351" s="46" t="str">
        <f ca="1">IFERROR(__xludf.DUMMYFUNCTION("if(OR(BH351="""",LEFT(BH351,2)=""LA""),"""",IMPORTXML(CONCATENATE(""https://loinc.org/"",BH351,""/""),""//span[@id='lcn']""))"),"")</f>
        <v/>
      </c>
      <c r="CH351" s="46"/>
      <c r="CI351" s="46"/>
      <c r="CJ351" s="46"/>
      <c r="CK351" s="46"/>
      <c r="CL351" s="46"/>
      <c r="CM351" s="46"/>
      <c r="CN351" s="46"/>
      <c r="CO351" s="46"/>
      <c r="CP351" s="46"/>
      <c r="CQ351" s="46"/>
      <c r="CR351" s="46"/>
      <c r="CS351" s="46"/>
      <c r="CT351" s="46"/>
      <c r="CU351" s="46"/>
    </row>
    <row r="352" spans="1:99" ht="12.75" customHeight="1">
      <c r="A352" s="399">
        <v>1594</v>
      </c>
      <c r="B352" s="399" t="s">
        <v>5369</v>
      </c>
      <c r="C352" s="399">
        <f t="shared" si="42"/>
        <v>1594</v>
      </c>
      <c r="D352" s="399" t="str">
        <f t="shared" si="62"/>
        <v>Gastrointestinal conditions</v>
      </c>
      <c r="E352" s="399" t="str">
        <f t="shared" si="44"/>
        <v>Gastrointestinal conditions</v>
      </c>
      <c r="F352" s="409" t="s">
        <v>3164</v>
      </c>
      <c r="G352" s="400">
        <f>LEN(B352)</f>
        <v>27</v>
      </c>
      <c r="H352" s="400" t="str">
        <f>IF(F352="Input Option",IF(H351="",B351,H351),"")</f>
        <v/>
      </c>
      <c r="I352" s="400"/>
      <c r="J352" s="400"/>
      <c r="K352" s="401" t="s">
        <v>3333</v>
      </c>
      <c r="L352" s="402" t="s">
        <v>4518</v>
      </c>
      <c r="M352" s="400"/>
      <c r="N352" s="427" t="s">
        <v>4417</v>
      </c>
      <c r="O352" s="428"/>
      <c r="P352" s="407" t="s">
        <v>5370</v>
      </c>
      <c r="Q352" s="405" t="s">
        <v>5369</v>
      </c>
      <c r="R352" s="407"/>
      <c r="S352" s="403" t="s">
        <v>5371</v>
      </c>
      <c r="T352" s="403" t="s">
        <v>3339</v>
      </c>
      <c r="U352" s="432" t="s">
        <v>3326</v>
      </c>
      <c r="V352" s="403"/>
      <c r="W352" s="407"/>
      <c r="X352" s="407" t="s">
        <v>208</v>
      </c>
      <c r="Y352" s="407"/>
      <c r="Z352" s="403" t="s">
        <v>113</v>
      </c>
      <c r="AA352" s="403" t="s">
        <v>3178</v>
      </c>
      <c r="AB352" s="559" t="s">
        <v>4968</v>
      </c>
      <c r="AC352" s="421"/>
      <c r="AD352" s="421"/>
      <c r="AE352" s="432"/>
      <c r="AF352" s="407"/>
      <c r="AG352" s="407" t="s">
        <v>3851</v>
      </c>
      <c r="AH352" s="399"/>
      <c r="AI352" s="400"/>
      <c r="AJ352" s="399"/>
      <c r="AK352" s="399"/>
      <c r="AL352" s="409"/>
      <c r="AM352" s="409"/>
      <c r="AN352" s="409"/>
      <c r="AO352" s="399"/>
      <c r="AP352" s="399"/>
      <c r="AQ352" s="409" t="s">
        <v>115</v>
      </c>
      <c r="AR352" s="399"/>
      <c r="AS352" s="399"/>
      <c r="AT352" s="399"/>
      <c r="AU352" s="399" t="s">
        <v>5369</v>
      </c>
      <c r="AV352" s="399" t="str">
        <f t="shared" si="47"/>
        <v>Same</v>
      </c>
      <c r="AW352" s="399"/>
      <c r="AX352" s="409" t="s">
        <v>3343</v>
      </c>
      <c r="AY352" s="399" t="str">
        <f t="shared" si="63"/>
        <v/>
      </c>
      <c r="AZ352" s="399"/>
      <c r="BA352" s="409">
        <v>0</v>
      </c>
      <c r="BB352" s="399"/>
      <c r="BC352" s="399"/>
      <c r="BD352" s="399"/>
      <c r="BE352" s="411"/>
      <c r="BF352" s="411"/>
      <c r="BG352" s="411"/>
      <c r="BH352" s="411"/>
      <c r="BI352" s="411"/>
      <c r="BJ352" s="399" t="s">
        <v>3106</v>
      </c>
      <c r="BK352" s="399"/>
      <c r="BL352" s="399"/>
      <c r="BM352" s="399"/>
      <c r="BN352" s="399"/>
      <c r="BO352" s="399"/>
      <c r="BP352" s="399"/>
      <c r="BQ352" s="399"/>
      <c r="BR352" s="399"/>
      <c r="BS352" s="407"/>
      <c r="BT352" s="407"/>
      <c r="BU352" s="412"/>
      <c r="BV352" s="46" t="str">
        <f t="shared" si="8"/>
        <v/>
      </c>
      <c r="BW352" s="46" t="str">
        <f t="shared" si="9"/>
        <v/>
      </c>
      <c r="BX352" s="46" t="str">
        <f t="shared" si="10"/>
        <v/>
      </c>
      <c r="BY352" s="43" t="str">
        <f t="shared" si="11"/>
        <v/>
      </c>
      <c r="BZ352" s="46">
        <f t="shared" si="12"/>
        <v>1</v>
      </c>
      <c r="CA352" s="46" t="str">
        <f t="shared" si="13"/>
        <v/>
      </c>
      <c r="CB352" s="46">
        <f t="shared" si="14"/>
        <v>1</v>
      </c>
      <c r="CC352" s="46">
        <f t="shared" si="15"/>
        <v>1</v>
      </c>
      <c r="CD352" s="46">
        <f t="shared" si="16"/>
        <v>1</v>
      </c>
      <c r="CE352" s="46">
        <f t="shared" si="17"/>
        <v>0</v>
      </c>
      <c r="CF352" s="46">
        <f t="shared" si="18"/>
        <v>0</v>
      </c>
      <c r="CG352" s="46" t="str">
        <f ca="1">IFERROR(__xludf.DUMMYFUNCTION("if(OR(BH352="""",LEFT(BH352,2)=""LA""),"""",IMPORTXML(CONCATENATE(""https://loinc.org/"",BH352,""/""),""//span[@id='lcn']""))"),"")</f>
        <v/>
      </c>
      <c r="CH352" s="46"/>
      <c r="CI352" s="46"/>
      <c r="CJ352" s="46"/>
      <c r="CK352" s="46"/>
      <c r="CL352" s="46"/>
      <c r="CM352" s="46"/>
      <c r="CN352" s="46"/>
      <c r="CO352" s="46"/>
      <c r="CP352" s="46"/>
      <c r="CQ352" s="46"/>
      <c r="CR352" s="46"/>
      <c r="CS352" s="46"/>
      <c r="CT352" s="46"/>
      <c r="CU352" s="46"/>
    </row>
    <row r="353" spans="1:99" ht="12.75" customHeight="1">
      <c r="A353" s="399">
        <v>1595</v>
      </c>
      <c r="B353" s="409" t="s">
        <v>5373</v>
      </c>
      <c r="C353" s="399">
        <f t="shared" si="42"/>
        <v>1595</v>
      </c>
      <c r="D353" s="399" t="e">
        <f t="shared" ca="1" si="62"/>
        <v>#NAME?</v>
      </c>
      <c r="E353" s="399" t="str">
        <f t="shared" si="44"/>
        <v>Gallbladder disease</v>
      </c>
      <c r="F353" s="410" t="s">
        <v>180</v>
      </c>
      <c r="G353" s="400">
        <v>23</v>
      </c>
      <c r="H353" s="399" t="s">
        <v>4475</v>
      </c>
      <c r="I353" s="400"/>
      <c r="J353" s="400"/>
      <c r="K353" s="401" t="s">
        <v>3333</v>
      </c>
      <c r="L353" s="402" t="s">
        <v>4518</v>
      </c>
      <c r="M353" s="400"/>
      <c r="N353" s="427" t="s">
        <v>4417</v>
      </c>
      <c r="O353" s="428"/>
      <c r="P353" s="407" t="s">
        <v>5374</v>
      </c>
      <c r="Q353" s="405" t="s">
        <v>5373</v>
      </c>
      <c r="R353" s="407"/>
      <c r="S353" s="403" t="s">
        <v>5375</v>
      </c>
      <c r="T353" s="403"/>
      <c r="U353" s="407"/>
      <c r="V353" s="429" t="s">
        <v>5373</v>
      </c>
      <c r="W353" s="407"/>
      <c r="X353" s="407" t="s">
        <v>208</v>
      </c>
      <c r="Y353" s="407"/>
      <c r="Z353" s="403" t="s">
        <v>113</v>
      </c>
      <c r="AA353" s="403" t="s">
        <v>3178</v>
      </c>
      <c r="AB353" s="559" t="s">
        <v>5376</v>
      </c>
      <c r="AC353" s="421"/>
      <c r="AD353" s="421"/>
      <c r="AE353" s="432"/>
      <c r="AF353" s="407"/>
      <c r="AG353" s="407" t="s">
        <v>3851</v>
      </c>
      <c r="AH353" s="399"/>
      <c r="AI353" s="400"/>
      <c r="AJ353" s="399"/>
      <c r="AK353" s="440"/>
      <c r="AL353" s="409"/>
      <c r="AM353" s="409"/>
      <c r="AN353" s="409"/>
      <c r="AO353" s="399"/>
      <c r="AP353" s="409"/>
      <c r="AQ353" s="409" t="s">
        <v>3130</v>
      </c>
      <c r="AR353" s="409" t="s">
        <v>4478</v>
      </c>
      <c r="AS353" s="409"/>
      <c r="AT353" s="399"/>
      <c r="AU353" s="399" t="s">
        <v>5377</v>
      </c>
      <c r="AV353" s="399" t="str">
        <f t="shared" si="47"/>
        <v>Changed</v>
      </c>
      <c r="AW353" s="399"/>
      <c r="AX353" s="409" t="s">
        <v>3343</v>
      </c>
      <c r="AY353" s="399" t="e">
        <f t="shared" ca="1" si="63"/>
        <v>#NAME?</v>
      </c>
      <c r="AZ353" s="409" t="s">
        <v>3105</v>
      </c>
      <c r="BA353" s="409">
        <v>1</v>
      </c>
      <c r="BB353" s="399"/>
      <c r="BC353" s="399"/>
      <c r="BD353" s="399"/>
      <c r="BE353" s="411"/>
      <c r="BF353" s="411"/>
      <c r="BG353" s="434" t="s">
        <v>5378</v>
      </c>
      <c r="BH353" s="411"/>
      <c r="BI353" s="411"/>
      <c r="BJ353" s="399"/>
      <c r="BK353" s="399"/>
      <c r="BL353" s="399"/>
      <c r="BM353" s="399"/>
      <c r="BN353" s="399"/>
      <c r="BO353" s="399"/>
      <c r="BP353" s="399"/>
      <c r="BQ353" s="399"/>
      <c r="BR353" s="399"/>
      <c r="BS353" s="407"/>
      <c r="BT353" s="407"/>
      <c r="BU353" s="412"/>
      <c r="BV353" s="46" t="str">
        <f t="shared" si="8"/>
        <v/>
      </c>
      <c r="BW353" s="46">
        <f t="shared" si="9"/>
        <v>0</v>
      </c>
      <c r="BX353" s="46">
        <f t="shared" si="10"/>
        <v>0</v>
      </c>
      <c r="BY353" s="43" t="str">
        <f t="shared" si="11"/>
        <v>WHO-FP Condition (Medical Eligibility)</v>
      </c>
      <c r="BZ353" s="46">
        <f t="shared" si="12"/>
        <v>1</v>
      </c>
      <c r="CA353" s="46" t="str">
        <f t="shared" si="13"/>
        <v/>
      </c>
      <c r="CB353" s="46">
        <f t="shared" si="14"/>
        <v>1</v>
      </c>
      <c r="CC353" s="46">
        <f t="shared" si="15"/>
        <v>1</v>
      </c>
      <c r="CD353" s="46">
        <f t="shared" si="16"/>
        <v>1</v>
      </c>
      <c r="CE353" s="46">
        <f t="shared" si="17"/>
        <v>0</v>
      </c>
      <c r="CF353" s="46">
        <f t="shared" si="18"/>
        <v>0</v>
      </c>
      <c r="CG353" s="46" t="str">
        <f ca="1">IFERROR(__xludf.DUMMYFUNCTION("if(OR(BH353="""",LEFT(BH353,2)=""LA""),"""",IMPORTXML(CONCATENATE(""https://loinc.org/"",BH353,""/""),""//span[@id='lcn']""))"),"")</f>
        <v/>
      </c>
      <c r="CH353" s="46"/>
      <c r="CI353" s="46"/>
      <c r="CJ353" s="46"/>
      <c r="CK353" s="46"/>
      <c r="CL353" s="46"/>
      <c r="CM353" s="46"/>
      <c r="CN353" s="46"/>
      <c r="CO353" s="46"/>
      <c r="CP353" s="46"/>
      <c r="CQ353" s="46"/>
      <c r="CR353" s="46"/>
      <c r="CS353" s="46"/>
      <c r="CT353" s="46"/>
      <c r="CU353" s="46"/>
    </row>
    <row r="354" spans="1:99" ht="12.75" customHeight="1">
      <c r="A354" s="399">
        <v>1596</v>
      </c>
      <c r="B354" s="409" t="s">
        <v>5379</v>
      </c>
      <c r="C354" s="399">
        <f t="shared" si="42"/>
        <v>1596</v>
      </c>
      <c r="D354" s="399" t="e">
        <f t="shared" ca="1" si="62"/>
        <v>#NAME?</v>
      </c>
      <c r="E354" s="399" t="str">
        <f t="shared" si="44"/>
        <v>History of cholestasis</v>
      </c>
      <c r="F354" s="410" t="s">
        <v>180</v>
      </c>
      <c r="G354" s="400">
        <v>23</v>
      </c>
      <c r="H354" s="399" t="s">
        <v>4475</v>
      </c>
      <c r="I354" s="400"/>
      <c r="J354" s="400"/>
      <c r="K354" s="401" t="s">
        <v>3333</v>
      </c>
      <c r="L354" s="402" t="s">
        <v>4518</v>
      </c>
      <c r="M354" s="400"/>
      <c r="N354" s="427" t="s">
        <v>4417</v>
      </c>
      <c r="O354" s="428"/>
      <c r="P354" s="407" t="s">
        <v>5381</v>
      </c>
      <c r="Q354" s="405"/>
      <c r="R354" s="403"/>
      <c r="S354" s="403" t="s">
        <v>5382</v>
      </c>
      <c r="T354" s="407"/>
      <c r="U354" s="407"/>
      <c r="V354" s="429" t="s">
        <v>5379</v>
      </c>
      <c r="W354" s="407"/>
      <c r="X354" s="407" t="s">
        <v>208</v>
      </c>
      <c r="Y354" s="407"/>
      <c r="Z354" s="403" t="s">
        <v>113</v>
      </c>
      <c r="AA354" s="403" t="s">
        <v>3178</v>
      </c>
      <c r="AB354" s="559" t="s">
        <v>4968</v>
      </c>
      <c r="AC354" s="421"/>
      <c r="AD354" s="421"/>
      <c r="AE354" s="432"/>
      <c r="AF354" s="407"/>
      <c r="AG354" s="407" t="s">
        <v>3851</v>
      </c>
      <c r="AH354" s="399"/>
      <c r="AI354" s="400"/>
      <c r="AJ354" s="399"/>
      <c r="AK354" s="440"/>
      <c r="AL354" s="409"/>
      <c r="AM354" s="409"/>
      <c r="AN354" s="409"/>
      <c r="AO354" s="399"/>
      <c r="AP354" s="409"/>
      <c r="AQ354" s="409" t="s">
        <v>3130</v>
      </c>
      <c r="AR354" s="409" t="s">
        <v>4478</v>
      </c>
      <c r="AS354" s="409"/>
      <c r="AT354" s="399"/>
      <c r="AU354" s="399" t="s">
        <v>5383</v>
      </c>
      <c r="AV354" s="399" t="str">
        <f t="shared" si="47"/>
        <v>Changed</v>
      </c>
      <c r="AW354" s="399"/>
      <c r="AX354" s="409" t="s">
        <v>3343</v>
      </c>
      <c r="AY354" s="399" t="e">
        <f t="shared" ca="1" si="63"/>
        <v>#NAME?</v>
      </c>
      <c r="AZ354" s="399"/>
      <c r="BA354" s="409">
        <v>1</v>
      </c>
      <c r="BB354" s="399"/>
      <c r="BC354" s="399"/>
      <c r="BD354" s="399"/>
      <c r="BE354" s="411" t="s">
        <v>5384</v>
      </c>
      <c r="BF354" s="411" t="s">
        <v>5385</v>
      </c>
      <c r="BG354" s="411" t="s">
        <v>5386</v>
      </c>
      <c r="BH354" s="411"/>
      <c r="BI354" s="411"/>
      <c r="BJ354" s="399"/>
      <c r="BK354" s="399"/>
      <c r="BL354" s="399"/>
      <c r="BM354" s="399"/>
      <c r="BN354" s="399"/>
      <c r="BO354" s="399">
        <v>145618</v>
      </c>
      <c r="BP354" s="399"/>
      <c r="BQ354" s="399"/>
      <c r="BR354" s="399"/>
      <c r="BS354" s="407"/>
      <c r="BT354" s="407"/>
      <c r="BU354" s="412"/>
      <c r="BV354" s="46" t="str">
        <f t="shared" si="8"/>
        <v/>
      </c>
      <c r="BW354" s="46">
        <f t="shared" si="9"/>
        <v>0</v>
      </c>
      <c r="BX354" s="46">
        <f t="shared" si="10"/>
        <v>0</v>
      </c>
      <c r="BY354" s="43" t="str">
        <f t="shared" si="11"/>
        <v>WHO-FP Condition (Medical Eligibility)</v>
      </c>
      <c r="BZ354" s="46">
        <f t="shared" si="12"/>
        <v>1</v>
      </c>
      <c r="CA354" s="46" t="str">
        <f t="shared" si="13"/>
        <v/>
      </c>
      <c r="CB354" s="46">
        <f t="shared" si="14"/>
        <v>1</v>
      </c>
      <c r="CC354" s="46">
        <f t="shared" si="15"/>
        <v>1</v>
      </c>
      <c r="CD354" s="46">
        <f t="shared" si="16"/>
        <v>1</v>
      </c>
      <c r="CE354" s="46">
        <f t="shared" si="17"/>
        <v>0</v>
      </c>
      <c r="CF354" s="46">
        <f t="shared" si="18"/>
        <v>0</v>
      </c>
      <c r="CG354" s="46" t="str">
        <f ca="1">IFERROR(__xludf.DUMMYFUNCTION("if(OR(BH354="""",LEFT(BH354,2)=""LA""),"""",IMPORTXML(CONCATENATE(""https://loinc.org/"",BH354,""/""),""//span[@id='lcn']""))"),"")</f>
        <v/>
      </c>
      <c r="CH354" s="46"/>
      <c r="CI354" s="46"/>
      <c r="CJ354" s="46"/>
      <c r="CK354" s="46"/>
      <c r="CL354" s="46"/>
      <c r="CM354" s="46"/>
      <c r="CN354" s="46"/>
      <c r="CO354" s="46"/>
      <c r="CP354" s="46"/>
      <c r="CQ354" s="46"/>
      <c r="CR354" s="46"/>
      <c r="CS354" s="46"/>
      <c r="CT354" s="46"/>
      <c r="CU354" s="46"/>
    </row>
    <row r="355" spans="1:99" ht="12.75" customHeight="1">
      <c r="A355" s="399">
        <v>1597</v>
      </c>
      <c r="B355" s="409" t="s">
        <v>5387</v>
      </c>
      <c r="C355" s="399">
        <f t="shared" si="42"/>
        <v>1597</v>
      </c>
      <c r="D355" s="399" t="e">
        <f t="shared" ca="1" si="62"/>
        <v>#NAME?</v>
      </c>
      <c r="E355" s="399" t="str">
        <f t="shared" si="44"/>
        <v>Viral hepatitis</v>
      </c>
      <c r="F355" s="410" t="s">
        <v>180</v>
      </c>
      <c r="G355" s="400">
        <v>23</v>
      </c>
      <c r="H355" s="399" t="s">
        <v>4475</v>
      </c>
      <c r="I355" s="400"/>
      <c r="J355" s="400"/>
      <c r="K355" s="401" t="s">
        <v>3333</v>
      </c>
      <c r="L355" s="402" t="s">
        <v>4518</v>
      </c>
      <c r="M355" s="400"/>
      <c r="N355" s="427" t="s">
        <v>4417</v>
      </c>
      <c r="O355" s="428"/>
      <c r="P355" s="407" t="s">
        <v>5388</v>
      </c>
      <c r="Q355" s="405"/>
      <c r="R355" s="403"/>
      <c r="S355" s="403" t="s">
        <v>5389</v>
      </c>
      <c r="T355" s="407"/>
      <c r="U355" s="407"/>
      <c r="V355" s="431" t="s">
        <v>5387</v>
      </c>
      <c r="W355" s="407"/>
      <c r="X355" s="407" t="s">
        <v>208</v>
      </c>
      <c r="Y355" s="407"/>
      <c r="Z355" s="403" t="s">
        <v>113</v>
      </c>
      <c r="AA355" s="403" t="s">
        <v>3178</v>
      </c>
      <c r="AB355" s="559" t="s">
        <v>4968</v>
      </c>
      <c r="AC355" s="421"/>
      <c r="AD355" s="421"/>
      <c r="AE355" s="432"/>
      <c r="AF355" s="407"/>
      <c r="AG355" s="407" t="s">
        <v>3851</v>
      </c>
      <c r="AH355" s="399"/>
      <c r="AI355" s="400"/>
      <c r="AJ355" s="399"/>
      <c r="AK355" s="440"/>
      <c r="AL355" s="409"/>
      <c r="AM355" s="409"/>
      <c r="AN355" s="409"/>
      <c r="AO355" s="399"/>
      <c r="AP355" s="409"/>
      <c r="AQ355" s="409" t="s">
        <v>3130</v>
      </c>
      <c r="AR355" s="409" t="s">
        <v>4478</v>
      </c>
      <c r="AS355" s="409"/>
      <c r="AT355" s="399"/>
      <c r="AU355" s="399" t="s">
        <v>5391</v>
      </c>
      <c r="AV355" s="399" t="str">
        <f t="shared" si="47"/>
        <v>Changed</v>
      </c>
      <c r="AW355" s="399"/>
      <c r="AX355" s="409" t="s">
        <v>3343</v>
      </c>
      <c r="AY355" s="399" t="e">
        <f t="shared" ca="1" si="63"/>
        <v>#NAME?</v>
      </c>
      <c r="AZ355" s="399"/>
      <c r="BA355" s="409">
        <v>1</v>
      </c>
      <c r="BB355" s="399"/>
      <c r="BC355" s="399"/>
      <c r="BD355" s="399"/>
      <c r="BE355" s="411" t="s">
        <v>5392</v>
      </c>
      <c r="BF355" s="411" t="s">
        <v>5393</v>
      </c>
      <c r="BG355" s="411" t="s">
        <v>5394</v>
      </c>
      <c r="BH355" s="411"/>
      <c r="BI355" s="411"/>
      <c r="BJ355" s="399"/>
      <c r="BK355" s="399"/>
      <c r="BL355" s="399"/>
      <c r="BM355" s="399"/>
      <c r="BN355" s="399"/>
      <c r="BO355" s="399">
        <v>111479</v>
      </c>
      <c r="BP355" s="399"/>
      <c r="BQ355" s="399"/>
      <c r="BR355" s="399"/>
      <c r="BS355" s="407"/>
      <c r="BT355" s="407"/>
      <c r="BU355" s="412"/>
      <c r="BV355" s="46" t="str">
        <f t="shared" si="8"/>
        <v/>
      </c>
      <c r="BW355" s="46">
        <f t="shared" si="9"/>
        <v>0</v>
      </c>
      <c r="BX355" s="46">
        <f t="shared" si="10"/>
        <v>0</v>
      </c>
      <c r="BY355" s="43" t="str">
        <f t="shared" si="11"/>
        <v>WHO-FP Condition (Medical Eligibility)</v>
      </c>
      <c r="BZ355" s="46">
        <f t="shared" si="12"/>
        <v>1</v>
      </c>
      <c r="CA355" s="46" t="str">
        <f t="shared" si="13"/>
        <v/>
      </c>
      <c r="CB355" s="46">
        <f t="shared" si="14"/>
        <v>1</v>
      </c>
      <c r="CC355" s="46">
        <f t="shared" si="15"/>
        <v>1</v>
      </c>
      <c r="CD355" s="46">
        <f t="shared" si="16"/>
        <v>1</v>
      </c>
      <c r="CE355" s="46">
        <f t="shared" si="17"/>
        <v>0</v>
      </c>
      <c r="CF355" s="46">
        <f t="shared" si="18"/>
        <v>0</v>
      </c>
      <c r="CG355" s="46" t="str">
        <f ca="1">IFERROR(__xludf.DUMMYFUNCTION("if(OR(BH355="""",LEFT(BH355,2)=""LA""),"""",IMPORTXML(CONCATENATE(""https://loinc.org/"",BH355,""/""),""//span[@id='lcn']""))"),"")</f>
        <v/>
      </c>
      <c r="CH355" s="46"/>
      <c r="CI355" s="46"/>
      <c r="CJ355" s="46"/>
      <c r="CK355" s="46"/>
      <c r="CL355" s="46"/>
      <c r="CM355" s="46"/>
      <c r="CN355" s="46"/>
      <c r="CO355" s="46"/>
      <c r="CP355" s="46"/>
      <c r="CQ355" s="46"/>
      <c r="CR355" s="46"/>
      <c r="CS355" s="46"/>
      <c r="CT355" s="46"/>
      <c r="CU355" s="46"/>
    </row>
    <row r="356" spans="1:99" ht="12.75" customHeight="1">
      <c r="A356" s="399">
        <v>1598</v>
      </c>
      <c r="B356" s="409" t="s">
        <v>5397</v>
      </c>
      <c r="C356" s="399">
        <f t="shared" si="42"/>
        <v>1598</v>
      </c>
      <c r="D356" s="399" t="e">
        <f t="shared" ca="1" si="62"/>
        <v>#NAME?</v>
      </c>
      <c r="E356" s="399" t="str">
        <f t="shared" si="44"/>
        <v>Cirrhosis</v>
      </c>
      <c r="F356" s="410" t="s">
        <v>180</v>
      </c>
      <c r="G356" s="400">
        <v>23</v>
      </c>
      <c r="H356" s="399" t="s">
        <v>4475</v>
      </c>
      <c r="I356" s="400"/>
      <c r="J356" s="400"/>
      <c r="K356" s="401" t="s">
        <v>3333</v>
      </c>
      <c r="L356" s="402" t="s">
        <v>4518</v>
      </c>
      <c r="M356" s="400"/>
      <c r="N356" s="427" t="s">
        <v>4417</v>
      </c>
      <c r="O356" s="428"/>
      <c r="P356" s="407" t="s">
        <v>5398</v>
      </c>
      <c r="Q356" s="405"/>
      <c r="R356" s="403"/>
      <c r="S356" s="403" t="s">
        <v>5399</v>
      </c>
      <c r="T356" s="407"/>
      <c r="U356" s="407"/>
      <c r="V356" s="431" t="s">
        <v>5397</v>
      </c>
      <c r="W356" s="407"/>
      <c r="X356" s="407" t="s">
        <v>208</v>
      </c>
      <c r="Y356" s="407"/>
      <c r="Z356" s="403" t="s">
        <v>113</v>
      </c>
      <c r="AA356" s="403" t="s">
        <v>3178</v>
      </c>
      <c r="AB356" s="559" t="s">
        <v>4968</v>
      </c>
      <c r="AC356" s="421"/>
      <c r="AD356" s="421"/>
      <c r="AE356" s="432"/>
      <c r="AF356" s="407"/>
      <c r="AG356" s="407" t="s">
        <v>3851</v>
      </c>
      <c r="AH356" s="399"/>
      <c r="AI356" s="400"/>
      <c r="AJ356" s="399"/>
      <c r="AK356" s="440"/>
      <c r="AL356" s="409"/>
      <c r="AM356" s="409"/>
      <c r="AN356" s="409"/>
      <c r="AO356" s="399"/>
      <c r="AP356" s="409"/>
      <c r="AQ356" s="409" t="s">
        <v>3130</v>
      </c>
      <c r="AR356" s="409" t="s">
        <v>4478</v>
      </c>
      <c r="AS356" s="409"/>
      <c r="AT356" s="399"/>
      <c r="AU356" s="399" t="s">
        <v>5400</v>
      </c>
      <c r="AV356" s="399" t="str">
        <f t="shared" si="47"/>
        <v>Changed</v>
      </c>
      <c r="AW356" s="399"/>
      <c r="AX356" s="409" t="s">
        <v>3343</v>
      </c>
      <c r="AY356" s="399" t="e">
        <f t="shared" ca="1" si="63"/>
        <v>#NAME?</v>
      </c>
      <c r="AZ356" s="399"/>
      <c r="BA356" s="409">
        <v>1</v>
      </c>
      <c r="BB356" s="399"/>
      <c r="BC356" s="399"/>
      <c r="BD356" s="399"/>
      <c r="BE356" s="411"/>
      <c r="BF356" s="411"/>
      <c r="BG356" s="411" t="s">
        <v>5401</v>
      </c>
      <c r="BH356" s="411"/>
      <c r="BI356" s="411"/>
      <c r="BJ356" s="399"/>
      <c r="BK356" s="399"/>
      <c r="BL356" s="399"/>
      <c r="BM356" s="399"/>
      <c r="BN356" s="399"/>
      <c r="BO356" s="399"/>
      <c r="BP356" s="399"/>
      <c r="BQ356" s="399"/>
      <c r="BR356" s="399"/>
      <c r="BS356" s="407"/>
      <c r="BT356" s="407"/>
      <c r="BU356" s="412"/>
      <c r="BV356" s="46" t="str">
        <f t="shared" si="8"/>
        <v/>
      </c>
      <c r="BW356" s="46">
        <f t="shared" si="9"/>
        <v>0</v>
      </c>
      <c r="BX356" s="46">
        <f t="shared" si="10"/>
        <v>0</v>
      </c>
      <c r="BY356" s="43" t="str">
        <f t="shared" si="11"/>
        <v>WHO-FP Condition (Medical Eligibility)</v>
      </c>
      <c r="BZ356" s="46">
        <f t="shared" si="12"/>
        <v>1</v>
      </c>
      <c r="CA356" s="46" t="str">
        <f t="shared" si="13"/>
        <v/>
      </c>
      <c r="CB356" s="46">
        <f t="shared" si="14"/>
        <v>1</v>
      </c>
      <c r="CC356" s="46">
        <f t="shared" si="15"/>
        <v>1</v>
      </c>
      <c r="CD356" s="46">
        <f t="shared" si="16"/>
        <v>1</v>
      </c>
      <c r="CE356" s="46">
        <f t="shared" si="17"/>
        <v>0</v>
      </c>
      <c r="CF356" s="46">
        <f t="shared" si="18"/>
        <v>0</v>
      </c>
      <c r="CG356" s="46" t="str">
        <f ca="1">IFERROR(__xludf.DUMMYFUNCTION("if(OR(BH356="""",LEFT(BH356,2)=""LA""),"""",IMPORTXML(CONCATENATE(""https://loinc.org/"",BH356,""/""),""//span[@id='lcn']""))"),"")</f>
        <v/>
      </c>
      <c r="CH356" s="46"/>
      <c r="CI356" s="46"/>
      <c r="CJ356" s="46"/>
      <c r="CK356" s="46"/>
      <c r="CL356" s="46"/>
      <c r="CM356" s="46"/>
      <c r="CN356" s="46"/>
      <c r="CO356" s="46"/>
      <c r="CP356" s="46"/>
      <c r="CQ356" s="46"/>
      <c r="CR356" s="46"/>
      <c r="CS356" s="46"/>
      <c r="CT356" s="46"/>
      <c r="CU356" s="46"/>
    </row>
    <row r="357" spans="1:99" ht="12.75" customHeight="1">
      <c r="A357" s="399">
        <v>1599</v>
      </c>
      <c r="B357" s="409" t="s">
        <v>5402</v>
      </c>
      <c r="C357" s="399">
        <f t="shared" si="42"/>
        <v>1599</v>
      </c>
      <c r="D357" s="399" t="e">
        <f t="shared" ca="1" si="62"/>
        <v>#NAME?</v>
      </c>
      <c r="E357" s="399" t="str">
        <f t="shared" si="44"/>
        <v>Liver tumors</v>
      </c>
      <c r="F357" s="410" t="s">
        <v>180</v>
      </c>
      <c r="G357" s="400">
        <v>23</v>
      </c>
      <c r="H357" s="399" t="s">
        <v>4475</v>
      </c>
      <c r="I357" s="400"/>
      <c r="J357" s="400"/>
      <c r="K357" s="401" t="s">
        <v>3333</v>
      </c>
      <c r="L357" s="402" t="s">
        <v>4518</v>
      </c>
      <c r="M357" s="400"/>
      <c r="N357" s="427" t="s">
        <v>4417</v>
      </c>
      <c r="O357" s="428"/>
      <c r="P357" s="407" t="s">
        <v>5403</v>
      </c>
      <c r="Q357" s="405"/>
      <c r="R357" s="403"/>
      <c r="S357" s="403" t="s">
        <v>5404</v>
      </c>
      <c r="T357" s="407"/>
      <c r="U357" s="407"/>
      <c r="V357" s="431" t="s">
        <v>5402</v>
      </c>
      <c r="W357" s="407"/>
      <c r="X357" s="407" t="s">
        <v>208</v>
      </c>
      <c r="Y357" s="407"/>
      <c r="Z357" s="403" t="s">
        <v>113</v>
      </c>
      <c r="AA357" s="403" t="s">
        <v>3178</v>
      </c>
      <c r="AB357" s="559" t="s">
        <v>4968</v>
      </c>
      <c r="AC357" s="421"/>
      <c r="AD357" s="421"/>
      <c r="AE357" s="432"/>
      <c r="AF357" s="407"/>
      <c r="AG357" s="407" t="s">
        <v>3851</v>
      </c>
      <c r="AH357" s="399"/>
      <c r="AI357" s="400"/>
      <c r="AJ357" s="399"/>
      <c r="AK357" s="440"/>
      <c r="AL357" s="409"/>
      <c r="AM357" s="409"/>
      <c r="AN357" s="409"/>
      <c r="AO357" s="399"/>
      <c r="AP357" s="409"/>
      <c r="AQ357" s="409" t="s">
        <v>3130</v>
      </c>
      <c r="AR357" s="409" t="s">
        <v>4478</v>
      </c>
      <c r="AS357" s="409"/>
      <c r="AT357" s="399"/>
      <c r="AU357" s="399" t="s">
        <v>5405</v>
      </c>
      <c r="AV357" s="399" t="str">
        <f t="shared" si="47"/>
        <v>Changed</v>
      </c>
      <c r="AW357" s="399"/>
      <c r="AX357" s="409" t="s">
        <v>3343</v>
      </c>
      <c r="AY357" s="399" t="e">
        <f t="shared" ca="1" si="63"/>
        <v>#NAME?</v>
      </c>
      <c r="AZ357" s="399"/>
      <c r="BA357" s="409">
        <v>1</v>
      </c>
      <c r="BB357" s="399"/>
      <c r="BC357" s="399"/>
      <c r="BD357" s="399"/>
      <c r="BE357" s="411"/>
      <c r="BF357" s="411"/>
      <c r="BG357" s="434" t="s">
        <v>5406</v>
      </c>
      <c r="BH357" s="411"/>
      <c r="BI357" s="411"/>
      <c r="BJ357" s="399"/>
      <c r="BK357" s="399"/>
      <c r="BL357" s="399"/>
      <c r="BM357" s="399"/>
      <c r="BN357" s="399"/>
      <c r="BO357" s="399"/>
      <c r="BP357" s="399"/>
      <c r="BQ357" s="399"/>
      <c r="BR357" s="399"/>
      <c r="BS357" s="407"/>
      <c r="BT357" s="407"/>
      <c r="BU357" s="412"/>
      <c r="BV357" s="46" t="str">
        <f t="shared" si="8"/>
        <v/>
      </c>
      <c r="BW357" s="46">
        <f t="shared" si="9"/>
        <v>0</v>
      </c>
      <c r="BX357" s="46">
        <f t="shared" si="10"/>
        <v>0</v>
      </c>
      <c r="BY357" s="43" t="str">
        <f t="shared" si="11"/>
        <v>WHO-FP Condition (Medical Eligibility)</v>
      </c>
      <c r="BZ357" s="46">
        <f t="shared" si="12"/>
        <v>1</v>
      </c>
      <c r="CA357" s="46" t="str">
        <f t="shared" si="13"/>
        <v/>
      </c>
      <c r="CB357" s="46">
        <f t="shared" si="14"/>
        <v>1</v>
      </c>
      <c r="CC357" s="46">
        <f t="shared" si="15"/>
        <v>1</v>
      </c>
      <c r="CD357" s="46">
        <f t="shared" si="16"/>
        <v>1</v>
      </c>
      <c r="CE357" s="46">
        <f t="shared" si="17"/>
        <v>0</v>
      </c>
      <c r="CF357" s="46">
        <f t="shared" si="18"/>
        <v>0</v>
      </c>
      <c r="CG357" s="46" t="str">
        <f ca="1">IFERROR(__xludf.DUMMYFUNCTION("if(OR(BH357="""",LEFT(BH357,2)=""LA""),"""",IMPORTXML(CONCATENATE(""https://loinc.org/"",BH357,""/""),""//span[@id='lcn']""))"),"")</f>
        <v/>
      </c>
      <c r="CH357" s="46"/>
      <c r="CI357" s="46"/>
      <c r="CJ357" s="46"/>
      <c r="CK357" s="46"/>
      <c r="CL357" s="46"/>
      <c r="CM357" s="46"/>
      <c r="CN357" s="46"/>
      <c r="CO357" s="46"/>
      <c r="CP357" s="46"/>
      <c r="CQ357" s="46"/>
      <c r="CR357" s="46"/>
      <c r="CS357" s="46"/>
      <c r="CT357" s="46"/>
      <c r="CU357" s="46"/>
    </row>
    <row r="358" spans="1:99" ht="12.75" customHeight="1">
      <c r="A358" s="399">
        <v>1600</v>
      </c>
      <c r="B358" s="409" t="s">
        <v>5407</v>
      </c>
      <c r="C358" s="399">
        <f t="shared" si="42"/>
        <v>1600</v>
      </c>
      <c r="D358" s="399" t="str">
        <f t="shared" si="62"/>
        <v>Gallbladder disease</v>
      </c>
      <c r="E358" s="399" t="str">
        <f t="shared" si="44"/>
        <v>Gallbladder disease</v>
      </c>
      <c r="F358" s="409" t="s">
        <v>3164</v>
      </c>
      <c r="G358" s="400">
        <f>LEN(B358)</f>
        <v>28</v>
      </c>
      <c r="H358" s="400" t="str">
        <f>IF(F358="Input Option",IF(H357="",B357,H357),"")</f>
        <v/>
      </c>
      <c r="I358" s="400"/>
      <c r="J358" s="400"/>
      <c r="K358" s="401" t="s">
        <v>3333</v>
      </c>
      <c r="L358" s="402" t="s">
        <v>4518</v>
      </c>
      <c r="M358" s="400"/>
      <c r="N358" s="427" t="s">
        <v>4417</v>
      </c>
      <c r="O358" s="428"/>
      <c r="P358" s="407" t="s">
        <v>5408</v>
      </c>
      <c r="Q358" s="405" t="s">
        <v>5373</v>
      </c>
      <c r="R358" s="403"/>
      <c r="S358" s="403"/>
      <c r="T358" s="407" t="s">
        <v>3339</v>
      </c>
      <c r="U358" s="432" t="s">
        <v>3326</v>
      </c>
      <c r="V358" s="403"/>
      <c r="W358" s="407"/>
      <c r="X358" s="407" t="s">
        <v>208</v>
      </c>
      <c r="Y358" s="407"/>
      <c r="Z358" s="403" t="s">
        <v>113</v>
      </c>
      <c r="AA358" s="403" t="s">
        <v>3178</v>
      </c>
      <c r="AB358" s="432" t="s">
        <v>5410</v>
      </c>
      <c r="AC358" s="421"/>
      <c r="AD358" s="421"/>
      <c r="AE358" s="432"/>
      <c r="AF358" s="407"/>
      <c r="AG358" s="407" t="s">
        <v>3851</v>
      </c>
      <c r="AH358" s="399"/>
      <c r="AI358" s="400"/>
      <c r="AJ358" s="399"/>
      <c r="AK358" s="399"/>
      <c r="AL358" s="409"/>
      <c r="AM358" s="409"/>
      <c r="AN358" s="409"/>
      <c r="AO358" s="399"/>
      <c r="AP358" s="399"/>
      <c r="AQ358" s="409" t="s">
        <v>115</v>
      </c>
      <c r="AR358" s="399"/>
      <c r="AS358" s="399"/>
      <c r="AT358" s="399"/>
      <c r="AU358" s="399" t="s">
        <v>5373</v>
      </c>
      <c r="AV358" s="399" t="str">
        <f t="shared" si="47"/>
        <v>Changed</v>
      </c>
      <c r="AW358" s="399"/>
      <c r="AX358" s="409" t="s">
        <v>3343</v>
      </c>
      <c r="AY358" s="399" t="str">
        <f t="shared" si="63"/>
        <v>"Gallbladder disease"-&gt;"Header - Gallbladder disease"</v>
      </c>
      <c r="AZ358" s="399"/>
      <c r="BA358" s="409">
        <v>0</v>
      </c>
      <c r="BB358" s="399"/>
      <c r="BC358" s="399"/>
      <c r="BD358" s="399"/>
      <c r="BE358" s="411"/>
      <c r="BF358" s="411"/>
      <c r="BG358" s="411"/>
      <c r="BH358" s="411"/>
      <c r="BI358" s="411"/>
      <c r="BJ358" s="399"/>
      <c r="BK358" s="399"/>
      <c r="BL358" s="399"/>
      <c r="BM358" s="399"/>
      <c r="BN358" s="399"/>
      <c r="BO358" s="399"/>
      <c r="BP358" s="399"/>
      <c r="BQ358" s="399"/>
      <c r="BR358" s="399"/>
      <c r="BS358" s="407"/>
      <c r="BT358" s="407"/>
      <c r="BU358" s="412"/>
      <c r="BV358" s="46" t="str">
        <f t="shared" si="8"/>
        <v/>
      </c>
      <c r="BW358" s="46" t="str">
        <f t="shared" si="9"/>
        <v/>
      </c>
      <c r="BX358" s="46" t="str">
        <f t="shared" si="10"/>
        <v/>
      </c>
      <c r="BY358" s="43" t="str">
        <f t="shared" si="11"/>
        <v/>
      </c>
      <c r="BZ358" s="46">
        <f t="shared" si="12"/>
        <v>1</v>
      </c>
      <c r="CA358" s="46" t="str">
        <f t="shared" si="13"/>
        <v/>
      </c>
      <c r="CB358" s="46">
        <f t="shared" si="14"/>
        <v>1</v>
      </c>
      <c r="CC358" s="46">
        <f t="shared" si="15"/>
        <v>1</v>
      </c>
      <c r="CD358" s="46">
        <f t="shared" si="16"/>
        <v>1</v>
      </c>
      <c r="CE358" s="46">
        <f t="shared" si="17"/>
        <v>0</v>
      </c>
      <c r="CF358" s="46">
        <f t="shared" si="18"/>
        <v>0</v>
      </c>
      <c r="CG358" s="46" t="str">
        <f ca="1">IFERROR(__xludf.DUMMYFUNCTION("if(OR(BH358="""",LEFT(BH358,2)=""LA""),"""",IMPORTXML(CONCATENATE(""https://loinc.org/"",BH358,""/""),""//span[@id='lcn']""))"),"")</f>
        <v/>
      </c>
      <c r="CH358" s="46"/>
      <c r="CI358" s="46"/>
      <c r="CJ358" s="46"/>
      <c r="CK358" s="46"/>
      <c r="CL358" s="46"/>
      <c r="CM358" s="46"/>
      <c r="CN358" s="46"/>
      <c r="CO358" s="46"/>
      <c r="CP358" s="46"/>
      <c r="CQ358" s="46"/>
      <c r="CR358" s="46"/>
      <c r="CS358" s="46"/>
      <c r="CT358" s="46"/>
      <c r="CU358" s="46"/>
    </row>
    <row r="359" spans="1:99" ht="12.75" customHeight="1">
      <c r="A359" s="399">
        <v>1601</v>
      </c>
      <c r="B359" s="409" t="s">
        <v>5411</v>
      </c>
      <c r="C359" s="399">
        <f t="shared" si="42"/>
        <v>1601</v>
      </c>
      <c r="D359" s="399" t="e">
        <f t="shared" ca="1" si="62"/>
        <v>#NAME?</v>
      </c>
      <c r="E359" s="399" t="str">
        <f t="shared" si="44"/>
        <v>Symptomatic (Treated by cholecystectomy)</v>
      </c>
      <c r="F359" s="410" t="s">
        <v>180</v>
      </c>
      <c r="G359" s="400">
        <v>23</v>
      </c>
      <c r="H359" s="399" t="s">
        <v>4475</v>
      </c>
      <c r="I359" s="400"/>
      <c r="J359" s="400"/>
      <c r="K359" s="401" t="s">
        <v>3333</v>
      </c>
      <c r="L359" s="402" t="s">
        <v>4518</v>
      </c>
      <c r="M359" s="400"/>
      <c r="N359" s="427" t="s">
        <v>4417</v>
      </c>
      <c r="O359" s="428"/>
      <c r="P359" s="407" t="s">
        <v>5412</v>
      </c>
      <c r="Q359" s="405"/>
      <c r="R359" s="403"/>
      <c r="S359" s="403" t="s">
        <v>5413</v>
      </c>
      <c r="T359" s="407"/>
      <c r="U359" s="407"/>
      <c r="V359" s="429" t="s">
        <v>5414</v>
      </c>
      <c r="W359" s="407"/>
      <c r="X359" s="407" t="s">
        <v>208</v>
      </c>
      <c r="Y359" s="407"/>
      <c r="Z359" s="403" t="s">
        <v>113</v>
      </c>
      <c r="AA359" s="403" t="s">
        <v>3178</v>
      </c>
      <c r="AB359" s="559" t="s">
        <v>4968</v>
      </c>
      <c r="AC359" s="421"/>
      <c r="AD359" s="421"/>
      <c r="AE359" s="432"/>
      <c r="AF359" s="407"/>
      <c r="AG359" s="407" t="s">
        <v>3851</v>
      </c>
      <c r="AH359" s="399"/>
      <c r="AI359" s="400"/>
      <c r="AJ359" s="399"/>
      <c r="AK359" s="440"/>
      <c r="AL359" s="409"/>
      <c r="AM359" s="409"/>
      <c r="AN359" s="409"/>
      <c r="AO359" s="399"/>
      <c r="AP359" s="409"/>
      <c r="AQ359" s="409" t="s">
        <v>3130</v>
      </c>
      <c r="AR359" s="409" t="s">
        <v>4478</v>
      </c>
      <c r="AS359" s="409"/>
      <c r="AT359" s="399"/>
      <c r="AU359" s="399" t="s">
        <v>5415</v>
      </c>
      <c r="AV359" s="399" t="str">
        <f t="shared" si="47"/>
        <v>Changed</v>
      </c>
      <c r="AW359" s="399"/>
      <c r="AX359" s="409" t="s">
        <v>3343</v>
      </c>
      <c r="AY359" s="399" t="e">
        <f t="shared" ca="1" si="63"/>
        <v>#NAME?</v>
      </c>
      <c r="AZ359" s="399"/>
      <c r="BA359" s="409">
        <v>1</v>
      </c>
      <c r="BB359" s="399"/>
      <c r="BC359" s="399"/>
      <c r="BD359" s="399"/>
      <c r="BE359" s="411" t="s">
        <v>5416</v>
      </c>
      <c r="BF359" s="411"/>
      <c r="BG359" s="411" t="s">
        <v>5417</v>
      </c>
      <c r="BH359" s="411"/>
      <c r="BI359" s="411"/>
      <c r="BJ359" s="399"/>
      <c r="BK359" s="409"/>
      <c r="BL359" s="409"/>
      <c r="BM359" s="409" t="s">
        <v>5418</v>
      </c>
      <c r="BN359" s="399"/>
      <c r="BO359" s="399"/>
      <c r="BP359" s="399"/>
      <c r="BQ359" s="399"/>
      <c r="BR359" s="399"/>
      <c r="BS359" s="407"/>
      <c r="BT359" s="407"/>
      <c r="BU359" s="412"/>
      <c r="BV359" s="46" t="str">
        <f t="shared" si="8"/>
        <v/>
      </c>
      <c r="BW359" s="46">
        <f t="shared" si="9"/>
        <v>0</v>
      </c>
      <c r="BX359" s="46">
        <f t="shared" si="10"/>
        <v>0</v>
      </c>
      <c r="BY359" s="43" t="str">
        <f t="shared" si="11"/>
        <v>WHO-FP Condition (Medical Eligibility)</v>
      </c>
      <c r="BZ359" s="46">
        <f t="shared" si="12"/>
        <v>1</v>
      </c>
      <c r="CA359" s="46" t="str">
        <f t="shared" si="13"/>
        <v/>
      </c>
      <c r="CB359" s="46">
        <f t="shared" si="14"/>
        <v>1</v>
      </c>
      <c r="CC359" s="46">
        <f t="shared" si="15"/>
        <v>1</v>
      </c>
      <c r="CD359" s="46">
        <f t="shared" si="16"/>
        <v>1</v>
      </c>
      <c r="CE359" s="46">
        <f t="shared" si="17"/>
        <v>0</v>
      </c>
      <c r="CF359" s="46">
        <f t="shared" si="18"/>
        <v>0</v>
      </c>
      <c r="CG359" s="46" t="str">
        <f ca="1">IFERROR(__xludf.DUMMYFUNCTION("if(OR(BH359="""",LEFT(BH359,2)=""LA""),"""",IMPORTXML(CONCATENATE(""https://loinc.org/"",BH359,""/""),""//span[@id='lcn']""))"),"")</f>
        <v/>
      </c>
      <c r="CH359" s="46"/>
      <c r="CI359" s="46"/>
      <c r="CJ359" s="46"/>
      <c r="CK359" s="46"/>
      <c r="CL359" s="46"/>
      <c r="CM359" s="46"/>
      <c r="CN359" s="46"/>
      <c r="CO359" s="46"/>
      <c r="CP359" s="46"/>
      <c r="CQ359" s="46"/>
      <c r="CR359" s="46"/>
      <c r="CS359" s="46"/>
      <c r="CT359" s="46"/>
      <c r="CU359" s="46"/>
    </row>
    <row r="360" spans="1:99" ht="12.75" customHeight="1">
      <c r="A360" s="399">
        <v>1602</v>
      </c>
      <c r="B360" s="409" t="s">
        <v>5419</v>
      </c>
      <c r="C360" s="399">
        <f t="shared" si="42"/>
        <v>1602</v>
      </c>
      <c r="D360" s="399" t="e">
        <f t="shared" ca="1" si="62"/>
        <v>#NAME?</v>
      </c>
      <c r="E360" s="399" t="str">
        <f t="shared" si="44"/>
        <v>Symptomatic (Medically treated)</v>
      </c>
      <c r="F360" s="410" t="s">
        <v>180</v>
      </c>
      <c r="G360" s="400">
        <v>23</v>
      </c>
      <c r="H360" s="399" t="s">
        <v>4475</v>
      </c>
      <c r="I360" s="400"/>
      <c r="J360" s="400"/>
      <c r="K360" s="401" t="s">
        <v>3333</v>
      </c>
      <c r="L360" s="402" t="s">
        <v>4518</v>
      </c>
      <c r="M360" s="400"/>
      <c r="N360" s="427" t="s">
        <v>4417</v>
      </c>
      <c r="O360" s="428"/>
      <c r="P360" s="407" t="s">
        <v>5420</v>
      </c>
      <c r="Q360" s="405"/>
      <c r="R360" s="403"/>
      <c r="S360" s="403" t="s">
        <v>5421</v>
      </c>
      <c r="T360" s="407"/>
      <c r="U360" s="407"/>
      <c r="V360" s="429" t="s">
        <v>5422</v>
      </c>
      <c r="W360" s="407"/>
      <c r="X360" s="407" t="s">
        <v>208</v>
      </c>
      <c r="Y360" s="407"/>
      <c r="Z360" s="403" t="s">
        <v>113</v>
      </c>
      <c r="AA360" s="403" t="s">
        <v>3178</v>
      </c>
      <c r="AB360" s="559" t="s">
        <v>4968</v>
      </c>
      <c r="AC360" s="421"/>
      <c r="AD360" s="421"/>
      <c r="AE360" s="432"/>
      <c r="AF360" s="407"/>
      <c r="AG360" s="407" t="s">
        <v>3851</v>
      </c>
      <c r="AH360" s="399"/>
      <c r="AI360" s="400"/>
      <c r="AJ360" s="399"/>
      <c r="AK360" s="440"/>
      <c r="AL360" s="409"/>
      <c r="AM360" s="409"/>
      <c r="AN360" s="409"/>
      <c r="AO360" s="399"/>
      <c r="AP360" s="409"/>
      <c r="AQ360" s="409" t="s">
        <v>3130</v>
      </c>
      <c r="AR360" s="409" t="s">
        <v>4478</v>
      </c>
      <c r="AS360" s="409"/>
      <c r="AT360" s="399"/>
      <c r="AU360" s="399" t="s">
        <v>5423</v>
      </c>
      <c r="AV360" s="399" t="str">
        <f t="shared" si="47"/>
        <v>Changed</v>
      </c>
      <c r="AW360" s="399"/>
      <c r="AX360" s="409" t="s">
        <v>3343</v>
      </c>
      <c r="AY360" s="399" t="e">
        <f t="shared" ca="1" si="63"/>
        <v>#NAME?</v>
      </c>
      <c r="AZ360" s="399"/>
      <c r="BA360" s="409">
        <v>1</v>
      </c>
      <c r="BB360" s="399"/>
      <c r="BC360" s="399"/>
      <c r="BD360" s="399"/>
      <c r="BE360" s="411" t="s">
        <v>5424</v>
      </c>
      <c r="BF360" s="411"/>
      <c r="BG360" s="434" t="s">
        <v>5425</v>
      </c>
      <c r="BH360" s="411"/>
      <c r="BI360" s="411"/>
      <c r="BJ360" s="399"/>
      <c r="BK360" s="399"/>
      <c r="BL360" s="399"/>
      <c r="BM360" s="399"/>
      <c r="BN360" s="399"/>
      <c r="BO360" s="399"/>
      <c r="BP360" s="399"/>
      <c r="BQ360" s="399"/>
      <c r="BR360" s="399"/>
      <c r="BS360" s="407"/>
      <c r="BT360" s="407"/>
      <c r="BU360" s="412"/>
      <c r="BV360" s="46" t="str">
        <f t="shared" si="8"/>
        <v/>
      </c>
      <c r="BW360" s="46">
        <f t="shared" si="9"/>
        <v>0</v>
      </c>
      <c r="BX360" s="46">
        <f t="shared" si="10"/>
        <v>0</v>
      </c>
      <c r="BY360" s="43" t="str">
        <f t="shared" si="11"/>
        <v>WHO-FP Condition (Medical Eligibility)</v>
      </c>
      <c r="BZ360" s="46">
        <f t="shared" si="12"/>
        <v>1</v>
      </c>
      <c r="CA360" s="46" t="str">
        <f t="shared" si="13"/>
        <v/>
      </c>
      <c r="CB360" s="46">
        <f t="shared" si="14"/>
        <v>1</v>
      </c>
      <c r="CC360" s="46">
        <f t="shared" si="15"/>
        <v>1</v>
      </c>
      <c r="CD360" s="46">
        <f t="shared" si="16"/>
        <v>1</v>
      </c>
      <c r="CE360" s="46">
        <f t="shared" si="17"/>
        <v>0</v>
      </c>
      <c r="CF360" s="46">
        <f t="shared" si="18"/>
        <v>0</v>
      </c>
      <c r="CG360" s="46" t="str">
        <f ca="1">IFERROR(__xludf.DUMMYFUNCTION("if(OR(BH360="""",LEFT(BH360,2)=""LA""),"""",IMPORTXML(CONCATENATE(""https://loinc.org/"",BH360,""/""),""//span[@id='lcn']""))"),"")</f>
        <v/>
      </c>
      <c r="CH360" s="46"/>
      <c r="CI360" s="46"/>
      <c r="CJ360" s="46"/>
      <c r="CK360" s="46"/>
      <c r="CL360" s="46"/>
      <c r="CM360" s="46"/>
      <c r="CN360" s="46"/>
      <c r="CO360" s="46"/>
      <c r="CP360" s="46"/>
      <c r="CQ360" s="46"/>
      <c r="CR360" s="46"/>
      <c r="CS360" s="46"/>
      <c r="CT360" s="46"/>
      <c r="CU360" s="46"/>
    </row>
    <row r="361" spans="1:99" ht="12.75" customHeight="1">
      <c r="A361" s="399">
        <v>1603</v>
      </c>
      <c r="B361" s="409" t="s">
        <v>5428</v>
      </c>
      <c r="C361" s="399">
        <f t="shared" si="42"/>
        <v>1603</v>
      </c>
      <c r="D361" s="399" t="e">
        <f t="shared" ca="1" si="62"/>
        <v>#NAME?</v>
      </c>
      <c r="E361" s="399" t="str">
        <f t="shared" si="44"/>
        <v>Current symptoms</v>
      </c>
      <c r="F361" s="410" t="s">
        <v>180</v>
      </c>
      <c r="G361" s="400">
        <v>23</v>
      </c>
      <c r="H361" s="399" t="s">
        <v>4475</v>
      </c>
      <c r="I361" s="400"/>
      <c r="J361" s="400"/>
      <c r="K361" s="401" t="s">
        <v>3333</v>
      </c>
      <c r="L361" s="402" t="s">
        <v>4518</v>
      </c>
      <c r="M361" s="400"/>
      <c r="N361" s="427" t="s">
        <v>4417</v>
      </c>
      <c r="O361" s="428"/>
      <c r="P361" s="407" t="s">
        <v>5429</v>
      </c>
      <c r="Q361" s="405"/>
      <c r="R361" s="403"/>
      <c r="S361" s="403" t="s">
        <v>5430</v>
      </c>
      <c r="T361" s="403"/>
      <c r="U361" s="407"/>
      <c r="V361" s="432" t="s">
        <v>5431</v>
      </c>
      <c r="W361" s="407"/>
      <c r="X361" s="407" t="s">
        <v>208</v>
      </c>
      <c r="Y361" s="407"/>
      <c r="Z361" s="403" t="s">
        <v>113</v>
      </c>
      <c r="AA361" s="403" t="s">
        <v>3178</v>
      </c>
      <c r="AB361" s="559" t="s">
        <v>4968</v>
      </c>
      <c r="AC361" s="421"/>
      <c r="AD361" s="421"/>
      <c r="AE361" s="432"/>
      <c r="AF361" s="407"/>
      <c r="AG361" s="407" t="s">
        <v>3851</v>
      </c>
      <c r="AH361" s="399"/>
      <c r="AI361" s="400"/>
      <c r="AJ361" s="399"/>
      <c r="AK361" s="440"/>
      <c r="AL361" s="409"/>
      <c r="AM361" s="409"/>
      <c r="AN361" s="409"/>
      <c r="AO361" s="399"/>
      <c r="AP361" s="409"/>
      <c r="AQ361" s="409" t="s">
        <v>3130</v>
      </c>
      <c r="AR361" s="409" t="s">
        <v>4478</v>
      </c>
      <c r="AS361" s="409"/>
      <c r="AT361" s="399"/>
      <c r="AU361" s="399" t="s">
        <v>5432</v>
      </c>
      <c r="AV361" s="399" t="str">
        <f t="shared" si="47"/>
        <v>Changed</v>
      </c>
      <c r="AW361" s="399"/>
      <c r="AX361" s="409" t="s">
        <v>3343</v>
      </c>
      <c r="AY361" s="399" t="e">
        <f t="shared" ca="1" si="63"/>
        <v>#NAME?</v>
      </c>
      <c r="AZ361" s="399"/>
      <c r="BA361" s="409">
        <v>1</v>
      </c>
      <c r="BB361" s="399"/>
      <c r="BC361" s="399"/>
      <c r="BD361" s="399"/>
      <c r="BE361" s="411"/>
      <c r="BF361" s="411"/>
      <c r="BG361" s="434" t="s">
        <v>5433</v>
      </c>
      <c r="BH361" s="411"/>
      <c r="BI361" s="411"/>
      <c r="BJ361" s="399"/>
      <c r="BK361" s="399"/>
      <c r="BL361" s="399"/>
      <c r="BM361" s="399"/>
      <c r="BN361" s="399"/>
      <c r="BO361" s="399"/>
      <c r="BP361" s="399"/>
      <c r="BQ361" s="399"/>
      <c r="BR361" s="399"/>
      <c r="BS361" s="407"/>
      <c r="BT361" s="407"/>
      <c r="BU361" s="412"/>
      <c r="BV361" s="46" t="str">
        <f t="shared" si="8"/>
        <v/>
      </c>
      <c r="BW361" s="46">
        <f t="shared" si="9"/>
        <v>0</v>
      </c>
      <c r="BX361" s="46">
        <f t="shared" si="10"/>
        <v>0</v>
      </c>
      <c r="BY361" s="43" t="str">
        <f t="shared" si="11"/>
        <v>WHO-FP Condition (Medical Eligibility)</v>
      </c>
      <c r="BZ361" s="46">
        <f t="shared" si="12"/>
        <v>1</v>
      </c>
      <c r="CA361" s="46" t="str">
        <f t="shared" si="13"/>
        <v/>
      </c>
      <c r="CB361" s="46">
        <f t="shared" si="14"/>
        <v>1</v>
      </c>
      <c r="CC361" s="46">
        <f t="shared" si="15"/>
        <v>1</v>
      </c>
      <c r="CD361" s="46">
        <f t="shared" si="16"/>
        <v>1</v>
      </c>
      <c r="CE361" s="46">
        <f t="shared" si="17"/>
        <v>0</v>
      </c>
      <c r="CF361" s="46">
        <f t="shared" si="18"/>
        <v>0</v>
      </c>
      <c r="CG361" s="46" t="str">
        <f ca="1">IFERROR(__xludf.DUMMYFUNCTION("if(OR(BH361="""",LEFT(BH361,2)=""LA""),"""",IMPORTXML(CONCATENATE(""https://loinc.org/"",BH361,""/""),""//span[@id='lcn']""))"),"")</f>
        <v/>
      </c>
      <c r="CH361" s="46"/>
      <c r="CI361" s="46"/>
      <c r="CJ361" s="46"/>
      <c r="CK361" s="46"/>
      <c r="CL361" s="46"/>
      <c r="CM361" s="46"/>
      <c r="CN361" s="46"/>
      <c r="CO361" s="46"/>
      <c r="CP361" s="46"/>
      <c r="CQ361" s="46"/>
      <c r="CR361" s="46"/>
      <c r="CS361" s="46"/>
      <c r="CT361" s="46"/>
      <c r="CU361" s="46"/>
    </row>
    <row r="362" spans="1:99" ht="12.75" customHeight="1">
      <c r="A362" s="399">
        <v>1604</v>
      </c>
      <c r="B362" s="409" t="s">
        <v>5434</v>
      </c>
      <c r="C362" s="399">
        <f t="shared" si="42"/>
        <v>1604</v>
      </c>
      <c r="D362" s="399" t="e">
        <f t="shared" ca="1" si="62"/>
        <v>#NAME?</v>
      </c>
      <c r="E362" s="399" t="str">
        <f t="shared" si="44"/>
        <v>No symptoms</v>
      </c>
      <c r="F362" s="410" t="s">
        <v>180</v>
      </c>
      <c r="G362" s="400">
        <v>23</v>
      </c>
      <c r="H362" s="399" t="s">
        <v>4475</v>
      </c>
      <c r="I362" s="400"/>
      <c r="J362" s="400"/>
      <c r="K362" s="401" t="s">
        <v>3333</v>
      </c>
      <c r="L362" s="402" t="s">
        <v>4518</v>
      </c>
      <c r="M362" s="400"/>
      <c r="N362" s="427" t="s">
        <v>4417</v>
      </c>
      <c r="O362" s="428"/>
      <c r="P362" s="407" t="s">
        <v>5435</v>
      </c>
      <c r="Q362" s="405"/>
      <c r="R362" s="403"/>
      <c r="S362" s="403" t="s">
        <v>5436</v>
      </c>
      <c r="T362" s="403"/>
      <c r="U362" s="407"/>
      <c r="V362" s="429" t="s">
        <v>5437</v>
      </c>
      <c r="W362" s="407"/>
      <c r="X362" s="407" t="s">
        <v>208</v>
      </c>
      <c r="Y362" s="407"/>
      <c r="Z362" s="403" t="s">
        <v>113</v>
      </c>
      <c r="AA362" s="403" t="s">
        <v>3178</v>
      </c>
      <c r="AB362" s="559" t="s">
        <v>4968</v>
      </c>
      <c r="AC362" s="421"/>
      <c r="AD362" s="421"/>
      <c r="AE362" s="432"/>
      <c r="AF362" s="407"/>
      <c r="AG362" s="407" t="s">
        <v>3851</v>
      </c>
      <c r="AH362" s="399"/>
      <c r="AI362" s="400"/>
      <c r="AJ362" s="399"/>
      <c r="AK362" s="440"/>
      <c r="AL362" s="409"/>
      <c r="AM362" s="409"/>
      <c r="AN362" s="409"/>
      <c r="AO362" s="399"/>
      <c r="AP362" s="409"/>
      <c r="AQ362" s="409" t="s">
        <v>3130</v>
      </c>
      <c r="AR362" s="409" t="s">
        <v>4478</v>
      </c>
      <c r="AS362" s="409"/>
      <c r="AT362" s="399"/>
      <c r="AU362" s="399" t="s">
        <v>5439</v>
      </c>
      <c r="AV362" s="399" t="str">
        <f t="shared" si="47"/>
        <v>Changed</v>
      </c>
      <c r="AW362" s="399"/>
      <c r="AX362" s="409" t="s">
        <v>3343</v>
      </c>
      <c r="AY362" s="399" t="e">
        <f t="shared" ca="1" si="63"/>
        <v>#NAME?</v>
      </c>
      <c r="AZ362" s="399"/>
      <c r="BA362" s="409">
        <v>1</v>
      </c>
      <c r="BB362" s="399"/>
      <c r="BC362" s="399"/>
      <c r="BD362" s="399"/>
      <c r="BE362" s="411" t="s">
        <v>5440</v>
      </c>
      <c r="BF362" s="411"/>
      <c r="BG362" s="411"/>
      <c r="BH362" s="411"/>
      <c r="BI362" s="411"/>
      <c r="BJ362" s="399"/>
      <c r="BK362" s="399"/>
      <c r="BL362" s="399"/>
      <c r="BM362" s="399"/>
      <c r="BN362" s="399"/>
      <c r="BO362" s="399"/>
      <c r="BP362" s="399"/>
      <c r="BQ362" s="399"/>
      <c r="BR362" s="399"/>
      <c r="BS362" s="407"/>
      <c r="BT362" s="407"/>
      <c r="BU362" s="412"/>
      <c r="BV362" s="46" t="str">
        <f t="shared" si="8"/>
        <v/>
      </c>
      <c r="BW362" s="46">
        <f t="shared" si="9"/>
        <v>0</v>
      </c>
      <c r="BX362" s="46">
        <f t="shared" si="10"/>
        <v>0</v>
      </c>
      <c r="BY362" s="43" t="str">
        <f t="shared" si="11"/>
        <v>WHO-FP Condition (Medical Eligibility)</v>
      </c>
      <c r="BZ362" s="46">
        <f t="shared" si="12"/>
        <v>1</v>
      </c>
      <c r="CA362" s="46" t="str">
        <f t="shared" si="13"/>
        <v/>
      </c>
      <c r="CB362" s="46">
        <f t="shared" si="14"/>
        <v>1</v>
      </c>
      <c r="CC362" s="46">
        <f t="shared" si="15"/>
        <v>1</v>
      </c>
      <c r="CD362" s="46">
        <f t="shared" si="16"/>
        <v>1</v>
      </c>
      <c r="CE362" s="46">
        <f t="shared" si="17"/>
        <v>0</v>
      </c>
      <c r="CF362" s="46">
        <f t="shared" si="18"/>
        <v>0</v>
      </c>
      <c r="CG362" s="46" t="str">
        <f ca="1">IFERROR(__xludf.DUMMYFUNCTION("if(OR(BH362="""",LEFT(BH362,2)=""LA""),"""",IMPORTXML(CONCATENATE(""https://loinc.org/"",BH362,""/""),""//span[@id='lcn']""))"),"")</f>
        <v/>
      </c>
      <c r="CH362" s="46"/>
      <c r="CI362" s="46"/>
      <c r="CJ362" s="46"/>
      <c r="CK362" s="46"/>
      <c r="CL362" s="46"/>
      <c r="CM362" s="46"/>
      <c r="CN362" s="46"/>
      <c r="CO362" s="46"/>
      <c r="CP362" s="46"/>
      <c r="CQ362" s="46"/>
      <c r="CR362" s="46"/>
      <c r="CS362" s="46"/>
      <c r="CT362" s="46"/>
      <c r="CU362" s="46"/>
    </row>
    <row r="363" spans="1:99" ht="12.75" customHeight="1">
      <c r="A363" s="399">
        <v>1605</v>
      </c>
      <c r="B363" s="409" t="s">
        <v>5441</v>
      </c>
      <c r="C363" s="399">
        <f t="shared" si="42"/>
        <v>1605</v>
      </c>
      <c r="D363" s="399" t="e">
        <f t="shared" ca="1" si="62"/>
        <v>#NAME?</v>
      </c>
      <c r="E363" s="399" t="str">
        <f t="shared" si="44"/>
        <v>Symptomatic</v>
      </c>
      <c r="F363" s="410" t="s">
        <v>180</v>
      </c>
      <c r="G363" s="400">
        <v>23</v>
      </c>
      <c r="H363" s="399" t="s">
        <v>4475</v>
      </c>
      <c r="I363" s="400"/>
      <c r="J363" s="400"/>
      <c r="K363" s="401" t="s">
        <v>3333</v>
      </c>
      <c r="L363" s="402" t="s">
        <v>4518</v>
      </c>
      <c r="M363" s="400"/>
      <c r="N363" s="427" t="s">
        <v>4417</v>
      </c>
      <c r="O363" s="428"/>
      <c r="P363" s="403" t="s">
        <v>5442</v>
      </c>
      <c r="Q363" s="405"/>
      <c r="R363" s="403"/>
      <c r="S363" s="403" t="s">
        <v>5443</v>
      </c>
      <c r="T363" s="403"/>
      <c r="U363" s="407"/>
      <c r="V363" s="403" t="s">
        <v>5444</v>
      </c>
      <c r="W363" s="407"/>
      <c r="X363" s="407" t="s">
        <v>208</v>
      </c>
      <c r="Y363" s="407"/>
      <c r="Z363" s="407" t="s">
        <v>113</v>
      </c>
      <c r="AA363" s="403" t="s">
        <v>3178</v>
      </c>
      <c r="AB363" s="559" t="s">
        <v>4968</v>
      </c>
      <c r="AC363" s="421"/>
      <c r="AD363" s="421"/>
      <c r="AE363" s="432"/>
      <c r="AF363" s="407"/>
      <c r="AG363" s="407" t="s">
        <v>3851</v>
      </c>
      <c r="AH363" s="399"/>
      <c r="AI363" s="400"/>
      <c r="AJ363" s="399"/>
      <c r="AK363" s="440"/>
      <c r="AL363" s="409"/>
      <c r="AM363" s="409"/>
      <c r="AN363" s="409"/>
      <c r="AO363" s="399"/>
      <c r="AP363" s="409"/>
      <c r="AQ363" s="409" t="s">
        <v>3130</v>
      </c>
      <c r="AR363" s="409" t="s">
        <v>4478</v>
      </c>
      <c r="AS363" s="409"/>
      <c r="AT363" s="399"/>
      <c r="AU363" s="399" t="s">
        <v>5445</v>
      </c>
      <c r="AV363" s="399" t="str">
        <f t="shared" si="47"/>
        <v>Changed</v>
      </c>
      <c r="AW363" s="399"/>
      <c r="AX363" s="409" t="s">
        <v>3343</v>
      </c>
      <c r="AY363" s="399" t="e">
        <f t="shared" ca="1" si="63"/>
        <v>#NAME?</v>
      </c>
      <c r="AZ363" s="399"/>
      <c r="BA363" s="409">
        <v>1</v>
      </c>
      <c r="BB363" s="399"/>
      <c r="BC363" s="399"/>
      <c r="BD363" s="399"/>
      <c r="BE363" s="411"/>
      <c r="BF363" s="411"/>
      <c r="BG363" s="434" t="s">
        <v>5446</v>
      </c>
      <c r="BH363" s="411"/>
      <c r="BI363" s="411"/>
      <c r="BJ363" s="399"/>
      <c r="BK363" s="399"/>
      <c r="BL363" s="399"/>
      <c r="BM363" s="399"/>
      <c r="BN363" s="399"/>
      <c r="BO363" s="399">
        <v>1068</v>
      </c>
      <c r="BP363" s="399"/>
      <c r="BQ363" s="399"/>
      <c r="BR363" s="399" t="s">
        <v>5447</v>
      </c>
      <c r="BS363" s="407"/>
      <c r="BT363" s="407"/>
      <c r="BU363" s="412"/>
      <c r="BV363" s="46" t="str">
        <f t="shared" si="8"/>
        <v/>
      </c>
      <c r="BW363" s="46">
        <f t="shared" si="9"/>
        <v>0</v>
      </c>
      <c r="BX363" s="46">
        <f t="shared" si="10"/>
        <v>0</v>
      </c>
      <c r="BY363" s="43" t="str">
        <f t="shared" si="11"/>
        <v>WHO-FP Condition (Medical Eligibility)</v>
      </c>
      <c r="BZ363" s="46">
        <f t="shared" si="12"/>
        <v>1</v>
      </c>
      <c r="CA363" s="46" t="str">
        <f t="shared" si="13"/>
        <v/>
      </c>
      <c r="CB363" s="46">
        <f t="shared" si="14"/>
        <v>1</v>
      </c>
      <c r="CC363" s="46">
        <f t="shared" si="15"/>
        <v>1</v>
      </c>
      <c r="CD363" s="46">
        <f t="shared" si="16"/>
        <v>1</v>
      </c>
      <c r="CE363" s="46">
        <f t="shared" si="17"/>
        <v>0</v>
      </c>
      <c r="CF363" s="46">
        <f t="shared" si="18"/>
        <v>0</v>
      </c>
      <c r="CG363" s="46" t="str">
        <f ca="1">IFERROR(__xludf.DUMMYFUNCTION("if(OR(BH363="""",LEFT(BH363,2)=""LA""),"""",IMPORTXML(CONCATENATE(""https://loinc.org/"",BH363,""/""),""//span[@id='lcn']""))"),"")</f>
        <v/>
      </c>
      <c r="CH363" s="46"/>
      <c r="CI363" s="46"/>
      <c r="CJ363" s="46"/>
      <c r="CK363" s="46"/>
      <c r="CL363" s="46"/>
      <c r="CM363" s="46"/>
      <c r="CN363" s="46"/>
      <c r="CO363" s="46"/>
      <c r="CP363" s="46"/>
      <c r="CQ363" s="46"/>
      <c r="CR363" s="46"/>
      <c r="CS363" s="46"/>
      <c r="CT363" s="46"/>
      <c r="CU363" s="46"/>
    </row>
    <row r="364" spans="1:99" ht="12.75" customHeight="1">
      <c r="A364" s="399">
        <v>1606</v>
      </c>
      <c r="B364" s="399" t="s">
        <v>5448</v>
      </c>
      <c r="C364" s="399">
        <f t="shared" si="42"/>
        <v>1606</v>
      </c>
      <c r="D364" s="399" t="str">
        <f t="shared" si="62"/>
        <v xml:space="preserve">History of cholestasis </v>
      </c>
      <c r="E364" s="399" t="str">
        <f t="shared" si="44"/>
        <v xml:space="preserve">History of cholestasis </v>
      </c>
      <c r="F364" s="409" t="s">
        <v>3164</v>
      </c>
      <c r="G364" s="400">
        <f>LEN(B364)</f>
        <v>23</v>
      </c>
      <c r="H364" s="400" t="str">
        <f>IF(F364="Input Option",IF(H363="",B363,H363),"")</f>
        <v/>
      </c>
      <c r="I364" s="400"/>
      <c r="J364" s="400"/>
      <c r="K364" s="401" t="s">
        <v>3333</v>
      </c>
      <c r="L364" s="402" t="s">
        <v>4081</v>
      </c>
      <c r="M364" s="400"/>
      <c r="N364" s="427" t="s">
        <v>4417</v>
      </c>
      <c r="O364" s="428"/>
      <c r="P364" s="407" t="s">
        <v>5450</v>
      </c>
      <c r="Q364" s="405" t="s">
        <v>5448</v>
      </c>
      <c r="R364" s="403"/>
      <c r="S364" s="403" t="s">
        <v>5451</v>
      </c>
      <c r="T364" s="403" t="s">
        <v>3339</v>
      </c>
      <c r="U364" s="432" t="s">
        <v>3326</v>
      </c>
      <c r="V364" s="403"/>
      <c r="W364" s="407"/>
      <c r="X364" s="407" t="s">
        <v>208</v>
      </c>
      <c r="Y364" s="407"/>
      <c r="Z364" s="403" t="s">
        <v>113</v>
      </c>
      <c r="AA364" s="403" t="s">
        <v>3178</v>
      </c>
      <c r="AB364" s="432" t="s">
        <v>5452</v>
      </c>
      <c r="AC364" s="421"/>
      <c r="AD364" s="421"/>
      <c r="AE364" s="432"/>
      <c r="AF364" s="407"/>
      <c r="AG364" s="407" t="s">
        <v>3851</v>
      </c>
      <c r="AH364" s="399"/>
      <c r="AI364" s="400"/>
      <c r="AJ364" s="399"/>
      <c r="AK364" s="399"/>
      <c r="AL364" s="409"/>
      <c r="AM364" s="409"/>
      <c r="AN364" s="409"/>
      <c r="AO364" s="399"/>
      <c r="AP364" s="399"/>
      <c r="AQ364" s="409" t="s">
        <v>115</v>
      </c>
      <c r="AR364" s="399"/>
      <c r="AS364" s="399"/>
      <c r="AT364" s="399"/>
      <c r="AU364" s="399" t="s">
        <v>5448</v>
      </c>
      <c r="AV364" s="399" t="str">
        <f t="shared" si="47"/>
        <v>Same</v>
      </c>
      <c r="AW364" s="399"/>
      <c r="AX364" s="409" t="s">
        <v>3343</v>
      </c>
      <c r="AY364" s="399" t="str">
        <f t="shared" si="63"/>
        <v/>
      </c>
      <c r="AZ364" s="399"/>
      <c r="BA364" s="409">
        <v>0</v>
      </c>
      <c r="BB364" s="399"/>
      <c r="BC364" s="399"/>
      <c r="BD364" s="399"/>
      <c r="BE364" s="411" t="s">
        <v>5384</v>
      </c>
      <c r="BF364" s="411" t="s">
        <v>5385</v>
      </c>
      <c r="BG364" s="411" t="s">
        <v>5386</v>
      </c>
      <c r="BH364" s="411"/>
      <c r="BI364" s="411"/>
      <c r="BJ364" s="399"/>
      <c r="BK364" s="399"/>
      <c r="BL364" s="399"/>
      <c r="BM364" s="399"/>
      <c r="BN364" s="399"/>
      <c r="BO364" s="399">
        <v>145618</v>
      </c>
      <c r="BP364" s="399"/>
      <c r="BQ364" s="399"/>
      <c r="BR364" s="399" t="s">
        <v>5454</v>
      </c>
      <c r="BS364" s="407"/>
      <c r="BT364" s="407"/>
      <c r="BU364" s="412"/>
      <c r="BV364" s="46" t="str">
        <f t="shared" si="8"/>
        <v/>
      </c>
      <c r="BW364" s="46" t="str">
        <f t="shared" si="9"/>
        <v/>
      </c>
      <c r="BX364" s="46" t="str">
        <f t="shared" si="10"/>
        <v/>
      </c>
      <c r="BY364" s="43" t="str">
        <f t="shared" si="11"/>
        <v/>
      </c>
      <c r="BZ364" s="46">
        <f t="shared" si="12"/>
        <v>1</v>
      </c>
      <c r="CA364" s="46" t="str">
        <f t="shared" si="13"/>
        <v/>
      </c>
      <c r="CB364" s="46">
        <f t="shared" si="14"/>
        <v>1</v>
      </c>
      <c r="CC364" s="46">
        <f t="shared" si="15"/>
        <v>1</v>
      </c>
      <c r="CD364" s="46">
        <f t="shared" si="16"/>
        <v>1</v>
      </c>
      <c r="CE364" s="46">
        <f t="shared" si="17"/>
        <v>0</v>
      </c>
      <c r="CF364" s="46">
        <f t="shared" si="18"/>
        <v>0</v>
      </c>
      <c r="CG364" s="46" t="str">
        <f ca="1">IFERROR(__xludf.DUMMYFUNCTION("if(OR(BH364="""",LEFT(BH364,2)=""LA""),"""",IMPORTXML(CONCATENATE(""https://loinc.org/"",BH364,""/""),""//span[@id='lcn']""))"),"")</f>
        <v/>
      </c>
      <c r="CH364" s="46"/>
      <c r="CI364" s="46"/>
      <c r="CJ364" s="46"/>
      <c r="CK364" s="46"/>
      <c r="CL364" s="46"/>
      <c r="CM364" s="46"/>
      <c r="CN364" s="46"/>
      <c r="CO364" s="46"/>
      <c r="CP364" s="46"/>
      <c r="CQ364" s="46"/>
      <c r="CR364" s="46"/>
      <c r="CS364" s="46"/>
      <c r="CT364" s="46"/>
      <c r="CU364" s="46"/>
    </row>
    <row r="365" spans="1:99" ht="12.75" customHeight="1">
      <c r="A365" s="399">
        <v>1607</v>
      </c>
      <c r="B365" s="409" t="s">
        <v>5455</v>
      </c>
      <c r="C365" s="399">
        <f t="shared" si="42"/>
        <v>1607</v>
      </c>
      <c r="D365" s="399" t="e">
        <f t="shared" ca="1" si="62"/>
        <v>#NAME?</v>
      </c>
      <c r="E365" s="399" t="str">
        <f t="shared" si="44"/>
        <v>Pregnancy-related</v>
      </c>
      <c r="F365" s="410" t="s">
        <v>180</v>
      </c>
      <c r="G365" s="400">
        <v>23</v>
      </c>
      <c r="H365" s="399" t="s">
        <v>4475</v>
      </c>
      <c r="I365" s="400"/>
      <c r="J365" s="400"/>
      <c r="K365" s="401" t="s">
        <v>3333</v>
      </c>
      <c r="L365" s="402" t="s">
        <v>4081</v>
      </c>
      <c r="M365" s="400"/>
      <c r="N365" s="427" t="s">
        <v>4417</v>
      </c>
      <c r="O365" s="428"/>
      <c r="P365" s="407" t="s">
        <v>5456</v>
      </c>
      <c r="Q365" s="405"/>
      <c r="R365" s="403"/>
      <c r="S365" s="403" t="s">
        <v>5457</v>
      </c>
      <c r="T365" s="403"/>
      <c r="U365" s="407"/>
      <c r="V365" s="429" t="s">
        <v>5458</v>
      </c>
      <c r="W365" s="407"/>
      <c r="X365" s="407" t="s">
        <v>208</v>
      </c>
      <c r="Y365" s="407"/>
      <c r="Z365" s="403" t="s">
        <v>113</v>
      </c>
      <c r="AA365" s="403" t="s">
        <v>3178</v>
      </c>
      <c r="AB365" s="562" t="s">
        <v>5038</v>
      </c>
      <c r="AC365" s="407"/>
      <c r="AD365" s="407"/>
      <c r="AE365" s="408"/>
      <c r="AF365" s="407"/>
      <c r="AG365" s="407" t="s">
        <v>3851</v>
      </c>
      <c r="AH365" s="399"/>
      <c r="AI365" s="400"/>
      <c r="AJ365" s="399"/>
      <c r="AK365" s="440"/>
      <c r="AL365" s="399"/>
      <c r="AM365" s="399"/>
      <c r="AN365" s="399"/>
      <c r="AO365" s="399"/>
      <c r="AP365" s="409"/>
      <c r="AQ365" s="409" t="s">
        <v>3130</v>
      </c>
      <c r="AR365" s="409" t="s">
        <v>4478</v>
      </c>
      <c r="AS365" s="409"/>
      <c r="AT365" s="399"/>
      <c r="AU365" s="399" t="s">
        <v>5459</v>
      </c>
      <c r="AV365" s="399" t="str">
        <f t="shared" si="47"/>
        <v>Changed</v>
      </c>
      <c r="AW365" s="399"/>
      <c r="AX365" s="409" t="s">
        <v>3343</v>
      </c>
      <c r="AY365" s="399" t="e">
        <f t="shared" ca="1" si="63"/>
        <v>#NAME?</v>
      </c>
      <c r="AZ365" s="399"/>
      <c r="BA365" s="409">
        <v>1</v>
      </c>
      <c r="BB365" s="399"/>
      <c r="BC365" s="399"/>
      <c r="BD365" s="399"/>
      <c r="BE365" s="411"/>
      <c r="BF365" s="411"/>
      <c r="BG365" s="411" t="s">
        <v>5460</v>
      </c>
      <c r="BH365" s="411"/>
      <c r="BI365" s="411"/>
      <c r="BJ365" s="399"/>
      <c r="BK365" s="399"/>
      <c r="BL365" s="399"/>
      <c r="BM365" s="399"/>
      <c r="BN365" s="399"/>
      <c r="BO365" s="399"/>
      <c r="BP365" s="399"/>
      <c r="BQ365" s="399"/>
      <c r="BR365" s="399"/>
      <c r="BS365" s="407"/>
      <c r="BT365" s="407"/>
      <c r="BU365" s="412"/>
      <c r="BV365" s="46" t="str">
        <f t="shared" si="8"/>
        <v/>
      </c>
      <c r="BW365" s="46">
        <f t="shared" si="9"/>
        <v>0</v>
      </c>
      <c r="BX365" s="46">
        <f t="shared" si="10"/>
        <v>0</v>
      </c>
      <c r="BY365" s="43" t="str">
        <f t="shared" si="11"/>
        <v>WHO-FP Condition (Medical Eligibility)</v>
      </c>
      <c r="BZ365" s="46">
        <f t="shared" si="12"/>
        <v>1</v>
      </c>
      <c r="CA365" s="46" t="str">
        <f t="shared" si="13"/>
        <v/>
      </c>
      <c r="CB365" s="46">
        <f t="shared" si="14"/>
        <v>1</v>
      </c>
      <c r="CC365" s="46">
        <f t="shared" si="15"/>
        <v>1</v>
      </c>
      <c r="CD365" s="46">
        <f t="shared" si="16"/>
        <v>1</v>
      </c>
      <c r="CE365" s="46">
        <f t="shared" si="17"/>
        <v>0</v>
      </c>
      <c r="CF365" s="46">
        <f t="shared" si="18"/>
        <v>0</v>
      </c>
      <c r="CG365" s="46" t="str">
        <f ca="1">IFERROR(__xludf.DUMMYFUNCTION("if(OR(BH365="""",LEFT(BH365,2)=""LA""),"""",IMPORTXML(CONCATENATE(""https://loinc.org/"",BH365,""/""),""//span[@id='lcn']""))"),"")</f>
        <v/>
      </c>
      <c r="CH365" s="46"/>
      <c r="CI365" s="46"/>
      <c r="CJ365" s="46"/>
      <c r="CK365" s="46"/>
      <c r="CL365" s="46"/>
      <c r="CM365" s="46"/>
      <c r="CN365" s="46"/>
      <c r="CO365" s="46"/>
      <c r="CP365" s="46"/>
      <c r="CQ365" s="46"/>
      <c r="CR365" s="46"/>
      <c r="CS365" s="46"/>
      <c r="CT365" s="46"/>
      <c r="CU365" s="46"/>
    </row>
    <row r="366" spans="1:99" ht="12.75" customHeight="1">
      <c r="A366" s="399">
        <v>1608</v>
      </c>
      <c r="B366" s="409" t="s">
        <v>5462</v>
      </c>
      <c r="C366" s="399">
        <f t="shared" si="42"/>
        <v>1608</v>
      </c>
      <c r="D366" s="399" t="e">
        <f t="shared" ca="1" si="62"/>
        <v>#NAME?</v>
      </c>
      <c r="E366" s="399" t="str">
        <f t="shared" si="44"/>
        <v>Past combined oral contraceptives-related</v>
      </c>
      <c r="F366" s="410" t="s">
        <v>180</v>
      </c>
      <c r="G366" s="400">
        <v>23</v>
      </c>
      <c r="H366" s="399" t="s">
        <v>4475</v>
      </c>
      <c r="I366" s="400"/>
      <c r="J366" s="400"/>
      <c r="K366" s="401" t="s">
        <v>3333</v>
      </c>
      <c r="L366" s="402" t="s">
        <v>4081</v>
      </c>
      <c r="M366" s="400"/>
      <c r="N366" s="427" t="s">
        <v>4417</v>
      </c>
      <c r="O366" s="428"/>
      <c r="P366" s="407" t="s">
        <v>5464</v>
      </c>
      <c r="Q366" s="405"/>
      <c r="R366" s="403"/>
      <c r="S366" s="403" t="s">
        <v>5465</v>
      </c>
      <c r="T366" s="403"/>
      <c r="U366" s="407"/>
      <c r="V366" s="429" t="s">
        <v>5466</v>
      </c>
      <c r="W366" s="407"/>
      <c r="X366" s="407" t="s">
        <v>208</v>
      </c>
      <c r="Y366" s="407"/>
      <c r="Z366" s="403" t="s">
        <v>113</v>
      </c>
      <c r="AA366" s="403" t="s">
        <v>3178</v>
      </c>
      <c r="AB366" s="559" t="s">
        <v>4968</v>
      </c>
      <c r="AC366" s="421"/>
      <c r="AD366" s="421"/>
      <c r="AE366" s="432"/>
      <c r="AF366" s="407"/>
      <c r="AG366" s="407" t="s">
        <v>3851</v>
      </c>
      <c r="AH366" s="399"/>
      <c r="AI366" s="400"/>
      <c r="AJ366" s="399"/>
      <c r="AK366" s="440"/>
      <c r="AL366" s="399"/>
      <c r="AM366" s="399"/>
      <c r="AN366" s="399"/>
      <c r="AO366" s="399"/>
      <c r="AP366" s="409"/>
      <c r="AQ366" s="409" t="s">
        <v>3130</v>
      </c>
      <c r="AR366" s="409" t="s">
        <v>4478</v>
      </c>
      <c r="AS366" s="409"/>
      <c r="AT366" s="399"/>
      <c r="AU366" s="399" t="s">
        <v>5468</v>
      </c>
      <c r="AV366" s="399" t="str">
        <f t="shared" si="47"/>
        <v>Changed</v>
      </c>
      <c r="AW366" s="399"/>
      <c r="AX366" s="409" t="s">
        <v>3343</v>
      </c>
      <c r="AY366" s="399" t="e">
        <f t="shared" ca="1" si="63"/>
        <v>#NAME?</v>
      </c>
      <c r="AZ366" s="399"/>
      <c r="BA366" s="409">
        <v>1</v>
      </c>
      <c r="BB366" s="399"/>
      <c r="BC366" s="399"/>
      <c r="BD366" s="399"/>
      <c r="BE366" s="411" t="s">
        <v>5471</v>
      </c>
      <c r="BF366" s="411"/>
      <c r="BG366" s="411" t="s">
        <v>5472</v>
      </c>
      <c r="BH366" s="411"/>
      <c r="BI366" s="411"/>
      <c r="BJ366" s="399"/>
      <c r="BK366" s="399"/>
      <c r="BL366" s="399"/>
      <c r="BM366" s="399"/>
      <c r="BN366" s="399"/>
      <c r="BO366" s="399"/>
      <c r="BP366" s="399"/>
      <c r="BQ366" s="399"/>
      <c r="BR366" s="399"/>
      <c r="BS366" s="407"/>
      <c r="BT366" s="407"/>
      <c r="BU366" s="412"/>
      <c r="BV366" s="46" t="str">
        <f t="shared" si="8"/>
        <v/>
      </c>
      <c r="BW366" s="46">
        <f t="shared" si="9"/>
        <v>0</v>
      </c>
      <c r="BX366" s="46">
        <f t="shared" si="10"/>
        <v>0</v>
      </c>
      <c r="BY366" s="43" t="str">
        <f t="shared" si="11"/>
        <v>WHO-FP Condition (Medical Eligibility)</v>
      </c>
      <c r="BZ366" s="46">
        <f t="shared" si="12"/>
        <v>1</v>
      </c>
      <c r="CA366" s="46" t="str">
        <f t="shared" si="13"/>
        <v/>
      </c>
      <c r="CB366" s="46">
        <f t="shared" si="14"/>
        <v>1</v>
      </c>
      <c r="CC366" s="46">
        <f t="shared" si="15"/>
        <v>1</v>
      </c>
      <c r="CD366" s="46">
        <f t="shared" si="16"/>
        <v>1</v>
      </c>
      <c r="CE366" s="46">
        <f t="shared" si="17"/>
        <v>0</v>
      </c>
      <c r="CF366" s="46">
        <f t="shared" si="18"/>
        <v>0</v>
      </c>
      <c r="CG366" s="46" t="str">
        <f ca="1">IFERROR(__xludf.DUMMYFUNCTION("if(OR(BH366="""",LEFT(BH366,2)=""LA""),"""",IMPORTXML(CONCATENATE(""https://loinc.org/"",BH366,""/""),""//span[@id='lcn']""))"),"")</f>
        <v/>
      </c>
      <c r="CH366" s="46"/>
      <c r="CI366" s="46"/>
      <c r="CJ366" s="46"/>
      <c r="CK366" s="46"/>
      <c r="CL366" s="46"/>
      <c r="CM366" s="46"/>
      <c r="CN366" s="46"/>
      <c r="CO366" s="46"/>
      <c r="CP366" s="46"/>
      <c r="CQ366" s="46"/>
      <c r="CR366" s="46"/>
      <c r="CS366" s="46"/>
      <c r="CT366" s="46"/>
      <c r="CU366" s="46"/>
    </row>
    <row r="367" spans="1:99" ht="12.75" customHeight="1">
      <c r="A367" s="399">
        <v>1609</v>
      </c>
      <c r="B367" s="409" t="s">
        <v>5476</v>
      </c>
      <c r="C367" s="399">
        <f t="shared" si="42"/>
        <v>1609</v>
      </c>
      <c r="D367" s="399" t="str">
        <f t="shared" si="62"/>
        <v>Viral hepatitis</v>
      </c>
      <c r="E367" s="399" t="str">
        <f t="shared" si="44"/>
        <v>Viral hepatitis</v>
      </c>
      <c r="F367" s="409" t="s">
        <v>3164</v>
      </c>
      <c r="G367" s="400">
        <f>LEN(B367)</f>
        <v>24</v>
      </c>
      <c r="H367" s="400" t="str">
        <f>IF(F367="Input Option",IF(H366="",B366,H366),"")</f>
        <v/>
      </c>
      <c r="I367" s="400"/>
      <c r="J367" s="400"/>
      <c r="K367" s="401" t="s">
        <v>3333</v>
      </c>
      <c r="L367" s="402" t="s">
        <v>4518</v>
      </c>
      <c r="M367" s="400"/>
      <c r="N367" s="427" t="s">
        <v>4417</v>
      </c>
      <c r="O367" s="428"/>
      <c r="P367" s="407" t="s">
        <v>5480</v>
      </c>
      <c r="Q367" s="405" t="s">
        <v>5387</v>
      </c>
      <c r="R367" s="403"/>
      <c r="S367" s="403" t="s">
        <v>5481</v>
      </c>
      <c r="T367" s="403" t="s">
        <v>3339</v>
      </c>
      <c r="U367" s="432" t="s">
        <v>3326</v>
      </c>
      <c r="V367" s="403"/>
      <c r="W367" s="407"/>
      <c r="X367" s="407" t="s">
        <v>208</v>
      </c>
      <c r="Y367" s="407"/>
      <c r="Z367" s="403" t="s">
        <v>113</v>
      </c>
      <c r="AA367" s="403" t="s">
        <v>3178</v>
      </c>
      <c r="AB367" s="432" t="s">
        <v>5482</v>
      </c>
      <c r="AC367" s="421"/>
      <c r="AD367" s="421"/>
      <c r="AE367" s="432"/>
      <c r="AF367" s="407"/>
      <c r="AG367" s="407" t="s">
        <v>3851</v>
      </c>
      <c r="AH367" s="399"/>
      <c r="AI367" s="400"/>
      <c r="AJ367" s="399"/>
      <c r="AK367" s="399"/>
      <c r="AL367" s="399"/>
      <c r="AM367" s="399"/>
      <c r="AN367" s="399"/>
      <c r="AO367" s="399"/>
      <c r="AP367" s="399"/>
      <c r="AQ367" s="409" t="s">
        <v>115</v>
      </c>
      <c r="AR367" s="399"/>
      <c r="AS367" s="399"/>
      <c r="AT367" s="399"/>
      <c r="AU367" s="399" t="s">
        <v>5387</v>
      </c>
      <c r="AV367" s="399" t="str">
        <f t="shared" si="47"/>
        <v>Changed</v>
      </c>
      <c r="AW367" s="399"/>
      <c r="AX367" s="409" t="s">
        <v>3343</v>
      </c>
      <c r="AY367" s="399" t="str">
        <f t="shared" si="63"/>
        <v>"Viral hepatitis"-&gt;"Header - Viral hepatitis"</v>
      </c>
      <c r="AZ367" s="399"/>
      <c r="BA367" s="409">
        <v>0</v>
      </c>
      <c r="BB367" s="399"/>
      <c r="BC367" s="399"/>
      <c r="BD367" s="399"/>
      <c r="BE367" s="411" t="s">
        <v>5487</v>
      </c>
      <c r="BF367" s="411"/>
      <c r="BG367" s="411"/>
      <c r="BH367" s="411"/>
      <c r="BI367" s="411"/>
      <c r="BJ367" s="409" t="s">
        <v>3106</v>
      </c>
      <c r="BK367" s="399"/>
      <c r="BL367" s="399"/>
      <c r="BM367" s="399"/>
      <c r="BN367" s="399"/>
      <c r="BO367" s="399"/>
      <c r="BP367" s="399"/>
      <c r="BQ367" s="399"/>
      <c r="BR367" s="399"/>
      <c r="BS367" s="407"/>
      <c r="BT367" s="407"/>
      <c r="BU367" s="412"/>
      <c r="BV367" s="46" t="str">
        <f t="shared" si="8"/>
        <v/>
      </c>
      <c r="BW367" s="46" t="str">
        <f t="shared" si="9"/>
        <v/>
      </c>
      <c r="BX367" s="46" t="str">
        <f t="shared" si="10"/>
        <v/>
      </c>
      <c r="BY367" s="43" t="str">
        <f t="shared" si="11"/>
        <v/>
      </c>
      <c r="BZ367" s="46">
        <f t="shared" si="12"/>
        <v>1</v>
      </c>
      <c r="CA367" s="46" t="str">
        <f t="shared" si="13"/>
        <v/>
      </c>
      <c r="CB367" s="46">
        <f t="shared" si="14"/>
        <v>1</v>
      </c>
      <c r="CC367" s="46">
        <f t="shared" si="15"/>
        <v>1</v>
      </c>
      <c r="CD367" s="46">
        <f t="shared" si="16"/>
        <v>1</v>
      </c>
      <c r="CE367" s="46">
        <f t="shared" si="17"/>
        <v>0</v>
      </c>
      <c r="CF367" s="46">
        <f t="shared" si="18"/>
        <v>0</v>
      </c>
      <c r="CG367" s="46" t="str">
        <f ca="1">IFERROR(__xludf.DUMMYFUNCTION("if(OR(BH367="""",LEFT(BH367,2)=""LA""),"""",IMPORTXML(CONCATENATE(""https://loinc.org/"",BH367,""/""),""//span[@id='lcn']""))"),"")</f>
        <v/>
      </c>
      <c r="CH367" s="46"/>
      <c r="CI367" s="46"/>
      <c r="CJ367" s="46"/>
      <c r="CK367" s="46"/>
      <c r="CL367" s="46"/>
      <c r="CM367" s="46"/>
      <c r="CN367" s="46"/>
      <c r="CO367" s="46"/>
      <c r="CP367" s="46"/>
      <c r="CQ367" s="46"/>
      <c r="CR367" s="46"/>
      <c r="CS367" s="46"/>
      <c r="CT367" s="46"/>
      <c r="CU367" s="46"/>
    </row>
    <row r="368" spans="1:99" ht="12.75" customHeight="1">
      <c r="A368" s="399">
        <v>1610</v>
      </c>
      <c r="B368" s="409" t="s">
        <v>5491</v>
      </c>
      <c r="C368" s="399">
        <f t="shared" si="42"/>
        <v>1610</v>
      </c>
      <c r="D368" s="399" t="e">
        <f t="shared" ca="1" si="62"/>
        <v>#NAME?</v>
      </c>
      <c r="E368" s="399" t="str">
        <f t="shared" si="44"/>
        <v>Acute or flare</v>
      </c>
      <c r="F368" s="410" t="s">
        <v>180</v>
      </c>
      <c r="G368" s="400">
        <v>23</v>
      </c>
      <c r="H368" s="399" t="s">
        <v>4475</v>
      </c>
      <c r="I368" s="400"/>
      <c r="J368" s="400"/>
      <c r="K368" s="401" t="s">
        <v>3333</v>
      </c>
      <c r="L368" s="402" t="s">
        <v>4518</v>
      </c>
      <c r="M368" s="400"/>
      <c r="N368" s="427" t="s">
        <v>4417</v>
      </c>
      <c r="O368" s="428"/>
      <c r="P368" s="407" t="s">
        <v>5492</v>
      </c>
      <c r="Q368" s="405"/>
      <c r="R368" s="403"/>
      <c r="S368" s="403" t="s">
        <v>5493</v>
      </c>
      <c r="T368" s="403"/>
      <c r="U368" s="407"/>
      <c r="V368" s="431" t="s">
        <v>5495</v>
      </c>
      <c r="W368" s="407"/>
      <c r="X368" s="407" t="s">
        <v>208</v>
      </c>
      <c r="Y368" s="407"/>
      <c r="Z368" s="403" t="s">
        <v>113</v>
      </c>
      <c r="AA368" s="403" t="s">
        <v>3178</v>
      </c>
      <c r="AB368" s="559" t="s">
        <v>4968</v>
      </c>
      <c r="AC368" s="421"/>
      <c r="AD368" s="421"/>
      <c r="AE368" s="432"/>
      <c r="AF368" s="407"/>
      <c r="AG368" s="407" t="s">
        <v>3851</v>
      </c>
      <c r="AH368" s="399"/>
      <c r="AI368" s="400"/>
      <c r="AJ368" s="399"/>
      <c r="AK368" s="440"/>
      <c r="AL368" s="409"/>
      <c r="AM368" s="409"/>
      <c r="AN368" s="409"/>
      <c r="AO368" s="399"/>
      <c r="AP368" s="409"/>
      <c r="AQ368" s="409" t="s">
        <v>3130</v>
      </c>
      <c r="AR368" s="409" t="s">
        <v>4478</v>
      </c>
      <c r="AS368" s="409"/>
      <c r="AT368" s="399"/>
      <c r="AU368" s="399" t="s">
        <v>5498</v>
      </c>
      <c r="AV368" s="399" t="str">
        <f t="shared" si="47"/>
        <v>Changed</v>
      </c>
      <c r="AW368" s="399"/>
      <c r="AX368" s="409" t="s">
        <v>3343</v>
      </c>
      <c r="AY368" s="399" t="e">
        <f t="shared" ca="1" si="63"/>
        <v>#NAME?</v>
      </c>
      <c r="AZ368" s="399"/>
      <c r="BA368" s="409">
        <v>1</v>
      </c>
      <c r="BB368" s="399"/>
      <c r="BC368" s="399"/>
      <c r="BD368" s="399"/>
      <c r="BE368" s="411" t="s">
        <v>5499</v>
      </c>
      <c r="BF368" s="411" t="s">
        <v>5500</v>
      </c>
      <c r="BG368" s="411" t="s">
        <v>5501</v>
      </c>
      <c r="BH368" s="411"/>
      <c r="BI368" s="411"/>
      <c r="BJ368" s="399"/>
      <c r="BK368" s="399"/>
      <c r="BL368" s="399"/>
      <c r="BM368" s="399"/>
      <c r="BN368" s="399"/>
      <c r="BO368" s="399">
        <v>149471</v>
      </c>
      <c r="BP368" s="399"/>
      <c r="BQ368" s="399"/>
      <c r="BR368" s="399"/>
      <c r="BS368" s="407"/>
      <c r="BT368" s="407"/>
      <c r="BU368" s="412"/>
      <c r="BV368" s="46" t="str">
        <f t="shared" si="8"/>
        <v/>
      </c>
      <c r="BW368" s="46">
        <f t="shared" si="9"/>
        <v>0</v>
      </c>
      <c r="BX368" s="46">
        <f t="shared" si="10"/>
        <v>0</v>
      </c>
      <c r="BY368" s="43" t="str">
        <f t="shared" si="11"/>
        <v>WHO-FP Condition (Medical Eligibility)</v>
      </c>
      <c r="BZ368" s="46">
        <f t="shared" si="12"/>
        <v>1</v>
      </c>
      <c r="CA368" s="46" t="str">
        <f t="shared" si="13"/>
        <v/>
      </c>
      <c r="CB368" s="46">
        <f t="shared" si="14"/>
        <v>1</v>
      </c>
      <c r="CC368" s="46">
        <f t="shared" si="15"/>
        <v>1</v>
      </c>
      <c r="CD368" s="46">
        <f t="shared" si="16"/>
        <v>1</v>
      </c>
      <c r="CE368" s="46">
        <f t="shared" si="17"/>
        <v>0</v>
      </c>
      <c r="CF368" s="46">
        <f t="shared" si="18"/>
        <v>0</v>
      </c>
      <c r="CG368" s="46" t="str">
        <f ca="1">IFERROR(__xludf.DUMMYFUNCTION("if(OR(BH368="""",LEFT(BH368,2)=""LA""),"""",IMPORTXML(CONCATENATE(""https://loinc.org/"",BH368,""/""),""//span[@id='lcn']""))"),"")</f>
        <v/>
      </c>
      <c r="CH368" s="46"/>
      <c r="CI368" s="46"/>
      <c r="CJ368" s="46"/>
      <c r="CK368" s="46"/>
      <c r="CL368" s="46"/>
      <c r="CM368" s="46"/>
      <c r="CN368" s="46"/>
      <c r="CO368" s="46"/>
      <c r="CP368" s="46"/>
      <c r="CQ368" s="46"/>
      <c r="CR368" s="46"/>
      <c r="CS368" s="46"/>
      <c r="CT368" s="46"/>
      <c r="CU368" s="46"/>
    </row>
    <row r="369" spans="1:99" ht="12.75" customHeight="1">
      <c r="A369" s="399">
        <v>1611</v>
      </c>
      <c r="B369" s="409" t="s">
        <v>5503</v>
      </c>
      <c r="C369" s="399">
        <f t="shared" si="42"/>
        <v>1611</v>
      </c>
      <c r="D369" s="399" t="e">
        <f t="shared" ca="1" si="62"/>
        <v>#NAME?</v>
      </c>
      <c r="E369" s="399" t="str">
        <f t="shared" si="44"/>
        <v>Carrier</v>
      </c>
      <c r="F369" s="410" t="s">
        <v>180</v>
      </c>
      <c r="G369" s="400">
        <v>23</v>
      </c>
      <c r="H369" s="399" t="s">
        <v>4475</v>
      </c>
      <c r="I369" s="400"/>
      <c r="J369" s="400"/>
      <c r="K369" s="401" t="s">
        <v>3333</v>
      </c>
      <c r="L369" s="402" t="s">
        <v>4518</v>
      </c>
      <c r="M369" s="400"/>
      <c r="N369" s="427" t="s">
        <v>4417</v>
      </c>
      <c r="O369" s="428"/>
      <c r="P369" s="407" t="s">
        <v>5504</v>
      </c>
      <c r="Q369" s="405"/>
      <c r="R369" s="403"/>
      <c r="S369" s="403" t="s">
        <v>5505</v>
      </c>
      <c r="T369" s="403"/>
      <c r="U369" s="407"/>
      <c r="V369" s="431" t="s">
        <v>5506</v>
      </c>
      <c r="W369" s="407"/>
      <c r="X369" s="407" t="s">
        <v>208</v>
      </c>
      <c r="Y369" s="407"/>
      <c r="Z369" s="403" t="s">
        <v>113</v>
      </c>
      <c r="AA369" s="403" t="s">
        <v>3178</v>
      </c>
      <c r="AB369" s="559" t="s">
        <v>4968</v>
      </c>
      <c r="AC369" s="421"/>
      <c r="AD369" s="421"/>
      <c r="AE369" s="432"/>
      <c r="AF369" s="407"/>
      <c r="AG369" s="407" t="s">
        <v>3851</v>
      </c>
      <c r="AH369" s="399"/>
      <c r="AI369" s="400"/>
      <c r="AJ369" s="399"/>
      <c r="AK369" s="440"/>
      <c r="AL369" s="409"/>
      <c r="AM369" s="409"/>
      <c r="AN369" s="409"/>
      <c r="AO369" s="399"/>
      <c r="AP369" s="409"/>
      <c r="AQ369" s="409" t="s">
        <v>3130</v>
      </c>
      <c r="AR369" s="409" t="s">
        <v>4478</v>
      </c>
      <c r="AS369" s="409"/>
      <c r="AT369" s="399"/>
      <c r="AU369" s="399" t="s">
        <v>5508</v>
      </c>
      <c r="AV369" s="399" t="str">
        <f t="shared" si="47"/>
        <v>Changed</v>
      </c>
      <c r="AW369" s="399"/>
      <c r="AX369" s="409" t="s">
        <v>3343</v>
      </c>
      <c r="AY369" s="399" t="e">
        <f t="shared" ca="1" si="63"/>
        <v>#NAME?</v>
      </c>
      <c r="AZ369" s="399"/>
      <c r="BA369" s="409">
        <v>1</v>
      </c>
      <c r="BB369" s="399"/>
      <c r="BC369" s="399"/>
      <c r="BD369" s="399"/>
      <c r="BE369" s="411"/>
      <c r="BF369" s="411"/>
      <c r="BG369" s="434" t="s">
        <v>5510</v>
      </c>
      <c r="BH369" s="411"/>
      <c r="BI369" s="411"/>
      <c r="BJ369" s="399"/>
      <c r="BK369" s="399"/>
      <c r="BL369" s="399"/>
      <c r="BM369" s="399"/>
      <c r="BN369" s="399"/>
      <c r="BO369" s="399"/>
      <c r="BP369" s="399"/>
      <c r="BQ369" s="399"/>
      <c r="BR369" s="399"/>
      <c r="BS369" s="407"/>
      <c r="BT369" s="407"/>
      <c r="BU369" s="412"/>
      <c r="BV369" s="46" t="str">
        <f t="shared" si="8"/>
        <v/>
      </c>
      <c r="BW369" s="46">
        <f t="shared" si="9"/>
        <v>0</v>
      </c>
      <c r="BX369" s="46">
        <f t="shared" si="10"/>
        <v>0</v>
      </c>
      <c r="BY369" s="43" t="str">
        <f t="shared" si="11"/>
        <v>WHO-FP Condition (Medical Eligibility)</v>
      </c>
      <c r="BZ369" s="46">
        <f t="shared" si="12"/>
        <v>1</v>
      </c>
      <c r="CA369" s="46" t="str">
        <f t="shared" si="13"/>
        <v/>
      </c>
      <c r="CB369" s="46">
        <f t="shared" si="14"/>
        <v>1</v>
      </c>
      <c r="CC369" s="46">
        <f t="shared" si="15"/>
        <v>1</v>
      </c>
      <c r="CD369" s="46">
        <f t="shared" si="16"/>
        <v>1</v>
      </c>
      <c r="CE369" s="46">
        <f t="shared" si="17"/>
        <v>0</v>
      </c>
      <c r="CF369" s="46">
        <f t="shared" si="18"/>
        <v>0</v>
      </c>
      <c r="CG369" s="46" t="str">
        <f ca="1">IFERROR(__xludf.DUMMYFUNCTION("if(OR(BH369="""",LEFT(BH369,2)=""LA""),"""",IMPORTXML(CONCATENATE(""https://loinc.org/"",BH369,""/""),""//span[@id='lcn']""))"),"")</f>
        <v/>
      </c>
      <c r="CH369" s="46"/>
      <c r="CI369" s="46"/>
      <c r="CJ369" s="46"/>
      <c r="CK369" s="46"/>
      <c r="CL369" s="46"/>
      <c r="CM369" s="46"/>
      <c r="CN369" s="46"/>
      <c r="CO369" s="46"/>
      <c r="CP369" s="46"/>
      <c r="CQ369" s="46"/>
      <c r="CR369" s="46"/>
      <c r="CS369" s="46"/>
      <c r="CT369" s="46"/>
      <c r="CU369" s="46"/>
    </row>
    <row r="370" spans="1:99" ht="12.75" customHeight="1">
      <c r="A370" s="399">
        <v>1612</v>
      </c>
      <c r="B370" s="409" t="s">
        <v>5511</v>
      </c>
      <c r="C370" s="399">
        <f t="shared" si="42"/>
        <v>1612</v>
      </c>
      <c r="D370" s="399" t="e">
        <f t="shared" ca="1" si="62"/>
        <v>#NAME?</v>
      </c>
      <c r="E370" s="399" t="str">
        <f t="shared" si="44"/>
        <v>Chronic</v>
      </c>
      <c r="F370" s="410" t="s">
        <v>180</v>
      </c>
      <c r="G370" s="400">
        <v>23</v>
      </c>
      <c r="H370" s="399" t="s">
        <v>4475</v>
      </c>
      <c r="I370" s="400"/>
      <c r="J370" s="400"/>
      <c r="K370" s="401" t="s">
        <v>3333</v>
      </c>
      <c r="L370" s="402" t="s">
        <v>4518</v>
      </c>
      <c r="M370" s="400"/>
      <c r="N370" s="427" t="s">
        <v>4417</v>
      </c>
      <c r="O370" s="428"/>
      <c r="P370" s="407" t="s">
        <v>5513</v>
      </c>
      <c r="Q370" s="405"/>
      <c r="R370" s="403"/>
      <c r="S370" s="403" t="s">
        <v>5514</v>
      </c>
      <c r="T370" s="403"/>
      <c r="U370" s="407"/>
      <c r="V370" s="431" t="s">
        <v>5515</v>
      </c>
      <c r="W370" s="407"/>
      <c r="X370" s="407" t="s">
        <v>208</v>
      </c>
      <c r="Y370" s="407"/>
      <c r="Z370" s="403" t="s">
        <v>113</v>
      </c>
      <c r="AA370" s="403" t="s">
        <v>3178</v>
      </c>
      <c r="AB370" s="559" t="s">
        <v>4968</v>
      </c>
      <c r="AC370" s="421"/>
      <c r="AD370" s="421"/>
      <c r="AE370" s="432"/>
      <c r="AF370" s="407"/>
      <c r="AG370" s="407" t="s">
        <v>3851</v>
      </c>
      <c r="AH370" s="399"/>
      <c r="AI370" s="400"/>
      <c r="AJ370" s="399"/>
      <c r="AK370" s="440"/>
      <c r="AL370" s="409"/>
      <c r="AM370" s="409"/>
      <c r="AN370" s="409"/>
      <c r="AO370" s="399"/>
      <c r="AP370" s="409"/>
      <c r="AQ370" s="409" t="s">
        <v>3130</v>
      </c>
      <c r="AR370" s="409" t="s">
        <v>4478</v>
      </c>
      <c r="AS370" s="409"/>
      <c r="AT370" s="399"/>
      <c r="AU370" s="399" t="s">
        <v>5516</v>
      </c>
      <c r="AV370" s="399" t="str">
        <f t="shared" si="47"/>
        <v>Changed</v>
      </c>
      <c r="AW370" s="399"/>
      <c r="AX370" s="409" t="s">
        <v>3343</v>
      </c>
      <c r="AY370" s="399" t="e">
        <f t="shared" ca="1" si="63"/>
        <v>#NAME?</v>
      </c>
      <c r="AZ370" s="399"/>
      <c r="BA370" s="409">
        <v>1</v>
      </c>
      <c r="BB370" s="399"/>
      <c r="BC370" s="399"/>
      <c r="BD370" s="399"/>
      <c r="BE370" s="411" t="s">
        <v>5517</v>
      </c>
      <c r="BF370" s="411" t="s">
        <v>5518</v>
      </c>
      <c r="BG370" s="411" t="s">
        <v>5519</v>
      </c>
      <c r="BH370" s="411"/>
      <c r="BI370" s="411"/>
      <c r="BJ370" s="399"/>
      <c r="BK370" s="399"/>
      <c r="BL370" s="399"/>
      <c r="BM370" s="399"/>
      <c r="BN370" s="399"/>
      <c r="BO370" s="399">
        <v>145131</v>
      </c>
      <c r="BP370" s="399"/>
      <c r="BQ370" s="399"/>
      <c r="BR370" s="399"/>
      <c r="BS370" s="407"/>
      <c r="BT370" s="407"/>
      <c r="BU370" s="412"/>
      <c r="BV370" s="46" t="str">
        <f t="shared" si="8"/>
        <v/>
      </c>
      <c r="BW370" s="46">
        <f t="shared" si="9"/>
        <v>0</v>
      </c>
      <c r="BX370" s="46">
        <f t="shared" si="10"/>
        <v>0</v>
      </c>
      <c r="BY370" s="43" t="str">
        <f t="shared" si="11"/>
        <v>WHO-FP Condition (Medical Eligibility)</v>
      </c>
      <c r="BZ370" s="46">
        <f t="shared" si="12"/>
        <v>1</v>
      </c>
      <c r="CA370" s="46" t="str">
        <f t="shared" si="13"/>
        <v/>
      </c>
      <c r="CB370" s="46">
        <f t="shared" si="14"/>
        <v>1</v>
      </c>
      <c r="CC370" s="46">
        <f t="shared" si="15"/>
        <v>1</v>
      </c>
      <c r="CD370" s="46">
        <f t="shared" si="16"/>
        <v>1</v>
      </c>
      <c r="CE370" s="46">
        <f t="shared" si="17"/>
        <v>0</v>
      </c>
      <c r="CF370" s="46">
        <f t="shared" si="18"/>
        <v>0</v>
      </c>
      <c r="CG370" s="46" t="str">
        <f ca="1">IFERROR(__xludf.DUMMYFUNCTION("if(OR(BH370="""",LEFT(BH370,2)=""LA""),"""",IMPORTXML(CONCATENATE(""https://loinc.org/"",BH370,""/""),""//span[@id='lcn']""))"),"")</f>
        <v/>
      </c>
      <c r="CH370" s="46"/>
      <c r="CI370" s="46"/>
      <c r="CJ370" s="46"/>
      <c r="CK370" s="46"/>
      <c r="CL370" s="46"/>
      <c r="CM370" s="46"/>
      <c r="CN370" s="46"/>
      <c r="CO370" s="46"/>
      <c r="CP370" s="46"/>
      <c r="CQ370" s="46"/>
      <c r="CR370" s="46"/>
      <c r="CS370" s="46"/>
      <c r="CT370" s="46"/>
      <c r="CU370" s="46"/>
    </row>
    <row r="371" spans="1:99" ht="12.75" customHeight="1">
      <c r="A371" s="399">
        <v>1613</v>
      </c>
      <c r="B371" s="409" t="s">
        <v>5521</v>
      </c>
      <c r="C371" s="399">
        <f t="shared" si="42"/>
        <v>1613</v>
      </c>
      <c r="D371" s="399" t="str">
        <f t="shared" si="62"/>
        <v>Cirrhosis</v>
      </c>
      <c r="E371" s="399" t="str">
        <f t="shared" si="44"/>
        <v>Cirrhosis</v>
      </c>
      <c r="F371" s="409" t="s">
        <v>3164</v>
      </c>
      <c r="G371" s="400">
        <f>LEN(B371)</f>
        <v>18</v>
      </c>
      <c r="H371" s="400" t="str">
        <f>IF(F371="Input Option",IF(H370="",B370,H370),"")</f>
        <v/>
      </c>
      <c r="I371" s="400"/>
      <c r="J371" s="400"/>
      <c r="K371" s="401" t="s">
        <v>3333</v>
      </c>
      <c r="L371" s="402" t="s">
        <v>4518</v>
      </c>
      <c r="M371" s="400"/>
      <c r="N371" s="427" t="s">
        <v>4417</v>
      </c>
      <c r="O371" s="428"/>
      <c r="P371" s="407" t="s">
        <v>5524</v>
      </c>
      <c r="Q371" s="405" t="s">
        <v>5397</v>
      </c>
      <c r="R371" s="403"/>
      <c r="S371" s="403" t="s">
        <v>5399</v>
      </c>
      <c r="T371" s="403" t="s">
        <v>3339</v>
      </c>
      <c r="U371" s="432" t="s">
        <v>3326</v>
      </c>
      <c r="V371" s="403"/>
      <c r="W371" s="407"/>
      <c r="X371" s="407" t="s">
        <v>208</v>
      </c>
      <c r="Y371" s="407"/>
      <c r="Z371" s="403" t="s">
        <v>113</v>
      </c>
      <c r="AA371" s="403" t="s">
        <v>3178</v>
      </c>
      <c r="AB371" s="559" t="s">
        <v>5527</v>
      </c>
      <c r="AC371" s="421"/>
      <c r="AD371" s="421"/>
      <c r="AE371" s="432"/>
      <c r="AF371" s="407"/>
      <c r="AG371" s="407" t="s">
        <v>3851</v>
      </c>
      <c r="AH371" s="399"/>
      <c r="AI371" s="400"/>
      <c r="AJ371" s="399"/>
      <c r="AK371" s="399"/>
      <c r="AL371" s="399"/>
      <c r="AM371" s="399"/>
      <c r="AN371" s="399"/>
      <c r="AO371" s="399"/>
      <c r="AP371" s="399"/>
      <c r="AQ371" s="409" t="s">
        <v>115</v>
      </c>
      <c r="AR371" s="399"/>
      <c r="AS371" s="399"/>
      <c r="AT371" s="399"/>
      <c r="AU371" s="399" t="s">
        <v>5397</v>
      </c>
      <c r="AV371" s="399" t="str">
        <f t="shared" si="47"/>
        <v>Changed</v>
      </c>
      <c r="AW371" s="399"/>
      <c r="AX371" s="409" t="s">
        <v>3343</v>
      </c>
      <c r="AY371" s="399" t="str">
        <f t="shared" si="63"/>
        <v>"Cirrhosis"-&gt;"Header - Cirrhosis"</v>
      </c>
      <c r="AZ371" s="399"/>
      <c r="BA371" s="409">
        <v>0</v>
      </c>
      <c r="BB371" s="399"/>
      <c r="BC371" s="399"/>
      <c r="BD371" s="409" t="s">
        <v>3162</v>
      </c>
      <c r="BE371" s="411"/>
      <c r="BF371" s="411"/>
      <c r="BG371" s="411" t="s">
        <v>5401</v>
      </c>
      <c r="BH371" s="411"/>
      <c r="BI371" s="411"/>
      <c r="BJ371" s="409" t="s">
        <v>3106</v>
      </c>
      <c r="BK371" s="399"/>
      <c r="BL371" s="399"/>
      <c r="BM371" s="399"/>
      <c r="BN371" s="399"/>
      <c r="BO371" s="399"/>
      <c r="BP371" s="399"/>
      <c r="BQ371" s="399"/>
      <c r="BR371" s="399"/>
      <c r="BS371" s="407"/>
      <c r="BT371" s="407"/>
      <c r="BU371" s="412"/>
      <c r="BV371" s="46" t="str">
        <f t="shared" si="8"/>
        <v/>
      </c>
      <c r="BW371" s="46" t="str">
        <f t="shared" si="9"/>
        <v/>
      </c>
      <c r="BX371" s="46" t="str">
        <f t="shared" si="10"/>
        <v/>
      </c>
      <c r="BY371" s="43" t="str">
        <f t="shared" si="11"/>
        <v/>
      </c>
      <c r="BZ371" s="46">
        <f t="shared" si="12"/>
        <v>1</v>
      </c>
      <c r="CA371" s="46" t="str">
        <f t="shared" si="13"/>
        <v/>
      </c>
      <c r="CB371" s="46">
        <f t="shared" si="14"/>
        <v>1</v>
      </c>
      <c r="CC371" s="46">
        <f t="shared" si="15"/>
        <v>1</v>
      </c>
      <c r="CD371" s="46">
        <f t="shared" si="16"/>
        <v>1</v>
      </c>
      <c r="CE371" s="46">
        <f t="shared" si="17"/>
        <v>0</v>
      </c>
      <c r="CF371" s="46">
        <f t="shared" si="18"/>
        <v>0</v>
      </c>
      <c r="CG371" s="46" t="str">
        <f ca="1">IFERROR(__xludf.DUMMYFUNCTION("if(OR(BH371="""",LEFT(BH371,2)=""LA""),"""",IMPORTXML(CONCATENATE(""https://loinc.org/"",BH371,""/""),""//span[@id='lcn']""))"),"")</f>
        <v/>
      </c>
      <c r="CH371" s="46"/>
      <c r="CI371" s="46"/>
      <c r="CJ371" s="46"/>
      <c r="CK371" s="46"/>
      <c r="CL371" s="46"/>
      <c r="CM371" s="46"/>
      <c r="CN371" s="46"/>
      <c r="CO371" s="46"/>
      <c r="CP371" s="46"/>
      <c r="CQ371" s="46"/>
      <c r="CR371" s="46"/>
      <c r="CS371" s="46"/>
      <c r="CT371" s="46"/>
      <c r="CU371" s="46"/>
    </row>
    <row r="372" spans="1:99" ht="12.75" customHeight="1">
      <c r="A372" s="399">
        <v>1614</v>
      </c>
      <c r="B372" s="409" t="s">
        <v>5531</v>
      </c>
      <c r="C372" s="399">
        <f t="shared" si="42"/>
        <v>1614</v>
      </c>
      <c r="D372" s="399" t="e">
        <f t="shared" ca="1" si="62"/>
        <v>#NAME?</v>
      </c>
      <c r="E372" s="399" t="str">
        <f t="shared" si="44"/>
        <v>Mild (compensated)</v>
      </c>
      <c r="F372" s="410" t="s">
        <v>180</v>
      </c>
      <c r="G372" s="400">
        <v>23</v>
      </c>
      <c r="H372" s="399" t="s">
        <v>4475</v>
      </c>
      <c r="I372" s="400"/>
      <c r="J372" s="400"/>
      <c r="K372" s="401" t="s">
        <v>3333</v>
      </c>
      <c r="L372" s="402" t="s">
        <v>4518</v>
      </c>
      <c r="M372" s="400"/>
      <c r="N372" s="427" t="s">
        <v>4417</v>
      </c>
      <c r="O372" s="428"/>
      <c r="P372" s="407" t="s">
        <v>5533</v>
      </c>
      <c r="Q372" s="405"/>
      <c r="R372" s="403"/>
      <c r="S372" s="403" t="s">
        <v>5534</v>
      </c>
      <c r="T372" s="403"/>
      <c r="U372" s="407"/>
      <c r="V372" s="429" t="s">
        <v>5535</v>
      </c>
      <c r="W372" s="407"/>
      <c r="X372" s="407" t="s">
        <v>208</v>
      </c>
      <c r="Y372" s="407"/>
      <c r="Z372" s="403" t="s">
        <v>113</v>
      </c>
      <c r="AA372" s="403" t="s">
        <v>3178</v>
      </c>
      <c r="AB372" s="559" t="s">
        <v>4968</v>
      </c>
      <c r="AC372" s="421"/>
      <c r="AD372" s="421"/>
      <c r="AE372" s="432"/>
      <c r="AF372" s="407"/>
      <c r="AG372" s="407" t="s">
        <v>3851</v>
      </c>
      <c r="AH372" s="399"/>
      <c r="AI372" s="400"/>
      <c r="AJ372" s="399"/>
      <c r="AK372" s="440"/>
      <c r="AL372" s="409"/>
      <c r="AM372" s="409"/>
      <c r="AN372" s="409"/>
      <c r="AO372" s="399"/>
      <c r="AP372" s="409"/>
      <c r="AQ372" s="409" t="s">
        <v>3130</v>
      </c>
      <c r="AR372" s="409" t="s">
        <v>4478</v>
      </c>
      <c r="AS372" s="409"/>
      <c r="AT372" s="399"/>
      <c r="AU372" s="399" t="s">
        <v>5537</v>
      </c>
      <c r="AV372" s="399" t="str">
        <f t="shared" si="47"/>
        <v>Changed</v>
      </c>
      <c r="AW372" s="399"/>
      <c r="AX372" s="409" t="s">
        <v>3343</v>
      </c>
      <c r="AY372" s="399" t="e">
        <f t="shared" ca="1" si="63"/>
        <v>#NAME?</v>
      </c>
      <c r="AZ372" s="399"/>
      <c r="BA372" s="409">
        <v>1</v>
      </c>
      <c r="BB372" s="399"/>
      <c r="BC372" s="399"/>
      <c r="BD372" s="409" t="s">
        <v>5538</v>
      </c>
      <c r="BE372" s="411"/>
      <c r="BF372" s="411"/>
      <c r="BG372" s="434" t="s">
        <v>5539</v>
      </c>
      <c r="BH372" s="411"/>
      <c r="BI372" s="411"/>
      <c r="BJ372" s="399"/>
      <c r="BK372" s="399"/>
      <c r="BL372" s="399"/>
      <c r="BM372" s="399"/>
      <c r="BN372" s="399"/>
      <c r="BO372" s="399"/>
      <c r="BP372" s="399"/>
      <c r="BQ372" s="399"/>
      <c r="BR372" s="399"/>
      <c r="BS372" s="407"/>
      <c r="BT372" s="407"/>
      <c r="BU372" s="412"/>
      <c r="BV372" s="46" t="str">
        <f t="shared" si="8"/>
        <v/>
      </c>
      <c r="BW372" s="46">
        <f t="shared" si="9"/>
        <v>0</v>
      </c>
      <c r="BX372" s="46">
        <f t="shared" si="10"/>
        <v>0</v>
      </c>
      <c r="BY372" s="43" t="str">
        <f t="shared" si="11"/>
        <v>WHO-FP Condition (Medical Eligibility)</v>
      </c>
      <c r="BZ372" s="46">
        <f t="shared" si="12"/>
        <v>1</v>
      </c>
      <c r="CA372" s="46" t="str">
        <f t="shared" si="13"/>
        <v/>
      </c>
      <c r="CB372" s="46">
        <f t="shared" si="14"/>
        <v>1</v>
      </c>
      <c r="CC372" s="46">
        <f t="shared" si="15"/>
        <v>1</v>
      </c>
      <c r="CD372" s="46">
        <f t="shared" si="16"/>
        <v>1</v>
      </c>
      <c r="CE372" s="46">
        <f t="shared" si="17"/>
        <v>0</v>
      </c>
      <c r="CF372" s="46">
        <f t="shared" si="18"/>
        <v>0</v>
      </c>
      <c r="CG372" s="46" t="str">
        <f ca="1">IFERROR(__xludf.DUMMYFUNCTION("if(OR(BH372="""",LEFT(BH372,2)=""LA""),"""",IMPORTXML(CONCATENATE(""https://loinc.org/"",BH372,""/""),""//span[@id='lcn']""))"),"")</f>
        <v/>
      </c>
      <c r="CH372" s="46"/>
      <c r="CI372" s="46"/>
      <c r="CJ372" s="46"/>
      <c r="CK372" s="46"/>
      <c r="CL372" s="46"/>
      <c r="CM372" s="46"/>
      <c r="CN372" s="46"/>
      <c r="CO372" s="46"/>
      <c r="CP372" s="46"/>
      <c r="CQ372" s="46"/>
      <c r="CR372" s="46"/>
      <c r="CS372" s="46"/>
      <c r="CT372" s="46"/>
      <c r="CU372" s="46"/>
    </row>
    <row r="373" spans="1:99" ht="12.75" customHeight="1">
      <c r="A373" s="399">
        <v>1615</v>
      </c>
      <c r="B373" s="409" t="s">
        <v>5541</v>
      </c>
      <c r="C373" s="399">
        <f t="shared" si="42"/>
        <v>1615</v>
      </c>
      <c r="D373" s="399" t="e">
        <f t="shared" ca="1" si="62"/>
        <v>#NAME?</v>
      </c>
      <c r="E373" s="399" t="str">
        <f t="shared" si="44"/>
        <v>Severe (decompensated)</v>
      </c>
      <c r="F373" s="410" t="s">
        <v>180</v>
      </c>
      <c r="G373" s="400">
        <v>23</v>
      </c>
      <c r="H373" s="399" t="s">
        <v>4475</v>
      </c>
      <c r="I373" s="400"/>
      <c r="J373" s="400"/>
      <c r="K373" s="401" t="s">
        <v>3333</v>
      </c>
      <c r="L373" s="402" t="s">
        <v>4518</v>
      </c>
      <c r="M373" s="400"/>
      <c r="N373" s="427" t="s">
        <v>4417</v>
      </c>
      <c r="O373" s="428"/>
      <c r="P373" s="407" t="s">
        <v>5542</v>
      </c>
      <c r="Q373" s="405"/>
      <c r="R373" s="403"/>
      <c r="S373" s="403" t="s">
        <v>5543</v>
      </c>
      <c r="T373" s="403"/>
      <c r="U373" s="407"/>
      <c r="V373" s="429" t="s">
        <v>5544</v>
      </c>
      <c r="W373" s="407"/>
      <c r="X373" s="407" t="s">
        <v>208</v>
      </c>
      <c r="Y373" s="407"/>
      <c r="Z373" s="403" t="s">
        <v>113</v>
      </c>
      <c r="AA373" s="403" t="s">
        <v>3178</v>
      </c>
      <c r="AB373" s="559" t="s">
        <v>4968</v>
      </c>
      <c r="AC373" s="421"/>
      <c r="AD373" s="421"/>
      <c r="AE373" s="432"/>
      <c r="AF373" s="407"/>
      <c r="AG373" s="407" t="s">
        <v>3851</v>
      </c>
      <c r="AH373" s="399"/>
      <c r="AI373" s="400"/>
      <c r="AJ373" s="399"/>
      <c r="AK373" s="440"/>
      <c r="AL373" s="409"/>
      <c r="AM373" s="409"/>
      <c r="AN373" s="409"/>
      <c r="AO373" s="399"/>
      <c r="AP373" s="409"/>
      <c r="AQ373" s="409" t="s">
        <v>3130</v>
      </c>
      <c r="AR373" s="409" t="s">
        <v>4478</v>
      </c>
      <c r="AS373" s="409"/>
      <c r="AT373" s="399"/>
      <c r="AU373" s="399" t="s">
        <v>5545</v>
      </c>
      <c r="AV373" s="399" t="str">
        <f t="shared" si="47"/>
        <v>Changed</v>
      </c>
      <c r="AW373" s="399"/>
      <c r="AX373" s="409" t="s">
        <v>3343</v>
      </c>
      <c r="AY373" s="399" t="e">
        <f t="shared" ca="1" si="63"/>
        <v>#NAME?</v>
      </c>
      <c r="AZ373" s="399"/>
      <c r="BA373" s="409">
        <v>1</v>
      </c>
      <c r="BB373" s="399"/>
      <c r="BC373" s="399"/>
      <c r="BD373" s="409" t="s">
        <v>5547</v>
      </c>
      <c r="BE373" s="411"/>
      <c r="BF373" s="411"/>
      <c r="BG373" s="434" t="s">
        <v>5548</v>
      </c>
      <c r="BH373" s="411"/>
      <c r="BI373" s="411"/>
      <c r="BJ373" s="399"/>
      <c r="BK373" s="399"/>
      <c r="BL373" s="399"/>
      <c r="BM373" s="399"/>
      <c r="BN373" s="399"/>
      <c r="BO373" s="399"/>
      <c r="BP373" s="399"/>
      <c r="BQ373" s="399"/>
      <c r="BR373" s="399"/>
      <c r="BS373" s="407"/>
      <c r="BT373" s="407"/>
      <c r="BU373" s="412"/>
      <c r="BV373" s="46" t="str">
        <f t="shared" si="8"/>
        <v/>
      </c>
      <c r="BW373" s="46">
        <f t="shared" si="9"/>
        <v>0</v>
      </c>
      <c r="BX373" s="46">
        <f t="shared" si="10"/>
        <v>0</v>
      </c>
      <c r="BY373" s="43" t="str">
        <f t="shared" si="11"/>
        <v>WHO-FP Condition (Medical Eligibility)</v>
      </c>
      <c r="BZ373" s="46">
        <f t="shared" si="12"/>
        <v>1</v>
      </c>
      <c r="CA373" s="46" t="str">
        <f t="shared" si="13"/>
        <v/>
      </c>
      <c r="CB373" s="46">
        <f t="shared" si="14"/>
        <v>1</v>
      </c>
      <c r="CC373" s="46">
        <f t="shared" si="15"/>
        <v>1</v>
      </c>
      <c r="CD373" s="46">
        <f t="shared" si="16"/>
        <v>1</v>
      </c>
      <c r="CE373" s="46">
        <f t="shared" si="17"/>
        <v>0</v>
      </c>
      <c r="CF373" s="46">
        <f t="shared" si="18"/>
        <v>0</v>
      </c>
      <c r="CG373" s="46" t="str">
        <f ca="1">IFERROR(__xludf.DUMMYFUNCTION("if(OR(BH373="""",LEFT(BH373,2)=""LA""),"""",IMPORTXML(CONCATENATE(""https://loinc.org/"",BH373,""/""),""//span[@id='lcn']""))"),"")</f>
        <v/>
      </c>
      <c r="CH373" s="46"/>
      <c r="CI373" s="46"/>
      <c r="CJ373" s="46"/>
      <c r="CK373" s="46"/>
      <c r="CL373" s="46"/>
      <c r="CM373" s="46"/>
      <c r="CN373" s="46"/>
      <c r="CO373" s="46"/>
      <c r="CP373" s="46"/>
      <c r="CQ373" s="46"/>
      <c r="CR373" s="46"/>
      <c r="CS373" s="46"/>
      <c r="CT373" s="46"/>
      <c r="CU373" s="46"/>
    </row>
    <row r="374" spans="1:99" ht="12.75" customHeight="1">
      <c r="A374" s="399">
        <v>1616</v>
      </c>
      <c r="B374" s="399" t="s">
        <v>5549</v>
      </c>
      <c r="C374" s="399">
        <f t="shared" si="42"/>
        <v>1616</v>
      </c>
      <c r="D374" s="399" t="str">
        <f t="shared" si="62"/>
        <v>Liver diseases</v>
      </c>
      <c r="E374" s="399" t="str">
        <f t="shared" si="44"/>
        <v>Liver diseases</v>
      </c>
      <c r="F374" s="409" t="s">
        <v>3164</v>
      </c>
      <c r="G374" s="400">
        <f>LEN(B374)</f>
        <v>14</v>
      </c>
      <c r="H374" s="400" t="str">
        <f>IF(F374="Input Option",IF(H373="",B373,H373),"")</f>
        <v/>
      </c>
      <c r="I374" s="400"/>
      <c r="J374" s="400"/>
      <c r="K374" s="401" t="s">
        <v>3333</v>
      </c>
      <c r="L374" s="402" t="s">
        <v>4518</v>
      </c>
      <c r="M374" s="400"/>
      <c r="N374" s="427" t="s">
        <v>4417</v>
      </c>
      <c r="O374" s="428"/>
      <c r="P374" s="407" t="s">
        <v>5551</v>
      </c>
      <c r="Q374" s="405" t="s">
        <v>5549</v>
      </c>
      <c r="R374" s="403"/>
      <c r="S374" s="403" t="s">
        <v>5552</v>
      </c>
      <c r="T374" s="403" t="s">
        <v>3339</v>
      </c>
      <c r="U374" s="432" t="s">
        <v>3326</v>
      </c>
      <c r="V374" s="403"/>
      <c r="W374" s="407"/>
      <c r="X374" s="407" t="s">
        <v>208</v>
      </c>
      <c r="Y374" s="407"/>
      <c r="Z374" s="403" t="s">
        <v>113</v>
      </c>
      <c r="AA374" s="403" t="s">
        <v>3178</v>
      </c>
      <c r="AB374" s="432" t="s">
        <v>5482</v>
      </c>
      <c r="AC374" s="421"/>
      <c r="AD374" s="421"/>
      <c r="AE374" s="432"/>
      <c r="AF374" s="407"/>
      <c r="AG374" s="407" t="s">
        <v>3851</v>
      </c>
      <c r="AH374" s="399"/>
      <c r="AI374" s="400"/>
      <c r="AJ374" s="399"/>
      <c r="AK374" s="399"/>
      <c r="AL374" s="399"/>
      <c r="AM374" s="399"/>
      <c r="AN374" s="399"/>
      <c r="AO374" s="399"/>
      <c r="AP374" s="399"/>
      <c r="AQ374" s="409" t="s">
        <v>115</v>
      </c>
      <c r="AR374" s="399"/>
      <c r="AS374" s="399"/>
      <c r="AT374" s="399"/>
      <c r="AU374" s="399" t="s">
        <v>5549</v>
      </c>
      <c r="AV374" s="399" t="str">
        <f t="shared" si="47"/>
        <v>Same</v>
      </c>
      <c r="AW374" s="399"/>
      <c r="AX374" s="409" t="s">
        <v>3343</v>
      </c>
      <c r="AY374" s="399" t="str">
        <f t="shared" si="63"/>
        <v/>
      </c>
      <c r="AZ374" s="399"/>
      <c r="BA374" s="409">
        <v>0</v>
      </c>
      <c r="BB374" s="399"/>
      <c r="BC374" s="399"/>
      <c r="BD374" s="399"/>
      <c r="BE374" s="411" t="s">
        <v>5553</v>
      </c>
      <c r="BF374" s="411" t="s">
        <v>5554</v>
      </c>
      <c r="BG374" s="411" t="s">
        <v>5555</v>
      </c>
      <c r="BH374" s="411"/>
      <c r="BI374" s="411"/>
      <c r="BJ374" s="399" t="s">
        <v>3106</v>
      </c>
      <c r="BK374" s="399"/>
      <c r="BL374" s="399"/>
      <c r="BM374" s="399"/>
      <c r="BN374" s="399"/>
      <c r="BO374" s="399">
        <v>159098</v>
      </c>
      <c r="BP374" s="399"/>
      <c r="BQ374" s="399"/>
      <c r="BR374" s="399"/>
      <c r="BS374" s="407"/>
      <c r="BT374" s="407"/>
      <c r="BU374" s="412"/>
      <c r="BV374" s="46" t="str">
        <f t="shared" si="8"/>
        <v/>
      </c>
      <c r="BW374" s="46" t="str">
        <f t="shared" si="9"/>
        <v/>
      </c>
      <c r="BX374" s="46" t="str">
        <f t="shared" si="10"/>
        <v/>
      </c>
      <c r="BY374" s="43" t="str">
        <f t="shared" si="11"/>
        <v/>
      </c>
      <c r="BZ374" s="46">
        <f t="shared" si="12"/>
        <v>1</v>
      </c>
      <c r="CA374" s="46" t="str">
        <f t="shared" si="13"/>
        <v/>
      </c>
      <c r="CB374" s="46">
        <f t="shared" si="14"/>
        <v>1</v>
      </c>
      <c r="CC374" s="46">
        <f t="shared" si="15"/>
        <v>1</v>
      </c>
      <c r="CD374" s="46">
        <f t="shared" si="16"/>
        <v>1</v>
      </c>
      <c r="CE374" s="46">
        <f t="shared" si="17"/>
        <v>0</v>
      </c>
      <c r="CF374" s="46">
        <f t="shared" si="18"/>
        <v>0</v>
      </c>
      <c r="CG374" s="46" t="str">
        <f ca="1">IFERROR(__xludf.DUMMYFUNCTION("if(OR(BH374="""",LEFT(BH374,2)=""LA""),"""",IMPORTXML(CONCATENATE(""https://loinc.org/"",BH374,""/""),""//span[@id='lcn']""))"),"")</f>
        <v/>
      </c>
      <c r="CH374" s="46"/>
      <c r="CI374" s="46"/>
      <c r="CJ374" s="46"/>
      <c r="CK374" s="46"/>
      <c r="CL374" s="46"/>
      <c r="CM374" s="46"/>
      <c r="CN374" s="46"/>
      <c r="CO374" s="46"/>
      <c r="CP374" s="46"/>
      <c r="CQ374" s="46"/>
      <c r="CR374" s="46"/>
      <c r="CS374" s="46"/>
      <c r="CT374" s="46"/>
      <c r="CU374" s="46"/>
    </row>
    <row r="375" spans="1:99" ht="12.75" customHeight="1">
      <c r="A375" s="399">
        <v>1617</v>
      </c>
      <c r="B375" s="409" t="s">
        <v>5556</v>
      </c>
      <c r="C375" s="399">
        <f t="shared" si="42"/>
        <v>1617</v>
      </c>
      <c r="D375" s="399" t="e">
        <f t="shared" ca="1" si="62"/>
        <v>#NAME?</v>
      </c>
      <c r="E375" s="399" t="str">
        <f t="shared" si="44"/>
        <v>Liver tumour (carcinoma/hepatoma (malignant))</v>
      </c>
      <c r="F375" s="410" t="s">
        <v>180</v>
      </c>
      <c r="G375" s="400">
        <v>23</v>
      </c>
      <c r="H375" s="399" t="s">
        <v>4475</v>
      </c>
      <c r="I375" s="400"/>
      <c r="J375" s="400"/>
      <c r="K375" s="401" t="s">
        <v>3333</v>
      </c>
      <c r="L375" s="402" t="s">
        <v>4518</v>
      </c>
      <c r="M375" s="400"/>
      <c r="N375" s="427" t="s">
        <v>4417</v>
      </c>
      <c r="O375" s="428"/>
      <c r="P375" s="407" t="s">
        <v>5557</v>
      </c>
      <c r="Q375" s="405"/>
      <c r="R375" s="403"/>
      <c r="S375" s="403"/>
      <c r="T375" s="403"/>
      <c r="U375" s="407"/>
      <c r="V375" s="606" t="s">
        <v>5556</v>
      </c>
      <c r="W375" s="407"/>
      <c r="X375" s="407" t="s">
        <v>208</v>
      </c>
      <c r="Y375" s="407"/>
      <c r="Z375" s="403" t="s">
        <v>113</v>
      </c>
      <c r="AA375" s="403" t="s">
        <v>3178</v>
      </c>
      <c r="AB375" s="559" t="s">
        <v>4968</v>
      </c>
      <c r="AC375" s="421"/>
      <c r="AD375" s="421"/>
      <c r="AE375" s="432"/>
      <c r="AF375" s="407"/>
      <c r="AG375" s="407" t="s">
        <v>3851</v>
      </c>
      <c r="AH375" s="399"/>
      <c r="AI375" s="400"/>
      <c r="AJ375" s="399"/>
      <c r="AK375" s="440"/>
      <c r="AL375" s="409"/>
      <c r="AM375" s="409"/>
      <c r="AN375" s="409"/>
      <c r="AO375" s="399"/>
      <c r="AP375" s="409"/>
      <c r="AQ375" s="409" t="s">
        <v>3130</v>
      </c>
      <c r="AR375" s="409" t="s">
        <v>4478</v>
      </c>
      <c r="AS375" s="409"/>
      <c r="AT375" s="399"/>
      <c r="AU375" s="399" t="s">
        <v>5558</v>
      </c>
      <c r="AV375" s="399" t="str">
        <f t="shared" si="47"/>
        <v>Changed</v>
      </c>
      <c r="AW375" s="399"/>
      <c r="AX375" s="409" t="s">
        <v>3343</v>
      </c>
      <c r="AY375" s="399" t="e">
        <f t="shared" ca="1" si="63"/>
        <v>#NAME?</v>
      </c>
      <c r="AZ375" s="399"/>
      <c r="BA375" s="409">
        <v>1</v>
      </c>
      <c r="BB375" s="399"/>
      <c r="BC375" s="399"/>
      <c r="BD375" s="409" t="s">
        <v>3162</v>
      </c>
      <c r="BE375" s="411"/>
      <c r="BF375" s="411"/>
      <c r="BG375" s="434" t="s">
        <v>5559</v>
      </c>
      <c r="BH375" s="411"/>
      <c r="BI375" s="411"/>
      <c r="BJ375" s="399"/>
      <c r="BK375" s="399"/>
      <c r="BL375" s="399"/>
      <c r="BM375" s="399"/>
      <c r="BN375" s="399"/>
      <c r="BO375" s="399"/>
      <c r="BP375" s="399"/>
      <c r="BQ375" s="399"/>
      <c r="BR375" s="399"/>
      <c r="BS375" s="407"/>
      <c r="BT375" s="407"/>
      <c r="BU375" s="412"/>
      <c r="BV375" s="46" t="str">
        <f t="shared" si="8"/>
        <v/>
      </c>
      <c r="BW375" s="46">
        <f t="shared" si="9"/>
        <v>0</v>
      </c>
      <c r="BX375" s="46">
        <f t="shared" si="10"/>
        <v>0</v>
      </c>
      <c r="BY375" s="43" t="str">
        <f t="shared" si="11"/>
        <v>WHO-FP Condition (Medical Eligibility)</v>
      </c>
      <c r="BZ375" s="46">
        <f t="shared" si="12"/>
        <v>1</v>
      </c>
      <c r="CA375" s="46" t="str">
        <f t="shared" si="13"/>
        <v/>
      </c>
      <c r="CB375" s="46">
        <f t="shared" si="14"/>
        <v>1</v>
      </c>
      <c r="CC375" s="46">
        <f t="shared" si="15"/>
        <v>1</v>
      </c>
      <c r="CD375" s="46">
        <f t="shared" si="16"/>
        <v>1</v>
      </c>
      <c r="CE375" s="46">
        <f t="shared" si="17"/>
        <v>0</v>
      </c>
      <c r="CF375" s="46">
        <f t="shared" si="18"/>
        <v>0</v>
      </c>
      <c r="CG375" s="46" t="str">
        <f ca="1">IFERROR(__xludf.DUMMYFUNCTION("if(OR(BH375="""",LEFT(BH375,2)=""LA""),"""",IMPORTXML(CONCATENATE(""https://loinc.org/"",BH375,""/""),""//span[@id='lcn']""))"),"")</f>
        <v/>
      </c>
      <c r="CH375" s="46"/>
      <c r="CI375" s="46"/>
      <c r="CJ375" s="46"/>
      <c r="CK375" s="46"/>
      <c r="CL375" s="46"/>
      <c r="CM375" s="46"/>
      <c r="CN375" s="46"/>
      <c r="CO375" s="46"/>
      <c r="CP375" s="46"/>
      <c r="CQ375" s="46"/>
      <c r="CR375" s="46"/>
      <c r="CS375" s="46"/>
      <c r="CT375" s="46"/>
      <c r="CU375" s="46"/>
    </row>
    <row r="376" spans="1:99" ht="12.75" customHeight="1">
      <c r="A376" s="399">
        <v>1618</v>
      </c>
      <c r="B376" s="409" t="s">
        <v>5561</v>
      </c>
      <c r="C376" s="399">
        <f t="shared" si="42"/>
        <v>1618</v>
      </c>
      <c r="D376" s="399" t="e">
        <f t="shared" ca="1" si="62"/>
        <v>#NAME?</v>
      </c>
      <c r="E376" s="399" t="str">
        <f t="shared" si="44"/>
        <v xml:space="preserve">Liver tumour (hepatocellular adenoma (benign) </v>
      </c>
      <c r="F376" s="410" t="s">
        <v>180</v>
      </c>
      <c r="G376" s="400">
        <v>23</v>
      </c>
      <c r="H376" s="399" t="s">
        <v>4475</v>
      </c>
      <c r="I376" s="400"/>
      <c r="J376" s="400"/>
      <c r="K376" s="401" t="s">
        <v>3333</v>
      </c>
      <c r="L376" s="402" t="s">
        <v>4518</v>
      </c>
      <c r="M376" s="400"/>
      <c r="N376" s="427" t="s">
        <v>4417</v>
      </c>
      <c r="O376" s="428"/>
      <c r="P376" s="407" t="s">
        <v>5562</v>
      </c>
      <c r="Q376" s="405"/>
      <c r="R376" s="403"/>
      <c r="S376" s="403"/>
      <c r="T376" s="403"/>
      <c r="U376" s="407"/>
      <c r="V376" s="606" t="s">
        <v>5561</v>
      </c>
      <c r="W376" s="407"/>
      <c r="X376" s="407" t="s">
        <v>208</v>
      </c>
      <c r="Y376" s="407"/>
      <c r="Z376" s="403" t="s">
        <v>113</v>
      </c>
      <c r="AA376" s="403" t="s">
        <v>3178</v>
      </c>
      <c r="AB376" s="559" t="s">
        <v>4968</v>
      </c>
      <c r="AC376" s="421"/>
      <c r="AD376" s="421"/>
      <c r="AE376" s="432"/>
      <c r="AF376" s="407"/>
      <c r="AG376" s="407" t="s">
        <v>3851</v>
      </c>
      <c r="AH376" s="399"/>
      <c r="AI376" s="400"/>
      <c r="AJ376" s="399"/>
      <c r="AK376" s="440"/>
      <c r="AL376" s="409"/>
      <c r="AM376" s="409"/>
      <c r="AN376" s="409"/>
      <c r="AO376" s="399"/>
      <c r="AP376" s="409"/>
      <c r="AQ376" s="409" t="s">
        <v>3130</v>
      </c>
      <c r="AR376" s="409" t="s">
        <v>4478</v>
      </c>
      <c r="AS376" s="409"/>
      <c r="AT376" s="399"/>
      <c r="AU376" s="399" t="s">
        <v>5563</v>
      </c>
      <c r="AV376" s="399" t="str">
        <f t="shared" si="47"/>
        <v>Changed</v>
      </c>
      <c r="AW376" s="399"/>
      <c r="AX376" s="409" t="s">
        <v>3343</v>
      </c>
      <c r="AY376" s="399" t="e">
        <f t="shared" ca="1" si="63"/>
        <v>#NAME?</v>
      </c>
      <c r="AZ376" s="399"/>
      <c r="BA376" s="409">
        <v>1</v>
      </c>
      <c r="BB376" s="399"/>
      <c r="BC376" s="399"/>
      <c r="BD376" s="409" t="s">
        <v>3162</v>
      </c>
      <c r="BE376" s="411"/>
      <c r="BF376" s="411"/>
      <c r="BG376" s="434" t="s">
        <v>5564</v>
      </c>
      <c r="BH376" s="411"/>
      <c r="BI376" s="411"/>
      <c r="BJ376" s="399"/>
      <c r="BK376" s="399"/>
      <c r="BL376" s="399"/>
      <c r="BM376" s="399"/>
      <c r="BN376" s="399"/>
      <c r="BO376" s="399"/>
      <c r="BP376" s="399"/>
      <c r="BQ376" s="399"/>
      <c r="BR376" s="399"/>
      <c r="BS376" s="407"/>
      <c r="BT376" s="407"/>
      <c r="BU376" s="412"/>
      <c r="BV376" s="46" t="str">
        <f t="shared" si="8"/>
        <v/>
      </c>
      <c r="BW376" s="46">
        <f t="shared" si="9"/>
        <v>0</v>
      </c>
      <c r="BX376" s="46">
        <f t="shared" si="10"/>
        <v>0</v>
      </c>
      <c r="BY376" s="43" t="str">
        <f t="shared" si="11"/>
        <v>WHO-FP Condition (Medical Eligibility)</v>
      </c>
      <c r="BZ376" s="46">
        <f t="shared" si="12"/>
        <v>1</v>
      </c>
      <c r="CA376" s="46" t="str">
        <f t="shared" si="13"/>
        <v/>
      </c>
      <c r="CB376" s="46">
        <f t="shared" si="14"/>
        <v>1</v>
      </c>
      <c r="CC376" s="46">
        <f t="shared" si="15"/>
        <v>1</v>
      </c>
      <c r="CD376" s="46">
        <f t="shared" si="16"/>
        <v>1</v>
      </c>
      <c r="CE376" s="46">
        <f t="shared" si="17"/>
        <v>0</v>
      </c>
      <c r="CF376" s="46">
        <f t="shared" si="18"/>
        <v>0</v>
      </c>
      <c r="CG376" s="46" t="str">
        <f ca="1">IFERROR(__xludf.DUMMYFUNCTION("if(OR(BH376="""",LEFT(BH376,2)=""LA""),"""",IMPORTXML(CONCATENATE(""https://loinc.org/"",BH376,""/""),""//span[@id='lcn']""))"),"")</f>
        <v/>
      </c>
      <c r="CH376" s="46"/>
      <c r="CI376" s="46"/>
      <c r="CJ376" s="46"/>
      <c r="CK376" s="46"/>
      <c r="CL376" s="46"/>
      <c r="CM376" s="46"/>
      <c r="CN376" s="46"/>
      <c r="CO376" s="46"/>
      <c r="CP376" s="46"/>
      <c r="CQ376" s="46"/>
      <c r="CR376" s="46"/>
      <c r="CS376" s="46"/>
      <c r="CT376" s="46"/>
      <c r="CU376" s="46"/>
    </row>
    <row r="377" spans="1:99" ht="12.75" customHeight="1">
      <c r="A377" s="399">
        <v>1619</v>
      </c>
      <c r="B377" s="409" t="s">
        <v>5565</v>
      </c>
      <c r="C377" s="399">
        <f t="shared" si="42"/>
        <v>1619</v>
      </c>
      <c r="D377" s="399" t="e">
        <f t="shared" ca="1" si="62"/>
        <v>#NAME?</v>
      </c>
      <c r="E377" s="399" t="str">
        <f t="shared" si="44"/>
        <v>Hepatitis acute</v>
      </c>
      <c r="F377" s="410" t="s">
        <v>180</v>
      </c>
      <c r="G377" s="400">
        <v>23</v>
      </c>
      <c r="H377" s="399" t="s">
        <v>4475</v>
      </c>
      <c r="I377" s="400"/>
      <c r="J377" s="400"/>
      <c r="K377" s="401" t="s">
        <v>3333</v>
      </c>
      <c r="L377" s="402" t="s">
        <v>4518</v>
      </c>
      <c r="M377" s="400"/>
      <c r="N377" s="427" t="s">
        <v>4417</v>
      </c>
      <c r="O377" s="428"/>
      <c r="P377" s="407" t="s">
        <v>5566</v>
      </c>
      <c r="Q377" s="405"/>
      <c r="R377" s="403"/>
      <c r="S377" s="403" t="s">
        <v>5567</v>
      </c>
      <c r="T377" s="403"/>
      <c r="U377" s="407"/>
      <c r="V377" s="544" t="s">
        <v>5568</v>
      </c>
      <c r="W377" s="407"/>
      <c r="X377" s="407" t="s">
        <v>208</v>
      </c>
      <c r="Y377" s="407"/>
      <c r="Z377" s="403" t="s">
        <v>113</v>
      </c>
      <c r="AA377" s="403" t="s">
        <v>3178</v>
      </c>
      <c r="AB377" s="559" t="s">
        <v>4968</v>
      </c>
      <c r="AC377" s="421"/>
      <c r="AD377" s="421"/>
      <c r="AE377" s="432"/>
      <c r="AF377" s="407"/>
      <c r="AG377" s="407" t="s">
        <v>3851</v>
      </c>
      <c r="AH377" s="399"/>
      <c r="AI377" s="400"/>
      <c r="AJ377" s="399"/>
      <c r="AK377" s="440"/>
      <c r="AL377" s="409"/>
      <c r="AM377" s="409"/>
      <c r="AN377" s="409"/>
      <c r="AO377" s="399"/>
      <c r="AP377" s="409"/>
      <c r="AQ377" s="409" t="s">
        <v>3130</v>
      </c>
      <c r="AR377" s="409" t="s">
        <v>4478</v>
      </c>
      <c r="AS377" s="409"/>
      <c r="AT377" s="399"/>
      <c r="AU377" s="399" t="s">
        <v>5569</v>
      </c>
      <c r="AV377" s="399" t="str">
        <f t="shared" si="47"/>
        <v>Changed</v>
      </c>
      <c r="AW377" s="399"/>
      <c r="AX377" s="409" t="s">
        <v>3343</v>
      </c>
      <c r="AY377" s="399" t="e">
        <f t="shared" ca="1" si="63"/>
        <v>#NAME?</v>
      </c>
      <c r="AZ377" s="399"/>
      <c r="BA377" s="409">
        <v>1</v>
      </c>
      <c r="BB377" s="399"/>
      <c r="BC377" s="399"/>
      <c r="BD377" s="409" t="s">
        <v>3162</v>
      </c>
      <c r="BE377" s="411"/>
      <c r="BF377" s="411"/>
      <c r="BG377" s="411" t="s">
        <v>5570</v>
      </c>
      <c r="BH377" s="411"/>
      <c r="BI377" s="411"/>
      <c r="BJ377" s="399"/>
      <c r="BK377" s="399"/>
      <c r="BL377" s="399"/>
      <c r="BM377" s="399"/>
      <c r="BN377" s="399"/>
      <c r="BO377" s="399"/>
      <c r="BP377" s="399"/>
      <c r="BQ377" s="399"/>
      <c r="BR377" s="399"/>
      <c r="BS377" s="407"/>
      <c r="BT377" s="407"/>
      <c r="BU377" s="412"/>
      <c r="BV377" s="46" t="str">
        <f t="shared" si="8"/>
        <v/>
      </c>
      <c r="BW377" s="46">
        <f t="shared" si="9"/>
        <v>0</v>
      </c>
      <c r="BX377" s="46">
        <f t="shared" si="10"/>
        <v>0</v>
      </c>
      <c r="BY377" s="43" t="str">
        <f t="shared" si="11"/>
        <v>WHO-FP Condition (Medical Eligibility)</v>
      </c>
      <c r="BZ377" s="46">
        <f t="shared" si="12"/>
        <v>1</v>
      </c>
      <c r="CA377" s="46" t="str">
        <f t="shared" si="13"/>
        <v/>
      </c>
      <c r="CB377" s="46">
        <f t="shared" si="14"/>
        <v>1</v>
      </c>
      <c r="CC377" s="46">
        <f t="shared" si="15"/>
        <v>1</v>
      </c>
      <c r="CD377" s="46">
        <f t="shared" si="16"/>
        <v>1</v>
      </c>
      <c r="CE377" s="46">
        <f t="shared" si="17"/>
        <v>0</v>
      </c>
      <c r="CF377" s="46">
        <f t="shared" si="18"/>
        <v>0</v>
      </c>
      <c r="CG377" s="46" t="str">
        <f ca="1">IFERROR(__xludf.DUMMYFUNCTION("if(OR(BH377="""",LEFT(BH377,2)=""LA""),"""",IMPORTXML(CONCATENATE(""https://loinc.org/"",BH377,""/""),""//span[@id='lcn']""))"),"")</f>
        <v/>
      </c>
      <c r="CH377" s="46"/>
      <c r="CI377" s="46"/>
      <c r="CJ377" s="46"/>
      <c r="CK377" s="46"/>
      <c r="CL377" s="46"/>
      <c r="CM377" s="46"/>
      <c r="CN377" s="46"/>
      <c r="CO377" s="46"/>
      <c r="CP377" s="46"/>
      <c r="CQ377" s="46"/>
      <c r="CR377" s="46"/>
      <c r="CS377" s="46"/>
      <c r="CT377" s="46"/>
      <c r="CU377" s="46"/>
    </row>
    <row r="378" spans="1:99" ht="12.75" customHeight="1">
      <c r="A378" s="399">
        <v>1620</v>
      </c>
      <c r="B378" s="409" t="s">
        <v>5571</v>
      </c>
      <c r="C378" s="399">
        <f t="shared" si="42"/>
        <v>1620</v>
      </c>
      <c r="D378" s="399" t="e">
        <f t="shared" ca="1" si="62"/>
        <v>#NAME?</v>
      </c>
      <c r="E378" s="399" t="str">
        <f t="shared" si="44"/>
        <v>Hepatitis flare</v>
      </c>
      <c r="F378" s="410" t="s">
        <v>180</v>
      </c>
      <c r="G378" s="400">
        <v>23</v>
      </c>
      <c r="H378" s="399" t="s">
        <v>4475</v>
      </c>
      <c r="I378" s="400"/>
      <c r="J378" s="400"/>
      <c r="K378" s="401" t="s">
        <v>3333</v>
      </c>
      <c r="L378" s="402" t="s">
        <v>4518</v>
      </c>
      <c r="M378" s="400"/>
      <c r="N378" s="427" t="s">
        <v>4417</v>
      </c>
      <c r="O378" s="428"/>
      <c r="P378" s="407" t="s">
        <v>5572</v>
      </c>
      <c r="Q378" s="405"/>
      <c r="R378" s="403"/>
      <c r="S378" s="403" t="s">
        <v>5573</v>
      </c>
      <c r="T378" s="403"/>
      <c r="U378" s="407"/>
      <c r="V378" s="544" t="s">
        <v>5574</v>
      </c>
      <c r="W378" s="407"/>
      <c r="X378" s="407" t="s">
        <v>208</v>
      </c>
      <c r="Y378" s="407"/>
      <c r="Z378" s="403" t="s">
        <v>113</v>
      </c>
      <c r="AA378" s="403" t="s">
        <v>3178</v>
      </c>
      <c r="AB378" s="559" t="s">
        <v>4968</v>
      </c>
      <c r="AC378" s="421"/>
      <c r="AD378" s="421"/>
      <c r="AE378" s="432"/>
      <c r="AF378" s="407"/>
      <c r="AG378" s="407" t="s">
        <v>3851</v>
      </c>
      <c r="AH378" s="399"/>
      <c r="AI378" s="400"/>
      <c r="AJ378" s="399"/>
      <c r="AK378" s="440"/>
      <c r="AL378" s="409"/>
      <c r="AM378" s="409"/>
      <c r="AN378" s="409"/>
      <c r="AO378" s="399"/>
      <c r="AP378" s="409"/>
      <c r="AQ378" s="409" t="s">
        <v>3130</v>
      </c>
      <c r="AR378" s="409" t="s">
        <v>4478</v>
      </c>
      <c r="AS378" s="409"/>
      <c r="AT378" s="399"/>
      <c r="AU378" s="399" t="s">
        <v>5575</v>
      </c>
      <c r="AV378" s="399" t="str">
        <f t="shared" si="47"/>
        <v>Changed</v>
      </c>
      <c r="AW378" s="399"/>
      <c r="AX378" s="409" t="s">
        <v>3343</v>
      </c>
      <c r="AY378" s="399" t="e">
        <f t="shared" ca="1" si="63"/>
        <v>#NAME?</v>
      </c>
      <c r="AZ378" s="399"/>
      <c r="BA378" s="409">
        <v>1</v>
      </c>
      <c r="BB378" s="399"/>
      <c r="BC378" s="399"/>
      <c r="BD378" s="399"/>
      <c r="BE378" s="411"/>
      <c r="BF378" s="411"/>
      <c r="BG378" s="434" t="s">
        <v>5576</v>
      </c>
      <c r="BH378" s="411"/>
      <c r="BI378" s="411"/>
      <c r="BJ378" s="399"/>
      <c r="BK378" s="399"/>
      <c r="BL378" s="399"/>
      <c r="BM378" s="399"/>
      <c r="BN378" s="399"/>
      <c r="BO378" s="399"/>
      <c r="BP378" s="399"/>
      <c r="BQ378" s="399"/>
      <c r="BR378" s="399"/>
      <c r="BS378" s="407"/>
      <c r="BT378" s="407"/>
      <c r="BU378" s="412"/>
      <c r="BV378" s="46" t="str">
        <f t="shared" si="8"/>
        <v/>
      </c>
      <c r="BW378" s="46">
        <f t="shared" si="9"/>
        <v>0</v>
      </c>
      <c r="BX378" s="46">
        <f t="shared" si="10"/>
        <v>0</v>
      </c>
      <c r="BY378" s="43" t="str">
        <f t="shared" si="11"/>
        <v>WHO-FP Condition (Medical Eligibility)</v>
      </c>
      <c r="BZ378" s="46">
        <f t="shared" si="12"/>
        <v>1</v>
      </c>
      <c r="CA378" s="46" t="str">
        <f t="shared" si="13"/>
        <v/>
      </c>
      <c r="CB378" s="46">
        <f t="shared" si="14"/>
        <v>1</v>
      </c>
      <c r="CC378" s="46">
        <f t="shared" si="15"/>
        <v>1</v>
      </c>
      <c r="CD378" s="46">
        <f t="shared" si="16"/>
        <v>1</v>
      </c>
      <c r="CE378" s="46">
        <f t="shared" si="17"/>
        <v>0</v>
      </c>
      <c r="CF378" s="46">
        <f t="shared" si="18"/>
        <v>0</v>
      </c>
      <c r="CG378" s="46" t="str">
        <f ca="1">IFERROR(__xludf.DUMMYFUNCTION("if(OR(BH378="""",LEFT(BH378,2)=""LA""),"""",IMPORTXML(CONCATENATE(""https://loinc.org/"",BH378,""/""),""//span[@id='lcn']""))"),"")</f>
        <v/>
      </c>
      <c r="CH378" s="46"/>
      <c r="CI378" s="46"/>
      <c r="CJ378" s="46"/>
      <c r="CK378" s="46"/>
      <c r="CL378" s="46"/>
      <c r="CM378" s="46"/>
      <c r="CN378" s="46"/>
      <c r="CO378" s="46"/>
      <c r="CP378" s="46"/>
      <c r="CQ378" s="46"/>
      <c r="CR378" s="46"/>
      <c r="CS378" s="46"/>
      <c r="CT378" s="46"/>
      <c r="CU378" s="46"/>
    </row>
    <row r="379" spans="1:99" ht="12.75" customHeight="1">
      <c r="A379" s="399">
        <v>1621</v>
      </c>
      <c r="B379" s="399" t="s">
        <v>5577</v>
      </c>
      <c r="C379" s="399">
        <f t="shared" si="42"/>
        <v>1621</v>
      </c>
      <c r="D379" s="399" t="str">
        <f t="shared" si="62"/>
        <v>Anemias</v>
      </c>
      <c r="E379" s="399" t="str">
        <f t="shared" si="44"/>
        <v>Anemias</v>
      </c>
      <c r="F379" s="409" t="s">
        <v>3164</v>
      </c>
      <c r="G379" s="400">
        <f>LEN(B379)</f>
        <v>7</v>
      </c>
      <c r="H379" s="400" t="str">
        <f>IF(F379="Input Option",IF(H378="",B378,H378),"")</f>
        <v/>
      </c>
      <c r="I379" s="400"/>
      <c r="J379" s="400"/>
      <c r="K379" s="401" t="s">
        <v>3333</v>
      </c>
      <c r="L379" s="402" t="s">
        <v>4518</v>
      </c>
      <c r="M379" s="400"/>
      <c r="N379" s="427" t="s">
        <v>4417</v>
      </c>
      <c r="O379" s="428"/>
      <c r="P379" s="407" t="s">
        <v>5578</v>
      </c>
      <c r="Q379" s="405" t="s">
        <v>5577</v>
      </c>
      <c r="R379" s="403"/>
      <c r="S379" s="403"/>
      <c r="T379" s="403" t="s">
        <v>3339</v>
      </c>
      <c r="U379" s="432" t="s">
        <v>3326</v>
      </c>
      <c r="V379" s="403"/>
      <c r="W379" s="407"/>
      <c r="X379" s="407" t="s">
        <v>208</v>
      </c>
      <c r="Y379" s="407"/>
      <c r="Z379" s="403" t="s">
        <v>113</v>
      </c>
      <c r="AA379" s="403" t="s">
        <v>3178</v>
      </c>
      <c r="AB379" s="559" t="s">
        <v>4968</v>
      </c>
      <c r="AC379" s="421"/>
      <c r="AD379" s="421"/>
      <c r="AE379" s="432"/>
      <c r="AF379" s="407"/>
      <c r="AG379" s="407" t="s">
        <v>3851</v>
      </c>
      <c r="AH379" s="399"/>
      <c r="AI379" s="400"/>
      <c r="AJ379" s="399"/>
      <c r="AK379" s="399"/>
      <c r="AL379" s="399"/>
      <c r="AM379" s="399"/>
      <c r="AN379" s="399"/>
      <c r="AO379" s="399"/>
      <c r="AP379" s="399"/>
      <c r="AQ379" s="409" t="s">
        <v>115</v>
      </c>
      <c r="AR379" s="399"/>
      <c r="AS379" s="399"/>
      <c r="AT379" s="399"/>
      <c r="AU379" s="399" t="s">
        <v>5577</v>
      </c>
      <c r="AV379" s="399" t="str">
        <f t="shared" si="47"/>
        <v>Same</v>
      </c>
      <c r="AW379" s="399"/>
      <c r="AX379" s="409" t="s">
        <v>3343</v>
      </c>
      <c r="AY379" s="399" t="str">
        <f t="shared" si="63"/>
        <v/>
      </c>
      <c r="AZ379" s="399"/>
      <c r="BA379" s="409">
        <v>0</v>
      </c>
      <c r="BB379" s="399"/>
      <c r="BC379" s="399"/>
      <c r="BD379" s="399"/>
      <c r="BE379" s="411"/>
      <c r="BF379" s="411"/>
      <c r="BG379" s="411"/>
      <c r="BH379" s="411"/>
      <c r="BI379" s="411"/>
      <c r="BJ379" s="409" t="s">
        <v>3106</v>
      </c>
      <c r="BK379" s="399"/>
      <c r="BL379" s="399"/>
      <c r="BM379" s="399"/>
      <c r="BN379" s="399"/>
      <c r="BO379" s="399"/>
      <c r="BP379" s="399"/>
      <c r="BQ379" s="399"/>
      <c r="BR379" s="399"/>
      <c r="BS379" s="407"/>
      <c r="BT379" s="407"/>
      <c r="BU379" s="412"/>
      <c r="BV379" s="46" t="str">
        <f t="shared" si="8"/>
        <v/>
      </c>
      <c r="BW379" s="46" t="str">
        <f t="shared" si="9"/>
        <v/>
      </c>
      <c r="BX379" s="46" t="str">
        <f t="shared" si="10"/>
        <v/>
      </c>
      <c r="BY379" s="43" t="str">
        <f t="shared" si="11"/>
        <v/>
      </c>
      <c r="BZ379" s="46">
        <f t="shared" si="12"/>
        <v>1</v>
      </c>
      <c r="CA379" s="46" t="str">
        <f t="shared" si="13"/>
        <v/>
      </c>
      <c r="CB379" s="46">
        <f t="shared" si="14"/>
        <v>1</v>
      </c>
      <c r="CC379" s="46">
        <f t="shared" si="15"/>
        <v>1</v>
      </c>
      <c r="CD379" s="46">
        <f t="shared" si="16"/>
        <v>1</v>
      </c>
      <c r="CE379" s="46">
        <f t="shared" si="17"/>
        <v>0</v>
      </c>
      <c r="CF379" s="46">
        <f t="shared" si="18"/>
        <v>0</v>
      </c>
      <c r="CG379" s="46" t="str">
        <f ca="1">IFERROR(__xludf.DUMMYFUNCTION("if(OR(BH379="""",LEFT(BH379,2)=""LA""),"""",IMPORTXML(CONCATENATE(""https://loinc.org/"",BH379,""/""),""//span[@id='lcn']""))"),"")</f>
        <v/>
      </c>
      <c r="CH379" s="46"/>
      <c r="CI379" s="46"/>
      <c r="CJ379" s="46"/>
      <c r="CK379" s="46"/>
      <c r="CL379" s="46"/>
      <c r="CM379" s="46"/>
      <c r="CN379" s="46"/>
      <c r="CO379" s="46"/>
      <c r="CP379" s="46"/>
      <c r="CQ379" s="46"/>
      <c r="CR379" s="46"/>
      <c r="CS379" s="46"/>
      <c r="CT379" s="46"/>
      <c r="CU379" s="46"/>
    </row>
    <row r="380" spans="1:99" ht="12.75" customHeight="1">
      <c r="A380" s="399">
        <v>1622</v>
      </c>
      <c r="B380" s="409" t="s">
        <v>5579</v>
      </c>
      <c r="C380" s="399">
        <f t="shared" si="42"/>
        <v>1622</v>
      </c>
      <c r="D380" s="399" t="e">
        <f t="shared" ca="1" si="62"/>
        <v>#NAME?</v>
      </c>
      <c r="E380" s="399" t="str">
        <f t="shared" si="44"/>
        <v>Thalassemia</v>
      </c>
      <c r="F380" s="410" t="s">
        <v>180</v>
      </c>
      <c r="G380" s="400">
        <v>23</v>
      </c>
      <c r="H380" s="399" t="s">
        <v>4475</v>
      </c>
      <c r="I380" s="400"/>
      <c r="J380" s="400"/>
      <c r="K380" s="401" t="s">
        <v>3333</v>
      </c>
      <c r="L380" s="402" t="s">
        <v>4518</v>
      </c>
      <c r="M380" s="400"/>
      <c r="N380" s="427" t="s">
        <v>4417</v>
      </c>
      <c r="O380" s="428"/>
      <c r="P380" s="407" t="s">
        <v>5580</v>
      </c>
      <c r="Q380" s="405"/>
      <c r="R380" s="403"/>
      <c r="S380" s="403"/>
      <c r="T380" s="403"/>
      <c r="U380" s="407"/>
      <c r="V380" s="407" t="s">
        <v>5581</v>
      </c>
      <c r="W380" s="407"/>
      <c r="X380" s="407" t="s">
        <v>208</v>
      </c>
      <c r="Y380" s="407"/>
      <c r="Z380" s="403" t="s">
        <v>113</v>
      </c>
      <c r="AA380" s="403" t="s">
        <v>3178</v>
      </c>
      <c r="AB380" s="559" t="s">
        <v>4968</v>
      </c>
      <c r="AC380" s="421"/>
      <c r="AD380" s="421"/>
      <c r="AE380" s="432"/>
      <c r="AF380" s="407"/>
      <c r="AG380" s="407" t="s">
        <v>3851</v>
      </c>
      <c r="AH380" s="399"/>
      <c r="AI380" s="400"/>
      <c r="AJ380" s="399"/>
      <c r="AK380" s="440"/>
      <c r="AL380" s="409"/>
      <c r="AM380" s="409"/>
      <c r="AN380" s="409"/>
      <c r="AO380" s="399"/>
      <c r="AP380" s="409"/>
      <c r="AQ380" s="409" t="s">
        <v>3130</v>
      </c>
      <c r="AR380" s="409" t="s">
        <v>4478</v>
      </c>
      <c r="AS380" s="409"/>
      <c r="AT380" s="399"/>
      <c r="AU380" s="399" t="s">
        <v>5583</v>
      </c>
      <c r="AV380" s="399" t="str">
        <f t="shared" si="47"/>
        <v>Changed</v>
      </c>
      <c r="AW380" s="399"/>
      <c r="AX380" s="409" t="s">
        <v>3343</v>
      </c>
      <c r="AY380" s="399" t="e">
        <f t="shared" ca="1" si="63"/>
        <v>#NAME?</v>
      </c>
      <c r="AZ380" s="399"/>
      <c r="BA380" s="409">
        <v>1</v>
      </c>
      <c r="BB380" s="399"/>
      <c r="BC380" s="399"/>
      <c r="BD380" s="409" t="s">
        <v>3162</v>
      </c>
      <c r="BE380" s="411" t="s">
        <v>5584</v>
      </c>
      <c r="BF380" s="411" t="s">
        <v>5585</v>
      </c>
      <c r="BG380" s="411" t="s">
        <v>5586</v>
      </c>
      <c r="BH380" s="411"/>
      <c r="BI380" s="411"/>
      <c r="BJ380" s="399"/>
      <c r="BK380" s="399"/>
      <c r="BL380" s="399"/>
      <c r="BM380" s="399"/>
      <c r="BN380" s="399"/>
      <c r="BO380" s="399">
        <v>124940</v>
      </c>
      <c r="BP380" s="399"/>
      <c r="BQ380" s="399"/>
      <c r="BR380" s="399"/>
      <c r="BS380" s="407"/>
      <c r="BT380" s="407"/>
      <c r="BU380" s="412"/>
      <c r="BV380" s="46" t="str">
        <f t="shared" si="8"/>
        <v/>
      </c>
      <c r="BW380" s="46">
        <f t="shared" si="9"/>
        <v>0</v>
      </c>
      <c r="BX380" s="46">
        <f t="shared" si="10"/>
        <v>0</v>
      </c>
      <c r="BY380" s="43" t="str">
        <f t="shared" si="11"/>
        <v>WHO-FP Condition (Medical Eligibility)</v>
      </c>
      <c r="BZ380" s="46">
        <f t="shared" si="12"/>
        <v>1</v>
      </c>
      <c r="CA380" s="46" t="str">
        <f t="shared" si="13"/>
        <v/>
      </c>
      <c r="CB380" s="46">
        <f t="shared" si="14"/>
        <v>1</v>
      </c>
      <c r="CC380" s="46">
        <f t="shared" si="15"/>
        <v>1</v>
      </c>
      <c r="CD380" s="46">
        <f t="shared" si="16"/>
        <v>1</v>
      </c>
      <c r="CE380" s="46">
        <f t="shared" si="17"/>
        <v>0</v>
      </c>
      <c r="CF380" s="46">
        <f t="shared" si="18"/>
        <v>0</v>
      </c>
      <c r="CG380" s="46" t="str">
        <f ca="1">IFERROR(__xludf.DUMMYFUNCTION("if(OR(BH380="""",LEFT(BH380,2)=""LA""),"""",IMPORTXML(CONCATENATE(""https://loinc.org/"",BH380,""/""),""//span[@id='lcn']""))"),"")</f>
        <v/>
      </c>
      <c r="CH380" s="46"/>
      <c r="CI380" s="46"/>
      <c r="CJ380" s="46"/>
      <c r="CK380" s="46"/>
      <c r="CL380" s="46"/>
      <c r="CM380" s="46"/>
      <c r="CN380" s="46"/>
      <c r="CO380" s="46"/>
      <c r="CP380" s="46"/>
      <c r="CQ380" s="46"/>
      <c r="CR380" s="46"/>
      <c r="CS380" s="46"/>
      <c r="CT380" s="46"/>
      <c r="CU380" s="46"/>
    </row>
    <row r="381" spans="1:99" ht="12.75" customHeight="1">
      <c r="A381" s="399">
        <v>1623</v>
      </c>
      <c r="B381" s="409" t="s">
        <v>5588</v>
      </c>
      <c r="C381" s="399">
        <f t="shared" si="42"/>
        <v>1623</v>
      </c>
      <c r="D381" s="399" t="e">
        <f t="shared" ca="1" si="62"/>
        <v>#NAME?</v>
      </c>
      <c r="E381" s="399" t="str">
        <f t="shared" si="44"/>
        <v>Sickle cell disease</v>
      </c>
      <c r="F381" s="410" t="s">
        <v>180</v>
      </c>
      <c r="G381" s="400">
        <v>23</v>
      </c>
      <c r="H381" s="399" t="s">
        <v>4475</v>
      </c>
      <c r="I381" s="400"/>
      <c r="J381" s="400"/>
      <c r="K381" s="401" t="s">
        <v>3333</v>
      </c>
      <c r="L381" s="402" t="s">
        <v>4518</v>
      </c>
      <c r="M381" s="400"/>
      <c r="N381" s="427" t="s">
        <v>4417</v>
      </c>
      <c r="O381" s="428"/>
      <c r="P381" s="407" t="s">
        <v>5589</v>
      </c>
      <c r="Q381" s="405"/>
      <c r="R381" s="403"/>
      <c r="S381" s="403"/>
      <c r="T381" s="407"/>
      <c r="U381" s="407"/>
      <c r="V381" s="432" t="s">
        <v>5590</v>
      </c>
      <c r="W381" s="407"/>
      <c r="X381" s="407" t="s">
        <v>208</v>
      </c>
      <c r="Y381" s="407"/>
      <c r="Z381" s="403" t="s">
        <v>113</v>
      </c>
      <c r="AA381" s="403" t="s">
        <v>3178</v>
      </c>
      <c r="AB381" s="559" t="s">
        <v>4968</v>
      </c>
      <c r="AC381" s="421"/>
      <c r="AD381" s="421"/>
      <c r="AE381" s="432"/>
      <c r="AF381" s="407"/>
      <c r="AG381" s="407" t="s">
        <v>3851</v>
      </c>
      <c r="AH381" s="399"/>
      <c r="AI381" s="400"/>
      <c r="AJ381" s="399"/>
      <c r="AK381" s="440"/>
      <c r="AL381" s="409"/>
      <c r="AM381" s="409"/>
      <c r="AN381" s="409"/>
      <c r="AO381" s="399"/>
      <c r="AP381" s="409"/>
      <c r="AQ381" s="409" t="s">
        <v>3130</v>
      </c>
      <c r="AR381" s="409" t="s">
        <v>4478</v>
      </c>
      <c r="AS381" s="409"/>
      <c r="AT381" s="399"/>
      <c r="AU381" s="399" t="s">
        <v>5591</v>
      </c>
      <c r="AV381" s="399" t="str">
        <f t="shared" si="47"/>
        <v>Changed</v>
      </c>
      <c r="AW381" s="399"/>
      <c r="AX381" s="409" t="s">
        <v>3343</v>
      </c>
      <c r="AY381" s="399" t="e">
        <f t="shared" ca="1" si="63"/>
        <v>#NAME?</v>
      </c>
      <c r="AZ381" s="399"/>
      <c r="BA381" s="409">
        <v>1</v>
      </c>
      <c r="BB381" s="399"/>
      <c r="BC381" s="399"/>
      <c r="BD381" s="399"/>
      <c r="BE381" s="411"/>
      <c r="BF381" s="411"/>
      <c r="BG381" s="411" t="s">
        <v>5592</v>
      </c>
      <c r="BH381" s="411"/>
      <c r="BI381" s="411"/>
      <c r="BJ381" s="399"/>
      <c r="BK381" s="399"/>
      <c r="BL381" s="399"/>
      <c r="BM381" s="399"/>
      <c r="BN381" s="399"/>
      <c r="BO381" s="399"/>
      <c r="BP381" s="399"/>
      <c r="BQ381" s="399"/>
      <c r="BR381" s="399"/>
      <c r="BS381" s="407"/>
      <c r="BT381" s="407"/>
      <c r="BU381" s="412"/>
      <c r="BV381" s="46" t="str">
        <f t="shared" si="8"/>
        <v/>
      </c>
      <c r="BW381" s="46">
        <f t="shared" si="9"/>
        <v>0</v>
      </c>
      <c r="BX381" s="46">
        <f t="shared" si="10"/>
        <v>0</v>
      </c>
      <c r="BY381" s="43" t="str">
        <f t="shared" si="11"/>
        <v>WHO-FP Condition (Medical Eligibility)</v>
      </c>
      <c r="BZ381" s="46">
        <f t="shared" si="12"/>
        <v>1</v>
      </c>
      <c r="CA381" s="46" t="str">
        <f t="shared" si="13"/>
        <v/>
      </c>
      <c r="CB381" s="46">
        <f t="shared" si="14"/>
        <v>1</v>
      </c>
      <c r="CC381" s="46">
        <f t="shared" si="15"/>
        <v>1</v>
      </c>
      <c r="CD381" s="46">
        <f t="shared" si="16"/>
        <v>1</v>
      </c>
      <c r="CE381" s="46">
        <f t="shared" si="17"/>
        <v>0</v>
      </c>
      <c r="CF381" s="46">
        <f t="shared" si="18"/>
        <v>0</v>
      </c>
      <c r="CG381" s="46" t="str">
        <f ca="1">IFERROR(__xludf.DUMMYFUNCTION("if(OR(BH381="""",LEFT(BH381,2)=""LA""),"""",IMPORTXML(CONCATENATE(""https://loinc.org/"",BH381,""/""),""//span[@id='lcn']""))"),"")</f>
        <v/>
      </c>
      <c r="CH381" s="46"/>
      <c r="CI381" s="46"/>
      <c r="CJ381" s="46"/>
      <c r="CK381" s="46"/>
      <c r="CL381" s="46"/>
      <c r="CM381" s="46"/>
      <c r="CN381" s="46"/>
      <c r="CO381" s="46"/>
      <c r="CP381" s="46"/>
      <c r="CQ381" s="46"/>
      <c r="CR381" s="46"/>
      <c r="CS381" s="46"/>
      <c r="CT381" s="46"/>
      <c r="CU381" s="46"/>
    </row>
    <row r="382" spans="1:99" ht="12.75" customHeight="1">
      <c r="A382" s="399">
        <v>1624</v>
      </c>
      <c r="B382" s="409" t="s">
        <v>5593</v>
      </c>
      <c r="C382" s="399">
        <f t="shared" si="42"/>
        <v>1624</v>
      </c>
      <c r="D382" s="399" t="e">
        <f t="shared" ca="1" si="62"/>
        <v>#NAME?</v>
      </c>
      <c r="E382" s="399" t="str">
        <f t="shared" si="44"/>
        <v>Iron-deficiency anemia</v>
      </c>
      <c r="F382" s="410" t="s">
        <v>180</v>
      </c>
      <c r="G382" s="400">
        <v>23</v>
      </c>
      <c r="H382" s="399" t="s">
        <v>4475</v>
      </c>
      <c r="I382" s="400"/>
      <c r="J382" s="400"/>
      <c r="K382" s="401" t="s">
        <v>3333</v>
      </c>
      <c r="L382" s="402" t="s">
        <v>4518</v>
      </c>
      <c r="M382" s="400"/>
      <c r="N382" s="427" t="s">
        <v>4417</v>
      </c>
      <c r="O382" s="428"/>
      <c r="P382" s="407" t="s">
        <v>5594</v>
      </c>
      <c r="Q382" s="405"/>
      <c r="R382" s="403"/>
      <c r="S382" s="403"/>
      <c r="T382" s="407"/>
      <c r="U382" s="407"/>
      <c r="V382" s="429" t="s">
        <v>5595</v>
      </c>
      <c r="W382" s="407"/>
      <c r="X382" s="407" t="s">
        <v>208</v>
      </c>
      <c r="Y382" s="407"/>
      <c r="Z382" s="403" t="s">
        <v>113</v>
      </c>
      <c r="AA382" s="403" t="s">
        <v>3178</v>
      </c>
      <c r="AB382" s="559" t="s">
        <v>4968</v>
      </c>
      <c r="AC382" s="421"/>
      <c r="AD382" s="421"/>
      <c r="AE382" s="432"/>
      <c r="AF382" s="407"/>
      <c r="AG382" s="407" t="s">
        <v>3851</v>
      </c>
      <c r="AH382" s="399"/>
      <c r="AI382" s="400"/>
      <c r="AJ382" s="399"/>
      <c r="AK382" s="440"/>
      <c r="AL382" s="409"/>
      <c r="AM382" s="409"/>
      <c r="AN382" s="409"/>
      <c r="AO382" s="399"/>
      <c r="AP382" s="409"/>
      <c r="AQ382" s="409" t="s">
        <v>3130</v>
      </c>
      <c r="AR382" s="409" t="s">
        <v>4478</v>
      </c>
      <c r="AS382" s="409"/>
      <c r="AT382" s="399"/>
      <c r="AU382" s="399" t="s">
        <v>5596</v>
      </c>
      <c r="AV382" s="399" t="str">
        <f t="shared" si="47"/>
        <v>Changed</v>
      </c>
      <c r="AW382" s="399"/>
      <c r="AX382" s="409" t="s">
        <v>3343</v>
      </c>
      <c r="AY382" s="399" t="e">
        <f t="shared" ca="1" si="63"/>
        <v>#NAME?</v>
      </c>
      <c r="AZ382" s="399"/>
      <c r="BA382" s="409">
        <v>1</v>
      </c>
      <c r="BB382" s="399"/>
      <c r="BC382" s="399"/>
      <c r="BD382" s="409" t="s">
        <v>3162</v>
      </c>
      <c r="BE382" s="411"/>
      <c r="BF382" s="411"/>
      <c r="BG382" s="434" t="s">
        <v>5597</v>
      </c>
      <c r="BH382" s="411"/>
      <c r="BI382" s="411"/>
      <c r="BJ382" s="399"/>
      <c r="BK382" s="399"/>
      <c r="BL382" s="399"/>
      <c r="BM382" s="399"/>
      <c r="BN382" s="399"/>
      <c r="BO382" s="399"/>
      <c r="BP382" s="399"/>
      <c r="BQ382" s="399"/>
      <c r="BR382" s="399"/>
      <c r="BS382" s="407"/>
      <c r="BT382" s="407"/>
      <c r="BU382" s="412"/>
      <c r="BV382" s="46" t="str">
        <f t="shared" si="8"/>
        <v/>
      </c>
      <c r="BW382" s="46">
        <f t="shared" si="9"/>
        <v>0</v>
      </c>
      <c r="BX382" s="46">
        <f t="shared" si="10"/>
        <v>0</v>
      </c>
      <c r="BY382" s="43" t="str">
        <f t="shared" si="11"/>
        <v>WHO-FP Condition (Medical Eligibility)</v>
      </c>
      <c r="BZ382" s="46">
        <f t="shared" si="12"/>
        <v>1</v>
      </c>
      <c r="CA382" s="46" t="str">
        <f t="shared" si="13"/>
        <v/>
      </c>
      <c r="CB382" s="46">
        <f t="shared" si="14"/>
        <v>1</v>
      </c>
      <c r="CC382" s="46">
        <f t="shared" si="15"/>
        <v>1</v>
      </c>
      <c r="CD382" s="46">
        <f t="shared" si="16"/>
        <v>1</v>
      </c>
      <c r="CE382" s="46">
        <f t="shared" si="17"/>
        <v>0</v>
      </c>
      <c r="CF382" s="46">
        <f t="shared" si="18"/>
        <v>0</v>
      </c>
      <c r="CG382" s="46" t="str">
        <f ca="1">IFERROR(__xludf.DUMMYFUNCTION("if(OR(BH382="""",LEFT(BH382,2)=""LA""),"""",IMPORTXML(CONCATENATE(""https://loinc.org/"",BH382,""/""),""//span[@id='lcn']""))"),"")</f>
        <v/>
      </c>
      <c r="CH382" s="46"/>
      <c r="CI382" s="46"/>
      <c r="CJ382" s="46"/>
      <c r="CK382" s="46"/>
      <c r="CL382" s="46"/>
      <c r="CM382" s="46"/>
      <c r="CN382" s="46"/>
      <c r="CO382" s="46"/>
      <c r="CP382" s="46"/>
      <c r="CQ382" s="46"/>
      <c r="CR382" s="46"/>
      <c r="CS382" s="46"/>
      <c r="CT382" s="46"/>
      <c r="CU382" s="46"/>
    </row>
    <row r="383" spans="1:99" ht="12.75" customHeight="1">
      <c r="A383" s="399">
        <v>1625</v>
      </c>
      <c r="B383" s="399" t="s">
        <v>5599</v>
      </c>
      <c r="C383" s="399">
        <f t="shared" si="42"/>
        <v>1625</v>
      </c>
      <c r="D383" s="399" t="str">
        <f t="shared" si="62"/>
        <v>Current medications</v>
      </c>
      <c r="E383" s="399" t="str">
        <f t="shared" si="44"/>
        <v>Current medications</v>
      </c>
      <c r="F383" s="409" t="s">
        <v>3164</v>
      </c>
      <c r="G383" s="400">
        <f t="shared" ref="G383:G414" si="70">LEN(B383)</f>
        <v>40</v>
      </c>
      <c r="H383" s="400" t="str">
        <f t="shared" ref="H383:H388" si="71">IF(F383="Input Option",IF(H382="",B382,H382),"")</f>
        <v/>
      </c>
      <c r="I383" s="400"/>
      <c r="J383" s="400"/>
      <c r="K383" s="401" t="s">
        <v>3333</v>
      </c>
      <c r="L383" s="402" t="s">
        <v>961</v>
      </c>
      <c r="M383" s="400"/>
      <c r="N383" s="427" t="s">
        <v>4417</v>
      </c>
      <c r="O383" s="428"/>
      <c r="P383" s="403" t="s">
        <v>5600</v>
      </c>
      <c r="Q383" s="403" t="s">
        <v>960</v>
      </c>
      <c r="R383" s="403"/>
      <c r="S383" s="403" t="s">
        <v>5601</v>
      </c>
      <c r="T383" s="403" t="s">
        <v>3169</v>
      </c>
      <c r="U383" s="407"/>
      <c r="V383" s="407" t="s">
        <v>3170</v>
      </c>
      <c r="W383" s="407"/>
      <c r="X383" s="403"/>
      <c r="Y383" s="403"/>
      <c r="Z383" s="403" t="s">
        <v>113</v>
      </c>
      <c r="AA383" s="403" t="s">
        <v>3178</v>
      </c>
      <c r="AB383" s="432" t="s">
        <v>4579</v>
      </c>
      <c r="AC383" s="421"/>
      <c r="AD383" s="436"/>
      <c r="AE383" s="420"/>
      <c r="AF383" s="407"/>
      <c r="AG383" s="407" t="s">
        <v>3851</v>
      </c>
      <c r="AH383" s="399"/>
      <c r="AI383" s="400"/>
      <c r="AJ383" s="399"/>
      <c r="AK383" s="399"/>
      <c r="AL383" s="399"/>
      <c r="AM383" s="399"/>
      <c r="AN383" s="399"/>
      <c r="AO383" s="399"/>
      <c r="AP383" s="399"/>
      <c r="AQ383" s="409" t="s">
        <v>115</v>
      </c>
      <c r="AR383" s="399"/>
      <c r="AS383" s="399"/>
      <c r="AT383" s="399"/>
      <c r="AU383" s="399" t="s">
        <v>5599</v>
      </c>
      <c r="AV383" s="399" t="str">
        <f t="shared" si="47"/>
        <v>Same</v>
      </c>
      <c r="AW383" s="399"/>
      <c r="AX383" s="409" t="s">
        <v>3343</v>
      </c>
      <c r="AY383" s="399" t="str">
        <f t="shared" si="63"/>
        <v>"Current medications"-&gt;"Are they Taking any Current medications?"</v>
      </c>
      <c r="AZ383" s="399"/>
      <c r="BA383" s="409">
        <v>0</v>
      </c>
      <c r="BB383" s="399"/>
      <c r="BC383" s="399"/>
      <c r="BD383" s="399"/>
      <c r="BE383" s="411"/>
      <c r="BF383" s="411"/>
      <c r="BG383" s="411"/>
      <c r="BH383" s="411"/>
      <c r="BI383" s="411"/>
      <c r="BJ383" s="399" t="s">
        <v>3106</v>
      </c>
      <c r="BK383" s="399"/>
      <c r="BL383" s="399"/>
      <c r="BM383" s="399"/>
      <c r="BN383" s="399"/>
      <c r="BO383" s="399"/>
      <c r="BP383" s="399"/>
      <c r="BQ383" s="399"/>
      <c r="BR383" s="399"/>
      <c r="BS383" s="407"/>
      <c r="BT383" s="407"/>
      <c r="BU383" s="412"/>
      <c r="BV383" s="46" t="str">
        <f t="shared" si="8"/>
        <v/>
      </c>
      <c r="BW383" s="46" t="str">
        <f t="shared" si="9"/>
        <v/>
      </c>
      <c r="BX383" s="46" t="str">
        <f t="shared" si="10"/>
        <v/>
      </c>
      <c r="BY383" s="43" t="str">
        <f t="shared" si="11"/>
        <v/>
      </c>
      <c r="BZ383" s="46">
        <f t="shared" si="12"/>
        <v>1</v>
      </c>
      <c r="CA383" s="46" t="str">
        <f t="shared" si="13"/>
        <v/>
      </c>
      <c r="CB383" s="46">
        <f t="shared" si="14"/>
        <v>1</v>
      </c>
      <c r="CC383" s="46">
        <f t="shared" si="15"/>
        <v>1</v>
      </c>
      <c r="CD383" s="46">
        <f t="shared" si="16"/>
        <v>1</v>
      </c>
      <c r="CE383" s="46">
        <f t="shared" si="17"/>
        <v>0</v>
      </c>
      <c r="CF383" s="46">
        <f t="shared" si="18"/>
        <v>0</v>
      </c>
      <c r="CG383" s="46" t="str">
        <f ca="1">IFERROR(__xludf.DUMMYFUNCTION("if(OR(BH383="""",LEFT(BH383,2)=""LA""),"""",IMPORTXML(CONCATENATE(""https://loinc.org/"",BH383,""/""),""//span[@id='lcn']""))"),"")</f>
        <v/>
      </c>
      <c r="CH383" s="46"/>
      <c r="CI383" s="46"/>
      <c r="CJ383" s="46"/>
      <c r="CK383" s="46"/>
      <c r="CL383" s="46"/>
      <c r="CM383" s="46"/>
      <c r="CN383" s="46"/>
      <c r="CO383" s="46"/>
      <c r="CP383" s="46"/>
      <c r="CQ383" s="46"/>
      <c r="CR383" s="46"/>
      <c r="CS383" s="46"/>
      <c r="CT383" s="46"/>
      <c r="CU383" s="46"/>
    </row>
    <row r="384" spans="1:99" ht="12.75" customHeight="1">
      <c r="A384" s="399">
        <v>1626</v>
      </c>
      <c r="B384" s="409" t="s">
        <v>5602</v>
      </c>
      <c r="C384" s="399">
        <f t="shared" si="42"/>
        <v>1626</v>
      </c>
      <c r="D384" s="399" t="str">
        <f t="shared" si="62"/>
        <v>Medications</v>
      </c>
      <c r="E384" s="399" t="str">
        <f t="shared" si="44"/>
        <v>Medications</v>
      </c>
      <c r="F384" s="409" t="s">
        <v>96</v>
      </c>
      <c r="G384" s="400">
        <f t="shared" si="70"/>
        <v>19</v>
      </c>
      <c r="H384" s="400" t="str">
        <f t="shared" si="71"/>
        <v/>
      </c>
      <c r="I384" s="400"/>
      <c r="J384" s="400"/>
      <c r="K384" s="401" t="s">
        <v>3333</v>
      </c>
      <c r="L384" s="402" t="s">
        <v>961</v>
      </c>
      <c r="M384" s="400"/>
      <c r="N384" s="427" t="s">
        <v>4417</v>
      </c>
      <c r="O384" s="428"/>
      <c r="P384" s="407" t="s">
        <v>5603</v>
      </c>
      <c r="Q384" s="405" t="s">
        <v>961</v>
      </c>
      <c r="R384" s="403"/>
      <c r="S384" s="403" t="s">
        <v>5601</v>
      </c>
      <c r="T384" s="403" t="s">
        <v>3339</v>
      </c>
      <c r="U384" s="432" t="s">
        <v>3326</v>
      </c>
      <c r="V384" s="403"/>
      <c r="W384" s="407"/>
      <c r="X384" s="407" t="s">
        <v>208</v>
      </c>
      <c r="Y384" s="407"/>
      <c r="Z384" s="403" t="s">
        <v>113</v>
      </c>
      <c r="AA384" s="403" t="s">
        <v>3178</v>
      </c>
      <c r="AB384" s="432" t="s">
        <v>5604</v>
      </c>
      <c r="AC384" s="421"/>
      <c r="AD384" s="421"/>
      <c r="AE384" s="432"/>
      <c r="AF384" s="407"/>
      <c r="AG384" s="407" t="s">
        <v>3851</v>
      </c>
      <c r="AH384" s="399"/>
      <c r="AI384" s="400"/>
      <c r="AJ384" s="399"/>
      <c r="AK384" s="409" t="s">
        <v>3650</v>
      </c>
      <c r="AL384" s="409" t="s">
        <v>3181</v>
      </c>
      <c r="AM384" s="409" t="s">
        <v>3100</v>
      </c>
      <c r="AN384" s="409" t="s">
        <v>3101</v>
      </c>
      <c r="AO384" s="399"/>
      <c r="AP384" s="409" t="s">
        <v>5605</v>
      </c>
      <c r="AQ384" s="409" t="s">
        <v>3424</v>
      </c>
      <c r="AR384" s="399"/>
      <c r="AS384" s="399"/>
      <c r="AT384" s="399"/>
      <c r="AU384" s="399" t="s">
        <v>961</v>
      </c>
      <c r="AV384" s="399" t="str">
        <f t="shared" si="47"/>
        <v>Changed</v>
      </c>
      <c r="AW384" s="399"/>
      <c r="AX384" s="409" t="s">
        <v>3343</v>
      </c>
      <c r="AY384" s="399" t="str">
        <f t="shared" si="63"/>
        <v>"Medications"-&gt;"Current Medications"</v>
      </c>
      <c r="AZ384" s="399"/>
      <c r="BA384" s="409">
        <v>1</v>
      </c>
      <c r="BB384" s="399"/>
      <c r="BC384" s="399"/>
      <c r="BD384" s="399"/>
      <c r="BE384" s="411"/>
      <c r="BF384" s="411"/>
      <c r="BG384" s="411"/>
      <c r="BH384" s="411"/>
      <c r="BI384" s="411"/>
      <c r="BJ384" s="399" t="s">
        <v>3106</v>
      </c>
      <c r="BK384" s="399"/>
      <c r="BL384" s="399"/>
      <c r="BM384" s="399"/>
      <c r="BN384" s="399"/>
      <c r="BO384" s="399"/>
      <c r="BP384" s="399"/>
      <c r="BQ384" s="399"/>
      <c r="BR384" s="399"/>
      <c r="BS384" s="407"/>
      <c r="BT384" s="407"/>
      <c r="BU384" s="412"/>
      <c r="BV384" s="46" t="str">
        <f t="shared" si="8"/>
        <v>MedicationStatement</v>
      </c>
      <c r="BW384" s="46" t="str">
        <f t="shared" si="9"/>
        <v/>
      </c>
      <c r="BX384" s="46" t="str">
        <f t="shared" si="10"/>
        <v>MedicationStatement</v>
      </c>
      <c r="BY384" s="43" t="str">
        <f t="shared" si="11"/>
        <v>WHO-FP MedicationStatement (Current Medication)</v>
      </c>
      <c r="BZ384" s="46">
        <f t="shared" si="12"/>
        <v>1</v>
      </c>
      <c r="CA384" s="46">
        <f t="shared" si="13"/>
        <v>0</v>
      </c>
      <c r="CB384" s="46">
        <f t="shared" si="14"/>
        <v>1</v>
      </c>
      <c r="CC384" s="46">
        <f t="shared" si="15"/>
        <v>1</v>
      </c>
      <c r="CD384" s="46">
        <f t="shared" si="16"/>
        <v>1</v>
      </c>
      <c r="CE384" s="46">
        <f t="shared" si="17"/>
        <v>0</v>
      </c>
      <c r="CF384" s="46">
        <f t="shared" si="18"/>
        <v>0</v>
      </c>
      <c r="CG384" s="46" t="str">
        <f ca="1">IFERROR(__xludf.DUMMYFUNCTION("if(OR(BH384="""",LEFT(BH384,2)=""LA""),"""",IMPORTXML(CONCATENATE(""https://loinc.org/"",BH384,""/""),""//span[@id='lcn']""))"),"")</f>
        <v/>
      </c>
      <c r="CH384" s="46"/>
      <c r="CI384" s="46"/>
      <c r="CJ384" s="46"/>
      <c r="CK384" s="46"/>
      <c r="CL384" s="46"/>
      <c r="CM384" s="46"/>
      <c r="CN384" s="46"/>
      <c r="CO384" s="46"/>
      <c r="CP384" s="46"/>
      <c r="CQ384" s="46"/>
      <c r="CR384" s="46"/>
      <c r="CS384" s="46"/>
      <c r="CT384" s="46"/>
      <c r="CU384" s="46"/>
    </row>
    <row r="385" spans="1:99" ht="12.75" customHeight="1">
      <c r="A385" s="399">
        <v>1627</v>
      </c>
      <c r="B385" s="399" t="s">
        <v>5606</v>
      </c>
      <c r="C385" s="399">
        <f t="shared" si="42"/>
        <v>1627</v>
      </c>
      <c r="D385" s="399" t="str">
        <f t="shared" si="62"/>
        <v xml:space="preserve">Anticonvulsants </v>
      </c>
      <c r="E385" s="399" t="str">
        <f t="shared" si="44"/>
        <v xml:space="preserve">Anticonvulsants </v>
      </c>
      <c r="F385" s="409" t="s">
        <v>3164</v>
      </c>
      <c r="G385" s="400">
        <f t="shared" si="70"/>
        <v>23</v>
      </c>
      <c r="H385" s="400" t="str">
        <f t="shared" si="71"/>
        <v/>
      </c>
      <c r="I385" s="400"/>
      <c r="J385" s="400"/>
      <c r="K385" s="401" t="s">
        <v>3333</v>
      </c>
      <c r="L385" s="402" t="s">
        <v>961</v>
      </c>
      <c r="M385" s="400"/>
      <c r="N385" s="427" t="s">
        <v>4417</v>
      </c>
      <c r="O385" s="428"/>
      <c r="P385" s="407" t="s">
        <v>5607</v>
      </c>
      <c r="Q385" s="407"/>
      <c r="R385" s="407"/>
      <c r="S385" s="432" t="s">
        <v>5608</v>
      </c>
      <c r="T385" s="421"/>
      <c r="U385" s="407"/>
      <c r="V385" s="432" t="s">
        <v>5609</v>
      </c>
      <c r="W385" s="407"/>
      <c r="X385" s="407" t="s">
        <v>208</v>
      </c>
      <c r="Y385" s="407"/>
      <c r="Z385" s="403" t="s">
        <v>113</v>
      </c>
      <c r="AA385" s="403" t="s">
        <v>3178</v>
      </c>
      <c r="AB385" s="432" t="s">
        <v>4521</v>
      </c>
      <c r="AC385" s="421"/>
      <c r="AD385" s="421"/>
      <c r="AE385" s="432"/>
      <c r="AF385" s="407"/>
      <c r="AG385" s="407" t="s">
        <v>4489</v>
      </c>
      <c r="AH385" s="399"/>
      <c r="AI385" s="400"/>
      <c r="AJ385" s="399"/>
      <c r="AK385" s="399"/>
      <c r="AL385" s="399"/>
      <c r="AM385" s="399"/>
      <c r="AN385" s="399"/>
      <c r="AO385" s="399"/>
      <c r="AP385" s="399"/>
      <c r="AQ385" s="409" t="s">
        <v>115</v>
      </c>
      <c r="AR385" s="399"/>
      <c r="AS385" s="399"/>
      <c r="AT385" s="399"/>
      <c r="AU385" s="399" t="s">
        <v>5606</v>
      </c>
      <c r="AV385" s="399" t="str">
        <f t="shared" si="47"/>
        <v>Same</v>
      </c>
      <c r="AW385" s="399"/>
      <c r="AX385" s="409" t="s">
        <v>3343</v>
      </c>
      <c r="AY385" s="399" t="str">
        <f t="shared" si="63"/>
        <v>"Anticonvulsants "-&gt;"       Anticonvulsants "</v>
      </c>
      <c r="AZ385" s="399"/>
      <c r="BA385" s="409">
        <v>0</v>
      </c>
      <c r="BB385" s="399"/>
      <c r="BC385" s="399"/>
      <c r="BD385" s="399"/>
      <c r="BE385" s="411"/>
      <c r="BF385" s="411"/>
      <c r="BG385" s="411"/>
      <c r="BH385" s="411"/>
      <c r="BI385" s="411"/>
      <c r="BJ385" s="399"/>
      <c r="BK385" s="399"/>
      <c r="BL385" s="399"/>
      <c r="BM385" s="399"/>
      <c r="BN385" s="399"/>
      <c r="BO385" s="399"/>
      <c r="BP385" s="399"/>
      <c r="BQ385" s="399"/>
      <c r="BR385" s="399"/>
      <c r="BS385" s="407"/>
      <c r="BT385" s="407"/>
      <c r="BU385" s="412"/>
      <c r="BV385" s="46" t="str">
        <f t="shared" si="8"/>
        <v/>
      </c>
      <c r="BW385" s="46" t="str">
        <f t="shared" si="9"/>
        <v/>
      </c>
      <c r="BX385" s="46" t="str">
        <f t="shared" si="10"/>
        <v/>
      </c>
      <c r="BY385" s="43" t="str">
        <f t="shared" si="11"/>
        <v/>
      </c>
      <c r="BZ385" s="46">
        <f t="shared" si="12"/>
        <v>1</v>
      </c>
      <c r="CA385" s="46" t="str">
        <f t="shared" si="13"/>
        <v/>
      </c>
      <c r="CB385" s="46">
        <f t="shared" si="14"/>
        <v>1</v>
      </c>
      <c r="CC385" s="46">
        <f t="shared" si="15"/>
        <v>1</v>
      </c>
      <c r="CD385" s="46">
        <f t="shared" si="16"/>
        <v>1</v>
      </c>
      <c r="CE385" s="46">
        <f t="shared" si="17"/>
        <v>0</v>
      </c>
      <c r="CF385" s="46">
        <f t="shared" si="18"/>
        <v>0</v>
      </c>
      <c r="CG385" s="46" t="str">
        <f ca="1">IFERROR(__xludf.DUMMYFUNCTION("if(OR(BH385="""",LEFT(BH385,2)=""LA""),"""",IMPORTXML(CONCATENATE(""https://loinc.org/"",BH385,""/""),""//span[@id='lcn']""))"),"")</f>
        <v/>
      </c>
      <c r="CH385" s="46"/>
      <c r="CI385" s="46"/>
      <c r="CJ385" s="46"/>
      <c r="CK385" s="46"/>
      <c r="CL385" s="46"/>
      <c r="CM385" s="46"/>
      <c r="CN385" s="46"/>
      <c r="CO385" s="46"/>
      <c r="CP385" s="46"/>
      <c r="CQ385" s="46"/>
      <c r="CR385" s="46"/>
      <c r="CS385" s="46"/>
      <c r="CT385" s="46"/>
      <c r="CU385" s="46"/>
    </row>
    <row r="386" spans="1:99" ht="12.75" customHeight="1">
      <c r="A386" s="399">
        <v>1628</v>
      </c>
      <c r="B386" s="399" t="s">
        <v>5610</v>
      </c>
      <c r="C386" s="399">
        <f t="shared" si="42"/>
        <v>1628</v>
      </c>
      <c r="D386" s="399" t="str">
        <f t="shared" si="62"/>
        <v>Antimicrobial therapy</v>
      </c>
      <c r="E386" s="399" t="str">
        <f t="shared" si="44"/>
        <v>Antimicrobial therapy</v>
      </c>
      <c r="F386" s="409" t="s">
        <v>3164</v>
      </c>
      <c r="G386" s="400">
        <f t="shared" si="70"/>
        <v>28</v>
      </c>
      <c r="H386" s="400" t="str">
        <f t="shared" si="71"/>
        <v/>
      </c>
      <c r="I386" s="400"/>
      <c r="J386" s="400"/>
      <c r="K386" s="401" t="s">
        <v>3333</v>
      </c>
      <c r="L386" s="402" t="s">
        <v>961</v>
      </c>
      <c r="M386" s="400"/>
      <c r="N386" s="427" t="s">
        <v>4417</v>
      </c>
      <c r="O386" s="428"/>
      <c r="P386" s="407" t="s">
        <v>5611</v>
      </c>
      <c r="Q386" s="407"/>
      <c r="R386" s="407"/>
      <c r="S386" s="432" t="s">
        <v>5612</v>
      </c>
      <c r="T386" s="421"/>
      <c r="U386" s="407"/>
      <c r="V386" s="432" t="s">
        <v>5613</v>
      </c>
      <c r="W386" s="407"/>
      <c r="X386" s="407" t="s">
        <v>208</v>
      </c>
      <c r="Y386" s="407"/>
      <c r="Z386" s="403" t="s">
        <v>113</v>
      </c>
      <c r="AA386" s="403" t="s">
        <v>3178</v>
      </c>
      <c r="AB386" s="432" t="s">
        <v>4521</v>
      </c>
      <c r="AC386" s="421"/>
      <c r="AD386" s="421"/>
      <c r="AE386" s="432"/>
      <c r="AF386" s="407"/>
      <c r="AG386" s="407" t="s">
        <v>4489</v>
      </c>
      <c r="AH386" s="399"/>
      <c r="AI386" s="400"/>
      <c r="AJ386" s="399"/>
      <c r="AK386" s="399"/>
      <c r="AL386" s="399"/>
      <c r="AM386" s="399"/>
      <c r="AN386" s="399"/>
      <c r="AO386" s="399"/>
      <c r="AP386" s="399"/>
      <c r="AQ386" s="409" t="s">
        <v>115</v>
      </c>
      <c r="AR386" s="399"/>
      <c r="AS386" s="399"/>
      <c r="AT386" s="399"/>
      <c r="AU386" s="399" t="s">
        <v>5610</v>
      </c>
      <c r="AV386" s="399" t="str">
        <f t="shared" si="47"/>
        <v>Same</v>
      </c>
      <c r="AW386" s="399"/>
      <c r="AX386" s="409" t="s">
        <v>3343</v>
      </c>
      <c r="AY386" s="399" t="str">
        <f t="shared" si="63"/>
        <v>"Antimicrobial therapy"-&gt;"       Antimicrobial therapy"</v>
      </c>
      <c r="AZ386" s="399"/>
      <c r="BA386" s="409">
        <v>1</v>
      </c>
      <c r="BB386" s="399"/>
      <c r="BC386" s="399"/>
      <c r="BD386" s="399"/>
      <c r="BE386" s="411"/>
      <c r="BF386" s="411"/>
      <c r="BG386" s="411"/>
      <c r="BH386" s="411"/>
      <c r="BI386" s="411"/>
      <c r="BJ386" s="399"/>
      <c r="BK386" s="399"/>
      <c r="BL386" s="399"/>
      <c r="BM386" s="399"/>
      <c r="BN386" s="399"/>
      <c r="BO386" s="399"/>
      <c r="BP386" s="399"/>
      <c r="BQ386" s="399"/>
      <c r="BR386" s="399"/>
      <c r="BS386" s="407"/>
      <c r="BT386" s="407"/>
      <c r="BU386" s="412"/>
      <c r="BV386" s="46" t="str">
        <f t="shared" si="8"/>
        <v/>
      </c>
      <c r="BW386" s="46" t="str">
        <f t="shared" si="9"/>
        <v/>
      </c>
      <c r="BX386" s="46" t="str">
        <f t="shared" si="10"/>
        <v/>
      </c>
      <c r="BY386" s="43" t="str">
        <f t="shared" si="11"/>
        <v/>
      </c>
      <c r="BZ386" s="46">
        <f t="shared" si="12"/>
        <v>1</v>
      </c>
      <c r="CA386" s="46" t="str">
        <f t="shared" si="13"/>
        <v/>
      </c>
      <c r="CB386" s="46">
        <f t="shared" si="14"/>
        <v>1</v>
      </c>
      <c r="CC386" s="46">
        <f t="shared" si="15"/>
        <v>1</v>
      </c>
      <c r="CD386" s="46">
        <f t="shared" si="16"/>
        <v>1</v>
      </c>
      <c r="CE386" s="46">
        <f t="shared" si="17"/>
        <v>0</v>
      </c>
      <c r="CF386" s="46">
        <f t="shared" si="18"/>
        <v>0</v>
      </c>
      <c r="CG386" s="46" t="str">
        <f ca="1">IFERROR(__xludf.DUMMYFUNCTION("if(OR(BH386="""",LEFT(BH386,2)=""LA""),"""",IMPORTXML(CONCATENATE(""https://loinc.org/"",BH386,""/""),""//span[@id='lcn']""))"),"")</f>
        <v/>
      </c>
      <c r="CH386" s="46"/>
      <c r="CI386" s="46"/>
      <c r="CJ386" s="46"/>
      <c r="CK386" s="46"/>
      <c r="CL386" s="46"/>
      <c r="CM386" s="46"/>
      <c r="CN386" s="46"/>
      <c r="CO386" s="46"/>
      <c r="CP386" s="46"/>
      <c r="CQ386" s="46"/>
      <c r="CR386" s="46"/>
      <c r="CS386" s="46"/>
      <c r="CT386" s="46"/>
      <c r="CU386" s="46"/>
    </row>
    <row r="387" spans="1:99" ht="12.75" customHeight="1">
      <c r="A387" s="399">
        <v>1629</v>
      </c>
      <c r="B387" s="399" t="s">
        <v>5615</v>
      </c>
      <c r="C387" s="399">
        <f t="shared" si="42"/>
        <v>1629</v>
      </c>
      <c r="D387" s="399" t="str">
        <f t="shared" si="62"/>
        <v>Antiretroviral therapy</v>
      </c>
      <c r="E387" s="399" t="str">
        <f t="shared" si="44"/>
        <v>Antiretroviral therapy</v>
      </c>
      <c r="F387" s="409" t="s">
        <v>3164</v>
      </c>
      <c r="G387" s="400">
        <f t="shared" si="70"/>
        <v>29</v>
      </c>
      <c r="H387" s="400" t="str">
        <f t="shared" si="71"/>
        <v/>
      </c>
      <c r="I387" s="400"/>
      <c r="J387" s="400"/>
      <c r="K387" s="401" t="s">
        <v>3333</v>
      </c>
      <c r="L387" s="402" t="s">
        <v>961</v>
      </c>
      <c r="M387" s="400"/>
      <c r="N387" s="427" t="s">
        <v>4417</v>
      </c>
      <c r="O387" s="428"/>
      <c r="P387" s="407" t="s">
        <v>5616</v>
      </c>
      <c r="Q387" s="407"/>
      <c r="R387" s="407"/>
      <c r="S387" s="432" t="s">
        <v>5617</v>
      </c>
      <c r="T387" s="421"/>
      <c r="U387" s="407"/>
      <c r="V387" s="432" t="s">
        <v>5618</v>
      </c>
      <c r="W387" s="407"/>
      <c r="X387" s="407" t="s">
        <v>208</v>
      </c>
      <c r="Y387" s="407"/>
      <c r="Z387" s="403" t="s">
        <v>113</v>
      </c>
      <c r="AA387" s="403" t="s">
        <v>3178</v>
      </c>
      <c r="AB387" s="432" t="s">
        <v>4521</v>
      </c>
      <c r="AC387" s="421"/>
      <c r="AD387" s="421"/>
      <c r="AE387" s="432"/>
      <c r="AF387" s="407"/>
      <c r="AG387" s="407" t="s">
        <v>4489</v>
      </c>
      <c r="AH387" s="399"/>
      <c r="AI387" s="400"/>
      <c r="AJ387" s="399"/>
      <c r="AK387" s="399"/>
      <c r="AL387" s="399"/>
      <c r="AM387" s="399"/>
      <c r="AN387" s="399"/>
      <c r="AO387" s="399"/>
      <c r="AP387" s="399"/>
      <c r="AQ387" s="409" t="s">
        <v>115</v>
      </c>
      <c r="AR387" s="399"/>
      <c r="AS387" s="399"/>
      <c r="AT387" s="399"/>
      <c r="AU387" s="399" t="s">
        <v>5615</v>
      </c>
      <c r="AV387" s="399" t="str">
        <f t="shared" si="47"/>
        <v>Same</v>
      </c>
      <c r="AW387" s="399"/>
      <c r="AX387" s="409" t="s">
        <v>3343</v>
      </c>
      <c r="AY387" s="399" t="str">
        <f t="shared" si="63"/>
        <v>"Antiretroviral therapy"-&gt;"       Antiretroviral therapy"</v>
      </c>
      <c r="AZ387" s="399"/>
      <c r="BA387" s="409">
        <v>0</v>
      </c>
      <c r="BB387" s="399"/>
      <c r="BC387" s="399"/>
      <c r="BD387" s="399"/>
      <c r="BE387" s="411"/>
      <c r="BF387" s="411"/>
      <c r="BG387" s="411"/>
      <c r="BH387" s="411"/>
      <c r="BI387" s="411"/>
      <c r="BJ387" s="399"/>
      <c r="BK387" s="399"/>
      <c r="BL387" s="399"/>
      <c r="BM387" s="399"/>
      <c r="BN387" s="399"/>
      <c r="BO387" s="399"/>
      <c r="BP387" s="399"/>
      <c r="BQ387" s="399"/>
      <c r="BR387" s="399"/>
      <c r="BS387" s="407"/>
      <c r="BT387" s="407"/>
      <c r="BU387" s="412"/>
      <c r="BV387" s="46" t="str">
        <f t="shared" si="8"/>
        <v/>
      </c>
      <c r="BW387" s="46" t="str">
        <f t="shared" si="9"/>
        <v/>
      </c>
      <c r="BX387" s="46" t="str">
        <f t="shared" si="10"/>
        <v/>
      </c>
      <c r="BY387" s="43" t="str">
        <f t="shared" si="11"/>
        <v/>
      </c>
      <c r="BZ387" s="46">
        <f t="shared" si="12"/>
        <v>1</v>
      </c>
      <c r="CA387" s="46" t="str">
        <f t="shared" si="13"/>
        <v/>
      </c>
      <c r="CB387" s="46">
        <f t="shared" si="14"/>
        <v>1</v>
      </c>
      <c r="CC387" s="46">
        <f t="shared" si="15"/>
        <v>1</v>
      </c>
      <c r="CD387" s="46">
        <f t="shared" si="16"/>
        <v>1</v>
      </c>
      <c r="CE387" s="46">
        <f t="shared" si="17"/>
        <v>0</v>
      </c>
      <c r="CF387" s="46">
        <f t="shared" si="18"/>
        <v>0</v>
      </c>
      <c r="CG387" s="46" t="str">
        <f ca="1">IFERROR(__xludf.DUMMYFUNCTION("if(OR(BH387="""",LEFT(BH387,2)=""LA""),"""",IMPORTXML(CONCATENATE(""https://loinc.org/"",BH387,""/""),""//span[@id='lcn']""))"),"")</f>
        <v/>
      </c>
      <c r="CH387" s="46"/>
      <c r="CI387" s="46"/>
      <c r="CJ387" s="46"/>
      <c r="CK387" s="46"/>
      <c r="CL387" s="46"/>
      <c r="CM387" s="46"/>
      <c r="CN387" s="46"/>
      <c r="CO387" s="46"/>
      <c r="CP387" s="46"/>
      <c r="CQ387" s="46"/>
      <c r="CR387" s="46"/>
      <c r="CS387" s="46"/>
      <c r="CT387" s="46"/>
      <c r="CU387" s="46"/>
    </row>
    <row r="388" spans="1:99" ht="12.75" customHeight="1">
      <c r="A388" s="409">
        <v>1630</v>
      </c>
      <c r="B388" s="399" t="s">
        <v>5619</v>
      </c>
      <c r="C388" s="399">
        <f t="shared" si="42"/>
        <v>1630</v>
      </c>
      <c r="D388" s="399" t="str">
        <f t="shared" si="62"/>
        <v>Anticonvulsant therapy</v>
      </c>
      <c r="E388" s="399" t="str">
        <f t="shared" si="44"/>
        <v>Anticonvulsant therapy</v>
      </c>
      <c r="F388" s="409" t="s">
        <v>3164</v>
      </c>
      <c r="G388" s="400">
        <f t="shared" si="70"/>
        <v>22</v>
      </c>
      <c r="H388" s="400" t="str">
        <f t="shared" si="71"/>
        <v/>
      </c>
      <c r="I388" s="400"/>
      <c r="J388" s="400"/>
      <c r="K388" s="401" t="s">
        <v>3333</v>
      </c>
      <c r="L388" s="402" t="s">
        <v>4081</v>
      </c>
      <c r="M388" s="400"/>
      <c r="N388" s="427" t="s">
        <v>4417</v>
      </c>
      <c r="O388" s="428"/>
      <c r="P388" s="407" t="s">
        <v>5620</v>
      </c>
      <c r="Q388" s="405" t="s">
        <v>5619</v>
      </c>
      <c r="R388" s="403"/>
      <c r="S388" s="403" t="s">
        <v>5608</v>
      </c>
      <c r="T388" s="407"/>
      <c r="U388" s="407"/>
      <c r="V388" s="403"/>
      <c r="W388" s="407"/>
      <c r="X388" s="407" t="s">
        <v>208</v>
      </c>
      <c r="Y388" s="407"/>
      <c r="Z388" s="403" t="s">
        <v>113</v>
      </c>
      <c r="AA388" s="403" t="s">
        <v>3178</v>
      </c>
      <c r="AB388" s="432" t="s">
        <v>5621</v>
      </c>
      <c r="AC388" s="421"/>
      <c r="AD388" s="421"/>
      <c r="AE388" s="432"/>
      <c r="AF388" s="407"/>
      <c r="AG388" s="407" t="s">
        <v>4489</v>
      </c>
      <c r="AH388" s="399"/>
      <c r="AI388" s="400"/>
      <c r="AJ388" s="399"/>
      <c r="AK388" s="399"/>
      <c r="AL388" s="399"/>
      <c r="AM388" s="399"/>
      <c r="AN388" s="399"/>
      <c r="AO388" s="399"/>
      <c r="AP388" s="409"/>
      <c r="AQ388" s="409" t="s">
        <v>115</v>
      </c>
      <c r="AR388" s="399"/>
      <c r="AS388" s="399"/>
      <c r="AT388" s="399"/>
      <c r="AU388" s="399" t="s">
        <v>5622</v>
      </c>
      <c r="AV388" s="399" t="str">
        <f t="shared" si="47"/>
        <v>Changed</v>
      </c>
      <c r="AW388" s="399"/>
      <c r="AX388" s="409" t="s">
        <v>3343</v>
      </c>
      <c r="AY388" s="399" t="str">
        <f t="shared" si="63"/>
        <v/>
      </c>
      <c r="AZ388" s="399"/>
      <c r="BA388" s="409">
        <v>1</v>
      </c>
      <c r="BB388" s="399"/>
      <c r="BC388" s="399"/>
      <c r="BD388" s="399"/>
      <c r="BE388" s="411"/>
      <c r="BF388" s="411"/>
      <c r="BG388" s="411"/>
      <c r="BH388" s="411"/>
      <c r="BI388" s="411"/>
      <c r="BJ388" s="399"/>
      <c r="BK388" s="399"/>
      <c r="BL388" s="399"/>
      <c r="BM388" s="399"/>
      <c r="BN388" s="399"/>
      <c r="BO388" s="399"/>
      <c r="BP388" s="399"/>
      <c r="BQ388" s="399"/>
      <c r="BR388" s="399"/>
      <c r="BS388" s="407"/>
      <c r="BT388" s="407"/>
      <c r="BU388" s="412"/>
      <c r="BV388" s="46" t="str">
        <f t="shared" si="8"/>
        <v/>
      </c>
      <c r="BW388" s="46" t="str">
        <f t="shared" si="9"/>
        <v/>
      </c>
      <c r="BX388" s="46" t="str">
        <f t="shared" si="10"/>
        <v/>
      </c>
      <c r="BY388" s="43" t="str">
        <f t="shared" si="11"/>
        <v/>
      </c>
      <c r="BZ388" s="46">
        <f t="shared" si="12"/>
        <v>1</v>
      </c>
      <c r="CA388" s="46" t="str">
        <f t="shared" si="13"/>
        <v/>
      </c>
      <c r="CB388" s="46">
        <f t="shared" si="14"/>
        <v>1</v>
      </c>
      <c r="CC388" s="46">
        <f t="shared" si="15"/>
        <v>1</v>
      </c>
      <c r="CD388" s="46">
        <f t="shared" si="16"/>
        <v>1</v>
      </c>
      <c r="CE388" s="46">
        <f t="shared" si="17"/>
        <v>0</v>
      </c>
      <c r="CF388" s="46">
        <f t="shared" si="18"/>
        <v>0</v>
      </c>
      <c r="CG388" s="46" t="str">
        <f ca="1">IFERROR(__xludf.DUMMYFUNCTION("if(OR(BH388="""",LEFT(BH388,2)=""LA""),"""",IMPORTXML(CONCATENATE(""https://loinc.org/"",BH388,""/""),""//span[@id='lcn']""))"),"")</f>
        <v/>
      </c>
      <c r="CH388" s="46"/>
      <c r="CI388" s="46"/>
      <c r="CJ388" s="46"/>
      <c r="CK388" s="46"/>
      <c r="CL388" s="46"/>
      <c r="CM388" s="46"/>
      <c r="CN388" s="46"/>
      <c r="CO388" s="46"/>
      <c r="CP388" s="46"/>
      <c r="CQ388" s="46"/>
      <c r="CR388" s="46"/>
      <c r="CS388" s="46"/>
      <c r="CT388" s="46"/>
      <c r="CU388" s="46"/>
    </row>
    <row r="389" spans="1:99" ht="12.75" customHeight="1">
      <c r="A389" s="399">
        <v>1631</v>
      </c>
      <c r="B389" s="399" t="s">
        <v>5623</v>
      </c>
      <c r="C389" s="399">
        <f t="shared" si="42"/>
        <v>1631</v>
      </c>
      <c r="D389" s="399" t="e">
        <f t="shared" ca="1" si="62"/>
        <v>#NAME?</v>
      </c>
      <c r="E389" s="399" t="str">
        <f t="shared" si="44"/>
        <v>barbiturates</v>
      </c>
      <c r="F389" s="409" t="s">
        <v>180</v>
      </c>
      <c r="G389" s="400">
        <f t="shared" si="70"/>
        <v>12</v>
      </c>
      <c r="H389" s="410" t="s">
        <v>5602</v>
      </c>
      <c r="I389" s="400"/>
      <c r="J389" s="400"/>
      <c r="K389" s="401" t="s">
        <v>3333</v>
      </c>
      <c r="L389" s="402" t="s">
        <v>961</v>
      </c>
      <c r="M389" s="400"/>
      <c r="N389" s="427" t="s">
        <v>4417</v>
      </c>
      <c r="O389" s="428"/>
      <c r="P389" s="407" t="s">
        <v>5624</v>
      </c>
      <c r="Q389" s="403"/>
      <c r="R389" s="403"/>
      <c r="S389" s="403" t="str">
        <f t="shared" ref="S389:S395" si="72">"Client is currently taking "&amp;V389</f>
        <v>Client is currently taking barbiturates</v>
      </c>
      <c r="T389" s="403"/>
      <c r="U389" s="407"/>
      <c r="V389" s="407" t="s">
        <v>5623</v>
      </c>
      <c r="W389" s="407"/>
      <c r="X389" s="407" t="s">
        <v>208</v>
      </c>
      <c r="Y389" s="403"/>
      <c r="Z389" s="403" t="s">
        <v>113</v>
      </c>
      <c r="AA389" s="403" t="s">
        <v>3178</v>
      </c>
      <c r="AB389" s="432" t="s">
        <v>4521</v>
      </c>
      <c r="AC389" s="421"/>
      <c r="AD389" s="436"/>
      <c r="AE389" s="420"/>
      <c r="AF389" s="407"/>
      <c r="AG389" s="407" t="s">
        <v>4489</v>
      </c>
      <c r="AH389" s="399"/>
      <c r="AI389" s="400"/>
      <c r="AJ389" s="399"/>
      <c r="AK389" s="409"/>
      <c r="AL389" s="409"/>
      <c r="AM389" s="409"/>
      <c r="AN389" s="409"/>
      <c r="AO389" s="399"/>
      <c r="AP389" s="409"/>
      <c r="AQ389" s="409" t="s">
        <v>3130</v>
      </c>
      <c r="AR389" s="399"/>
      <c r="AS389" s="399"/>
      <c r="AT389" s="399"/>
      <c r="AU389" s="399" t="s">
        <v>5625</v>
      </c>
      <c r="AV389" s="399" t="str">
        <f t="shared" si="47"/>
        <v>Changed</v>
      </c>
      <c r="AW389" s="399"/>
      <c r="AX389" s="409" t="s">
        <v>3343</v>
      </c>
      <c r="AY389" s="399" t="e">
        <f t="shared" ca="1" si="63"/>
        <v>#NAME?</v>
      </c>
      <c r="AZ389" s="399"/>
      <c r="BA389" s="409">
        <v>1</v>
      </c>
      <c r="BB389" s="399"/>
      <c r="BC389" s="399"/>
      <c r="BD389" s="409" t="s">
        <v>5626</v>
      </c>
      <c r="BE389" s="411"/>
      <c r="BF389" s="411"/>
      <c r="BG389" s="411"/>
      <c r="BH389" s="411"/>
      <c r="BI389" s="611" t="s">
        <v>5627</v>
      </c>
      <c r="BJ389" s="399"/>
      <c r="BK389" s="399"/>
      <c r="BL389" s="409" t="s">
        <v>5628</v>
      </c>
      <c r="BM389" s="399"/>
      <c r="BN389" s="399"/>
      <c r="BO389" s="399"/>
      <c r="BP389" s="399"/>
      <c r="BQ389" s="399"/>
      <c r="BR389" s="399"/>
      <c r="BS389" s="407"/>
      <c r="BT389" s="407"/>
      <c r="BU389" s="412"/>
      <c r="BV389" s="46" t="str">
        <f t="shared" si="8"/>
        <v/>
      </c>
      <c r="BW389" s="46">
        <f t="shared" si="9"/>
        <v>0</v>
      </c>
      <c r="BX389" s="46">
        <f t="shared" si="10"/>
        <v>0</v>
      </c>
      <c r="BY389" s="43" t="str">
        <f t="shared" si="11"/>
        <v>WHO-FP MedicationStatement (Current Medication)</v>
      </c>
      <c r="BZ389" s="46">
        <f t="shared" si="12"/>
        <v>1</v>
      </c>
      <c r="CA389" s="46" t="str">
        <f t="shared" si="13"/>
        <v/>
      </c>
      <c r="CB389" s="46">
        <f t="shared" si="14"/>
        <v>1</v>
      </c>
      <c r="CC389" s="46">
        <f t="shared" si="15"/>
        <v>1</v>
      </c>
      <c r="CD389" s="46">
        <f t="shared" si="16"/>
        <v>1</v>
      </c>
      <c r="CE389" s="46">
        <f t="shared" si="17"/>
        <v>0</v>
      </c>
      <c r="CF389" s="46">
        <f t="shared" si="18"/>
        <v>0</v>
      </c>
      <c r="CG389" s="46" t="str">
        <f ca="1">IFERROR(__xludf.DUMMYFUNCTION("if(OR(BH389="""",LEFT(BH389,2)=""LA""),"""",IMPORTXML(CONCATENATE(""https://loinc.org/"",BH389,""/""),""//span[@id='lcn']""))"),"")</f>
        <v/>
      </c>
      <c r="CH389" s="46"/>
      <c r="CI389" s="46"/>
      <c r="CJ389" s="46"/>
      <c r="CK389" s="46"/>
      <c r="CL389" s="46"/>
      <c r="CM389" s="46"/>
      <c r="CN389" s="46"/>
      <c r="CO389" s="46"/>
      <c r="CP389" s="46"/>
      <c r="CQ389" s="46"/>
      <c r="CR389" s="46"/>
      <c r="CS389" s="46"/>
      <c r="CT389" s="46"/>
      <c r="CU389" s="46"/>
    </row>
    <row r="390" spans="1:99" ht="12.75" customHeight="1">
      <c r="A390" s="399">
        <v>1632</v>
      </c>
      <c r="B390" s="399" t="s">
        <v>5629</v>
      </c>
      <c r="C390" s="399">
        <f t="shared" si="42"/>
        <v>1632</v>
      </c>
      <c r="D390" s="399" t="e">
        <f t="shared" ca="1" si="62"/>
        <v>#NAME?</v>
      </c>
      <c r="E390" s="399" t="str">
        <f t="shared" si="44"/>
        <v>carbamazepine</v>
      </c>
      <c r="F390" s="409" t="s">
        <v>180</v>
      </c>
      <c r="G390" s="400">
        <f t="shared" si="70"/>
        <v>13</v>
      </c>
      <c r="H390" s="410" t="s">
        <v>5602</v>
      </c>
      <c r="I390" s="400"/>
      <c r="J390" s="400"/>
      <c r="K390" s="401" t="s">
        <v>3333</v>
      </c>
      <c r="L390" s="402" t="s">
        <v>961</v>
      </c>
      <c r="M390" s="400"/>
      <c r="N390" s="427" t="s">
        <v>4417</v>
      </c>
      <c r="O390" s="428"/>
      <c r="P390" s="407" t="s">
        <v>5630</v>
      </c>
      <c r="Q390" s="403"/>
      <c r="R390" s="403"/>
      <c r="S390" s="403" t="str">
        <f t="shared" si="72"/>
        <v>Client is currently taking carbamazepine</v>
      </c>
      <c r="T390" s="403"/>
      <c r="U390" s="407"/>
      <c r="V390" s="432" t="s">
        <v>5629</v>
      </c>
      <c r="W390" s="407"/>
      <c r="X390" s="407" t="s">
        <v>208</v>
      </c>
      <c r="Y390" s="403"/>
      <c r="Z390" s="403" t="s">
        <v>113</v>
      </c>
      <c r="AA390" s="403" t="s">
        <v>3178</v>
      </c>
      <c r="AB390" s="432" t="s">
        <v>4521</v>
      </c>
      <c r="AC390" s="421"/>
      <c r="AD390" s="436"/>
      <c r="AE390" s="420"/>
      <c r="AF390" s="407"/>
      <c r="AG390" s="407" t="s">
        <v>4489</v>
      </c>
      <c r="AH390" s="399"/>
      <c r="AI390" s="400"/>
      <c r="AJ390" s="399"/>
      <c r="AK390" s="409"/>
      <c r="AL390" s="409"/>
      <c r="AM390" s="409"/>
      <c r="AN390" s="409"/>
      <c r="AO390" s="399"/>
      <c r="AP390" s="409"/>
      <c r="AQ390" s="409" t="s">
        <v>3130</v>
      </c>
      <c r="AR390" s="399"/>
      <c r="AS390" s="399"/>
      <c r="AT390" s="399"/>
      <c r="AU390" s="399" t="s">
        <v>5631</v>
      </c>
      <c r="AV390" s="399" t="str">
        <f t="shared" si="47"/>
        <v>Changed</v>
      </c>
      <c r="AW390" s="399"/>
      <c r="AX390" s="409" t="s">
        <v>3343</v>
      </c>
      <c r="AY390" s="399" t="e">
        <f t="shared" ca="1" si="63"/>
        <v>#NAME?</v>
      </c>
      <c r="AZ390" s="399"/>
      <c r="BA390" s="409">
        <v>1</v>
      </c>
      <c r="BB390" s="399"/>
      <c r="BC390" s="399"/>
      <c r="BD390" s="409" t="s">
        <v>3162</v>
      </c>
      <c r="BE390" s="411"/>
      <c r="BF390" s="411"/>
      <c r="BG390" s="411" t="s">
        <v>5632</v>
      </c>
      <c r="BH390" s="411"/>
      <c r="BI390" s="434" t="s">
        <v>5633</v>
      </c>
      <c r="BJ390" s="399"/>
      <c r="BK390" s="399"/>
      <c r="BL390" s="409" t="s">
        <v>5634</v>
      </c>
      <c r="BM390" s="399"/>
      <c r="BN390" s="399"/>
      <c r="BO390" s="399">
        <v>72822</v>
      </c>
      <c r="BP390" s="399"/>
      <c r="BQ390" s="399"/>
      <c r="BR390" s="399" t="s">
        <v>5635</v>
      </c>
      <c r="BS390" s="407"/>
      <c r="BT390" s="407"/>
      <c r="BU390" s="412"/>
      <c r="BV390" s="46" t="str">
        <f t="shared" si="8"/>
        <v/>
      </c>
      <c r="BW390" s="46">
        <f t="shared" si="9"/>
        <v>0</v>
      </c>
      <c r="BX390" s="46">
        <f t="shared" si="10"/>
        <v>0</v>
      </c>
      <c r="BY390" s="43" t="str">
        <f t="shared" si="11"/>
        <v>WHO-FP MedicationStatement (Current Medication)</v>
      </c>
      <c r="BZ390" s="46">
        <f t="shared" si="12"/>
        <v>1</v>
      </c>
      <c r="CA390" s="46" t="str">
        <f t="shared" si="13"/>
        <v/>
      </c>
      <c r="CB390" s="46">
        <f t="shared" si="14"/>
        <v>1</v>
      </c>
      <c r="CC390" s="46">
        <f t="shared" si="15"/>
        <v>1</v>
      </c>
      <c r="CD390" s="46">
        <f t="shared" si="16"/>
        <v>1</v>
      </c>
      <c r="CE390" s="46">
        <f t="shared" si="17"/>
        <v>0</v>
      </c>
      <c r="CF390" s="46">
        <f t="shared" si="18"/>
        <v>0</v>
      </c>
      <c r="CG390" s="46" t="str">
        <f ca="1">IFERROR(__xludf.DUMMYFUNCTION("if(OR(BH390="""",LEFT(BH390,2)=""LA""),"""",IMPORTXML(CONCATENATE(""https://loinc.org/"",BH390,""/""),""//span[@id='lcn']""))"),"")</f>
        <v/>
      </c>
      <c r="CH390" s="46"/>
      <c r="CI390" s="46"/>
      <c r="CJ390" s="46"/>
      <c r="CK390" s="46"/>
      <c r="CL390" s="46"/>
      <c r="CM390" s="46"/>
      <c r="CN390" s="46"/>
      <c r="CO390" s="46"/>
      <c r="CP390" s="46"/>
      <c r="CQ390" s="46"/>
      <c r="CR390" s="46"/>
      <c r="CS390" s="46"/>
      <c r="CT390" s="46"/>
      <c r="CU390" s="46"/>
    </row>
    <row r="391" spans="1:99" ht="12.75" customHeight="1">
      <c r="A391" s="399">
        <v>1633</v>
      </c>
      <c r="B391" s="399" t="s">
        <v>5636</v>
      </c>
      <c r="C391" s="399">
        <f t="shared" si="42"/>
        <v>1633</v>
      </c>
      <c r="D391" s="399" t="e">
        <f t="shared" ca="1" si="62"/>
        <v>#NAME?</v>
      </c>
      <c r="E391" s="399" t="str">
        <f t="shared" si="44"/>
        <v>oxcarbazepine</v>
      </c>
      <c r="F391" s="409" t="s">
        <v>180</v>
      </c>
      <c r="G391" s="400">
        <f t="shared" si="70"/>
        <v>13</v>
      </c>
      <c r="H391" s="410" t="s">
        <v>5602</v>
      </c>
      <c r="I391" s="400"/>
      <c r="J391" s="400"/>
      <c r="K391" s="401" t="s">
        <v>3333</v>
      </c>
      <c r="L391" s="402" t="s">
        <v>961</v>
      </c>
      <c r="M391" s="400"/>
      <c r="N391" s="427" t="s">
        <v>4417</v>
      </c>
      <c r="O391" s="428"/>
      <c r="P391" s="407" t="s">
        <v>5637</v>
      </c>
      <c r="Q391" s="403"/>
      <c r="R391" s="403"/>
      <c r="S391" s="403" t="str">
        <f t="shared" si="72"/>
        <v>Client is currently taking oxcarbazepine</v>
      </c>
      <c r="T391" s="403"/>
      <c r="U391" s="407"/>
      <c r="V391" s="432" t="s">
        <v>5636</v>
      </c>
      <c r="W391" s="407"/>
      <c r="X391" s="407" t="s">
        <v>208</v>
      </c>
      <c r="Y391" s="403"/>
      <c r="Z391" s="403" t="s">
        <v>113</v>
      </c>
      <c r="AA391" s="403" t="s">
        <v>3178</v>
      </c>
      <c r="AB391" s="432" t="s">
        <v>4521</v>
      </c>
      <c r="AC391" s="421"/>
      <c r="AD391" s="436"/>
      <c r="AE391" s="420"/>
      <c r="AF391" s="407"/>
      <c r="AG391" s="407" t="s">
        <v>4489</v>
      </c>
      <c r="AH391" s="399"/>
      <c r="AI391" s="400"/>
      <c r="AJ391" s="399"/>
      <c r="AK391" s="409"/>
      <c r="AL391" s="409"/>
      <c r="AM391" s="409"/>
      <c r="AN391" s="409"/>
      <c r="AO391" s="399"/>
      <c r="AP391" s="409"/>
      <c r="AQ391" s="409" t="s">
        <v>3130</v>
      </c>
      <c r="AR391" s="399"/>
      <c r="AS391" s="399"/>
      <c r="AT391" s="399"/>
      <c r="AU391" s="399" t="s">
        <v>5638</v>
      </c>
      <c r="AV391" s="399" t="str">
        <f t="shared" si="47"/>
        <v>Changed</v>
      </c>
      <c r="AW391" s="399"/>
      <c r="AX391" s="409" t="s">
        <v>3343</v>
      </c>
      <c r="AY391" s="399" t="e">
        <f t="shared" ca="1" si="63"/>
        <v>#NAME?</v>
      </c>
      <c r="AZ391" s="399"/>
      <c r="BA391" s="409">
        <v>1</v>
      </c>
      <c r="BB391" s="399"/>
      <c r="BC391" s="399"/>
      <c r="BD391" s="409" t="s">
        <v>5639</v>
      </c>
      <c r="BE391" s="411"/>
      <c r="BF391" s="411"/>
      <c r="BG391" s="411" t="s">
        <v>5640</v>
      </c>
      <c r="BH391" s="411"/>
      <c r="BI391" s="434" t="s">
        <v>5641</v>
      </c>
      <c r="BJ391" s="399"/>
      <c r="BK391" s="399"/>
      <c r="BL391" s="409" t="s">
        <v>5642</v>
      </c>
      <c r="BM391" s="399"/>
      <c r="BN391" s="399"/>
      <c r="BO391" s="399">
        <v>81294</v>
      </c>
      <c r="BP391" s="399"/>
      <c r="BQ391" s="399"/>
      <c r="BR391" s="399" t="s">
        <v>5643</v>
      </c>
      <c r="BS391" s="407"/>
      <c r="BT391" s="407"/>
      <c r="BU391" s="412"/>
      <c r="BV391" s="46" t="str">
        <f t="shared" si="8"/>
        <v/>
      </c>
      <c r="BW391" s="46">
        <f t="shared" si="9"/>
        <v>0</v>
      </c>
      <c r="BX391" s="46">
        <f t="shared" si="10"/>
        <v>0</v>
      </c>
      <c r="BY391" s="43" t="str">
        <f t="shared" si="11"/>
        <v>WHO-FP MedicationStatement (Current Medication)</v>
      </c>
      <c r="BZ391" s="46">
        <f t="shared" si="12"/>
        <v>1</v>
      </c>
      <c r="CA391" s="46" t="str">
        <f t="shared" si="13"/>
        <v/>
      </c>
      <c r="CB391" s="46">
        <f t="shared" si="14"/>
        <v>1</v>
      </c>
      <c r="CC391" s="46">
        <f t="shared" si="15"/>
        <v>1</v>
      </c>
      <c r="CD391" s="46">
        <f t="shared" si="16"/>
        <v>1</v>
      </c>
      <c r="CE391" s="46">
        <f t="shared" si="17"/>
        <v>0</v>
      </c>
      <c r="CF391" s="46">
        <f t="shared" si="18"/>
        <v>0</v>
      </c>
      <c r="CG391" s="46" t="str">
        <f ca="1">IFERROR(__xludf.DUMMYFUNCTION("if(OR(BH391="""",LEFT(BH391,2)=""LA""),"""",IMPORTXML(CONCATENATE(""https://loinc.org/"",BH391,""/""),""//span[@id='lcn']""))"),"")</f>
        <v/>
      </c>
      <c r="CH391" s="46"/>
      <c r="CI391" s="46"/>
      <c r="CJ391" s="46"/>
      <c r="CK391" s="46"/>
      <c r="CL391" s="46"/>
      <c r="CM391" s="46"/>
      <c r="CN391" s="46"/>
      <c r="CO391" s="46"/>
      <c r="CP391" s="46"/>
      <c r="CQ391" s="46"/>
      <c r="CR391" s="46"/>
      <c r="CS391" s="46"/>
      <c r="CT391" s="46"/>
      <c r="CU391" s="46"/>
    </row>
    <row r="392" spans="1:99" ht="12.75" customHeight="1">
      <c r="A392" s="399">
        <v>1634</v>
      </c>
      <c r="B392" s="399" t="s">
        <v>5644</v>
      </c>
      <c r="C392" s="399">
        <f t="shared" si="42"/>
        <v>1634</v>
      </c>
      <c r="D392" s="399" t="e">
        <f t="shared" ca="1" si="62"/>
        <v>#NAME?</v>
      </c>
      <c r="E392" s="399" t="str">
        <f t="shared" si="44"/>
        <v>phenytoin</v>
      </c>
      <c r="F392" s="409" t="s">
        <v>180</v>
      </c>
      <c r="G392" s="400">
        <f t="shared" si="70"/>
        <v>9</v>
      </c>
      <c r="H392" s="410" t="s">
        <v>5602</v>
      </c>
      <c r="I392" s="400"/>
      <c r="J392" s="400"/>
      <c r="K392" s="401" t="s">
        <v>3333</v>
      </c>
      <c r="L392" s="402" t="s">
        <v>961</v>
      </c>
      <c r="M392" s="400"/>
      <c r="N392" s="427" t="s">
        <v>4417</v>
      </c>
      <c r="O392" s="428"/>
      <c r="P392" s="407" t="s">
        <v>5645</v>
      </c>
      <c r="Q392" s="403"/>
      <c r="R392" s="403"/>
      <c r="S392" s="403" t="str">
        <f t="shared" si="72"/>
        <v>Client is currently taking phenytoin</v>
      </c>
      <c r="T392" s="403"/>
      <c r="U392" s="407"/>
      <c r="V392" s="407" t="s">
        <v>5644</v>
      </c>
      <c r="W392" s="407"/>
      <c r="X392" s="407" t="s">
        <v>208</v>
      </c>
      <c r="Y392" s="403"/>
      <c r="Z392" s="403" t="s">
        <v>113</v>
      </c>
      <c r="AA392" s="403" t="s">
        <v>3178</v>
      </c>
      <c r="AB392" s="432" t="s">
        <v>4521</v>
      </c>
      <c r="AC392" s="421"/>
      <c r="AD392" s="436"/>
      <c r="AE392" s="420"/>
      <c r="AF392" s="407"/>
      <c r="AG392" s="407" t="s">
        <v>4489</v>
      </c>
      <c r="AH392" s="399"/>
      <c r="AI392" s="400"/>
      <c r="AJ392" s="399"/>
      <c r="AK392" s="409"/>
      <c r="AL392" s="409"/>
      <c r="AM392" s="409"/>
      <c r="AN392" s="409"/>
      <c r="AO392" s="399"/>
      <c r="AP392" s="409"/>
      <c r="AQ392" s="409" t="s">
        <v>3130</v>
      </c>
      <c r="AR392" s="399"/>
      <c r="AS392" s="399"/>
      <c r="AT392" s="399"/>
      <c r="AU392" s="399" t="s">
        <v>5646</v>
      </c>
      <c r="AV392" s="399" t="str">
        <f t="shared" si="47"/>
        <v>Changed</v>
      </c>
      <c r="AW392" s="399"/>
      <c r="AX392" s="409" t="s">
        <v>3343</v>
      </c>
      <c r="AY392" s="399" t="e">
        <f t="shared" ca="1" si="63"/>
        <v>#NAME?</v>
      </c>
      <c r="AZ392" s="399"/>
      <c r="BA392" s="409">
        <v>1</v>
      </c>
      <c r="BB392" s="399"/>
      <c r="BC392" s="399"/>
      <c r="BD392" s="409" t="s">
        <v>3162</v>
      </c>
      <c r="BE392" s="411"/>
      <c r="BF392" s="411"/>
      <c r="BG392" s="411" t="s">
        <v>5647</v>
      </c>
      <c r="BH392" s="411"/>
      <c r="BI392" s="434" t="s">
        <v>5648</v>
      </c>
      <c r="BJ392" s="399"/>
      <c r="BK392" s="399"/>
      <c r="BL392" s="409" t="s">
        <v>5649</v>
      </c>
      <c r="BM392" s="399"/>
      <c r="BN392" s="399"/>
      <c r="BO392" s="399">
        <v>82023</v>
      </c>
      <c r="BP392" s="399"/>
      <c r="BQ392" s="399"/>
      <c r="BR392" s="399" t="s">
        <v>5650</v>
      </c>
      <c r="BS392" s="407"/>
      <c r="BT392" s="407"/>
      <c r="BU392" s="412"/>
      <c r="BV392" s="46" t="str">
        <f t="shared" si="8"/>
        <v/>
      </c>
      <c r="BW392" s="46">
        <f t="shared" si="9"/>
        <v>0</v>
      </c>
      <c r="BX392" s="46">
        <f t="shared" si="10"/>
        <v>0</v>
      </c>
      <c r="BY392" s="43" t="str">
        <f t="shared" si="11"/>
        <v>WHO-FP MedicationStatement (Current Medication)</v>
      </c>
      <c r="BZ392" s="46">
        <f t="shared" si="12"/>
        <v>1</v>
      </c>
      <c r="CA392" s="46" t="str">
        <f t="shared" si="13"/>
        <v/>
      </c>
      <c r="CB392" s="46">
        <f t="shared" si="14"/>
        <v>1</v>
      </c>
      <c r="CC392" s="46">
        <f t="shared" si="15"/>
        <v>1</v>
      </c>
      <c r="CD392" s="46">
        <f t="shared" si="16"/>
        <v>1</v>
      </c>
      <c r="CE392" s="46">
        <f t="shared" si="17"/>
        <v>0</v>
      </c>
      <c r="CF392" s="46">
        <f t="shared" si="18"/>
        <v>0</v>
      </c>
      <c r="CG392" s="46" t="str">
        <f ca="1">IFERROR(__xludf.DUMMYFUNCTION("if(OR(BH392="""",LEFT(BH392,2)=""LA""),"""",IMPORTXML(CONCATENATE(""https://loinc.org/"",BH392,""/""),""//span[@id='lcn']""))"),"")</f>
        <v/>
      </c>
      <c r="CH392" s="46"/>
      <c r="CI392" s="46"/>
      <c r="CJ392" s="46"/>
      <c r="CK392" s="46"/>
      <c r="CL392" s="46"/>
      <c r="CM392" s="46"/>
      <c r="CN392" s="46"/>
      <c r="CO392" s="46"/>
      <c r="CP392" s="46"/>
      <c r="CQ392" s="46"/>
      <c r="CR392" s="46"/>
      <c r="CS392" s="46"/>
      <c r="CT392" s="46"/>
      <c r="CU392" s="46"/>
    </row>
    <row r="393" spans="1:99" ht="12.75" customHeight="1">
      <c r="A393" s="399">
        <v>1635</v>
      </c>
      <c r="B393" s="399" t="s">
        <v>5651</v>
      </c>
      <c r="C393" s="399">
        <f t="shared" si="42"/>
        <v>1635</v>
      </c>
      <c r="D393" s="399" t="e">
        <f t="shared" ca="1" si="62"/>
        <v>#NAME?</v>
      </c>
      <c r="E393" s="399" t="str">
        <f t="shared" si="44"/>
        <v>primidone</v>
      </c>
      <c r="F393" s="409" t="s">
        <v>180</v>
      </c>
      <c r="G393" s="400">
        <f t="shared" si="70"/>
        <v>9</v>
      </c>
      <c r="H393" s="410" t="s">
        <v>5602</v>
      </c>
      <c r="I393" s="400"/>
      <c r="J393" s="400"/>
      <c r="K393" s="401" t="s">
        <v>3333</v>
      </c>
      <c r="L393" s="402" t="s">
        <v>961</v>
      </c>
      <c r="M393" s="400"/>
      <c r="N393" s="427" t="s">
        <v>4417</v>
      </c>
      <c r="O393" s="428"/>
      <c r="P393" s="407" t="s">
        <v>5652</v>
      </c>
      <c r="Q393" s="403"/>
      <c r="R393" s="403"/>
      <c r="S393" s="403" t="str">
        <f t="shared" si="72"/>
        <v>Client is currently taking primidone</v>
      </c>
      <c r="T393" s="403"/>
      <c r="U393" s="407"/>
      <c r="V393" s="407" t="s">
        <v>5651</v>
      </c>
      <c r="W393" s="407"/>
      <c r="X393" s="407" t="s">
        <v>208</v>
      </c>
      <c r="Y393" s="403"/>
      <c r="Z393" s="403" t="s">
        <v>113</v>
      </c>
      <c r="AA393" s="403" t="s">
        <v>3178</v>
      </c>
      <c r="AB393" s="432" t="s">
        <v>4521</v>
      </c>
      <c r="AC393" s="421"/>
      <c r="AD393" s="436"/>
      <c r="AE393" s="420"/>
      <c r="AF393" s="407"/>
      <c r="AG393" s="407" t="s">
        <v>4489</v>
      </c>
      <c r="AH393" s="399"/>
      <c r="AI393" s="400"/>
      <c r="AJ393" s="399"/>
      <c r="AK393" s="409"/>
      <c r="AL393" s="409"/>
      <c r="AM393" s="409"/>
      <c r="AN393" s="409"/>
      <c r="AO393" s="399"/>
      <c r="AP393" s="409"/>
      <c r="AQ393" s="409" t="s">
        <v>3130</v>
      </c>
      <c r="AR393" s="399"/>
      <c r="AS393" s="399"/>
      <c r="AT393" s="399"/>
      <c r="AU393" s="399" t="s">
        <v>5653</v>
      </c>
      <c r="AV393" s="399" t="str">
        <f t="shared" si="47"/>
        <v>Changed</v>
      </c>
      <c r="AW393" s="399"/>
      <c r="AX393" s="409" t="s">
        <v>3343</v>
      </c>
      <c r="AY393" s="399" t="e">
        <f t="shared" ca="1" si="63"/>
        <v>#NAME?</v>
      </c>
      <c r="AZ393" s="399"/>
      <c r="BA393" s="409">
        <v>1</v>
      </c>
      <c r="BB393" s="399"/>
      <c r="BC393" s="399"/>
      <c r="BD393" s="409" t="s">
        <v>3162</v>
      </c>
      <c r="BE393" s="411"/>
      <c r="BF393" s="411"/>
      <c r="BG393" s="411" t="s">
        <v>5654</v>
      </c>
      <c r="BH393" s="411"/>
      <c r="BI393" s="434" t="s">
        <v>5655</v>
      </c>
      <c r="BJ393" s="399"/>
      <c r="BK393" s="399"/>
      <c r="BL393" s="409" t="s">
        <v>5656</v>
      </c>
      <c r="BM393" s="399"/>
      <c r="BN393" s="399"/>
      <c r="BO393" s="399">
        <v>82534</v>
      </c>
      <c r="BP393" s="399"/>
      <c r="BQ393" s="399"/>
      <c r="BR393" s="399" t="s">
        <v>5657</v>
      </c>
      <c r="BS393" s="407"/>
      <c r="BT393" s="407"/>
      <c r="BU393" s="412"/>
      <c r="BV393" s="46" t="str">
        <f t="shared" si="8"/>
        <v/>
      </c>
      <c r="BW393" s="46">
        <f t="shared" si="9"/>
        <v>0</v>
      </c>
      <c r="BX393" s="46">
        <f t="shared" si="10"/>
        <v>0</v>
      </c>
      <c r="BY393" s="43" t="str">
        <f t="shared" si="11"/>
        <v>WHO-FP MedicationStatement (Current Medication)</v>
      </c>
      <c r="BZ393" s="46">
        <f t="shared" si="12"/>
        <v>1</v>
      </c>
      <c r="CA393" s="46" t="str">
        <f t="shared" si="13"/>
        <v/>
      </c>
      <c r="CB393" s="46">
        <f t="shared" si="14"/>
        <v>1</v>
      </c>
      <c r="CC393" s="46">
        <f t="shared" si="15"/>
        <v>1</v>
      </c>
      <c r="CD393" s="46">
        <f t="shared" si="16"/>
        <v>1</v>
      </c>
      <c r="CE393" s="46">
        <f t="shared" si="17"/>
        <v>0</v>
      </c>
      <c r="CF393" s="46">
        <f t="shared" si="18"/>
        <v>0</v>
      </c>
      <c r="CG393" s="46" t="str">
        <f ca="1">IFERROR(__xludf.DUMMYFUNCTION("if(OR(BH393="""",LEFT(BH393,2)=""LA""),"""",IMPORTXML(CONCATENATE(""https://loinc.org/"",BH393,""/""),""//span[@id='lcn']""))"),"")</f>
        <v/>
      </c>
      <c r="CH393" s="46"/>
      <c r="CI393" s="46"/>
      <c r="CJ393" s="46"/>
      <c r="CK393" s="46"/>
      <c r="CL393" s="46"/>
      <c r="CM393" s="46"/>
      <c r="CN393" s="46"/>
      <c r="CO393" s="46"/>
      <c r="CP393" s="46"/>
      <c r="CQ393" s="46"/>
      <c r="CR393" s="46"/>
      <c r="CS393" s="46"/>
      <c r="CT393" s="46"/>
      <c r="CU393" s="46"/>
    </row>
    <row r="394" spans="1:99" ht="12.75" customHeight="1">
      <c r="A394" s="399">
        <v>1636</v>
      </c>
      <c r="B394" s="399" t="s">
        <v>5658</v>
      </c>
      <c r="C394" s="399">
        <f t="shared" si="42"/>
        <v>1636</v>
      </c>
      <c r="D394" s="399" t="e">
        <f t="shared" ca="1" si="62"/>
        <v>#NAME?</v>
      </c>
      <c r="E394" s="399" t="str">
        <f t="shared" si="44"/>
        <v>topiramate</v>
      </c>
      <c r="F394" s="409" t="s">
        <v>180</v>
      </c>
      <c r="G394" s="400">
        <f t="shared" si="70"/>
        <v>10</v>
      </c>
      <c r="H394" s="410" t="s">
        <v>5602</v>
      </c>
      <c r="I394" s="400"/>
      <c r="J394" s="400"/>
      <c r="K394" s="401" t="s">
        <v>3333</v>
      </c>
      <c r="L394" s="402" t="s">
        <v>961</v>
      </c>
      <c r="M394" s="400"/>
      <c r="N394" s="427" t="s">
        <v>4417</v>
      </c>
      <c r="O394" s="428"/>
      <c r="P394" s="407" t="s">
        <v>5659</v>
      </c>
      <c r="Q394" s="403"/>
      <c r="R394" s="403"/>
      <c r="S394" s="403" t="str">
        <f t="shared" si="72"/>
        <v>Client is currently taking topiramate</v>
      </c>
      <c r="T394" s="403"/>
      <c r="U394" s="407"/>
      <c r="V394" s="407" t="s">
        <v>5658</v>
      </c>
      <c r="W394" s="407"/>
      <c r="X394" s="407" t="s">
        <v>208</v>
      </c>
      <c r="Y394" s="403"/>
      <c r="Z394" s="403" t="s">
        <v>113</v>
      </c>
      <c r="AA394" s="403" t="s">
        <v>3178</v>
      </c>
      <c r="AB394" s="432" t="s">
        <v>4521</v>
      </c>
      <c r="AC394" s="421"/>
      <c r="AD394" s="436"/>
      <c r="AE394" s="420"/>
      <c r="AF394" s="407"/>
      <c r="AG394" s="407" t="s">
        <v>4489</v>
      </c>
      <c r="AH394" s="399"/>
      <c r="AI394" s="400"/>
      <c r="AJ394" s="399"/>
      <c r="AK394" s="409"/>
      <c r="AL394" s="409"/>
      <c r="AM394" s="409"/>
      <c r="AN394" s="409"/>
      <c r="AO394" s="399"/>
      <c r="AP394" s="409"/>
      <c r="AQ394" s="409" t="s">
        <v>3130</v>
      </c>
      <c r="AR394" s="399"/>
      <c r="AS394" s="399"/>
      <c r="AT394" s="399"/>
      <c r="AU394" s="399" t="s">
        <v>5660</v>
      </c>
      <c r="AV394" s="399" t="str">
        <f t="shared" si="47"/>
        <v>Changed</v>
      </c>
      <c r="AW394" s="399"/>
      <c r="AX394" s="409" t="s">
        <v>3343</v>
      </c>
      <c r="AY394" s="399" t="e">
        <f t="shared" ca="1" si="63"/>
        <v>#NAME?</v>
      </c>
      <c r="AZ394" s="399"/>
      <c r="BA394" s="409">
        <v>1</v>
      </c>
      <c r="BB394" s="399"/>
      <c r="BC394" s="399"/>
      <c r="BD394" s="409" t="s">
        <v>3162</v>
      </c>
      <c r="BE394" s="411"/>
      <c r="BF394" s="411"/>
      <c r="BG394" s="411" t="s">
        <v>5661</v>
      </c>
      <c r="BH394" s="411"/>
      <c r="BI394" s="434" t="s">
        <v>5662</v>
      </c>
      <c r="BJ394" s="399"/>
      <c r="BK394" s="399"/>
      <c r="BL394" s="409" t="s">
        <v>5663</v>
      </c>
      <c r="BM394" s="399"/>
      <c r="BN394" s="399"/>
      <c r="BO394" s="399">
        <v>85235</v>
      </c>
      <c r="BP394" s="399"/>
      <c r="BQ394" s="399"/>
      <c r="BR394" s="399" t="s">
        <v>5664</v>
      </c>
      <c r="BS394" s="407"/>
      <c r="BT394" s="407"/>
      <c r="BU394" s="412"/>
      <c r="BV394" s="46" t="str">
        <f t="shared" si="8"/>
        <v/>
      </c>
      <c r="BW394" s="46">
        <f t="shared" si="9"/>
        <v>0</v>
      </c>
      <c r="BX394" s="46">
        <f t="shared" si="10"/>
        <v>0</v>
      </c>
      <c r="BY394" s="43" t="str">
        <f t="shared" si="11"/>
        <v>WHO-FP MedicationStatement (Current Medication)</v>
      </c>
      <c r="BZ394" s="46">
        <f t="shared" si="12"/>
        <v>1</v>
      </c>
      <c r="CA394" s="46" t="str">
        <f t="shared" si="13"/>
        <v/>
      </c>
      <c r="CB394" s="46">
        <f t="shared" si="14"/>
        <v>1</v>
      </c>
      <c r="CC394" s="46">
        <f t="shared" si="15"/>
        <v>1</v>
      </c>
      <c r="CD394" s="46">
        <f t="shared" si="16"/>
        <v>1</v>
      </c>
      <c r="CE394" s="46">
        <f t="shared" si="17"/>
        <v>0</v>
      </c>
      <c r="CF394" s="46">
        <f t="shared" si="18"/>
        <v>0</v>
      </c>
      <c r="CG394" s="46" t="str">
        <f ca="1">IFERROR(__xludf.DUMMYFUNCTION("if(OR(BH394="""",LEFT(BH394,2)=""LA""),"""",IMPORTXML(CONCATENATE(""https://loinc.org/"",BH394,""/""),""//span[@id='lcn']""))"),"")</f>
        <v/>
      </c>
      <c r="CH394" s="46"/>
      <c r="CI394" s="46"/>
      <c r="CJ394" s="46"/>
      <c r="CK394" s="46"/>
      <c r="CL394" s="46"/>
      <c r="CM394" s="46"/>
      <c r="CN394" s="46"/>
      <c r="CO394" s="46"/>
      <c r="CP394" s="46"/>
      <c r="CQ394" s="46"/>
      <c r="CR394" s="46"/>
      <c r="CS394" s="46"/>
      <c r="CT394" s="46"/>
      <c r="CU394" s="46"/>
    </row>
    <row r="395" spans="1:99" ht="12.75" customHeight="1">
      <c r="A395" s="399">
        <v>1637</v>
      </c>
      <c r="B395" s="399" t="s">
        <v>5665</v>
      </c>
      <c r="C395" s="399">
        <f t="shared" si="42"/>
        <v>1637</v>
      </c>
      <c r="D395" s="399" t="e">
        <f t="shared" ca="1" si="62"/>
        <v>#NAME?</v>
      </c>
      <c r="E395" s="399" t="str">
        <f t="shared" si="44"/>
        <v>lamotrigine</v>
      </c>
      <c r="F395" s="409" t="s">
        <v>180</v>
      </c>
      <c r="G395" s="400">
        <f t="shared" si="70"/>
        <v>11</v>
      </c>
      <c r="H395" s="410" t="s">
        <v>5602</v>
      </c>
      <c r="I395" s="400"/>
      <c r="J395" s="400"/>
      <c r="K395" s="401" t="s">
        <v>3333</v>
      </c>
      <c r="L395" s="402" t="s">
        <v>961</v>
      </c>
      <c r="M395" s="400"/>
      <c r="N395" s="427" t="s">
        <v>4417</v>
      </c>
      <c r="O395" s="428"/>
      <c r="P395" s="407" t="s">
        <v>5666</v>
      </c>
      <c r="Q395" s="403"/>
      <c r="R395" s="403"/>
      <c r="S395" s="403" t="str">
        <f t="shared" si="72"/>
        <v>Client is currently taking lamotrigine</v>
      </c>
      <c r="T395" s="407"/>
      <c r="U395" s="407"/>
      <c r="V395" s="431" t="s">
        <v>5665</v>
      </c>
      <c r="W395" s="407"/>
      <c r="X395" s="407" t="s">
        <v>208</v>
      </c>
      <c r="Y395" s="407"/>
      <c r="Z395" s="403" t="s">
        <v>113</v>
      </c>
      <c r="AA395" s="403" t="s">
        <v>3178</v>
      </c>
      <c r="AB395" s="432" t="s">
        <v>4521</v>
      </c>
      <c r="AC395" s="421"/>
      <c r="AD395" s="421"/>
      <c r="AE395" s="432"/>
      <c r="AF395" s="407"/>
      <c r="AG395" s="407" t="s">
        <v>4489</v>
      </c>
      <c r="AH395" s="399"/>
      <c r="AI395" s="400"/>
      <c r="AJ395" s="399"/>
      <c r="AK395" s="409"/>
      <c r="AL395" s="409"/>
      <c r="AM395" s="409"/>
      <c r="AN395" s="409"/>
      <c r="AO395" s="399"/>
      <c r="AP395" s="409"/>
      <c r="AQ395" s="409" t="s">
        <v>3130</v>
      </c>
      <c r="AR395" s="399"/>
      <c r="AS395" s="399"/>
      <c r="AT395" s="399"/>
      <c r="AU395" s="399" t="s">
        <v>5667</v>
      </c>
      <c r="AV395" s="399" t="str">
        <f t="shared" si="47"/>
        <v>Changed</v>
      </c>
      <c r="AW395" s="399"/>
      <c r="AX395" s="409" t="s">
        <v>3343</v>
      </c>
      <c r="AY395" s="399" t="e">
        <f t="shared" ca="1" si="63"/>
        <v>#NAME?</v>
      </c>
      <c r="AZ395" s="399"/>
      <c r="BA395" s="409">
        <v>1</v>
      </c>
      <c r="BB395" s="399"/>
      <c r="BC395" s="399"/>
      <c r="BD395" s="409" t="s">
        <v>3162</v>
      </c>
      <c r="BE395" s="411"/>
      <c r="BF395" s="411"/>
      <c r="BG395" s="411" t="s">
        <v>5668</v>
      </c>
      <c r="BH395" s="411"/>
      <c r="BI395" s="434" t="s">
        <v>5669</v>
      </c>
      <c r="BJ395" s="399"/>
      <c r="BK395" s="399"/>
      <c r="BL395" s="409" t="s">
        <v>5670</v>
      </c>
      <c r="BM395" s="399"/>
      <c r="BN395" s="399"/>
      <c r="BO395" s="399">
        <v>78644</v>
      </c>
      <c r="BP395" s="399"/>
      <c r="BQ395" s="399"/>
      <c r="BR395" s="399" t="s">
        <v>5671</v>
      </c>
      <c r="BS395" s="407"/>
      <c r="BT395" s="407"/>
      <c r="BU395" s="412"/>
      <c r="BV395" s="46" t="str">
        <f t="shared" si="8"/>
        <v/>
      </c>
      <c r="BW395" s="46">
        <f t="shared" si="9"/>
        <v>0</v>
      </c>
      <c r="BX395" s="46">
        <f t="shared" si="10"/>
        <v>0</v>
      </c>
      <c r="BY395" s="43" t="str">
        <f t="shared" si="11"/>
        <v>WHO-FP MedicationStatement (Current Medication)</v>
      </c>
      <c r="BZ395" s="46">
        <f t="shared" si="12"/>
        <v>1</v>
      </c>
      <c r="CA395" s="46" t="str">
        <f t="shared" si="13"/>
        <v/>
      </c>
      <c r="CB395" s="46">
        <f t="shared" si="14"/>
        <v>1</v>
      </c>
      <c r="CC395" s="46">
        <f t="shared" si="15"/>
        <v>1</v>
      </c>
      <c r="CD395" s="46">
        <f t="shared" si="16"/>
        <v>1</v>
      </c>
      <c r="CE395" s="46">
        <f t="shared" si="17"/>
        <v>0</v>
      </c>
      <c r="CF395" s="46">
        <f t="shared" si="18"/>
        <v>0</v>
      </c>
      <c r="CG395" s="46" t="str">
        <f ca="1">IFERROR(__xludf.DUMMYFUNCTION("if(OR(BH395="""",LEFT(BH395,2)=""LA""),"""",IMPORTXML(CONCATENATE(""https://loinc.org/"",BH395,""/""),""//span[@id='lcn']""))"),"")</f>
        <v/>
      </c>
      <c r="CH395" s="46"/>
      <c r="CI395" s="46"/>
      <c r="CJ395" s="46"/>
      <c r="CK395" s="46"/>
      <c r="CL395" s="46"/>
      <c r="CM395" s="46"/>
      <c r="CN395" s="46"/>
      <c r="CO395" s="46"/>
      <c r="CP395" s="46"/>
      <c r="CQ395" s="46"/>
      <c r="CR395" s="46"/>
      <c r="CS395" s="46"/>
      <c r="CT395" s="46"/>
      <c r="CU395" s="46"/>
    </row>
    <row r="396" spans="1:99" ht="12.75" customHeight="1">
      <c r="A396" s="409">
        <v>1638</v>
      </c>
      <c r="B396" s="399" t="s">
        <v>5613</v>
      </c>
      <c r="C396" s="399">
        <f t="shared" si="42"/>
        <v>1638</v>
      </c>
      <c r="D396" s="399" t="str">
        <f t="shared" si="62"/>
        <v>Antimicrobial therapy</v>
      </c>
      <c r="E396" s="399" t="str">
        <f t="shared" si="44"/>
        <v>Antimicrobial therapy</v>
      </c>
      <c r="F396" s="409" t="s">
        <v>3164</v>
      </c>
      <c r="G396" s="400">
        <f t="shared" si="70"/>
        <v>21</v>
      </c>
      <c r="H396" s="400" t="str">
        <f>IF(F396="Input Option",IF(H395="",B395,H395),"")</f>
        <v/>
      </c>
      <c r="I396" s="400"/>
      <c r="J396" s="400"/>
      <c r="K396" s="401" t="s">
        <v>3333</v>
      </c>
      <c r="L396" s="402" t="s">
        <v>961</v>
      </c>
      <c r="M396" s="400"/>
      <c r="N396" s="427" t="s">
        <v>4417</v>
      </c>
      <c r="O396" s="428"/>
      <c r="P396" s="407" t="s">
        <v>5673</v>
      </c>
      <c r="Q396" s="405" t="s">
        <v>5613</v>
      </c>
      <c r="R396" s="403"/>
      <c r="S396" s="403" t="s">
        <v>5612</v>
      </c>
      <c r="T396" s="407"/>
      <c r="U396" s="407"/>
      <c r="V396" s="403"/>
      <c r="W396" s="407"/>
      <c r="X396" s="407" t="s">
        <v>208</v>
      </c>
      <c r="Y396" s="407"/>
      <c r="Z396" s="403" t="s">
        <v>113</v>
      </c>
      <c r="AA396" s="403" t="s">
        <v>3178</v>
      </c>
      <c r="AB396" s="432" t="s">
        <v>5674</v>
      </c>
      <c r="AC396" s="421"/>
      <c r="AD396" s="421"/>
      <c r="AE396" s="408"/>
      <c r="AF396" s="407"/>
      <c r="AG396" s="407" t="s">
        <v>4489</v>
      </c>
      <c r="AH396" s="399"/>
      <c r="AI396" s="400"/>
      <c r="AJ396" s="399"/>
      <c r="AK396" s="399"/>
      <c r="AL396" s="399"/>
      <c r="AM396" s="399"/>
      <c r="AN396" s="399"/>
      <c r="AO396" s="399"/>
      <c r="AP396" s="399"/>
      <c r="AQ396" s="409" t="s">
        <v>115</v>
      </c>
      <c r="AR396" s="399"/>
      <c r="AS396" s="399"/>
      <c r="AT396" s="399"/>
      <c r="AU396" s="399" t="s">
        <v>5610</v>
      </c>
      <c r="AV396" s="399" t="str">
        <f t="shared" si="47"/>
        <v>Changed</v>
      </c>
      <c r="AW396" s="399"/>
      <c r="AX396" s="409" t="s">
        <v>3343</v>
      </c>
      <c r="AY396" s="399" t="str">
        <f t="shared" si="63"/>
        <v/>
      </c>
      <c r="AZ396" s="399"/>
      <c r="BA396" s="409">
        <v>1</v>
      </c>
      <c r="BB396" s="399"/>
      <c r="BC396" s="399"/>
      <c r="BD396" s="399"/>
      <c r="BE396" s="411"/>
      <c r="BF396" s="411"/>
      <c r="BG396" s="411"/>
      <c r="BH396" s="411"/>
      <c r="BI396" s="411"/>
      <c r="BJ396" s="409" t="s">
        <v>3106</v>
      </c>
      <c r="BK396" s="399"/>
      <c r="BL396" s="399"/>
      <c r="BM396" s="399"/>
      <c r="BN396" s="399"/>
      <c r="BO396" s="399"/>
      <c r="BP396" s="399"/>
      <c r="BQ396" s="399"/>
      <c r="BR396" s="399"/>
      <c r="BS396" s="407"/>
      <c r="BT396" s="407"/>
      <c r="BU396" s="412"/>
      <c r="BV396" s="46" t="str">
        <f t="shared" si="8"/>
        <v/>
      </c>
      <c r="BW396" s="46" t="str">
        <f t="shared" si="9"/>
        <v/>
      </c>
      <c r="BX396" s="46" t="str">
        <f t="shared" si="10"/>
        <v/>
      </c>
      <c r="BY396" s="43" t="str">
        <f t="shared" si="11"/>
        <v/>
      </c>
      <c r="BZ396" s="46">
        <f t="shared" si="12"/>
        <v>1</v>
      </c>
      <c r="CA396" s="46" t="str">
        <f t="shared" si="13"/>
        <v/>
      </c>
      <c r="CB396" s="46">
        <f t="shared" si="14"/>
        <v>1</v>
      </c>
      <c r="CC396" s="46">
        <f t="shared" si="15"/>
        <v>1</v>
      </c>
      <c r="CD396" s="46">
        <f t="shared" si="16"/>
        <v>1</v>
      </c>
      <c r="CE396" s="46">
        <f t="shared" si="17"/>
        <v>0</v>
      </c>
      <c r="CF396" s="46">
        <f t="shared" si="18"/>
        <v>0</v>
      </c>
      <c r="CG396" s="46" t="str">
        <f ca="1">IFERROR(__xludf.DUMMYFUNCTION("if(OR(BH396="""",LEFT(BH396,2)=""LA""),"""",IMPORTXML(CONCATENATE(""https://loinc.org/"",BH396,""/""),""//span[@id='lcn']""))"),"")</f>
        <v/>
      </c>
      <c r="CH396" s="46"/>
      <c r="CI396" s="46"/>
      <c r="CJ396" s="46"/>
      <c r="CK396" s="46"/>
      <c r="CL396" s="46"/>
      <c r="CM396" s="46"/>
      <c r="CN396" s="46"/>
      <c r="CO396" s="46"/>
      <c r="CP396" s="46"/>
      <c r="CQ396" s="46"/>
      <c r="CR396" s="46"/>
      <c r="CS396" s="46"/>
      <c r="CT396" s="46"/>
      <c r="CU396" s="46"/>
    </row>
    <row r="397" spans="1:99" ht="12.75" customHeight="1">
      <c r="A397" s="399">
        <v>1639</v>
      </c>
      <c r="B397" s="399" t="s">
        <v>5676</v>
      </c>
      <c r="C397" s="399">
        <f t="shared" si="42"/>
        <v>1639</v>
      </c>
      <c r="D397" s="399" t="e">
        <f t="shared" ca="1" si="62"/>
        <v>#NAME?</v>
      </c>
      <c r="E397" s="399" t="str">
        <f t="shared" si="44"/>
        <v>Broad-spectrum antibiotics</v>
      </c>
      <c r="F397" s="409" t="s">
        <v>180</v>
      </c>
      <c r="G397" s="400">
        <f t="shared" si="70"/>
        <v>26</v>
      </c>
      <c r="H397" s="410" t="s">
        <v>5602</v>
      </c>
      <c r="I397" s="400"/>
      <c r="J397" s="400"/>
      <c r="K397" s="401" t="s">
        <v>3333</v>
      </c>
      <c r="L397" s="402" t="s">
        <v>961</v>
      </c>
      <c r="M397" s="400"/>
      <c r="N397" s="427" t="s">
        <v>4417</v>
      </c>
      <c r="O397" s="428"/>
      <c r="P397" s="407" t="s">
        <v>5677</v>
      </c>
      <c r="Q397" s="405"/>
      <c r="R397" s="403"/>
      <c r="S397" s="403" t="str">
        <f t="shared" ref="S397:S401" si="73">"Client is currently taking "&amp;V397</f>
        <v>Client is currently taking Broad-spectrum antibiotics</v>
      </c>
      <c r="T397" s="407"/>
      <c r="U397" s="407"/>
      <c r="V397" s="429" t="s">
        <v>5676</v>
      </c>
      <c r="W397" s="407"/>
      <c r="X397" s="407" t="s">
        <v>208</v>
      </c>
      <c r="Y397" s="407"/>
      <c r="Z397" s="403" t="s">
        <v>113</v>
      </c>
      <c r="AA397" s="403" t="s">
        <v>3178</v>
      </c>
      <c r="AB397" s="432" t="s">
        <v>4521</v>
      </c>
      <c r="AC397" s="421"/>
      <c r="AD397" s="421"/>
      <c r="AE397" s="432"/>
      <c r="AF397" s="407"/>
      <c r="AG397" s="407" t="s">
        <v>4489</v>
      </c>
      <c r="AH397" s="399"/>
      <c r="AI397" s="400"/>
      <c r="AJ397" s="399"/>
      <c r="AK397" s="409"/>
      <c r="AL397" s="409"/>
      <c r="AM397" s="409"/>
      <c r="AN397" s="409"/>
      <c r="AO397" s="399"/>
      <c r="AP397" s="409"/>
      <c r="AQ397" s="409" t="s">
        <v>3130</v>
      </c>
      <c r="AR397" s="399"/>
      <c r="AS397" s="399"/>
      <c r="AT397" s="399"/>
      <c r="AU397" s="399" t="s">
        <v>5678</v>
      </c>
      <c r="AV397" s="399" t="str">
        <f t="shared" si="47"/>
        <v>Changed</v>
      </c>
      <c r="AW397" s="399"/>
      <c r="AX397" s="409" t="s">
        <v>3343</v>
      </c>
      <c r="AY397" s="399" t="e">
        <f t="shared" ca="1" si="63"/>
        <v>#NAME?</v>
      </c>
      <c r="AZ397" s="399"/>
      <c r="BA397" s="409">
        <v>1</v>
      </c>
      <c r="BB397" s="415" t="s">
        <v>3131</v>
      </c>
      <c r="BC397" s="399" t="s">
        <v>5676</v>
      </c>
      <c r="BD397" s="399"/>
      <c r="BE397" s="411"/>
      <c r="BF397" s="411"/>
      <c r="BG397" s="411"/>
      <c r="BH397" s="411"/>
      <c r="BI397" s="411"/>
      <c r="BJ397" s="409" t="s">
        <v>3589</v>
      </c>
      <c r="BK397" s="399"/>
      <c r="BL397" s="399"/>
      <c r="BM397" s="399"/>
      <c r="BN397" s="399"/>
      <c r="BO397" s="399"/>
      <c r="BP397" s="399"/>
      <c r="BQ397" s="399"/>
      <c r="BR397" s="399"/>
      <c r="BS397" s="407"/>
      <c r="BT397" s="407"/>
      <c r="BU397" s="412"/>
      <c r="BV397" s="46" t="str">
        <f t="shared" si="8"/>
        <v/>
      </c>
      <c r="BW397" s="46">
        <f t="shared" si="9"/>
        <v>0</v>
      </c>
      <c r="BX397" s="46">
        <f t="shared" si="10"/>
        <v>0</v>
      </c>
      <c r="BY397" s="43" t="str">
        <f t="shared" si="11"/>
        <v>WHO-FP MedicationStatement (Current Medication)</v>
      </c>
      <c r="BZ397" s="46">
        <f t="shared" si="12"/>
        <v>1</v>
      </c>
      <c r="CA397" s="46" t="str">
        <f t="shared" si="13"/>
        <v/>
      </c>
      <c r="CB397" s="46">
        <f t="shared" si="14"/>
        <v>1</v>
      </c>
      <c r="CC397" s="46">
        <f t="shared" si="15"/>
        <v>1</v>
      </c>
      <c r="CD397" s="46">
        <f t="shared" si="16"/>
        <v>1</v>
      </c>
      <c r="CE397" s="46">
        <f t="shared" si="17"/>
        <v>0</v>
      </c>
      <c r="CF397" s="46">
        <f t="shared" si="18"/>
        <v>0</v>
      </c>
      <c r="CG397" s="46" t="str">
        <f ca="1">IFERROR(__xludf.DUMMYFUNCTION("if(OR(BH397="""",LEFT(BH397,2)=""LA""),"""",IMPORTXML(CONCATENATE(""https://loinc.org/"",BH397,""/""),""//span[@id='lcn']""))"),"")</f>
        <v/>
      </c>
      <c r="CH397" s="46"/>
      <c r="CI397" s="46"/>
      <c r="CJ397" s="46"/>
      <c r="CK397" s="46"/>
      <c r="CL397" s="46"/>
      <c r="CM397" s="46"/>
      <c r="CN397" s="46"/>
      <c r="CO397" s="46"/>
      <c r="CP397" s="46"/>
      <c r="CQ397" s="46"/>
      <c r="CR397" s="46"/>
      <c r="CS397" s="46"/>
      <c r="CT397" s="46"/>
      <c r="CU397" s="46"/>
    </row>
    <row r="398" spans="1:99" ht="12.75" customHeight="1">
      <c r="A398" s="399">
        <v>1640</v>
      </c>
      <c r="B398" s="399" t="s">
        <v>5679</v>
      </c>
      <c r="C398" s="399">
        <f t="shared" si="42"/>
        <v>1640</v>
      </c>
      <c r="D398" s="399" t="e">
        <f t="shared" ca="1" si="62"/>
        <v>#NAME?</v>
      </c>
      <c r="E398" s="399" t="str">
        <f t="shared" si="44"/>
        <v>Antifungals</v>
      </c>
      <c r="F398" s="409" t="s">
        <v>180</v>
      </c>
      <c r="G398" s="400">
        <f t="shared" si="70"/>
        <v>11</v>
      </c>
      <c r="H398" s="410" t="s">
        <v>5602</v>
      </c>
      <c r="I398" s="400"/>
      <c r="J398" s="400"/>
      <c r="K398" s="401" t="s">
        <v>3333</v>
      </c>
      <c r="L398" s="402" t="s">
        <v>961</v>
      </c>
      <c r="M398" s="400"/>
      <c r="N398" s="427" t="s">
        <v>4417</v>
      </c>
      <c r="O398" s="428"/>
      <c r="P398" s="407" t="s">
        <v>5680</v>
      </c>
      <c r="Q398" s="405"/>
      <c r="R398" s="403"/>
      <c r="S398" s="403" t="str">
        <f t="shared" si="73"/>
        <v>Client is currently taking Antifungals</v>
      </c>
      <c r="T398" s="407"/>
      <c r="U398" s="407"/>
      <c r="V398" s="431" t="s">
        <v>5679</v>
      </c>
      <c r="W398" s="407"/>
      <c r="X398" s="407" t="s">
        <v>208</v>
      </c>
      <c r="Y398" s="407"/>
      <c r="Z398" s="403" t="s">
        <v>113</v>
      </c>
      <c r="AA398" s="403" t="s">
        <v>3178</v>
      </c>
      <c r="AB398" s="432" t="s">
        <v>4521</v>
      </c>
      <c r="AC398" s="421"/>
      <c r="AD398" s="421"/>
      <c r="AE398" s="432"/>
      <c r="AF398" s="407"/>
      <c r="AG398" s="407" t="s">
        <v>4489</v>
      </c>
      <c r="AH398" s="399"/>
      <c r="AI398" s="400"/>
      <c r="AJ398" s="399"/>
      <c r="AK398" s="409"/>
      <c r="AL398" s="409"/>
      <c r="AM398" s="409"/>
      <c r="AN398" s="409"/>
      <c r="AO398" s="399"/>
      <c r="AP398" s="409"/>
      <c r="AQ398" s="409" t="s">
        <v>3130</v>
      </c>
      <c r="AR398" s="399"/>
      <c r="AS398" s="399"/>
      <c r="AT398" s="399"/>
      <c r="AU398" s="399" t="s">
        <v>5681</v>
      </c>
      <c r="AV398" s="399" t="str">
        <f t="shared" si="47"/>
        <v>Changed</v>
      </c>
      <c r="AW398" s="399"/>
      <c r="AX398" s="409" t="s">
        <v>3343</v>
      </c>
      <c r="AY398" s="399" t="e">
        <f t="shared" ca="1" si="63"/>
        <v>#NAME?</v>
      </c>
      <c r="AZ398" s="399"/>
      <c r="BA398" s="409">
        <v>1</v>
      </c>
      <c r="BB398" s="399"/>
      <c r="BC398" s="399"/>
      <c r="BD398" s="409" t="s">
        <v>5682</v>
      </c>
      <c r="BE398" s="411"/>
      <c r="BF398" s="411"/>
      <c r="BG398" s="411"/>
      <c r="BH398" s="411"/>
      <c r="BI398" s="613" t="s">
        <v>5683</v>
      </c>
      <c r="BJ398" s="399"/>
      <c r="BK398" s="399"/>
      <c r="BL398" s="614" t="s">
        <v>5684</v>
      </c>
      <c r="BM398" s="399"/>
      <c r="BN398" s="399"/>
      <c r="BO398" s="399"/>
      <c r="BP398" s="399"/>
      <c r="BQ398" s="399"/>
      <c r="BR398" s="399"/>
      <c r="BS398" s="407"/>
      <c r="BT398" s="407"/>
      <c r="BU398" s="412"/>
      <c r="BV398" s="46" t="str">
        <f t="shared" si="8"/>
        <v/>
      </c>
      <c r="BW398" s="46">
        <f t="shared" si="9"/>
        <v>0</v>
      </c>
      <c r="BX398" s="46">
        <f t="shared" si="10"/>
        <v>0</v>
      </c>
      <c r="BY398" s="43" t="str">
        <f t="shared" si="11"/>
        <v>WHO-FP MedicationStatement (Current Medication)</v>
      </c>
      <c r="BZ398" s="46">
        <f t="shared" si="12"/>
        <v>1</v>
      </c>
      <c r="CA398" s="46" t="str">
        <f t="shared" si="13"/>
        <v/>
      </c>
      <c r="CB398" s="46">
        <f t="shared" si="14"/>
        <v>1</v>
      </c>
      <c r="CC398" s="46">
        <f t="shared" si="15"/>
        <v>1</v>
      </c>
      <c r="CD398" s="46">
        <f t="shared" si="16"/>
        <v>1</v>
      </c>
      <c r="CE398" s="46">
        <f t="shared" si="17"/>
        <v>0</v>
      </c>
      <c r="CF398" s="46">
        <f t="shared" si="18"/>
        <v>0</v>
      </c>
      <c r="CG398" s="46" t="str">
        <f ca="1">IFERROR(__xludf.DUMMYFUNCTION("if(OR(BH398="""",LEFT(BH398,2)=""LA""),"""",IMPORTXML(CONCATENATE(""https://loinc.org/"",BH398,""/""),""//span[@id='lcn']""))"),"")</f>
        <v/>
      </c>
      <c r="CH398" s="46"/>
      <c r="CI398" s="46"/>
      <c r="CJ398" s="46"/>
      <c r="CK398" s="46"/>
      <c r="CL398" s="46"/>
      <c r="CM398" s="46"/>
      <c r="CN398" s="46"/>
      <c r="CO398" s="46"/>
      <c r="CP398" s="46"/>
      <c r="CQ398" s="46"/>
      <c r="CR398" s="46"/>
      <c r="CS398" s="46"/>
      <c r="CT398" s="46"/>
      <c r="CU398" s="46"/>
    </row>
    <row r="399" spans="1:99" ht="12.75" customHeight="1">
      <c r="A399" s="399">
        <v>1641</v>
      </c>
      <c r="B399" s="399" t="s">
        <v>5685</v>
      </c>
      <c r="C399" s="399">
        <f t="shared" si="42"/>
        <v>1641</v>
      </c>
      <c r="D399" s="399" t="e">
        <f t="shared" ca="1" si="62"/>
        <v>#NAME?</v>
      </c>
      <c r="E399" s="399" t="str">
        <f t="shared" si="44"/>
        <v>Antiparasitics</v>
      </c>
      <c r="F399" s="409" t="s">
        <v>180</v>
      </c>
      <c r="G399" s="400">
        <f t="shared" si="70"/>
        <v>14</v>
      </c>
      <c r="H399" s="410" t="s">
        <v>5602</v>
      </c>
      <c r="I399" s="400"/>
      <c r="J399" s="400"/>
      <c r="K399" s="401" t="s">
        <v>3333</v>
      </c>
      <c r="L399" s="402" t="s">
        <v>961</v>
      </c>
      <c r="M399" s="400"/>
      <c r="N399" s="427" t="s">
        <v>4417</v>
      </c>
      <c r="O399" s="428"/>
      <c r="P399" s="407" t="s">
        <v>5686</v>
      </c>
      <c r="Q399" s="405"/>
      <c r="R399" s="403"/>
      <c r="S399" s="403" t="str">
        <f t="shared" si="73"/>
        <v>Client is currently taking Antiparasitics</v>
      </c>
      <c r="T399" s="407"/>
      <c r="U399" s="407"/>
      <c r="V399" s="431" t="s">
        <v>5685</v>
      </c>
      <c r="W399" s="407"/>
      <c r="X399" s="407" t="s">
        <v>208</v>
      </c>
      <c r="Y399" s="407"/>
      <c r="Z399" s="403" t="s">
        <v>113</v>
      </c>
      <c r="AA399" s="403" t="s">
        <v>3178</v>
      </c>
      <c r="AB399" s="432" t="s">
        <v>4521</v>
      </c>
      <c r="AC399" s="421"/>
      <c r="AD399" s="421"/>
      <c r="AE399" s="432"/>
      <c r="AF399" s="407"/>
      <c r="AG399" s="407" t="s">
        <v>4489</v>
      </c>
      <c r="AH399" s="399"/>
      <c r="AI399" s="400"/>
      <c r="AJ399" s="399"/>
      <c r="AK399" s="409"/>
      <c r="AL399" s="409"/>
      <c r="AM399" s="409"/>
      <c r="AN399" s="409"/>
      <c r="AO399" s="399"/>
      <c r="AP399" s="409"/>
      <c r="AQ399" s="409" t="s">
        <v>3130</v>
      </c>
      <c r="AR399" s="399"/>
      <c r="AS399" s="399"/>
      <c r="AT399" s="399"/>
      <c r="AU399" s="399" t="s">
        <v>5687</v>
      </c>
      <c r="AV399" s="399" t="str">
        <f t="shared" si="47"/>
        <v>Changed</v>
      </c>
      <c r="AW399" s="399"/>
      <c r="AX399" s="409" t="s">
        <v>3343</v>
      </c>
      <c r="AY399" s="399" t="e">
        <f t="shared" ca="1" si="63"/>
        <v>#NAME?</v>
      </c>
      <c r="AZ399" s="399"/>
      <c r="BA399" s="409">
        <v>1</v>
      </c>
      <c r="BB399" s="399"/>
      <c r="BC399" s="399"/>
      <c r="BD399" s="399"/>
      <c r="BE399" s="411"/>
      <c r="BF399" s="411"/>
      <c r="BG399" s="411"/>
      <c r="BH399" s="411"/>
      <c r="BI399" s="434" t="s">
        <v>5688</v>
      </c>
      <c r="BJ399" s="399"/>
      <c r="BK399" s="399"/>
      <c r="BL399" s="399"/>
      <c r="BM399" s="399"/>
      <c r="BN399" s="399"/>
      <c r="BO399" s="399"/>
      <c r="BP399" s="399"/>
      <c r="BQ399" s="399"/>
      <c r="BR399" s="399"/>
      <c r="BS399" s="407"/>
      <c r="BT399" s="407"/>
      <c r="BU399" s="412"/>
      <c r="BV399" s="46" t="str">
        <f t="shared" si="8"/>
        <v/>
      </c>
      <c r="BW399" s="46">
        <f t="shared" si="9"/>
        <v>0</v>
      </c>
      <c r="BX399" s="46">
        <f t="shared" si="10"/>
        <v>0</v>
      </c>
      <c r="BY399" s="43" t="str">
        <f t="shared" si="11"/>
        <v>WHO-FP MedicationStatement (Current Medication)</v>
      </c>
      <c r="BZ399" s="46">
        <f t="shared" si="12"/>
        <v>1</v>
      </c>
      <c r="CA399" s="46" t="str">
        <f t="shared" si="13"/>
        <v/>
      </c>
      <c r="CB399" s="46">
        <f t="shared" si="14"/>
        <v>1</v>
      </c>
      <c r="CC399" s="46">
        <f t="shared" si="15"/>
        <v>1</v>
      </c>
      <c r="CD399" s="46">
        <f t="shared" si="16"/>
        <v>1</v>
      </c>
      <c r="CE399" s="46">
        <f t="shared" si="17"/>
        <v>0</v>
      </c>
      <c r="CF399" s="46">
        <f t="shared" si="18"/>
        <v>0</v>
      </c>
      <c r="CG399" s="46" t="str">
        <f ca="1">IFERROR(__xludf.DUMMYFUNCTION("if(OR(BH399="""",LEFT(BH399,2)=""LA""),"""",IMPORTXML(CONCATENATE(""https://loinc.org/"",BH399,""/""),""//span[@id='lcn']""))"),"")</f>
        <v/>
      </c>
      <c r="CH399" s="46"/>
      <c r="CI399" s="46"/>
      <c r="CJ399" s="46"/>
      <c r="CK399" s="46"/>
      <c r="CL399" s="46"/>
      <c r="CM399" s="46"/>
      <c r="CN399" s="46"/>
      <c r="CO399" s="46"/>
      <c r="CP399" s="46"/>
      <c r="CQ399" s="46"/>
      <c r="CR399" s="46"/>
      <c r="CS399" s="46"/>
      <c r="CT399" s="46"/>
      <c r="CU399" s="46"/>
    </row>
    <row r="400" spans="1:99" ht="12.75" customHeight="1">
      <c r="A400" s="399">
        <v>1642</v>
      </c>
      <c r="B400" s="399" t="s">
        <v>5689</v>
      </c>
      <c r="C400" s="399">
        <f t="shared" si="42"/>
        <v>1642</v>
      </c>
      <c r="D400" s="399" t="e">
        <f t="shared" ca="1" si="62"/>
        <v>#NAME?</v>
      </c>
      <c r="E400" s="399" t="str">
        <f t="shared" si="44"/>
        <v xml:space="preserve">Rifampicin </v>
      </c>
      <c r="F400" s="409" t="s">
        <v>180</v>
      </c>
      <c r="G400" s="400">
        <f t="shared" si="70"/>
        <v>11</v>
      </c>
      <c r="H400" s="410" t="s">
        <v>5602</v>
      </c>
      <c r="I400" s="400"/>
      <c r="J400" s="400"/>
      <c r="K400" s="401" t="s">
        <v>3333</v>
      </c>
      <c r="L400" s="402" t="s">
        <v>961</v>
      </c>
      <c r="M400" s="400"/>
      <c r="N400" s="427" t="s">
        <v>4417</v>
      </c>
      <c r="O400" s="428"/>
      <c r="P400" s="407" t="s">
        <v>5690</v>
      </c>
      <c r="Q400" s="405"/>
      <c r="R400" s="403"/>
      <c r="S400" s="403" t="str">
        <f t="shared" si="73"/>
        <v xml:space="preserve">Client is currently taking Rifampicin </v>
      </c>
      <c r="T400" s="407"/>
      <c r="U400" s="407"/>
      <c r="V400" s="431" t="s">
        <v>5689</v>
      </c>
      <c r="W400" s="407"/>
      <c r="X400" s="407" t="s">
        <v>208</v>
      </c>
      <c r="Y400" s="407"/>
      <c r="Z400" s="403" t="s">
        <v>113</v>
      </c>
      <c r="AA400" s="403" t="s">
        <v>3178</v>
      </c>
      <c r="AB400" s="432" t="s">
        <v>4521</v>
      </c>
      <c r="AC400" s="421"/>
      <c r="AD400" s="421"/>
      <c r="AE400" s="432"/>
      <c r="AF400" s="407"/>
      <c r="AG400" s="407" t="s">
        <v>4489</v>
      </c>
      <c r="AH400" s="399"/>
      <c r="AI400" s="400"/>
      <c r="AJ400" s="399"/>
      <c r="AK400" s="409"/>
      <c r="AL400" s="409"/>
      <c r="AM400" s="409"/>
      <c r="AN400" s="409"/>
      <c r="AO400" s="399"/>
      <c r="AP400" s="409"/>
      <c r="AQ400" s="409" t="s">
        <v>3130</v>
      </c>
      <c r="AR400" s="399"/>
      <c r="AS400" s="399"/>
      <c r="AT400" s="399"/>
      <c r="AU400" s="399" t="s">
        <v>5691</v>
      </c>
      <c r="AV400" s="399" t="str">
        <f t="shared" si="47"/>
        <v>Changed</v>
      </c>
      <c r="AW400" s="399"/>
      <c r="AX400" s="409" t="s">
        <v>3343</v>
      </c>
      <c r="AY400" s="399" t="e">
        <f t="shared" ca="1" si="63"/>
        <v>#NAME?</v>
      </c>
      <c r="AZ400" s="399"/>
      <c r="BA400" s="409">
        <v>1</v>
      </c>
      <c r="BB400" s="399"/>
      <c r="BC400" s="399"/>
      <c r="BD400" s="409" t="s">
        <v>3162</v>
      </c>
      <c r="BE400" s="411"/>
      <c r="BF400" s="411"/>
      <c r="BG400" s="411" t="s">
        <v>5692</v>
      </c>
      <c r="BH400" s="411"/>
      <c r="BI400" s="434" t="s">
        <v>5693</v>
      </c>
      <c r="BJ400" s="399"/>
      <c r="BK400" s="399"/>
      <c r="BL400" s="409" t="s">
        <v>5694</v>
      </c>
      <c r="BM400" s="409" t="s">
        <v>5694</v>
      </c>
      <c r="BN400" s="399"/>
      <c r="BO400" s="399">
        <v>767</v>
      </c>
      <c r="BP400" s="399"/>
      <c r="BQ400" s="399"/>
      <c r="BR400" s="399" t="s">
        <v>5695</v>
      </c>
      <c r="BS400" s="407"/>
      <c r="BT400" s="407"/>
      <c r="BU400" s="412"/>
      <c r="BV400" s="46" t="str">
        <f t="shared" si="8"/>
        <v/>
      </c>
      <c r="BW400" s="46">
        <f t="shared" si="9"/>
        <v>0</v>
      </c>
      <c r="BX400" s="46">
        <f t="shared" si="10"/>
        <v>0</v>
      </c>
      <c r="BY400" s="43" t="str">
        <f t="shared" si="11"/>
        <v>WHO-FP MedicationStatement (Current Medication)</v>
      </c>
      <c r="BZ400" s="46">
        <f t="shared" si="12"/>
        <v>1</v>
      </c>
      <c r="CA400" s="46" t="str">
        <f t="shared" si="13"/>
        <v/>
      </c>
      <c r="CB400" s="46">
        <f t="shared" si="14"/>
        <v>1</v>
      </c>
      <c r="CC400" s="46">
        <f t="shared" si="15"/>
        <v>1</v>
      </c>
      <c r="CD400" s="46">
        <f t="shared" si="16"/>
        <v>1</v>
      </c>
      <c r="CE400" s="46">
        <f t="shared" si="17"/>
        <v>0</v>
      </c>
      <c r="CF400" s="46">
        <f t="shared" si="18"/>
        <v>0</v>
      </c>
      <c r="CG400" s="46" t="str">
        <f ca="1">IFERROR(__xludf.DUMMYFUNCTION("if(OR(BH400="""",LEFT(BH400,2)=""LA""),"""",IMPORTXML(CONCATENATE(""https://loinc.org/"",BH400,""/""),""//span[@id='lcn']""))"),"")</f>
        <v/>
      </c>
      <c r="CH400" s="46"/>
      <c r="CI400" s="46"/>
      <c r="CJ400" s="46"/>
      <c r="CK400" s="46"/>
      <c r="CL400" s="46"/>
      <c r="CM400" s="46"/>
      <c r="CN400" s="46"/>
      <c r="CO400" s="46"/>
      <c r="CP400" s="46"/>
      <c r="CQ400" s="46"/>
      <c r="CR400" s="46"/>
      <c r="CS400" s="46"/>
      <c r="CT400" s="46"/>
      <c r="CU400" s="46"/>
    </row>
    <row r="401" spans="1:99" ht="12.75" customHeight="1">
      <c r="A401" s="399">
        <v>1643</v>
      </c>
      <c r="B401" s="399" t="s">
        <v>5696</v>
      </c>
      <c r="C401" s="399">
        <f t="shared" si="42"/>
        <v>1643</v>
      </c>
      <c r="D401" s="399" t="e">
        <f t="shared" ca="1" si="62"/>
        <v>#NAME?</v>
      </c>
      <c r="E401" s="399" t="str">
        <f t="shared" si="44"/>
        <v>Rifabutin</v>
      </c>
      <c r="F401" s="409" t="s">
        <v>180</v>
      </c>
      <c r="G401" s="400">
        <f t="shared" si="70"/>
        <v>9</v>
      </c>
      <c r="H401" s="410" t="s">
        <v>5602</v>
      </c>
      <c r="I401" s="400"/>
      <c r="J401" s="400"/>
      <c r="K401" s="401" t="s">
        <v>3333</v>
      </c>
      <c r="L401" s="402" t="s">
        <v>961</v>
      </c>
      <c r="M401" s="400"/>
      <c r="N401" s="427" t="s">
        <v>4417</v>
      </c>
      <c r="O401" s="428"/>
      <c r="P401" s="407" t="s">
        <v>5697</v>
      </c>
      <c r="Q401" s="405"/>
      <c r="R401" s="403"/>
      <c r="S401" s="403" t="str">
        <f t="shared" si="73"/>
        <v>Client is currently taking Rifabutin</v>
      </c>
      <c r="T401" s="407"/>
      <c r="U401" s="407"/>
      <c r="V401" s="431" t="s">
        <v>5696</v>
      </c>
      <c r="W401" s="407"/>
      <c r="X401" s="407" t="s">
        <v>208</v>
      </c>
      <c r="Y401" s="407"/>
      <c r="Z401" s="403" t="s">
        <v>113</v>
      </c>
      <c r="AA401" s="403" t="s">
        <v>3178</v>
      </c>
      <c r="AB401" s="432" t="s">
        <v>4521</v>
      </c>
      <c r="AC401" s="421"/>
      <c r="AD401" s="421"/>
      <c r="AE401" s="432"/>
      <c r="AF401" s="407"/>
      <c r="AG401" s="407" t="s">
        <v>4489</v>
      </c>
      <c r="AH401" s="399"/>
      <c r="AI401" s="400"/>
      <c r="AJ401" s="399"/>
      <c r="AK401" s="409"/>
      <c r="AL401" s="409"/>
      <c r="AM401" s="409"/>
      <c r="AN401" s="409"/>
      <c r="AO401" s="399"/>
      <c r="AP401" s="409"/>
      <c r="AQ401" s="409" t="s">
        <v>3130</v>
      </c>
      <c r="AR401" s="399"/>
      <c r="AS401" s="399"/>
      <c r="AT401" s="399"/>
      <c r="AU401" s="399" t="s">
        <v>5698</v>
      </c>
      <c r="AV401" s="399" t="str">
        <f t="shared" si="47"/>
        <v>Changed</v>
      </c>
      <c r="AW401" s="399"/>
      <c r="AX401" s="409" t="s">
        <v>3343</v>
      </c>
      <c r="AY401" s="399" t="e">
        <f t="shared" ca="1" si="63"/>
        <v>#NAME?</v>
      </c>
      <c r="AZ401" s="399"/>
      <c r="BA401" s="409">
        <v>1</v>
      </c>
      <c r="BB401" s="399"/>
      <c r="BC401" s="399"/>
      <c r="BD401" s="409" t="s">
        <v>3162</v>
      </c>
      <c r="BE401" s="411"/>
      <c r="BF401" s="411"/>
      <c r="BG401" s="411" t="s">
        <v>5699</v>
      </c>
      <c r="BH401" s="411"/>
      <c r="BI401" s="434" t="s">
        <v>5700</v>
      </c>
      <c r="BJ401" s="399"/>
      <c r="BK401" s="399"/>
      <c r="BL401" s="409" t="s">
        <v>5701</v>
      </c>
      <c r="BM401" s="409" t="s">
        <v>5701</v>
      </c>
      <c r="BN401" s="399"/>
      <c r="BO401" s="399">
        <v>83352</v>
      </c>
      <c r="BP401" s="399"/>
      <c r="BQ401" s="399"/>
      <c r="BR401" s="399" t="s">
        <v>5702</v>
      </c>
      <c r="BS401" s="407"/>
      <c r="BT401" s="407"/>
      <c r="BU401" s="412"/>
      <c r="BV401" s="46" t="str">
        <f t="shared" si="8"/>
        <v/>
      </c>
      <c r="BW401" s="46">
        <f t="shared" si="9"/>
        <v>0</v>
      </c>
      <c r="BX401" s="46">
        <f t="shared" si="10"/>
        <v>0</v>
      </c>
      <c r="BY401" s="43" t="str">
        <f t="shared" si="11"/>
        <v>WHO-FP MedicationStatement (Current Medication)</v>
      </c>
      <c r="BZ401" s="46">
        <f t="shared" si="12"/>
        <v>1</v>
      </c>
      <c r="CA401" s="46" t="str">
        <f t="shared" si="13"/>
        <v/>
      </c>
      <c r="CB401" s="46">
        <f t="shared" si="14"/>
        <v>1</v>
      </c>
      <c r="CC401" s="46">
        <f t="shared" si="15"/>
        <v>1</v>
      </c>
      <c r="CD401" s="46">
        <f t="shared" si="16"/>
        <v>1</v>
      </c>
      <c r="CE401" s="46">
        <f t="shared" si="17"/>
        <v>0</v>
      </c>
      <c r="CF401" s="46">
        <f t="shared" si="18"/>
        <v>0</v>
      </c>
      <c r="CG401" s="46" t="str">
        <f ca="1">IFERROR(__xludf.DUMMYFUNCTION("if(OR(BH401="""",LEFT(BH401,2)=""LA""),"""",IMPORTXML(CONCATENATE(""https://loinc.org/"",BH401,""/""),""//span[@id='lcn']""))"),"")</f>
        <v/>
      </c>
      <c r="CH401" s="46"/>
      <c r="CI401" s="46"/>
      <c r="CJ401" s="46"/>
      <c r="CK401" s="46"/>
      <c r="CL401" s="46"/>
      <c r="CM401" s="46"/>
      <c r="CN401" s="46"/>
      <c r="CO401" s="46"/>
      <c r="CP401" s="46"/>
      <c r="CQ401" s="46"/>
      <c r="CR401" s="46"/>
      <c r="CS401" s="46"/>
      <c r="CT401" s="46"/>
      <c r="CU401" s="46"/>
    </row>
    <row r="402" spans="1:99" ht="12.75" customHeight="1">
      <c r="A402" s="409">
        <v>1644</v>
      </c>
      <c r="B402" s="399" t="s">
        <v>5618</v>
      </c>
      <c r="C402" s="399">
        <f t="shared" si="42"/>
        <v>1644</v>
      </c>
      <c r="D402" s="399" t="str">
        <f t="shared" si="62"/>
        <v>Antiretroviral therapy</v>
      </c>
      <c r="E402" s="399" t="str">
        <f t="shared" si="44"/>
        <v>Antiretroviral therapy</v>
      </c>
      <c r="F402" s="409" t="s">
        <v>3164</v>
      </c>
      <c r="G402" s="400">
        <f t="shared" si="70"/>
        <v>22</v>
      </c>
      <c r="H402" s="400" t="str">
        <f>IF(F402="Input Option",IF(H401="",B401,H401),"")</f>
        <v/>
      </c>
      <c r="I402" s="400"/>
      <c r="J402" s="400"/>
      <c r="K402" s="401" t="s">
        <v>3333</v>
      </c>
      <c r="L402" s="402" t="s">
        <v>961</v>
      </c>
      <c r="M402" s="400"/>
      <c r="N402" s="427" t="s">
        <v>4417</v>
      </c>
      <c r="O402" s="428"/>
      <c r="P402" s="407" t="s">
        <v>5703</v>
      </c>
      <c r="Q402" s="405" t="s">
        <v>5618</v>
      </c>
      <c r="R402" s="407" t="s">
        <v>5704</v>
      </c>
      <c r="S402" s="403" t="s">
        <v>5617</v>
      </c>
      <c r="T402" s="407"/>
      <c r="U402" s="407"/>
      <c r="V402" s="403"/>
      <c r="W402" s="407"/>
      <c r="X402" s="407" t="s">
        <v>208</v>
      </c>
      <c r="Y402" s="407"/>
      <c r="Z402" s="403" t="s">
        <v>113</v>
      </c>
      <c r="AA402" s="403" t="s">
        <v>3178</v>
      </c>
      <c r="AB402" s="432" t="s">
        <v>5705</v>
      </c>
      <c r="AC402" s="421"/>
      <c r="AD402" s="421"/>
      <c r="AE402" s="432"/>
      <c r="AF402" s="407"/>
      <c r="AG402" s="407" t="s">
        <v>4489</v>
      </c>
      <c r="AH402" s="399"/>
      <c r="AI402" s="400"/>
      <c r="AJ402" s="399"/>
      <c r="AK402" s="399"/>
      <c r="AL402" s="399"/>
      <c r="AM402" s="399"/>
      <c r="AN402" s="399"/>
      <c r="AO402" s="399"/>
      <c r="AP402" s="399"/>
      <c r="AQ402" s="409" t="s">
        <v>115</v>
      </c>
      <c r="AR402" s="399"/>
      <c r="AS402" s="399"/>
      <c r="AT402" s="399"/>
      <c r="AU402" s="399" t="s">
        <v>5615</v>
      </c>
      <c r="AV402" s="399" t="str">
        <f t="shared" si="47"/>
        <v>Changed</v>
      </c>
      <c r="AW402" s="399"/>
      <c r="AX402" s="409" t="s">
        <v>3343</v>
      </c>
      <c r="AY402" s="399" t="str">
        <f t="shared" si="63"/>
        <v/>
      </c>
      <c r="AZ402" s="399"/>
      <c r="BA402" s="409">
        <v>0</v>
      </c>
      <c r="BB402" s="399"/>
      <c r="BC402" s="399"/>
      <c r="BD402" s="409" t="s">
        <v>5706</v>
      </c>
      <c r="BE402" s="411"/>
      <c r="BF402" s="411"/>
      <c r="BG402" s="411"/>
      <c r="BH402" s="411"/>
      <c r="BI402" s="411"/>
      <c r="BJ402" s="409" t="s">
        <v>3106</v>
      </c>
      <c r="BK402" s="399"/>
      <c r="BL402" s="399"/>
      <c r="BM402" s="399"/>
      <c r="BN402" s="399"/>
      <c r="BO402" s="399"/>
      <c r="BP402" s="399"/>
      <c r="BQ402" s="399"/>
      <c r="BR402" s="399"/>
      <c r="BS402" s="407"/>
      <c r="BT402" s="407"/>
      <c r="BU402" s="412"/>
      <c r="BV402" s="46" t="str">
        <f t="shared" si="8"/>
        <v/>
      </c>
      <c r="BW402" s="46" t="str">
        <f t="shared" si="9"/>
        <v/>
      </c>
      <c r="BX402" s="46" t="str">
        <f t="shared" si="10"/>
        <v/>
      </c>
      <c r="BY402" s="43" t="str">
        <f t="shared" si="11"/>
        <v/>
      </c>
      <c r="BZ402" s="46">
        <f t="shared" si="12"/>
        <v>1</v>
      </c>
      <c r="CA402" s="46" t="str">
        <f t="shared" si="13"/>
        <v/>
      </c>
      <c r="CB402" s="46">
        <f t="shared" si="14"/>
        <v>1</v>
      </c>
      <c r="CC402" s="46">
        <f t="shared" si="15"/>
        <v>1</v>
      </c>
      <c r="CD402" s="46">
        <f t="shared" si="16"/>
        <v>1</v>
      </c>
      <c r="CE402" s="46">
        <f t="shared" si="17"/>
        <v>0</v>
      </c>
      <c r="CF402" s="46">
        <f t="shared" si="18"/>
        <v>0</v>
      </c>
      <c r="CG402" s="46" t="str">
        <f ca="1">IFERROR(__xludf.DUMMYFUNCTION("if(OR(BH402="""",LEFT(BH402,2)=""LA""),"""",IMPORTXML(CONCATENATE(""https://loinc.org/"",BH402,""/""),""//span[@id='lcn']""))"),"")</f>
        <v/>
      </c>
      <c r="CH402" s="46"/>
      <c r="CI402" s="46"/>
      <c r="CJ402" s="46"/>
      <c r="CK402" s="46"/>
      <c r="CL402" s="46"/>
      <c r="CM402" s="46"/>
      <c r="CN402" s="46"/>
      <c r="CO402" s="46"/>
      <c r="CP402" s="46"/>
      <c r="CQ402" s="46"/>
      <c r="CR402" s="46"/>
      <c r="CS402" s="46"/>
      <c r="CT402" s="46"/>
      <c r="CU402" s="46"/>
    </row>
    <row r="403" spans="1:99" ht="12.75" customHeight="1">
      <c r="A403" s="399">
        <v>1645</v>
      </c>
      <c r="B403" s="399" t="s">
        <v>5707</v>
      </c>
      <c r="C403" s="399">
        <f t="shared" si="42"/>
        <v>1645</v>
      </c>
      <c r="D403" s="399" t="e">
        <f t="shared" ca="1" si="62"/>
        <v>#NAME?</v>
      </c>
      <c r="E403" s="399" t="str">
        <f t="shared" si="44"/>
        <v>NRTIs</v>
      </c>
      <c r="F403" s="409" t="s">
        <v>180</v>
      </c>
      <c r="G403" s="400">
        <f t="shared" si="70"/>
        <v>5</v>
      </c>
      <c r="H403" s="410" t="s">
        <v>5602</v>
      </c>
      <c r="I403" s="400"/>
      <c r="J403" s="400"/>
      <c r="K403" s="401" t="s">
        <v>3333</v>
      </c>
      <c r="L403" s="402" t="s">
        <v>961</v>
      </c>
      <c r="M403" s="400"/>
      <c r="N403" s="427" t="s">
        <v>4417</v>
      </c>
      <c r="O403" s="428"/>
      <c r="P403" s="407" t="s">
        <v>5708</v>
      </c>
      <c r="Q403" s="407"/>
      <c r="R403" s="407" t="s">
        <v>5707</v>
      </c>
      <c r="S403" s="432" t="s">
        <v>5709</v>
      </c>
      <c r="T403" s="421"/>
      <c r="U403" s="407"/>
      <c r="V403" s="407" t="s">
        <v>5707</v>
      </c>
      <c r="W403" s="407"/>
      <c r="X403" s="407" t="s">
        <v>208</v>
      </c>
      <c r="Y403" s="407"/>
      <c r="Z403" s="403" t="s">
        <v>113</v>
      </c>
      <c r="AA403" s="403" t="s">
        <v>3178</v>
      </c>
      <c r="AB403" s="432" t="s">
        <v>4521</v>
      </c>
      <c r="AC403" s="421"/>
      <c r="AD403" s="421"/>
      <c r="AE403" s="432"/>
      <c r="AF403" s="407"/>
      <c r="AG403" s="407" t="s">
        <v>4489</v>
      </c>
      <c r="AH403" s="399"/>
      <c r="AI403" s="400"/>
      <c r="AJ403" s="399"/>
      <c r="AK403" s="409"/>
      <c r="AL403" s="409"/>
      <c r="AM403" s="409"/>
      <c r="AN403" s="409"/>
      <c r="AO403" s="399"/>
      <c r="AP403" s="409"/>
      <c r="AQ403" s="409" t="s">
        <v>3130</v>
      </c>
      <c r="AR403" s="399"/>
      <c r="AS403" s="399"/>
      <c r="AT403" s="399"/>
      <c r="AU403" s="399" t="s">
        <v>5710</v>
      </c>
      <c r="AV403" s="399" t="str">
        <f t="shared" si="47"/>
        <v>Changed</v>
      </c>
      <c r="AW403" s="399"/>
      <c r="AX403" s="409" t="s">
        <v>3343</v>
      </c>
      <c r="AY403" s="399" t="e">
        <f t="shared" ca="1" si="63"/>
        <v>#NAME?</v>
      </c>
      <c r="AZ403" s="399"/>
      <c r="BA403" s="409">
        <v>1</v>
      </c>
      <c r="BB403" s="399"/>
      <c r="BC403" s="399"/>
      <c r="BD403" s="409" t="s">
        <v>5711</v>
      </c>
      <c r="BE403" s="411"/>
      <c r="BF403" s="411"/>
      <c r="BG403" s="411"/>
      <c r="BH403" s="411"/>
      <c r="BI403" s="434" t="s">
        <v>5712</v>
      </c>
      <c r="BJ403" s="399"/>
      <c r="BK403" s="399"/>
      <c r="BL403" s="409" t="s">
        <v>5713</v>
      </c>
      <c r="BM403" s="399"/>
      <c r="BN403" s="466" t="str">
        <f>HYPERLINK("https://github.com/who-int/Data-Dictionary-Mapping/issues/68","68")</f>
        <v>68</v>
      </c>
      <c r="BO403" s="399"/>
      <c r="BP403" s="399"/>
      <c r="BQ403" s="399"/>
      <c r="BR403" s="399"/>
      <c r="BS403" s="407"/>
      <c r="BT403" s="407"/>
      <c r="BU403" s="412"/>
      <c r="BV403" s="46" t="str">
        <f t="shared" si="8"/>
        <v/>
      </c>
      <c r="BW403" s="46">
        <f t="shared" si="9"/>
        <v>0</v>
      </c>
      <c r="BX403" s="46">
        <f t="shared" si="10"/>
        <v>0</v>
      </c>
      <c r="BY403" s="43" t="str">
        <f t="shared" si="11"/>
        <v>WHO-FP MedicationStatement (Current Medication)</v>
      </c>
      <c r="BZ403" s="46">
        <f t="shared" si="12"/>
        <v>1</v>
      </c>
      <c r="CA403" s="46" t="str">
        <f t="shared" si="13"/>
        <v/>
      </c>
      <c r="CB403" s="46">
        <f t="shared" si="14"/>
        <v>1</v>
      </c>
      <c r="CC403" s="46">
        <f t="shared" si="15"/>
        <v>1</v>
      </c>
      <c r="CD403" s="46">
        <f t="shared" si="16"/>
        <v>1</v>
      </c>
      <c r="CE403" s="46">
        <f t="shared" si="17"/>
        <v>0</v>
      </c>
      <c r="CF403" s="46">
        <f t="shared" si="18"/>
        <v>0</v>
      </c>
      <c r="CG403" s="46" t="str">
        <f ca="1">IFERROR(__xludf.DUMMYFUNCTION("if(OR(BH403="""",LEFT(BH403,2)=""LA""),"""",IMPORTXML(CONCATENATE(""https://loinc.org/"",BH403,""/""),""//span[@id='lcn']""))"),"")</f>
        <v/>
      </c>
      <c r="CH403" s="46"/>
      <c r="CI403" s="46"/>
      <c r="CJ403" s="46"/>
      <c r="CK403" s="46"/>
      <c r="CL403" s="46"/>
      <c r="CM403" s="46"/>
      <c r="CN403" s="46"/>
      <c r="CO403" s="46"/>
      <c r="CP403" s="46"/>
      <c r="CQ403" s="46"/>
      <c r="CR403" s="46"/>
      <c r="CS403" s="46"/>
      <c r="CT403" s="46"/>
      <c r="CU403" s="46"/>
    </row>
    <row r="404" spans="1:99" ht="12.75" customHeight="1">
      <c r="A404" s="399">
        <v>1646</v>
      </c>
      <c r="B404" s="399" t="s">
        <v>5714</v>
      </c>
      <c r="C404" s="399">
        <f t="shared" si="42"/>
        <v>1646</v>
      </c>
      <c r="D404" s="399" t="e">
        <f t="shared" ca="1" si="62"/>
        <v>#NAME?</v>
      </c>
      <c r="E404" s="399" t="str">
        <f t="shared" si="44"/>
        <v>EFV</v>
      </c>
      <c r="F404" s="409" t="s">
        <v>180</v>
      </c>
      <c r="G404" s="400">
        <f t="shared" si="70"/>
        <v>3</v>
      </c>
      <c r="H404" s="410" t="s">
        <v>5602</v>
      </c>
      <c r="I404" s="400"/>
      <c r="J404" s="400"/>
      <c r="K404" s="401" t="s">
        <v>3333</v>
      </c>
      <c r="L404" s="402" t="s">
        <v>961</v>
      </c>
      <c r="M404" s="400"/>
      <c r="N404" s="427" t="s">
        <v>4417</v>
      </c>
      <c r="O404" s="428"/>
      <c r="P404" s="407" t="s">
        <v>5715</v>
      </c>
      <c r="Q404" s="407"/>
      <c r="R404" s="407" t="s">
        <v>5714</v>
      </c>
      <c r="S404" s="407" t="s">
        <v>5716</v>
      </c>
      <c r="T404" s="407"/>
      <c r="U404" s="407"/>
      <c r="V404" s="407" t="s">
        <v>5714</v>
      </c>
      <c r="W404" s="407"/>
      <c r="X404" s="407" t="s">
        <v>208</v>
      </c>
      <c r="Y404" s="407"/>
      <c r="Z404" s="403" t="s">
        <v>113</v>
      </c>
      <c r="AA404" s="403" t="s">
        <v>3178</v>
      </c>
      <c r="AB404" s="432" t="s">
        <v>4521</v>
      </c>
      <c r="AC404" s="421"/>
      <c r="AD404" s="421"/>
      <c r="AE404" s="432"/>
      <c r="AF404" s="407"/>
      <c r="AG404" s="407" t="s">
        <v>4489</v>
      </c>
      <c r="AH404" s="399"/>
      <c r="AI404" s="400"/>
      <c r="AJ404" s="399"/>
      <c r="AK404" s="409"/>
      <c r="AL404" s="409"/>
      <c r="AM404" s="409"/>
      <c r="AN404" s="409"/>
      <c r="AO404" s="399"/>
      <c r="AP404" s="409"/>
      <c r="AQ404" s="409" t="s">
        <v>3130</v>
      </c>
      <c r="AR404" s="399"/>
      <c r="AS404" s="399"/>
      <c r="AT404" s="399"/>
      <c r="AU404" s="399" t="s">
        <v>5717</v>
      </c>
      <c r="AV404" s="399" t="str">
        <f t="shared" si="47"/>
        <v>Changed</v>
      </c>
      <c r="AW404" s="399"/>
      <c r="AX404" s="409" t="s">
        <v>3343</v>
      </c>
      <c r="AY404" s="399" t="e">
        <f t="shared" ca="1" si="63"/>
        <v>#NAME?</v>
      </c>
      <c r="AZ404" s="399"/>
      <c r="BA404" s="409">
        <v>1</v>
      </c>
      <c r="BB404" s="399"/>
      <c r="BC404" s="399"/>
      <c r="BD404" s="399"/>
      <c r="BE404" s="411"/>
      <c r="BF404" s="411"/>
      <c r="BG404" s="411"/>
      <c r="BH404" s="411"/>
      <c r="BI404" s="434" t="s">
        <v>5718</v>
      </c>
      <c r="BJ404" s="399"/>
      <c r="BK404" s="399"/>
      <c r="BL404" s="409" t="s">
        <v>3162</v>
      </c>
      <c r="BM404" s="399"/>
      <c r="BN404" s="399"/>
      <c r="BO404" s="399"/>
      <c r="BP404" s="399"/>
      <c r="BQ404" s="399"/>
      <c r="BR404" s="399"/>
      <c r="BS404" s="407"/>
      <c r="BT404" s="407"/>
      <c r="BU404" s="412"/>
      <c r="BV404" s="46" t="str">
        <f t="shared" si="8"/>
        <v/>
      </c>
      <c r="BW404" s="46">
        <f t="shared" si="9"/>
        <v>0</v>
      </c>
      <c r="BX404" s="46">
        <f t="shared" si="10"/>
        <v>0</v>
      </c>
      <c r="BY404" s="43" t="str">
        <f t="shared" si="11"/>
        <v>WHO-FP MedicationStatement (Current Medication)</v>
      </c>
      <c r="BZ404" s="46">
        <f t="shared" si="12"/>
        <v>1</v>
      </c>
      <c r="CA404" s="46" t="str">
        <f t="shared" si="13"/>
        <v/>
      </c>
      <c r="CB404" s="46">
        <f t="shared" si="14"/>
        <v>1</v>
      </c>
      <c r="CC404" s="46">
        <f t="shared" si="15"/>
        <v>1</v>
      </c>
      <c r="CD404" s="46">
        <f t="shared" si="16"/>
        <v>1</v>
      </c>
      <c r="CE404" s="46">
        <f t="shared" si="17"/>
        <v>0</v>
      </c>
      <c r="CF404" s="46">
        <f t="shared" si="18"/>
        <v>0</v>
      </c>
      <c r="CG404" s="46" t="str">
        <f ca="1">IFERROR(__xludf.DUMMYFUNCTION("if(OR(BH404="""",LEFT(BH404,2)=""LA""),"""",IMPORTXML(CONCATENATE(""https://loinc.org/"",BH404,""/""),""//span[@id='lcn']""))"),"")</f>
        <v/>
      </c>
      <c r="CH404" s="46"/>
      <c r="CI404" s="46"/>
      <c r="CJ404" s="46"/>
      <c r="CK404" s="46"/>
      <c r="CL404" s="46"/>
      <c r="CM404" s="46"/>
      <c r="CN404" s="46"/>
      <c r="CO404" s="46"/>
      <c r="CP404" s="46"/>
      <c r="CQ404" s="46"/>
      <c r="CR404" s="46"/>
      <c r="CS404" s="46"/>
      <c r="CT404" s="46"/>
      <c r="CU404" s="46"/>
    </row>
    <row r="405" spans="1:99" ht="12.75" customHeight="1">
      <c r="A405" s="399">
        <v>1647</v>
      </c>
      <c r="B405" s="399" t="s">
        <v>5719</v>
      </c>
      <c r="C405" s="399">
        <f t="shared" si="42"/>
        <v>1647</v>
      </c>
      <c r="D405" s="399" t="e">
        <f t="shared" ca="1" si="62"/>
        <v>#NAME?</v>
      </c>
      <c r="E405" s="399" t="str">
        <f t="shared" si="44"/>
        <v>ETR</v>
      </c>
      <c r="F405" s="409" t="s">
        <v>180</v>
      </c>
      <c r="G405" s="400">
        <f t="shared" si="70"/>
        <v>3</v>
      </c>
      <c r="H405" s="410" t="s">
        <v>5602</v>
      </c>
      <c r="I405" s="400"/>
      <c r="J405" s="400"/>
      <c r="K405" s="401" t="s">
        <v>3333</v>
      </c>
      <c r="L405" s="402" t="s">
        <v>961</v>
      </c>
      <c r="M405" s="400"/>
      <c r="N405" s="427" t="s">
        <v>4417</v>
      </c>
      <c r="O405" s="428"/>
      <c r="P405" s="407" t="s">
        <v>5720</v>
      </c>
      <c r="Q405" s="407"/>
      <c r="R405" s="407" t="s">
        <v>5719</v>
      </c>
      <c r="S405" s="407" t="s">
        <v>5721</v>
      </c>
      <c r="T405" s="407"/>
      <c r="U405" s="407"/>
      <c r="V405" s="407" t="s">
        <v>5719</v>
      </c>
      <c r="W405" s="407"/>
      <c r="X405" s="407" t="s">
        <v>208</v>
      </c>
      <c r="Y405" s="407"/>
      <c r="Z405" s="403" t="s">
        <v>113</v>
      </c>
      <c r="AA405" s="403" t="s">
        <v>3178</v>
      </c>
      <c r="AB405" s="432" t="s">
        <v>4521</v>
      </c>
      <c r="AC405" s="421"/>
      <c r="AD405" s="421"/>
      <c r="AE405" s="432"/>
      <c r="AF405" s="407"/>
      <c r="AG405" s="407" t="s">
        <v>4489</v>
      </c>
      <c r="AH405" s="399"/>
      <c r="AI405" s="400"/>
      <c r="AJ405" s="399"/>
      <c r="AK405" s="409"/>
      <c r="AL405" s="409"/>
      <c r="AM405" s="409"/>
      <c r="AN405" s="409"/>
      <c r="AO405" s="399"/>
      <c r="AP405" s="409"/>
      <c r="AQ405" s="409" t="s">
        <v>3130</v>
      </c>
      <c r="AR405" s="399"/>
      <c r="AS405" s="399"/>
      <c r="AT405" s="399"/>
      <c r="AU405" s="399" t="s">
        <v>5722</v>
      </c>
      <c r="AV405" s="399" t="str">
        <f t="shared" si="47"/>
        <v>Changed</v>
      </c>
      <c r="AW405" s="399"/>
      <c r="AX405" s="409" t="s">
        <v>3343</v>
      </c>
      <c r="AY405" s="399" t="e">
        <f t="shared" ca="1" si="63"/>
        <v>#NAME?</v>
      </c>
      <c r="AZ405" s="399"/>
      <c r="BA405" s="409">
        <v>1</v>
      </c>
      <c r="BB405" s="399"/>
      <c r="BC405" s="399"/>
      <c r="BD405" s="399"/>
      <c r="BE405" s="411"/>
      <c r="BF405" s="411"/>
      <c r="BG405" s="411"/>
      <c r="BH405" s="411"/>
      <c r="BI405" s="434" t="s">
        <v>5723</v>
      </c>
      <c r="BJ405" s="399"/>
      <c r="BK405" s="399"/>
      <c r="BL405" s="409" t="s">
        <v>3162</v>
      </c>
      <c r="BM405" s="399"/>
      <c r="BN405" s="399"/>
      <c r="BO405" s="399"/>
      <c r="BP405" s="399"/>
      <c r="BQ405" s="399"/>
      <c r="BR405" s="399"/>
      <c r="BS405" s="407"/>
      <c r="BT405" s="407"/>
      <c r="BU405" s="412"/>
      <c r="BV405" s="46" t="str">
        <f t="shared" si="8"/>
        <v/>
      </c>
      <c r="BW405" s="46">
        <f t="shared" si="9"/>
        <v>0</v>
      </c>
      <c r="BX405" s="46">
        <f t="shared" si="10"/>
        <v>0</v>
      </c>
      <c r="BY405" s="43" t="str">
        <f t="shared" si="11"/>
        <v>WHO-FP MedicationStatement (Current Medication)</v>
      </c>
      <c r="BZ405" s="46">
        <f t="shared" si="12"/>
        <v>1</v>
      </c>
      <c r="CA405" s="46" t="str">
        <f t="shared" si="13"/>
        <v/>
      </c>
      <c r="CB405" s="46">
        <f t="shared" si="14"/>
        <v>1</v>
      </c>
      <c r="CC405" s="46">
        <f t="shared" si="15"/>
        <v>1</v>
      </c>
      <c r="CD405" s="46">
        <f t="shared" si="16"/>
        <v>1</v>
      </c>
      <c r="CE405" s="46">
        <f t="shared" si="17"/>
        <v>0</v>
      </c>
      <c r="CF405" s="46">
        <f t="shared" si="18"/>
        <v>0</v>
      </c>
      <c r="CG405" s="46" t="str">
        <f ca="1">IFERROR(__xludf.DUMMYFUNCTION("if(OR(BH405="""",LEFT(BH405,2)=""LA""),"""",IMPORTXML(CONCATENATE(""https://loinc.org/"",BH405,""/""),""//span[@id='lcn']""))"),"")</f>
        <v/>
      </c>
      <c r="CH405" s="46"/>
      <c r="CI405" s="46"/>
      <c r="CJ405" s="46"/>
      <c r="CK405" s="46"/>
      <c r="CL405" s="46"/>
      <c r="CM405" s="46"/>
      <c r="CN405" s="46"/>
      <c r="CO405" s="46"/>
      <c r="CP405" s="46"/>
      <c r="CQ405" s="46"/>
      <c r="CR405" s="46"/>
      <c r="CS405" s="46"/>
      <c r="CT405" s="46"/>
      <c r="CU405" s="46"/>
    </row>
    <row r="406" spans="1:99" ht="12.75" customHeight="1">
      <c r="A406" s="399">
        <v>1648</v>
      </c>
      <c r="B406" s="399" t="s">
        <v>5724</v>
      </c>
      <c r="C406" s="399">
        <f t="shared" si="42"/>
        <v>1648</v>
      </c>
      <c r="D406" s="399" t="e">
        <f t="shared" ca="1" si="62"/>
        <v>#NAME?</v>
      </c>
      <c r="E406" s="399" t="str">
        <f t="shared" si="44"/>
        <v>NVP</v>
      </c>
      <c r="F406" s="409" t="s">
        <v>180</v>
      </c>
      <c r="G406" s="400">
        <f t="shared" si="70"/>
        <v>3</v>
      </c>
      <c r="H406" s="410" t="s">
        <v>5602</v>
      </c>
      <c r="I406" s="400"/>
      <c r="J406" s="400"/>
      <c r="K406" s="401" t="s">
        <v>3333</v>
      </c>
      <c r="L406" s="402" t="s">
        <v>961</v>
      </c>
      <c r="M406" s="400"/>
      <c r="N406" s="427" t="s">
        <v>4417</v>
      </c>
      <c r="O406" s="428"/>
      <c r="P406" s="407" t="s">
        <v>5725</v>
      </c>
      <c r="Q406" s="407"/>
      <c r="R406" s="407" t="s">
        <v>5724</v>
      </c>
      <c r="S406" s="407" t="s">
        <v>5726</v>
      </c>
      <c r="T406" s="407"/>
      <c r="U406" s="407"/>
      <c r="V406" s="407" t="s">
        <v>5724</v>
      </c>
      <c r="W406" s="407"/>
      <c r="X406" s="407" t="s">
        <v>208</v>
      </c>
      <c r="Y406" s="407"/>
      <c r="Z406" s="403" t="s">
        <v>113</v>
      </c>
      <c r="AA406" s="403" t="s">
        <v>3178</v>
      </c>
      <c r="AB406" s="432" t="s">
        <v>4521</v>
      </c>
      <c r="AC406" s="421"/>
      <c r="AD406" s="421"/>
      <c r="AE406" s="432"/>
      <c r="AF406" s="407"/>
      <c r="AG406" s="407" t="s">
        <v>4489</v>
      </c>
      <c r="AH406" s="399"/>
      <c r="AI406" s="400"/>
      <c r="AJ406" s="399"/>
      <c r="AK406" s="409"/>
      <c r="AL406" s="409"/>
      <c r="AM406" s="409"/>
      <c r="AN406" s="409"/>
      <c r="AO406" s="399"/>
      <c r="AP406" s="409"/>
      <c r="AQ406" s="409" t="s">
        <v>3130</v>
      </c>
      <c r="AR406" s="399"/>
      <c r="AS406" s="399"/>
      <c r="AT406" s="399"/>
      <c r="AU406" s="399" t="s">
        <v>5727</v>
      </c>
      <c r="AV406" s="399" t="str">
        <f t="shared" si="47"/>
        <v>Changed</v>
      </c>
      <c r="AW406" s="399"/>
      <c r="AX406" s="409" t="s">
        <v>3343</v>
      </c>
      <c r="AY406" s="399" t="e">
        <f t="shared" ca="1" si="63"/>
        <v>#NAME?</v>
      </c>
      <c r="AZ406" s="399"/>
      <c r="BA406" s="409">
        <v>1</v>
      </c>
      <c r="BB406" s="399"/>
      <c r="BC406" s="399"/>
      <c r="BD406" s="399"/>
      <c r="BE406" s="411"/>
      <c r="BF406" s="411"/>
      <c r="BG406" s="411"/>
      <c r="BH406" s="411"/>
      <c r="BI406" s="434" t="s">
        <v>5728</v>
      </c>
      <c r="BJ406" s="399"/>
      <c r="BK406" s="399"/>
      <c r="BL406" s="409" t="s">
        <v>3162</v>
      </c>
      <c r="BM406" s="399"/>
      <c r="BN406" s="399"/>
      <c r="BO406" s="399"/>
      <c r="BP406" s="399"/>
      <c r="BQ406" s="399"/>
      <c r="BR406" s="399"/>
      <c r="BS406" s="407"/>
      <c r="BT406" s="407"/>
      <c r="BU406" s="412"/>
      <c r="BV406" s="46" t="str">
        <f t="shared" si="8"/>
        <v/>
      </c>
      <c r="BW406" s="46">
        <f t="shared" si="9"/>
        <v>0</v>
      </c>
      <c r="BX406" s="46">
        <f t="shared" si="10"/>
        <v>0</v>
      </c>
      <c r="BY406" s="43" t="str">
        <f t="shared" si="11"/>
        <v>WHO-FP MedicationStatement (Current Medication)</v>
      </c>
      <c r="BZ406" s="46">
        <f t="shared" si="12"/>
        <v>1</v>
      </c>
      <c r="CA406" s="46" t="str">
        <f t="shared" si="13"/>
        <v/>
      </c>
      <c r="CB406" s="46">
        <f t="shared" si="14"/>
        <v>1</v>
      </c>
      <c r="CC406" s="46">
        <f t="shared" si="15"/>
        <v>1</v>
      </c>
      <c r="CD406" s="46">
        <f t="shared" si="16"/>
        <v>1</v>
      </c>
      <c r="CE406" s="46">
        <f t="shared" si="17"/>
        <v>0</v>
      </c>
      <c r="CF406" s="46">
        <f t="shared" si="18"/>
        <v>0</v>
      </c>
      <c r="CG406" s="46" t="str">
        <f ca="1">IFERROR(__xludf.DUMMYFUNCTION("if(OR(BH406="""",LEFT(BH406,2)=""LA""),"""",IMPORTXML(CONCATENATE(""https://loinc.org/"",BH406,""/""),""//span[@id='lcn']""))"),"")</f>
        <v/>
      </c>
      <c r="CH406" s="46"/>
      <c r="CI406" s="46"/>
      <c r="CJ406" s="46"/>
      <c r="CK406" s="46"/>
      <c r="CL406" s="46"/>
      <c r="CM406" s="46"/>
      <c r="CN406" s="46"/>
      <c r="CO406" s="46"/>
      <c r="CP406" s="46"/>
      <c r="CQ406" s="46"/>
      <c r="CR406" s="46"/>
      <c r="CS406" s="46"/>
      <c r="CT406" s="46"/>
      <c r="CU406" s="46"/>
    </row>
    <row r="407" spans="1:99" ht="12.75" customHeight="1">
      <c r="A407" s="399">
        <v>1649</v>
      </c>
      <c r="B407" s="399" t="s">
        <v>5729</v>
      </c>
      <c r="C407" s="399">
        <f t="shared" si="42"/>
        <v>1649</v>
      </c>
      <c r="D407" s="399" t="e">
        <f t="shared" ca="1" si="62"/>
        <v>#NAME?</v>
      </c>
      <c r="E407" s="399" t="str">
        <f t="shared" si="44"/>
        <v>RPV</v>
      </c>
      <c r="F407" s="409" t="s">
        <v>180</v>
      </c>
      <c r="G407" s="400">
        <f t="shared" si="70"/>
        <v>3</v>
      </c>
      <c r="H407" s="410" t="s">
        <v>5602</v>
      </c>
      <c r="I407" s="400"/>
      <c r="J407" s="400"/>
      <c r="K407" s="401" t="s">
        <v>3333</v>
      </c>
      <c r="L407" s="402" t="s">
        <v>961</v>
      </c>
      <c r="M407" s="400"/>
      <c r="N407" s="427" t="s">
        <v>4417</v>
      </c>
      <c r="O407" s="428"/>
      <c r="P407" s="407" t="s">
        <v>5730</v>
      </c>
      <c r="Q407" s="407"/>
      <c r="R407" s="407" t="s">
        <v>5729</v>
      </c>
      <c r="S407" s="407" t="s">
        <v>5731</v>
      </c>
      <c r="T407" s="407"/>
      <c r="U407" s="407"/>
      <c r="V407" s="407" t="s">
        <v>5729</v>
      </c>
      <c r="W407" s="407"/>
      <c r="X407" s="407" t="s">
        <v>208</v>
      </c>
      <c r="Y407" s="407"/>
      <c r="Z407" s="403" t="s">
        <v>113</v>
      </c>
      <c r="AA407" s="403" t="s">
        <v>3178</v>
      </c>
      <c r="AB407" s="432" t="s">
        <v>4521</v>
      </c>
      <c r="AC407" s="421"/>
      <c r="AD407" s="421"/>
      <c r="AE407" s="432"/>
      <c r="AF407" s="407"/>
      <c r="AG407" s="407" t="s">
        <v>4489</v>
      </c>
      <c r="AH407" s="399"/>
      <c r="AI407" s="400"/>
      <c r="AJ407" s="399"/>
      <c r="AK407" s="409"/>
      <c r="AL407" s="409"/>
      <c r="AM407" s="409"/>
      <c r="AN407" s="409"/>
      <c r="AO407" s="399"/>
      <c r="AP407" s="409"/>
      <c r="AQ407" s="409" t="s">
        <v>3130</v>
      </c>
      <c r="AR407" s="399"/>
      <c r="AS407" s="399"/>
      <c r="AT407" s="399"/>
      <c r="AU407" s="399" t="s">
        <v>5732</v>
      </c>
      <c r="AV407" s="399" t="str">
        <f t="shared" si="47"/>
        <v>Changed</v>
      </c>
      <c r="AW407" s="399"/>
      <c r="AX407" s="409" t="s">
        <v>3343</v>
      </c>
      <c r="AY407" s="399" t="e">
        <f t="shared" ca="1" si="63"/>
        <v>#NAME?</v>
      </c>
      <c r="AZ407" s="399"/>
      <c r="BA407" s="409">
        <v>1</v>
      </c>
      <c r="BB407" s="399"/>
      <c r="BC407" s="399"/>
      <c r="BD407" s="399"/>
      <c r="BE407" s="411"/>
      <c r="BF407" s="411"/>
      <c r="BG407" s="411"/>
      <c r="BH407" s="411"/>
      <c r="BI407" s="434" t="s">
        <v>5733</v>
      </c>
      <c r="BJ407" s="399"/>
      <c r="BK407" s="399"/>
      <c r="BL407" s="409" t="s">
        <v>3162</v>
      </c>
      <c r="BM407" s="399"/>
      <c r="BN407" s="399"/>
      <c r="BO407" s="399"/>
      <c r="BP407" s="399"/>
      <c r="BQ407" s="399"/>
      <c r="BR407" s="399"/>
      <c r="BS407" s="407"/>
      <c r="BT407" s="407"/>
      <c r="BU407" s="412"/>
      <c r="BV407" s="46" t="str">
        <f t="shared" si="8"/>
        <v/>
      </c>
      <c r="BW407" s="46">
        <f t="shared" si="9"/>
        <v>0</v>
      </c>
      <c r="BX407" s="46">
        <f t="shared" si="10"/>
        <v>0</v>
      </c>
      <c r="BY407" s="43" t="str">
        <f t="shared" si="11"/>
        <v>WHO-FP MedicationStatement (Current Medication)</v>
      </c>
      <c r="BZ407" s="46">
        <f t="shared" si="12"/>
        <v>1</v>
      </c>
      <c r="CA407" s="46" t="str">
        <f t="shared" si="13"/>
        <v/>
      </c>
      <c r="CB407" s="46">
        <f t="shared" si="14"/>
        <v>1</v>
      </c>
      <c r="CC407" s="46">
        <f t="shared" si="15"/>
        <v>1</v>
      </c>
      <c r="CD407" s="46">
        <f t="shared" si="16"/>
        <v>1</v>
      </c>
      <c r="CE407" s="46">
        <f t="shared" si="17"/>
        <v>0</v>
      </c>
      <c r="CF407" s="46">
        <f t="shared" si="18"/>
        <v>0</v>
      </c>
      <c r="CG407" s="46" t="str">
        <f ca="1">IFERROR(__xludf.DUMMYFUNCTION("if(OR(BH407="""",LEFT(BH407,2)=""LA""),"""",IMPORTXML(CONCATENATE(""https://loinc.org/"",BH407,""/""),""//span[@id='lcn']""))"),"")</f>
        <v/>
      </c>
      <c r="CH407" s="46"/>
      <c r="CI407" s="46"/>
      <c r="CJ407" s="46"/>
      <c r="CK407" s="46"/>
      <c r="CL407" s="46"/>
      <c r="CM407" s="46"/>
      <c r="CN407" s="46"/>
      <c r="CO407" s="46"/>
      <c r="CP407" s="46"/>
      <c r="CQ407" s="46"/>
      <c r="CR407" s="46"/>
      <c r="CS407" s="46"/>
      <c r="CT407" s="46"/>
      <c r="CU407" s="46"/>
    </row>
    <row r="408" spans="1:99" ht="12.75" customHeight="1">
      <c r="A408" s="399">
        <v>1650</v>
      </c>
      <c r="B408" s="399" t="s">
        <v>5734</v>
      </c>
      <c r="C408" s="399">
        <f t="shared" si="42"/>
        <v>1650</v>
      </c>
      <c r="D408" s="399" t="e">
        <f t="shared" ca="1" si="62"/>
        <v>#NAME?</v>
      </c>
      <c r="E408" s="399" t="str">
        <f t="shared" si="44"/>
        <v>PIs</v>
      </c>
      <c r="F408" s="409" t="s">
        <v>180</v>
      </c>
      <c r="G408" s="400">
        <f t="shared" si="70"/>
        <v>3</v>
      </c>
      <c r="H408" s="410" t="s">
        <v>5602</v>
      </c>
      <c r="I408" s="400"/>
      <c r="J408" s="400"/>
      <c r="K408" s="401" t="s">
        <v>3333</v>
      </c>
      <c r="L408" s="402" t="s">
        <v>961</v>
      </c>
      <c r="M408" s="400"/>
      <c r="N408" s="427" t="s">
        <v>4417</v>
      </c>
      <c r="O408" s="428"/>
      <c r="P408" s="407" t="s">
        <v>5735</v>
      </c>
      <c r="Q408" s="407"/>
      <c r="R408" s="407"/>
      <c r="S408" s="432" t="s">
        <v>5736</v>
      </c>
      <c r="T408" s="407"/>
      <c r="U408" s="407"/>
      <c r="V408" s="407" t="s">
        <v>5734</v>
      </c>
      <c r="W408" s="407"/>
      <c r="X408" s="407" t="s">
        <v>208</v>
      </c>
      <c r="Y408" s="407"/>
      <c r="Z408" s="403" t="s">
        <v>113</v>
      </c>
      <c r="AA408" s="403" t="s">
        <v>3178</v>
      </c>
      <c r="AB408" s="432" t="s">
        <v>4521</v>
      </c>
      <c r="AC408" s="421"/>
      <c r="AD408" s="421"/>
      <c r="AE408" s="432"/>
      <c r="AF408" s="421"/>
      <c r="AG408" s="407"/>
      <c r="AH408" s="399"/>
      <c r="AI408" s="400"/>
      <c r="AJ408" s="399"/>
      <c r="AK408" s="409"/>
      <c r="AL408" s="409"/>
      <c r="AM408" s="409"/>
      <c r="AN408" s="409"/>
      <c r="AO408" s="399"/>
      <c r="AP408" s="409"/>
      <c r="AQ408" s="409" t="s">
        <v>3130</v>
      </c>
      <c r="AR408" s="399"/>
      <c r="AS408" s="399"/>
      <c r="AT408" s="399"/>
      <c r="AU408" s="399" t="s">
        <v>5737</v>
      </c>
      <c r="AV408" s="399" t="str">
        <f t="shared" si="47"/>
        <v>Changed</v>
      </c>
      <c r="AW408" s="399"/>
      <c r="AX408" s="409" t="s">
        <v>3343</v>
      </c>
      <c r="AY408" s="399" t="e">
        <f t="shared" ca="1" si="63"/>
        <v>#NAME?</v>
      </c>
      <c r="AZ408" s="399"/>
      <c r="BA408" s="409">
        <v>1</v>
      </c>
      <c r="BB408" s="399"/>
      <c r="BC408" s="399"/>
      <c r="BD408" s="399"/>
      <c r="BE408" s="411"/>
      <c r="BF408" s="411"/>
      <c r="BG408" s="411"/>
      <c r="BH408" s="411"/>
      <c r="BI408" s="434" t="s">
        <v>5738</v>
      </c>
      <c r="BJ408" s="399"/>
      <c r="BK408" s="399"/>
      <c r="BL408" s="409" t="s">
        <v>5713</v>
      </c>
      <c r="BM408" s="399"/>
      <c r="BN408" s="399"/>
      <c r="BO408" s="399"/>
      <c r="BP408" s="399"/>
      <c r="BQ408" s="399"/>
      <c r="BR408" s="399"/>
      <c r="BS408" s="407"/>
      <c r="BT408" s="407"/>
      <c r="BU408" s="412"/>
      <c r="BV408" s="46" t="str">
        <f t="shared" si="8"/>
        <v/>
      </c>
      <c r="BW408" s="46">
        <f t="shared" si="9"/>
        <v>0</v>
      </c>
      <c r="BX408" s="46">
        <f t="shared" si="10"/>
        <v>0</v>
      </c>
      <c r="BY408" s="43" t="str">
        <f t="shared" si="11"/>
        <v>WHO-FP MedicationStatement (Current Medication)</v>
      </c>
      <c r="BZ408" s="46">
        <f t="shared" si="12"/>
        <v>1</v>
      </c>
      <c r="CA408" s="46" t="str">
        <f t="shared" si="13"/>
        <v/>
      </c>
      <c r="CB408" s="46">
        <f t="shared" si="14"/>
        <v>1</v>
      </c>
      <c r="CC408" s="46">
        <f t="shared" si="15"/>
        <v>1</v>
      </c>
      <c r="CD408" s="46">
        <f t="shared" si="16"/>
        <v>1</v>
      </c>
      <c r="CE408" s="46">
        <f t="shared" si="17"/>
        <v>0</v>
      </c>
      <c r="CF408" s="46">
        <f t="shared" si="18"/>
        <v>0</v>
      </c>
      <c r="CG408" s="46" t="str">
        <f ca="1">IFERROR(__xludf.DUMMYFUNCTION("if(OR(BH408="""",LEFT(BH408,2)=""LA""),"""",IMPORTXML(CONCATENATE(""https://loinc.org/"",BH408,""/""),""//span[@id='lcn']""))"),"")</f>
        <v/>
      </c>
      <c r="CH408" s="46"/>
      <c r="CI408" s="46"/>
      <c r="CJ408" s="46"/>
      <c r="CK408" s="46"/>
      <c r="CL408" s="46"/>
      <c r="CM408" s="46"/>
      <c r="CN408" s="46"/>
      <c r="CO408" s="46"/>
      <c r="CP408" s="46"/>
      <c r="CQ408" s="46"/>
      <c r="CR408" s="46"/>
      <c r="CS408" s="46"/>
      <c r="CT408" s="46"/>
      <c r="CU408" s="46"/>
    </row>
    <row r="409" spans="1:99" ht="12.75" customHeight="1">
      <c r="A409" s="399">
        <v>1651</v>
      </c>
      <c r="B409" s="399" t="s">
        <v>5739</v>
      </c>
      <c r="C409" s="399">
        <f t="shared" si="42"/>
        <v>1651</v>
      </c>
      <c r="D409" s="399" t="e">
        <f t="shared" ca="1" si="62"/>
        <v>#NAME?</v>
      </c>
      <c r="E409" s="399" t="str">
        <f t="shared" si="44"/>
        <v>RAL</v>
      </c>
      <c r="F409" s="409" t="s">
        <v>180</v>
      </c>
      <c r="G409" s="400">
        <f t="shared" si="70"/>
        <v>3</v>
      </c>
      <c r="H409" s="410" t="s">
        <v>5602</v>
      </c>
      <c r="I409" s="400"/>
      <c r="J409" s="400"/>
      <c r="K409" s="401" t="s">
        <v>3333</v>
      </c>
      <c r="L409" s="402" t="s">
        <v>961</v>
      </c>
      <c r="M409" s="400"/>
      <c r="N409" s="427" t="s">
        <v>4417</v>
      </c>
      <c r="O409" s="428"/>
      <c r="P409" s="407" t="s">
        <v>5740</v>
      </c>
      <c r="Q409" s="407"/>
      <c r="R409" s="407" t="s">
        <v>5739</v>
      </c>
      <c r="S409" s="432" t="s">
        <v>5741</v>
      </c>
      <c r="T409" s="421"/>
      <c r="U409" s="407"/>
      <c r="V409" s="407" t="s">
        <v>5739</v>
      </c>
      <c r="W409" s="407"/>
      <c r="X409" s="407" t="s">
        <v>208</v>
      </c>
      <c r="Y409" s="407"/>
      <c r="Z409" s="403" t="s">
        <v>113</v>
      </c>
      <c r="AA409" s="403" t="s">
        <v>3178</v>
      </c>
      <c r="AB409" s="432" t="s">
        <v>4521</v>
      </c>
      <c r="AC409" s="421"/>
      <c r="AD409" s="421"/>
      <c r="AE409" s="432"/>
      <c r="AF409" s="407"/>
      <c r="AG409" s="407" t="s">
        <v>4489</v>
      </c>
      <c r="AH409" s="399"/>
      <c r="AI409" s="400"/>
      <c r="AJ409" s="399"/>
      <c r="AK409" s="409"/>
      <c r="AL409" s="409"/>
      <c r="AM409" s="409"/>
      <c r="AN409" s="409"/>
      <c r="AO409" s="399"/>
      <c r="AP409" s="409"/>
      <c r="AQ409" s="409" t="s">
        <v>3130</v>
      </c>
      <c r="AR409" s="399"/>
      <c r="AS409" s="399"/>
      <c r="AT409" s="399"/>
      <c r="AU409" s="399" t="s">
        <v>5742</v>
      </c>
      <c r="AV409" s="399" t="str">
        <f t="shared" si="47"/>
        <v>Changed</v>
      </c>
      <c r="AW409" s="399"/>
      <c r="AX409" s="409" t="s">
        <v>3343</v>
      </c>
      <c r="AY409" s="399" t="e">
        <f t="shared" ca="1" si="63"/>
        <v>#NAME?</v>
      </c>
      <c r="AZ409" s="399"/>
      <c r="BA409" s="409">
        <v>1</v>
      </c>
      <c r="BB409" s="399"/>
      <c r="BC409" s="399"/>
      <c r="BD409" s="399"/>
      <c r="BE409" s="411"/>
      <c r="BF409" s="411"/>
      <c r="BG409" s="411"/>
      <c r="BH409" s="411"/>
      <c r="BI409" s="434" t="s">
        <v>5743</v>
      </c>
      <c r="BJ409" s="399"/>
      <c r="BK409" s="399"/>
      <c r="BL409" s="409" t="s">
        <v>3162</v>
      </c>
      <c r="BM409" s="399"/>
      <c r="BN409" s="399"/>
      <c r="BO409" s="399"/>
      <c r="BP409" s="399"/>
      <c r="BQ409" s="399"/>
      <c r="BR409" s="399"/>
      <c r="BS409" s="407"/>
      <c r="BT409" s="407"/>
      <c r="BU409" s="412"/>
      <c r="BV409" s="46" t="str">
        <f t="shared" si="8"/>
        <v/>
      </c>
      <c r="BW409" s="46">
        <f t="shared" si="9"/>
        <v>0</v>
      </c>
      <c r="BX409" s="46">
        <f t="shared" si="10"/>
        <v>0</v>
      </c>
      <c r="BY409" s="43" t="str">
        <f t="shared" si="11"/>
        <v>WHO-FP MedicationStatement (Current Medication)</v>
      </c>
      <c r="BZ409" s="46">
        <f t="shared" si="12"/>
        <v>1</v>
      </c>
      <c r="CA409" s="46" t="str">
        <f t="shared" si="13"/>
        <v/>
      </c>
      <c r="CB409" s="46">
        <f t="shared" si="14"/>
        <v>1</v>
      </c>
      <c r="CC409" s="46">
        <f t="shared" si="15"/>
        <v>1</v>
      </c>
      <c r="CD409" s="46">
        <f t="shared" si="16"/>
        <v>1</v>
      </c>
      <c r="CE409" s="46">
        <f t="shared" si="17"/>
        <v>0</v>
      </c>
      <c r="CF409" s="46">
        <f t="shared" si="18"/>
        <v>0</v>
      </c>
      <c r="CG409" s="46" t="str">
        <f ca="1">IFERROR(__xludf.DUMMYFUNCTION("if(OR(BH409="""",LEFT(BH409,2)=""LA""),"""",IMPORTXML(CONCATENATE(""https://loinc.org/"",BH409,""/""),""//span[@id='lcn']""))"),"")</f>
        <v/>
      </c>
      <c r="CH409" s="46"/>
      <c r="CI409" s="46"/>
      <c r="CJ409" s="46"/>
      <c r="CK409" s="46"/>
      <c r="CL409" s="46"/>
      <c r="CM409" s="46"/>
      <c r="CN409" s="46"/>
      <c r="CO409" s="46"/>
      <c r="CP409" s="46"/>
      <c r="CQ409" s="46"/>
      <c r="CR409" s="46"/>
      <c r="CS409" s="46"/>
      <c r="CT409" s="46"/>
      <c r="CU409" s="46"/>
    </row>
    <row r="410" spans="1:99" ht="12.75" customHeight="1">
      <c r="A410" s="399">
        <v>1652</v>
      </c>
      <c r="B410" s="399" t="s">
        <v>5744</v>
      </c>
      <c r="C410" s="399">
        <f t="shared" si="42"/>
        <v>1652</v>
      </c>
      <c r="D410" s="399" t="e">
        <f t="shared" ca="1" si="62"/>
        <v>#NAME?</v>
      </c>
      <c r="E410" s="399" t="str">
        <f t="shared" si="44"/>
        <v>ATV/r</v>
      </c>
      <c r="F410" s="409" t="s">
        <v>180</v>
      </c>
      <c r="G410" s="400">
        <f t="shared" si="70"/>
        <v>5</v>
      </c>
      <c r="H410" s="410" t="s">
        <v>5602</v>
      </c>
      <c r="I410" s="400"/>
      <c r="J410" s="400"/>
      <c r="K410" s="401" t="s">
        <v>3333</v>
      </c>
      <c r="L410" s="402" t="s">
        <v>961</v>
      </c>
      <c r="M410" s="400"/>
      <c r="N410" s="427" t="s">
        <v>4417</v>
      </c>
      <c r="O410" s="428"/>
      <c r="P410" s="407" t="s">
        <v>5745</v>
      </c>
      <c r="Q410" s="407"/>
      <c r="R410" s="407" t="s">
        <v>5746</v>
      </c>
      <c r="S410" s="432" t="s">
        <v>5747</v>
      </c>
      <c r="T410" s="407"/>
      <c r="U410" s="407"/>
      <c r="V410" s="407" t="s">
        <v>5744</v>
      </c>
      <c r="W410" s="407"/>
      <c r="X410" s="407" t="s">
        <v>208</v>
      </c>
      <c r="Y410" s="407"/>
      <c r="Z410" s="403" t="s">
        <v>113</v>
      </c>
      <c r="AA410" s="403" t="s">
        <v>3178</v>
      </c>
      <c r="AB410" s="432" t="s">
        <v>4521</v>
      </c>
      <c r="AC410" s="421"/>
      <c r="AD410" s="421"/>
      <c r="AE410" s="432"/>
      <c r="AF410" s="407"/>
      <c r="AG410" s="407" t="s">
        <v>4489</v>
      </c>
      <c r="AH410" s="399"/>
      <c r="AI410" s="400"/>
      <c r="AJ410" s="399"/>
      <c r="AK410" s="409"/>
      <c r="AL410" s="409"/>
      <c r="AM410" s="409"/>
      <c r="AN410" s="409"/>
      <c r="AO410" s="399"/>
      <c r="AP410" s="409"/>
      <c r="AQ410" s="409" t="s">
        <v>115</v>
      </c>
      <c r="AR410" s="399"/>
      <c r="AS410" s="399"/>
      <c r="AT410" s="399"/>
      <c r="AU410" s="399" t="s">
        <v>5748</v>
      </c>
      <c r="AV410" s="399" t="str">
        <f t="shared" si="47"/>
        <v>Changed</v>
      </c>
      <c r="AW410" s="399"/>
      <c r="AX410" s="409" t="s">
        <v>3343</v>
      </c>
      <c r="AY410" s="399" t="e">
        <f t="shared" ca="1" si="63"/>
        <v>#NAME?</v>
      </c>
      <c r="AZ410" s="399"/>
      <c r="BA410" s="409">
        <v>0</v>
      </c>
      <c r="BB410" s="415" t="s">
        <v>3131</v>
      </c>
      <c r="BC410" s="399" t="s">
        <v>5744</v>
      </c>
      <c r="BD410" s="399"/>
      <c r="BE410" s="411"/>
      <c r="BF410" s="411"/>
      <c r="BG410" s="411"/>
      <c r="BH410" s="411"/>
      <c r="BI410" s="411"/>
      <c r="BJ410" s="409" t="s">
        <v>3589</v>
      </c>
      <c r="BK410" s="399"/>
      <c r="BL410" s="409" t="s">
        <v>3162</v>
      </c>
      <c r="BM410" s="399"/>
      <c r="BN410" s="399"/>
      <c r="BO410" s="399"/>
      <c r="BP410" s="399"/>
      <c r="BQ410" s="399"/>
      <c r="BR410" s="399"/>
      <c r="BS410" s="407"/>
      <c r="BT410" s="407"/>
      <c r="BU410" s="412"/>
      <c r="BV410" s="46" t="str">
        <f t="shared" si="8"/>
        <v/>
      </c>
      <c r="BW410" s="46">
        <f t="shared" si="9"/>
        <v>0</v>
      </c>
      <c r="BX410" s="46">
        <f t="shared" si="10"/>
        <v>0</v>
      </c>
      <c r="BY410" s="43" t="str">
        <f t="shared" si="11"/>
        <v>WHO-FP MedicationStatement (Current Medication)</v>
      </c>
      <c r="BZ410" s="46">
        <f t="shared" si="12"/>
        <v>1</v>
      </c>
      <c r="CA410" s="46" t="str">
        <f t="shared" si="13"/>
        <v/>
      </c>
      <c r="CB410" s="46">
        <f t="shared" si="14"/>
        <v>1</v>
      </c>
      <c r="CC410" s="46">
        <f t="shared" si="15"/>
        <v>1</v>
      </c>
      <c r="CD410" s="46">
        <f t="shared" si="16"/>
        <v>1</v>
      </c>
      <c r="CE410" s="46">
        <f t="shared" si="17"/>
        <v>0</v>
      </c>
      <c r="CF410" s="46">
        <f t="shared" si="18"/>
        <v>0</v>
      </c>
      <c r="CG410" s="46" t="str">
        <f ca="1">IFERROR(__xludf.DUMMYFUNCTION("if(OR(BH410="""",LEFT(BH410,2)=""LA""),"""",IMPORTXML(CONCATENATE(""https://loinc.org/"",BH410,""/""),""//span[@id='lcn']""))"),"")</f>
        <v/>
      </c>
      <c r="CH410" s="46"/>
      <c r="CI410" s="46"/>
      <c r="CJ410" s="46"/>
      <c r="CK410" s="46"/>
      <c r="CL410" s="46"/>
      <c r="CM410" s="46"/>
      <c r="CN410" s="46"/>
      <c r="CO410" s="46"/>
      <c r="CP410" s="46"/>
      <c r="CQ410" s="46"/>
      <c r="CR410" s="46"/>
      <c r="CS410" s="46"/>
      <c r="CT410" s="46"/>
      <c r="CU410" s="46"/>
    </row>
    <row r="411" spans="1:99" ht="12.75" customHeight="1">
      <c r="A411" s="399">
        <v>1653</v>
      </c>
      <c r="B411" s="399" t="s">
        <v>5749</v>
      </c>
      <c r="C411" s="399">
        <f t="shared" si="42"/>
        <v>1653</v>
      </c>
      <c r="D411" s="399" t="e">
        <f t="shared" ca="1" si="62"/>
        <v>#NAME?</v>
      </c>
      <c r="E411" s="399" t="str">
        <f t="shared" si="44"/>
        <v>LPV/r</v>
      </c>
      <c r="F411" s="409" t="s">
        <v>180</v>
      </c>
      <c r="G411" s="400">
        <f t="shared" si="70"/>
        <v>5</v>
      </c>
      <c r="H411" s="410" t="s">
        <v>5602</v>
      </c>
      <c r="I411" s="400"/>
      <c r="J411" s="400"/>
      <c r="K411" s="401" t="s">
        <v>3333</v>
      </c>
      <c r="L411" s="402" t="s">
        <v>961</v>
      </c>
      <c r="M411" s="400"/>
      <c r="N411" s="427" t="s">
        <v>4417</v>
      </c>
      <c r="O411" s="428"/>
      <c r="P411" s="407" t="s">
        <v>5750</v>
      </c>
      <c r="Q411" s="407"/>
      <c r="R411" s="407" t="s">
        <v>5751</v>
      </c>
      <c r="S411" s="407" t="s">
        <v>5752</v>
      </c>
      <c r="T411" s="407"/>
      <c r="U411" s="407"/>
      <c r="V411" s="407" t="s">
        <v>5749</v>
      </c>
      <c r="W411" s="407"/>
      <c r="X411" s="407" t="s">
        <v>208</v>
      </c>
      <c r="Y411" s="407"/>
      <c r="Z411" s="403" t="s">
        <v>113</v>
      </c>
      <c r="AA411" s="403" t="s">
        <v>3178</v>
      </c>
      <c r="AB411" s="432" t="s">
        <v>4521</v>
      </c>
      <c r="AC411" s="421"/>
      <c r="AD411" s="421"/>
      <c r="AE411" s="432"/>
      <c r="AF411" s="407"/>
      <c r="AG411" s="407" t="s">
        <v>4489</v>
      </c>
      <c r="AH411" s="399"/>
      <c r="AI411" s="400"/>
      <c r="AJ411" s="399"/>
      <c r="AK411" s="409"/>
      <c r="AL411" s="409"/>
      <c r="AM411" s="409"/>
      <c r="AN411" s="409"/>
      <c r="AO411" s="399"/>
      <c r="AP411" s="409"/>
      <c r="AQ411" s="409" t="s">
        <v>115</v>
      </c>
      <c r="AR411" s="399"/>
      <c r="AS411" s="399"/>
      <c r="AT411" s="399"/>
      <c r="AU411" s="399" t="s">
        <v>5753</v>
      </c>
      <c r="AV411" s="399" t="str">
        <f t="shared" si="47"/>
        <v>Changed</v>
      </c>
      <c r="AW411" s="399"/>
      <c r="AX411" s="409" t="s">
        <v>3343</v>
      </c>
      <c r="AY411" s="399" t="e">
        <f t="shared" ca="1" si="63"/>
        <v>#NAME?</v>
      </c>
      <c r="AZ411" s="399"/>
      <c r="BA411" s="409">
        <v>0</v>
      </c>
      <c r="BB411" s="399"/>
      <c r="BC411" s="399"/>
      <c r="BD411" s="399"/>
      <c r="BE411" s="411"/>
      <c r="BF411" s="411"/>
      <c r="BG411" s="411"/>
      <c r="BH411" s="411"/>
      <c r="BI411" s="434" t="s">
        <v>5754</v>
      </c>
      <c r="BJ411" s="399"/>
      <c r="BK411" s="399"/>
      <c r="BL411" s="409" t="s">
        <v>3162</v>
      </c>
      <c r="BM411" s="399"/>
      <c r="BN411" s="399"/>
      <c r="BO411" s="399"/>
      <c r="BP411" s="399"/>
      <c r="BQ411" s="399"/>
      <c r="BR411" s="399"/>
      <c r="BS411" s="407"/>
      <c r="BT411" s="407"/>
      <c r="BU411" s="412"/>
      <c r="BV411" s="46" t="str">
        <f t="shared" si="8"/>
        <v/>
      </c>
      <c r="BW411" s="46">
        <f t="shared" si="9"/>
        <v>0</v>
      </c>
      <c r="BX411" s="46">
        <f t="shared" si="10"/>
        <v>0</v>
      </c>
      <c r="BY411" s="43" t="str">
        <f t="shared" si="11"/>
        <v>WHO-FP MedicationStatement (Current Medication)</v>
      </c>
      <c r="BZ411" s="46">
        <f t="shared" si="12"/>
        <v>1</v>
      </c>
      <c r="CA411" s="46" t="str">
        <f t="shared" si="13"/>
        <v/>
      </c>
      <c r="CB411" s="46">
        <f t="shared" si="14"/>
        <v>1</v>
      </c>
      <c r="CC411" s="46">
        <f t="shared" si="15"/>
        <v>1</v>
      </c>
      <c r="CD411" s="46">
        <f t="shared" si="16"/>
        <v>1</v>
      </c>
      <c r="CE411" s="46">
        <f t="shared" si="17"/>
        <v>0</v>
      </c>
      <c r="CF411" s="46">
        <f t="shared" si="18"/>
        <v>0</v>
      </c>
      <c r="CG411" s="46" t="str">
        <f ca="1">IFERROR(__xludf.DUMMYFUNCTION("if(OR(BH411="""",LEFT(BH411,2)=""LA""),"""",IMPORTXML(CONCATENATE(""https://loinc.org/"",BH411,""/""),""//span[@id='lcn']""))"),"")</f>
        <v/>
      </c>
      <c r="CH411" s="46"/>
      <c r="CI411" s="46"/>
      <c r="CJ411" s="46"/>
      <c r="CK411" s="46"/>
      <c r="CL411" s="46"/>
      <c r="CM411" s="46"/>
      <c r="CN411" s="46"/>
      <c r="CO411" s="46"/>
      <c r="CP411" s="46"/>
      <c r="CQ411" s="46"/>
      <c r="CR411" s="46"/>
      <c r="CS411" s="46"/>
      <c r="CT411" s="46"/>
      <c r="CU411" s="46"/>
    </row>
    <row r="412" spans="1:99" ht="12.75" customHeight="1">
      <c r="A412" s="399">
        <v>1654</v>
      </c>
      <c r="B412" s="399" t="s">
        <v>5755</v>
      </c>
      <c r="C412" s="399">
        <f t="shared" si="42"/>
        <v>1654</v>
      </c>
      <c r="D412" s="399" t="e">
        <f t="shared" ca="1" si="62"/>
        <v>#NAME?</v>
      </c>
      <c r="E412" s="399" t="str">
        <f t="shared" si="44"/>
        <v>DRV/r</v>
      </c>
      <c r="F412" s="409" t="s">
        <v>180</v>
      </c>
      <c r="G412" s="400">
        <f t="shared" si="70"/>
        <v>5</v>
      </c>
      <c r="H412" s="410" t="s">
        <v>5602</v>
      </c>
      <c r="I412" s="400"/>
      <c r="J412" s="400"/>
      <c r="K412" s="401" t="s">
        <v>3333</v>
      </c>
      <c r="L412" s="402" t="s">
        <v>961</v>
      </c>
      <c r="M412" s="400"/>
      <c r="N412" s="427" t="s">
        <v>4417</v>
      </c>
      <c r="O412" s="428"/>
      <c r="P412" s="407" t="s">
        <v>5756</v>
      </c>
      <c r="Q412" s="407"/>
      <c r="R412" s="407" t="s">
        <v>5757</v>
      </c>
      <c r="S412" s="407" t="s">
        <v>5758</v>
      </c>
      <c r="T412" s="407"/>
      <c r="U412" s="407"/>
      <c r="V412" s="407" t="s">
        <v>5755</v>
      </c>
      <c r="W412" s="407"/>
      <c r="X412" s="407" t="s">
        <v>208</v>
      </c>
      <c r="Y412" s="407"/>
      <c r="Z412" s="403" t="s">
        <v>113</v>
      </c>
      <c r="AA412" s="403" t="s">
        <v>3178</v>
      </c>
      <c r="AB412" s="432" t="s">
        <v>4521</v>
      </c>
      <c r="AC412" s="421"/>
      <c r="AD412" s="421"/>
      <c r="AE412" s="432"/>
      <c r="AF412" s="407"/>
      <c r="AG412" s="407" t="s">
        <v>4489</v>
      </c>
      <c r="AH412" s="399"/>
      <c r="AI412" s="400"/>
      <c r="AJ412" s="399"/>
      <c r="AK412" s="409"/>
      <c r="AL412" s="409"/>
      <c r="AM412" s="409"/>
      <c r="AN412" s="409"/>
      <c r="AO412" s="399"/>
      <c r="AP412" s="409"/>
      <c r="AQ412" s="409" t="s">
        <v>115</v>
      </c>
      <c r="AR412" s="399"/>
      <c r="AS412" s="399"/>
      <c r="AT412" s="399"/>
      <c r="AU412" s="399" t="s">
        <v>5759</v>
      </c>
      <c r="AV412" s="399" t="str">
        <f t="shared" si="47"/>
        <v>Changed</v>
      </c>
      <c r="AW412" s="399"/>
      <c r="AX412" s="409" t="s">
        <v>3343</v>
      </c>
      <c r="AY412" s="399" t="e">
        <f t="shared" ca="1" si="63"/>
        <v>#NAME?</v>
      </c>
      <c r="AZ412" s="399"/>
      <c r="BA412" s="409">
        <v>0</v>
      </c>
      <c r="BB412" s="415" t="s">
        <v>3131</v>
      </c>
      <c r="BC412" s="399" t="s">
        <v>5755</v>
      </c>
      <c r="BD412" s="399"/>
      <c r="BE412" s="411"/>
      <c r="BF412" s="411"/>
      <c r="BG412" s="411"/>
      <c r="BH412" s="411"/>
      <c r="BI412" s="411"/>
      <c r="BJ412" s="409" t="s">
        <v>3589</v>
      </c>
      <c r="BK412" s="399"/>
      <c r="BL412" s="409" t="s">
        <v>3162</v>
      </c>
      <c r="BM412" s="399"/>
      <c r="BN412" s="399"/>
      <c r="BO412" s="399"/>
      <c r="BP412" s="399"/>
      <c r="BQ412" s="399"/>
      <c r="BR412" s="399"/>
      <c r="BS412" s="407"/>
      <c r="BT412" s="407"/>
      <c r="BU412" s="412"/>
      <c r="BV412" s="46" t="str">
        <f t="shared" si="8"/>
        <v/>
      </c>
      <c r="BW412" s="46">
        <f t="shared" si="9"/>
        <v>0</v>
      </c>
      <c r="BX412" s="46">
        <f t="shared" si="10"/>
        <v>0</v>
      </c>
      <c r="BY412" s="43" t="str">
        <f t="shared" si="11"/>
        <v>WHO-FP MedicationStatement (Current Medication)</v>
      </c>
      <c r="BZ412" s="46">
        <f t="shared" si="12"/>
        <v>1</v>
      </c>
      <c r="CA412" s="46" t="str">
        <f t="shared" si="13"/>
        <v/>
      </c>
      <c r="CB412" s="46">
        <f t="shared" si="14"/>
        <v>1</v>
      </c>
      <c r="CC412" s="46">
        <f t="shared" si="15"/>
        <v>1</v>
      </c>
      <c r="CD412" s="46">
        <f t="shared" si="16"/>
        <v>1</v>
      </c>
      <c r="CE412" s="46">
        <f t="shared" si="17"/>
        <v>0</v>
      </c>
      <c r="CF412" s="46">
        <f t="shared" si="18"/>
        <v>0</v>
      </c>
      <c r="CG412" s="46" t="str">
        <f ca="1">IFERROR(__xludf.DUMMYFUNCTION("if(OR(BH412="""",LEFT(BH412,2)=""LA""),"""",IMPORTXML(CONCATENATE(""https://loinc.org/"",BH412,""/""),""//span[@id='lcn']""))"),"")</f>
        <v/>
      </c>
      <c r="CH412" s="46"/>
      <c r="CI412" s="46"/>
      <c r="CJ412" s="46"/>
      <c r="CK412" s="46"/>
      <c r="CL412" s="46"/>
      <c r="CM412" s="46"/>
      <c r="CN412" s="46"/>
      <c r="CO412" s="46"/>
      <c r="CP412" s="46"/>
      <c r="CQ412" s="46"/>
      <c r="CR412" s="46"/>
      <c r="CS412" s="46"/>
      <c r="CT412" s="46"/>
      <c r="CU412" s="46"/>
    </row>
    <row r="413" spans="1:99" ht="12.75" customHeight="1">
      <c r="A413" s="399">
        <v>1655</v>
      </c>
      <c r="B413" s="399" t="s">
        <v>5760</v>
      </c>
      <c r="C413" s="399">
        <f t="shared" si="42"/>
        <v>1655</v>
      </c>
      <c r="D413" s="399" t="e">
        <f t="shared" ca="1" si="62"/>
        <v>#NAME?</v>
      </c>
      <c r="E413" s="399" t="str">
        <f t="shared" si="44"/>
        <v>RTV</v>
      </c>
      <c r="F413" s="409" t="s">
        <v>180</v>
      </c>
      <c r="G413" s="400">
        <f t="shared" si="70"/>
        <v>3</v>
      </c>
      <c r="H413" s="410" t="s">
        <v>5602</v>
      </c>
      <c r="I413" s="400"/>
      <c r="J413" s="400"/>
      <c r="K413" s="401" t="s">
        <v>3333</v>
      </c>
      <c r="L413" s="402" t="s">
        <v>961</v>
      </c>
      <c r="M413" s="400"/>
      <c r="N413" s="427" t="s">
        <v>4417</v>
      </c>
      <c r="O413" s="428"/>
      <c r="P413" s="407" t="s">
        <v>5761</v>
      </c>
      <c r="Q413" s="407"/>
      <c r="R413" s="407" t="s">
        <v>5760</v>
      </c>
      <c r="S413" s="407" t="s">
        <v>5762</v>
      </c>
      <c r="T413" s="407"/>
      <c r="U413" s="407"/>
      <c r="V413" s="407" t="s">
        <v>5760</v>
      </c>
      <c r="W413" s="407"/>
      <c r="X413" s="407" t="s">
        <v>208</v>
      </c>
      <c r="Y413" s="407"/>
      <c r="Z413" s="403" t="s">
        <v>113</v>
      </c>
      <c r="AA413" s="403" t="s">
        <v>3178</v>
      </c>
      <c r="AB413" s="432" t="s">
        <v>4521</v>
      </c>
      <c r="AC413" s="421"/>
      <c r="AD413" s="421"/>
      <c r="AE413" s="432"/>
      <c r="AF413" s="407"/>
      <c r="AG413" s="407" t="s">
        <v>4489</v>
      </c>
      <c r="AH413" s="399"/>
      <c r="AI413" s="400"/>
      <c r="AJ413" s="399"/>
      <c r="AK413" s="409"/>
      <c r="AL413" s="409"/>
      <c r="AM413" s="409"/>
      <c r="AN413" s="409"/>
      <c r="AO413" s="399"/>
      <c r="AP413" s="409"/>
      <c r="AQ413" s="409" t="s">
        <v>115</v>
      </c>
      <c r="AR413" s="399"/>
      <c r="AS413" s="399"/>
      <c r="AT413" s="399"/>
      <c r="AU413" s="399" t="s">
        <v>5763</v>
      </c>
      <c r="AV413" s="399" t="str">
        <f t="shared" si="47"/>
        <v>Changed</v>
      </c>
      <c r="AW413" s="399"/>
      <c r="AX413" s="409" t="s">
        <v>3343</v>
      </c>
      <c r="AY413" s="399" t="e">
        <f t="shared" ca="1" si="63"/>
        <v>#NAME?</v>
      </c>
      <c r="AZ413" s="399"/>
      <c r="BA413" s="409">
        <v>0</v>
      </c>
      <c r="BB413" s="399"/>
      <c r="BC413" s="399"/>
      <c r="BD413" s="399"/>
      <c r="BE413" s="411"/>
      <c r="BF413" s="411"/>
      <c r="BG413" s="411"/>
      <c r="BH413" s="411"/>
      <c r="BI413" s="434" t="s">
        <v>5764</v>
      </c>
      <c r="BJ413" s="399"/>
      <c r="BK413" s="399"/>
      <c r="BL413" s="409" t="s">
        <v>3162</v>
      </c>
      <c r="BM413" s="399"/>
      <c r="BN413" s="399"/>
      <c r="BO413" s="399"/>
      <c r="BP413" s="399"/>
      <c r="BQ413" s="399"/>
      <c r="BR413" s="399"/>
      <c r="BS413" s="407"/>
      <c r="BT413" s="407"/>
      <c r="BU413" s="412"/>
      <c r="BV413" s="46" t="str">
        <f t="shared" si="8"/>
        <v/>
      </c>
      <c r="BW413" s="46">
        <f t="shared" si="9"/>
        <v>0</v>
      </c>
      <c r="BX413" s="46">
        <f t="shared" si="10"/>
        <v>0</v>
      </c>
      <c r="BY413" s="43" t="str">
        <f t="shared" si="11"/>
        <v>WHO-FP MedicationStatement (Current Medication)</v>
      </c>
      <c r="BZ413" s="46">
        <f t="shared" si="12"/>
        <v>1</v>
      </c>
      <c r="CA413" s="46" t="str">
        <f t="shared" si="13"/>
        <v/>
      </c>
      <c r="CB413" s="46">
        <f t="shared" si="14"/>
        <v>1</v>
      </c>
      <c r="CC413" s="46">
        <f t="shared" si="15"/>
        <v>1</v>
      </c>
      <c r="CD413" s="46">
        <f t="shared" si="16"/>
        <v>1</v>
      </c>
      <c r="CE413" s="46">
        <f t="shared" si="17"/>
        <v>0</v>
      </c>
      <c r="CF413" s="46">
        <f t="shared" si="18"/>
        <v>0</v>
      </c>
      <c r="CG413" s="46" t="str">
        <f ca="1">IFERROR(__xludf.DUMMYFUNCTION("if(OR(BH413="""",LEFT(BH413,2)=""LA""),"""",IMPORTXML(CONCATENATE(""https://loinc.org/"",BH413,""/""),""//span[@id='lcn']""))"),"")</f>
        <v/>
      </c>
      <c r="CH413" s="46"/>
      <c r="CI413" s="46"/>
      <c r="CJ413" s="46"/>
      <c r="CK413" s="46"/>
      <c r="CL413" s="46"/>
      <c r="CM413" s="46"/>
      <c r="CN413" s="46"/>
      <c r="CO413" s="46"/>
      <c r="CP413" s="46"/>
      <c r="CQ413" s="46"/>
      <c r="CR413" s="46"/>
      <c r="CS413" s="46"/>
      <c r="CT413" s="46"/>
      <c r="CU413" s="46"/>
    </row>
    <row r="414" spans="1:99" ht="12.75" customHeight="1">
      <c r="A414" s="399">
        <v>1656</v>
      </c>
      <c r="B414" s="399" t="s">
        <v>5765</v>
      </c>
      <c r="C414" s="399">
        <f t="shared" si="42"/>
        <v>1656</v>
      </c>
      <c r="D414" s="399" t="str">
        <f t="shared" si="62"/>
        <v>Systemic lupus erythematosus category</v>
      </c>
      <c r="E414" s="399" t="str">
        <f t="shared" si="44"/>
        <v>Systemic lupus erythematosus category</v>
      </c>
      <c r="F414" s="409" t="s">
        <v>3164</v>
      </c>
      <c r="G414" s="400">
        <f t="shared" si="70"/>
        <v>37</v>
      </c>
      <c r="H414" s="400" t="str">
        <f>IF(F414="Input Option",IF(H413="",B413,H413),"")</f>
        <v/>
      </c>
      <c r="I414" s="400"/>
      <c r="J414" s="400"/>
      <c r="K414" s="401" t="s">
        <v>3333</v>
      </c>
      <c r="L414" s="402" t="s">
        <v>4518</v>
      </c>
      <c r="M414" s="400"/>
      <c r="N414" s="427" t="s">
        <v>4417</v>
      </c>
      <c r="O414" s="428"/>
      <c r="P414" s="403" t="s">
        <v>5766</v>
      </c>
      <c r="Q414" s="432" t="s">
        <v>5765</v>
      </c>
      <c r="R414" s="403"/>
      <c r="S414" s="407" t="s">
        <v>5767</v>
      </c>
      <c r="T414" s="403" t="s">
        <v>3339</v>
      </c>
      <c r="U414" s="432" t="s">
        <v>3326</v>
      </c>
      <c r="V414" s="407"/>
      <c r="W414" s="407"/>
      <c r="X414" s="405" t="s">
        <v>208</v>
      </c>
      <c r="Y414" s="403"/>
      <c r="Z414" s="403" t="s">
        <v>113</v>
      </c>
      <c r="AA414" s="403" t="s">
        <v>3178</v>
      </c>
      <c r="AB414" s="432" t="s">
        <v>4947</v>
      </c>
      <c r="AC414" s="421"/>
      <c r="AD414" s="436"/>
      <c r="AE414" s="420"/>
      <c r="AF414" s="407"/>
      <c r="AG414" s="407" t="s">
        <v>3851</v>
      </c>
      <c r="AH414" s="399"/>
      <c r="AI414" s="400"/>
      <c r="AJ414" s="399"/>
      <c r="AK414" s="399"/>
      <c r="AL414" s="399"/>
      <c r="AM414" s="399"/>
      <c r="AN414" s="399"/>
      <c r="AO414" s="399"/>
      <c r="AP414" s="399"/>
      <c r="AQ414" s="409" t="s">
        <v>115</v>
      </c>
      <c r="AR414" s="399"/>
      <c r="AS414" s="399"/>
      <c r="AT414" s="399"/>
      <c r="AU414" s="399" t="s">
        <v>5765</v>
      </c>
      <c r="AV414" s="399" t="str">
        <f t="shared" si="47"/>
        <v>Same</v>
      </c>
      <c r="AW414" s="399"/>
      <c r="AX414" s="409" t="s">
        <v>3343</v>
      </c>
      <c r="AY414" s="399" t="str">
        <f t="shared" si="63"/>
        <v/>
      </c>
      <c r="AZ414" s="399"/>
      <c r="BA414" s="409">
        <v>0</v>
      </c>
      <c r="BB414" s="399"/>
      <c r="BC414" s="399"/>
      <c r="BD414" s="399"/>
      <c r="BE414" s="411"/>
      <c r="BF414" s="411"/>
      <c r="BG414" s="411"/>
      <c r="BH414" s="411"/>
      <c r="BI414" s="411"/>
      <c r="BJ414" s="409" t="s">
        <v>3106</v>
      </c>
      <c r="BK414" s="399"/>
      <c r="BL414" s="399"/>
      <c r="BM414" s="399"/>
      <c r="BN414" s="399"/>
      <c r="BO414" s="399"/>
      <c r="BP414" s="399"/>
      <c r="BQ414" s="399"/>
      <c r="BR414" s="399"/>
      <c r="BS414" s="407"/>
      <c r="BT414" s="407"/>
      <c r="BU414" s="412"/>
      <c r="BV414" s="46" t="str">
        <f t="shared" si="8"/>
        <v/>
      </c>
      <c r="BW414" s="46" t="str">
        <f t="shared" si="9"/>
        <v/>
      </c>
      <c r="BX414" s="46" t="str">
        <f t="shared" si="10"/>
        <v/>
      </c>
      <c r="BY414" s="43" t="str">
        <f t="shared" si="11"/>
        <v/>
      </c>
      <c r="BZ414" s="46">
        <f t="shared" si="12"/>
        <v>1</v>
      </c>
      <c r="CA414" s="46" t="str">
        <f t="shared" si="13"/>
        <v/>
      </c>
      <c r="CB414" s="46">
        <f t="shared" si="14"/>
        <v>1</v>
      </c>
      <c r="CC414" s="46">
        <f t="shared" si="15"/>
        <v>1</v>
      </c>
      <c r="CD414" s="46">
        <f t="shared" si="16"/>
        <v>1</v>
      </c>
      <c r="CE414" s="46">
        <f t="shared" si="17"/>
        <v>0</v>
      </c>
      <c r="CF414" s="46">
        <f t="shared" si="18"/>
        <v>0</v>
      </c>
      <c r="CG414" s="46" t="str">
        <f ca="1">IFERROR(__xludf.DUMMYFUNCTION("if(OR(BH414="""",LEFT(BH414,2)=""LA""),"""",IMPORTXML(CONCATENATE(""https://loinc.org/"",BH414,""/""),""//span[@id='lcn']""))"),"")</f>
        <v/>
      </c>
      <c r="CH414" s="46"/>
      <c r="CI414" s="46"/>
      <c r="CJ414" s="46"/>
      <c r="CK414" s="46"/>
      <c r="CL414" s="46"/>
      <c r="CM414" s="46"/>
      <c r="CN414" s="46"/>
      <c r="CO414" s="46"/>
      <c r="CP414" s="46"/>
      <c r="CQ414" s="46"/>
      <c r="CR414" s="46"/>
      <c r="CS414" s="46"/>
      <c r="CT414" s="46"/>
      <c r="CU414" s="46"/>
    </row>
    <row r="415" spans="1:99" ht="12.75" customHeight="1">
      <c r="A415" s="399">
        <v>1657</v>
      </c>
      <c r="B415" s="409" t="s">
        <v>5768</v>
      </c>
      <c r="C415" s="399">
        <f t="shared" si="42"/>
        <v>1657</v>
      </c>
      <c r="D415" s="399" t="e">
        <f t="shared" ca="1" si="62"/>
        <v>#NAME?</v>
      </c>
      <c r="E415" s="399" t="str">
        <f t="shared" si="44"/>
        <v>Positive (or unknown) antiphospholipid antibodies</v>
      </c>
      <c r="F415" s="410" t="s">
        <v>180</v>
      </c>
      <c r="G415" s="400">
        <v>23</v>
      </c>
      <c r="H415" s="399" t="s">
        <v>4475</v>
      </c>
      <c r="I415" s="400"/>
      <c r="J415" s="400"/>
      <c r="K415" s="401" t="s">
        <v>3333</v>
      </c>
      <c r="L415" s="402" t="s">
        <v>4518</v>
      </c>
      <c r="M415" s="400"/>
      <c r="N415" s="427" t="s">
        <v>4417</v>
      </c>
      <c r="O415" s="428"/>
      <c r="P415" s="403" t="s">
        <v>5769</v>
      </c>
      <c r="Q415" s="403"/>
      <c r="R415" s="403"/>
      <c r="S415" s="440" t="s">
        <v>5770</v>
      </c>
      <c r="T415" s="403"/>
      <c r="U415" s="407"/>
      <c r="V415" s="432" t="s">
        <v>5771</v>
      </c>
      <c r="W415" s="407"/>
      <c r="X415" s="403" t="s">
        <v>113</v>
      </c>
      <c r="Y415" s="403" t="s">
        <v>5772</v>
      </c>
      <c r="Z415" s="403" t="s">
        <v>113</v>
      </c>
      <c r="AA415" s="403" t="s">
        <v>3178</v>
      </c>
      <c r="AB415" s="432" t="s">
        <v>4947</v>
      </c>
      <c r="AC415" s="421"/>
      <c r="AD415" s="436"/>
      <c r="AE415" s="420"/>
      <c r="AF415" s="407"/>
      <c r="AG415" s="407" t="s">
        <v>3851</v>
      </c>
      <c r="AH415" s="399"/>
      <c r="AI415" s="400"/>
      <c r="AJ415" s="399"/>
      <c r="AK415" s="440"/>
      <c r="AL415" s="409"/>
      <c r="AM415" s="409"/>
      <c r="AN415" s="409"/>
      <c r="AO415" s="399"/>
      <c r="AP415" s="409"/>
      <c r="AQ415" s="409" t="s">
        <v>3130</v>
      </c>
      <c r="AR415" s="409" t="s">
        <v>4478</v>
      </c>
      <c r="AS415" s="409"/>
      <c r="AT415" s="399"/>
      <c r="AU415" s="399" t="s">
        <v>5773</v>
      </c>
      <c r="AV415" s="399" t="str">
        <f t="shared" si="47"/>
        <v>Changed</v>
      </c>
      <c r="AW415" s="399"/>
      <c r="AX415" s="409" t="s">
        <v>3343</v>
      </c>
      <c r="AY415" s="399" t="e">
        <f t="shared" ca="1" si="63"/>
        <v>#NAME?</v>
      </c>
      <c r="AZ415" s="399"/>
      <c r="BA415" s="409">
        <v>1</v>
      </c>
      <c r="BB415" s="399"/>
      <c r="BC415" s="399"/>
      <c r="BD415" s="399"/>
      <c r="BE415" s="411"/>
      <c r="BF415" s="411"/>
      <c r="BG415" s="434" t="s">
        <v>5775</v>
      </c>
      <c r="BH415" s="411"/>
      <c r="BI415" s="411"/>
      <c r="BJ415" s="399"/>
      <c r="BK415" s="399"/>
      <c r="BL415" s="399"/>
      <c r="BM415" s="399"/>
      <c r="BN415" s="399"/>
      <c r="BO415" s="399"/>
      <c r="BP415" s="399"/>
      <c r="BQ415" s="399"/>
      <c r="BR415" s="399"/>
      <c r="BS415" s="407"/>
      <c r="BT415" s="407"/>
      <c r="BU415" s="412"/>
      <c r="BV415" s="46" t="str">
        <f t="shared" si="8"/>
        <v/>
      </c>
      <c r="BW415" s="46">
        <f t="shared" si="9"/>
        <v>0</v>
      </c>
      <c r="BX415" s="46">
        <f t="shared" si="10"/>
        <v>0</v>
      </c>
      <c r="BY415" s="43" t="str">
        <f t="shared" si="11"/>
        <v>WHO-FP Condition (Medical Eligibility)</v>
      </c>
      <c r="BZ415" s="46">
        <f t="shared" si="12"/>
        <v>1</v>
      </c>
      <c r="CA415" s="46" t="str">
        <f t="shared" si="13"/>
        <v/>
      </c>
      <c r="CB415" s="46">
        <f t="shared" si="14"/>
        <v>1</v>
      </c>
      <c r="CC415" s="46">
        <f t="shared" si="15"/>
        <v>1</v>
      </c>
      <c r="CD415" s="46">
        <f t="shared" si="16"/>
        <v>1</v>
      </c>
      <c r="CE415" s="46">
        <f t="shared" si="17"/>
        <v>0</v>
      </c>
      <c r="CF415" s="46">
        <f t="shared" si="18"/>
        <v>0</v>
      </c>
      <c r="CG415" s="46" t="str">
        <f ca="1">IFERROR(__xludf.DUMMYFUNCTION("if(OR(BH415="""",LEFT(BH415,2)=""LA""),"""",IMPORTXML(CONCATENATE(""https://loinc.org/"",BH415,""/""),""//span[@id='lcn']""))"),"")</f>
        <v/>
      </c>
      <c r="CH415" s="46"/>
      <c r="CI415" s="46"/>
      <c r="CJ415" s="46"/>
      <c r="CK415" s="46"/>
      <c r="CL415" s="46"/>
      <c r="CM415" s="46"/>
      <c r="CN415" s="46"/>
      <c r="CO415" s="46"/>
      <c r="CP415" s="46"/>
      <c r="CQ415" s="46"/>
      <c r="CR415" s="46"/>
      <c r="CS415" s="46"/>
      <c r="CT415" s="46"/>
      <c r="CU415" s="46"/>
    </row>
    <row r="416" spans="1:99" ht="12.75" customHeight="1">
      <c r="A416" s="399">
        <v>1658</v>
      </c>
      <c r="B416" s="409" t="s">
        <v>5776</v>
      </c>
      <c r="C416" s="399">
        <f t="shared" si="42"/>
        <v>1658</v>
      </c>
      <c r="D416" s="399" t="e">
        <f t="shared" ca="1" si="62"/>
        <v>#NAME?</v>
      </c>
      <c r="E416" s="399" t="str">
        <f t="shared" si="44"/>
        <v>Severe thrombocytopenia</v>
      </c>
      <c r="F416" s="410" t="s">
        <v>180</v>
      </c>
      <c r="G416" s="400">
        <v>23</v>
      </c>
      <c r="H416" s="399" t="s">
        <v>4475</v>
      </c>
      <c r="I416" s="400"/>
      <c r="J416" s="400"/>
      <c r="K416" s="401" t="s">
        <v>3333</v>
      </c>
      <c r="L416" s="402" t="s">
        <v>4518</v>
      </c>
      <c r="M416" s="400"/>
      <c r="N416" s="427" t="s">
        <v>4417</v>
      </c>
      <c r="O416" s="428"/>
      <c r="P416" s="403" t="s">
        <v>5777</v>
      </c>
      <c r="Q416" s="403"/>
      <c r="R416" s="403"/>
      <c r="S416" s="403"/>
      <c r="T416" s="403"/>
      <c r="U416" s="407"/>
      <c r="V416" s="432" t="s">
        <v>5778</v>
      </c>
      <c r="W416" s="407"/>
      <c r="X416" s="403" t="s">
        <v>113</v>
      </c>
      <c r="Y416" s="403" t="s">
        <v>5772</v>
      </c>
      <c r="Z416" s="403" t="s">
        <v>113</v>
      </c>
      <c r="AA416" s="403" t="s">
        <v>3178</v>
      </c>
      <c r="AB416" s="432" t="s">
        <v>4947</v>
      </c>
      <c r="AC416" s="421"/>
      <c r="AD416" s="436"/>
      <c r="AE416" s="420"/>
      <c r="AF416" s="407"/>
      <c r="AG416" s="407" t="s">
        <v>3851</v>
      </c>
      <c r="AH416" s="399"/>
      <c r="AI416" s="400"/>
      <c r="AJ416" s="399"/>
      <c r="AK416" s="440"/>
      <c r="AL416" s="409"/>
      <c r="AM416" s="409"/>
      <c r="AN416" s="409"/>
      <c r="AO416" s="399"/>
      <c r="AP416" s="409"/>
      <c r="AQ416" s="409" t="s">
        <v>3130</v>
      </c>
      <c r="AR416" s="409" t="s">
        <v>4478</v>
      </c>
      <c r="AS416" s="409"/>
      <c r="AT416" s="399"/>
      <c r="AU416" s="399" t="s">
        <v>5780</v>
      </c>
      <c r="AV416" s="399" t="str">
        <f t="shared" si="47"/>
        <v>Changed</v>
      </c>
      <c r="AW416" s="399"/>
      <c r="AX416" s="409" t="s">
        <v>3343</v>
      </c>
      <c r="AY416" s="399" t="e">
        <f t="shared" ca="1" si="63"/>
        <v>#NAME?</v>
      </c>
      <c r="AZ416" s="399"/>
      <c r="BA416" s="409">
        <v>1</v>
      </c>
      <c r="BB416" s="399"/>
      <c r="BC416" s="399"/>
      <c r="BD416" s="399"/>
      <c r="BE416" s="411"/>
      <c r="BF416" s="411"/>
      <c r="BG416" s="434" t="s">
        <v>5781</v>
      </c>
      <c r="BH416" s="411"/>
      <c r="BI416" s="411"/>
      <c r="BJ416" s="399"/>
      <c r="BK416" s="399"/>
      <c r="BL416" s="399"/>
      <c r="BM416" s="399"/>
      <c r="BN416" s="399"/>
      <c r="BO416" s="399"/>
      <c r="BP416" s="399"/>
      <c r="BQ416" s="399"/>
      <c r="BR416" s="399"/>
      <c r="BS416" s="407"/>
      <c r="BT416" s="407"/>
      <c r="BU416" s="412"/>
      <c r="BV416" s="46" t="str">
        <f t="shared" si="8"/>
        <v/>
      </c>
      <c r="BW416" s="46">
        <f t="shared" si="9"/>
        <v>0</v>
      </c>
      <c r="BX416" s="46">
        <f t="shared" si="10"/>
        <v>0</v>
      </c>
      <c r="BY416" s="43" t="str">
        <f t="shared" si="11"/>
        <v>WHO-FP Condition (Medical Eligibility)</v>
      </c>
      <c r="BZ416" s="46">
        <f t="shared" si="12"/>
        <v>1</v>
      </c>
      <c r="CA416" s="46" t="str">
        <f t="shared" si="13"/>
        <v/>
      </c>
      <c r="CB416" s="46">
        <f t="shared" si="14"/>
        <v>1</v>
      </c>
      <c r="CC416" s="46">
        <f t="shared" si="15"/>
        <v>1</v>
      </c>
      <c r="CD416" s="46">
        <f t="shared" si="16"/>
        <v>1</v>
      </c>
      <c r="CE416" s="46">
        <f t="shared" si="17"/>
        <v>0</v>
      </c>
      <c r="CF416" s="46">
        <f t="shared" si="18"/>
        <v>0</v>
      </c>
      <c r="CG416" s="46" t="str">
        <f ca="1">IFERROR(__xludf.DUMMYFUNCTION("if(OR(BH416="""",LEFT(BH416,2)=""LA""),"""",IMPORTXML(CONCATENATE(""https://loinc.org/"",BH416,""/""),""//span[@id='lcn']""))"),"")</f>
        <v/>
      </c>
      <c r="CH416" s="46"/>
      <c r="CI416" s="46"/>
      <c r="CJ416" s="46"/>
      <c r="CK416" s="46"/>
      <c r="CL416" s="46"/>
      <c r="CM416" s="46"/>
      <c r="CN416" s="46"/>
      <c r="CO416" s="46"/>
      <c r="CP416" s="46"/>
      <c r="CQ416" s="46"/>
      <c r="CR416" s="46"/>
      <c r="CS416" s="46"/>
      <c r="CT416" s="46"/>
      <c r="CU416" s="46"/>
    </row>
    <row r="417" spans="1:99" ht="12.75" customHeight="1">
      <c r="A417" s="399">
        <v>1659</v>
      </c>
      <c r="B417" s="409" t="s">
        <v>5782</v>
      </c>
      <c r="C417" s="399">
        <f t="shared" si="42"/>
        <v>1659</v>
      </c>
      <c r="D417" s="399" t="e">
        <f t="shared" ca="1" si="62"/>
        <v>#NAME?</v>
      </c>
      <c r="E417" s="399" t="str">
        <f t="shared" si="44"/>
        <v>Immunosuppressive treatment</v>
      </c>
      <c r="F417" s="410" t="s">
        <v>180</v>
      </c>
      <c r="G417" s="400">
        <v>23</v>
      </c>
      <c r="H417" s="399" t="s">
        <v>4475</v>
      </c>
      <c r="I417" s="400"/>
      <c r="J417" s="400"/>
      <c r="K417" s="401" t="s">
        <v>3333</v>
      </c>
      <c r="L417" s="402" t="s">
        <v>4518</v>
      </c>
      <c r="M417" s="400"/>
      <c r="N417" s="427" t="s">
        <v>4417</v>
      </c>
      <c r="O417" s="428"/>
      <c r="P417" s="403" t="s">
        <v>5783</v>
      </c>
      <c r="Q417" s="403"/>
      <c r="R417" s="403"/>
      <c r="S417" s="403"/>
      <c r="T417" s="403"/>
      <c r="U417" s="407"/>
      <c r="V417" s="432" t="s">
        <v>5784</v>
      </c>
      <c r="W417" s="407"/>
      <c r="X417" s="403" t="s">
        <v>113</v>
      </c>
      <c r="Y417" s="403" t="s">
        <v>5772</v>
      </c>
      <c r="Z417" s="403" t="s">
        <v>113</v>
      </c>
      <c r="AA417" s="403" t="s">
        <v>3178</v>
      </c>
      <c r="AB417" s="432" t="s">
        <v>4947</v>
      </c>
      <c r="AC417" s="421"/>
      <c r="AD417" s="436"/>
      <c r="AE417" s="420"/>
      <c r="AF417" s="407"/>
      <c r="AG417" s="407" t="s">
        <v>3851</v>
      </c>
      <c r="AH417" s="399"/>
      <c r="AI417" s="400"/>
      <c r="AJ417" s="399"/>
      <c r="AK417" s="440"/>
      <c r="AL417" s="409"/>
      <c r="AM417" s="409"/>
      <c r="AN417" s="409"/>
      <c r="AO417" s="399"/>
      <c r="AP417" s="409"/>
      <c r="AQ417" s="409" t="s">
        <v>3130</v>
      </c>
      <c r="AR417" s="409" t="s">
        <v>4478</v>
      </c>
      <c r="AS417" s="409"/>
      <c r="AT417" s="399"/>
      <c r="AU417" s="399" t="s">
        <v>5785</v>
      </c>
      <c r="AV417" s="399" t="str">
        <f t="shared" si="47"/>
        <v>Changed</v>
      </c>
      <c r="AW417" s="399"/>
      <c r="AX417" s="409" t="s">
        <v>3343</v>
      </c>
      <c r="AY417" s="399" t="e">
        <f t="shared" ca="1" si="63"/>
        <v>#NAME?</v>
      </c>
      <c r="AZ417" s="399"/>
      <c r="BA417" s="409">
        <v>1</v>
      </c>
      <c r="BB417" s="399"/>
      <c r="BC417" s="399"/>
      <c r="BD417" s="399"/>
      <c r="BE417" s="411"/>
      <c r="BF417" s="411"/>
      <c r="BG417" s="434" t="s">
        <v>5786</v>
      </c>
      <c r="BH417" s="411"/>
      <c r="BI417" s="411"/>
      <c r="BJ417" s="399"/>
      <c r="BK417" s="399"/>
      <c r="BL417" s="399"/>
      <c r="BM417" s="399"/>
      <c r="BN417" s="399"/>
      <c r="BO417" s="399"/>
      <c r="BP417" s="399"/>
      <c r="BQ417" s="399"/>
      <c r="BR417" s="399"/>
      <c r="BS417" s="407"/>
      <c r="BT417" s="407"/>
      <c r="BU417" s="412"/>
      <c r="BV417" s="46" t="str">
        <f t="shared" si="8"/>
        <v/>
      </c>
      <c r="BW417" s="46">
        <f t="shared" si="9"/>
        <v>0</v>
      </c>
      <c r="BX417" s="46">
        <f t="shared" si="10"/>
        <v>0</v>
      </c>
      <c r="BY417" s="43" t="str">
        <f t="shared" si="11"/>
        <v>WHO-FP Condition (Medical Eligibility)</v>
      </c>
      <c r="BZ417" s="46">
        <f t="shared" si="12"/>
        <v>1</v>
      </c>
      <c r="CA417" s="46" t="str">
        <f t="shared" si="13"/>
        <v/>
      </c>
      <c r="CB417" s="46">
        <f t="shared" si="14"/>
        <v>1</v>
      </c>
      <c r="CC417" s="46">
        <f t="shared" si="15"/>
        <v>1</v>
      </c>
      <c r="CD417" s="46">
        <f t="shared" si="16"/>
        <v>1</v>
      </c>
      <c r="CE417" s="46">
        <f t="shared" si="17"/>
        <v>0</v>
      </c>
      <c r="CF417" s="46">
        <f t="shared" si="18"/>
        <v>0</v>
      </c>
      <c r="CG417" s="46" t="str">
        <f ca="1">IFERROR(__xludf.DUMMYFUNCTION("if(OR(BH417="""",LEFT(BH417,2)=""LA""),"""",IMPORTXML(CONCATENATE(""https://loinc.org/"",BH417,""/""),""//span[@id='lcn']""))"),"")</f>
        <v/>
      </c>
      <c r="CH417" s="46"/>
      <c r="CI417" s="46"/>
      <c r="CJ417" s="46"/>
      <c r="CK417" s="46"/>
      <c r="CL417" s="46"/>
      <c r="CM417" s="46"/>
      <c r="CN417" s="46"/>
      <c r="CO417" s="46"/>
      <c r="CP417" s="46"/>
      <c r="CQ417" s="46"/>
      <c r="CR417" s="46"/>
      <c r="CS417" s="46"/>
      <c r="CT417" s="46"/>
      <c r="CU417" s="46"/>
    </row>
    <row r="418" spans="1:99" ht="12.75" customHeight="1">
      <c r="A418" s="399">
        <v>1660</v>
      </c>
      <c r="B418" s="409" t="s">
        <v>5787</v>
      </c>
      <c r="C418" s="399">
        <f t="shared" si="42"/>
        <v>1660</v>
      </c>
      <c r="D418" s="399" t="e">
        <f t="shared" ca="1" si="62"/>
        <v>#NAME?</v>
      </c>
      <c r="E418" s="399" t="str">
        <f t="shared" si="44"/>
        <v>None of the above</v>
      </c>
      <c r="F418" s="410" t="s">
        <v>180</v>
      </c>
      <c r="G418" s="400">
        <v>23</v>
      </c>
      <c r="H418" s="399" t="s">
        <v>4475</v>
      </c>
      <c r="I418" s="400"/>
      <c r="J418" s="400"/>
      <c r="K418" s="401" t="s">
        <v>3333</v>
      </c>
      <c r="L418" s="402" t="s">
        <v>4518</v>
      </c>
      <c r="M418" s="400"/>
      <c r="N418" s="427" t="s">
        <v>4417</v>
      </c>
      <c r="O418" s="428"/>
      <c r="P418" s="403" t="s">
        <v>5788</v>
      </c>
      <c r="Q418" s="403"/>
      <c r="R418" s="403"/>
      <c r="S418" s="403"/>
      <c r="T418" s="403"/>
      <c r="U418" s="407"/>
      <c r="V418" s="432" t="s">
        <v>1074</v>
      </c>
      <c r="W418" s="407"/>
      <c r="X418" s="403" t="s">
        <v>113</v>
      </c>
      <c r="Y418" s="403" t="s">
        <v>5789</v>
      </c>
      <c r="Z418" s="403" t="s">
        <v>113</v>
      </c>
      <c r="AA418" s="403" t="s">
        <v>3178</v>
      </c>
      <c r="AB418" s="432" t="s">
        <v>4947</v>
      </c>
      <c r="AC418" s="421"/>
      <c r="AD418" s="436"/>
      <c r="AE418" s="420"/>
      <c r="AF418" s="407"/>
      <c r="AG418" s="407" t="s">
        <v>3851</v>
      </c>
      <c r="AH418" s="399"/>
      <c r="AI418" s="400"/>
      <c r="AJ418" s="399"/>
      <c r="AK418" s="440"/>
      <c r="AL418" s="409"/>
      <c r="AM418" s="409"/>
      <c r="AN418" s="409"/>
      <c r="AO418" s="399"/>
      <c r="AP418" s="409"/>
      <c r="AQ418" s="409" t="s">
        <v>3130</v>
      </c>
      <c r="AR418" s="409" t="s">
        <v>4478</v>
      </c>
      <c r="AS418" s="409"/>
      <c r="AT418" s="399"/>
      <c r="AU418" s="399" t="s">
        <v>1281</v>
      </c>
      <c r="AV418" s="399" t="str">
        <f t="shared" si="47"/>
        <v>Changed</v>
      </c>
      <c r="AW418" s="399"/>
      <c r="AX418" s="409" t="s">
        <v>3343</v>
      </c>
      <c r="AY418" s="399" t="e">
        <f t="shared" ca="1" si="63"/>
        <v>#NAME?</v>
      </c>
      <c r="AZ418" s="399"/>
      <c r="BA418" s="409">
        <v>1</v>
      </c>
      <c r="BB418" s="399"/>
      <c r="BC418" s="399"/>
      <c r="BD418" s="399"/>
      <c r="BE418" s="411" t="s">
        <v>5790</v>
      </c>
      <c r="BF418" s="411"/>
      <c r="BG418" s="411"/>
      <c r="BH418" s="411"/>
      <c r="BI418" s="411"/>
      <c r="BJ418" s="399"/>
      <c r="BK418" s="399"/>
      <c r="BL418" s="399"/>
      <c r="BM418" s="399"/>
      <c r="BN418" s="399"/>
      <c r="BO418" s="399"/>
      <c r="BP418" s="399"/>
      <c r="BQ418" s="399"/>
      <c r="BR418" s="399"/>
      <c r="BS418" s="407"/>
      <c r="BT418" s="407"/>
      <c r="BU418" s="412"/>
      <c r="BV418" s="46" t="str">
        <f t="shared" si="8"/>
        <v/>
      </c>
      <c r="BW418" s="46">
        <f t="shared" si="9"/>
        <v>0</v>
      </c>
      <c r="BX418" s="46">
        <f t="shared" si="10"/>
        <v>0</v>
      </c>
      <c r="BY418" s="43" t="str">
        <f t="shared" si="11"/>
        <v>WHO-FP Condition (Medical Eligibility)</v>
      </c>
      <c r="BZ418" s="46">
        <f t="shared" si="12"/>
        <v>1</v>
      </c>
      <c r="CA418" s="46" t="str">
        <f t="shared" si="13"/>
        <v/>
      </c>
      <c r="CB418" s="46">
        <f t="shared" si="14"/>
        <v>1</v>
      </c>
      <c r="CC418" s="46">
        <f t="shared" si="15"/>
        <v>1</v>
      </c>
      <c r="CD418" s="46">
        <f t="shared" si="16"/>
        <v>1</v>
      </c>
      <c r="CE418" s="46">
        <f t="shared" si="17"/>
        <v>0</v>
      </c>
      <c r="CF418" s="46">
        <f t="shared" si="18"/>
        <v>0</v>
      </c>
      <c r="CG418" s="46" t="str">
        <f ca="1">IFERROR(__xludf.DUMMYFUNCTION("if(OR(BH418="""",LEFT(BH418,2)=""LA""),"""",IMPORTXML(CONCATENATE(""https://loinc.org/"",BH418,""/""),""//span[@id='lcn']""))"),"")</f>
        <v/>
      </c>
      <c r="CH418" s="46"/>
      <c r="CI418" s="46"/>
      <c r="CJ418" s="46"/>
      <c r="CK418" s="46"/>
      <c r="CL418" s="46"/>
      <c r="CM418" s="46"/>
      <c r="CN418" s="46"/>
      <c r="CO418" s="46"/>
      <c r="CP418" s="46"/>
      <c r="CQ418" s="46"/>
      <c r="CR418" s="46"/>
      <c r="CS418" s="46"/>
      <c r="CT418" s="46"/>
      <c r="CU418" s="46"/>
    </row>
    <row r="419" spans="1:99" ht="12.75" customHeight="1">
      <c r="A419" s="409">
        <v>1867</v>
      </c>
      <c r="B419" s="399" t="s">
        <v>4942</v>
      </c>
      <c r="C419" s="399">
        <f t="shared" si="42"/>
        <v>1867</v>
      </c>
      <c r="D419" s="399" t="str">
        <f t="shared" si="62"/>
        <v>Vasectomy</v>
      </c>
      <c r="E419" s="399" t="str">
        <f t="shared" si="44"/>
        <v>Vasectomy</v>
      </c>
      <c r="F419" s="409" t="s">
        <v>3164</v>
      </c>
      <c r="G419" s="400">
        <f>LEN(B419)</f>
        <v>9</v>
      </c>
      <c r="H419" s="400" t="str">
        <f>IF(F419="Input Option",IF(H418="",B418,H418),"")</f>
        <v/>
      </c>
      <c r="I419" s="400"/>
      <c r="J419" s="400"/>
      <c r="K419" s="401" t="s">
        <v>3333</v>
      </c>
      <c r="L419" s="402" t="s">
        <v>3334</v>
      </c>
      <c r="M419" s="400"/>
      <c r="N419" s="427" t="s">
        <v>4417</v>
      </c>
      <c r="O419" s="428"/>
      <c r="P419" s="403" t="s">
        <v>5791</v>
      </c>
      <c r="Q419" s="403" t="s">
        <v>4942</v>
      </c>
      <c r="R419" s="403"/>
      <c r="S419" s="403" t="s">
        <v>5792</v>
      </c>
      <c r="T419" s="403" t="s">
        <v>3339</v>
      </c>
      <c r="U419" s="432" t="s">
        <v>3326</v>
      </c>
      <c r="V419" s="407"/>
      <c r="W419" s="407"/>
      <c r="X419" s="403" t="s">
        <v>208</v>
      </c>
      <c r="Y419" s="403"/>
      <c r="Z419" s="403" t="s">
        <v>113</v>
      </c>
      <c r="AA419" s="403" t="s">
        <v>3178</v>
      </c>
      <c r="AB419" s="406" t="s">
        <v>5793</v>
      </c>
      <c r="AC419" s="407"/>
      <c r="AD419" s="403"/>
      <c r="AE419" s="406"/>
      <c r="AF419" s="407"/>
      <c r="AG419" s="407" t="s">
        <v>3851</v>
      </c>
      <c r="AH419" s="399"/>
      <c r="AI419" s="400"/>
      <c r="AJ419" s="399" t="s">
        <v>1787</v>
      </c>
      <c r="AK419" s="440"/>
      <c r="AL419" s="403"/>
      <c r="AM419" s="403"/>
      <c r="AN419" s="403"/>
      <c r="AO419" s="399"/>
      <c r="AP419" s="409"/>
      <c r="AQ419" s="409" t="s">
        <v>115</v>
      </c>
      <c r="AR419" s="399"/>
      <c r="AS419" s="399"/>
      <c r="AT419" s="399"/>
      <c r="AU419" s="399"/>
      <c r="AV419" s="399" t="str">
        <f t="shared" si="47"/>
        <v/>
      </c>
      <c r="AW419" s="399"/>
      <c r="AX419" s="409" t="s">
        <v>3343</v>
      </c>
      <c r="AY419" s="399" t="str">
        <f t="shared" si="63"/>
        <v/>
      </c>
      <c r="AZ419" s="399"/>
      <c r="BA419" s="409">
        <v>0</v>
      </c>
      <c r="BB419" s="399"/>
      <c r="BC419" s="399" t="s">
        <v>1787</v>
      </c>
      <c r="BD419" s="409" t="s">
        <v>5794</v>
      </c>
      <c r="BE419" s="411"/>
      <c r="BF419" s="411" t="s">
        <v>1787</v>
      </c>
      <c r="BG419" s="434" t="s">
        <v>5795</v>
      </c>
      <c r="BH419" s="411"/>
      <c r="BI419" s="411"/>
      <c r="BJ419" s="399" t="s">
        <v>1787</v>
      </c>
      <c r="BK419" s="399" t="s">
        <v>1787</v>
      </c>
      <c r="BL419" s="399"/>
      <c r="BM419" s="409" t="s">
        <v>5796</v>
      </c>
      <c r="BN419" s="438" t="str">
        <f>HYPERLINK("https://github.com/who-int/Data-Dictionary-Mapping/issues/54","54")</f>
        <v>54</v>
      </c>
      <c r="BO419" s="399" t="s">
        <v>1787</v>
      </c>
      <c r="BP419" s="399" t="s">
        <v>1787</v>
      </c>
      <c r="BQ419" s="399" t="s">
        <v>1787</v>
      </c>
      <c r="BR419" s="399" t="s">
        <v>1787</v>
      </c>
      <c r="BS419" s="407"/>
      <c r="BT419" s="407"/>
      <c r="BU419" s="412"/>
      <c r="BV419" s="46" t="str">
        <f t="shared" si="8"/>
        <v/>
      </c>
      <c r="BW419" s="46" t="str">
        <f t="shared" si="9"/>
        <v/>
      </c>
      <c r="BX419" s="46" t="str">
        <f t="shared" si="10"/>
        <v/>
      </c>
      <c r="BY419" s="43" t="str">
        <f t="shared" si="11"/>
        <v/>
      </c>
      <c r="BZ419" s="46">
        <f t="shared" si="12"/>
        <v>1</v>
      </c>
      <c r="CA419" s="46" t="str">
        <f t="shared" si="13"/>
        <v/>
      </c>
      <c r="CB419" s="46">
        <f t="shared" si="14"/>
        <v>1</v>
      </c>
      <c r="CC419" s="46">
        <f t="shared" si="15"/>
        <v>1</v>
      </c>
      <c r="CD419" s="46">
        <f t="shared" si="16"/>
        <v>1</v>
      </c>
      <c r="CE419" s="46">
        <f t="shared" si="17"/>
        <v>0</v>
      </c>
      <c r="CF419" s="46">
        <f t="shared" si="18"/>
        <v>0</v>
      </c>
      <c r="CG419" s="46" t="str">
        <f ca="1">IFERROR(__xludf.DUMMYFUNCTION("if(OR(BH419="""",LEFT(BH419,2)=""LA""),"""",IMPORTXML(CONCATENATE(""https://loinc.org/"",BH419,""/""),""//span[@id='lcn']""))"),"")</f>
        <v/>
      </c>
      <c r="CH419" s="46"/>
      <c r="CI419" s="46"/>
      <c r="CJ419" s="46"/>
      <c r="CK419" s="46"/>
      <c r="CL419" s="46"/>
      <c r="CM419" s="46"/>
      <c r="CN419" s="46"/>
      <c r="CO419" s="46"/>
      <c r="CP419" s="46"/>
      <c r="CQ419" s="46"/>
      <c r="CR419" s="46"/>
      <c r="CS419" s="46"/>
      <c r="CT419" s="46"/>
      <c r="CU419" s="46"/>
    </row>
    <row r="420" spans="1:99" ht="12.75" customHeight="1">
      <c r="A420" s="399">
        <v>1662</v>
      </c>
      <c r="B420" s="399" t="s">
        <v>5797</v>
      </c>
      <c r="C420" s="399">
        <f t="shared" si="42"/>
        <v>1662</v>
      </c>
      <c r="D420" s="399" t="e">
        <f t="shared" ca="1" si="62"/>
        <v>#NAME?</v>
      </c>
      <c r="E420" s="399" t="str">
        <f t="shared" si="44"/>
        <v>Coagulation disorders</v>
      </c>
      <c r="F420" s="410" t="s">
        <v>180</v>
      </c>
      <c r="G420" s="400">
        <v>23</v>
      </c>
      <c r="H420" s="399" t="s">
        <v>4475</v>
      </c>
      <c r="I420" s="400"/>
      <c r="J420" s="400"/>
      <c r="K420" s="401" t="s">
        <v>3333</v>
      </c>
      <c r="L420" s="402" t="s">
        <v>3334</v>
      </c>
      <c r="M420" s="400"/>
      <c r="N420" s="427" t="s">
        <v>4417</v>
      </c>
      <c r="O420" s="428"/>
      <c r="P420" s="403" t="s">
        <v>5798</v>
      </c>
      <c r="Q420" s="403"/>
      <c r="R420" s="403"/>
      <c r="S420" s="403"/>
      <c r="T420" s="403"/>
      <c r="U420" s="407"/>
      <c r="V420" s="432" t="s">
        <v>5797</v>
      </c>
      <c r="W420" s="407"/>
      <c r="X420" s="403" t="s">
        <v>208</v>
      </c>
      <c r="Y420" s="403"/>
      <c r="Z420" s="403" t="s">
        <v>113</v>
      </c>
      <c r="AA420" s="403" t="s">
        <v>3178</v>
      </c>
      <c r="AB420" s="559" t="s">
        <v>4968</v>
      </c>
      <c r="AC420" s="421"/>
      <c r="AD420" s="436"/>
      <c r="AE420" s="420"/>
      <c r="AF420" s="407"/>
      <c r="AG420" s="407" t="s">
        <v>3851</v>
      </c>
      <c r="AH420" s="399"/>
      <c r="AI420" s="400"/>
      <c r="AJ420" s="399"/>
      <c r="AK420" s="440"/>
      <c r="AL420" s="403"/>
      <c r="AM420" s="403"/>
      <c r="AN420" s="403"/>
      <c r="AO420" s="399"/>
      <c r="AP420" s="409"/>
      <c r="AQ420" s="409" t="s">
        <v>3130</v>
      </c>
      <c r="AR420" s="409" t="s">
        <v>4478</v>
      </c>
      <c r="AS420" s="409"/>
      <c r="AT420" s="399"/>
      <c r="AU420" s="399" t="s">
        <v>5799</v>
      </c>
      <c r="AV420" s="399" t="str">
        <f t="shared" si="47"/>
        <v>Changed</v>
      </c>
      <c r="AW420" s="399"/>
      <c r="AX420" s="409" t="s">
        <v>3343</v>
      </c>
      <c r="AY420" s="399" t="e">
        <f t="shared" ca="1" si="63"/>
        <v>#NAME?</v>
      </c>
      <c r="AZ420" s="399"/>
      <c r="BA420" s="409">
        <v>1</v>
      </c>
      <c r="BB420" s="399"/>
      <c r="BC420" s="399"/>
      <c r="BD420" s="409" t="s">
        <v>5800</v>
      </c>
      <c r="BE420" s="411"/>
      <c r="BF420" s="411"/>
      <c r="BG420" s="434" t="s">
        <v>5801</v>
      </c>
      <c r="BH420" s="411"/>
      <c r="BI420" s="411"/>
      <c r="BJ420" s="399"/>
      <c r="BK420" s="399"/>
      <c r="BL420" s="399"/>
      <c r="BM420" s="399"/>
      <c r="BN420" s="399"/>
      <c r="BO420" s="399"/>
      <c r="BP420" s="399"/>
      <c r="BQ420" s="399"/>
      <c r="BR420" s="399"/>
      <c r="BS420" s="407"/>
      <c r="BT420" s="407"/>
      <c r="BU420" s="412"/>
      <c r="BV420" s="46" t="str">
        <f t="shared" si="8"/>
        <v/>
      </c>
      <c r="BW420" s="46">
        <f t="shared" si="9"/>
        <v>0</v>
      </c>
      <c r="BX420" s="46">
        <f t="shared" si="10"/>
        <v>0</v>
      </c>
      <c r="BY420" s="43" t="str">
        <f t="shared" si="11"/>
        <v>WHO-FP Condition (Medical Eligibility)</v>
      </c>
      <c r="BZ420" s="46">
        <f t="shared" si="12"/>
        <v>1</v>
      </c>
      <c r="CA420" s="46" t="str">
        <f t="shared" si="13"/>
        <v/>
      </c>
      <c r="CB420" s="46">
        <f t="shared" si="14"/>
        <v>1</v>
      </c>
      <c r="CC420" s="46">
        <f t="shared" si="15"/>
        <v>1</v>
      </c>
      <c r="CD420" s="46">
        <f t="shared" si="16"/>
        <v>1</v>
      </c>
      <c r="CE420" s="46">
        <f t="shared" si="17"/>
        <v>0</v>
      </c>
      <c r="CF420" s="46">
        <f t="shared" si="18"/>
        <v>0</v>
      </c>
      <c r="CG420" s="46" t="str">
        <f ca="1">IFERROR(__xludf.DUMMYFUNCTION("if(OR(BH420="""",LEFT(BH420,2)=""LA""),"""",IMPORTXML(CONCATENATE(""https://loinc.org/"",BH420,""/""),""//span[@id='lcn']""))"),"")</f>
        <v/>
      </c>
      <c r="CH420" s="46"/>
      <c r="CI420" s="46"/>
      <c r="CJ420" s="46"/>
      <c r="CK420" s="46"/>
      <c r="CL420" s="46"/>
      <c r="CM420" s="46"/>
      <c r="CN420" s="46"/>
      <c r="CO420" s="46"/>
      <c r="CP420" s="46"/>
      <c r="CQ420" s="46"/>
      <c r="CR420" s="46"/>
      <c r="CS420" s="46"/>
      <c r="CT420" s="46"/>
      <c r="CU420" s="46"/>
    </row>
    <row r="421" spans="1:99" ht="12.75" customHeight="1">
      <c r="A421" s="399">
        <v>1663</v>
      </c>
      <c r="B421" s="399" t="s">
        <v>5802</v>
      </c>
      <c r="C421" s="399">
        <f t="shared" si="42"/>
        <v>1663</v>
      </c>
      <c r="D421" s="399" t="e">
        <f t="shared" ca="1" si="62"/>
        <v>#NAME?</v>
      </c>
      <c r="E421" s="399" t="str">
        <f t="shared" si="44"/>
        <v>Previous scrotal injury</v>
      </c>
      <c r="F421" s="410" t="s">
        <v>180</v>
      </c>
      <c r="G421" s="400">
        <v>23</v>
      </c>
      <c r="H421" s="399" t="s">
        <v>4475</v>
      </c>
      <c r="I421" s="400"/>
      <c r="J421" s="400"/>
      <c r="K421" s="401" t="s">
        <v>3333</v>
      </c>
      <c r="L421" s="402" t="s">
        <v>3334</v>
      </c>
      <c r="M421" s="400"/>
      <c r="N421" s="427" t="s">
        <v>4417</v>
      </c>
      <c r="O421" s="428"/>
      <c r="P421" s="403" t="s">
        <v>5803</v>
      </c>
      <c r="Q421" s="403"/>
      <c r="R421" s="403"/>
      <c r="S421" s="403"/>
      <c r="T421" s="403"/>
      <c r="U421" s="407"/>
      <c r="V421" s="432" t="s">
        <v>5802</v>
      </c>
      <c r="W421" s="407"/>
      <c r="X421" s="403" t="s">
        <v>208</v>
      </c>
      <c r="Y421" s="403"/>
      <c r="Z421" s="403" t="s">
        <v>113</v>
      </c>
      <c r="AA421" s="403" t="s">
        <v>3178</v>
      </c>
      <c r="AB421" s="559" t="s">
        <v>4968</v>
      </c>
      <c r="AC421" s="421"/>
      <c r="AD421" s="436"/>
      <c r="AE421" s="420"/>
      <c r="AF421" s="407"/>
      <c r="AG421" s="407" t="s">
        <v>3851</v>
      </c>
      <c r="AH421" s="399"/>
      <c r="AI421" s="400"/>
      <c r="AJ421" s="399"/>
      <c r="AK421" s="440"/>
      <c r="AL421" s="403"/>
      <c r="AM421" s="403"/>
      <c r="AN421" s="403"/>
      <c r="AO421" s="399"/>
      <c r="AP421" s="409"/>
      <c r="AQ421" s="409" t="s">
        <v>3130</v>
      </c>
      <c r="AR421" s="409" t="s">
        <v>4478</v>
      </c>
      <c r="AS421" s="409"/>
      <c r="AT421" s="399"/>
      <c r="AU421" s="399" t="s">
        <v>5804</v>
      </c>
      <c r="AV421" s="399" t="str">
        <f t="shared" si="47"/>
        <v>Changed</v>
      </c>
      <c r="AW421" s="399"/>
      <c r="AX421" s="409" t="s">
        <v>3343</v>
      </c>
      <c r="AY421" s="399" t="e">
        <f t="shared" ca="1" si="63"/>
        <v>#NAME?</v>
      </c>
      <c r="AZ421" s="399"/>
      <c r="BA421" s="409">
        <v>1</v>
      </c>
      <c r="BB421" s="399"/>
      <c r="BC421" s="399"/>
      <c r="BD421" s="409" t="s">
        <v>5805</v>
      </c>
      <c r="BE421" s="411"/>
      <c r="BF421" s="411"/>
      <c r="BG421" s="434" t="s">
        <v>5806</v>
      </c>
      <c r="BH421" s="411"/>
      <c r="BI421" s="411"/>
      <c r="BJ421" s="399"/>
      <c r="BK421" s="399"/>
      <c r="BL421" s="399"/>
      <c r="BM421" s="399"/>
      <c r="BN421" s="399"/>
      <c r="BO421" s="399"/>
      <c r="BP421" s="399"/>
      <c r="BQ421" s="399"/>
      <c r="BR421" s="399"/>
      <c r="BS421" s="407"/>
      <c r="BT421" s="407"/>
      <c r="BU421" s="412"/>
      <c r="BV421" s="46" t="str">
        <f t="shared" si="8"/>
        <v/>
      </c>
      <c r="BW421" s="46">
        <f t="shared" si="9"/>
        <v>0</v>
      </c>
      <c r="BX421" s="46">
        <f t="shared" si="10"/>
        <v>0</v>
      </c>
      <c r="BY421" s="43" t="str">
        <f t="shared" si="11"/>
        <v>WHO-FP Condition (Medical Eligibility)</v>
      </c>
      <c r="BZ421" s="46">
        <f t="shared" si="12"/>
        <v>1</v>
      </c>
      <c r="CA421" s="46" t="str">
        <f t="shared" si="13"/>
        <v/>
      </c>
      <c r="CB421" s="46">
        <f t="shared" si="14"/>
        <v>1</v>
      </c>
      <c r="CC421" s="46">
        <f t="shared" si="15"/>
        <v>1</v>
      </c>
      <c r="CD421" s="46">
        <f t="shared" si="16"/>
        <v>1</v>
      </c>
      <c r="CE421" s="46">
        <f t="shared" si="17"/>
        <v>0</v>
      </c>
      <c r="CF421" s="46">
        <f t="shared" si="18"/>
        <v>0</v>
      </c>
      <c r="CG421" s="46" t="str">
        <f ca="1">IFERROR(__xludf.DUMMYFUNCTION("if(OR(BH421="""",LEFT(BH421,2)=""LA""),"""",IMPORTXML(CONCATENATE(""https://loinc.org/"",BH421,""/""),""//span[@id='lcn']""))"),"")</f>
        <v/>
      </c>
      <c r="CH421" s="46"/>
      <c r="CI421" s="46"/>
      <c r="CJ421" s="46"/>
      <c r="CK421" s="46"/>
      <c r="CL421" s="46"/>
      <c r="CM421" s="46"/>
      <c r="CN421" s="46"/>
      <c r="CO421" s="46"/>
      <c r="CP421" s="46"/>
      <c r="CQ421" s="46"/>
      <c r="CR421" s="46"/>
      <c r="CS421" s="46"/>
      <c r="CT421" s="46"/>
      <c r="CU421" s="46"/>
    </row>
    <row r="422" spans="1:99" ht="12.75" customHeight="1">
      <c r="A422" s="399">
        <v>1664</v>
      </c>
      <c r="B422" s="399" t="s">
        <v>5807</v>
      </c>
      <c r="C422" s="399">
        <f t="shared" si="42"/>
        <v>1664</v>
      </c>
      <c r="D422" s="399" t="e">
        <f t="shared" ca="1" si="62"/>
        <v>#NAME?</v>
      </c>
      <c r="E422" s="399" t="str">
        <f t="shared" si="44"/>
        <v>Systemic infection or gastroenteritis</v>
      </c>
      <c r="F422" s="410" t="s">
        <v>180</v>
      </c>
      <c r="G422" s="400">
        <v>23</v>
      </c>
      <c r="H422" s="399" t="s">
        <v>4475</v>
      </c>
      <c r="I422" s="400"/>
      <c r="J422" s="400"/>
      <c r="K422" s="401" t="s">
        <v>3333</v>
      </c>
      <c r="L422" s="402" t="s">
        <v>3334</v>
      </c>
      <c r="M422" s="400"/>
      <c r="N422" s="427" t="s">
        <v>4417</v>
      </c>
      <c r="O422" s="428"/>
      <c r="P422" s="403" t="s">
        <v>5808</v>
      </c>
      <c r="Q422" s="403"/>
      <c r="R422" s="403"/>
      <c r="S422" s="403"/>
      <c r="T422" s="403"/>
      <c r="U422" s="407"/>
      <c r="V422" s="432" t="s">
        <v>5807</v>
      </c>
      <c r="W422" s="407"/>
      <c r="X422" s="403" t="s">
        <v>208</v>
      </c>
      <c r="Y422" s="403"/>
      <c r="Z422" s="403" t="s">
        <v>113</v>
      </c>
      <c r="AA422" s="403" t="s">
        <v>3178</v>
      </c>
      <c r="AB422" s="559" t="s">
        <v>4968</v>
      </c>
      <c r="AC422" s="421"/>
      <c r="AD422" s="436"/>
      <c r="AE422" s="420"/>
      <c r="AF422" s="407"/>
      <c r="AG422" s="407" t="s">
        <v>3851</v>
      </c>
      <c r="AH422" s="399"/>
      <c r="AI422" s="400"/>
      <c r="AJ422" s="399"/>
      <c r="AK422" s="440"/>
      <c r="AL422" s="403"/>
      <c r="AM422" s="403"/>
      <c r="AN422" s="403"/>
      <c r="AO422" s="399"/>
      <c r="AP422" s="409"/>
      <c r="AQ422" s="409" t="s">
        <v>3130</v>
      </c>
      <c r="AR422" s="409" t="s">
        <v>4478</v>
      </c>
      <c r="AS422" s="409"/>
      <c r="AT422" s="399"/>
      <c r="AU422" s="399" t="s">
        <v>5809</v>
      </c>
      <c r="AV422" s="399" t="str">
        <f t="shared" si="47"/>
        <v>Changed</v>
      </c>
      <c r="AW422" s="399"/>
      <c r="AX422" s="409" t="s">
        <v>3343</v>
      </c>
      <c r="AY422" s="399" t="e">
        <f t="shared" ca="1" si="63"/>
        <v>#NAME?</v>
      </c>
      <c r="AZ422" s="399"/>
      <c r="BA422" s="409">
        <v>1</v>
      </c>
      <c r="BB422" s="399"/>
      <c r="BC422" s="399"/>
      <c r="BD422" s="409" t="s">
        <v>5810</v>
      </c>
      <c r="BE422" s="411"/>
      <c r="BF422" s="411"/>
      <c r="BG422" s="434" t="s">
        <v>5811</v>
      </c>
      <c r="BH422" s="411"/>
      <c r="BI422" s="411"/>
      <c r="BJ422" s="399"/>
      <c r="BK422" s="399"/>
      <c r="BL422" s="399"/>
      <c r="BM422" s="399"/>
      <c r="BN422" s="399"/>
      <c r="BO422" s="399"/>
      <c r="BP422" s="399"/>
      <c r="BQ422" s="399"/>
      <c r="BR422" s="399"/>
      <c r="BS422" s="407"/>
      <c r="BT422" s="407"/>
      <c r="BU422" s="412"/>
      <c r="BV422" s="46" t="str">
        <f t="shared" si="8"/>
        <v/>
      </c>
      <c r="BW422" s="46">
        <f t="shared" si="9"/>
        <v>0</v>
      </c>
      <c r="BX422" s="46">
        <f t="shared" si="10"/>
        <v>0</v>
      </c>
      <c r="BY422" s="43" t="str">
        <f t="shared" si="11"/>
        <v>WHO-FP Condition (Medical Eligibility)</v>
      </c>
      <c r="BZ422" s="46">
        <f t="shared" si="12"/>
        <v>1</v>
      </c>
      <c r="CA422" s="46" t="str">
        <f t="shared" si="13"/>
        <v/>
      </c>
      <c r="CB422" s="46">
        <f t="shared" si="14"/>
        <v>1</v>
      </c>
      <c r="CC422" s="46">
        <f t="shared" si="15"/>
        <v>1</v>
      </c>
      <c r="CD422" s="46">
        <f t="shared" si="16"/>
        <v>1</v>
      </c>
      <c r="CE422" s="46">
        <f t="shared" si="17"/>
        <v>0</v>
      </c>
      <c r="CF422" s="46">
        <f t="shared" si="18"/>
        <v>0</v>
      </c>
      <c r="CG422" s="46" t="str">
        <f ca="1">IFERROR(__xludf.DUMMYFUNCTION("if(OR(BH422="""",LEFT(BH422,2)=""LA""),"""",IMPORTXML(CONCATENATE(""https://loinc.org/"",BH422,""/""),""//span[@id='lcn']""))"),"")</f>
        <v/>
      </c>
      <c r="CH422" s="46"/>
      <c r="CI422" s="46"/>
      <c r="CJ422" s="46"/>
      <c r="CK422" s="46"/>
      <c r="CL422" s="46"/>
      <c r="CM422" s="46"/>
      <c r="CN422" s="46"/>
      <c r="CO422" s="46"/>
      <c r="CP422" s="46"/>
      <c r="CQ422" s="46"/>
      <c r="CR422" s="46"/>
      <c r="CS422" s="46"/>
      <c r="CT422" s="46"/>
      <c r="CU422" s="46"/>
    </row>
    <row r="423" spans="1:99" ht="12.75" customHeight="1">
      <c r="A423" s="399">
        <v>1665</v>
      </c>
      <c r="B423" s="399" t="s">
        <v>5813</v>
      </c>
      <c r="C423" s="399">
        <f t="shared" si="42"/>
        <v>1665</v>
      </c>
      <c r="D423" s="399" t="e">
        <f t="shared" ca="1" si="62"/>
        <v>#NAME?</v>
      </c>
      <c r="E423" s="399" t="str">
        <f t="shared" si="44"/>
        <v>Large varicocele</v>
      </c>
      <c r="F423" s="410" t="s">
        <v>180</v>
      </c>
      <c r="G423" s="400">
        <v>23</v>
      </c>
      <c r="H423" s="399" t="s">
        <v>4475</v>
      </c>
      <c r="I423" s="400"/>
      <c r="J423" s="400"/>
      <c r="K423" s="401" t="s">
        <v>3333</v>
      </c>
      <c r="L423" s="402" t="s">
        <v>3334</v>
      </c>
      <c r="M423" s="400"/>
      <c r="N423" s="427" t="s">
        <v>4417</v>
      </c>
      <c r="O423" s="428"/>
      <c r="P423" s="403" t="s">
        <v>5814</v>
      </c>
      <c r="Q423" s="403"/>
      <c r="R423" s="403"/>
      <c r="S423" s="403"/>
      <c r="T423" s="403"/>
      <c r="U423" s="407"/>
      <c r="V423" s="432" t="s">
        <v>5813</v>
      </c>
      <c r="W423" s="407"/>
      <c r="X423" s="403" t="s">
        <v>208</v>
      </c>
      <c r="Y423" s="403"/>
      <c r="Z423" s="403" t="s">
        <v>113</v>
      </c>
      <c r="AA423" s="403" t="s">
        <v>3178</v>
      </c>
      <c r="AB423" s="559" t="s">
        <v>4968</v>
      </c>
      <c r="AC423" s="421"/>
      <c r="AD423" s="436"/>
      <c r="AE423" s="420"/>
      <c r="AF423" s="407"/>
      <c r="AG423" s="407" t="s">
        <v>3851</v>
      </c>
      <c r="AH423" s="399"/>
      <c r="AI423" s="400"/>
      <c r="AJ423" s="399"/>
      <c r="AK423" s="440"/>
      <c r="AL423" s="403"/>
      <c r="AM423" s="403"/>
      <c r="AN423" s="403"/>
      <c r="AO423" s="399"/>
      <c r="AP423" s="409"/>
      <c r="AQ423" s="409" t="s">
        <v>3130</v>
      </c>
      <c r="AR423" s="409" t="s">
        <v>4478</v>
      </c>
      <c r="AS423" s="409"/>
      <c r="AT423" s="399"/>
      <c r="AU423" s="399" t="s">
        <v>5815</v>
      </c>
      <c r="AV423" s="399" t="str">
        <f t="shared" si="47"/>
        <v>Changed</v>
      </c>
      <c r="AW423" s="399"/>
      <c r="AX423" s="409" t="s">
        <v>3343</v>
      </c>
      <c r="AY423" s="399" t="e">
        <f t="shared" ca="1" si="63"/>
        <v>#NAME?</v>
      </c>
      <c r="AZ423" s="399"/>
      <c r="BA423" s="409">
        <v>1</v>
      </c>
      <c r="BB423" s="399"/>
      <c r="BC423" s="399"/>
      <c r="BD423" s="409" t="s">
        <v>5816</v>
      </c>
      <c r="BE423" s="411" t="s">
        <v>5817</v>
      </c>
      <c r="BF423" s="411"/>
      <c r="BG423" s="434" t="s">
        <v>5818</v>
      </c>
      <c r="BH423" s="411"/>
      <c r="BI423" s="411"/>
      <c r="BJ423" s="399"/>
      <c r="BK423" s="409" t="s">
        <v>5819</v>
      </c>
      <c r="BL423" s="399"/>
      <c r="BM423" s="399"/>
      <c r="BN423" s="399"/>
      <c r="BO423" s="399"/>
      <c r="BP423" s="409"/>
      <c r="BQ423" s="399"/>
      <c r="BR423" s="399"/>
      <c r="BS423" s="407"/>
      <c r="BT423" s="407"/>
      <c r="BU423" s="412"/>
      <c r="BV423" s="46" t="str">
        <f t="shared" si="8"/>
        <v/>
      </c>
      <c r="BW423" s="46">
        <f t="shared" si="9"/>
        <v>0</v>
      </c>
      <c r="BX423" s="46">
        <f t="shared" si="10"/>
        <v>0</v>
      </c>
      <c r="BY423" s="43" t="str">
        <f t="shared" si="11"/>
        <v>WHO-FP Condition (Medical Eligibility)</v>
      </c>
      <c r="BZ423" s="46">
        <f t="shared" si="12"/>
        <v>1</v>
      </c>
      <c r="CA423" s="46" t="str">
        <f t="shared" si="13"/>
        <v/>
      </c>
      <c r="CB423" s="46">
        <f t="shared" si="14"/>
        <v>1</v>
      </c>
      <c r="CC423" s="46">
        <f t="shared" si="15"/>
        <v>1</v>
      </c>
      <c r="CD423" s="46">
        <f t="shared" si="16"/>
        <v>1</v>
      </c>
      <c r="CE423" s="46">
        <f t="shared" si="17"/>
        <v>0</v>
      </c>
      <c r="CF423" s="46">
        <f t="shared" si="18"/>
        <v>0</v>
      </c>
      <c r="CG423" s="46" t="str">
        <f ca="1">IFERROR(__xludf.DUMMYFUNCTION("if(OR(BH423="""",LEFT(BH423,2)=""LA""),"""",IMPORTXML(CONCATENATE(""https://loinc.org/"",BH423,""/""),""//span[@id='lcn']""))"),"")</f>
        <v/>
      </c>
      <c r="CH423" s="46"/>
      <c r="CI423" s="46"/>
      <c r="CJ423" s="46"/>
      <c r="CK423" s="46"/>
      <c r="CL423" s="46"/>
      <c r="CM423" s="46"/>
      <c r="CN423" s="46"/>
      <c r="CO423" s="46"/>
      <c r="CP423" s="46"/>
      <c r="CQ423" s="46"/>
      <c r="CR423" s="46"/>
      <c r="CS423" s="46"/>
      <c r="CT423" s="46"/>
      <c r="CU423" s="46"/>
    </row>
    <row r="424" spans="1:99" ht="12.75" customHeight="1">
      <c r="A424" s="399">
        <v>1666</v>
      </c>
      <c r="B424" s="399" t="s">
        <v>5820</v>
      </c>
      <c r="C424" s="399">
        <f t="shared" si="42"/>
        <v>1666</v>
      </c>
      <c r="D424" s="399" t="e">
        <f t="shared" ca="1" si="62"/>
        <v>#NAME?</v>
      </c>
      <c r="E424" s="399" t="str">
        <f t="shared" si="44"/>
        <v>Large hydrocele</v>
      </c>
      <c r="F424" s="410" t="s">
        <v>180</v>
      </c>
      <c r="G424" s="400">
        <v>23</v>
      </c>
      <c r="H424" s="399" t="s">
        <v>4475</v>
      </c>
      <c r="I424" s="400"/>
      <c r="J424" s="400"/>
      <c r="K424" s="401" t="s">
        <v>3333</v>
      </c>
      <c r="L424" s="402" t="s">
        <v>3334</v>
      </c>
      <c r="M424" s="400"/>
      <c r="N424" s="427" t="s">
        <v>4417</v>
      </c>
      <c r="O424" s="428"/>
      <c r="P424" s="403" t="s">
        <v>5821</v>
      </c>
      <c r="Q424" s="403"/>
      <c r="R424" s="403"/>
      <c r="S424" s="403"/>
      <c r="T424" s="403"/>
      <c r="U424" s="407"/>
      <c r="V424" s="432" t="s">
        <v>5820</v>
      </c>
      <c r="W424" s="407"/>
      <c r="X424" s="403" t="s">
        <v>208</v>
      </c>
      <c r="Y424" s="403"/>
      <c r="Z424" s="403" t="s">
        <v>113</v>
      </c>
      <c r="AA424" s="403" t="s">
        <v>3178</v>
      </c>
      <c r="AB424" s="559" t="s">
        <v>4968</v>
      </c>
      <c r="AC424" s="421"/>
      <c r="AD424" s="436"/>
      <c r="AE424" s="420"/>
      <c r="AF424" s="407"/>
      <c r="AG424" s="407" t="s">
        <v>3851</v>
      </c>
      <c r="AH424" s="399"/>
      <c r="AI424" s="400"/>
      <c r="AJ424" s="399"/>
      <c r="AK424" s="440"/>
      <c r="AL424" s="403"/>
      <c r="AM424" s="403"/>
      <c r="AN424" s="403"/>
      <c r="AO424" s="399"/>
      <c r="AP424" s="409"/>
      <c r="AQ424" s="409" t="s">
        <v>3130</v>
      </c>
      <c r="AR424" s="409" t="s">
        <v>4478</v>
      </c>
      <c r="AS424" s="409"/>
      <c r="AT424" s="399"/>
      <c r="AU424" s="399" t="s">
        <v>5822</v>
      </c>
      <c r="AV424" s="399" t="str">
        <f t="shared" si="47"/>
        <v>Changed</v>
      </c>
      <c r="AW424" s="399"/>
      <c r="AX424" s="409" t="s">
        <v>3343</v>
      </c>
      <c r="AY424" s="399" t="e">
        <f t="shared" ca="1" si="63"/>
        <v>#NAME?</v>
      </c>
      <c r="AZ424" s="399"/>
      <c r="BA424" s="409">
        <v>1</v>
      </c>
      <c r="BB424" s="399"/>
      <c r="BC424" s="399"/>
      <c r="BD424" s="409" t="s">
        <v>5816</v>
      </c>
      <c r="BE424" s="411" t="s">
        <v>5823</v>
      </c>
      <c r="BF424" s="411"/>
      <c r="BG424" s="434" t="s">
        <v>5824</v>
      </c>
      <c r="BH424" s="411"/>
      <c r="BI424" s="411"/>
      <c r="BJ424" s="399"/>
      <c r="BK424" s="409" t="s">
        <v>5819</v>
      </c>
      <c r="BL424" s="399"/>
      <c r="BM424" s="399"/>
      <c r="BN424" s="399"/>
      <c r="BO424" s="399"/>
      <c r="BP424" s="399"/>
      <c r="BQ424" s="399"/>
      <c r="BR424" s="399"/>
      <c r="BS424" s="407"/>
      <c r="BT424" s="407"/>
      <c r="BU424" s="412"/>
      <c r="BV424" s="46" t="str">
        <f t="shared" si="8"/>
        <v/>
      </c>
      <c r="BW424" s="46">
        <f t="shared" si="9"/>
        <v>0</v>
      </c>
      <c r="BX424" s="46">
        <f t="shared" si="10"/>
        <v>0</v>
      </c>
      <c r="BY424" s="43" t="str">
        <f t="shared" si="11"/>
        <v>WHO-FP Condition (Medical Eligibility)</v>
      </c>
      <c r="BZ424" s="46">
        <f t="shared" si="12"/>
        <v>1</v>
      </c>
      <c r="CA424" s="46" t="str">
        <f t="shared" si="13"/>
        <v/>
      </c>
      <c r="CB424" s="46">
        <f t="shared" si="14"/>
        <v>1</v>
      </c>
      <c r="CC424" s="46">
        <f t="shared" si="15"/>
        <v>1</v>
      </c>
      <c r="CD424" s="46">
        <f t="shared" si="16"/>
        <v>1</v>
      </c>
      <c r="CE424" s="46">
        <f t="shared" si="17"/>
        <v>0</v>
      </c>
      <c r="CF424" s="46">
        <f t="shared" si="18"/>
        <v>0</v>
      </c>
      <c r="CG424" s="46" t="str">
        <f ca="1">IFERROR(__xludf.DUMMYFUNCTION("if(OR(BH424="""",LEFT(BH424,2)=""LA""),"""",IMPORTXML(CONCATENATE(""https://loinc.org/"",BH424,""/""),""//span[@id='lcn']""))"),"")</f>
        <v/>
      </c>
      <c r="CH424" s="46"/>
      <c r="CI424" s="46"/>
      <c r="CJ424" s="46"/>
      <c r="CK424" s="46"/>
      <c r="CL424" s="46"/>
      <c r="CM424" s="46"/>
      <c r="CN424" s="46"/>
      <c r="CO424" s="46"/>
      <c r="CP424" s="46"/>
      <c r="CQ424" s="46"/>
      <c r="CR424" s="46"/>
      <c r="CS424" s="46"/>
      <c r="CT424" s="46"/>
      <c r="CU424" s="46"/>
    </row>
    <row r="425" spans="1:99" ht="12.75" customHeight="1">
      <c r="A425" s="399">
        <v>1667</v>
      </c>
      <c r="B425" s="399" t="s">
        <v>5826</v>
      </c>
      <c r="C425" s="399">
        <f t="shared" si="42"/>
        <v>1667</v>
      </c>
      <c r="D425" s="399" t="e">
        <f t="shared" ca="1" si="62"/>
        <v>#NAME?</v>
      </c>
      <c r="E425" s="399" t="str">
        <f t="shared" si="44"/>
        <v>Filariasis</v>
      </c>
      <c r="F425" s="410" t="s">
        <v>180</v>
      </c>
      <c r="G425" s="400">
        <v>23</v>
      </c>
      <c r="H425" s="399" t="s">
        <v>4475</v>
      </c>
      <c r="I425" s="400"/>
      <c r="J425" s="400"/>
      <c r="K425" s="401" t="s">
        <v>3333</v>
      </c>
      <c r="L425" s="402" t="s">
        <v>3334</v>
      </c>
      <c r="M425" s="400"/>
      <c r="N425" s="427" t="s">
        <v>4417</v>
      </c>
      <c r="O425" s="428"/>
      <c r="P425" s="403" t="s">
        <v>5827</v>
      </c>
      <c r="Q425" s="403"/>
      <c r="R425" s="403"/>
      <c r="S425" s="403"/>
      <c r="T425" s="403"/>
      <c r="U425" s="407"/>
      <c r="V425" s="407" t="s">
        <v>5826</v>
      </c>
      <c r="W425" s="407"/>
      <c r="X425" s="403" t="s">
        <v>208</v>
      </c>
      <c r="Y425" s="403"/>
      <c r="Z425" s="403" t="s">
        <v>113</v>
      </c>
      <c r="AA425" s="403" t="s">
        <v>3178</v>
      </c>
      <c r="AB425" s="559" t="s">
        <v>4968</v>
      </c>
      <c r="AC425" s="421"/>
      <c r="AD425" s="436"/>
      <c r="AE425" s="420"/>
      <c r="AF425" s="407"/>
      <c r="AG425" s="407" t="s">
        <v>3851</v>
      </c>
      <c r="AH425" s="399"/>
      <c r="AI425" s="400"/>
      <c r="AJ425" s="399"/>
      <c r="AK425" s="440"/>
      <c r="AL425" s="403"/>
      <c r="AM425" s="403"/>
      <c r="AN425" s="403"/>
      <c r="AO425" s="399"/>
      <c r="AP425" s="409"/>
      <c r="AQ425" s="409" t="s">
        <v>5828</v>
      </c>
      <c r="AR425" s="409" t="s">
        <v>4478</v>
      </c>
      <c r="AS425" s="409"/>
      <c r="AT425" s="399"/>
      <c r="AU425" s="399" t="s">
        <v>5829</v>
      </c>
      <c r="AV425" s="399" t="str">
        <f t="shared" si="47"/>
        <v>Changed</v>
      </c>
      <c r="AW425" s="399"/>
      <c r="AX425" s="409" t="s">
        <v>3343</v>
      </c>
      <c r="AY425" s="399" t="e">
        <f t="shared" ca="1" si="63"/>
        <v>#NAME?</v>
      </c>
      <c r="AZ425" s="399"/>
      <c r="BA425" s="409">
        <v>1</v>
      </c>
      <c r="BB425" s="399"/>
      <c r="BC425" s="399"/>
      <c r="BD425" s="409" t="s">
        <v>3162</v>
      </c>
      <c r="BE425" s="411"/>
      <c r="BF425" s="411"/>
      <c r="BG425" s="434" t="s">
        <v>5830</v>
      </c>
      <c r="BH425" s="411"/>
      <c r="BI425" s="411"/>
      <c r="BJ425" s="399"/>
      <c r="BK425" s="399"/>
      <c r="BL425" s="399"/>
      <c r="BM425" s="399"/>
      <c r="BN425" s="399"/>
      <c r="BO425" s="399"/>
      <c r="BP425" s="399"/>
      <c r="BQ425" s="399"/>
      <c r="BR425" s="399"/>
      <c r="BS425" s="407"/>
      <c r="BT425" s="407"/>
      <c r="BU425" s="412"/>
      <c r="BV425" s="46" t="str">
        <f t="shared" si="8"/>
        <v/>
      </c>
      <c r="BW425" s="46">
        <f t="shared" si="9"/>
        <v>0</v>
      </c>
      <c r="BX425" s="46">
        <f t="shared" si="10"/>
        <v>0</v>
      </c>
      <c r="BY425" s="43" t="str">
        <f t="shared" si="11"/>
        <v>WHO-FP Condition (Medical Eligibility)</v>
      </c>
      <c r="BZ425" s="46">
        <f t="shared" si="12"/>
        <v>1</v>
      </c>
      <c r="CA425" s="46" t="str">
        <f t="shared" si="13"/>
        <v/>
      </c>
      <c r="CB425" s="46">
        <f t="shared" si="14"/>
        <v>1</v>
      </c>
      <c r="CC425" s="46">
        <f t="shared" si="15"/>
        <v>1</v>
      </c>
      <c r="CD425" s="46">
        <f t="shared" si="16"/>
        <v>1</v>
      </c>
      <c r="CE425" s="46">
        <f t="shared" si="17"/>
        <v>0</v>
      </c>
      <c r="CF425" s="46">
        <f t="shared" si="18"/>
        <v>0</v>
      </c>
      <c r="CG425" s="46" t="str">
        <f ca="1">IFERROR(__xludf.DUMMYFUNCTION("if(OR(BH425="""",LEFT(BH425,2)=""LA""),"""",IMPORTXML(CONCATENATE(""https://loinc.org/"",BH425,""/""),""//span[@id='lcn']""))"),"")</f>
        <v/>
      </c>
      <c r="CH425" s="46"/>
      <c r="CI425" s="46"/>
      <c r="CJ425" s="46"/>
      <c r="CK425" s="46"/>
      <c r="CL425" s="46"/>
      <c r="CM425" s="46"/>
      <c r="CN425" s="46"/>
      <c r="CO425" s="46"/>
      <c r="CP425" s="46"/>
      <c r="CQ425" s="46"/>
      <c r="CR425" s="46"/>
      <c r="CS425" s="46"/>
      <c r="CT425" s="46"/>
      <c r="CU425" s="46"/>
    </row>
    <row r="426" spans="1:99" ht="12.75" customHeight="1">
      <c r="A426" s="399">
        <v>1668</v>
      </c>
      <c r="B426" s="399" t="s">
        <v>5831</v>
      </c>
      <c r="C426" s="399">
        <f t="shared" si="42"/>
        <v>1668</v>
      </c>
      <c r="D426" s="399" t="e">
        <f t="shared" ca="1" si="62"/>
        <v>#NAME?</v>
      </c>
      <c r="E426" s="399" t="str">
        <f t="shared" si="44"/>
        <v>Elephantiasis</v>
      </c>
      <c r="F426" s="410" t="s">
        <v>180</v>
      </c>
      <c r="G426" s="400">
        <v>23</v>
      </c>
      <c r="H426" s="399" t="s">
        <v>4475</v>
      </c>
      <c r="I426" s="400"/>
      <c r="J426" s="400"/>
      <c r="K426" s="401" t="s">
        <v>3333</v>
      </c>
      <c r="L426" s="402" t="s">
        <v>3334</v>
      </c>
      <c r="M426" s="400"/>
      <c r="N426" s="427" t="s">
        <v>4417</v>
      </c>
      <c r="O426" s="428"/>
      <c r="P426" s="403" t="s">
        <v>5832</v>
      </c>
      <c r="Q426" s="403"/>
      <c r="R426" s="403"/>
      <c r="S426" s="403"/>
      <c r="T426" s="403"/>
      <c r="U426" s="407"/>
      <c r="V426" s="407" t="s">
        <v>5831</v>
      </c>
      <c r="W426" s="407"/>
      <c r="X426" s="403" t="s">
        <v>208</v>
      </c>
      <c r="Y426" s="403"/>
      <c r="Z426" s="403" t="s">
        <v>113</v>
      </c>
      <c r="AA426" s="403" t="s">
        <v>3178</v>
      </c>
      <c r="AB426" s="559" t="s">
        <v>4968</v>
      </c>
      <c r="AC426" s="421"/>
      <c r="AD426" s="436"/>
      <c r="AE426" s="420"/>
      <c r="AF426" s="407"/>
      <c r="AG426" s="407" t="s">
        <v>3851</v>
      </c>
      <c r="AH426" s="399"/>
      <c r="AI426" s="400"/>
      <c r="AJ426" s="399"/>
      <c r="AK426" s="440"/>
      <c r="AL426" s="403"/>
      <c r="AM426" s="403"/>
      <c r="AN426" s="403"/>
      <c r="AO426" s="399"/>
      <c r="AP426" s="409"/>
      <c r="AQ426" s="409" t="s">
        <v>3130</v>
      </c>
      <c r="AR426" s="409" t="s">
        <v>4478</v>
      </c>
      <c r="AS426" s="409"/>
      <c r="AT426" s="399"/>
      <c r="AU426" s="399" t="s">
        <v>5833</v>
      </c>
      <c r="AV426" s="399" t="str">
        <f t="shared" si="47"/>
        <v>Changed</v>
      </c>
      <c r="AW426" s="399"/>
      <c r="AX426" s="409" t="s">
        <v>3343</v>
      </c>
      <c r="AY426" s="399" t="e">
        <f t="shared" ca="1" si="63"/>
        <v>#NAME?</v>
      </c>
      <c r="AZ426" s="399"/>
      <c r="BA426" s="409">
        <v>1</v>
      </c>
      <c r="BB426" s="399"/>
      <c r="BC426" s="399"/>
      <c r="BD426" s="409" t="s">
        <v>3162</v>
      </c>
      <c r="BE426" s="411"/>
      <c r="BF426" s="411"/>
      <c r="BG426" s="434" t="s">
        <v>5834</v>
      </c>
      <c r="BH426" s="411"/>
      <c r="BI426" s="411"/>
      <c r="BJ426" s="399"/>
      <c r="BK426" s="399"/>
      <c r="BL426" s="399"/>
      <c r="BM426" s="399"/>
      <c r="BN426" s="399"/>
      <c r="BO426" s="399"/>
      <c r="BP426" s="399"/>
      <c r="BQ426" s="399"/>
      <c r="BR426" s="399"/>
      <c r="BS426" s="407"/>
      <c r="BT426" s="407"/>
      <c r="BU426" s="412"/>
      <c r="BV426" s="46" t="str">
        <f t="shared" si="8"/>
        <v/>
      </c>
      <c r="BW426" s="46">
        <f t="shared" si="9"/>
        <v>0</v>
      </c>
      <c r="BX426" s="46">
        <f t="shared" si="10"/>
        <v>0</v>
      </c>
      <c r="BY426" s="43" t="str">
        <f t="shared" si="11"/>
        <v>WHO-FP Condition (Medical Eligibility)</v>
      </c>
      <c r="BZ426" s="46">
        <f t="shared" si="12"/>
        <v>1</v>
      </c>
      <c r="CA426" s="46" t="str">
        <f t="shared" si="13"/>
        <v/>
      </c>
      <c r="CB426" s="46">
        <f t="shared" si="14"/>
        <v>1</v>
      </c>
      <c r="CC426" s="46">
        <f t="shared" si="15"/>
        <v>1</v>
      </c>
      <c r="CD426" s="46">
        <f t="shared" si="16"/>
        <v>1</v>
      </c>
      <c r="CE426" s="46">
        <f t="shared" si="17"/>
        <v>0</v>
      </c>
      <c r="CF426" s="46">
        <f t="shared" si="18"/>
        <v>0</v>
      </c>
      <c r="CG426" s="46" t="str">
        <f ca="1">IFERROR(__xludf.DUMMYFUNCTION("if(OR(BH426="""",LEFT(BH426,2)=""LA""),"""",IMPORTXML(CONCATENATE(""https://loinc.org/"",BH426,""/""),""//span[@id='lcn']""))"),"")</f>
        <v/>
      </c>
      <c r="CH426" s="46"/>
      <c r="CI426" s="46"/>
      <c r="CJ426" s="46"/>
      <c r="CK426" s="46"/>
      <c r="CL426" s="46"/>
      <c r="CM426" s="46"/>
      <c r="CN426" s="46"/>
      <c r="CO426" s="46"/>
      <c r="CP426" s="46"/>
      <c r="CQ426" s="46"/>
      <c r="CR426" s="46"/>
      <c r="CS426" s="46"/>
      <c r="CT426" s="46"/>
      <c r="CU426" s="46"/>
    </row>
    <row r="427" spans="1:99" ht="12.75" customHeight="1">
      <c r="A427" s="399">
        <v>1669</v>
      </c>
      <c r="B427" s="399" t="s">
        <v>5835</v>
      </c>
      <c r="C427" s="399">
        <f t="shared" si="42"/>
        <v>1669</v>
      </c>
      <c r="D427" s="399" t="e">
        <f t="shared" ca="1" si="62"/>
        <v>#NAME?</v>
      </c>
      <c r="E427" s="399" t="str">
        <f t="shared" si="44"/>
        <v>Intrascrotal mass</v>
      </c>
      <c r="F427" s="410" t="s">
        <v>180</v>
      </c>
      <c r="G427" s="400">
        <v>23</v>
      </c>
      <c r="H427" s="399" t="s">
        <v>4475</v>
      </c>
      <c r="I427" s="400"/>
      <c r="J427" s="400"/>
      <c r="K427" s="401" t="s">
        <v>3333</v>
      </c>
      <c r="L427" s="402" t="s">
        <v>3334</v>
      </c>
      <c r="M427" s="400"/>
      <c r="N427" s="427" t="s">
        <v>4417</v>
      </c>
      <c r="O427" s="428"/>
      <c r="P427" s="403" t="s">
        <v>5837</v>
      </c>
      <c r="Q427" s="403"/>
      <c r="R427" s="403"/>
      <c r="S427" s="403"/>
      <c r="T427" s="403"/>
      <c r="U427" s="407"/>
      <c r="V427" s="432" t="s">
        <v>5835</v>
      </c>
      <c r="W427" s="407"/>
      <c r="X427" s="403" t="s">
        <v>208</v>
      </c>
      <c r="Y427" s="403"/>
      <c r="Z427" s="403" t="s">
        <v>113</v>
      </c>
      <c r="AA427" s="403" t="s">
        <v>3178</v>
      </c>
      <c r="AB427" s="559" t="s">
        <v>4968</v>
      </c>
      <c r="AC427" s="421"/>
      <c r="AD427" s="436"/>
      <c r="AE427" s="420"/>
      <c r="AF427" s="407"/>
      <c r="AG427" s="407" t="s">
        <v>3851</v>
      </c>
      <c r="AH427" s="399"/>
      <c r="AI427" s="400"/>
      <c r="AJ427" s="399"/>
      <c r="AK427" s="440"/>
      <c r="AL427" s="403"/>
      <c r="AM427" s="403"/>
      <c r="AN427" s="403"/>
      <c r="AO427" s="399"/>
      <c r="AP427" s="409"/>
      <c r="AQ427" s="409" t="s">
        <v>3130</v>
      </c>
      <c r="AR427" s="409" t="s">
        <v>4478</v>
      </c>
      <c r="AS427" s="409"/>
      <c r="AT427" s="399"/>
      <c r="AU427" s="399" t="s">
        <v>5838</v>
      </c>
      <c r="AV427" s="399" t="str">
        <f t="shared" si="47"/>
        <v>Changed</v>
      </c>
      <c r="AW427" s="399"/>
      <c r="AX427" s="409" t="s">
        <v>3343</v>
      </c>
      <c r="AY427" s="399" t="e">
        <f t="shared" ca="1" si="63"/>
        <v>#NAME?</v>
      </c>
      <c r="AZ427" s="399"/>
      <c r="BA427" s="409">
        <v>1</v>
      </c>
      <c r="BB427" s="399"/>
      <c r="BC427" s="399"/>
      <c r="BD427" s="409" t="s">
        <v>3162</v>
      </c>
      <c r="BE427" s="411"/>
      <c r="BF427" s="411"/>
      <c r="BG427" s="434" t="s">
        <v>5841</v>
      </c>
      <c r="BH427" s="411"/>
      <c r="BI427" s="411"/>
      <c r="BJ427" s="399"/>
      <c r="BK427" s="399"/>
      <c r="BL427" s="399"/>
      <c r="BM427" s="399"/>
      <c r="BN427" s="399"/>
      <c r="BO427" s="399"/>
      <c r="BP427" s="399"/>
      <c r="BQ427" s="399"/>
      <c r="BR427" s="399"/>
      <c r="BS427" s="407"/>
      <c r="BT427" s="407"/>
      <c r="BU427" s="412"/>
      <c r="BV427" s="46" t="str">
        <f t="shared" si="8"/>
        <v/>
      </c>
      <c r="BW427" s="46">
        <f t="shared" si="9"/>
        <v>0</v>
      </c>
      <c r="BX427" s="46">
        <f t="shared" si="10"/>
        <v>0</v>
      </c>
      <c r="BY427" s="43" t="str">
        <f t="shared" si="11"/>
        <v>WHO-FP Condition (Medical Eligibility)</v>
      </c>
      <c r="BZ427" s="46">
        <f t="shared" si="12"/>
        <v>1</v>
      </c>
      <c r="CA427" s="46" t="str">
        <f t="shared" si="13"/>
        <v/>
      </c>
      <c r="CB427" s="46">
        <f t="shared" si="14"/>
        <v>1</v>
      </c>
      <c r="CC427" s="46">
        <f t="shared" si="15"/>
        <v>1</v>
      </c>
      <c r="CD427" s="46">
        <f t="shared" si="16"/>
        <v>1</v>
      </c>
      <c r="CE427" s="46">
        <f t="shared" si="17"/>
        <v>0</v>
      </c>
      <c r="CF427" s="46">
        <f t="shared" si="18"/>
        <v>0</v>
      </c>
      <c r="CG427" s="46" t="str">
        <f ca="1">IFERROR(__xludf.DUMMYFUNCTION("if(OR(BH427="""",LEFT(BH427,2)=""LA""),"""",IMPORTXML(CONCATENATE(""https://loinc.org/"",BH427,""/""),""//span[@id='lcn']""))"),"")</f>
        <v/>
      </c>
      <c r="CH427" s="46"/>
      <c r="CI427" s="46"/>
      <c r="CJ427" s="46"/>
      <c r="CK427" s="46"/>
      <c r="CL427" s="46"/>
      <c r="CM427" s="46"/>
      <c r="CN427" s="46"/>
      <c r="CO427" s="46"/>
      <c r="CP427" s="46"/>
      <c r="CQ427" s="46"/>
      <c r="CR427" s="46"/>
      <c r="CS427" s="46"/>
      <c r="CT427" s="46"/>
      <c r="CU427" s="46"/>
    </row>
    <row r="428" spans="1:99" ht="12.75" customHeight="1">
      <c r="A428" s="399">
        <v>1670</v>
      </c>
      <c r="B428" s="399" t="s">
        <v>5842</v>
      </c>
      <c r="C428" s="399">
        <f t="shared" si="42"/>
        <v>1670</v>
      </c>
      <c r="D428" s="399" t="e">
        <f t="shared" ca="1" si="62"/>
        <v>#NAME?</v>
      </c>
      <c r="E428" s="399" t="str">
        <f t="shared" si="44"/>
        <v>Cryptorchidism</v>
      </c>
      <c r="F428" s="410" t="s">
        <v>180</v>
      </c>
      <c r="G428" s="400">
        <v>23</v>
      </c>
      <c r="H428" s="399" t="s">
        <v>4475</v>
      </c>
      <c r="I428" s="400"/>
      <c r="J428" s="400"/>
      <c r="K428" s="401" t="s">
        <v>3333</v>
      </c>
      <c r="L428" s="402" t="s">
        <v>3334</v>
      </c>
      <c r="M428" s="400"/>
      <c r="N428" s="427" t="s">
        <v>4417</v>
      </c>
      <c r="O428" s="428"/>
      <c r="P428" s="403" t="s">
        <v>5843</v>
      </c>
      <c r="Q428" s="403"/>
      <c r="R428" s="403"/>
      <c r="S428" s="403"/>
      <c r="T428" s="403"/>
      <c r="U428" s="407"/>
      <c r="V428" s="432" t="s">
        <v>5842</v>
      </c>
      <c r="W428" s="407"/>
      <c r="X428" s="403" t="s">
        <v>208</v>
      </c>
      <c r="Y428" s="403"/>
      <c r="Z428" s="403" t="s">
        <v>113</v>
      </c>
      <c r="AA428" s="403" t="s">
        <v>3178</v>
      </c>
      <c r="AB428" s="559" t="s">
        <v>4968</v>
      </c>
      <c r="AC428" s="421"/>
      <c r="AD428" s="436"/>
      <c r="AE428" s="420"/>
      <c r="AF428" s="407"/>
      <c r="AG428" s="407" t="s">
        <v>3851</v>
      </c>
      <c r="AH428" s="399"/>
      <c r="AI428" s="400"/>
      <c r="AJ428" s="399"/>
      <c r="AK428" s="440"/>
      <c r="AL428" s="403"/>
      <c r="AM428" s="403"/>
      <c r="AN428" s="403"/>
      <c r="AO428" s="399"/>
      <c r="AP428" s="409"/>
      <c r="AQ428" s="409" t="s">
        <v>3130</v>
      </c>
      <c r="AR428" s="409" t="s">
        <v>4478</v>
      </c>
      <c r="AS428" s="409"/>
      <c r="AT428" s="399"/>
      <c r="AU428" s="399" t="s">
        <v>5845</v>
      </c>
      <c r="AV428" s="399" t="str">
        <f t="shared" si="47"/>
        <v>Changed</v>
      </c>
      <c r="AW428" s="399"/>
      <c r="AX428" s="409" t="s">
        <v>3343</v>
      </c>
      <c r="AY428" s="399" t="e">
        <f t="shared" ca="1" si="63"/>
        <v>#NAME?</v>
      </c>
      <c r="AZ428" s="399"/>
      <c r="BA428" s="409">
        <v>1</v>
      </c>
      <c r="BB428" s="399"/>
      <c r="BC428" s="399"/>
      <c r="BD428" s="409" t="s">
        <v>3162</v>
      </c>
      <c r="BE428" s="411"/>
      <c r="BF428" s="411"/>
      <c r="BG428" s="434" t="s">
        <v>5846</v>
      </c>
      <c r="BH428" s="411"/>
      <c r="BI428" s="411"/>
      <c r="BJ428" s="399"/>
      <c r="BK428" s="399"/>
      <c r="BL428" s="399"/>
      <c r="BM428" s="399"/>
      <c r="BN428" s="399"/>
      <c r="BO428" s="399"/>
      <c r="BP428" s="399"/>
      <c r="BQ428" s="399"/>
      <c r="BR428" s="399"/>
      <c r="BS428" s="407"/>
      <c r="BT428" s="407"/>
      <c r="BU428" s="412"/>
      <c r="BV428" s="46" t="str">
        <f t="shared" si="8"/>
        <v/>
      </c>
      <c r="BW428" s="46">
        <f t="shared" si="9"/>
        <v>0</v>
      </c>
      <c r="BX428" s="46">
        <f t="shared" si="10"/>
        <v>0</v>
      </c>
      <c r="BY428" s="43" t="str">
        <f t="shared" si="11"/>
        <v>WHO-FP Condition (Medical Eligibility)</v>
      </c>
      <c r="BZ428" s="46">
        <f t="shared" si="12"/>
        <v>1</v>
      </c>
      <c r="CA428" s="46" t="str">
        <f t="shared" si="13"/>
        <v/>
      </c>
      <c r="CB428" s="46">
        <f t="shared" si="14"/>
        <v>1</v>
      </c>
      <c r="CC428" s="46">
        <f t="shared" si="15"/>
        <v>1</v>
      </c>
      <c r="CD428" s="46">
        <f t="shared" si="16"/>
        <v>1</v>
      </c>
      <c r="CE428" s="46">
        <f t="shared" si="17"/>
        <v>0</v>
      </c>
      <c r="CF428" s="46">
        <f t="shared" si="18"/>
        <v>0</v>
      </c>
      <c r="CG428" s="46" t="str">
        <f ca="1">IFERROR(__xludf.DUMMYFUNCTION("if(OR(BH428="""",LEFT(BH428,2)=""LA""),"""",IMPORTXML(CONCATENATE(""https://loinc.org/"",BH428,""/""),""//span[@id='lcn']""))"),"")</f>
        <v/>
      </c>
      <c r="CH428" s="46"/>
      <c r="CI428" s="46"/>
      <c r="CJ428" s="46"/>
      <c r="CK428" s="46"/>
      <c r="CL428" s="46"/>
      <c r="CM428" s="46"/>
      <c r="CN428" s="46"/>
      <c r="CO428" s="46"/>
      <c r="CP428" s="46"/>
      <c r="CQ428" s="46"/>
      <c r="CR428" s="46"/>
      <c r="CS428" s="46"/>
      <c r="CT428" s="46"/>
      <c r="CU428" s="46"/>
    </row>
    <row r="429" spans="1:99" ht="12.75" customHeight="1">
      <c r="A429" s="399">
        <v>1671</v>
      </c>
      <c r="B429" s="399" t="s">
        <v>5847</v>
      </c>
      <c r="C429" s="399">
        <f t="shared" si="42"/>
        <v>1671</v>
      </c>
      <c r="D429" s="399" t="e">
        <f t="shared" ca="1" si="62"/>
        <v>#NAME?</v>
      </c>
      <c r="E429" s="399" t="str">
        <f t="shared" si="44"/>
        <v>Inguinal hernia</v>
      </c>
      <c r="F429" s="410" t="s">
        <v>180</v>
      </c>
      <c r="G429" s="400">
        <v>23</v>
      </c>
      <c r="H429" s="399" t="s">
        <v>4475</v>
      </c>
      <c r="I429" s="400"/>
      <c r="J429" s="400"/>
      <c r="K429" s="401" t="s">
        <v>3333</v>
      </c>
      <c r="L429" s="402" t="s">
        <v>3334</v>
      </c>
      <c r="M429" s="400"/>
      <c r="N429" s="427" t="s">
        <v>4417</v>
      </c>
      <c r="O429" s="428"/>
      <c r="P429" s="403" t="s">
        <v>5848</v>
      </c>
      <c r="Q429" s="403"/>
      <c r="R429" s="403"/>
      <c r="S429" s="403"/>
      <c r="T429" s="403"/>
      <c r="U429" s="407"/>
      <c r="V429" s="432" t="s">
        <v>5847</v>
      </c>
      <c r="W429" s="407"/>
      <c r="X429" s="403" t="s">
        <v>208</v>
      </c>
      <c r="Y429" s="403"/>
      <c r="Z429" s="403" t="s">
        <v>113</v>
      </c>
      <c r="AA429" s="403" t="s">
        <v>3178</v>
      </c>
      <c r="AB429" s="559" t="s">
        <v>4968</v>
      </c>
      <c r="AC429" s="421"/>
      <c r="AD429" s="436"/>
      <c r="AE429" s="420"/>
      <c r="AF429" s="407"/>
      <c r="AG429" s="407" t="s">
        <v>3851</v>
      </c>
      <c r="AH429" s="399"/>
      <c r="AI429" s="400"/>
      <c r="AJ429" s="399"/>
      <c r="AK429" s="440"/>
      <c r="AL429" s="403"/>
      <c r="AM429" s="403"/>
      <c r="AN429" s="403"/>
      <c r="AO429" s="399"/>
      <c r="AP429" s="409"/>
      <c r="AQ429" s="409" t="s">
        <v>3130</v>
      </c>
      <c r="AR429" s="409" t="s">
        <v>4478</v>
      </c>
      <c r="AS429" s="409"/>
      <c r="AT429" s="399"/>
      <c r="AU429" s="399" t="s">
        <v>5849</v>
      </c>
      <c r="AV429" s="399" t="str">
        <f t="shared" si="47"/>
        <v>Changed</v>
      </c>
      <c r="AW429" s="399"/>
      <c r="AX429" s="409" t="s">
        <v>3343</v>
      </c>
      <c r="AY429" s="399" t="e">
        <f t="shared" ca="1" si="63"/>
        <v>#NAME?</v>
      </c>
      <c r="AZ429" s="399"/>
      <c r="BA429" s="409">
        <v>1</v>
      </c>
      <c r="BB429" s="399"/>
      <c r="BC429" s="399"/>
      <c r="BD429" s="409" t="s">
        <v>3162</v>
      </c>
      <c r="BE429" s="411"/>
      <c r="BF429" s="411"/>
      <c r="BG429" s="434" t="s">
        <v>5850</v>
      </c>
      <c r="BH429" s="411"/>
      <c r="BI429" s="411"/>
      <c r="BJ429" s="399"/>
      <c r="BK429" s="399"/>
      <c r="BL429" s="399"/>
      <c r="BM429" s="399"/>
      <c r="BN429" s="399"/>
      <c r="BO429" s="399"/>
      <c r="BP429" s="399"/>
      <c r="BQ429" s="399"/>
      <c r="BR429" s="399"/>
      <c r="BS429" s="407"/>
      <c r="BT429" s="407"/>
      <c r="BU429" s="412"/>
      <c r="BV429" s="46" t="str">
        <f t="shared" si="8"/>
        <v/>
      </c>
      <c r="BW429" s="46">
        <f t="shared" si="9"/>
        <v>0</v>
      </c>
      <c r="BX429" s="46">
        <f t="shared" si="10"/>
        <v>0</v>
      </c>
      <c r="BY429" s="43" t="str">
        <f t="shared" si="11"/>
        <v>WHO-FP Condition (Medical Eligibility)</v>
      </c>
      <c r="BZ429" s="46">
        <f t="shared" si="12"/>
        <v>1</v>
      </c>
      <c r="CA429" s="46" t="str">
        <f t="shared" si="13"/>
        <v/>
      </c>
      <c r="CB429" s="46">
        <f t="shared" si="14"/>
        <v>1</v>
      </c>
      <c r="CC429" s="46">
        <f t="shared" si="15"/>
        <v>1</v>
      </c>
      <c r="CD429" s="46">
        <f t="shared" si="16"/>
        <v>1</v>
      </c>
      <c r="CE429" s="46">
        <f t="shared" si="17"/>
        <v>0</v>
      </c>
      <c r="CF429" s="46">
        <f t="shared" si="18"/>
        <v>0</v>
      </c>
      <c r="CG429" s="46" t="str">
        <f ca="1">IFERROR(__xludf.DUMMYFUNCTION("if(OR(BH429="""",LEFT(BH429,2)=""LA""),"""",IMPORTXML(CONCATENATE(""https://loinc.org/"",BH429,""/""),""//span[@id='lcn']""))"),"")</f>
        <v/>
      </c>
      <c r="CH429" s="46"/>
      <c r="CI429" s="46"/>
      <c r="CJ429" s="46"/>
      <c r="CK429" s="46"/>
      <c r="CL429" s="46"/>
      <c r="CM429" s="46"/>
      <c r="CN429" s="46"/>
      <c r="CO429" s="46"/>
      <c r="CP429" s="46"/>
      <c r="CQ429" s="46"/>
      <c r="CR429" s="46"/>
      <c r="CS429" s="46"/>
      <c r="CT429" s="46"/>
      <c r="CU429" s="46"/>
    </row>
    <row r="430" spans="1:99" ht="12.75" customHeight="1">
      <c r="A430" s="399">
        <v>1672</v>
      </c>
      <c r="B430" s="399" t="s">
        <v>5853</v>
      </c>
      <c r="C430" s="399">
        <f t="shared" si="42"/>
        <v>1672</v>
      </c>
      <c r="D430" s="399" t="e">
        <f t="shared" ca="1" si="62"/>
        <v>#NAME?</v>
      </c>
      <c r="E430" s="399" t="str">
        <f t="shared" si="44"/>
        <v>Scrotal skin infection</v>
      </c>
      <c r="F430" s="410" t="s">
        <v>180</v>
      </c>
      <c r="G430" s="400">
        <v>23</v>
      </c>
      <c r="H430" s="399" t="s">
        <v>4475</v>
      </c>
      <c r="I430" s="400"/>
      <c r="J430" s="400"/>
      <c r="K430" s="401" t="s">
        <v>3333</v>
      </c>
      <c r="L430" s="402" t="s">
        <v>3334</v>
      </c>
      <c r="M430" s="400"/>
      <c r="N430" s="427" t="s">
        <v>4417</v>
      </c>
      <c r="O430" s="428"/>
      <c r="P430" s="403" t="s">
        <v>5854</v>
      </c>
      <c r="Q430" s="403"/>
      <c r="R430" s="403"/>
      <c r="S430" s="403"/>
      <c r="T430" s="403"/>
      <c r="U430" s="407"/>
      <c r="V430" s="432" t="s">
        <v>5853</v>
      </c>
      <c r="W430" s="407"/>
      <c r="X430" s="403" t="s">
        <v>208</v>
      </c>
      <c r="Y430" s="403"/>
      <c r="Z430" s="403" t="s">
        <v>113</v>
      </c>
      <c r="AA430" s="403" t="s">
        <v>3178</v>
      </c>
      <c r="AB430" s="559" t="s">
        <v>4968</v>
      </c>
      <c r="AC430" s="421"/>
      <c r="AD430" s="436"/>
      <c r="AE430" s="420"/>
      <c r="AF430" s="407"/>
      <c r="AG430" s="407" t="s">
        <v>3851</v>
      </c>
      <c r="AH430" s="399"/>
      <c r="AI430" s="400"/>
      <c r="AJ430" s="399"/>
      <c r="AK430" s="440"/>
      <c r="AL430" s="403"/>
      <c r="AM430" s="403"/>
      <c r="AN430" s="403"/>
      <c r="AO430" s="399"/>
      <c r="AP430" s="409"/>
      <c r="AQ430" s="409" t="s">
        <v>3130</v>
      </c>
      <c r="AR430" s="409" t="s">
        <v>4478</v>
      </c>
      <c r="AS430" s="409"/>
      <c r="AT430" s="399"/>
      <c r="AU430" s="399" t="s">
        <v>5855</v>
      </c>
      <c r="AV430" s="399" t="str">
        <f t="shared" si="47"/>
        <v>Changed</v>
      </c>
      <c r="AW430" s="399"/>
      <c r="AX430" s="409" t="s">
        <v>3343</v>
      </c>
      <c r="AY430" s="399" t="e">
        <f t="shared" ca="1" si="63"/>
        <v>#NAME?</v>
      </c>
      <c r="AZ430" s="399"/>
      <c r="BA430" s="409">
        <v>1</v>
      </c>
      <c r="BB430" s="399"/>
      <c r="BC430" s="399"/>
      <c r="BD430" s="409" t="s">
        <v>3162</v>
      </c>
      <c r="BE430" s="411"/>
      <c r="BF430" s="411"/>
      <c r="BG430" s="434" t="s">
        <v>5856</v>
      </c>
      <c r="BH430" s="411"/>
      <c r="BI430" s="411"/>
      <c r="BJ430" s="399"/>
      <c r="BK430" s="409"/>
      <c r="BL430" s="409"/>
      <c r="BM430" s="409" t="s">
        <v>5857</v>
      </c>
      <c r="BN430" s="399"/>
      <c r="BO430" s="399"/>
      <c r="BP430" s="399"/>
      <c r="BQ430" s="399"/>
      <c r="BR430" s="399"/>
      <c r="BS430" s="407"/>
      <c r="BT430" s="407"/>
      <c r="BU430" s="412"/>
      <c r="BV430" s="46" t="str">
        <f t="shared" si="8"/>
        <v/>
      </c>
      <c r="BW430" s="46">
        <f t="shared" si="9"/>
        <v>0</v>
      </c>
      <c r="BX430" s="46">
        <f t="shared" si="10"/>
        <v>0</v>
      </c>
      <c r="BY430" s="43" t="str">
        <f t="shared" si="11"/>
        <v>WHO-FP Condition (Medical Eligibility)</v>
      </c>
      <c r="BZ430" s="46">
        <f t="shared" si="12"/>
        <v>1</v>
      </c>
      <c r="CA430" s="46" t="str">
        <f t="shared" si="13"/>
        <v/>
      </c>
      <c r="CB430" s="46">
        <f t="shared" si="14"/>
        <v>1</v>
      </c>
      <c r="CC430" s="46">
        <f t="shared" si="15"/>
        <v>1</v>
      </c>
      <c r="CD430" s="46">
        <f t="shared" si="16"/>
        <v>1</v>
      </c>
      <c r="CE430" s="46">
        <f t="shared" si="17"/>
        <v>0</v>
      </c>
      <c r="CF430" s="46">
        <f t="shared" si="18"/>
        <v>0</v>
      </c>
      <c r="CG430" s="46" t="str">
        <f ca="1">IFERROR(__xludf.DUMMYFUNCTION("if(OR(BH430="""",LEFT(BH430,2)=""LA""),"""",IMPORTXML(CONCATENATE(""https://loinc.org/"",BH430,""/""),""//span[@id='lcn']""))"),"")</f>
        <v/>
      </c>
      <c r="CH430" s="46"/>
      <c r="CI430" s="46"/>
      <c r="CJ430" s="46"/>
      <c r="CK430" s="46"/>
      <c r="CL430" s="46"/>
      <c r="CM430" s="46"/>
      <c r="CN430" s="46"/>
      <c r="CO430" s="46"/>
      <c r="CP430" s="46"/>
      <c r="CQ430" s="46"/>
      <c r="CR430" s="46"/>
      <c r="CS430" s="46"/>
      <c r="CT430" s="46"/>
      <c r="CU430" s="46"/>
    </row>
    <row r="431" spans="1:99" ht="12.75" customHeight="1">
      <c r="A431" s="399">
        <v>1673</v>
      </c>
      <c r="B431" s="399" t="s">
        <v>5858</v>
      </c>
      <c r="C431" s="399">
        <f t="shared" si="42"/>
        <v>1673</v>
      </c>
      <c r="D431" s="399" t="e">
        <f t="shared" ca="1" si="62"/>
        <v>#NAME?</v>
      </c>
      <c r="E431" s="399" t="str">
        <f t="shared" si="44"/>
        <v>Balanitis</v>
      </c>
      <c r="F431" s="410" t="s">
        <v>180</v>
      </c>
      <c r="G431" s="400">
        <v>23</v>
      </c>
      <c r="H431" s="399" t="s">
        <v>4475</v>
      </c>
      <c r="I431" s="400"/>
      <c r="J431" s="400"/>
      <c r="K431" s="401" t="s">
        <v>3333</v>
      </c>
      <c r="L431" s="402" t="s">
        <v>3334</v>
      </c>
      <c r="M431" s="400"/>
      <c r="N431" s="427" t="s">
        <v>4417</v>
      </c>
      <c r="O431" s="428"/>
      <c r="P431" s="403" t="s">
        <v>5861</v>
      </c>
      <c r="Q431" s="403"/>
      <c r="R431" s="403"/>
      <c r="S431" s="403"/>
      <c r="T431" s="403"/>
      <c r="U431" s="407"/>
      <c r="V431" s="407" t="s">
        <v>5858</v>
      </c>
      <c r="W431" s="407"/>
      <c r="X431" s="403" t="s">
        <v>208</v>
      </c>
      <c r="Y431" s="403"/>
      <c r="Z431" s="403" t="s">
        <v>113</v>
      </c>
      <c r="AA431" s="403" t="s">
        <v>3178</v>
      </c>
      <c r="AB431" s="559" t="s">
        <v>4968</v>
      </c>
      <c r="AC431" s="421"/>
      <c r="AD431" s="436"/>
      <c r="AE431" s="420"/>
      <c r="AF431" s="407"/>
      <c r="AG431" s="407" t="s">
        <v>3851</v>
      </c>
      <c r="AH431" s="399"/>
      <c r="AI431" s="400"/>
      <c r="AJ431" s="399"/>
      <c r="AK431" s="440"/>
      <c r="AL431" s="403"/>
      <c r="AM431" s="403"/>
      <c r="AN431" s="403"/>
      <c r="AO431" s="399"/>
      <c r="AP431" s="409"/>
      <c r="AQ431" s="409" t="s">
        <v>3130</v>
      </c>
      <c r="AR431" s="409" t="s">
        <v>4478</v>
      </c>
      <c r="AS431" s="409"/>
      <c r="AT431" s="399"/>
      <c r="AU431" s="399" t="s">
        <v>5862</v>
      </c>
      <c r="AV431" s="399" t="str">
        <f t="shared" si="47"/>
        <v>Changed</v>
      </c>
      <c r="AW431" s="399"/>
      <c r="AX431" s="409" t="s">
        <v>3343</v>
      </c>
      <c r="AY431" s="399" t="e">
        <f t="shared" ca="1" si="63"/>
        <v>#NAME?</v>
      </c>
      <c r="AZ431" s="399"/>
      <c r="BA431" s="409">
        <v>1</v>
      </c>
      <c r="BB431" s="399"/>
      <c r="BC431" s="399"/>
      <c r="BD431" s="409" t="s">
        <v>3162</v>
      </c>
      <c r="BE431" s="411"/>
      <c r="BF431" s="411"/>
      <c r="BG431" s="434" t="s">
        <v>5863</v>
      </c>
      <c r="BH431" s="411"/>
      <c r="BI431" s="411"/>
      <c r="BJ431" s="399"/>
      <c r="BK431" s="399"/>
      <c r="BL431" s="399"/>
      <c r="BM431" s="399"/>
      <c r="BN431" s="399"/>
      <c r="BO431" s="399"/>
      <c r="BP431" s="399"/>
      <c r="BQ431" s="399"/>
      <c r="BR431" s="399"/>
      <c r="BS431" s="407"/>
      <c r="BT431" s="407"/>
      <c r="BU431" s="412"/>
      <c r="BV431" s="46" t="str">
        <f t="shared" si="8"/>
        <v/>
      </c>
      <c r="BW431" s="46">
        <f t="shared" si="9"/>
        <v>0</v>
      </c>
      <c r="BX431" s="46">
        <f t="shared" si="10"/>
        <v>0</v>
      </c>
      <c r="BY431" s="43" t="str">
        <f t="shared" si="11"/>
        <v>WHO-FP Condition (Medical Eligibility)</v>
      </c>
      <c r="BZ431" s="46">
        <f t="shared" si="12"/>
        <v>1</v>
      </c>
      <c r="CA431" s="46" t="str">
        <f t="shared" si="13"/>
        <v/>
      </c>
      <c r="CB431" s="46">
        <f t="shared" si="14"/>
        <v>1</v>
      </c>
      <c r="CC431" s="46">
        <f t="shared" si="15"/>
        <v>1</v>
      </c>
      <c r="CD431" s="46">
        <f t="shared" si="16"/>
        <v>1</v>
      </c>
      <c r="CE431" s="46">
        <f t="shared" si="17"/>
        <v>0</v>
      </c>
      <c r="CF431" s="46">
        <f t="shared" si="18"/>
        <v>0</v>
      </c>
      <c r="CG431" s="46" t="str">
        <f ca="1">IFERROR(__xludf.DUMMYFUNCTION("if(OR(BH431="""",LEFT(BH431,2)=""LA""),"""",IMPORTXML(CONCATENATE(""https://loinc.org/"",BH431,""/""),""//span[@id='lcn']""))"),"")</f>
        <v/>
      </c>
      <c r="CH431" s="46"/>
      <c r="CI431" s="46"/>
      <c r="CJ431" s="46"/>
      <c r="CK431" s="46"/>
      <c r="CL431" s="46"/>
      <c r="CM431" s="46"/>
      <c r="CN431" s="46"/>
      <c r="CO431" s="46"/>
      <c r="CP431" s="46"/>
      <c r="CQ431" s="46"/>
      <c r="CR431" s="46"/>
      <c r="CS431" s="46"/>
      <c r="CT431" s="46"/>
      <c r="CU431" s="46"/>
    </row>
    <row r="432" spans="1:99" ht="12.75" customHeight="1">
      <c r="A432" s="399">
        <v>1674</v>
      </c>
      <c r="B432" s="399" t="s">
        <v>5864</v>
      </c>
      <c r="C432" s="399">
        <f t="shared" si="42"/>
        <v>1674</v>
      </c>
      <c r="D432" s="399" t="e">
        <f t="shared" ca="1" si="62"/>
        <v>#NAME?</v>
      </c>
      <c r="E432" s="399" t="str">
        <f t="shared" si="44"/>
        <v>Epididymitis</v>
      </c>
      <c r="F432" s="410" t="s">
        <v>180</v>
      </c>
      <c r="G432" s="400">
        <v>23</v>
      </c>
      <c r="H432" s="399" t="s">
        <v>4475</v>
      </c>
      <c r="I432" s="400"/>
      <c r="J432" s="400"/>
      <c r="K432" s="401" t="s">
        <v>3333</v>
      </c>
      <c r="L432" s="402" t="s">
        <v>3334</v>
      </c>
      <c r="M432" s="400"/>
      <c r="N432" s="427" t="s">
        <v>4417</v>
      </c>
      <c r="O432" s="428"/>
      <c r="P432" s="403" t="s">
        <v>5865</v>
      </c>
      <c r="Q432" s="403"/>
      <c r="R432" s="403"/>
      <c r="S432" s="403"/>
      <c r="T432" s="403"/>
      <c r="U432" s="407"/>
      <c r="V432" s="407" t="s">
        <v>5864</v>
      </c>
      <c r="W432" s="407"/>
      <c r="X432" s="403" t="s">
        <v>208</v>
      </c>
      <c r="Y432" s="403"/>
      <c r="Z432" s="403" t="s">
        <v>113</v>
      </c>
      <c r="AA432" s="403" t="s">
        <v>3178</v>
      </c>
      <c r="AB432" s="559" t="s">
        <v>4968</v>
      </c>
      <c r="AC432" s="421"/>
      <c r="AD432" s="436"/>
      <c r="AE432" s="420"/>
      <c r="AF432" s="407"/>
      <c r="AG432" s="407" t="s">
        <v>3851</v>
      </c>
      <c r="AH432" s="399"/>
      <c r="AI432" s="400"/>
      <c r="AJ432" s="399"/>
      <c r="AK432" s="440"/>
      <c r="AL432" s="403"/>
      <c r="AM432" s="403"/>
      <c r="AN432" s="403"/>
      <c r="AO432" s="399"/>
      <c r="AP432" s="409"/>
      <c r="AQ432" s="409" t="s">
        <v>3130</v>
      </c>
      <c r="AR432" s="409" t="s">
        <v>4478</v>
      </c>
      <c r="AS432" s="409"/>
      <c r="AT432" s="399"/>
      <c r="AU432" s="399" t="s">
        <v>5866</v>
      </c>
      <c r="AV432" s="399" t="str">
        <f t="shared" si="47"/>
        <v>Changed</v>
      </c>
      <c r="AW432" s="399"/>
      <c r="AX432" s="409" t="s">
        <v>3343</v>
      </c>
      <c r="AY432" s="399" t="e">
        <f t="shared" ca="1" si="63"/>
        <v>#NAME?</v>
      </c>
      <c r="AZ432" s="399"/>
      <c r="BA432" s="409">
        <v>1</v>
      </c>
      <c r="BB432" s="399"/>
      <c r="BC432" s="399"/>
      <c r="BD432" s="409" t="s">
        <v>3162</v>
      </c>
      <c r="BE432" s="411" t="s">
        <v>5867</v>
      </c>
      <c r="BF432" s="411"/>
      <c r="BG432" s="434" t="s">
        <v>5868</v>
      </c>
      <c r="BH432" s="411"/>
      <c r="BI432" s="411"/>
      <c r="BJ432" s="399"/>
      <c r="BK432" s="399"/>
      <c r="BL432" s="399"/>
      <c r="BM432" s="399"/>
      <c r="BN432" s="399"/>
      <c r="BO432" s="399"/>
      <c r="BP432" s="399"/>
      <c r="BQ432" s="399"/>
      <c r="BR432" s="399"/>
      <c r="BS432" s="407"/>
      <c r="BT432" s="407"/>
      <c r="BU432" s="412"/>
      <c r="BV432" s="46" t="str">
        <f t="shared" si="8"/>
        <v/>
      </c>
      <c r="BW432" s="46">
        <f t="shared" si="9"/>
        <v>0</v>
      </c>
      <c r="BX432" s="46">
        <f t="shared" si="10"/>
        <v>0</v>
      </c>
      <c r="BY432" s="43" t="str">
        <f t="shared" si="11"/>
        <v>WHO-FP Condition (Medical Eligibility)</v>
      </c>
      <c r="BZ432" s="46">
        <f t="shared" si="12"/>
        <v>1</v>
      </c>
      <c r="CA432" s="46" t="str">
        <f t="shared" si="13"/>
        <v/>
      </c>
      <c r="CB432" s="46">
        <f t="shared" si="14"/>
        <v>1</v>
      </c>
      <c r="CC432" s="46">
        <f t="shared" si="15"/>
        <v>1</v>
      </c>
      <c r="CD432" s="46">
        <f t="shared" si="16"/>
        <v>1</v>
      </c>
      <c r="CE432" s="46">
        <f t="shared" si="17"/>
        <v>0</v>
      </c>
      <c r="CF432" s="46">
        <f t="shared" si="18"/>
        <v>0</v>
      </c>
      <c r="CG432" s="46" t="str">
        <f ca="1">IFERROR(__xludf.DUMMYFUNCTION("if(OR(BH432="""",LEFT(BH432,2)=""LA""),"""",IMPORTXML(CONCATENATE(""https://loinc.org/"",BH432,""/""),""//span[@id='lcn']""))"),"")</f>
        <v/>
      </c>
      <c r="CH432" s="46"/>
      <c r="CI432" s="46"/>
      <c r="CJ432" s="46"/>
      <c r="CK432" s="46"/>
      <c r="CL432" s="46"/>
      <c r="CM432" s="46"/>
      <c r="CN432" s="46"/>
      <c r="CO432" s="46"/>
      <c r="CP432" s="46"/>
      <c r="CQ432" s="46"/>
      <c r="CR432" s="46"/>
      <c r="CS432" s="46"/>
      <c r="CT432" s="46"/>
      <c r="CU432" s="46"/>
    </row>
    <row r="433" spans="1:99" ht="12.75" customHeight="1">
      <c r="A433" s="399">
        <v>1675</v>
      </c>
      <c r="B433" s="399" t="s">
        <v>5869</v>
      </c>
      <c r="C433" s="399">
        <f t="shared" si="42"/>
        <v>1675</v>
      </c>
      <c r="D433" s="399" t="e">
        <f t="shared" ca="1" si="62"/>
        <v>#NAME?</v>
      </c>
      <c r="E433" s="399" t="str">
        <f t="shared" si="44"/>
        <v>Orchitis</v>
      </c>
      <c r="F433" s="410" t="s">
        <v>180</v>
      </c>
      <c r="G433" s="400">
        <v>23</v>
      </c>
      <c r="H433" s="399" t="s">
        <v>4475</v>
      </c>
      <c r="I433" s="400"/>
      <c r="J433" s="400"/>
      <c r="K433" s="401" t="s">
        <v>3333</v>
      </c>
      <c r="L433" s="402" t="s">
        <v>3334</v>
      </c>
      <c r="M433" s="400"/>
      <c r="N433" s="427" t="s">
        <v>4417</v>
      </c>
      <c r="O433" s="428"/>
      <c r="P433" s="403" t="s">
        <v>5870</v>
      </c>
      <c r="Q433" s="403"/>
      <c r="R433" s="403"/>
      <c r="S433" s="403"/>
      <c r="T433" s="403"/>
      <c r="U433" s="407"/>
      <c r="V433" s="407" t="s">
        <v>5869</v>
      </c>
      <c r="W433" s="407"/>
      <c r="X433" s="403" t="s">
        <v>208</v>
      </c>
      <c r="Y433" s="403"/>
      <c r="Z433" s="403" t="s">
        <v>113</v>
      </c>
      <c r="AA433" s="403" t="s">
        <v>3178</v>
      </c>
      <c r="AB433" s="559" t="s">
        <v>4968</v>
      </c>
      <c r="AC433" s="421"/>
      <c r="AD433" s="436"/>
      <c r="AE433" s="420"/>
      <c r="AF433" s="407"/>
      <c r="AG433" s="407" t="s">
        <v>3851</v>
      </c>
      <c r="AH433" s="399"/>
      <c r="AI433" s="400"/>
      <c r="AJ433" s="399"/>
      <c r="AK433" s="440"/>
      <c r="AL433" s="403"/>
      <c r="AM433" s="403"/>
      <c r="AN433" s="403"/>
      <c r="AO433" s="399"/>
      <c r="AP433" s="409"/>
      <c r="AQ433" s="409" t="s">
        <v>3130</v>
      </c>
      <c r="AR433" s="409" t="s">
        <v>4478</v>
      </c>
      <c r="AS433" s="409"/>
      <c r="AT433" s="399"/>
      <c r="AU433" s="399" t="s">
        <v>5872</v>
      </c>
      <c r="AV433" s="399" t="str">
        <f t="shared" si="47"/>
        <v>Changed</v>
      </c>
      <c r="AW433" s="399"/>
      <c r="AX433" s="409" t="s">
        <v>3343</v>
      </c>
      <c r="AY433" s="399" t="e">
        <f t="shared" ca="1" si="63"/>
        <v>#NAME?</v>
      </c>
      <c r="AZ433" s="399"/>
      <c r="BA433" s="409">
        <v>1</v>
      </c>
      <c r="BB433" s="399"/>
      <c r="BC433" s="399"/>
      <c r="BD433" s="409" t="s">
        <v>5874</v>
      </c>
      <c r="BE433" s="411" t="s">
        <v>5875</v>
      </c>
      <c r="BF433" s="411"/>
      <c r="BG433" s="434" t="s">
        <v>5876</v>
      </c>
      <c r="BH433" s="411"/>
      <c r="BI433" s="411"/>
      <c r="BJ433" s="399"/>
      <c r="BK433" s="399"/>
      <c r="BL433" s="399"/>
      <c r="BM433" s="399"/>
      <c r="BN433" s="399"/>
      <c r="BO433" s="399"/>
      <c r="BP433" s="399"/>
      <c r="BQ433" s="399"/>
      <c r="BR433" s="399"/>
      <c r="BS433" s="407"/>
      <c r="BT433" s="407"/>
      <c r="BU433" s="412"/>
      <c r="BV433" s="46" t="str">
        <f t="shared" si="8"/>
        <v/>
      </c>
      <c r="BW433" s="46">
        <f t="shared" si="9"/>
        <v>0</v>
      </c>
      <c r="BX433" s="46">
        <f t="shared" si="10"/>
        <v>0</v>
      </c>
      <c r="BY433" s="43" t="str">
        <f t="shared" si="11"/>
        <v>WHO-FP Condition (Medical Eligibility)</v>
      </c>
      <c r="BZ433" s="46">
        <f t="shared" si="12"/>
        <v>1</v>
      </c>
      <c r="CA433" s="46" t="str">
        <f t="shared" si="13"/>
        <v/>
      </c>
      <c r="CB433" s="46">
        <f t="shared" si="14"/>
        <v>1</v>
      </c>
      <c r="CC433" s="46">
        <f t="shared" si="15"/>
        <v>1</v>
      </c>
      <c r="CD433" s="46">
        <f t="shared" si="16"/>
        <v>1</v>
      </c>
      <c r="CE433" s="46">
        <f t="shared" si="17"/>
        <v>0</v>
      </c>
      <c r="CF433" s="46">
        <f t="shared" si="18"/>
        <v>0</v>
      </c>
      <c r="CG433" s="46" t="str">
        <f ca="1">IFERROR(__xludf.DUMMYFUNCTION("if(OR(BH433="""",LEFT(BH433,2)=""LA""),"""",IMPORTXML(CONCATENATE(""https://loinc.org/"",BH433,""/""),""//span[@id='lcn']""))"),"")</f>
        <v/>
      </c>
      <c r="CH433" s="46"/>
      <c r="CI433" s="46"/>
      <c r="CJ433" s="46"/>
      <c r="CK433" s="46"/>
      <c r="CL433" s="46"/>
      <c r="CM433" s="46"/>
      <c r="CN433" s="46"/>
      <c r="CO433" s="46"/>
      <c r="CP433" s="46"/>
      <c r="CQ433" s="46"/>
      <c r="CR433" s="46"/>
      <c r="CS433" s="46"/>
      <c r="CT433" s="46"/>
      <c r="CU433" s="46"/>
    </row>
    <row r="434" spans="1:99" ht="12.75" customHeight="1">
      <c r="A434" s="399">
        <v>1431</v>
      </c>
      <c r="B434" s="399" t="s">
        <v>5475</v>
      </c>
      <c r="C434" s="399">
        <f t="shared" si="42"/>
        <v>1431</v>
      </c>
      <c r="D434" s="399" t="str">
        <f t="shared" si="62"/>
        <v>Physical Examination</v>
      </c>
      <c r="E434" s="399" t="str">
        <f t="shared" si="44"/>
        <v>Physical Examination</v>
      </c>
      <c r="F434" s="409" t="s">
        <v>3164</v>
      </c>
      <c r="G434" s="400">
        <f t="shared" ref="G434:G441" si="74">LEN(B434)</f>
        <v>20</v>
      </c>
      <c r="H434" s="400" t="str">
        <f t="shared" ref="H434:H441" si="75">IF(F434="Input Option",IF(H433="",B433,H433),"")</f>
        <v/>
      </c>
      <c r="I434" s="400"/>
      <c r="J434" s="400"/>
      <c r="K434" s="401" t="s">
        <v>3333</v>
      </c>
      <c r="L434" s="402" t="s">
        <v>4485</v>
      </c>
      <c r="M434" s="400"/>
      <c r="N434" s="427" t="s">
        <v>4417</v>
      </c>
      <c r="O434" s="428"/>
      <c r="P434" s="403" t="s">
        <v>5477</v>
      </c>
      <c r="Q434" s="405" t="s">
        <v>5475</v>
      </c>
      <c r="R434" s="403"/>
      <c r="S434" s="403" t="s">
        <v>5478</v>
      </c>
      <c r="T434" s="403" t="s">
        <v>3169</v>
      </c>
      <c r="U434" s="407"/>
      <c r="V434" s="407" t="s">
        <v>3170</v>
      </c>
      <c r="W434" s="407"/>
      <c r="X434" s="403" t="s">
        <v>208</v>
      </c>
      <c r="Y434" s="403"/>
      <c r="Z434" s="403" t="s">
        <v>113</v>
      </c>
      <c r="AA434" s="403" t="s">
        <v>3178</v>
      </c>
      <c r="AB434" s="432" t="s">
        <v>5479</v>
      </c>
      <c r="AC434" s="421"/>
      <c r="AD434" s="436"/>
      <c r="AE434" s="420"/>
      <c r="AF434" s="421"/>
      <c r="AG434" s="407"/>
      <c r="AH434" s="399"/>
      <c r="AI434" s="400"/>
      <c r="AJ434" s="399"/>
      <c r="AK434" s="399"/>
      <c r="AL434" s="403"/>
      <c r="AM434" s="403"/>
      <c r="AN434" s="403"/>
      <c r="AO434" s="399"/>
      <c r="AP434" s="399"/>
      <c r="AQ434" s="409" t="s">
        <v>115</v>
      </c>
      <c r="AR434" s="399"/>
      <c r="AS434" s="399"/>
      <c r="AT434" s="399"/>
      <c r="AU434" s="399" t="s">
        <v>5475</v>
      </c>
      <c r="AV434" s="399" t="str">
        <f t="shared" si="47"/>
        <v>Same</v>
      </c>
      <c r="AW434" s="399"/>
      <c r="AX434" s="409" t="s">
        <v>3343</v>
      </c>
      <c r="AY434" s="399" t="str">
        <f t="shared" si="63"/>
        <v/>
      </c>
      <c r="AZ434" s="399"/>
      <c r="BA434" s="409">
        <v>0</v>
      </c>
      <c r="BB434" s="399"/>
      <c r="BC434" s="399"/>
      <c r="BD434" s="399"/>
      <c r="BE434" s="411"/>
      <c r="BF434" s="411"/>
      <c r="BG434" s="411"/>
      <c r="BH434" s="411"/>
      <c r="BI434" s="411"/>
      <c r="BJ434" s="409" t="s">
        <v>3106</v>
      </c>
      <c r="BK434" s="399"/>
      <c r="BL434" s="399"/>
      <c r="BM434" s="399"/>
      <c r="BN434" s="399"/>
      <c r="BO434" s="399"/>
      <c r="BP434" s="399"/>
      <c r="BQ434" s="399"/>
      <c r="BR434" s="399"/>
      <c r="BS434" s="407"/>
      <c r="BT434" s="407"/>
      <c r="BU434" s="412"/>
      <c r="BV434" s="46" t="str">
        <f t="shared" si="8"/>
        <v/>
      </c>
      <c r="BW434" s="46" t="str">
        <f t="shared" si="9"/>
        <v/>
      </c>
      <c r="BX434" s="46" t="str">
        <f t="shared" si="10"/>
        <v/>
      </c>
      <c r="BY434" s="43" t="str">
        <f t="shared" si="11"/>
        <v/>
      </c>
      <c r="BZ434" s="46">
        <f t="shared" si="12"/>
        <v>1</v>
      </c>
      <c r="CA434" s="46" t="str">
        <f t="shared" si="13"/>
        <v/>
      </c>
      <c r="CB434" s="46">
        <f t="shared" si="14"/>
        <v>1</v>
      </c>
      <c r="CC434" s="46">
        <f t="shared" si="15"/>
        <v>1</v>
      </c>
      <c r="CD434" s="46">
        <f t="shared" si="16"/>
        <v>1</v>
      </c>
      <c r="CE434" s="46">
        <f t="shared" si="17"/>
        <v>0</v>
      </c>
      <c r="CF434" s="46">
        <f t="shared" si="18"/>
        <v>0</v>
      </c>
      <c r="CG434" s="46" t="str">
        <f ca="1">IFERROR(__xludf.DUMMYFUNCTION("if(OR(BH434="""",LEFT(BH434,2)=""LA""),"""",IMPORTXML(CONCATENATE(""https://loinc.org/"",BH434,""/""),""//span[@id='lcn']""))"),"")</f>
        <v/>
      </c>
      <c r="CH434" s="46"/>
      <c r="CI434" s="46"/>
      <c r="CJ434" s="46"/>
      <c r="CK434" s="46"/>
      <c r="CL434" s="46"/>
      <c r="CM434" s="46"/>
      <c r="CN434" s="46"/>
      <c r="CO434" s="46"/>
      <c r="CP434" s="46"/>
      <c r="CQ434" s="46"/>
      <c r="CR434" s="46"/>
      <c r="CS434" s="46"/>
      <c r="CT434" s="46"/>
      <c r="CU434" s="46"/>
    </row>
    <row r="435" spans="1:99" ht="12.75" customHeight="1">
      <c r="A435" s="409">
        <v>1868</v>
      </c>
      <c r="B435" s="399" t="s">
        <v>5484</v>
      </c>
      <c r="C435" s="399">
        <f t="shared" si="42"/>
        <v>1868</v>
      </c>
      <c r="D435" s="399" t="str">
        <f t="shared" si="62"/>
        <v>Routine laboratory tests</v>
      </c>
      <c r="E435" s="399" t="str">
        <f t="shared" si="44"/>
        <v>Routine laboratory tests</v>
      </c>
      <c r="F435" s="399" t="s">
        <v>96</v>
      </c>
      <c r="G435" s="400">
        <f t="shared" si="74"/>
        <v>24</v>
      </c>
      <c r="H435" s="400" t="str">
        <f t="shared" si="75"/>
        <v/>
      </c>
      <c r="I435" s="400"/>
      <c r="J435" s="400"/>
      <c r="K435" s="401" t="s">
        <v>3333</v>
      </c>
      <c r="L435" s="402" t="s">
        <v>4081</v>
      </c>
      <c r="M435" s="400"/>
      <c r="N435" s="427" t="s">
        <v>4417</v>
      </c>
      <c r="O435" s="428"/>
      <c r="P435" s="405" t="s">
        <v>5485</v>
      </c>
      <c r="Q435" s="405" t="s">
        <v>5484</v>
      </c>
      <c r="R435" s="403"/>
      <c r="S435" s="403"/>
      <c r="T435" s="403"/>
      <c r="U435" s="407"/>
      <c r="V435" s="407"/>
      <c r="W435" s="407"/>
      <c r="X435" s="403"/>
      <c r="Y435" s="403"/>
      <c r="Z435" s="403" t="s">
        <v>113</v>
      </c>
      <c r="AA435" s="403" t="s">
        <v>3178</v>
      </c>
      <c r="AB435" s="432" t="s">
        <v>5486</v>
      </c>
      <c r="AC435" s="421"/>
      <c r="AD435" s="403"/>
      <c r="AE435" s="406"/>
      <c r="AF435" s="407"/>
      <c r="AG435" s="407"/>
      <c r="AH435" s="399"/>
      <c r="AI435" s="400"/>
      <c r="AJ435" s="399" t="s">
        <v>1787</v>
      </c>
      <c r="AK435" s="409" t="s">
        <v>3916</v>
      </c>
      <c r="AL435" s="403"/>
      <c r="AM435" s="403" t="s">
        <v>3100</v>
      </c>
      <c r="AN435" s="403" t="s">
        <v>3101</v>
      </c>
      <c r="AO435" s="399" t="s">
        <v>1787</v>
      </c>
      <c r="AP435" s="399"/>
      <c r="AQ435" s="409" t="s">
        <v>115</v>
      </c>
      <c r="AR435" s="399"/>
      <c r="AS435" s="399"/>
      <c r="AT435" s="399"/>
      <c r="AU435" s="399"/>
      <c r="AV435" s="399" t="str">
        <f t="shared" si="47"/>
        <v/>
      </c>
      <c r="AW435" s="399"/>
      <c r="AX435" s="409" t="s">
        <v>3343</v>
      </c>
      <c r="AY435" s="399" t="str">
        <f t="shared" si="63"/>
        <v/>
      </c>
      <c r="AZ435" s="399"/>
      <c r="BA435" s="409">
        <v>0</v>
      </c>
      <c r="BB435" s="399"/>
      <c r="BC435" s="399" t="s">
        <v>1787</v>
      </c>
      <c r="BD435" s="399" t="s">
        <v>1787</v>
      </c>
      <c r="BE435" s="411"/>
      <c r="BF435" s="411" t="s">
        <v>1787</v>
      </c>
      <c r="BG435" s="411"/>
      <c r="BH435" s="411"/>
      <c r="BI435" s="411"/>
      <c r="BJ435" s="409" t="s">
        <v>3106</v>
      </c>
      <c r="BK435" s="399" t="s">
        <v>1787</v>
      </c>
      <c r="BL435" s="399"/>
      <c r="BM435" s="399" t="s">
        <v>1787</v>
      </c>
      <c r="BN435" s="399" t="s">
        <v>1787</v>
      </c>
      <c r="BO435" s="399" t="s">
        <v>1787</v>
      </c>
      <c r="BP435" s="399" t="s">
        <v>1787</v>
      </c>
      <c r="BQ435" s="399" t="s">
        <v>1787</v>
      </c>
      <c r="BR435" s="399" t="s">
        <v>1787</v>
      </c>
      <c r="BS435" s="407"/>
      <c r="BT435" s="407"/>
      <c r="BU435" s="412"/>
      <c r="BV435" s="46" t="str">
        <f t="shared" si="8"/>
        <v/>
      </c>
      <c r="BW435" s="46" t="str">
        <f t="shared" si="9"/>
        <v/>
      </c>
      <c r="BX435" s="46" t="str">
        <f t="shared" si="10"/>
        <v/>
      </c>
      <c r="BY435" s="43">
        <f t="shared" si="11"/>
        <v>0</v>
      </c>
      <c r="BZ435" s="46">
        <f t="shared" si="12"/>
        <v>1</v>
      </c>
      <c r="CA435" s="46">
        <f t="shared" si="13"/>
        <v>0</v>
      </c>
      <c r="CB435" s="46">
        <f t="shared" si="14"/>
        <v>1</v>
      </c>
      <c r="CC435" s="46">
        <f t="shared" si="15"/>
        <v>1</v>
      </c>
      <c r="CD435" s="46">
        <f t="shared" si="16"/>
        <v>1</v>
      </c>
      <c r="CE435" s="46">
        <f t="shared" si="17"/>
        <v>0</v>
      </c>
      <c r="CF435" s="46">
        <f t="shared" si="18"/>
        <v>0</v>
      </c>
      <c r="CG435" s="46" t="str">
        <f ca="1">IFERROR(__xludf.DUMMYFUNCTION("if(OR(BH435="""",LEFT(BH435,2)=""LA""),"""",IMPORTXML(CONCATENATE(""https://loinc.org/"",BH435,""/""),""//span[@id='lcn']""))"),"")</f>
        <v/>
      </c>
      <c r="CH435" s="46"/>
      <c r="CI435" s="46"/>
      <c r="CJ435" s="46"/>
      <c r="CK435" s="46"/>
      <c r="CL435" s="46"/>
      <c r="CM435" s="46"/>
      <c r="CN435" s="46"/>
      <c r="CO435" s="46"/>
      <c r="CP435" s="46"/>
      <c r="CQ435" s="46"/>
      <c r="CR435" s="46"/>
      <c r="CS435" s="46"/>
      <c r="CT435" s="46"/>
      <c r="CU435" s="46"/>
    </row>
    <row r="436" spans="1:99" ht="12.75" customHeight="1">
      <c r="A436" s="399">
        <v>2366</v>
      </c>
      <c r="B436" s="409" t="s">
        <v>5880</v>
      </c>
      <c r="C436" s="399">
        <f t="shared" si="42"/>
        <v>2366</v>
      </c>
      <c r="D436" s="399" t="str">
        <f t="shared" si="62"/>
        <v>Breast Exam</v>
      </c>
      <c r="E436" s="399" t="str">
        <f t="shared" si="44"/>
        <v>Breast Exam</v>
      </c>
      <c r="F436" s="409" t="s">
        <v>96</v>
      </c>
      <c r="G436" s="400">
        <f t="shared" si="74"/>
        <v>18</v>
      </c>
      <c r="H436" s="400" t="str">
        <f t="shared" si="75"/>
        <v/>
      </c>
      <c r="I436" s="400"/>
      <c r="J436" s="400"/>
      <c r="K436" s="401" t="s">
        <v>3333</v>
      </c>
      <c r="L436" s="402" t="s">
        <v>4485</v>
      </c>
      <c r="M436" s="402" t="s">
        <v>5881</v>
      </c>
      <c r="N436" s="427" t="s">
        <v>4417</v>
      </c>
      <c r="O436" s="428"/>
      <c r="P436" s="405" t="s">
        <v>5489</v>
      </c>
      <c r="Q436" s="405" t="s">
        <v>5488</v>
      </c>
      <c r="R436" s="403"/>
      <c r="S436" s="403" t="s">
        <v>5490</v>
      </c>
      <c r="T436" s="403" t="s">
        <v>3339</v>
      </c>
      <c r="U436" s="407" t="s">
        <v>3243</v>
      </c>
      <c r="V436" s="403"/>
      <c r="W436" s="407"/>
      <c r="X436" s="403"/>
      <c r="Y436" s="403"/>
      <c r="Z436" s="403" t="s">
        <v>113</v>
      </c>
      <c r="AA436" s="403" t="s">
        <v>1889</v>
      </c>
      <c r="AB436" s="408"/>
      <c r="AC436" s="407"/>
      <c r="AD436" s="403"/>
      <c r="AE436" s="406"/>
      <c r="AF436" s="429" t="s">
        <v>5494</v>
      </c>
      <c r="AG436" s="421"/>
      <c r="AH436" s="399"/>
      <c r="AI436" s="400"/>
      <c r="AJ436" s="399"/>
      <c r="AK436" s="409" t="s">
        <v>5883</v>
      </c>
      <c r="AL436" s="409"/>
      <c r="AM436" s="409" t="s">
        <v>3100</v>
      </c>
      <c r="AN436" s="409" t="s">
        <v>3101</v>
      </c>
      <c r="AO436" s="399"/>
      <c r="AP436" s="399"/>
      <c r="AQ436" s="409" t="s">
        <v>115</v>
      </c>
      <c r="AR436" s="409" t="s">
        <v>5884</v>
      </c>
      <c r="AS436" s="409"/>
      <c r="AT436" s="399"/>
      <c r="AU436" s="399" t="s">
        <v>5488</v>
      </c>
      <c r="AV436" s="399" t="str">
        <f t="shared" si="47"/>
        <v>Changed</v>
      </c>
      <c r="AW436" s="399"/>
      <c r="AX436" s="409" t="s">
        <v>3343</v>
      </c>
      <c r="AY436" s="399" t="str">
        <f t="shared" si="63"/>
        <v>"Breast Exam"-&gt;"Breast Exam Status"</v>
      </c>
      <c r="AZ436" s="399"/>
      <c r="BA436" s="409">
        <v>0</v>
      </c>
      <c r="BB436" s="399"/>
      <c r="BC436" s="399"/>
      <c r="BD436" s="399" t="s">
        <v>5496</v>
      </c>
      <c r="BE436" s="411"/>
      <c r="BF436" s="411"/>
      <c r="BG436" s="434" t="s">
        <v>5885</v>
      </c>
      <c r="BH436" s="411"/>
      <c r="BI436" s="411"/>
      <c r="BJ436" s="399"/>
      <c r="BK436" s="399"/>
      <c r="BL436" s="399"/>
      <c r="BM436" s="399" t="s">
        <v>5497</v>
      </c>
      <c r="BN436" s="409" t="s">
        <v>5886</v>
      </c>
      <c r="BO436" s="399"/>
      <c r="BP436" s="399"/>
      <c r="BQ436" s="399" t="s">
        <v>1556</v>
      </c>
      <c r="BR436" s="399" t="s">
        <v>1557</v>
      </c>
      <c r="BS436" s="407"/>
      <c r="BT436" s="407"/>
      <c r="BU436" s="412"/>
      <c r="BV436" s="46" t="str">
        <f t="shared" si="8"/>
        <v/>
      </c>
      <c r="BW436" s="46" t="str">
        <f t="shared" si="9"/>
        <v/>
      </c>
      <c r="BX436" s="46" t="str">
        <f t="shared" si="10"/>
        <v/>
      </c>
      <c r="BY436" s="43">
        <f t="shared" si="11"/>
        <v>0</v>
      </c>
      <c r="BZ436" s="46">
        <f t="shared" si="12"/>
        <v>1</v>
      </c>
      <c r="CA436" s="46">
        <f t="shared" si="13"/>
        <v>1</v>
      </c>
      <c r="CB436" s="46">
        <f t="shared" si="14"/>
        <v>1</v>
      </c>
      <c r="CC436" s="46">
        <f t="shared" si="15"/>
        <v>1</v>
      </c>
      <c r="CD436" s="46">
        <f t="shared" si="16"/>
        <v>1</v>
      </c>
      <c r="CE436" s="46">
        <f t="shared" si="17"/>
        <v>0</v>
      </c>
      <c r="CF436" s="46">
        <f t="shared" si="18"/>
        <v>0</v>
      </c>
      <c r="CG436" s="46" t="str">
        <f ca="1">IFERROR(__xludf.DUMMYFUNCTION("if(OR(BH436="""",LEFT(BH436,2)=""LA""),"""",IMPORTXML(CONCATENATE(""https://loinc.org/"",BH436,""/""),""//span[@id='lcn']""))"),"")</f>
        <v/>
      </c>
      <c r="CH436" s="46"/>
      <c r="CI436" s="46"/>
      <c r="CJ436" s="46"/>
      <c r="CK436" s="46"/>
      <c r="CL436" s="46"/>
      <c r="CM436" s="46"/>
      <c r="CN436" s="46"/>
      <c r="CO436" s="46"/>
      <c r="CP436" s="46"/>
      <c r="CQ436" s="46"/>
      <c r="CR436" s="46"/>
      <c r="CS436" s="46"/>
      <c r="CT436" s="46"/>
      <c r="CU436" s="46"/>
    </row>
    <row r="437" spans="1:99" ht="12.75" customHeight="1">
      <c r="A437" s="399">
        <v>1434</v>
      </c>
      <c r="B437" s="399" t="s">
        <v>2118</v>
      </c>
      <c r="C437" s="399">
        <f t="shared" si="42"/>
        <v>1434</v>
      </c>
      <c r="D437" s="399" t="e">
        <f t="shared" ca="1" si="62"/>
        <v>#NAME?</v>
      </c>
      <c r="E437" s="399" t="str">
        <f t="shared" si="44"/>
        <v>Not done</v>
      </c>
      <c r="F437" s="399" t="str">
        <f>IF(AND(ISBLANK(V437)=FALSE,OR(T437="MC",T437="")),"Input Option","Data Element")</f>
        <v>Input Option</v>
      </c>
      <c r="G437" s="400">
        <f t="shared" si="74"/>
        <v>15</v>
      </c>
      <c r="H437" s="399" t="str">
        <f t="shared" si="75"/>
        <v>Breast Exam Status</v>
      </c>
      <c r="I437" s="400"/>
      <c r="J437" s="400"/>
      <c r="K437" s="401" t="s">
        <v>3333</v>
      </c>
      <c r="L437" s="402" t="s">
        <v>4485</v>
      </c>
      <c r="M437" s="402" t="s">
        <v>5881</v>
      </c>
      <c r="N437" s="427" t="s">
        <v>4417</v>
      </c>
      <c r="O437" s="428"/>
      <c r="P437" s="405" t="s">
        <v>5540</v>
      </c>
      <c r="Q437" s="405"/>
      <c r="R437" s="403"/>
      <c r="S437" s="403"/>
      <c r="T437" s="405"/>
      <c r="U437" s="431"/>
      <c r="V437" s="431" t="s">
        <v>1468</v>
      </c>
      <c r="W437" s="407"/>
      <c r="X437" s="403"/>
      <c r="Y437" s="403"/>
      <c r="Z437" s="403" t="s">
        <v>113</v>
      </c>
      <c r="AA437" s="403"/>
      <c r="AB437" s="408"/>
      <c r="AC437" s="407"/>
      <c r="AD437" s="403"/>
      <c r="AE437" s="406"/>
      <c r="AF437" s="407"/>
      <c r="AG437" s="407"/>
      <c r="AH437" s="399"/>
      <c r="AI437" s="400"/>
      <c r="AJ437" s="399"/>
      <c r="AK437" s="399"/>
      <c r="AL437" s="409"/>
      <c r="AM437" s="409"/>
      <c r="AN437" s="409"/>
      <c r="AO437" s="399"/>
      <c r="AP437" s="399"/>
      <c r="AQ437" s="409" t="s">
        <v>115</v>
      </c>
      <c r="AR437" s="409" t="s">
        <v>5884</v>
      </c>
      <c r="AS437" s="409"/>
      <c r="AT437" s="399"/>
      <c r="AU437" s="399" t="s">
        <v>2118</v>
      </c>
      <c r="AV437" s="399" t="str">
        <f t="shared" si="47"/>
        <v>Same</v>
      </c>
      <c r="AW437" s="399"/>
      <c r="AX437" s="409" t="s">
        <v>3343</v>
      </c>
      <c r="AY437" s="399" t="e">
        <f t="shared" ca="1" si="63"/>
        <v>#NAME?</v>
      </c>
      <c r="AZ437" s="399"/>
      <c r="BA437" s="409">
        <v>0</v>
      </c>
      <c r="BB437" s="415" t="s">
        <v>5887</v>
      </c>
      <c r="BC437" s="409" t="s">
        <v>5888</v>
      </c>
      <c r="BD437" s="399"/>
      <c r="BE437" s="411"/>
      <c r="BF437" s="411"/>
      <c r="BG437" s="411" t="s">
        <v>5512</v>
      </c>
      <c r="BH437" s="411"/>
      <c r="BI437" s="411"/>
      <c r="BJ437" s="399"/>
      <c r="BK437" s="399"/>
      <c r="BL437" s="399"/>
      <c r="BM437" s="399"/>
      <c r="BN437" s="399"/>
      <c r="BO437" s="399"/>
      <c r="BP437" s="399"/>
      <c r="BQ437" s="399" t="s">
        <v>1472</v>
      </c>
      <c r="BR437" s="399" t="s">
        <v>1473</v>
      </c>
      <c r="BS437" s="407"/>
      <c r="BT437" s="407"/>
      <c r="BU437" s="412"/>
      <c r="BV437" s="46" t="str">
        <f t="shared" si="8"/>
        <v/>
      </c>
      <c r="BW437" s="46">
        <f t="shared" si="9"/>
        <v>0</v>
      </c>
      <c r="BX437" s="46">
        <f t="shared" si="10"/>
        <v>0</v>
      </c>
      <c r="BY437" s="43">
        <f t="shared" si="11"/>
        <v>0</v>
      </c>
      <c r="BZ437" s="46">
        <f t="shared" si="12"/>
        <v>1</v>
      </c>
      <c r="CA437" s="46" t="str">
        <f t="shared" si="13"/>
        <v/>
      </c>
      <c r="CB437" s="46">
        <f t="shared" si="14"/>
        <v>1</v>
      </c>
      <c r="CC437" s="46">
        <f t="shared" si="15"/>
        <v>1</v>
      </c>
      <c r="CD437" s="46">
        <f t="shared" si="16"/>
        <v>1</v>
      </c>
      <c r="CE437" s="46">
        <f t="shared" si="17"/>
        <v>0</v>
      </c>
      <c r="CF437" s="46">
        <f t="shared" si="18"/>
        <v>0</v>
      </c>
      <c r="CG437" s="46" t="str">
        <f ca="1">IFERROR(__xludf.DUMMYFUNCTION("if(OR(BH437="""",LEFT(BH437,2)=""LA""),"""",IMPORTXML(CONCATENATE(""https://loinc.org/"",BH437,""/""),""//span[@id='lcn']""))"),"")</f>
        <v/>
      </c>
      <c r="CH437" s="46"/>
      <c r="CI437" s="46"/>
      <c r="CJ437" s="46"/>
      <c r="CK437" s="46"/>
      <c r="CL437" s="46"/>
      <c r="CM437" s="46"/>
      <c r="CN437" s="46"/>
      <c r="CO437" s="46"/>
      <c r="CP437" s="46"/>
      <c r="CQ437" s="46"/>
      <c r="CR437" s="46"/>
      <c r="CS437" s="46"/>
      <c r="CT437" s="46"/>
      <c r="CU437" s="46"/>
    </row>
    <row r="438" spans="1:99" ht="12.75" customHeight="1">
      <c r="A438" s="399">
        <v>2367</v>
      </c>
      <c r="B438" s="409" t="s">
        <v>2527</v>
      </c>
      <c r="C438" s="399">
        <f t="shared" si="42"/>
        <v>2367</v>
      </c>
      <c r="D438" s="399" t="e">
        <f t="shared" ca="1" si="62"/>
        <v>#NAME?</v>
      </c>
      <c r="E438" s="399">
        <f t="shared" si="44"/>
        <v>0</v>
      </c>
      <c r="F438" s="399" t="s">
        <v>180</v>
      </c>
      <c r="G438" s="400">
        <f t="shared" si="74"/>
        <v>11</v>
      </c>
      <c r="H438" s="399" t="str">
        <f t="shared" si="75"/>
        <v>Breast Exam Status</v>
      </c>
      <c r="I438" s="400"/>
      <c r="J438" s="400"/>
      <c r="K438" s="401" t="s">
        <v>3333</v>
      </c>
      <c r="L438" s="402" t="s">
        <v>4485</v>
      </c>
      <c r="M438" s="402" t="s">
        <v>5881</v>
      </c>
      <c r="N438" s="427" t="s">
        <v>4417</v>
      </c>
      <c r="O438" s="428"/>
      <c r="P438" s="405" t="s">
        <v>5540</v>
      </c>
      <c r="Q438" s="405"/>
      <c r="R438" s="403"/>
      <c r="S438" s="403"/>
      <c r="T438" s="405"/>
      <c r="U438" s="431"/>
      <c r="V438" s="431"/>
      <c r="W438" s="407"/>
      <c r="X438" s="403"/>
      <c r="Y438" s="403"/>
      <c r="Z438" s="403" t="s">
        <v>113</v>
      </c>
      <c r="AA438" s="403"/>
      <c r="AB438" s="408"/>
      <c r="AC438" s="407"/>
      <c r="AD438" s="403"/>
      <c r="AE438" s="406"/>
      <c r="AF438" s="407"/>
      <c r="AG438" s="407"/>
      <c r="AH438" s="399"/>
      <c r="AI438" s="400"/>
      <c r="AJ438" s="399"/>
      <c r="AK438" s="399"/>
      <c r="AL438" s="409"/>
      <c r="AM438" s="409"/>
      <c r="AN438" s="409"/>
      <c r="AO438" s="399"/>
      <c r="AP438" s="399"/>
      <c r="AQ438" s="409" t="s">
        <v>115</v>
      </c>
      <c r="AR438" s="409" t="s">
        <v>5884</v>
      </c>
      <c r="AS438" s="409"/>
      <c r="AT438" s="399"/>
      <c r="AU438" s="399" t="s">
        <v>2118</v>
      </c>
      <c r="AV438" s="399" t="str">
        <f t="shared" si="47"/>
        <v>Changed</v>
      </c>
      <c r="AW438" s="399"/>
      <c r="AX438" s="409" t="s">
        <v>3343</v>
      </c>
      <c r="AY438" s="399" t="e">
        <f t="shared" ca="1" si="63"/>
        <v>#NAME?</v>
      </c>
      <c r="AZ438" s="399"/>
      <c r="BA438" s="409">
        <v>0</v>
      </c>
      <c r="BB438" s="415" t="s">
        <v>5887</v>
      </c>
      <c r="BC438" s="409" t="s">
        <v>5890</v>
      </c>
      <c r="BD438" s="399"/>
      <c r="BE438" s="411"/>
      <c r="BF438" s="411"/>
      <c r="BG438" s="434" t="s">
        <v>5891</v>
      </c>
      <c r="BH438" s="411"/>
      <c r="BI438" s="411"/>
      <c r="BJ438" s="399"/>
      <c r="BK438" s="399"/>
      <c r="BL438" s="399"/>
      <c r="BM438" s="399"/>
      <c r="BN438" s="399"/>
      <c r="BO438" s="399"/>
      <c r="BP438" s="399"/>
      <c r="BQ438" s="399" t="s">
        <v>1472</v>
      </c>
      <c r="BR438" s="399" t="s">
        <v>1473</v>
      </c>
      <c r="BS438" s="407"/>
      <c r="BT438" s="407"/>
      <c r="BU438" s="412"/>
      <c r="BV438" s="46" t="str">
        <f t="shared" si="8"/>
        <v/>
      </c>
      <c r="BW438" s="46">
        <f t="shared" si="9"/>
        <v>0</v>
      </c>
      <c r="BX438" s="46">
        <f t="shared" si="10"/>
        <v>0</v>
      </c>
      <c r="BY438" s="43">
        <f t="shared" si="11"/>
        <v>0</v>
      </c>
      <c r="BZ438" s="46">
        <f t="shared" si="12"/>
        <v>1</v>
      </c>
      <c r="CA438" s="46" t="str">
        <f t="shared" si="13"/>
        <v/>
      </c>
      <c r="CB438" s="46">
        <f t="shared" si="14"/>
        <v>1</v>
      </c>
      <c r="CC438" s="46">
        <f t="shared" si="15"/>
        <v>1</v>
      </c>
      <c r="CD438" s="46">
        <f t="shared" si="16"/>
        <v>1</v>
      </c>
      <c r="CE438" s="46">
        <f t="shared" si="17"/>
        <v>0</v>
      </c>
      <c r="CF438" s="46">
        <f t="shared" si="18"/>
        <v>0</v>
      </c>
      <c r="CG438" s="46" t="str">
        <f ca="1">IFERROR(__xludf.DUMMYFUNCTION("if(OR(BH438="""",LEFT(BH438,2)=""LA""),"""",IMPORTXML(CONCATENATE(""https://loinc.org/"",BH438,""/""),""//span[@id='lcn']""))"),"")</f>
        <v/>
      </c>
      <c r="CH438" s="46"/>
      <c r="CI438" s="46"/>
      <c r="CJ438" s="46"/>
      <c r="CK438" s="46"/>
      <c r="CL438" s="46"/>
      <c r="CM438" s="46"/>
      <c r="CN438" s="46"/>
      <c r="CO438" s="46"/>
      <c r="CP438" s="46"/>
      <c r="CQ438" s="46"/>
      <c r="CR438" s="46"/>
      <c r="CS438" s="46"/>
      <c r="CT438" s="46"/>
      <c r="CU438" s="46"/>
    </row>
    <row r="439" spans="1:99" ht="12.75" customHeight="1">
      <c r="A439" s="399">
        <v>1433</v>
      </c>
      <c r="B439" s="409" t="s">
        <v>5892</v>
      </c>
      <c r="C439" s="399">
        <f t="shared" si="42"/>
        <v>1433</v>
      </c>
      <c r="D439" s="399" t="str">
        <f t="shared" si="62"/>
        <v>Breast Exam</v>
      </c>
      <c r="E439" s="399" t="str">
        <f t="shared" si="44"/>
        <v>Breast Exam</v>
      </c>
      <c r="F439" s="409" t="s">
        <v>96</v>
      </c>
      <c r="G439" s="400">
        <f t="shared" si="74"/>
        <v>18</v>
      </c>
      <c r="H439" s="400" t="str">
        <f t="shared" si="75"/>
        <v/>
      </c>
      <c r="I439" s="400"/>
      <c r="J439" s="400"/>
      <c r="K439" s="401" t="s">
        <v>3333</v>
      </c>
      <c r="L439" s="402" t="s">
        <v>4485</v>
      </c>
      <c r="M439" s="402" t="s">
        <v>5881</v>
      </c>
      <c r="N439" s="427" t="s">
        <v>4417</v>
      </c>
      <c r="O439" s="428"/>
      <c r="P439" s="405" t="s">
        <v>5489</v>
      </c>
      <c r="Q439" s="405" t="s">
        <v>5488</v>
      </c>
      <c r="R439" s="403"/>
      <c r="S439" s="403" t="s">
        <v>5490</v>
      </c>
      <c r="T439" s="403" t="s">
        <v>3339</v>
      </c>
      <c r="U439" s="407" t="s">
        <v>3243</v>
      </c>
      <c r="V439" s="403"/>
      <c r="W439" s="407"/>
      <c r="X439" s="403"/>
      <c r="Y439" s="403"/>
      <c r="Z439" s="403" t="s">
        <v>113</v>
      </c>
      <c r="AA439" s="403" t="s">
        <v>1889</v>
      </c>
      <c r="AB439" s="408"/>
      <c r="AC439" s="407"/>
      <c r="AD439" s="403"/>
      <c r="AE439" s="406"/>
      <c r="AF439" s="429" t="s">
        <v>5494</v>
      </c>
      <c r="AG439" s="421"/>
      <c r="AH439" s="399"/>
      <c r="AI439" s="400"/>
      <c r="AJ439" s="399"/>
      <c r="AK439" s="409" t="s">
        <v>5893</v>
      </c>
      <c r="AL439" s="409"/>
      <c r="AM439" s="409" t="s">
        <v>3100</v>
      </c>
      <c r="AN439" s="409" t="s">
        <v>3101</v>
      </c>
      <c r="AO439" s="399"/>
      <c r="AP439" s="399"/>
      <c r="AQ439" s="409" t="s">
        <v>115</v>
      </c>
      <c r="AR439" s="409" t="s">
        <v>5894</v>
      </c>
      <c r="AS439" s="409"/>
      <c r="AT439" s="399"/>
      <c r="AU439" s="399" t="s">
        <v>5488</v>
      </c>
      <c r="AV439" s="399" t="str">
        <f t="shared" si="47"/>
        <v>Changed</v>
      </c>
      <c r="AW439" s="399"/>
      <c r="AX439" s="409" t="s">
        <v>3343</v>
      </c>
      <c r="AY439" s="399" t="str">
        <f t="shared" si="63"/>
        <v>"Breast Exam"-&gt;"Breast Exam Result"</v>
      </c>
      <c r="AZ439" s="399"/>
      <c r="BA439" s="409">
        <v>0</v>
      </c>
      <c r="BB439" s="399"/>
      <c r="BC439" s="399"/>
      <c r="BD439" s="399" t="s">
        <v>5496</v>
      </c>
      <c r="BE439" s="411"/>
      <c r="BF439" s="411"/>
      <c r="BG439" s="434" t="s">
        <v>5885</v>
      </c>
      <c r="BH439" s="411"/>
      <c r="BI439" s="411"/>
      <c r="BJ439" s="399"/>
      <c r="BK439" s="399"/>
      <c r="BL439" s="399"/>
      <c r="BM439" s="399" t="s">
        <v>5497</v>
      </c>
      <c r="BN439" s="409" t="s">
        <v>5886</v>
      </c>
      <c r="BO439" s="399"/>
      <c r="BP439" s="399"/>
      <c r="BQ439" s="399" t="s">
        <v>1556</v>
      </c>
      <c r="BR439" s="399" t="s">
        <v>1557</v>
      </c>
      <c r="BS439" s="407"/>
      <c r="BT439" s="407"/>
      <c r="BU439" s="412"/>
      <c r="BV439" s="46" t="str">
        <f t="shared" si="8"/>
        <v/>
      </c>
      <c r="BW439" s="46" t="str">
        <f t="shared" si="9"/>
        <v/>
      </c>
      <c r="BX439" s="46" t="str">
        <f t="shared" si="10"/>
        <v/>
      </c>
      <c r="BY439" s="43">
        <f t="shared" si="11"/>
        <v>0</v>
      </c>
      <c r="BZ439" s="46">
        <f t="shared" si="12"/>
        <v>1</v>
      </c>
      <c r="CA439" s="46">
        <f t="shared" si="13"/>
        <v>1</v>
      </c>
      <c r="CB439" s="46">
        <f t="shared" si="14"/>
        <v>1</v>
      </c>
      <c r="CC439" s="46">
        <f t="shared" si="15"/>
        <v>1</v>
      </c>
      <c r="CD439" s="46">
        <f t="shared" si="16"/>
        <v>1</v>
      </c>
      <c r="CE439" s="46">
        <f t="shared" si="17"/>
        <v>0</v>
      </c>
      <c r="CF439" s="46">
        <f t="shared" si="18"/>
        <v>0</v>
      </c>
      <c r="CG439" s="46" t="str">
        <f ca="1">IFERROR(__xludf.DUMMYFUNCTION("if(OR(BH439="""",LEFT(BH439,2)=""LA""),"""",IMPORTXML(CONCATENATE(""https://loinc.org/"",BH439,""/""),""//span[@id='lcn']""))"),"")</f>
        <v/>
      </c>
      <c r="CH439" s="46"/>
      <c r="CI439" s="46"/>
      <c r="CJ439" s="46"/>
      <c r="CK439" s="46"/>
      <c r="CL439" s="46"/>
      <c r="CM439" s="46"/>
      <c r="CN439" s="46"/>
      <c r="CO439" s="46"/>
      <c r="CP439" s="46"/>
      <c r="CQ439" s="46"/>
      <c r="CR439" s="46"/>
      <c r="CS439" s="46"/>
      <c r="CT439" s="46"/>
      <c r="CU439" s="46"/>
    </row>
    <row r="440" spans="1:99" ht="12.75" customHeight="1">
      <c r="A440" s="399">
        <v>1435</v>
      </c>
      <c r="B440" s="399" t="s">
        <v>2130</v>
      </c>
      <c r="C440" s="399">
        <f t="shared" si="42"/>
        <v>1435</v>
      </c>
      <c r="D440" s="399" t="e">
        <f t="shared" ca="1" si="62"/>
        <v>#NAME?</v>
      </c>
      <c r="E440" s="399" t="str">
        <f t="shared" si="44"/>
        <v>Normal</v>
      </c>
      <c r="F440" s="399" t="str">
        <f t="shared" ref="F440:F441" si="76">IF(AND(ISBLANK(V440)=FALSE,OR(T440="MC",T440="")),"Input Option","Data Element")</f>
        <v>Input Option</v>
      </c>
      <c r="G440" s="400">
        <f t="shared" si="74"/>
        <v>13</v>
      </c>
      <c r="H440" s="399" t="str">
        <f t="shared" si="75"/>
        <v>Breast Exam Result</v>
      </c>
      <c r="I440" s="400"/>
      <c r="J440" s="400"/>
      <c r="K440" s="401" t="s">
        <v>3333</v>
      </c>
      <c r="L440" s="402" t="s">
        <v>4485</v>
      </c>
      <c r="M440" s="402" t="s">
        <v>5881</v>
      </c>
      <c r="N440" s="427" t="s">
        <v>4417</v>
      </c>
      <c r="O440" s="428"/>
      <c r="P440" s="405" t="s">
        <v>5546</v>
      </c>
      <c r="Q440" s="405"/>
      <c r="R440" s="403"/>
      <c r="S440" s="403"/>
      <c r="T440" s="403"/>
      <c r="U440" s="407"/>
      <c r="V440" s="431" t="s">
        <v>1471</v>
      </c>
      <c r="W440" s="407"/>
      <c r="X440" s="403"/>
      <c r="Y440" s="403"/>
      <c r="Z440" s="403" t="s">
        <v>113</v>
      </c>
      <c r="AA440" s="403"/>
      <c r="AB440" s="408"/>
      <c r="AC440" s="407"/>
      <c r="AD440" s="403"/>
      <c r="AE440" s="406"/>
      <c r="AF440" s="407"/>
      <c r="AG440" s="407"/>
      <c r="AH440" s="399"/>
      <c r="AI440" s="400"/>
      <c r="AJ440" s="399"/>
      <c r="AK440" s="399"/>
      <c r="AL440" s="409"/>
      <c r="AM440" s="409"/>
      <c r="AN440" s="409"/>
      <c r="AO440" s="399"/>
      <c r="AP440" s="399"/>
      <c r="AQ440" s="409" t="s">
        <v>115</v>
      </c>
      <c r="AR440" s="409" t="s">
        <v>5894</v>
      </c>
      <c r="AS440" s="409"/>
      <c r="AT440" s="399"/>
      <c r="AU440" s="399" t="s">
        <v>2130</v>
      </c>
      <c r="AV440" s="399" t="str">
        <f t="shared" si="47"/>
        <v>Same</v>
      </c>
      <c r="AW440" s="399"/>
      <c r="AX440" s="409" t="s">
        <v>3343</v>
      </c>
      <c r="AY440" s="399" t="e">
        <f t="shared" ca="1" si="63"/>
        <v>#NAME?</v>
      </c>
      <c r="AZ440" s="399"/>
      <c r="BA440" s="409">
        <v>0</v>
      </c>
      <c r="BB440" s="399"/>
      <c r="BC440" s="399"/>
      <c r="BD440" s="399"/>
      <c r="BE440" s="411"/>
      <c r="BF440" s="411"/>
      <c r="BG440" s="411" t="s">
        <v>5509</v>
      </c>
      <c r="BH440" s="411"/>
      <c r="BI440" s="411"/>
      <c r="BJ440" s="399"/>
      <c r="BK440" s="399"/>
      <c r="BL440" s="399"/>
      <c r="BM440" s="399"/>
      <c r="BN440" s="399"/>
      <c r="BO440" s="399"/>
      <c r="BP440" s="399"/>
      <c r="BQ440" s="399" t="s">
        <v>1469</v>
      </c>
      <c r="BR440" s="399" t="s">
        <v>1470</v>
      </c>
      <c r="BS440" s="407"/>
      <c r="BT440" s="407"/>
      <c r="BU440" s="412"/>
      <c r="BV440" s="46" t="str">
        <f t="shared" si="8"/>
        <v/>
      </c>
      <c r="BW440" s="46">
        <f t="shared" si="9"/>
        <v>0</v>
      </c>
      <c r="BX440" s="46">
        <f t="shared" si="10"/>
        <v>0</v>
      </c>
      <c r="BY440" s="43">
        <f t="shared" si="11"/>
        <v>0</v>
      </c>
      <c r="BZ440" s="46">
        <f t="shared" si="12"/>
        <v>1</v>
      </c>
      <c r="CA440" s="46" t="str">
        <f t="shared" si="13"/>
        <v/>
      </c>
      <c r="CB440" s="46">
        <f t="shared" si="14"/>
        <v>1</v>
      </c>
      <c r="CC440" s="46">
        <f t="shared" si="15"/>
        <v>1</v>
      </c>
      <c r="CD440" s="46">
        <f t="shared" si="16"/>
        <v>1</v>
      </c>
      <c r="CE440" s="46">
        <f t="shared" si="17"/>
        <v>0</v>
      </c>
      <c r="CF440" s="46">
        <f t="shared" si="18"/>
        <v>0</v>
      </c>
      <c r="CG440" s="46" t="str">
        <f ca="1">IFERROR(__xludf.DUMMYFUNCTION("if(OR(BH440="""",LEFT(BH440,2)=""LA""),"""",IMPORTXML(CONCATENATE(""https://loinc.org/"",BH440,""/""),""//span[@id='lcn']""))"),"")</f>
        <v/>
      </c>
      <c r="CH440" s="46"/>
      <c r="CI440" s="46"/>
      <c r="CJ440" s="46"/>
      <c r="CK440" s="46"/>
      <c r="CL440" s="46"/>
      <c r="CM440" s="46"/>
      <c r="CN440" s="46"/>
      <c r="CO440" s="46"/>
      <c r="CP440" s="46"/>
      <c r="CQ440" s="46"/>
      <c r="CR440" s="46"/>
      <c r="CS440" s="46"/>
      <c r="CT440" s="46"/>
      <c r="CU440" s="46"/>
    </row>
    <row r="441" spans="1:99" ht="12.75" customHeight="1">
      <c r="A441" s="399">
        <v>1436</v>
      </c>
      <c r="B441" s="399" t="s">
        <v>2143</v>
      </c>
      <c r="C441" s="399">
        <f t="shared" si="42"/>
        <v>1436</v>
      </c>
      <c r="D441" s="399" t="e">
        <f t="shared" ca="1" si="62"/>
        <v>#NAME?</v>
      </c>
      <c r="E441" s="399" t="str">
        <f t="shared" si="44"/>
        <v>Abnormal</v>
      </c>
      <c r="F441" s="399" t="str">
        <f t="shared" si="76"/>
        <v>Input Option</v>
      </c>
      <c r="G441" s="400">
        <f t="shared" si="74"/>
        <v>15</v>
      </c>
      <c r="H441" s="399" t="str">
        <f t="shared" si="75"/>
        <v>Breast Exam Result</v>
      </c>
      <c r="I441" s="400"/>
      <c r="J441" s="400"/>
      <c r="K441" s="401" t="s">
        <v>3333</v>
      </c>
      <c r="L441" s="402" t="s">
        <v>4485</v>
      </c>
      <c r="M441" s="402" t="s">
        <v>5881</v>
      </c>
      <c r="N441" s="427" t="s">
        <v>4417</v>
      </c>
      <c r="O441" s="428"/>
      <c r="P441" s="405" t="s">
        <v>5550</v>
      </c>
      <c r="Q441" s="405"/>
      <c r="R441" s="403"/>
      <c r="S441" s="403"/>
      <c r="T441" s="403"/>
      <c r="U441" s="407"/>
      <c r="V441" s="431" t="s">
        <v>1474</v>
      </c>
      <c r="W441" s="407"/>
      <c r="X441" s="403"/>
      <c r="Y441" s="403"/>
      <c r="Z441" s="403" t="s">
        <v>113</v>
      </c>
      <c r="AA441" s="403"/>
      <c r="AB441" s="408"/>
      <c r="AC441" s="407"/>
      <c r="AD441" s="403"/>
      <c r="AE441" s="406"/>
      <c r="AF441" s="407"/>
      <c r="AG441" s="407"/>
      <c r="AH441" s="399"/>
      <c r="AI441" s="400"/>
      <c r="AJ441" s="399"/>
      <c r="AK441" s="399"/>
      <c r="AL441" s="409"/>
      <c r="AM441" s="409"/>
      <c r="AN441" s="409"/>
      <c r="AO441" s="399"/>
      <c r="AP441" s="399"/>
      <c r="AQ441" s="409" t="s">
        <v>115</v>
      </c>
      <c r="AR441" s="409" t="s">
        <v>5894</v>
      </c>
      <c r="AS441" s="409"/>
      <c r="AT441" s="399"/>
      <c r="AU441" s="399" t="s">
        <v>2143</v>
      </c>
      <c r="AV441" s="399" t="str">
        <f t="shared" si="47"/>
        <v>Same</v>
      </c>
      <c r="AW441" s="399"/>
      <c r="AX441" s="409" t="s">
        <v>3343</v>
      </c>
      <c r="AY441" s="399" t="e">
        <f t="shared" ca="1" si="63"/>
        <v>#NAME?</v>
      </c>
      <c r="AZ441" s="399"/>
      <c r="BA441" s="409">
        <v>0</v>
      </c>
      <c r="BB441" s="399"/>
      <c r="BC441" s="399"/>
      <c r="BD441" s="399"/>
      <c r="BE441" s="411"/>
      <c r="BF441" s="411"/>
      <c r="BG441" s="411" t="s">
        <v>5520</v>
      </c>
      <c r="BH441" s="411"/>
      <c r="BI441" s="411"/>
      <c r="BJ441" s="399"/>
      <c r="BK441" s="399"/>
      <c r="BL441" s="399"/>
      <c r="BM441" s="399"/>
      <c r="BN441" s="399"/>
      <c r="BO441" s="399"/>
      <c r="BP441" s="399"/>
      <c r="BQ441" s="399" t="s">
        <v>1475</v>
      </c>
      <c r="BR441" s="399" t="s">
        <v>1476</v>
      </c>
      <c r="BS441" s="407"/>
      <c r="BT441" s="407"/>
      <c r="BU441" s="412"/>
      <c r="BV441" s="46" t="str">
        <f t="shared" si="8"/>
        <v/>
      </c>
      <c r="BW441" s="46">
        <f t="shared" si="9"/>
        <v>0</v>
      </c>
      <c r="BX441" s="46">
        <f t="shared" si="10"/>
        <v>0</v>
      </c>
      <c r="BY441" s="43">
        <f t="shared" si="11"/>
        <v>0</v>
      </c>
      <c r="BZ441" s="46">
        <f t="shared" si="12"/>
        <v>1</v>
      </c>
      <c r="CA441" s="46" t="str">
        <f t="shared" si="13"/>
        <v/>
      </c>
      <c r="CB441" s="46">
        <f t="shared" si="14"/>
        <v>1</v>
      </c>
      <c r="CC441" s="46">
        <f t="shared" si="15"/>
        <v>1</v>
      </c>
      <c r="CD441" s="46">
        <f t="shared" si="16"/>
        <v>1</v>
      </c>
      <c r="CE441" s="46">
        <f t="shared" si="17"/>
        <v>0</v>
      </c>
      <c r="CF441" s="46">
        <f t="shared" si="18"/>
        <v>0</v>
      </c>
      <c r="CG441" s="46" t="str">
        <f ca="1">IFERROR(__xludf.DUMMYFUNCTION("if(OR(BH441="""",LEFT(BH441,2)=""LA""),"""",IMPORTXML(CONCATENATE(""https://loinc.org/"",BH441,""/""),""//span[@id='lcn']""))"),"")</f>
        <v/>
      </c>
      <c r="CH441" s="46"/>
      <c r="CI441" s="46"/>
      <c r="CJ441" s="46"/>
      <c r="CK441" s="46"/>
      <c r="CL441" s="46"/>
      <c r="CM441" s="46"/>
      <c r="CN441" s="46"/>
      <c r="CO441" s="46"/>
      <c r="CP441" s="46"/>
      <c r="CQ441" s="46"/>
      <c r="CR441" s="46"/>
      <c r="CS441" s="46"/>
      <c r="CT441" s="46"/>
      <c r="CU441" s="46"/>
    </row>
    <row r="442" spans="1:99" ht="12.75" customHeight="1">
      <c r="A442" s="409">
        <v>2373</v>
      </c>
      <c r="B442" s="409" t="s">
        <v>5899</v>
      </c>
      <c r="C442" s="399"/>
      <c r="D442" s="399"/>
      <c r="E442" s="399"/>
      <c r="F442" s="409" t="s">
        <v>96</v>
      </c>
      <c r="G442" s="400"/>
      <c r="H442" s="400"/>
      <c r="I442" s="400"/>
      <c r="J442" s="400"/>
      <c r="K442" s="401"/>
      <c r="L442" s="402"/>
      <c r="M442" s="400"/>
      <c r="N442" s="427"/>
      <c r="O442" s="428"/>
      <c r="P442" s="405"/>
      <c r="Q442" s="405"/>
      <c r="R442" s="403"/>
      <c r="S442" s="403"/>
      <c r="T442" s="405"/>
      <c r="U442" s="431"/>
      <c r="V442" s="403"/>
      <c r="W442" s="407"/>
      <c r="X442" s="403"/>
      <c r="Y442" s="403"/>
      <c r="Z442" s="403"/>
      <c r="AA442" s="403"/>
      <c r="AB442" s="408"/>
      <c r="AC442" s="407"/>
      <c r="AD442" s="403"/>
      <c r="AE442" s="406"/>
      <c r="AF442" s="407"/>
      <c r="AG442" s="407"/>
      <c r="AH442" s="399"/>
      <c r="AI442" s="400"/>
      <c r="AJ442" s="399"/>
      <c r="AK442" s="409" t="s">
        <v>3741</v>
      </c>
      <c r="AL442" s="409"/>
      <c r="AM442" s="409" t="s">
        <v>3100</v>
      </c>
      <c r="AN442" s="409" t="s">
        <v>3101</v>
      </c>
      <c r="AO442" s="399"/>
      <c r="AP442" s="409" t="s">
        <v>5900</v>
      </c>
      <c r="AQ442" s="409" t="s">
        <v>3424</v>
      </c>
      <c r="AR442" s="399"/>
      <c r="AS442" s="399"/>
      <c r="AT442" s="399"/>
      <c r="AU442" s="399"/>
      <c r="AV442" s="399"/>
      <c r="AW442" s="399"/>
      <c r="AX442" s="409" t="s">
        <v>3343</v>
      </c>
      <c r="AY442" s="399"/>
      <c r="AZ442" s="399"/>
      <c r="BA442" s="409">
        <v>1</v>
      </c>
      <c r="BB442" s="399"/>
      <c r="BC442" s="399"/>
      <c r="BD442" s="399"/>
      <c r="BE442" s="411"/>
      <c r="BF442" s="411"/>
      <c r="BG442" s="434"/>
      <c r="BH442" s="411"/>
      <c r="BI442" s="411"/>
      <c r="BJ442" s="409"/>
      <c r="BK442" s="409"/>
      <c r="BL442" s="399"/>
      <c r="BM442" s="409"/>
      <c r="BN442" s="399"/>
      <c r="BO442" s="399"/>
      <c r="BP442" s="399"/>
      <c r="BQ442" s="399"/>
      <c r="BR442" s="399"/>
      <c r="BS442" s="407"/>
      <c r="BT442" s="407"/>
      <c r="BU442" s="412"/>
      <c r="BV442" s="46" t="str">
        <f t="shared" si="8"/>
        <v>CarePlan</v>
      </c>
      <c r="BW442" s="46" t="str">
        <f t="shared" si="9"/>
        <v/>
      </c>
      <c r="BX442" s="46" t="str">
        <f t="shared" si="10"/>
        <v>CarePlan</v>
      </c>
      <c r="BY442" s="43" t="str">
        <f t="shared" si="11"/>
        <v>WHO-FP CarePlan (Recommendation)</v>
      </c>
      <c r="BZ442" s="46">
        <f t="shared" si="12"/>
        <v>1</v>
      </c>
      <c r="CA442" s="46">
        <f t="shared" si="13"/>
        <v>1</v>
      </c>
      <c r="CB442" s="46">
        <f t="shared" si="14"/>
        <v>0</v>
      </c>
      <c r="CC442" s="46">
        <f t="shared" si="15"/>
        <v>1</v>
      </c>
      <c r="CD442" s="46">
        <f t="shared" si="16"/>
        <v>0</v>
      </c>
      <c r="CE442" s="46">
        <f t="shared" si="17"/>
        <v>1</v>
      </c>
      <c r="CF442" s="46">
        <f t="shared" si="18"/>
        <v>0</v>
      </c>
      <c r="CG442" s="46"/>
      <c r="CH442" s="46"/>
      <c r="CI442" s="46"/>
      <c r="CJ442" s="46"/>
      <c r="CK442" s="46"/>
      <c r="CL442" s="46"/>
      <c r="CM442" s="46"/>
      <c r="CN442" s="46"/>
      <c r="CO442" s="46"/>
      <c r="CP442" s="46"/>
      <c r="CQ442" s="46"/>
      <c r="CR442" s="46"/>
      <c r="CS442" s="46"/>
      <c r="CT442" s="46"/>
      <c r="CU442" s="46"/>
    </row>
    <row r="443" spans="1:99" ht="12.75" customHeight="1">
      <c r="A443" s="399">
        <v>1437</v>
      </c>
      <c r="B443" s="409" t="s">
        <v>5901</v>
      </c>
      <c r="C443" s="399">
        <f t="shared" ref="C443:C562" si="77">A443</f>
        <v>1437</v>
      </c>
      <c r="D443" s="399" t="e">
        <f t="shared" ref="D443:D467" ca="1" si="78">IF(F443="Input Option",CONCAT("       ",E443),E443)</f>
        <v>#NAME?</v>
      </c>
      <c r="E443" s="399" t="str">
        <f t="shared" ref="E443:E467" si="79">IF(Q443="",IF(V443="",Q443,V443),Q443)</f>
        <v>Pelvic/genital examination needed</v>
      </c>
      <c r="F443" s="409" t="s">
        <v>180</v>
      </c>
      <c r="G443" s="400">
        <f t="shared" ref="G443:G562" si="80">LEN(B443)</f>
        <v>40</v>
      </c>
      <c r="H443" s="409" t="s">
        <v>5899</v>
      </c>
      <c r="I443" s="400"/>
      <c r="J443" s="400"/>
      <c r="K443" s="401" t="s">
        <v>3333</v>
      </c>
      <c r="L443" s="402" t="s">
        <v>4485</v>
      </c>
      <c r="M443" s="400"/>
      <c r="N443" s="427" t="s">
        <v>4417</v>
      </c>
      <c r="O443" s="428"/>
      <c r="P443" s="405" t="s">
        <v>5523</v>
      </c>
      <c r="Q443" s="405" t="s">
        <v>5522</v>
      </c>
      <c r="R443" s="403"/>
      <c r="S443" s="403" t="s">
        <v>5525</v>
      </c>
      <c r="T443" s="405" t="s">
        <v>3169</v>
      </c>
      <c r="U443" s="431"/>
      <c r="V443" s="403" t="s">
        <v>3170</v>
      </c>
      <c r="W443" s="407"/>
      <c r="X443" s="403" t="s">
        <v>208</v>
      </c>
      <c r="Y443" s="403"/>
      <c r="Z443" s="403" t="s">
        <v>208</v>
      </c>
      <c r="AA443" s="403" t="s">
        <v>3178</v>
      </c>
      <c r="AB443" s="432" t="s">
        <v>5526</v>
      </c>
      <c r="AC443" s="421"/>
      <c r="AD443" s="436"/>
      <c r="AE443" s="406"/>
      <c r="AF443" s="407"/>
      <c r="AG443" s="407"/>
      <c r="AH443" s="399"/>
      <c r="AI443" s="400"/>
      <c r="AJ443" s="399"/>
      <c r="AK443" s="409"/>
      <c r="AL443" s="409"/>
      <c r="AM443" s="409"/>
      <c r="AN443" s="409"/>
      <c r="AO443" s="399"/>
      <c r="AP443" s="409"/>
      <c r="AQ443" s="409" t="s">
        <v>3130</v>
      </c>
      <c r="AR443" s="399"/>
      <c r="AS443" s="399"/>
      <c r="AT443" s="399"/>
      <c r="AU443" s="399" t="s">
        <v>5522</v>
      </c>
      <c r="AV443" s="399" t="str">
        <f t="shared" ref="AV443:AV467" si="81">IF(AU443="","", IF(AND(B443=AU443),"Same","Changed"))</f>
        <v>Changed</v>
      </c>
      <c r="AW443" s="399"/>
      <c r="AX443" s="409" t="s">
        <v>3343</v>
      </c>
      <c r="AY443" s="399" t="e">
        <f t="shared" ref="AY443:AY467" ca="1" si="82">IF(B443=D443,"",CONCATENATE(CHAR(34), D443,CHAR(34), "-&gt;", CHAR(34), B443,CHAR(34)))</f>
        <v>#NAME?</v>
      </c>
      <c r="AZ443" s="399"/>
      <c r="BA443" s="409">
        <v>1</v>
      </c>
      <c r="BB443" s="399"/>
      <c r="BC443" s="399"/>
      <c r="BD443" s="399"/>
      <c r="BE443" s="411"/>
      <c r="BF443" s="411"/>
      <c r="BG443" s="434" t="s">
        <v>5903</v>
      </c>
      <c r="BH443" s="411"/>
      <c r="BI443" s="411"/>
      <c r="BJ443" s="409"/>
      <c r="BK443" s="409" t="s">
        <v>5904</v>
      </c>
      <c r="BL443" s="399"/>
      <c r="BM443" s="409" t="s">
        <v>5905</v>
      </c>
      <c r="BN443" s="399"/>
      <c r="BO443" s="399"/>
      <c r="BP443" s="399"/>
      <c r="BQ443" s="399"/>
      <c r="BR443" s="399"/>
      <c r="BS443" s="407"/>
      <c r="BT443" s="407"/>
      <c r="BU443" s="412"/>
      <c r="BV443" s="46" t="str">
        <f t="shared" si="8"/>
        <v/>
      </c>
      <c r="BW443" s="46">
        <f t="shared" si="9"/>
        <v>0</v>
      </c>
      <c r="BX443" s="46">
        <f t="shared" si="10"/>
        <v>0</v>
      </c>
      <c r="BY443" s="43" t="str">
        <f t="shared" si="11"/>
        <v>WHO-FP CarePlan (Recommendation)</v>
      </c>
      <c r="BZ443" s="46">
        <f t="shared" si="12"/>
        <v>1</v>
      </c>
      <c r="CA443" s="46" t="str">
        <f t="shared" si="13"/>
        <v/>
      </c>
      <c r="CB443" s="46">
        <f t="shared" si="14"/>
        <v>1</v>
      </c>
      <c r="CC443" s="46">
        <f t="shared" si="15"/>
        <v>1</v>
      </c>
      <c r="CD443" s="46">
        <f t="shared" si="16"/>
        <v>1</v>
      </c>
      <c r="CE443" s="46">
        <f t="shared" si="17"/>
        <v>0</v>
      </c>
      <c r="CF443" s="46">
        <f t="shared" si="18"/>
        <v>0</v>
      </c>
      <c r="CG443" s="46" t="str">
        <f ca="1">IFERROR(__xludf.DUMMYFUNCTION("if(OR(BH443="""",LEFT(BH443,2)=""LA""),"""",IMPORTXML(CONCATENATE(""https://loinc.org/"",BH443,""/""),""//span[@id='lcn']""))"),"")</f>
        <v/>
      </c>
      <c r="CH443" s="46"/>
      <c r="CI443" s="46"/>
      <c r="CJ443" s="46"/>
      <c r="CK443" s="46"/>
      <c r="CL443" s="46"/>
      <c r="CM443" s="46"/>
      <c r="CN443" s="46"/>
      <c r="CO443" s="46"/>
      <c r="CP443" s="46"/>
      <c r="CQ443" s="46"/>
      <c r="CR443" s="46"/>
      <c r="CS443" s="46"/>
      <c r="CT443" s="46"/>
      <c r="CU443" s="46"/>
    </row>
    <row r="444" spans="1:99" ht="12.75" customHeight="1">
      <c r="A444" s="409">
        <v>1438</v>
      </c>
      <c r="B444" s="399" t="s">
        <v>5906</v>
      </c>
      <c r="C444" s="399">
        <f t="shared" si="77"/>
        <v>1438</v>
      </c>
      <c r="D444" s="399" t="str">
        <f t="shared" si="78"/>
        <v>Pelvic/genital examination outcome</v>
      </c>
      <c r="E444" s="399" t="str">
        <f t="shared" si="79"/>
        <v>Pelvic/genital examination outcome</v>
      </c>
      <c r="F444" s="409" t="s">
        <v>96</v>
      </c>
      <c r="G444" s="400">
        <f t="shared" si="80"/>
        <v>34</v>
      </c>
      <c r="H444" s="400" t="str">
        <f t="shared" ref="H444:H445" si="83">IF(F444="Input Option",IF(H443="",B443,H443),"")</f>
        <v/>
      </c>
      <c r="I444" s="400"/>
      <c r="J444" s="400"/>
      <c r="K444" s="401" t="s">
        <v>3333</v>
      </c>
      <c r="L444" s="402" t="s">
        <v>4485</v>
      </c>
      <c r="M444" s="400"/>
      <c r="N444" s="427" t="s">
        <v>4417</v>
      </c>
      <c r="O444" s="428"/>
      <c r="P444" s="405" t="s">
        <v>5529</v>
      </c>
      <c r="Q444" s="405" t="s">
        <v>5906</v>
      </c>
      <c r="R444" s="403"/>
      <c r="S444" s="403" t="s">
        <v>5907</v>
      </c>
      <c r="T444" s="405" t="s">
        <v>3339</v>
      </c>
      <c r="U444" s="431" t="s">
        <v>3243</v>
      </c>
      <c r="V444" s="403"/>
      <c r="W444" s="407"/>
      <c r="X444" s="403" t="s">
        <v>208</v>
      </c>
      <c r="Y444" s="403"/>
      <c r="Z444" s="403" t="s">
        <v>113</v>
      </c>
      <c r="AA444" s="403" t="s">
        <v>3178</v>
      </c>
      <c r="AB444" s="432" t="s">
        <v>5532</v>
      </c>
      <c r="AC444" s="421"/>
      <c r="AD444" s="436"/>
      <c r="AE444" s="420"/>
      <c r="AF444" s="407"/>
      <c r="AG444" s="407"/>
      <c r="AH444" s="399"/>
      <c r="AI444" s="400"/>
      <c r="AJ444" s="399"/>
      <c r="AK444" s="409" t="s">
        <v>3715</v>
      </c>
      <c r="AL444" s="409"/>
      <c r="AM444" s="409" t="s">
        <v>3100</v>
      </c>
      <c r="AN444" s="409" t="s">
        <v>3101</v>
      </c>
      <c r="AO444" s="399"/>
      <c r="AP444" s="399"/>
      <c r="AQ444" s="409" t="s">
        <v>115</v>
      </c>
      <c r="AR444" s="409" t="s">
        <v>5894</v>
      </c>
      <c r="AS444" s="409"/>
      <c r="AT444" s="399"/>
      <c r="AU444" s="399" t="s">
        <v>5528</v>
      </c>
      <c r="AV444" s="399" t="str">
        <f t="shared" si="81"/>
        <v>Changed</v>
      </c>
      <c r="AW444" s="399"/>
      <c r="AX444" s="409" t="s">
        <v>3343</v>
      </c>
      <c r="AY444" s="399" t="str">
        <f t="shared" si="82"/>
        <v/>
      </c>
      <c r="AZ444" s="399"/>
      <c r="BA444" s="409">
        <v>0</v>
      </c>
      <c r="BB444" s="399"/>
      <c r="BC444" s="399"/>
      <c r="BD444" s="399"/>
      <c r="BE444" s="411"/>
      <c r="BF444" s="411"/>
      <c r="BG444" s="411"/>
      <c r="BH444" s="434" t="s">
        <v>5908</v>
      </c>
      <c r="BI444" s="411"/>
      <c r="BJ444" s="399"/>
      <c r="BK444" s="399"/>
      <c r="BL444" s="399"/>
      <c r="BM444" s="399"/>
      <c r="BN444" s="399"/>
      <c r="BO444" s="399"/>
      <c r="BP444" s="399"/>
      <c r="BQ444" s="399" t="s">
        <v>1618</v>
      </c>
      <c r="BR444" s="399" t="s">
        <v>1619</v>
      </c>
      <c r="BS444" s="407"/>
      <c r="BT444" s="407"/>
      <c r="BU444" s="412"/>
      <c r="BV444" s="46" t="str">
        <f t="shared" si="8"/>
        <v/>
      </c>
      <c r="BW444" s="46" t="str">
        <f t="shared" si="9"/>
        <v/>
      </c>
      <c r="BX444" s="46" t="str">
        <f t="shared" si="10"/>
        <v/>
      </c>
      <c r="BY444" s="43">
        <f t="shared" si="11"/>
        <v>0</v>
      </c>
      <c r="BZ444" s="46">
        <f t="shared" si="12"/>
        <v>1</v>
      </c>
      <c r="CA444" s="46">
        <f t="shared" si="13"/>
        <v>1</v>
      </c>
      <c r="CB444" s="46">
        <f t="shared" si="14"/>
        <v>1</v>
      </c>
      <c r="CC444" s="46">
        <f t="shared" si="15"/>
        <v>1</v>
      </c>
      <c r="CD444" s="46">
        <f t="shared" si="16"/>
        <v>1</v>
      </c>
      <c r="CE444" s="46">
        <f t="shared" si="17"/>
        <v>0</v>
      </c>
      <c r="CF444" s="46">
        <f t="shared" si="18"/>
        <v>0</v>
      </c>
      <c r="CG444" s="46" t="str">
        <f ca="1">IFERROR(__xludf.DUMMYFUNCTION("if(OR(BH444="""",LEFT(BH444,2)=""LA""),"""",IMPORTXML(CONCATENATE(""https://loinc.org/"",BH444,""/""),""//span[@id='lcn']""))"),"Physical findings of Pelvis")</f>
        <v>Physical findings of Pelvis</v>
      </c>
      <c r="CH444" s="46"/>
      <c r="CI444" s="46"/>
      <c r="CJ444" s="46"/>
      <c r="CK444" s="46"/>
      <c r="CL444" s="46"/>
      <c r="CM444" s="46"/>
      <c r="CN444" s="46"/>
      <c r="CO444" s="46"/>
      <c r="CP444" s="46"/>
      <c r="CQ444" s="46"/>
      <c r="CR444" s="46"/>
      <c r="CS444" s="46"/>
      <c r="CT444" s="46"/>
      <c r="CU444" s="46"/>
    </row>
    <row r="445" spans="1:99" ht="12.75" customHeight="1">
      <c r="A445" s="409">
        <v>1442</v>
      </c>
      <c r="B445" s="399" t="s">
        <v>5909</v>
      </c>
      <c r="C445" s="399">
        <f t="shared" si="77"/>
        <v>1442</v>
      </c>
      <c r="D445" s="399" t="str">
        <f t="shared" si="78"/>
        <v>Abnormal (specify)</v>
      </c>
      <c r="E445" s="399" t="str">
        <f t="shared" si="79"/>
        <v>Abnormal (specify)</v>
      </c>
      <c r="F445" s="399" t="str">
        <f>IF(AND(ISBLANK(V445)=FALSE,OR(T445="MC",T445="")),"Input Option","Data Element")</f>
        <v>Data Element</v>
      </c>
      <c r="G445" s="400">
        <f t="shared" si="80"/>
        <v>55</v>
      </c>
      <c r="H445" s="400" t="str">
        <f t="shared" si="83"/>
        <v/>
      </c>
      <c r="I445" s="400"/>
      <c r="J445" s="400"/>
      <c r="K445" s="401" t="s">
        <v>3333</v>
      </c>
      <c r="L445" s="402" t="s">
        <v>4485</v>
      </c>
      <c r="M445" s="400"/>
      <c r="N445" s="427" t="s">
        <v>4417</v>
      </c>
      <c r="O445" s="428"/>
      <c r="P445" s="405" t="s">
        <v>3427</v>
      </c>
      <c r="Q445" s="403" t="s">
        <v>1478</v>
      </c>
      <c r="R445" s="403"/>
      <c r="S445" s="403"/>
      <c r="T445" s="403" t="s">
        <v>111</v>
      </c>
      <c r="U445" s="407"/>
      <c r="V445" s="405"/>
      <c r="W445" s="407"/>
      <c r="X445" s="403" t="s">
        <v>208</v>
      </c>
      <c r="Y445" s="403"/>
      <c r="Z445" s="403" t="s">
        <v>113</v>
      </c>
      <c r="AA445" s="403" t="s">
        <v>3178</v>
      </c>
      <c r="AB445" s="408"/>
      <c r="AC445" s="407"/>
      <c r="AD445" s="403"/>
      <c r="AE445" s="406"/>
      <c r="AF445" s="407"/>
      <c r="AG445" s="407"/>
      <c r="AH445" s="399"/>
      <c r="AI445" s="400"/>
      <c r="AJ445" s="399"/>
      <c r="AK445" s="409" t="s">
        <v>5910</v>
      </c>
      <c r="AL445" s="409"/>
      <c r="AM445" s="409" t="s">
        <v>3100</v>
      </c>
      <c r="AN445" s="409" t="s">
        <v>3101</v>
      </c>
      <c r="AO445" s="399"/>
      <c r="AP445" s="399"/>
      <c r="AQ445" s="409" t="s">
        <v>115</v>
      </c>
      <c r="AR445" s="399"/>
      <c r="AS445" s="399"/>
      <c r="AT445" s="399"/>
      <c r="AU445" s="399" t="s">
        <v>1478</v>
      </c>
      <c r="AV445" s="399" t="str">
        <f t="shared" si="81"/>
        <v>Changed</v>
      </c>
      <c r="AW445" s="399"/>
      <c r="AX445" s="409" t="s">
        <v>3343</v>
      </c>
      <c r="AY445" s="399" t="str">
        <f t="shared" si="82"/>
        <v>"Abnormal (specify)"-&gt;"Abnormal (specify) - Pelvic/genital examination outcome"</v>
      </c>
      <c r="AZ445" s="399"/>
      <c r="BA445" s="409">
        <v>0</v>
      </c>
      <c r="BB445" s="399"/>
      <c r="BC445" s="399"/>
      <c r="BD445" s="399"/>
      <c r="BE445" s="411"/>
      <c r="BF445" s="411"/>
      <c r="BG445" s="411"/>
      <c r="BH445" s="434" t="s">
        <v>5911</v>
      </c>
      <c r="BI445" s="411"/>
      <c r="BJ445" s="399"/>
      <c r="BK445" s="399"/>
      <c r="BL445" s="399"/>
      <c r="BM445" s="399"/>
      <c r="BN445" s="399"/>
      <c r="BO445" s="399"/>
      <c r="BP445" s="399"/>
      <c r="BQ445" s="399"/>
      <c r="BR445" s="399"/>
      <c r="BS445" s="407"/>
      <c r="BT445" s="407"/>
      <c r="BU445" s="412"/>
      <c r="BV445" s="46" t="str">
        <f t="shared" si="8"/>
        <v/>
      </c>
      <c r="BW445" s="46" t="str">
        <f t="shared" si="9"/>
        <v/>
      </c>
      <c r="BX445" s="46" t="str">
        <f t="shared" si="10"/>
        <v/>
      </c>
      <c r="BY445" s="43">
        <f t="shared" si="11"/>
        <v>0</v>
      </c>
      <c r="BZ445" s="46">
        <f t="shared" si="12"/>
        <v>1</v>
      </c>
      <c r="CA445" s="46">
        <f t="shared" si="13"/>
        <v>1</v>
      </c>
      <c r="CB445" s="46">
        <f t="shared" si="14"/>
        <v>1</v>
      </c>
      <c r="CC445" s="46">
        <f t="shared" si="15"/>
        <v>1</v>
      </c>
      <c r="CD445" s="46">
        <f t="shared" si="16"/>
        <v>1</v>
      </c>
      <c r="CE445" s="46">
        <f t="shared" si="17"/>
        <v>0</v>
      </c>
      <c r="CF445" s="46">
        <f t="shared" si="18"/>
        <v>0</v>
      </c>
      <c r="CG445" s="46" t="str">
        <f ca="1">IFERROR(__xludf.DUMMYFUNCTION("if(OR(BH445="""",LEFT(BH445,2)=""LA""),"""",IMPORTXML(CONCATENATE(""https://loinc.org/"",BH445,""/""),""//span[@id='lcn']""))"),"Physical findings of Pelvis Narrative")</f>
        <v>Physical findings of Pelvis Narrative</v>
      </c>
      <c r="CH445" s="46"/>
      <c r="CI445" s="46"/>
      <c r="CJ445" s="46"/>
      <c r="CK445" s="46"/>
      <c r="CL445" s="46"/>
      <c r="CM445" s="46"/>
      <c r="CN445" s="46"/>
      <c r="CO445" s="46"/>
      <c r="CP445" s="46"/>
      <c r="CQ445" s="46"/>
      <c r="CR445" s="46"/>
      <c r="CS445" s="46"/>
      <c r="CT445" s="46"/>
      <c r="CU445" s="46"/>
    </row>
    <row r="446" spans="1:99" ht="12.75" customHeight="1">
      <c r="A446" s="399">
        <v>1676</v>
      </c>
      <c r="B446" s="399" t="s">
        <v>2231</v>
      </c>
      <c r="C446" s="399">
        <f t="shared" si="77"/>
        <v>1676</v>
      </c>
      <c r="D446" s="399" t="e">
        <f t="shared" ca="1" si="78"/>
        <v>#NAME?</v>
      </c>
      <c r="E446" s="399" t="str">
        <f t="shared" si="79"/>
        <v>Blood haemoglobin test</v>
      </c>
      <c r="F446" s="409" t="s">
        <v>180</v>
      </c>
      <c r="G446" s="400">
        <f t="shared" si="80"/>
        <v>22</v>
      </c>
      <c r="H446" s="410" t="s">
        <v>4472</v>
      </c>
      <c r="I446" s="400"/>
      <c r="J446" s="400"/>
      <c r="K446" s="401" t="s">
        <v>3333</v>
      </c>
      <c r="L446" s="402" t="s">
        <v>4518</v>
      </c>
      <c r="M446" s="400"/>
      <c r="N446" s="427" t="s">
        <v>4417</v>
      </c>
      <c r="O446" s="428"/>
      <c r="P446" s="405" t="s">
        <v>5912</v>
      </c>
      <c r="Q446" s="405" t="s">
        <v>2231</v>
      </c>
      <c r="R446" s="403"/>
      <c r="S446" s="403"/>
      <c r="T446" s="405" t="s">
        <v>3169</v>
      </c>
      <c r="U446" s="431"/>
      <c r="V446" s="431" t="s">
        <v>3170</v>
      </c>
      <c r="W446" s="407"/>
      <c r="X446" s="405"/>
      <c r="Y446" s="405"/>
      <c r="Z446" s="403" t="s">
        <v>113</v>
      </c>
      <c r="AA446" s="407" t="s">
        <v>3178</v>
      </c>
      <c r="AB446" s="559" t="s">
        <v>4968</v>
      </c>
      <c r="AC446" s="448"/>
      <c r="AD446" s="449"/>
      <c r="AE446" s="429"/>
      <c r="AF446" s="448"/>
      <c r="AG446" s="431"/>
      <c r="AH446" s="399"/>
      <c r="AI446" s="400"/>
      <c r="AJ446" s="399"/>
      <c r="AK446" s="409"/>
      <c r="AL446" s="409"/>
      <c r="AM446" s="409"/>
      <c r="AN446" s="409"/>
      <c r="AO446" s="399"/>
      <c r="AP446" s="409"/>
      <c r="AQ446" s="409" t="s">
        <v>3130</v>
      </c>
      <c r="AR446" s="410" t="s">
        <v>4474</v>
      </c>
      <c r="AS446" s="410"/>
      <c r="AT446" s="399"/>
      <c r="AU446" s="399" t="s">
        <v>2231</v>
      </c>
      <c r="AV446" s="399" t="str">
        <f t="shared" si="81"/>
        <v>Same</v>
      </c>
      <c r="AW446" s="399"/>
      <c r="AX446" s="409" t="s">
        <v>3343</v>
      </c>
      <c r="AY446" s="399" t="e">
        <f t="shared" ca="1" si="82"/>
        <v>#NAME?</v>
      </c>
      <c r="AZ446" s="399"/>
      <c r="BA446" s="409">
        <v>1</v>
      </c>
      <c r="BB446" s="399"/>
      <c r="BC446" s="399"/>
      <c r="BD446" s="409" t="s">
        <v>3162</v>
      </c>
      <c r="BE446" s="411"/>
      <c r="BF446" s="411"/>
      <c r="BG446" s="434" t="s">
        <v>5913</v>
      </c>
      <c r="BH446" s="434" t="s">
        <v>5914</v>
      </c>
      <c r="BI446" s="411"/>
      <c r="BJ446" s="399"/>
      <c r="BK446" s="399"/>
      <c r="BL446" s="399"/>
      <c r="BM446" s="399"/>
      <c r="BN446" s="438" t="str">
        <f>HYPERLINK("https://github.com/who-int/Data-Dictionary-Mapping/issues/76","76")</f>
        <v>76</v>
      </c>
      <c r="BO446" s="399"/>
      <c r="BP446" s="399"/>
      <c r="BQ446" s="399"/>
      <c r="BR446" s="399"/>
      <c r="BS446" s="407"/>
      <c r="BT446" s="407"/>
      <c r="BU446" s="412"/>
      <c r="BV446" s="46" t="str">
        <f t="shared" si="8"/>
        <v/>
      </c>
      <c r="BW446" s="46">
        <f t="shared" si="9"/>
        <v>0</v>
      </c>
      <c r="BX446" s="46">
        <f t="shared" si="10"/>
        <v>0</v>
      </c>
      <c r="BY446" s="43" t="str">
        <f t="shared" si="11"/>
        <v>WHO-FP Observation (Medical Eligibility)</v>
      </c>
      <c r="BZ446" s="46">
        <f t="shared" si="12"/>
        <v>1</v>
      </c>
      <c r="CA446" s="46" t="str">
        <f t="shared" si="13"/>
        <v/>
      </c>
      <c r="CB446" s="46">
        <f t="shared" si="14"/>
        <v>1</v>
      </c>
      <c r="CC446" s="46">
        <f t="shared" si="15"/>
        <v>1</v>
      </c>
      <c r="CD446" s="46">
        <f t="shared" si="16"/>
        <v>1</v>
      </c>
      <c r="CE446" s="46">
        <f t="shared" si="17"/>
        <v>0</v>
      </c>
      <c r="CF446" s="46">
        <f t="shared" si="18"/>
        <v>0</v>
      </c>
      <c r="CG446" s="46" t="str">
        <f ca="1">IFERROR(__xludf.DUMMYFUNCTION("if(OR(BH446="""",LEFT(BH446,2)=""LA""),"""",IMPORTXML(CONCATENATE(""https://loinc.org/"",BH446,""/""),""//span[@id='lcn']""))"),"Hemoglobin [Mass/volume] in Blood")</f>
        <v>Hemoglobin [Mass/volume] in Blood</v>
      </c>
      <c r="CH446" s="46"/>
      <c r="CI446" s="46"/>
      <c r="CJ446" s="46"/>
      <c r="CK446" s="46"/>
      <c r="CL446" s="46"/>
      <c r="CM446" s="46"/>
      <c r="CN446" s="46"/>
      <c r="CO446" s="46"/>
      <c r="CP446" s="46"/>
      <c r="CQ446" s="46"/>
      <c r="CR446" s="46"/>
      <c r="CS446" s="46"/>
      <c r="CT446" s="46"/>
      <c r="CU446" s="46"/>
    </row>
    <row r="447" spans="1:99" ht="12.75" customHeight="1">
      <c r="A447" s="399">
        <v>1677</v>
      </c>
      <c r="B447" s="409" t="s">
        <v>5916</v>
      </c>
      <c r="C447" s="399">
        <f t="shared" si="77"/>
        <v>1677</v>
      </c>
      <c r="D447" s="399" t="e">
        <f t="shared" ca="1" si="78"/>
        <v>#NAME?</v>
      </c>
      <c r="E447" s="399" t="str">
        <f t="shared" si="79"/>
        <v>Blood pressure screening recommended</v>
      </c>
      <c r="F447" s="409" t="s">
        <v>180</v>
      </c>
      <c r="G447" s="400">
        <f t="shared" si="80"/>
        <v>43</v>
      </c>
      <c r="H447" s="409" t="s">
        <v>5899</v>
      </c>
      <c r="I447" s="400"/>
      <c r="J447" s="400"/>
      <c r="K447" s="401" t="s">
        <v>3333</v>
      </c>
      <c r="L447" s="402" t="s">
        <v>4518</v>
      </c>
      <c r="M447" s="400"/>
      <c r="N447" s="427" t="s">
        <v>4417</v>
      </c>
      <c r="O447" s="428"/>
      <c r="P447" s="403" t="s">
        <v>5917</v>
      </c>
      <c r="Q447" s="403" t="s">
        <v>5918</v>
      </c>
      <c r="R447" s="407"/>
      <c r="S447" s="405" t="s">
        <v>5919</v>
      </c>
      <c r="T447" s="405" t="s">
        <v>3169</v>
      </c>
      <c r="U447" s="431"/>
      <c r="V447" s="431" t="s">
        <v>3170</v>
      </c>
      <c r="W447" s="407"/>
      <c r="X447" s="403"/>
      <c r="Y447" s="405"/>
      <c r="Z447" s="403" t="s">
        <v>208</v>
      </c>
      <c r="AA447" s="405" t="s">
        <v>3178</v>
      </c>
      <c r="AB447" s="432" t="s">
        <v>5920</v>
      </c>
      <c r="AC447" s="421"/>
      <c r="AD447" s="436"/>
      <c r="AE447" s="406"/>
      <c r="AF447" s="432" t="s">
        <v>5921</v>
      </c>
      <c r="AG447" s="407"/>
      <c r="AH447" s="399"/>
      <c r="AI447" s="400"/>
      <c r="AJ447" s="399"/>
      <c r="AK447" s="440"/>
      <c r="AL447" s="399"/>
      <c r="AM447" s="399"/>
      <c r="AN447" s="399"/>
      <c r="AO447" s="399"/>
      <c r="AP447" s="409"/>
      <c r="AQ447" s="409" t="s">
        <v>3130</v>
      </c>
      <c r="AR447" s="399"/>
      <c r="AS447" s="399"/>
      <c r="AT447" s="399"/>
      <c r="AU447" s="399" t="s">
        <v>5918</v>
      </c>
      <c r="AV447" s="399" t="str">
        <f t="shared" si="81"/>
        <v>Changed</v>
      </c>
      <c r="AW447" s="399"/>
      <c r="AX447" s="409" t="s">
        <v>3343</v>
      </c>
      <c r="AY447" s="399" t="e">
        <f t="shared" ca="1" si="82"/>
        <v>#NAME?</v>
      </c>
      <c r="AZ447" s="399"/>
      <c r="BA447" s="409">
        <v>1</v>
      </c>
      <c r="BB447" s="399"/>
      <c r="BC447" s="399"/>
      <c r="BD447" s="399"/>
      <c r="BE447" s="411"/>
      <c r="BF447" s="411"/>
      <c r="BG447" s="619" t="s">
        <v>5922</v>
      </c>
      <c r="BH447" s="411"/>
      <c r="BI447" s="411"/>
      <c r="BJ447" s="399"/>
      <c r="BK447" s="409"/>
      <c r="BL447" s="409"/>
      <c r="BM447" s="409" t="s">
        <v>5923</v>
      </c>
      <c r="BN447" s="399"/>
      <c r="BO447" s="399"/>
      <c r="BP447" s="399"/>
      <c r="BQ447" s="399"/>
      <c r="BR447" s="399"/>
      <c r="BS447" s="407"/>
      <c r="BT447" s="407"/>
      <c r="BU447" s="412"/>
      <c r="BV447" s="46" t="str">
        <f t="shared" si="8"/>
        <v/>
      </c>
      <c r="BW447" s="46">
        <f t="shared" si="9"/>
        <v>0</v>
      </c>
      <c r="BX447" s="46">
        <f t="shared" si="10"/>
        <v>0</v>
      </c>
      <c r="BY447" s="43" t="str">
        <f t="shared" si="11"/>
        <v>WHO-FP CarePlan (Recommendation)</v>
      </c>
      <c r="BZ447" s="46">
        <f t="shared" si="12"/>
        <v>1</v>
      </c>
      <c r="CA447" s="46" t="str">
        <f t="shared" si="13"/>
        <v/>
      </c>
      <c r="CB447" s="46">
        <f t="shared" si="14"/>
        <v>1</v>
      </c>
      <c r="CC447" s="46">
        <f t="shared" si="15"/>
        <v>1</v>
      </c>
      <c r="CD447" s="46">
        <f t="shared" si="16"/>
        <v>1</v>
      </c>
      <c r="CE447" s="46">
        <f t="shared" si="17"/>
        <v>0</v>
      </c>
      <c r="CF447" s="46">
        <f t="shared" si="18"/>
        <v>0</v>
      </c>
      <c r="CG447" s="46" t="str">
        <f ca="1">IFERROR(__xludf.DUMMYFUNCTION("if(OR(BH447="""",LEFT(BH447,2)=""LA""),"""",IMPORTXML(CONCATENATE(""https://loinc.org/"",BH447,""/""),""//span[@id='lcn']""))"),"")</f>
        <v/>
      </c>
      <c r="CH447" s="46"/>
      <c r="CI447" s="46"/>
      <c r="CJ447" s="46"/>
      <c r="CK447" s="46"/>
      <c r="CL447" s="46"/>
      <c r="CM447" s="46"/>
      <c r="CN447" s="46"/>
      <c r="CO447" s="46"/>
      <c r="CP447" s="46"/>
      <c r="CQ447" s="46"/>
      <c r="CR447" s="46"/>
      <c r="CS447" s="46"/>
      <c r="CT447" s="46"/>
      <c r="CU447" s="46"/>
    </row>
    <row r="448" spans="1:99" ht="12.75" customHeight="1">
      <c r="A448" s="399">
        <v>1678</v>
      </c>
      <c r="B448" s="399" t="s">
        <v>5925</v>
      </c>
      <c r="C448" s="399">
        <f t="shared" si="77"/>
        <v>1678</v>
      </c>
      <c r="D448" s="399" t="str">
        <f t="shared" si="78"/>
        <v>STI/HIV Screening laboratory tests</v>
      </c>
      <c r="E448" s="399" t="str">
        <f t="shared" si="79"/>
        <v>STI/HIV Screening laboratory tests</v>
      </c>
      <c r="F448" s="409" t="s">
        <v>3164</v>
      </c>
      <c r="G448" s="400">
        <f t="shared" si="80"/>
        <v>34</v>
      </c>
      <c r="H448" s="400" t="str">
        <f t="shared" ref="H448:H456" si="84">IF(F448="Input Option",IF(H447="",B447,H447),"")</f>
        <v/>
      </c>
      <c r="I448" s="400"/>
      <c r="J448" s="400"/>
      <c r="K448" s="401" t="s">
        <v>3333</v>
      </c>
      <c r="L448" s="402" t="s">
        <v>887</v>
      </c>
      <c r="M448" s="400"/>
      <c r="N448" s="427" t="s">
        <v>4417</v>
      </c>
      <c r="O448" s="428"/>
      <c r="P448" s="405" t="s">
        <v>5926</v>
      </c>
      <c r="Q448" s="405" t="s">
        <v>5925</v>
      </c>
      <c r="R448" s="403"/>
      <c r="S448" s="403"/>
      <c r="T448" s="405"/>
      <c r="U448" s="431"/>
      <c r="V448" s="431"/>
      <c r="W448" s="407"/>
      <c r="X448" s="405" t="s">
        <v>208</v>
      </c>
      <c r="Y448" s="405"/>
      <c r="Z448" s="403" t="s">
        <v>113</v>
      </c>
      <c r="AA448" s="405" t="s">
        <v>1889</v>
      </c>
      <c r="AB448" s="419"/>
      <c r="AC448" s="431"/>
      <c r="AD448" s="405"/>
      <c r="AE448" s="419"/>
      <c r="AF448" s="431"/>
      <c r="AG448" s="431"/>
      <c r="AH448" s="399"/>
      <c r="AI448" s="400"/>
      <c r="AJ448" s="399"/>
      <c r="AK448" s="399"/>
      <c r="AL448" s="399"/>
      <c r="AM448" s="399"/>
      <c r="AN448" s="399"/>
      <c r="AO448" s="399"/>
      <c r="AP448" s="399"/>
      <c r="AQ448" s="409" t="s">
        <v>115</v>
      </c>
      <c r="AR448" s="399"/>
      <c r="AS448" s="399"/>
      <c r="AT448" s="399"/>
      <c r="AU448" s="399" t="s">
        <v>5925</v>
      </c>
      <c r="AV448" s="399" t="str">
        <f t="shared" si="81"/>
        <v>Same</v>
      </c>
      <c r="AW448" s="399"/>
      <c r="AX448" s="409" t="s">
        <v>3343</v>
      </c>
      <c r="AY448" s="399" t="str">
        <f t="shared" si="82"/>
        <v/>
      </c>
      <c r="AZ448" s="399"/>
      <c r="BA448" s="409">
        <v>0</v>
      </c>
      <c r="BB448" s="399"/>
      <c r="BC448" s="399"/>
      <c r="BD448" s="399"/>
      <c r="BE448" s="411"/>
      <c r="BF448" s="411"/>
      <c r="BG448" s="411"/>
      <c r="BH448" s="411"/>
      <c r="BI448" s="411"/>
      <c r="BJ448" s="409" t="s">
        <v>3106</v>
      </c>
      <c r="BK448" s="399"/>
      <c r="BL448" s="399"/>
      <c r="BM448" s="399"/>
      <c r="BN448" s="399"/>
      <c r="BO448" s="399"/>
      <c r="BP448" s="399"/>
      <c r="BQ448" s="399"/>
      <c r="BR448" s="399"/>
      <c r="BS448" s="407"/>
      <c r="BT448" s="407"/>
      <c r="BU448" s="412"/>
      <c r="BV448" s="46" t="str">
        <f t="shared" si="8"/>
        <v/>
      </c>
      <c r="BW448" s="46" t="str">
        <f t="shared" si="9"/>
        <v/>
      </c>
      <c r="BX448" s="46" t="str">
        <f t="shared" si="10"/>
        <v/>
      </c>
      <c r="BY448" s="43" t="str">
        <f t="shared" si="11"/>
        <v/>
      </c>
      <c r="BZ448" s="46">
        <f t="shared" si="12"/>
        <v>1</v>
      </c>
      <c r="CA448" s="46" t="str">
        <f t="shared" si="13"/>
        <v/>
      </c>
      <c r="CB448" s="46">
        <f t="shared" si="14"/>
        <v>1</v>
      </c>
      <c r="CC448" s="46">
        <f t="shared" si="15"/>
        <v>1</v>
      </c>
      <c r="CD448" s="46">
        <f t="shared" si="16"/>
        <v>1</v>
      </c>
      <c r="CE448" s="46">
        <f t="shared" si="17"/>
        <v>0</v>
      </c>
      <c r="CF448" s="46">
        <f t="shared" si="18"/>
        <v>0</v>
      </c>
      <c r="CG448" s="46" t="str">
        <f ca="1">IFERROR(__xludf.DUMMYFUNCTION("if(OR(BH448="""",LEFT(BH448,2)=""LA""),"""",IMPORTXML(CONCATENATE(""https://loinc.org/"",BH448,""/""),""//span[@id='lcn']""))"),"")</f>
        <v/>
      </c>
      <c r="CH448" s="46"/>
      <c r="CI448" s="46"/>
      <c r="CJ448" s="46"/>
      <c r="CK448" s="46"/>
      <c r="CL448" s="46"/>
      <c r="CM448" s="46"/>
      <c r="CN448" s="46"/>
      <c r="CO448" s="46"/>
      <c r="CP448" s="46"/>
      <c r="CQ448" s="46"/>
      <c r="CR448" s="46"/>
      <c r="CS448" s="46"/>
      <c r="CT448" s="46"/>
      <c r="CU448" s="46"/>
    </row>
    <row r="449" spans="1:99" ht="12.75" customHeight="1">
      <c r="A449" s="399">
        <v>1679</v>
      </c>
      <c r="B449" s="399" t="s">
        <v>5927</v>
      </c>
      <c r="C449" s="399">
        <f t="shared" si="77"/>
        <v>1679</v>
      </c>
      <c r="D449" s="399" t="str">
        <f t="shared" si="78"/>
        <v>HIV test not done</v>
      </c>
      <c r="E449" s="399" t="str">
        <f t="shared" si="79"/>
        <v>HIV test not done</v>
      </c>
      <c r="F449" s="409" t="s">
        <v>3164</v>
      </c>
      <c r="G449" s="400">
        <f t="shared" si="80"/>
        <v>17</v>
      </c>
      <c r="H449" s="400" t="str">
        <f t="shared" si="84"/>
        <v/>
      </c>
      <c r="I449" s="400"/>
      <c r="J449" s="400"/>
      <c r="K449" s="401" t="s">
        <v>3333</v>
      </c>
      <c r="L449" s="402" t="s">
        <v>887</v>
      </c>
      <c r="M449" s="400"/>
      <c r="N449" s="427" t="s">
        <v>4417</v>
      </c>
      <c r="O449" s="428"/>
      <c r="P449" s="405" t="s">
        <v>5928</v>
      </c>
      <c r="Q449" s="403" t="s">
        <v>5927</v>
      </c>
      <c r="R449" s="403"/>
      <c r="S449" s="403"/>
      <c r="T449" s="405" t="s">
        <v>3169</v>
      </c>
      <c r="U449" s="431"/>
      <c r="V449" s="431" t="s">
        <v>3170</v>
      </c>
      <c r="W449" s="407"/>
      <c r="X449" s="405" t="s">
        <v>208</v>
      </c>
      <c r="Y449" s="405"/>
      <c r="Z449" s="403" t="s">
        <v>113</v>
      </c>
      <c r="AA449" s="405" t="s">
        <v>1889</v>
      </c>
      <c r="AB449" s="419"/>
      <c r="AC449" s="431"/>
      <c r="AD449" s="405"/>
      <c r="AE449" s="419"/>
      <c r="AF449" s="431"/>
      <c r="AG449" s="431"/>
      <c r="AH449" s="399"/>
      <c r="AI449" s="400"/>
      <c r="AJ449" s="399"/>
      <c r="AK449" s="399"/>
      <c r="AL449" s="399"/>
      <c r="AM449" s="399"/>
      <c r="AN449" s="399"/>
      <c r="AO449" s="399"/>
      <c r="AP449" s="399"/>
      <c r="AQ449" s="409" t="s">
        <v>115</v>
      </c>
      <c r="AR449" s="399"/>
      <c r="AS449" s="399"/>
      <c r="AT449" s="399"/>
      <c r="AU449" s="399" t="s">
        <v>5927</v>
      </c>
      <c r="AV449" s="399" t="str">
        <f t="shared" si="81"/>
        <v>Same</v>
      </c>
      <c r="AW449" s="399"/>
      <c r="AX449" s="409" t="s">
        <v>3343</v>
      </c>
      <c r="AY449" s="399" t="str">
        <f t="shared" si="82"/>
        <v/>
      </c>
      <c r="AZ449" s="399"/>
      <c r="BA449" s="409">
        <v>0</v>
      </c>
      <c r="BB449" s="399"/>
      <c r="BC449" s="399"/>
      <c r="BD449" s="399"/>
      <c r="BE449" s="411"/>
      <c r="BF449" s="411"/>
      <c r="BG449" s="411"/>
      <c r="BH449" s="411"/>
      <c r="BI449" s="411"/>
      <c r="BJ449" s="399"/>
      <c r="BK449" s="399"/>
      <c r="BL449" s="399"/>
      <c r="BM449" s="399"/>
      <c r="BN449" s="399"/>
      <c r="BO449" s="399"/>
      <c r="BP449" s="399"/>
      <c r="BQ449" s="399"/>
      <c r="BR449" s="399"/>
      <c r="BS449" s="407"/>
      <c r="BT449" s="407"/>
      <c r="BU449" s="412"/>
      <c r="BV449" s="46" t="str">
        <f t="shared" si="8"/>
        <v/>
      </c>
      <c r="BW449" s="46" t="str">
        <f t="shared" si="9"/>
        <v/>
      </c>
      <c r="BX449" s="46" t="str">
        <f t="shared" si="10"/>
        <v/>
      </c>
      <c r="BY449" s="43" t="str">
        <f t="shared" si="11"/>
        <v/>
      </c>
      <c r="BZ449" s="46">
        <f t="shared" si="12"/>
        <v>1</v>
      </c>
      <c r="CA449" s="46" t="str">
        <f t="shared" si="13"/>
        <v/>
      </c>
      <c r="CB449" s="46">
        <f t="shared" si="14"/>
        <v>1</v>
      </c>
      <c r="CC449" s="46">
        <f t="shared" si="15"/>
        <v>1</v>
      </c>
      <c r="CD449" s="46">
        <f t="shared" si="16"/>
        <v>1</v>
      </c>
      <c r="CE449" s="46">
        <f t="shared" si="17"/>
        <v>0</v>
      </c>
      <c r="CF449" s="46">
        <f t="shared" si="18"/>
        <v>0</v>
      </c>
      <c r="CG449" s="46" t="str">
        <f ca="1">IFERROR(__xludf.DUMMYFUNCTION("if(OR(BH449="""",LEFT(BH449,2)=""LA""),"""",IMPORTXML(CONCATENATE(""https://loinc.org/"",BH449,""/""),""//span[@id='lcn']""))"),"")</f>
        <v/>
      </c>
      <c r="CH449" s="46"/>
      <c r="CI449" s="46"/>
      <c r="CJ449" s="46"/>
      <c r="CK449" s="46"/>
      <c r="CL449" s="46"/>
      <c r="CM449" s="46"/>
      <c r="CN449" s="46"/>
      <c r="CO449" s="46"/>
      <c r="CP449" s="46"/>
      <c r="CQ449" s="46"/>
      <c r="CR449" s="46"/>
      <c r="CS449" s="46"/>
      <c r="CT449" s="46"/>
      <c r="CU449" s="46"/>
    </row>
    <row r="450" spans="1:99" ht="12.75" customHeight="1">
      <c r="A450" s="399">
        <v>1680</v>
      </c>
      <c r="B450" s="399" t="s">
        <v>5929</v>
      </c>
      <c r="C450" s="399">
        <f t="shared" si="77"/>
        <v>1680</v>
      </c>
      <c r="D450" s="399" t="str">
        <f t="shared" si="78"/>
        <v xml:space="preserve">Date of Last HIV Screen </v>
      </c>
      <c r="E450" s="399" t="str">
        <f t="shared" si="79"/>
        <v xml:space="preserve">Date of Last HIV Screen </v>
      </c>
      <c r="F450" s="399" t="str">
        <f t="shared" ref="F450:F456" si="85">IF(AND(ISBLANK(V450)=FALSE,OR(T450="MC",T450="")),"Input Option","Data Element")</f>
        <v>Data Element</v>
      </c>
      <c r="G450" s="400">
        <f t="shared" si="80"/>
        <v>24</v>
      </c>
      <c r="H450" s="400" t="str">
        <f t="shared" si="84"/>
        <v/>
      </c>
      <c r="I450" s="400"/>
      <c r="J450" s="400"/>
      <c r="K450" s="402" t="s">
        <v>3475</v>
      </c>
      <c r="L450" s="402" t="s">
        <v>887</v>
      </c>
      <c r="M450" s="400"/>
      <c r="N450" s="456" t="s">
        <v>5930</v>
      </c>
      <c r="O450" s="41" t="s">
        <v>5931</v>
      </c>
      <c r="P450" s="454" t="s">
        <v>5932</v>
      </c>
      <c r="Q450" s="403" t="s">
        <v>5929</v>
      </c>
      <c r="R450" s="403"/>
      <c r="S450" s="403" t="s">
        <v>5933</v>
      </c>
      <c r="T450" s="403"/>
      <c r="U450" s="407"/>
      <c r="V450" s="407"/>
      <c r="W450" s="407"/>
      <c r="X450" s="405" t="s">
        <v>208</v>
      </c>
      <c r="Y450" s="403"/>
      <c r="Z450" s="403" t="s">
        <v>113</v>
      </c>
      <c r="AA450" s="405" t="s">
        <v>1889</v>
      </c>
      <c r="AB450" s="408"/>
      <c r="AC450" s="407"/>
      <c r="AD450" s="403"/>
      <c r="AE450" s="406"/>
      <c r="AF450" s="407"/>
      <c r="AG450" s="407"/>
      <c r="AH450" s="399"/>
      <c r="AI450" s="400"/>
      <c r="AJ450" s="399"/>
      <c r="AK450" s="440" t="s">
        <v>4471</v>
      </c>
      <c r="AL450" s="409" t="s">
        <v>3513</v>
      </c>
      <c r="AM450" s="409" t="s">
        <v>3100</v>
      </c>
      <c r="AN450" s="409" t="s">
        <v>3101</v>
      </c>
      <c r="AO450" s="409"/>
      <c r="AP450" s="409" t="s">
        <v>5934</v>
      </c>
      <c r="AQ450" s="409" t="s">
        <v>3424</v>
      </c>
      <c r="AR450" s="399"/>
      <c r="AS450" s="399"/>
      <c r="AT450" s="399"/>
      <c r="AU450" s="399" t="s">
        <v>5929</v>
      </c>
      <c r="AV450" s="399" t="str">
        <f t="shared" si="81"/>
        <v>Same</v>
      </c>
      <c r="AW450" s="399"/>
      <c r="AX450" s="409" t="s">
        <v>3104</v>
      </c>
      <c r="AY450" s="399" t="str">
        <f t="shared" si="82"/>
        <v/>
      </c>
      <c r="AZ450" s="399"/>
      <c r="BA450" s="409" t="s">
        <v>3125</v>
      </c>
      <c r="BB450" s="399"/>
      <c r="BC450" s="399"/>
      <c r="BD450" s="409" t="s">
        <v>5935</v>
      </c>
      <c r="BE450" s="411" t="s">
        <v>5936</v>
      </c>
      <c r="BF450" s="411" t="s">
        <v>1787</v>
      </c>
      <c r="BG450" s="434" t="s">
        <v>5937</v>
      </c>
      <c r="BH450" s="411"/>
      <c r="BI450" s="411"/>
      <c r="BJ450" s="399"/>
      <c r="BK450" s="399"/>
      <c r="BL450" s="399"/>
      <c r="BM450" s="399"/>
      <c r="BN450" s="399"/>
      <c r="BO450" s="399"/>
      <c r="BP450" s="399"/>
      <c r="BQ450" s="399"/>
      <c r="BR450" s="399"/>
      <c r="BS450" s="407"/>
      <c r="BT450" s="407"/>
      <c r="BU450" s="412"/>
      <c r="BV450" s="46" t="str">
        <f t="shared" si="8"/>
        <v>Observation</v>
      </c>
      <c r="BW450" s="46" t="str">
        <f t="shared" si="9"/>
        <v/>
      </c>
      <c r="BX450" s="46" t="str">
        <f t="shared" si="10"/>
        <v>Observation</v>
      </c>
      <c r="BY450" s="43" t="str">
        <f t="shared" si="11"/>
        <v>WHO-Core Observation (HIV Test)</v>
      </c>
      <c r="BZ450" s="46">
        <f t="shared" si="12"/>
        <v>1</v>
      </c>
      <c r="CA450" s="46">
        <f t="shared" si="13"/>
        <v>0</v>
      </c>
      <c r="CB450" s="46">
        <f t="shared" si="14"/>
        <v>1</v>
      </c>
      <c r="CC450" s="46">
        <f t="shared" si="15"/>
        <v>1</v>
      </c>
      <c r="CD450" s="46">
        <f t="shared" si="16"/>
        <v>1</v>
      </c>
      <c r="CE450" s="46">
        <f t="shared" si="17"/>
        <v>0</v>
      </c>
      <c r="CF450" s="46">
        <f t="shared" si="18"/>
        <v>0</v>
      </c>
      <c r="CG450" s="46" t="str">
        <f ca="1">IFERROR(__xludf.DUMMYFUNCTION("if(OR(BH450="""",LEFT(BH450,2)=""LA""),"""",IMPORTXML(CONCATENATE(""https://loinc.org/"",BH450,""/""),""//span[@id='lcn']""))"),"")</f>
        <v/>
      </c>
      <c r="CH450" s="46"/>
      <c r="CI450" s="46"/>
      <c r="CJ450" s="46"/>
      <c r="CK450" s="46"/>
      <c r="CL450" s="46"/>
      <c r="CM450" s="46"/>
      <c r="CN450" s="46"/>
      <c r="CO450" s="46"/>
      <c r="CP450" s="46"/>
      <c r="CQ450" s="46"/>
      <c r="CR450" s="46"/>
      <c r="CS450" s="46"/>
      <c r="CT450" s="46"/>
      <c r="CU450" s="46"/>
    </row>
    <row r="451" spans="1:99" ht="12.75" customHeight="1">
      <c r="A451" s="409">
        <v>1681</v>
      </c>
      <c r="B451" s="399" t="s">
        <v>5939</v>
      </c>
      <c r="C451" s="399">
        <f t="shared" si="77"/>
        <v>1681</v>
      </c>
      <c r="D451" s="399" t="str">
        <f t="shared" si="78"/>
        <v xml:space="preserve">HIV Test Result </v>
      </c>
      <c r="E451" s="399" t="str">
        <f t="shared" si="79"/>
        <v xml:space="preserve">HIV Test Result </v>
      </c>
      <c r="F451" s="399" t="str">
        <f t="shared" si="85"/>
        <v>Data Element</v>
      </c>
      <c r="G451" s="400">
        <f t="shared" si="80"/>
        <v>16</v>
      </c>
      <c r="H451" s="400" t="str">
        <f t="shared" si="84"/>
        <v/>
      </c>
      <c r="I451" s="400"/>
      <c r="J451" s="400"/>
      <c r="K451" s="401" t="s">
        <v>3333</v>
      </c>
      <c r="L451" s="402" t="s">
        <v>887</v>
      </c>
      <c r="M451" s="400"/>
      <c r="N451" s="427" t="s">
        <v>4417</v>
      </c>
      <c r="O451" s="428"/>
      <c r="P451" s="403" t="s">
        <v>5940</v>
      </c>
      <c r="Q451" s="403" t="s">
        <v>5939</v>
      </c>
      <c r="R451" s="403"/>
      <c r="S451" s="403" t="s">
        <v>5941</v>
      </c>
      <c r="T451" s="403" t="s">
        <v>3339</v>
      </c>
      <c r="U451" s="407" t="s">
        <v>3243</v>
      </c>
      <c r="V451" s="407"/>
      <c r="W451" s="407"/>
      <c r="X451" s="405" t="s">
        <v>208</v>
      </c>
      <c r="Y451" s="403"/>
      <c r="Z451" s="403" t="s">
        <v>113</v>
      </c>
      <c r="AA451" s="405" t="s">
        <v>1889</v>
      </c>
      <c r="AB451" s="408"/>
      <c r="AC451" s="407"/>
      <c r="AD451" s="403"/>
      <c r="AE451" s="406"/>
      <c r="AF451" s="432" t="s">
        <v>5942</v>
      </c>
      <c r="AG451" s="421"/>
      <c r="AH451" s="399"/>
      <c r="AI451" s="400"/>
      <c r="AJ451" s="399"/>
      <c r="AK451" s="440" t="s">
        <v>3410</v>
      </c>
      <c r="AL451" s="409" t="s">
        <v>3181</v>
      </c>
      <c r="AM451" s="409" t="s">
        <v>3100</v>
      </c>
      <c r="AN451" s="409" t="s">
        <v>3101</v>
      </c>
      <c r="AO451" s="399"/>
      <c r="AP451" s="409" t="s">
        <v>5934</v>
      </c>
      <c r="AQ451" s="409" t="s">
        <v>3424</v>
      </c>
      <c r="AR451" s="399"/>
      <c r="AS451" s="409"/>
      <c r="AT451" s="399"/>
      <c r="AU451" s="399" t="s">
        <v>5943</v>
      </c>
      <c r="AV451" s="399" t="str">
        <f t="shared" si="81"/>
        <v>Changed</v>
      </c>
      <c r="AW451" s="399"/>
      <c r="AX451" s="409" t="s">
        <v>3104</v>
      </c>
      <c r="AY451" s="399" t="str">
        <f t="shared" si="82"/>
        <v/>
      </c>
      <c r="AZ451" s="399"/>
      <c r="BA451" s="409" t="s">
        <v>3125</v>
      </c>
      <c r="BB451" s="399"/>
      <c r="BC451" s="399"/>
      <c r="BD451" s="399"/>
      <c r="BE451" s="411"/>
      <c r="BF451" s="411"/>
      <c r="BG451" s="411"/>
      <c r="BH451" s="411"/>
      <c r="BI451" s="411"/>
      <c r="BJ451" s="409" t="s">
        <v>3106</v>
      </c>
      <c r="BK451" s="399"/>
      <c r="BL451" s="409" t="s">
        <v>3162</v>
      </c>
      <c r="BM451" s="409" t="s">
        <v>5944</v>
      </c>
      <c r="BN451" s="399"/>
      <c r="BO451" s="399"/>
      <c r="BP451" s="399"/>
      <c r="BQ451" s="399"/>
      <c r="BR451" s="399"/>
      <c r="BS451" s="407"/>
      <c r="BT451" s="407"/>
      <c r="BU451" s="412"/>
      <c r="BV451" s="46" t="str">
        <f t="shared" si="8"/>
        <v>Observation</v>
      </c>
      <c r="BW451" s="46" t="str">
        <f t="shared" si="9"/>
        <v/>
      </c>
      <c r="BX451" s="46" t="str">
        <f t="shared" si="10"/>
        <v>Observation</v>
      </c>
      <c r="BY451" s="43" t="str">
        <f t="shared" si="11"/>
        <v>WHO-Core Observation (HIV Test)</v>
      </c>
      <c r="BZ451" s="46">
        <f t="shared" si="12"/>
        <v>1</v>
      </c>
      <c r="CA451" s="46">
        <f t="shared" si="13"/>
        <v>1</v>
      </c>
      <c r="CB451" s="46">
        <f t="shared" si="14"/>
        <v>1</v>
      </c>
      <c r="CC451" s="46">
        <f t="shared" si="15"/>
        <v>1</v>
      </c>
      <c r="CD451" s="46">
        <f t="shared" si="16"/>
        <v>1</v>
      </c>
      <c r="CE451" s="46">
        <f t="shared" si="17"/>
        <v>0</v>
      </c>
      <c r="CF451" s="46">
        <f t="shared" si="18"/>
        <v>0</v>
      </c>
      <c r="CG451" s="46" t="str">
        <f ca="1">IFERROR(__xludf.DUMMYFUNCTION("if(OR(BH451="""",LEFT(BH451,2)=""LA""),"""",IMPORTXML(CONCATENATE(""https://loinc.org/"",BH451,""/""),""//span[@id='lcn']""))"),"")</f>
        <v/>
      </c>
      <c r="CH451" s="46"/>
      <c r="CI451" s="46"/>
      <c r="CJ451" s="46"/>
      <c r="CK451" s="46"/>
      <c r="CL451" s="46"/>
      <c r="CM451" s="46"/>
      <c r="CN451" s="46"/>
      <c r="CO451" s="46"/>
      <c r="CP451" s="46"/>
      <c r="CQ451" s="46"/>
      <c r="CR451" s="46"/>
      <c r="CS451" s="46"/>
      <c r="CT451" s="46"/>
      <c r="CU451" s="46"/>
    </row>
    <row r="452" spans="1:99" ht="12.75" customHeight="1">
      <c r="A452" s="409">
        <v>1869</v>
      </c>
      <c r="B452" s="399" t="s">
        <v>1302</v>
      </c>
      <c r="C452" s="399">
        <f t="shared" si="77"/>
        <v>1869</v>
      </c>
      <c r="D452" s="399" t="e">
        <f t="shared" ca="1" si="78"/>
        <v>#NAME?</v>
      </c>
      <c r="E452" s="399" t="str">
        <f t="shared" si="79"/>
        <v>Positive</v>
      </c>
      <c r="F452" s="399" t="str">
        <f t="shared" si="85"/>
        <v>Input Option</v>
      </c>
      <c r="G452" s="400">
        <f t="shared" si="80"/>
        <v>15</v>
      </c>
      <c r="H452" s="399" t="str">
        <f t="shared" si="84"/>
        <v xml:space="preserve">HIV Test Result </v>
      </c>
      <c r="I452" s="400"/>
      <c r="J452" s="400"/>
      <c r="K452" s="401" t="s">
        <v>3333</v>
      </c>
      <c r="L452" s="402" t="s">
        <v>887</v>
      </c>
      <c r="M452" s="400"/>
      <c r="N452" s="427" t="s">
        <v>4417</v>
      </c>
      <c r="O452" s="428"/>
      <c r="P452" s="403"/>
      <c r="Q452" s="403"/>
      <c r="R452" s="403"/>
      <c r="S452" s="403"/>
      <c r="T452" s="403"/>
      <c r="U452" s="407"/>
      <c r="V452" s="407" t="s">
        <v>1122</v>
      </c>
      <c r="W452" s="407"/>
      <c r="X452" s="405" t="s">
        <v>208</v>
      </c>
      <c r="Y452" s="403"/>
      <c r="Z452" s="403" t="s">
        <v>113</v>
      </c>
      <c r="AA452" s="405" t="s">
        <v>1889</v>
      </c>
      <c r="AB452" s="408"/>
      <c r="AC452" s="407"/>
      <c r="AD452" s="403"/>
      <c r="AE452" s="406"/>
      <c r="AF452" s="407"/>
      <c r="AG452" s="407"/>
      <c r="AH452" s="399"/>
      <c r="AI452" s="400"/>
      <c r="AJ452" s="399" t="s">
        <v>1787</v>
      </c>
      <c r="AK452" s="399"/>
      <c r="AL452" s="409"/>
      <c r="AM452" s="409"/>
      <c r="AN452" s="409"/>
      <c r="AO452" s="399" t="s">
        <v>1787</v>
      </c>
      <c r="AP452" s="399"/>
      <c r="AQ452" s="409" t="s">
        <v>3130</v>
      </c>
      <c r="AR452" s="399"/>
      <c r="AS452" s="399"/>
      <c r="AT452" s="399"/>
      <c r="AU452" s="399"/>
      <c r="AV452" s="399" t="str">
        <f t="shared" si="81"/>
        <v/>
      </c>
      <c r="AW452" s="399"/>
      <c r="AX452" s="409" t="s">
        <v>3104</v>
      </c>
      <c r="AY452" s="399" t="e">
        <f t="shared" ca="1" si="82"/>
        <v>#NAME?</v>
      </c>
      <c r="AZ452" s="399"/>
      <c r="BA452" s="409" t="s">
        <v>3125</v>
      </c>
      <c r="BB452" s="399"/>
      <c r="BC452" s="399" t="s">
        <v>1787</v>
      </c>
      <c r="BD452" s="399" t="s">
        <v>1787</v>
      </c>
      <c r="BE452" s="434" t="s">
        <v>919</v>
      </c>
      <c r="BF452" s="411" t="s">
        <v>1787</v>
      </c>
      <c r="BG452" s="434" t="s">
        <v>5945</v>
      </c>
      <c r="BH452" s="411"/>
      <c r="BI452" s="411"/>
      <c r="BJ452" s="399" t="s">
        <v>1787</v>
      </c>
      <c r="BK452" s="409" t="s">
        <v>5946</v>
      </c>
      <c r="BL452" s="399"/>
      <c r="BM452" s="399" t="s">
        <v>1787</v>
      </c>
      <c r="BN452" s="399" t="s">
        <v>1787</v>
      </c>
      <c r="BO452" s="399" t="s">
        <v>1787</v>
      </c>
      <c r="BP452" s="399" t="s">
        <v>1787</v>
      </c>
      <c r="BQ452" s="399" t="s">
        <v>1787</v>
      </c>
      <c r="BR452" s="399" t="s">
        <v>1787</v>
      </c>
      <c r="BS452" s="407"/>
      <c r="BT452" s="407"/>
      <c r="BU452" s="412"/>
      <c r="BV452" s="46" t="str">
        <f t="shared" si="8"/>
        <v/>
      </c>
      <c r="BW452" s="46">
        <f t="shared" si="9"/>
        <v>0</v>
      </c>
      <c r="BX452" s="46">
        <f t="shared" si="10"/>
        <v>0</v>
      </c>
      <c r="BY452" s="43" t="str">
        <f t="shared" si="11"/>
        <v>WHO-Core Observation (HIV Test)</v>
      </c>
      <c r="BZ452" s="46">
        <f t="shared" si="12"/>
        <v>1</v>
      </c>
      <c r="CA452" s="46" t="str">
        <f t="shared" si="13"/>
        <v/>
      </c>
      <c r="CB452" s="46">
        <f t="shared" si="14"/>
        <v>1</v>
      </c>
      <c r="CC452" s="46">
        <f t="shared" si="15"/>
        <v>1</v>
      </c>
      <c r="CD452" s="46">
        <f t="shared" si="16"/>
        <v>1</v>
      </c>
      <c r="CE452" s="46">
        <f t="shared" si="17"/>
        <v>0</v>
      </c>
      <c r="CF452" s="46">
        <f t="shared" si="18"/>
        <v>0</v>
      </c>
      <c r="CG452" s="46" t="str">
        <f ca="1">IFERROR(__xludf.DUMMYFUNCTION("if(OR(BH452="""",LEFT(BH452,2)=""LA""),"""",IMPORTXML(CONCATENATE(""https://loinc.org/"",BH452,""/""),""//span[@id='lcn']""))"),"")</f>
        <v/>
      </c>
      <c r="CH452" s="46"/>
      <c r="CI452" s="46"/>
      <c r="CJ452" s="46"/>
      <c r="CK452" s="46"/>
      <c r="CL452" s="46"/>
      <c r="CM452" s="46"/>
      <c r="CN452" s="46"/>
      <c r="CO452" s="46"/>
      <c r="CP452" s="46"/>
      <c r="CQ452" s="46"/>
      <c r="CR452" s="46"/>
      <c r="CS452" s="46"/>
      <c r="CT452" s="46"/>
      <c r="CU452" s="46"/>
    </row>
    <row r="453" spans="1:99" ht="12.75" customHeight="1">
      <c r="A453" s="409">
        <v>1870</v>
      </c>
      <c r="B453" s="399" t="s">
        <v>1305</v>
      </c>
      <c r="C453" s="399">
        <f t="shared" si="77"/>
        <v>1870</v>
      </c>
      <c r="D453" s="399" t="e">
        <f t="shared" ca="1" si="78"/>
        <v>#NAME?</v>
      </c>
      <c r="E453" s="399" t="str">
        <f t="shared" si="79"/>
        <v>Negative</v>
      </c>
      <c r="F453" s="399" t="str">
        <f t="shared" si="85"/>
        <v>Input Option</v>
      </c>
      <c r="G453" s="400">
        <f t="shared" si="80"/>
        <v>15</v>
      </c>
      <c r="H453" s="399" t="str">
        <f t="shared" si="84"/>
        <v xml:space="preserve">HIV Test Result </v>
      </c>
      <c r="I453" s="400"/>
      <c r="J453" s="400"/>
      <c r="K453" s="401" t="s">
        <v>3333</v>
      </c>
      <c r="L453" s="402" t="s">
        <v>887</v>
      </c>
      <c r="M453" s="400"/>
      <c r="N453" s="427" t="s">
        <v>4417</v>
      </c>
      <c r="O453" s="428"/>
      <c r="P453" s="403"/>
      <c r="Q453" s="403"/>
      <c r="R453" s="403"/>
      <c r="S453" s="403"/>
      <c r="T453" s="403"/>
      <c r="U453" s="407"/>
      <c r="V453" s="407" t="s">
        <v>1126</v>
      </c>
      <c r="W453" s="407"/>
      <c r="X453" s="405" t="s">
        <v>208</v>
      </c>
      <c r="Y453" s="403"/>
      <c r="Z453" s="403" t="s">
        <v>113</v>
      </c>
      <c r="AA453" s="405" t="s">
        <v>1889</v>
      </c>
      <c r="AB453" s="408"/>
      <c r="AC453" s="407"/>
      <c r="AD453" s="403"/>
      <c r="AE453" s="406"/>
      <c r="AF453" s="407"/>
      <c r="AG453" s="407"/>
      <c r="AH453" s="399"/>
      <c r="AI453" s="400"/>
      <c r="AJ453" s="399" t="s">
        <v>1787</v>
      </c>
      <c r="AK453" s="399"/>
      <c r="AL453" s="409"/>
      <c r="AM453" s="409"/>
      <c r="AN453" s="409"/>
      <c r="AO453" s="399" t="s">
        <v>1787</v>
      </c>
      <c r="AP453" s="399"/>
      <c r="AQ453" s="409" t="s">
        <v>3130</v>
      </c>
      <c r="AR453" s="399"/>
      <c r="AS453" s="399"/>
      <c r="AT453" s="399"/>
      <c r="AU453" s="399"/>
      <c r="AV453" s="399" t="str">
        <f t="shared" si="81"/>
        <v/>
      </c>
      <c r="AW453" s="399"/>
      <c r="AX453" s="409" t="s">
        <v>3104</v>
      </c>
      <c r="AY453" s="399" t="e">
        <f t="shared" ca="1" si="82"/>
        <v>#NAME?</v>
      </c>
      <c r="AZ453" s="399"/>
      <c r="BA453" s="409" t="s">
        <v>3125</v>
      </c>
      <c r="BB453" s="399"/>
      <c r="BC453" s="399" t="s">
        <v>1787</v>
      </c>
      <c r="BD453" s="399" t="s">
        <v>1787</v>
      </c>
      <c r="BE453" s="411"/>
      <c r="BF453" s="411" t="s">
        <v>1787</v>
      </c>
      <c r="BG453" s="434" t="s">
        <v>5947</v>
      </c>
      <c r="BH453" s="411"/>
      <c r="BI453" s="411"/>
      <c r="BJ453" s="399" t="s">
        <v>1787</v>
      </c>
      <c r="BK453" s="409" t="s">
        <v>5948</v>
      </c>
      <c r="BL453" s="399"/>
      <c r="BM453" s="399" t="s">
        <v>1787</v>
      </c>
      <c r="BN453" s="399" t="s">
        <v>1787</v>
      </c>
      <c r="BO453" s="399" t="s">
        <v>1787</v>
      </c>
      <c r="BP453" s="399" t="s">
        <v>1787</v>
      </c>
      <c r="BQ453" s="399" t="s">
        <v>1787</v>
      </c>
      <c r="BR453" s="399" t="s">
        <v>1787</v>
      </c>
      <c r="BS453" s="407"/>
      <c r="BT453" s="407"/>
      <c r="BU453" s="412"/>
      <c r="BV453" s="46" t="str">
        <f t="shared" si="8"/>
        <v/>
      </c>
      <c r="BW453" s="46">
        <f t="shared" si="9"/>
        <v>0</v>
      </c>
      <c r="BX453" s="46">
        <f t="shared" si="10"/>
        <v>0</v>
      </c>
      <c r="BY453" s="43" t="str">
        <f t="shared" si="11"/>
        <v>WHO-Core Observation (HIV Test)</v>
      </c>
      <c r="BZ453" s="46">
        <f t="shared" si="12"/>
        <v>1</v>
      </c>
      <c r="CA453" s="46" t="str">
        <f t="shared" si="13"/>
        <v/>
      </c>
      <c r="CB453" s="46">
        <f t="shared" si="14"/>
        <v>1</v>
      </c>
      <c r="CC453" s="46">
        <f t="shared" si="15"/>
        <v>1</v>
      </c>
      <c r="CD453" s="46">
        <f t="shared" si="16"/>
        <v>1</v>
      </c>
      <c r="CE453" s="46">
        <f t="shared" si="17"/>
        <v>0</v>
      </c>
      <c r="CF453" s="46">
        <f t="shared" si="18"/>
        <v>0</v>
      </c>
      <c r="CG453" s="46" t="str">
        <f ca="1">IFERROR(__xludf.DUMMYFUNCTION("if(OR(BH453="""",LEFT(BH453,2)=""LA""),"""",IMPORTXML(CONCATENATE(""https://loinc.org/"",BH453,""/""),""//span[@id='lcn']""))"),"")</f>
        <v/>
      </c>
      <c r="CH453" s="46"/>
      <c r="CI453" s="46"/>
      <c r="CJ453" s="46"/>
      <c r="CK453" s="46"/>
      <c r="CL453" s="46"/>
      <c r="CM453" s="46"/>
      <c r="CN453" s="46"/>
      <c r="CO453" s="46"/>
      <c r="CP453" s="46"/>
      <c r="CQ453" s="46"/>
      <c r="CR453" s="46"/>
      <c r="CS453" s="46"/>
      <c r="CT453" s="46"/>
      <c r="CU453" s="46"/>
    </row>
    <row r="454" spans="1:99" ht="12.75" customHeight="1">
      <c r="A454" s="409">
        <v>1871</v>
      </c>
      <c r="B454" s="399" t="s">
        <v>5949</v>
      </c>
      <c r="C454" s="399">
        <f t="shared" si="77"/>
        <v>1871</v>
      </c>
      <c r="D454" s="399" t="e">
        <f t="shared" ca="1" si="78"/>
        <v>#NAME?</v>
      </c>
      <c r="E454" s="399" t="str">
        <f t="shared" si="79"/>
        <v>Indeterminate</v>
      </c>
      <c r="F454" s="399" t="str">
        <f t="shared" si="85"/>
        <v>Input Option</v>
      </c>
      <c r="G454" s="400">
        <f t="shared" si="80"/>
        <v>20</v>
      </c>
      <c r="H454" s="399" t="str">
        <f t="shared" si="84"/>
        <v xml:space="preserve">HIV Test Result </v>
      </c>
      <c r="I454" s="400"/>
      <c r="J454" s="400"/>
      <c r="K454" s="401" t="s">
        <v>3333</v>
      </c>
      <c r="L454" s="402" t="s">
        <v>887</v>
      </c>
      <c r="M454" s="400"/>
      <c r="N454" s="427" t="s">
        <v>4417</v>
      </c>
      <c r="O454" s="428"/>
      <c r="P454" s="403"/>
      <c r="Q454" s="403"/>
      <c r="R454" s="403"/>
      <c r="S454" s="403"/>
      <c r="T454" s="403"/>
      <c r="U454" s="407"/>
      <c r="V454" s="407" t="s">
        <v>5950</v>
      </c>
      <c r="W454" s="407"/>
      <c r="X454" s="405" t="s">
        <v>208</v>
      </c>
      <c r="Y454" s="403"/>
      <c r="Z454" s="403" t="s">
        <v>113</v>
      </c>
      <c r="AA454" s="405" t="s">
        <v>1889</v>
      </c>
      <c r="AB454" s="408"/>
      <c r="AC454" s="407"/>
      <c r="AD454" s="403"/>
      <c r="AE454" s="406"/>
      <c r="AF454" s="407"/>
      <c r="AG454" s="407"/>
      <c r="AH454" s="399"/>
      <c r="AI454" s="400"/>
      <c r="AJ454" s="399" t="s">
        <v>1787</v>
      </c>
      <c r="AK454" s="399"/>
      <c r="AL454" s="409"/>
      <c r="AM454" s="409"/>
      <c r="AN454" s="409"/>
      <c r="AO454" s="399" t="s">
        <v>1787</v>
      </c>
      <c r="AP454" s="399"/>
      <c r="AQ454" s="409" t="s">
        <v>3424</v>
      </c>
      <c r="AR454" s="399"/>
      <c r="AS454" s="399"/>
      <c r="AT454" s="399"/>
      <c r="AU454" s="399"/>
      <c r="AV454" s="399" t="str">
        <f t="shared" si="81"/>
        <v/>
      </c>
      <c r="AW454" s="399"/>
      <c r="AX454" s="409" t="s">
        <v>3104</v>
      </c>
      <c r="AY454" s="399" t="e">
        <f t="shared" ca="1" si="82"/>
        <v>#NAME?</v>
      </c>
      <c r="AZ454" s="399"/>
      <c r="BA454" s="409" t="s">
        <v>3125</v>
      </c>
      <c r="BB454" s="399"/>
      <c r="BC454" s="399" t="s">
        <v>1787</v>
      </c>
      <c r="BD454" s="399" t="s">
        <v>1787</v>
      </c>
      <c r="BE454" s="411"/>
      <c r="BF454" s="411" t="s">
        <v>1787</v>
      </c>
      <c r="BG454" s="434" t="s">
        <v>5951</v>
      </c>
      <c r="BH454" s="411"/>
      <c r="BI454" s="411"/>
      <c r="BJ454" s="399" t="s">
        <v>1787</v>
      </c>
      <c r="BK454" s="399" t="s">
        <v>1787</v>
      </c>
      <c r="BL454" s="399"/>
      <c r="BM454" s="399" t="s">
        <v>1787</v>
      </c>
      <c r="BN454" s="399" t="s">
        <v>1787</v>
      </c>
      <c r="BO454" s="399" t="s">
        <v>1787</v>
      </c>
      <c r="BP454" s="399" t="s">
        <v>1787</v>
      </c>
      <c r="BQ454" s="399" t="s">
        <v>1787</v>
      </c>
      <c r="BR454" s="399" t="s">
        <v>1787</v>
      </c>
      <c r="BS454" s="407"/>
      <c r="BT454" s="407"/>
      <c r="BU454" s="412"/>
      <c r="BV454" s="46" t="str">
        <f t="shared" si="8"/>
        <v/>
      </c>
      <c r="BW454" s="46">
        <f t="shared" si="9"/>
        <v>0</v>
      </c>
      <c r="BX454" s="46">
        <f t="shared" si="10"/>
        <v>0</v>
      </c>
      <c r="BY454" s="43" t="str">
        <f t="shared" si="11"/>
        <v>WHO-Core Observation (HIV Test)</v>
      </c>
      <c r="BZ454" s="46">
        <f t="shared" si="12"/>
        <v>1</v>
      </c>
      <c r="CA454" s="46" t="str">
        <f t="shared" si="13"/>
        <v/>
      </c>
      <c r="CB454" s="46">
        <f t="shared" si="14"/>
        <v>1</v>
      </c>
      <c r="CC454" s="46">
        <f t="shared" si="15"/>
        <v>1</v>
      </c>
      <c r="CD454" s="46">
        <f t="shared" si="16"/>
        <v>1</v>
      </c>
      <c r="CE454" s="46">
        <f t="shared" si="17"/>
        <v>0</v>
      </c>
      <c r="CF454" s="46">
        <f t="shared" si="18"/>
        <v>0</v>
      </c>
      <c r="CG454" s="46" t="str">
        <f ca="1">IFERROR(__xludf.DUMMYFUNCTION("if(OR(BH454="""",LEFT(BH454,2)=""LA""),"""",IMPORTXML(CONCATENATE(""https://loinc.org/"",BH454,""/""),""//span[@id='lcn']""))"),"")</f>
        <v/>
      </c>
      <c r="CH454" s="46"/>
      <c r="CI454" s="46"/>
      <c r="CJ454" s="46"/>
      <c r="CK454" s="46"/>
      <c r="CL454" s="46"/>
      <c r="CM454" s="46"/>
      <c r="CN454" s="46"/>
      <c r="CO454" s="46"/>
      <c r="CP454" s="46"/>
      <c r="CQ454" s="46"/>
      <c r="CR454" s="46"/>
      <c r="CS454" s="46"/>
      <c r="CT454" s="46"/>
      <c r="CU454" s="46"/>
    </row>
    <row r="455" spans="1:99" ht="12.75" customHeight="1">
      <c r="A455" s="409">
        <v>1872</v>
      </c>
      <c r="B455" s="399" t="s">
        <v>2005</v>
      </c>
      <c r="C455" s="399">
        <f t="shared" si="77"/>
        <v>1872</v>
      </c>
      <c r="D455" s="399" t="e">
        <f t="shared" ca="1" si="78"/>
        <v>#NAME?</v>
      </c>
      <c r="E455" s="399" t="str">
        <f t="shared" si="79"/>
        <v>Other</v>
      </c>
      <c r="F455" s="399" t="str">
        <f t="shared" si="85"/>
        <v>Input Option</v>
      </c>
      <c r="G455" s="400">
        <f t="shared" si="80"/>
        <v>12</v>
      </c>
      <c r="H455" s="399" t="str">
        <f t="shared" si="84"/>
        <v xml:space="preserve">HIV Test Result </v>
      </c>
      <c r="I455" s="400"/>
      <c r="J455" s="400"/>
      <c r="K455" s="401" t="s">
        <v>3333</v>
      </c>
      <c r="L455" s="402" t="s">
        <v>887</v>
      </c>
      <c r="M455" s="400"/>
      <c r="N455" s="427" t="s">
        <v>4417</v>
      </c>
      <c r="O455" s="428"/>
      <c r="P455" s="403"/>
      <c r="Q455" s="403"/>
      <c r="R455" s="403"/>
      <c r="S455" s="403"/>
      <c r="T455" s="403"/>
      <c r="U455" s="407"/>
      <c r="V455" s="407" t="s">
        <v>1387</v>
      </c>
      <c r="W455" s="407"/>
      <c r="X455" s="405" t="s">
        <v>208</v>
      </c>
      <c r="Y455" s="403"/>
      <c r="Z455" s="403" t="s">
        <v>113</v>
      </c>
      <c r="AA455" s="405" t="s">
        <v>1889</v>
      </c>
      <c r="AB455" s="408"/>
      <c r="AC455" s="407"/>
      <c r="AD455" s="403"/>
      <c r="AE455" s="406"/>
      <c r="AF455" s="407"/>
      <c r="AG455" s="407"/>
      <c r="AH455" s="399"/>
      <c r="AI455" s="400"/>
      <c r="AJ455" s="399" t="s">
        <v>1787</v>
      </c>
      <c r="AK455" s="399"/>
      <c r="AL455" s="409"/>
      <c r="AM455" s="409"/>
      <c r="AN455" s="409"/>
      <c r="AO455" s="399" t="s">
        <v>1787</v>
      </c>
      <c r="AP455" s="399"/>
      <c r="AQ455" s="409" t="s">
        <v>3424</v>
      </c>
      <c r="AR455" s="399"/>
      <c r="AS455" s="399"/>
      <c r="AT455" s="399"/>
      <c r="AU455" s="399"/>
      <c r="AV455" s="399" t="str">
        <f t="shared" si="81"/>
        <v/>
      </c>
      <c r="AW455" s="399"/>
      <c r="AX455" s="409" t="s">
        <v>3104</v>
      </c>
      <c r="AY455" s="399" t="e">
        <f t="shared" ca="1" si="82"/>
        <v>#NAME?</v>
      </c>
      <c r="AZ455" s="399"/>
      <c r="BA455" s="409" t="s">
        <v>3125</v>
      </c>
      <c r="BB455" s="415" t="s">
        <v>3131</v>
      </c>
      <c r="BC455" s="409" t="s">
        <v>1387</v>
      </c>
      <c r="BD455" s="399" t="s">
        <v>1787</v>
      </c>
      <c r="BE455" s="411"/>
      <c r="BF455" s="411" t="s">
        <v>1787</v>
      </c>
      <c r="BG455" s="411"/>
      <c r="BH455" s="411"/>
      <c r="BI455" s="411"/>
      <c r="BJ455" s="409"/>
      <c r="BK455" s="399" t="s">
        <v>1787</v>
      </c>
      <c r="BL455" s="399"/>
      <c r="BM455" s="399" t="s">
        <v>1787</v>
      </c>
      <c r="BN455" s="399" t="s">
        <v>1787</v>
      </c>
      <c r="BO455" s="399" t="s">
        <v>1787</v>
      </c>
      <c r="BP455" s="399" t="s">
        <v>1787</v>
      </c>
      <c r="BQ455" s="399" t="s">
        <v>1787</v>
      </c>
      <c r="BR455" s="399" t="s">
        <v>1787</v>
      </c>
      <c r="BS455" s="407"/>
      <c r="BT455" s="407"/>
      <c r="BU455" s="412"/>
      <c r="BV455" s="46" t="str">
        <f t="shared" si="8"/>
        <v/>
      </c>
      <c r="BW455" s="46">
        <f t="shared" si="9"/>
        <v>0</v>
      </c>
      <c r="BX455" s="46">
        <f t="shared" si="10"/>
        <v>0</v>
      </c>
      <c r="BY455" s="43" t="str">
        <f t="shared" si="11"/>
        <v>WHO-Core Observation (HIV Test)</v>
      </c>
      <c r="BZ455" s="46">
        <f t="shared" si="12"/>
        <v>1</v>
      </c>
      <c r="CA455" s="46" t="str">
        <f t="shared" si="13"/>
        <v/>
      </c>
      <c r="CB455" s="46">
        <f t="shared" si="14"/>
        <v>1</v>
      </c>
      <c r="CC455" s="46">
        <f t="shared" si="15"/>
        <v>1</v>
      </c>
      <c r="CD455" s="46">
        <f t="shared" si="16"/>
        <v>1</v>
      </c>
      <c r="CE455" s="46">
        <f t="shared" si="17"/>
        <v>0</v>
      </c>
      <c r="CF455" s="46">
        <f t="shared" si="18"/>
        <v>0</v>
      </c>
      <c r="CG455" s="46" t="str">
        <f ca="1">IFERROR(__xludf.DUMMYFUNCTION("if(OR(BH455="""",LEFT(BH455,2)=""LA""),"""",IMPORTXML(CONCATENATE(""https://loinc.org/"",BH455,""/""),""//span[@id='lcn']""))"),"")</f>
        <v/>
      </c>
      <c r="CH455" s="46"/>
      <c r="CI455" s="46"/>
      <c r="CJ455" s="46"/>
      <c r="CK455" s="46"/>
      <c r="CL455" s="46"/>
      <c r="CM455" s="46"/>
      <c r="CN455" s="46"/>
      <c r="CO455" s="46"/>
      <c r="CP455" s="46"/>
      <c r="CQ455" s="46"/>
      <c r="CR455" s="46"/>
      <c r="CS455" s="46"/>
      <c r="CT455" s="46"/>
      <c r="CU455" s="46"/>
    </row>
    <row r="456" spans="1:99" ht="12.75" customHeight="1">
      <c r="A456" s="399">
        <v>1682</v>
      </c>
      <c r="B456" s="399" t="s">
        <v>5952</v>
      </c>
      <c r="C456" s="399">
        <f t="shared" si="77"/>
        <v>1682</v>
      </c>
      <c r="D456" s="399" t="str">
        <f t="shared" si="78"/>
        <v>HIV status source</v>
      </c>
      <c r="E456" s="399" t="str">
        <f t="shared" si="79"/>
        <v>HIV status source</v>
      </c>
      <c r="F456" s="399" t="str">
        <f t="shared" si="85"/>
        <v>Data Element</v>
      </c>
      <c r="G456" s="400">
        <f t="shared" si="80"/>
        <v>17</v>
      </c>
      <c r="H456" s="400" t="str">
        <f t="shared" si="84"/>
        <v/>
      </c>
      <c r="I456" s="400"/>
      <c r="J456" s="400"/>
      <c r="K456" s="409" t="s">
        <v>3475</v>
      </c>
      <c r="L456" s="402" t="s">
        <v>887</v>
      </c>
      <c r="M456" s="400"/>
      <c r="N456" s="456" t="s">
        <v>4807</v>
      </c>
      <c r="O456" s="41" t="s">
        <v>5953</v>
      </c>
      <c r="P456" s="440" t="s">
        <v>5954</v>
      </c>
      <c r="Q456" s="403" t="s">
        <v>5952</v>
      </c>
      <c r="R456" s="403"/>
      <c r="S456" s="403" t="s">
        <v>5955</v>
      </c>
      <c r="T456" s="403"/>
      <c r="U456" s="407"/>
      <c r="V456" s="407"/>
      <c r="W456" s="407"/>
      <c r="X456" s="405" t="s">
        <v>208</v>
      </c>
      <c r="Y456" s="403"/>
      <c r="Z456" s="403" t="s">
        <v>113</v>
      </c>
      <c r="AA456" s="454" t="s">
        <v>5956</v>
      </c>
      <c r="AB456" s="420" t="s">
        <v>5957</v>
      </c>
      <c r="AC456" s="407"/>
      <c r="AD456" s="403"/>
      <c r="AE456" s="406"/>
      <c r="AF456" s="407"/>
      <c r="AG456" s="407"/>
      <c r="AH456" s="399"/>
      <c r="AI456" s="400"/>
      <c r="AJ456" s="399"/>
      <c r="AK456" s="409" t="s">
        <v>5958</v>
      </c>
      <c r="AL456" s="409" t="s">
        <v>3181</v>
      </c>
      <c r="AM456" s="409" t="s">
        <v>3100</v>
      </c>
      <c r="AN456" s="409" t="s">
        <v>3101</v>
      </c>
      <c r="AO456" s="399"/>
      <c r="AP456" s="409" t="s">
        <v>5934</v>
      </c>
      <c r="AQ456" s="409" t="s">
        <v>3424</v>
      </c>
      <c r="AR456" s="399"/>
      <c r="AS456" s="399"/>
      <c r="AT456" s="399"/>
      <c r="AU456" s="399" t="s">
        <v>5952</v>
      </c>
      <c r="AV456" s="399" t="str">
        <f t="shared" si="81"/>
        <v>Same</v>
      </c>
      <c r="AW456" s="399"/>
      <c r="AX456" s="409" t="s">
        <v>3104</v>
      </c>
      <c r="AY456" s="399" t="str">
        <f t="shared" si="82"/>
        <v/>
      </c>
      <c r="AZ456" s="399"/>
      <c r="BA456" s="409" t="s">
        <v>3125</v>
      </c>
      <c r="BB456" s="399"/>
      <c r="BC456" s="399"/>
      <c r="BD456" s="399" t="s">
        <v>1787</v>
      </c>
      <c r="BE456" s="411"/>
      <c r="BF456" s="411"/>
      <c r="BG456" s="411"/>
      <c r="BH456" s="411"/>
      <c r="BI456" s="411"/>
      <c r="BJ456" s="409" t="s">
        <v>3106</v>
      </c>
      <c r="BK456" s="409" t="s">
        <v>5959</v>
      </c>
      <c r="BL456" s="409" t="s">
        <v>3162</v>
      </c>
      <c r="BM456" s="409" t="s">
        <v>5944</v>
      </c>
      <c r="BN456" s="399"/>
      <c r="BO456" s="399"/>
      <c r="BP456" s="399"/>
      <c r="BQ456" s="399"/>
      <c r="BR456" s="399"/>
      <c r="BS456" s="407"/>
      <c r="BT456" s="407"/>
      <c r="BU456" s="412"/>
      <c r="BV456" s="46" t="str">
        <f t="shared" si="8"/>
        <v>Observation</v>
      </c>
      <c r="BW456" s="46" t="str">
        <f t="shared" si="9"/>
        <v/>
      </c>
      <c r="BX456" s="46" t="str">
        <f t="shared" si="10"/>
        <v>Observation</v>
      </c>
      <c r="BY456" s="43" t="str">
        <f t="shared" si="11"/>
        <v>WHO-Core Observation (HIV Test)</v>
      </c>
      <c r="BZ456" s="46">
        <f t="shared" si="12"/>
        <v>1</v>
      </c>
      <c r="CA456" s="46">
        <f t="shared" si="13"/>
        <v>1</v>
      </c>
      <c r="CB456" s="46">
        <f t="shared" si="14"/>
        <v>1</v>
      </c>
      <c r="CC456" s="46">
        <f t="shared" si="15"/>
        <v>1</v>
      </c>
      <c r="CD456" s="46">
        <f t="shared" si="16"/>
        <v>1</v>
      </c>
      <c r="CE456" s="46">
        <f t="shared" si="17"/>
        <v>0</v>
      </c>
      <c r="CF456" s="46">
        <f t="shared" si="18"/>
        <v>0</v>
      </c>
      <c r="CG456" s="46" t="str">
        <f ca="1">IFERROR(__xludf.DUMMYFUNCTION("if(OR(BH456="""",LEFT(BH456,2)=""LA""),"""",IMPORTXML(CONCATENATE(""https://loinc.org/"",BH456,""/""),""//span[@id='lcn']""))"),"")</f>
        <v/>
      </c>
      <c r="CH456" s="46"/>
      <c r="CI456" s="46"/>
      <c r="CJ456" s="46"/>
      <c r="CK456" s="46"/>
      <c r="CL456" s="46"/>
      <c r="CM456" s="46"/>
      <c r="CN456" s="46"/>
      <c r="CO456" s="46"/>
      <c r="CP456" s="46"/>
      <c r="CQ456" s="46"/>
      <c r="CR456" s="46"/>
      <c r="CS456" s="46"/>
      <c r="CT456" s="46"/>
      <c r="CU456" s="46"/>
    </row>
    <row r="457" spans="1:99" ht="12.75" customHeight="1">
      <c r="A457" s="399">
        <v>1683</v>
      </c>
      <c r="B457" s="399" t="s">
        <v>5960</v>
      </c>
      <c r="C457" s="399">
        <f t="shared" si="77"/>
        <v>1683</v>
      </c>
      <c r="D457" s="399" t="e">
        <f t="shared" ca="1" si="78"/>
        <v>#NAME?</v>
      </c>
      <c r="E457" s="399" t="str">
        <f t="shared" si="79"/>
        <v>Screenings performed</v>
      </c>
      <c r="F457" s="409" t="s">
        <v>180</v>
      </c>
      <c r="G457" s="400">
        <f t="shared" si="80"/>
        <v>20</v>
      </c>
      <c r="H457" s="410" t="s">
        <v>4472</v>
      </c>
      <c r="I457" s="400"/>
      <c r="J457" s="400"/>
      <c r="K457" s="401" t="s">
        <v>3333</v>
      </c>
      <c r="L457" s="402" t="s">
        <v>887</v>
      </c>
      <c r="M457" s="400"/>
      <c r="N457" s="427" t="s">
        <v>4417</v>
      </c>
      <c r="O457" s="428"/>
      <c r="P457" s="403" t="s">
        <v>5961</v>
      </c>
      <c r="Q457" s="403" t="s">
        <v>5960</v>
      </c>
      <c r="R457" s="403"/>
      <c r="S457" s="403" t="s">
        <v>5962</v>
      </c>
      <c r="T457" s="403"/>
      <c r="U457" s="407"/>
      <c r="V457" s="407"/>
      <c r="W457" s="407"/>
      <c r="X457" s="405" t="s">
        <v>208</v>
      </c>
      <c r="Y457" s="403"/>
      <c r="Z457" s="403" t="s">
        <v>113</v>
      </c>
      <c r="AA457" s="403" t="s">
        <v>1889</v>
      </c>
      <c r="AB457" s="408"/>
      <c r="AC457" s="407"/>
      <c r="AD457" s="403"/>
      <c r="AE457" s="406"/>
      <c r="AF457" s="407"/>
      <c r="AG457" s="407"/>
      <c r="AH457" s="399"/>
      <c r="AI457" s="400"/>
      <c r="AJ457" s="399"/>
      <c r="AK457" s="475"/>
      <c r="AL457" s="409"/>
      <c r="AM457" s="409"/>
      <c r="AN457" s="409"/>
      <c r="AO457" s="399"/>
      <c r="AP457" s="409"/>
      <c r="AQ457" s="409" t="s">
        <v>115</v>
      </c>
      <c r="AR457" s="410" t="s">
        <v>4474</v>
      </c>
      <c r="AS457" s="410"/>
      <c r="AT457" s="399"/>
      <c r="AU457" s="399" t="s">
        <v>5960</v>
      </c>
      <c r="AV457" s="399" t="str">
        <f t="shared" si="81"/>
        <v>Same</v>
      </c>
      <c r="AW457" s="399"/>
      <c r="AX457" s="409" t="s">
        <v>3104</v>
      </c>
      <c r="AY457" s="399" t="e">
        <f t="shared" ca="1" si="82"/>
        <v>#NAME?</v>
      </c>
      <c r="AZ457" s="399"/>
      <c r="BA457" s="409">
        <v>1</v>
      </c>
      <c r="BB457" s="399"/>
      <c r="BC457" s="399"/>
      <c r="BD457" s="399"/>
      <c r="BE457" s="411"/>
      <c r="BF457" s="411"/>
      <c r="BG457" s="411"/>
      <c r="BH457" s="411"/>
      <c r="BI457" s="411"/>
      <c r="BJ457" s="409" t="s">
        <v>3106</v>
      </c>
      <c r="BK457" s="399"/>
      <c r="BL457" s="399"/>
      <c r="BM457" s="399"/>
      <c r="BN457" s="399"/>
      <c r="BO457" s="399"/>
      <c r="BP457" s="399"/>
      <c r="BQ457" s="399"/>
      <c r="BR457" s="399"/>
      <c r="BS457" s="407"/>
      <c r="BT457" s="407"/>
      <c r="BU457" s="412"/>
      <c r="BV457" s="46" t="str">
        <f t="shared" si="8"/>
        <v/>
      </c>
      <c r="BW457" s="46">
        <f t="shared" si="9"/>
        <v>0</v>
      </c>
      <c r="BX457" s="46">
        <f t="shared" si="10"/>
        <v>0</v>
      </c>
      <c r="BY457" s="43" t="str">
        <f t="shared" si="11"/>
        <v>WHO-FP Observation (Medical Eligibility)</v>
      </c>
      <c r="BZ457" s="46">
        <f t="shared" si="12"/>
        <v>1</v>
      </c>
      <c r="CA457" s="46" t="str">
        <f t="shared" si="13"/>
        <v/>
      </c>
      <c r="CB457" s="46">
        <f t="shared" si="14"/>
        <v>1</v>
      </c>
      <c r="CC457" s="46">
        <f t="shared" si="15"/>
        <v>1</v>
      </c>
      <c r="CD457" s="46">
        <f t="shared" si="16"/>
        <v>1</v>
      </c>
      <c r="CE457" s="46">
        <f t="shared" si="17"/>
        <v>0</v>
      </c>
      <c r="CF457" s="46">
        <f t="shared" si="18"/>
        <v>0</v>
      </c>
      <c r="CG457" s="46" t="str">
        <f ca="1">IFERROR(__xludf.DUMMYFUNCTION("if(OR(BH457="""",LEFT(BH457,2)=""LA""),"""",IMPORTXML(CONCATENATE(""https://loinc.org/"",BH457,""/""),""//span[@id='lcn']""))"),"")</f>
        <v/>
      </c>
      <c r="CH457" s="46"/>
      <c r="CI457" s="46"/>
      <c r="CJ457" s="46"/>
      <c r="CK457" s="46"/>
      <c r="CL457" s="46"/>
      <c r="CM457" s="46"/>
      <c r="CN457" s="46"/>
      <c r="CO457" s="46"/>
      <c r="CP457" s="46"/>
      <c r="CQ457" s="46"/>
      <c r="CR457" s="46"/>
      <c r="CS457" s="46"/>
      <c r="CT457" s="46"/>
      <c r="CU457" s="46"/>
    </row>
    <row r="458" spans="1:99" ht="12.75" customHeight="1">
      <c r="A458" s="399">
        <v>1684</v>
      </c>
      <c r="B458" s="399" t="s">
        <v>5963</v>
      </c>
      <c r="C458" s="399">
        <f t="shared" si="77"/>
        <v>1684</v>
      </c>
      <c r="D458" s="399" t="str">
        <f t="shared" si="78"/>
        <v>Test results</v>
      </c>
      <c r="E458" s="399" t="str">
        <f t="shared" si="79"/>
        <v>Test results</v>
      </c>
      <c r="F458" s="399" t="str">
        <f t="shared" ref="F458:F466" si="86">IF(AND(ISBLANK(V458)=FALSE,OR(T458="MC",T458="")),"Input Option","Data Element")</f>
        <v>Data Element</v>
      </c>
      <c r="G458" s="400">
        <f t="shared" si="80"/>
        <v>12</v>
      </c>
      <c r="H458" s="400" t="str">
        <f t="shared" ref="H458:H463" si="87">IF(F458="Input Option",IF(H457="",B457,H457),"")</f>
        <v/>
      </c>
      <c r="I458" s="400"/>
      <c r="J458" s="400"/>
      <c r="K458" s="402" t="s">
        <v>3475</v>
      </c>
      <c r="L458" s="402" t="s">
        <v>887</v>
      </c>
      <c r="M458" s="400"/>
      <c r="N458" s="456" t="s">
        <v>5930</v>
      </c>
      <c r="O458" s="41" t="s">
        <v>5964</v>
      </c>
      <c r="P458" s="440" t="s">
        <v>5965</v>
      </c>
      <c r="Q458" s="403" t="s">
        <v>5963</v>
      </c>
      <c r="R458" s="403"/>
      <c r="S458" s="403" t="s">
        <v>5966</v>
      </c>
      <c r="T458" s="403"/>
      <c r="U458" s="407"/>
      <c r="V458" s="407"/>
      <c r="W458" s="407"/>
      <c r="X458" s="405" t="s">
        <v>208</v>
      </c>
      <c r="Y458" s="403"/>
      <c r="Z458" s="403" t="s">
        <v>113</v>
      </c>
      <c r="AA458" s="403" t="s">
        <v>1889</v>
      </c>
      <c r="AB458" s="408"/>
      <c r="AC458" s="407"/>
      <c r="AD458" s="404" t="s">
        <v>3244</v>
      </c>
      <c r="AE458" s="406"/>
      <c r="AF458" s="407"/>
      <c r="AG458" s="407"/>
      <c r="AH458" s="399"/>
      <c r="AI458" s="400"/>
      <c r="AJ458" s="399"/>
      <c r="AK458" s="440" t="s">
        <v>3410</v>
      </c>
      <c r="AL458" s="409" t="s">
        <v>3181</v>
      </c>
      <c r="AM458" s="409" t="s">
        <v>3100</v>
      </c>
      <c r="AN458" s="409" t="s">
        <v>3101</v>
      </c>
      <c r="AO458" s="399"/>
      <c r="AP458" s="409" t="s">
        <v>5967</v>
      </c>
      <c r="AQ458" s="409" t="s">
        <v>3424</v>
      </c>
      <c r="AR458" s="399"/>
      <c r="AS458" s="399"/>
      <c r="AT458" s="399"/>
      <c r="AU458" s="399" t="s">
        <v>5963</v>
      </c>
      <c r="AV458" s="399" t="str">
        <f t="shared" si="81"/>
        <v>Same</v>
      </c>
      <c r="AW458" s="399"/>
      <c r="AX458" s="409" t="s">
        <v>3343</v>
      </c>
      <c r="AY458" s="399" t="str">
        <f t="shared" si="82"/>
        <v/>
      </c>
      <c r="AZ458" s="399"/>
      <c r="BA458" s="409">
        <v>1</v>
      </c>
      <c r="BB458" s="399"/>
      <c r="BC458" s="399"/>
      <c r="BD458" s="399"/>
      <c r="BE458" s="411"/>
      <c r="BF458" s="411"/>
      <c r="BG458" s="411"/>
      <c r="BH458" s="411"/>
      <c r="BI458" s="411"/>
      <c r="BJ458" s="409" t="s">
        <v>3106</v>
      </c>
      <c r="BK458" s="399"/>
      <c r="BL458" s="399"/>
      <c r="BM458" s="399"/>
      <c r="BN458" s="399"/>
      <c r="BO458" s="399"/>
      <c r="BP458" s="399"/>
      <c r="BQ458" s="399"/>
      <c r="BR458" s="399"/>
      <c r="BS458" s="407"/>
      <c r="BT458" s="407"/>
      <c r="BU458" s="412"/>
      <c r="BV458" s="46" t="str">
        <f t="shared" si="8"/>
        <v>Observation</v>
      </c>
      <c r="BW458" s="46" t="str">
        <f t="shared" si="9"/>
        <v/>
      </c>
      <c r="BX458" s="46" t="str">
        <f t="shared" si="10"/>
        <v>Observation</v>
      </c>
      <c r="BY458" s="43" t="str">
        <f t="shared" si="11"/>
        <v>WHO-FP Observation (Test Results)</v>
      </c>
      <c r="BZ458" s="46">
        <f t="shared" si="12"/>
        <v>1</v>
      </c>
      <c r="CA458" s="46">
        <f t="shared" si="13"/>
        <v>0</v>
      </c>
      <c r="CB458" s="46">
        <f t="shared" si="14"/>
        <v>1</v>
      </c>
      <c r="CC458" s="46">
        <f t="shared" si="15"/>
        <v>1</v>
      </c>
      <c r="CD458" s="46">
        <f t="shared" si="16"/>
        <v>1</v>
      </c>
      <c r="CE458" s="46">
        <f t="shared" si="17"/>
        <v>0</v>
      </c>
      <c r="CF458" s="46">
        <f t="shared" si="18"/>
        <v>0</v>
      </c>
      <c r="CG458" s="46" t="str">
        <f ca="1">IFERROR(__xludf.DUMMYFUNCTION("if(OR(BH458="""",LEFT(BH458,2)=""LA""),"""",IMPORTXML(CONCATENATE(""https://loinc.org/"",BH458,""/""),""//span[@id='lcn']""))"),"")</f>
        <v/>
      </c>
      <c r="CH458" s="46"/>
      <c r="CI458" s="46"/>
      <c r="CJ458" s="46"/>
      <c r="CK458" s="46"/>
      <c r="CL458" s="46"/>
      <c r="CM458" s="46"/>
      <c r="CN458" s="46"/>
      <c r="CO458" s="46"/>
      <c r="CP458" s="46"/>
      <c r="CQ458" s="46"/>
      <c r="CR458" s="46"/>
      <c r="CS458" s="46"/>
      <c r="CT458" s="46"/>
      <c r="CU458" s="46"/>
    </row>
    <row r="459" spans="1:99" ht="12.75" customHeight="1">
      <c r="A459" s="399">
        <v>1685</v>
      </c>
      <c r="B459" s="399" t="s">
        <v>5968</v>
      </c>
      <c r="C459" s="399">
        <f t="shared" si="77"/>
        <v>1685</v>
      </c>
      <c r="D459" s="399" t="str">
        <f t="shared" si="78"/>
        <v>Voluntary Informed Consent</v>
      </c>
      <c r="E459" s="399" t="str">
        <f t="shared" si="79"/>
        <v>Voluntary Informed Consent</v>
      </c>
      <c r="F459" s="399" t="str">
        <f t="shared" si="86"/>
        <v>Data Element</v>
      </c>
      <c r="G459" s="400">
        <f t="shared" si="80"/>
        <v>26</v>
      </c>
      <c r="H459" s="400" t="str">
        <f t="shared" si="87"/>
        <v/>
      </c>
      <c r="I459" s="400"/>
      <c r="J459" s="400"/>
      <c r="K459" s="401" t="s">
        <v>5969</v>
      </c>
      <c r="L459" s="402" t="s">
        <v>4081</v>
      </c>
      <c r="M459" s="400"/>
      <c r="N459" s="623" t="s">
        <v>5970</v>
      </c>
      <c r="O459" s="428"/>
      <c r="P459" s="404" t="s">
        <v>5971</v>
      </c>
      <c r="Q459" s="420" t="s">
        <v>5968</v>
      </c>
      <c r="R459" s="407"/>
      <c r="S459" s="403" t="s">
        <v>5972</v>
      </c>
      <c r="T459" s="403"/>
      <c r="U459" s="403"/>
      <c r="V459" s="403"/>
      <c r="W459" s="407"/>
      <c r="X459" s="403" t="s">
        <v>208</v>
      </c>
      <c r="Y459" s="404"/>
      <c r="Z459" s="437" t="s">
        <v>113</v>
      </c>
      <c r="AA459" s="403" t="s">
        <v>3178</v>
      </c>
      <c r="AB459" s="406"/>
      <c r="AC459" s="403"/>
      <c r="AD459" s="403"/>
      <c r="AE459" s="406"/>
      <c r="AF459" s="404"/>
      <c r="AG459" s="404"/>
      <c r="AH459" s="399"/>
      <c r="AI459" s="400"/>
      <c r="AJ459" s="399"/>
      <c r="AK459" s="409" t="s">
        <v>5973</v>
      </c>
      <c r="AL459" s="410"/>
      <c r="AM459" s="410" t="s">
        <v>3100</v>
      </c>
      <c r="AN459" s="410" t="s">
        <v>3101</v>
      </c>
      <c r="AO459" s="399"/>
      <c r="AP459" s="409" t="s">
        <v>5974</v>
      </c>
      <c r="AQ459" s="409" t="s">
        <v>3424</v>
      </c>
      <c r="AR459" s="399"/>
      <c r="AS459" s="399"/>
      <c r="AT459" s="399"/>
      <c r="AU459" s="399" t="s">
        <v>5968</v>
      </c>
      <c r="AV459" s="399" t="str">
        <f t="shared" si="81"/>
        <v>Same</v>
      </c>
      <c r="AW459" s="399"/>
      <c r="AX459" s="409" t="s">
        <v>3343</v>
      </c>
      <c r="AY459" s="399" t="str">
        <f t="shared" si="82"/>
        <v/>
      </c>
      <c r="AZ459" s="399"/>
      <c r="BA459" s="409">
        <v>1</v>
      </c>
      <c r="BB459" s="399"/>
      <c r="BC459" s="399"/>
      <c r="BD459" s="399"/>
      <c r="BE459" s="411"/>
      <c r="BF459" s="411"/>
      <c r="BG459" s="411"/>
      <c r="BH459" s="411"/>
      <c r="BI459" s="411"/>
      <c r="BJ459" s="409" t="s">
        <v>3106</v>
      </c>
      <c r="BK459" s="399"/>
      <c r="BL459" s="399"/>
      <c r="BM459" s="399"/>
      <c r="BN459" s="399"/>
      <c r="BO459" s="399"/>
      <c r="BP459" s="399"/>
      <c r="BQ459" s="399"/>
      <c r="BR459" s="399"/>
      <c r="BS459" s="407"/>
      <c r="BT459" s="407"/>
      <c r="BU459" s="412"/>
      <c r="BV459" s="46" t="str">
        <f t="shared" si="8"/>
        <v>Consent</v>
      </c>
      <c r="BW459" s="46" t="str">
        <f t="shared" si="9"/>
        <v/>
      </c>
      <c r="BX459" s="46" t="str">
        <f t="shared" si="10"/>
        <v>Consent</v>
      </c>
      <c r="BY459" s="43" t="str">
        <f t="shared" si="11"/>
        <v>WHO-FP Consent</v>
      </c>
      <c r="BZ459" s="46">
        <f t="shared" si="12"/>
        <v>1</v>
      </c>
      <c r="CA459" s="46">
        <f t="shared" si="13"/>
        <v>0</v>
      </c>
      <c r="CB459" s="46">
        <f t="shared" si="14"/>
        <v>1</v>
      </c>
      <c r="CC459" s="46">
        <f t="shared" si="15"/>
        <v>1</v>
      </c>
      <c r="CD459" s="46">
        <f t="shared" si="16"/>
        <v>1</v>
      </c>
      <c r="CE459" s="46">
        <f t="shared" si="17"/>
        <v>0</v>
      </c>
      <c r="CF459" s="46">
        <f t="shared" si="18"/>
        <v>0</v>
      </c>
      <c r="CG459" s="46" t="str">
        <f ca="1">IFERROR(__xludf.DUMMYFUNCTION("if(OR(BH459="""",LEFT(BH459,2)=""LA""),"""",IMPORTXML(CONCATENATE(""https://loinc.org/"",BH459,""/""),""//span[@id='lcn']""))"),"")</f>
        <v/>
      </c>
      <c r="CH459" s="46"/>
      <c r="CI459" s="46"/>
      <c r="CJ459" s="46"/>
      <c r="CK459" s="46"/>
      <c r="CL459" s="46"/>
      <c r="CM459" s="46"/>
      <c r="CN459" s="46"/>
      <c r="CO459" s="46"/>
      <c r="CP459" s="46"/>
      <c r="CQ459" s="46"/>
      <c r="CR459" s="46"/>
      <c r="CS459" s="46"/>
      <c r="CT459" s="46"/>
      <c r="CU459" s="46"/>
    </row>
    <row r="460" spans="1:99" ht="12.75" customHeight="1">
      <c r="A460" s="399">
        <v>1686</v>
      </c>
      <c r="B460" s="399" t="s">
        <v>5975</v>
      </c>
      <c r="C460" s="399">
        <f t="shared" si="77"/>
        <v>1686</v>
      </c>
      <c r="D460" s="399" t="str">
        <f t="shared" si="78"/>
        <v>Informed consent requirements</v>
      </c>
      <c r="E460" s="399" t="str">
        <f t="shared" si="79"/>
        <v>Informed consent requirements</v>
      </c>
      <c r="F460" s="399" t="str">
        <f t="shared" si="86"/>
        <v>Data Element</v>
      </c>
      <c r="G460" s="400">
        <f t="shared" si="80"/>
        <v>29</v>
      </c>
      <c r="H460" s="400" t="str">
        <f t="shared" si="87"/>
        <v/>
      </c>
      <c r="I460" s="400"/>
      <c r="J460" s="400"/>
      <c r="K460" s="401" t="s">
        <v>5969</v>
      </c>
      <c r="L460" s="402" t="s">
        <v>4081</v>
      </c>
      <c r="M460" s="400"/>
      <c r="N460" s="623" t="s">
        <v>5976</v>
      </c>
      <c r="O460" s="428"/>
      <c r="P460" s="404" t="s">
        <v>5977</v>
      </c>
      <c r="Q460" s="420" t="s">
        <v>5975</v>
      </c>
      <c r="R460" s="407"/>
      <c r="S460" s="403" t="s">
        <v>5978</v>
      </c>
      <c r="T460" s="403"/>
      <c r="U460" s="403"/>
      <c r="V460" s="403"/>
      <c r="W460" s="407"/>
      <c r="X460" s="403" t="s">
        <v>208</v>
      </c>
      <c r="Y460" s="404"/>
      <c r="Z460" s="437" t="s">
        <v>113</v>
      </c>
      <c r="AA460" s="403" t="s">
        <v>3178</v>
      </c>
      <c r="AB460" s="406"/>
      <c r="AC460" s="403"/>
      <c r="AD460" s="403"/>
      <c r="AE460" s="406"/>
      <c r="AF460" s="404"/>
      <c r="AG460" s="404"/>
      <c r="AH460" s="399"/>
      <c r="AI460" s="400"/>
      <c r="AJ460" s="399"/>
      <c r="AK460" s="409" t="s">
        <v>5979</v>
      </c>
      <c r="AL460" s="410"/>
      <c r="AM460" s="410" t="s">
        <v>3100</v>
      </c>
      <c r="AN460" s="410" t="s">
        <v>3101</v>
      </c>
      <c r="AO460" s="399"/>
      <c r="AP460" s="399"/>
      <c r="AQ460" s="409" t="s">
        <v>115</v>
      </c>
      <c r="AR460" s="399"/>
      <c r="AS460" s="399"/>
      <c r="AT460" s="399"/>
      <c r="AU460" s="399" t="s">
        <v>5975</v>
      </c>
      <c r="AV460" s="399" t="str">
        <f t="shared" si="81"/>
        <v>Same</v>
      </c>
      <c r="AW460" s="399"/>
      <c r="AX460" s="409" t="s">
        <v>3343</v>
      </c>
      <c r="AY460" s="399" t="str">
        <f t="shared" si="82"/>
        <v/>
      </c>
      <c r="AZ460" s="399"/>
      <c r="BA460" s="409">
        <v>0</v>
      </c>
      <c r="BB460" s="399"/>
      <c r="BC460" s="399"/>
      <c r="BD460" s="399"/>
      <c r="BE460" s="411"/>
      <c r="BF460" s="411"/>
      <c r="BG460" s="411"/>
      <c r="BH460" s="411"/>
      <c r="BI460" s="411"/>
      <c r="BJ460" s="409" t="s">
        <v>3106</v>
      </c>
      <c r="BK460" s="399"/>
      <c r="BL460" s="399"/>
      <c r="BM460" s="399"/>
      <c r="BN460" s="399"/>
      <c r="BO460" s="399"/>
      <c r="BP460" s="399"/>
      <c r="BQ460" s="399"/>
      <c r="BR460" s="399"/>
      <c r="BS460" s="407"/>
      <c r="BT460" s="407"/>
      <c r="BU460" s="412"/>
      <c r="BV460" s="46" t="str">
        <f t="shared" si="8"/>
        <v/>
      </c>
      <c r="BW460" s="46" t="str">
        <f t="shared" si="9"/>
        <v/>
      </c>
      <c r="BX460" s="46" t="str">
        <f t="shared" si="10"/>
        <v/>
      </c>
      <c r="BY460" s="43">
        <f t="shared" si="11"/>
        <v>0</v>
      </c>
      <c r="BZ460" s="46">
        <f t="shared" si="12"/>
        <v>1</v>
      </c>
      <c r="CA460" s="46">
        <f t="shared" si="13"/>
        <v>0</v>
      </c>
      <c r="CB460" s="46">
        <f t="shared" si="14"/>
        <v>1</v>
      </c>
      <c r="CC460" s="46">
        <f t="shared" si="15"/>
        <v>1</v>
      </c>
      <c r="CD460" s="46">
        <f t="shared" si="16"/>
        <v>1</v>
      </c>
      <c r="CE460" s="46">
        <f t="shared" si="17"/>
        <v>0</v>
      </c>
      <c r="CF460" s="46">
        <f t="shared" si="18"/>
        <v>0</v>
      </c>
      <c r="CG460" s="46" t="str">
        <f ca="1">IFERROR(__xludf.DUMMYFUNCTION("if(OR(BH460="""",LEFT(BH460,2)=""LA""),"""",IMPORTXML(CONCATENATE(""https://loinc.org/"",BH460,""/""),""//span[@id='lcn']""))"),"")</f>
        <v/>
      </c>
      <c r="CH460" s="46"/>
      <c r="CI460" s="46"/>
      <c r="CJ460" s="46"/>
      <c r="CK460" s="46"/>
      <c r="CL460" s="46"/>
      <c r="CM460" s="46"/>
      <c r="CN460" s="46"/>
      <c r="CO460" s="46"/>
      <c r="CP460" s="46"/>
      <c r="CQ460" s="46"/>
      <c r="CR460" s="46"/>
      <c r="CS460" s="46"/>
      <c r="CT460" s="46"/>
      <c r="CU460" s="46"/>
    </row>
    <row r="461" spans="1:99" ht="12.75" customHeight="1">
      <c r="A461" s="409">
        <v>1687</v>
      </c>
      <c r="B461" s="409" t="s">
        <v>5980</v>
      </c>
      <c r="C461" s="399">
        <f t="shared" si="77"/>
        <v>1687</v>
      </c>
      <c r="D461" s="399" t="str">
        <f t="shared" si="78"/>
        <v>Method at exit - reported</v>
      </c>
      <c r="E461" s="399" t="str">
        <f t="shared" si="79"/>
        <v>Method at exit - reported</v>
      </c>
      <c r="F461" s="399" t="str">
        <f t="shared" si="86"/>
        <v>Data Element</v>
      </c>
      <c r="G461" s="400">
        <f t="shared" si="80"/>
        <v>54</v>
      </c>
      <c r="H461" s="400" t="str">
        <f t="shared" si="87"/>
        <v/>
      </c>
      <c r="I461" s="400"/>
      <c r="J461" s="400"/>
      <c r="K461" s="401" t="s">
        <v>5969</v>
      </c>
      <c r="L461" s="451" t="s">
        <v>3517</v>
      </c>
      <c r="M461" s="400"/>
      <c r="N461" s="623" t="s">
        <v>5981</v>
      </c>
      <c r="O461" s="428"/>
      <c r="P461" s="404" t="s">
        <v>5982</v>
      </c>
      <c r="Q461" s="404" t="s">
        <v>5983</v>
      </c>
      <c r="R461" s="414"/>
      <c r="S461" s="404" t="s">
        <v>5984</v>
      </c>
      <c r="T461" s="437" t="s">
        <v>3121</v>
      </c>
      <c r="U461" s="444" t="s">
        <v>3326</v>
      </c>
      <c r="V461" s="404"/>
      <c r="W461" s="407"/>
      <c r="X461" s="403" t="s">
        <v>208</v>
      </c>
      <c r="Y461" s="404"/>
      <c r="Z461" s="437" t="s">
        <v>113</v>
      </c>
      <c r="AA461" s="437" t="s">
        <v>3098</v>
      </c>
      <c r="AB461" s="406"/>
      <c r="AC461" s="404"/>
      <c r="AD461" s="404" t="s">
        <v>4401</v>
      </c>
      <c r="AE461" s="406"/>
      <c r="AF461" s="404"/>
      <c r="AG461" s="404"/>
      <c r="AH461" s="399"/>
      <c r="AI461" s="400"/>
      <c r="AJ461" s="399"/>
      <c r="AK461" s="410" t="s">
        <v>3534</v>
      </c>
      <c r="AL461" s="410"/>
      <c r="AM461" s="410" t="s">
        <v>3100</v>
      </c>
      <c r="AN461" s="410" t="s">
        <v>3101</v>
      </c>
      <c r="AO461" s="399"/>
      <c r="AP461" s="440" t="s">
        <v>5985</v>
      </c>
      <c r="AQ461" s="409" t="s">
        <v>3424</v>
      </c>
      <c r="AR461" s="468" t="s">
        <v>4404</v>
      </c>
      <c r="AS461" s="403"/>
      <c r="AT461" s="399"/>
      <c r="AU461" s="399" t="s">
        <v>5986</v>
      </c>
      <c r="AV461" s="399" t="str">
        <f t="shared" si="81"/>
        <v>Changed</v>
      </c>
      <c r="AW461" s="399"/>
      <c r="AX461" s="409" t="s">
        <v>3343</v>
      </c>
      <c r="AY461" s="399" t="str">
        <f t="shared" si="82"/>
        <v>"Method at exit - reported"-&gt;"Contraception Method at exit - reported - Device-based"</v>
      </c>
      <c r="AZ461" s="399"/>
      <c r="BA461" s="409">
        <v>1</v>
      </c>
      <c r="BB461" s="399"/>
      <c r="BC461" s="399"/>
      <c r="BD461" s="409"/>
      <c r="BE461" s="411"/>
      <c r="BF461" s="411"/>
      <c r="BG461" s="411"/>
      <c r="BH461" s="411"/>
      <c r="BI461" s="411"/>
      <c r="BJ461" s="409" t="s">
        <v>3106</v>
      </c>
      <c r="BK461" s="399"/>
      <c r="BL461" s="399"/>
      <c r="BM461" s="399"/>
      <c r="BN461" s="399"/>
      <c r="BO461" s="399"/>
      <c r="BP461" s="399"/>
      <c r="BQ461" s="399"/>
      <c r="BR461" s="399"/>
      <c r="BS461" s="407"/>
      <c r="BT461" s="407"/>
      <c r="BU461" s="412"/>
      <c r="BV461" s="46" t="str">
        <f t="shared" si="8"/>
        <v>DeviceUseStatement</v>
      </c>
      <c r="BW461" s="46" t="str">
        <f t="shared" si="9"/>
        <v/>
      </c>
      <c r="BX461" s="46" t="str">
        <f t="shared" si="10"/>
        <v>DeviceUseStatement</v>
      </c>
      <c r="BY461" s="43" t="str">
        <f t="shared" si="11"/>
        <v>WHO-FP DeviceUseStatement (Exit Contraceptive Method)</v>
      </c>
      <c r="BZ461" s="46">
        <f t="shared" si="12"/>
        <v>1</v>
      </c>
      <c r="CA461" s="46">
        <f t="shared" si="13"/>
        <v>1</v>
      </c>
      <c r="CB461" s="46">
        <f t="shared" si="14"/>
        <v>1</v>
      </c>
      <c r="CC461" s="46">
        <f t="shared" si="15"/>
        <v>1</v>
      </c>
      <c r="CD461" s="46">
        <f t="shared" si="16"/>
        <v>1</v>
      </c>
      <c r="CE461" s="46">
        <f t="shared" si="17"/>
        <v>0</v>
      </c>
      <c r="CF461" s="46">
        <f t="shared" si="18"/>
        <v>0</v>
      </c>
      <c r="CG461" s="46" t="str">
        <f ca="1">IFERROR(__xludf.DUMMYFUNCTION("if(OR(BH461="""",LEFT(BH461,2)=""LA""),"""",IMPORTXML(CONCATENATE(""https://loinc.org/"",BH461,""/""),""//span[@id='lcn']""))"),"")</f>
        <v/>
      </c>
      <c r="CH461" s="46"/>
      <c r="CI461" s="46"/>
      <c r="CJ461" s="46"/>
      <c r="CK461" s="46"/>
      <c r="CL461" s="46"/>
      <c r="CM461" s="46"/>
      <c r="CN461" s="46"/>
      <c r="CO461" s="46"/>
      <c r="CP461" s="46"/>
      <c r="CQ461" s="46"/>
      <c r="CR461" s="46"/>
      <c r="CS461" s="46"/>
      <c r="CT461" s="46"/>
      <c r="CU461" s="46"/>
    </row>
    <row r="462" spans="1:99" ht="12.75" customHeight="1">
      <c r="A462" s="440">
        <v>2357</v>
      </c>
      <c r="B462" s="409" t="s">
        <v>5988</v>
      </c>
      <c r="C462" s="450">
        <f t="shared" si="77"/>
        <v>2357</v>
      </c>
      <c r="D462" s="450" t="str">
        <f t="shared" si="78"/>
        <v>Method at exit - reported</v>
      </c>
      <c r="E462" s="450" t="str">
        <f t="shared" si="79"/>
        <v>Method at exit - reported</v>
      </c>
      <c r="F462" s="403" t="str">
        <f t="shared" si="86"/>
        <v>Data Element</v>
      </c>
      <c r="G462" s="400">
        <f t="shared" si="80"/>
        <v>58</v>
      </c>
      <c r="H462" s="407" t="str">
        <f t="shared" si="87"/>
        <v/>
      </c>
      <c r="I462" s="407"/>
      <c r="J462" s="407"/>
      <c r="K462" s="404" t="s">
        <v>5969</v>
      </c>
      <c r="L462" s="451" t="s">
        <v>3517</v>
      </c>
      <c r="M462" s="407"/>
      <c r="N462" s="623" t="s">
        <v>5981</v>
      </c>
      <c r="O462" s="407"/>
      <c r="P462" s="404" t="s">
        <v>5982</v>
      </c>
      <c r="Q462" s="404" t="s">
        <v>5983</v>
      </c>
      <c r="R462" s="414"/>
      <c r="S462" s="404" t="s">
        <v>5984</v>
      </c>
      <c r="T462" s="437" t="s">
        <v>3121</v>
      </c>
      <c r="U462" s="444" t="s">
        <v>3326</v>
      </c>
      <c r="V462" s="404"/>
      <c r="W462" s="407"/>
      <c r="X462" s="403" t="s">
        <v>208</v>
      </c>
      <c r="Y462" s="404"/>
      <c r="Z462" s="437" t="s">
        <v>113</v>
      </c>
      <c r="AA462" s="437" t="s">
        <v>3098</v>
      </c>
      <c r="AB462" s="407"/>
      <c r="AC462" s="404"/>
      <c r="AD462" s="404" t="s">
        <v>4401</v>
      </c>
      <c r="AE462" s="407"/>
      <c r="AF462" s="404"/>
      <c r="AG462" s="404"/>
      <c r="AH462" s="403"/>
      <c r="AI462" s="407"/>
      <c r="AJ462" s="403"/>
      <c r="AK462" s="409" t="s">
        <v>3650</v>
      </c>
      <c r="AL462" s="409" t="s">
        <v>3181</v>
      </c>
      <c r="AM462" s="409" t="s">
        <v>3100</v>
      </c>
      <c r="AN462" s="585" t="s">
        <v>3101</v>
      </c>
      <c r="AO462" s="403"/>
      <c r="AP462" s="409" t="s">
        <v>5989</v>
      </c>
      <c r="AQ462" s="409" t="s">
        <v>3424</v>
      </c>
      <c r="AR462" s="468" t="s">
        <v>4409</v>
      </c>
      <c r="AS462" s="403"/>
      <c r="AT462" s="407"/>
      <c r="AU462" s="403" t="s">
        <v>5986</v>
      </c>
      <c r="AV462" s="403" t="str">
        <f t="shared" si="81"/>
        <v>Changed</v>
      </c>
      <c r="AW462" s="403"/>
      <c r="AX462" s="409" t="s">
        <v>3343</v>
      </c>
      <c r="AY462" s="407" t="str">
        <f t="shared" si="82"/>
        <v>"Method at exit - reported"-&gt;"Contraception Method at exit - reported - Medication-based"</v>
      </c>
      <c r="AZ462" s="403"/>
      <c r="BA462" s="409">
        <v>1</v>
      </c>
      <c r="BB462" s="399"/>
      <c r="BC462" s="403"/>
      <c r="BD462" s="453"/>
      <c r="BE462" s="411"/>
      <c r="BF462" s="412"/>
      <c r="BG462" s="411"/>
      <c r="BH462" s="411"/>
      <c r="BI462" s="411"/>
      <c r="BJ462" s="409" t="s">
        <v>3106</v>
      </c>
      <c r="BK462" s="403"/>
      <c r="BL462" s="403"/>
      <c r="BM462" s="403"/>
      <c r="BN462" s="403"/>
      <c r="BO462" s="403"/>
      <c r="BP462" s="403"/>
      <c r="BQ462" s="403"/>
      <c r="BR462" s="403"/>
      <c r="BS462" s="407"/>
      <c r="BT462" s="407"/>
      <c r="BU462" s="412"/>
      <c r="BV462" s="46" t="str">
        <f t="shared" si="8"/>
        <v>MedicationStatement</v>
      </c>
      <c r="BW462" s="46" t="str">
        <f t="shared" si="9"/>
        <v/>
      </c>
      <c r="BX462" s="46" t="str">
        <f t="shared" si="10"/>
        <v>MedicationStatement</v>
      </c>
      <c r="BY462" s="43" t="str">
        <f t="shared" si="11"/>
        <v>WHO-FP MedicationStatement (Exit Contraceptive Method)</v>
      </c>
      <c r="BZ462" s="46">
        <f t="shared" si="12"/>
        <v>1</v>
      </c>
      <c r="CA462" s="46">
        <f t="shared" si="13"/>
        <v>1</v>
      </c>
      <c r="CB462" s="46">
        <f t="shared" si="14"/>
        <v>1</v>
      </c>
      <c r="CC462" s="46">
        <f t="shared" si="15"/>
        <v>1</v>
      </c>
      <c r="CD462" s="46">
        <f t="shared" si="16"/>
        <v>1</v>
      </c>
      <c r="CE462" s="46">
        <f t="shared" si="17"/>
        <v>0</v>
      </c>
      <c r="CF462" s="46">
        <f t="shared" si="18"/>
        <v>0</v>
      </c>
      <c r="CG462" s="624" t="str">
        <f ca="1">IFERROR(__xludf.DUMMYFUNCTION("if(OR(BH462="""",LEFT(BH462,2)=""LA""),"""",IMPORTXML(CONCATENATE(""https://loinc.org/"",BH462,""/""),""//span[@id='lcn']""))"),"")</f>
        <v/>
      </c>
      <c r="CH462" s="625"/>
      <c r="CI462" s="625"/>
      <c r="CJ462" s="479"/>
      <c r="CK462" s="479"/>
      <c r="CL462" s="479"/>
      <c r="CM462" s="479"/>
      <c r="CN462" s="479"/>
      <c r="CO462" s="479"/>
      <c r="CP462" s="479"/>
      <c r="CQ462" s="479"/>
      <c r="CR462" s="479"/>
      <c r="CS462" s="479"/>
      <c r="CT462" s="479"/>
      <c r="CU462" s="479"/>
    </row>
    <row r="463" spans="1:99" ht="12.75" customHeight="1">
      <c r="A463" s="440">
        <v>2358</v>
      </c>
      <c r="B463" s="409" t="s">
        <v>5990</v>
      </c>
      <c r="C463" s="450">
        <f t="shared" si="77"/>
        <v>2358</v>
      </c>
      <c r="D463" s="450" t="str">
        <f t="shared" si="78"/>
        <v>Method at exit - reported</v>
      </c>
      <c r="E463" s="450" t="str">
        <f t="shared" si="79"/>
        <v>Method at exit - reported</v>
      </c>
      <c r="F463" s="403" t="str">
        <f t="shared" si="86"/>
        <v>Data Element</v>
      </c>
      <c r="G463" s="400">
        <f t="shared" si="80"/>
        <v>57</v>
      </c>
      <c r="H463" s="407" t="str">
        <f t="shared" si="87"/>
        <v/>
      </c>
      <c r="I463" s="407"/>
      <c r="J463" s="407"/>
      <c r="K463" s="404" t="s">
        <v>5969</v>
      </c>
      <c r="L463" s="451" t="s">
        <v>3517</v>
      </c>
      <c r="M463" s="407"/>
      <c r="N463" s="623" t="s">
        <v>5981</v>
      </c>
      <c r="O463" s="407"/>
      <c r="P463" s="404" t="s">
        <v>5982</v>
      </c>
      <c r="Q463" s="404" t="s">
        <v>5983</v>
      </c>
      <c r="R463" s="414"/>
      <c r="S463" s="404" t="s">
        <v>5984</v>
      </c>
      <c r="T463" s="437" t="s">
        <v>3121</v>
      </c>
      <c r="U463" s="444" t="s">
        <v>3326</v>
      </c>
      <c r="V463" s="404"/>
      <c r="W463" s="407"/>
      <c r="X463" s="403" t="s">
        <v>208</v>
      </c>
      <c r="Y463" s="404"/>
      <c r="Z463" s="437" t="s">
        <v>113</v>
      </c>
      <c r="AA463" s="437" t="s">
        <v>3098</v>
      </c>
      <c r="AB463" s="407"/>
      <c r="AC463" s="404"/>
      <c r="AD463" s="404" t="s">
        <v>4401</v>
      </c>
      <c r="AE463" s="407"/>
      <c r="AF463" s="404"/>
      <c r="AG463" s="404"/>
      <c r="AH463" s="403"/>
      <c r="AI463" s="407"/>
      <c r="AJ463" s="403"/>
      <c r="AK463" s="585" t="s">
        <v>3715</v>
      </c>
      <c r="AL463" s="585"/>
      <c r="AM463" s="585" t="s">
        <v>3100</v>
      </c>
      <c r="AN463" s="585" t="s">
        <v>3101</v>
      </c>
      <c r="AO463" s="403"/>
      <c r="AP463" s="440" t="s">
        <v>5991</v>
      </c>
      <c r="AQ463" s="409" t="s">
        <v>3424</v>
      </c>
      <c r="AR463" s="468" t="s">
        <v>4412</v>
      </c>
      <c r="AS463" s="403"/>
      <c r="AT463" s="407"/>
      <c r="AU463" s="403" t="s">
        <v>5986</v>
      </c>
      <c r="AV463" s="403" t="str">
        <f t="shared" si="81"/>
        <v>Changed</v>
      </c>
      <c r="AW463" s="403"/>
      <c r="AX463" s="409" t="s">
        <v>3343</v>
      </c>
      <c r="AY463" s="407" t="str">
        <f t="shared" si="82"/>
        <v>"Method at exit - reported"-&gt;"Contraception Method at exit - reported - Procedure-based"</v>
      </c>
      <c r="AZ463" s="403"/>
      <c r="BA463" s="409">
        <v>1</v>
      </c>
      <c r="BB463" s="399"/>
      <c r="BC463" s="403"/>
      <c r="BD463" s="453"/>
      <c r="BE463" s="411"/>
      <c r="BF463" s="412"/>
      <c r="BG463" s="411"/>
      <c r="BH463" s="411"/>
      <c r="BI463" s="411"/>
      <c r="BJ463" s="409" t="s">
        <v>3106</v>
      </c>
      <c r="BK463" s="403"/>
      <c r="BL463" s="403"/>
      <c r="BM463" s="403"/>
      <c r="BN463" s="403"/>
      <c r="BO463" s="403"/>
      <c r="BP463" s="403"/>
      <c r="BQ463" s="403"/>
      <c r="BR463" s="403"/>
      <c r="BS463" s="407"/>
      <c r="BT463" s="407"/>
      <c r="BU463" s="412"/>
      <c r="BV463" s="46" t="str">
        <f t="shared" si="8"/>
        <v>Procedure</v>
      </c>
      <c r="BW463" s="46" t="str">
        <f t="shared" si="9"/>
        <v/>
      </c>
      <c r="BX463" s="46" t="str">
        <f t="shared" si="10"/>
        <v>Procedure</v>
      </c>
      <c r="BY463" s="43" t="str">
        <f t="shared" si="11"/>
        <v>WHO-FP Procedure (Exit Contraceptive Method)</v>
      </c>
      <c r="BZ463" s="46">
        <f t="shared" si="12"/>
        <v>1</v>
      </c>
      <c r="CA463" s="46">
        <f t="shared" si="13"/>
        <v>1</v>
      </c>
      <c r="CB463" s="46">
        <f t="shared" si="14"/>
        <v>1</v>
      </c>
      <c r="CC463" s="46">
        <f t="shared" si="15"/>
        <v>1</v>
      </c>
      <c r="CD463" s="46">
        <f t="shared" si="16"/>
        <v>1</v>
      </c>
      <c r="CE463" s="46">
        <f t="shared" si="17"/>
        <v>0</v>
      </c>
      <c r="CF463" s="46">
        <f t="shared" si="18"/>
        <v>0</v>
      </c>
      <c r="CG463" s="624" t="str">
        <f ca="1">IFERROR(__xludf.DUMMYFUNCTION("if(OR(BH463="""",LEFT(BH463,2)=""LA""),"""",IMPORTXML(CONCATENATE(""https://loinc.org/"",BH463,""/""),""//span[@id='lcn']""))"),"")</f>
        <v/>
      </c>
      <c r="CH463" s="625"/>
      <c r="CI463" s="625"/>
      <c r="CJ463" s="479"/>
      <c r="CK463" s="479"/>
      <c r="CL463" s="479"/>
      <c r="CM463" s="479"/>
      <c r="CN463" s="479"/>
      <c r="CO463" s="479"/>
      <c r="CP463" s="479"/>
      <c r="CQ463" s="479"/>
      <c r="CR463" s="479"/>
      <c r="CS463" s="479"/>
      <c r="CT463" s="479"/>
      <c r="CU463" s="479"/>
    </row>
    <row r="464" spans="1:99" ht="12.75" customHeight="1">
      <c r="A464" s="399">
        <v>1694</v>
      </c>
      <c r="B464" s="399" t="s">
        <v>5992</v>
      </c>
      <c r="C464" s="399">
        <f t="shared" si="77"/>
        <v>1694</v>
      </c>
      <c r="D464" s="399" t="str">
        <f t="shared" si="78"/>
        <v>Insertion of IUD</v>
      </c>
      <c r="E464" s="399" t="str">
        <f t="shared" si="79"/>
        <v>Insertion of IUD</v>
      </c>
      <c r="F464" s="399" t="str">
        <f t="shared" si="86"/>
        <v>Data Element</v>
      </c>
      <c r="G464" s="400">
        <f t="shared" si="80"/>
        <v>16</v>
      </c>
      <c r="H464" s="400" t="str">
        <f>IF(F464="Input Option",IF(H475="",B475,H475),"")</f>
        <v/>
      </c>
      <c r="I464" s="400"/>
      <c r="J464" s="400"/>
      <c r="K464" s="401" t="s">
        <v>5969</v>
      </c>
      <c r="L464" s="402" t="s">
        <v>3517</v>
      </c>
      <c r="M464" s="400"/>
      <c r="N464" s="623" t="s">
        <v>5981</v>
      </c>
      <c r="O464" s="428"/>
      <c r="P464" s="437" t="s">
        <v>5993</v>
      </c>
      <c r="Q464" s="404" t="s">
        <v>5992</v>
      </c>
      <c r="R464" s="414"/>
      <c r="S464" s="437" t="s">
        <v>5994</v>
      </c>
      <c r="T464" s="437" t="s">
        <v>3169</v>
      </c>
      <c r="U464" s="437"/>
      <c r="V464" s="437" t="s">
        <v>3170</v>
      </c>
      <c r="W464" s="403"/>
      <c r="X464" s="403" t="s">
        <v>208</v>
      </c>
      <c r="Y464" s="404"/>
      <c r="Z464" s="437" t="s">
        <v>113</v>
      </c>
      <c r="AA464" s="404" t="s">
        <v>3178</v>
      </c>
      <c r="AB464" s="406"/>
      <c r="AC464" s="404"/>
      <c r="AD464" s="404"/>
      <c r="AE464" s="406"/>
      <c r="AF464" s="404"/>
      <c r="AG464" s="404"/>
      <c r="AH464" s="399"/>
      <c r="AI464" s="400"/>
      <c r="AJ464" s="399"/>
      <c r="AK464" s="409" t="s">
        <v>3715</v>
      </c>
      <c r="AL464" s="409"/>
      <c r="AM464" s="409" t="s">
        <v>3100</v>
      </c>
      <c r="AN464" s="409" t="s">
        <v>3101</v>
      </c>
      <c r="AO464" s="399"/>
      <c r="AP464" s="399"/>
      <c r="AQ464" s="409" t="s">
        <v>115</v>
      </c>
      <c r="AR464" s="399"/>
      <c r="AS464" s="399"/>
      <c r="AT464" s="399"/>
      <c r="AU464" s="399" t="s">
        <v>5992</v>
      </c>
      <c r="AV464" s="399" t="str">
        <f t="shared" si="81"/>
        <v>Same</v>
      </c>
      <c r="AW464" s="399"/>
      <c r="AX464" s="409" t="s">
        <v>3343</v>
      </c>
      <c r="AY464" s="399" t="str">
        <f t="shared" si="82"/>
        <v/>
      </c>
      <c r="AZ464" s="399"/>
      <c r="BA464" s="409">
        <v>0</v>
      </c>
      <c r="BB464" s="399"/>
      <c r="BC464" s="399"/>
      <c r="BD464" s="409" t="s">
        <v>3162</v>
      </c>
      <c r="BE464" s="411" t="s">
        <v>5995</v>
      </c>
      <c r="BF464" s="411"/>
      <c r="BG464" s="411" t="s">
        <v>5996</v>
      </c>
      <c r="BH464" s="411"/>
      <c r="BI464" s="411"/>
      <c r="BJ464" s="399"/>
      <c r="BK464" s="399"/>
      <c r="BL464" s="399"/>
      <c r="BM464" s="399"/>
      <c r="BN464" s="399"/>
      <c r="BO464" s="399">
        <v>161886</v>
      </c>
      <c r="BP464" s="399"/>
      <c r="BQ464" s="399"/>
      <c r="BR464" s="399"/>
      <c r="BS464" s="407"/>
      <c r="BT464" s="407"/>
      <c r="BU464" s="412"/>
      <c r="BV464" s="46" t="str">
        <f t="shared" si="8"/>
        <v/>
      </c>
      <c r="BW464" s="46" t="str">
        <f t="shared" si="9"/>
        <v/>
      </c>
      <c r="BX464" s="46" t="str">
        <f t="shared" si="10"/>
        <v/>
      </c>
      <c r="BY464" s="43">
        <f t="shared" si="11"/>
        <v>0</v>
      </c>
      <c r="BZ464" s="46">
        <f t="shared" si="12"/>
        <v>1</v>
      </c>
      <c r="CA464" s="46">
        <f t="shared" si="13"/>
        <v>0</v>
      </c>
      <c r="CB464" s="46">
        <f t="shared" si="14"/>
        <v>1</v>
      </c>
      <c r="CC464" s="46">
        <f t="shared" si="15"/>
        <v>1</v>
      </c>
      <c r="CD464" s="46">
        <f t="shared" si="16"/>
        <v>1</v>
      </c>
      <c r="CE464" s="46">
        <f t="shared" si="17"/>
        <v>0</v>
      </c>
      <c r="CF464" s="46">
        <f t="shared" si="18"/>
        <v>0</v>
      </c>
      <c r="CG464" s="46" t="str">
        <f ca="1">IFERROR(__xludf.DUMMYFUNCTION("if(OR(BH464="""",LEFT(BH464,2)=""LA""),"""",IMPORTXML(CONCATENATE(""https://loinc.org/"",BH464,""/""),""//span[@id='lcn']""))"),"")</f>
        <v/>
      </c>
      <c r="CH464" s="46"/>
      <c r="CI464" s="46"/>
      <c r="CJ464" s="46"/>
      <c r="CK464" s="46"/>
      <c r="CL464" s="46"/>
      <c r="CM464" s="46"/>
      <c r="CN464" s="46"/>
      <c r="CO464" s="46"/>
      <c r="CP464" s="46"/>
      <c r="CQ464" s="46"/>
      <c r="CR464" s="46"/>
      <c r="CS464" s="46"/>
      <c r="CT464" s="46"/>
      <c r="CU464" s="46"/>
    </row>
    <row r="465" spans="1:99" ht="12.75" customHeight="1">
      <c r="A465" s="399">
        <v>1695</v>
      </c>
      <c r="B465" s="399" t="s">
        <v>5997</v>
      </c>
      <c r="C465" s="399">
        <f t="shared" si="77"/>
        <v>1695</v>
      </c>
      <c r="D465" s="399" t="str">
        <f t="shared" si="78"/>
        <v>Insertion of subcutaneous contraceptive (procedure)</v>
      </c>
      <c r="E465" s="399" t="str">
        <f t="shared" si="79"/>
        <v>Insertion of subcutaneous contraceptive (procedure)</v>
      </c>
      <c r="F465" s="399" t="str">
        <f t="shared" si="86"/>
        <v>Data Element</v>
      </c>
      <c r="G465" s="400">
        <f t="shared" si="80"/>
        <v>51</v>
      </c>
      <c r="H465" s="627" t="s">
        <v>5998</v>
      </c>
      <c r="I465" s="400"/>
      <c r="J465" s="400"/>
      <c r="K465" s="401" t="s">
        <v>5969</v>
      </c>
      <c r="L465" s="402" t="s">
        <v>3517</v>
      </c>
      <c r="M465" s="400"/>
      <c r="N465" s="623" t="s">
        <v>5981</v>
      </c>
      <c r="O465" s="428"/>
      <c r="P465" s="404" t="s">
        <v>6000</v>
      </c>
      <c r="Q465" s="444" t="s">
        <v>5997</v>
      </c>
      <c r="R465" s="628"/>
      <c r="S465" s="437"/>
      <c r="T465" s="437"/>
      <c r="U465" s="437"/>
      <c r="V465" s="437"/>
      <c r="W465" s="403"/>
      <c r="X465" s="403"/>
      <c r="Y465" s="404"/>
      <c r="Z465" s="437"/>
      <c r="AA465" s="404"/>
      <c r="AB465" s="629"/>
      <c r="AC465" s="404"/>
      <c r="AD465" s="404"/>
      <c r="AE465" s="406"/>
      <c r="AF465" s="404"/>
      <c r="AG465" s="404"/>
      <c r="AH465" s="399"/>
      <c r="AI465" s="400"/>
      <c r="AJ465" s="399"/>
      <c r="AK465" s="409" t="s">
        <v>3715</v>
      </c>
      <c r="AL465" s="409"/>
      <c r="AM465" s="409" t="s">
        <v>3100</v>
      </c>
      <c r="AN465" s="409" t="s">
        <v>3101</v>
      </c>
      <c r="AO465" s="399"/>
      <c r="AP465" s="399"/>
      <c r="AQ465" s="409" t="s">
        <v>115</v>
      </c>
      <c r="AR465" s="399"/>
      <c r="AS465" s="399"/>
      <c r="AT465" s="399"/>
      <c r="AU465" s="399" t="s">
        <v>5997</v>
      </c>
      <c r="AV465" s="399" t="str">
        <f t="shared" si="81"/>
        <v>Same</v>
      </c>
      <c r="AW465" s="399"/>
      <c r="AX465" s="409" t="s">
        <v>3343</v>
      </c>
      <c r="AY465" s="399" t="str">
        <f t="shared" si="82"/>
        <v/>
      </c>
      <c r="AZ465" s="399"/>
      <c r="BA465" s="409">
        <v>0</v>
      </c>
      <c r="BB465" s="399"/>
      <c r="BC465" s="399"/>
      <c r="BD465" s="409" t="s">
        <v>3162</v>
      </c>
      <c r="BE465" s="411" t="s">
        <v>5995</v>
      </c>
      <c r="BF465" s="411"/>
      <c r="BG465" s="411"/>
      <c r="BH465" s="411"/>
      <c r="BI465" s="411"/>
      <c r="BJ465" s="399"/>
      <c r="BK465" s="399"/>
      <c r="BL465" s="399"/>
      <c r="BM465" s="409" t="s">
        <v>6001</v>
      </c>
      <c r="BN465" s="399"/>
      <c r="BO465" s="399"/>
      <c r="BP465" s="399"/>
      <c r="BQ465" s="399"/>
      <c r="BR465" s="399"/>
      <c r="BS465" s="407"/>
      <c r="BT465" s="407"/>
      <c r="BU465" s="412"/>
      <c r="BV465" s="46" t="str">
        <f t="shared" si="8"/>
        <v/>
      </c>
      <c r="BW465" s="46" t="str">
        <f t="shared" si="9"/>
        <v/>
      </c>
      <c r="BX465" s="46" t="str">
        <f t="shared" si="10"/>
        <v/>
      </c>
      <c r="BY465" s="43">
        <f t="shared" si="11"/>
        <v>0</v>
      </c>
      <c r="BZ465" s="46">
        <f t="shared" si="12"/>
        <v>1</v>
      </c>
      <c r="CA465" s="46">
        <f t="shared" si="13"/>
        <v>0</v>
      </c>
      <c r="CB465" s="46">
        <f t="shared" si="14"/>
        <v>1</v>
      </c>
      <c r="CC465" s="46">
        <f t="shared" si="15"/>
        <v>1</v>
      </c>
      <c r="CD465" s="46">
        <f t="shared" si="16"/>
        <v>1</v>
      </c>
      <c r="CE465" s="46">
        <f t="shared" si="17"/>
        <v>0</v>
      </c>
      <c r="CF465" s="46">
        <f t="shared" si="18"/>
        <v>0</v>
      </c>
      <c r="CG465" s="46" t="str">
        <f ca="1">IFERROR(__xludf.DUMMYFUNCTION("if(OR(BH465="""",LEFT(BH465,2)=""LA""),"""",IMPORTXML(CONCATENATE(""https://loinc.org/"",BH465,""/""),""//span[@id='lcn']""))"),"")</f>
        <v/>
      </c>
      <c r="CH465" s="46"/>
      <c r="CI465" s="46"/>
      <c r="CJ465" s="46"/>
      <c r="CK465" s="46"/>
      <c r="CL465" s="46"/>
      <c r="CM465" s="46"/>
      <c r="CN465" s="46"/>
      <c r="CO465" s="46"/>
      <c r="CP465" s="46"/>
      <c r="CQ465" s="46"/>
      <c r="CR465" s="46"/>
      <c r="CS465" s="46"/>
      <c r="CT465" s="46"/>
      <c r="CU465" s="46"/>
    </row>
    <row r="466" spans="1:99" ht="12.75" customHeight="1">
      <c r="A466" s="399">
        <v>1696</v>
      </c>
      <c r="B466" s="399" t="s">
        <v>6002</v>
      </c>
      <c r="C466" s="399">
        <f t="shared" si="77"/>
        <v>1696</v>
      </c>
      <c r="D466" s="399" t="str">
        <f t="shared" si="78"/>
        <v>IUD removal</v>
      </c>
      <c r="E466" s="399" t="str">
        <f t="shared" si="79"/>
        <v>IUD removal</v>
      </c>
      <c r="F466" s="399" t="str">
        <f t="shared" si="86"/>
        <v>Data Element</v>
      </c>
      <c r="G466" s="400">
        <f t="shared" si="80"/>
        <v>11</v>
      </c>
      <c r="H466" s="400" t="str">
        <f t="shared" ref="H466:H470" si="88">IF(F466="Input Option",IF(H465="",B465,H465),"")</f>
        <v/>
      </c>
      <c r="I466" s="400"/>
      <c r="J466" s="400"/>
      <c r="K466" s="401" t="s">
        <v>5969</v>
      </c>
      <c r="L466" s="402" t="s">
        <v>3517</v>
      </c>
      <c r="M466" s="400"/>
      <c r="N466" s="623" t="s">
        <v>5981</v>
      </c>
      <c r="O466" s="428"/>
      <c r="P466" s="404" t="s">
        <v>3394</v>
      </c>
      <c r="Q466" s="404" t="s">
        <v>6002</v>
      </c>
      <c r="R466" s="414"/>
      <c r="S466" s="437" t="s">
        <v>6003</v>
      </c>
      <c r="T466" s="437" t="s">
        <v>3169</v>
      </c>
      <c r="U466" s="437"/>
      <c r="V466" s="437" t="s">
        <v>3170</v>
      </c>
      <c r="W466" s="403"/>
      <c r="X466" s="403" t="s">
        <v>208</v>
      </c>
      <c r="Y466" s="404"/>
      <c r="Z466" s="437" t="s">
        <v>113</v>
      </c>
      <c r="AA466" s="404" t="s">
        <v>3178</v>
      </c>
      <c r="AB466" s="444" t="s">
        <v>6004</v>
      </c>
      <c r="AC466" s="404"/>
      <c r="AD466" s="404" t="s">
        <v>3388</v>
      </c>
      <c r="AE466" s="406"/>
      <c r="AF466" s="404"/>
      <c r="AG466" s="404"/>
      <c r="AH466" s="399"/>
      <c r="AI466" s="400"/>
      <c r="AJ466" s="399"/>
      <c r="AK466" s="409" t="s">
        <v>3715</v>
      </c>
      <c r="AL466" s="409"/>
      <c r="AM466" s="409" t="s">
        <v>3100</v>
      </c>
      <c r="AN466" s="409" t="s">
        <v>3101</v>
      </c>
      <c r="AO466" s="399"/>
      <c r="AP466" s="440" t="s">
        <v>6005</v>
      </c>
      <c r="AQ466" s="409" t="s">
        <v>3424</v>
      </c>
      <c r="AR466" s="399"/>
      <c r="AS466" s="399"/>
      <c r="AT466" s="399"/>
      <c r="AU466" s="399" t="s">
        <v>6002</v>
      </c>
      <c r="AV466" s="399" t="str">
        <f t="shared" si="81"/>
        <v>Same</v>
      </c>
      <c r="AW466" s="399"/>
      <c r="AX466" s="409" t="s">
        <v>3343</v>
      </c>
      <c r="AY466" s="399" t="str">
        <f t="shared" si="82"/>
        <v/>
      </c>
      <c r="AZ466" s="399"/>
      <c r="BA466" s="409">
        <v>1</v>
      </c>
      <c r="BB466" s="399"/>
      <c r="BC466" s="399"/>
      <c r="BD466" s="409" t="s">
        <v>3162</v>
      </c>
      <c r="BE466" s="411" t="s">
        <v>3397</v>
      </c>
      <c r="BF466" s="411"/>
      <c r="BG466" s="411" t="s">
        <v>6006</v>
      </c>
      <c r="BH466" s="411"/>
      <c r="BI466" s="411"/>
      <c r="BJ466" s="399"/>
      <c r="BK466" s="399"/>
      <c r="BL466" s="399"/>
      <c r="BM466" s="399"/>
      <c r="BN466" s="399"/>
      <c r="BO466" s="399"/>
      <c r="BP466" s="399"/>
      <c r="BQ466" s="399"/>
      <c r="BR466" s="399"/>
      <c r="BS466" s="407"/>
      <c r="BT466" s="407"/>
      <c r="BU466" s="412"/>
      <c r="BV466" s="46" t="str">
        <f t="shared" si="8"/>
        <v>Procedure</v>
      </c>
      <c r="BW466" s="46" t="str">
        <f t="shared" si="9"/>
        <v/>
      </c>
      <c r="BX466" s="46" t="str">
        <f t="shared" si="10"/>
        <v>Procedure</v>
      </c>
      <c r="BY466" s="43" t="str">
        <f t="shared" si="11"/>
        <v>WHO-FP Procedure (Service Provided)</v>
      </c>
      <c r="BZ466" s="46">
        <f t="shared" si="12"/>
        <v>1</v>
      </c>
      <c r="CA466" s="46">
        <f t="shared" si="13"/>
        <v>0</v>
      </c>
      <c r="CB466" s="46">
        <f t="shared" si="14"/>
        <v>1</v>
      </c>
      <c r="CC466" s="46">
        <f t="shared" si="15"/>
        <v>1</v>
      </c>
      <c r="CD466" s="46">
        <f t="shared" si="16"/>
        <v>1</v>
      </c>
      <c r="CE466" s="46">
        <f t="shared" si="17"/>
        <v>0</v>
      </c>
      <c r="CF466" s="46">
        <f t="shared" si="18"/>
        <v>0</v>
      </c>
      <c r="CG466" s="46" t="str">
        <f ca="1">IFERROR(__xludf.DUMMYFUNCTION("if(OR(BH466="""",LEFT(BH466,2)=""LA""),"""",IMPORTXML(CONCATENATE(""https://loinc.org/"",BH466,""/""),""//span[@id='lcn']""))"),"")</f>
        <v/>
      </c>
      <c r="CH466" s="46"/>
      <c r="CI466" s="46"/>
      <c r="CJ466" s="46"/>
      <c r="CK466" s="46"/>
      <c r="CL466" s="46"/>
      <c r="CM466" s="46"/>
      <c r="CN466" s="46"/>
      <c r="CO466" s="46"/>
      <c r="CP466" s="46"/>
      <c r="CQ466" s="46"/>
      <c r="CR466" s="46"/>
      <c r="CS466" s="46"/>
      <c r="CT466" s="46"/>
      <c r="CU466" s="46"/>
    </row>
    <row r="467" spans="1:99" ht="12.75" customHeight="1">
      <c r="A467" s="399">
        <v>1697</v>
      </c>
      <c r="B467" s="409" t="s">
        <v>6007</v>
      </c>
      <c r="C467" s="399">
        <f t="shared" si="77"/>
        <v>1697</v>
      </c>
      <c r="D467" s="399" t="str">
        <f t="shared" si="78"/>
        <v>IUD Insertion not possible</v>
      </c>
      <c r="E467" s="399" t="str">
        <f t="shared" si="79"/>
        <v>IUD Insertion not possible</v>
      </c>
      <c r="F467" s="413" t="s">
        <v>96</v>
      </c>
      <c r="G467" s="400">
        <f t="shared" si="80"/>
        <v>20</v>
      </c>
      <c r="H467" s="400" t="str">
        <f t="shared" si="88"/>
        <v/>
      </c>
      <c r="I467" s="400"/>
      <c r="J467" s="400"/>
      <c r="K467" s="401" t="s">
        <v>5969</v>
      </c>
      <c r="L467" s="402" t="s">
        <v>3517</v>
      </c>
      <c r="M467" s="400"/>
      <c r="N467" s="623" t="s">
        <v>5981</v>
      </c>
      <c r="O467" s="428"/>
      <c r="P467" s="437" t="s">
        <v>6008</v>
      </c>
      <c r="Q467" s="404" t="s">
        <v>6009</v>
      </c>
      <c r="R467" s="414"/>
      <c r="S467" s="437" t="s">
        <v>6010</v>
      </c>
      <c r="T467" s="437" t="s">
        <v>3169</v>
      </c>
      <c r="U467" s="437"/>
      <c r="V467" s="437" t="s">
        <v>3170</v>
      </c>
      <c r="W467" s="403"/>
      <c r="X467" s="403" t="s">
        <v>208</v>
      </c>
      <c r="Y467" s="404"/>
      <c r="Z467" s="437" t="s">
        <v>113</v>
      </c>
      <c r="AA467" s="404" t="s">
        <v>3178</v>
      </c>
      <c r="AB467" s="444" t="s">
        <v>6011</v>
      </c>
      <c r="AC467" s="426"/>
      <c r="AD467" s="426"/>
      <c r="AE467" s="420"/>
      <c r="AF467" s="426"/>
      <c r="AG467" s="404"/>
      <c r="AH467" s="399"/>
      <c r="AI467" s="400"/>
      <c r="AJ467" s="399"/>
      <c r="AK467" s="409" t="s">
        <v>5883</v>
      </c>
      <c r="AL467" s="409"/>
      <c r="AM467" s="409" t="s">
        <v>3100</v>
      </c>
      <c r="AN467" s="409" t="s">
        <v>3101</v>
      </c>
      <c r="AO467" s="399"/>
      <c r="AP467" s="440" t="s">
        <v>6005</v>
      </c>
      <c r="AQ467" s="409" t="s">
        <v>3424</v>
      </c>
      <c r="AR467" s="399"/>
      <c r="AS467" s="399"/>
      <c r="AT467" s="399"/>
      <c r="AU467" s="399" t="s">
        <v>6009</v>
      </c>
      <c r="AV467" s="399" t="str">
        <f t="shared" si="81"/>
        <v>Changed</v>
      </c>
      <c r="AW467" s="399"/>
      <c r="AX467" s="409" t="s">
        <v>3343</v>
      </c>
      <c r="AY467" s="399" t="str">
        <f t="shared" si="82"/>
        <v>"IUD Insertion not possible"-&gt;"IUD Insertion status"</v>
      </c>
      <c r="AZ467" s="399"/>
      <c r="BA467" s="409">
        <v>1</v>
      </c>
      <c r="BB467" s="399"/>
      <c r="BC467" s="409"/>
      <c r="BD467" s="399"/>
      <c r="BE467" s="411"/>
      <c r="BF467" s="411"/>
      <c r="BG467" s="411"/>
      <c r="BH467" s="411"/>
      <c r="BI467" s="411"/>
      <c r="BJ467" s="409" t="s">
        <v>3106</v>
      </c>
      <c r="BK467" s="399"/>
      <c r="BL467" s="399"/>
      <c r="BM467" s="399"/>
      <c r="BN467" s="399"/>
      <c r="BO467" s="399"/>
      <c r="BP467" s="399"/>
      <c r="BQ467" s="399"/>
      <c r="BR467" s="399"/>
      <c r="BS467" s="407"/>
      <c r="BT467" s="407"/>
      <c r="BU467" s="412"/>
      <c r="BV467" s="46" t="str">
        <f t="shared" si="8"/>
        <v>Procedure</v>
      </c>
      <c r="BW467" s="46" t="str">
        <f t="shared" si="9"/>
        <v/>
      </c>
      <c r="BX467" s="46" t="str">
        <f t="shared" si="10"/>
        <v>Procedure</v>
      </c>
      <c r="BY467" s="43" t="str">
        <f t="shared" si="11"/>
        <v>WHO-FP Procedure (Service Provided)</v>
      </c>
      <c r="BZ467" s="46">
        <f t="shared" si="12"/>
        <v>1</v>
      </c>
      <c r="CA467" s="46">
        <f t="shared" si="13"/>
        <v>1</v>
      </c>
      <c r="CB467" s="46">
        <f t="shared" si="14"/>
        <v>1</v>
      </c>
      <c r="CC467" s="46">
        <f t="shared" si="15"/>
        <v>1</v>
      </c>
      <c r="CD467" s="46">
        <f t="shared" si="16"/>
        <v>1</v>
      </c>
      <c r="CE467" s="46">
        <f t="shared" si="17"/>
        <v>0</v>
      </c>
      <c r="CF467" s="46">
        <f t="shared" si="18"/>
        <v>0</v>
      </c>
      <c r="CG467" s="46" t="str">
        <f ca="1">IFERROR(__xludf.DUMMYFUNCTION("if(OR(BH467="""",LEFT(BH467,2)=""LA""),"""",IMPORTXML(CONCATENATE(""https://loinc.org/"",BH467,""/""),""//span[@id='lcn']""))"),"")</f>
        <v/>
      </c>
      <c r="CH467" s="46"/>
      <c r="CI467" s="46"/>
      <c r="CJ467" s="46"/>
      <c r="CK467" s="46"/>
      <c r="CL467" s="46"/>
      <c r="CM467" s="46"/>
      <c r="CN467" s="46"/>
      <c r="CO467" s="46"/>
      <c r="CP467" s="46"/>
      <c r="CQ467" s="46"/>
      <c r="CR467" s="46"/>
      <c r="CS467" s="46"/>
      <c r="CT467" s="46"/>
      <c r="CU467" s="46"/>
    </row>
    <row r="468" spans="1:99" ht="12.75" customHeight="1">
      <c r="A468" s="399">
        <v>2352</v>
      </c>
      <c r="B468" s="409" t="s">
        <v>6012</v>
      </c>
      <c r="C468" s="399">
        <f t="shared" si="77"/>
        <v>2352</v>
      </c>
      <c r="D468" s="399"/>
      <c r="E468" s="399"/>
      <c r="F468" s="409" t="s">
        <v>180</v>
      </c>
      <c r="G468" s="400">
        <f t="shared" si="80"/>
        <v>30</v>
      </c>
      <c r="H468" s="399" t="str">
        <f t="shared" si="88"/>
        <v>IUD Insertion status</v>
      </c>
      <c r="I468" s="400"/>
      <c r="J468" s="400"/>
      <c r="K468" s="401" t="s">
        <v>5969</v>
      </c>
      <c r="L468" s="402" t="s">
        <v>3517</v>
      </c>
      <c r="M468" s="400"/>
      <c r="N468" s="623"/>
      <c r="O468" s="428"/>
      <c r="P468" s="437"/>
      <c r="Q468" s="404"/>
      <c r="R468" s="414"/>
      <c r="S468" s="437"/>
      <c r="T468" s="437"/>
      <c r="U468" s="437"/>
      <c r="V468" s="437"/>
      <c r="W468" s="403"/>
      <c r="X468" s="403"/>
      <c r="Y468" s="404"/>
      <c r="Z468" s="437"/>
      <c r="AA468" s="404"/>
      <c r="AB468" s="629"/>
      <c r="AC468" s="404"/>
      <c r="AD468" s="404"/>
      <c r="AE468" s="406"/>
      <c r="AF468" s="404"/>
      <c r="AG468" s="404"/>
      <c r="AH468" s="399"/>
      <c r="AI468" s="400"/>
      <c r="AJ468" s="399"/>
      <c r="AK468" s="399"/>
      <c r="AL468" s="409"/>
      <c r="AM468" s="409"/>
      <c r="AN468" s="409"/>
      <c r="AO468" s="399"/>
      <c r="AP468" s="399"/>
      <c r="AQ468" s="409" t="s">
        <v>3130</v>
      </c>
      <c r="AR468" s="399"/>
      <c r="AS468" s="399"/>
      <c r="AT468" s="399"/>
      <c r="AU468" s="399"/>
      <c r="AV468" s="399"/>
      <c r="AW468" s="399"/>
      <c r="AX468" s="409" t="s">
        <v>3343</v>
      </c>
      <c r="AY468" s="399"/>
      <c r="AZ468" s="399"/>
      <c r="BA468" s="409">
        <v>1</v>
      </c>
      <c r="BB468" s="630" t="s">
        <v>5887</v>
      </c>
      <c r="BC468" s="409" t="s">
        <v>5890</v>
      </c>
      <c r="BD468" s="399"/>
      <c r="BE468" s="411"/>
      <c r="BF468" s="411"/>
      <c r="BG468" s="411"/>
      <c r="BH468" s="411"/>
      <c r="BI468" s="411"/>
      <c r="BJ468" s="399"/>
      <c r="BK468" s="399"/>
      <c r="BL468" s="399"/>
      <c r="BM468" s="399"/>
      <c r="BN468" s="399"/>
      <c r="BO468" s="399"/>
      <c r="BP468" s="399"/>
      <c r="BQ468" s="399"/>
      <c r="BR468" s="399"/>
      <c r="BS468" s="407"/>
      <c r="BT468" s="407"/>
      <c r="BU468" s="412"/>
      <c r="BV468" s="46" t="str">
        <f t="shared" si="8"/>
        <v/>
      </c>
      <c r="BW468" s="46">
        <f t="shared" si="9"/>
        <v>0</v>
      </c>
      <c r="BX468" s="46">
        <f t="shared" si="10"/>
        <v>0</v>
      </c>
      <c r="BY468" s="43" t="str">
        <f t="shared" si="11"/>
        <v>WHO-FP Procedure (Service Provided)</v>
      </c>
      <c r="BZ468" s="46">
        <f t="shared" si="12"/>
        <v>1</v>
      </c>
      <c r="CA468" s="46" t="str">
        <f t="shared" si="13"/>
        <v/>
      </c>
      <c r="CB468" s="46">
        <f t="shared" si="14"/>
        <v>1</v>
      </c>
      <c r="CC468" s="46">
        <f t="shared" si="15"/>
        <v>1</v>
      </c>
      <c r="CD468" s="46">
        <f t="shared" si="16"/>
        <v>1</v>
      </c>
      <c r="CE468" s="46">
        <f t="shared" si="17"/>
        <v>0</v>
      </c>
      <c r="CF468" s="46">
        <f t="shared" si="18"/>
        <v>0</v>
      </c>
      <c r="CG468" s="46" t="str">
        <f ca="1">IFERROR(__xludf.DUMMYFUNCTION("if(OR(BH468="""",LEFT(BH468,2)=""LA""),"""",IMPORTXML(CONCATENATE(""https://loinc.org/"",BH468,""/""),""//span[@id='lcn']""))"),"")</f>
        <v/>
      </c>
      <c r="CH468" s="46"/>
      <c r="CI468" s="46"/>
      <c r="CJ468" s="46"/>
      <c r="CK468" s="46"/>
      <c r="CL468" s="46"/>
      <c r="CM468" s="46"/>
      <c r="CN468" s="46"/>
      <c r="CO468" s="46"/>
      <c r="CP468" s="46"/>
      <c r="CQ468" s="46"/>
      <c r="CR468" s="46"/>
      <c r="CS468" s="46"/>
      <c r="CT468" s="46"/>
      <c r="CU468" s="46"/>
    </row>
    <row r="469" spans="1:99" ht="12.75" customHeight="1">
      <c r="A469" s="409">
        <v>2353</v>
      </c>
      <c r="B469" s="409" t="s">
        <v>6013</v>
      </c>
      <c r="C469" s="399">
        <f t="shared" si="77"/>
        <v>2353</v>
      </c>
      <c r="D469" s="399"/>
      <c r="E469" s="399"/>
      <c r="F469" s="409" t="s">
        <v>180</v>
      </c>
      <c r="G469" s="400">
        <f t="shared" si="80"/>
        <v>33</v>
      </c>
      <c r="H469" s="399" t="str">
        <f t="shared" si="88"/>
        <v>IUD Insertion status</v>
      </c>
      <c r="I469" s="400"/>
      <c r="J469" s="400"/>
      <c r="K469" s="401" t="s">
        <v>5969</v>
      </c>
      <c r="L469" s="402" t="s">
        <v>3517</v>
      </c>
      <c r="M469" s="400"/>
      <c r="N469" s="623"/>
      <c r="O469" s="428"/>
      <c r="P469" s="437"/>
      <c r="Q469" s="404"/>
      <c r="R469" s="414"/>
      <c r="S469" s="437"/>
      <c r="T469" s="437"/>
      <c r="U469" s="437"/>
      <c r="V469" s="437"/>
      <c r="W469" s="403"/>
      <c r="X469" s="403"/>
      <c r="Y469" s="404"/>
      <c r="Z469" s="437"/>
      <c r="AA469" s="404"/>
      <c r="AB469" s="629"/>
      <c r="AC469" s="404"/>
      <c r="AD469" s="404"/>
      <c r="AE469" s="406"/>
      <c r="AF469" s="404"/>
      <c r="AG469" s="404"/>
      <c r="AH469" s="399"/>
      <c r="AI469" s="400"/>
      <c r="AJ469" s="399"/>
      <c r="AK469" s="399"/>
      <c r="AL469" s="409"/>
      <c r="AM469" s="409"/>
      <c r="AN469" s="409"/>
      <c r="AO469" s="399"/>
      <c r="AP469" s="399"/>
      <c r="AQ469" s="409" t="s">
        <v>3130</v>
      </c>
      <c r="AR469" s="399"/>
      <c r="AS469" s="399"/>
      <c r="AT469" s="399"/>
      <c r="AU469" s="399"/>
      <c r="AV469" s="399"/>
      <c r="AW469" s="399"/>
      <c r="AX469" s="409" t="s">
        <v>3343</v>
      </c>
      <c r="AY469" s="399"/>
      <c r="AZ469" s="399"/>
      <c r="BA469" s="409">
        <v>1</v>
      </c>
      <c r="BB469" s="630" t="s">
        <v>5887</v>
      </c>
      <c r="BC469" s="409" t="s">
        <v>5888</v>
      </c>
      <c r="BD469" s="399"/>
      <c r="BE469" s="411"/>
      <c r="BF469" s="411"/>
      <c r="BG469" s="411"/>
      <c r="BH469" s="411"/>
      <c r="BI469" s="411"/>
      <c r="BJ469" s="399"/>
      <c r="BK469" s="399"/>
      <c r="BL469" s="399"/>
      <c r="BM469" s="399"/>
      <c r="BN469" s="399"/>
      <c r="BO469" s="399"/>
      <c r="BP469" s="399"/>
      <c r="BQ469" s="399"/>
      <c r="BR469" s="399"/>
      <c r="BS469" s="407"/>
      <c r="BT469" s="407"/>
      <c r="BU469" s="412"/>
      <c r="BV469" s="46" t="str">
        <f t="shared" si="8"/>
        <v/>
      </c>
      <c r="BW469" s="46">
        <f t="shared" si="9"/>
        <v>0</v>
      </c>
      <c r="BX469" s="46">
        <f t="shared" si="10"/>
        <v>0</v>
      </c>
      <c r="BY469" s="43" t="str">
        <f t="shared" si="11"/>
        <v>WHO-FP Procedure (Service Provided)</v>
      </c>
      <c r="BZ469" s="46">
        <f t="shared" si="12"/>
        <v>1</v>
      </c>
      <c r="CA469" s="46" t="str">
        <f t="shared" si="13"/>
        <v/>
      </c>
      <c r="CB469" s="46">
        <f t="shared" si="14"/>
        <v>1</v>
      </c>
      <c r="CC469" s="46">
        <f t="shared" si="15"/>
        <v>1</v>
      </c>
      <c r="CD469" s="46">
        <f t="shared" si="16"/>
        <v>1</v>
      </c>
      <c r="CE469" s="46">
        <f t="shared" si="17"/>
        <v>0</v>
      </c>
      <c r="CF469" s="46">
        <f t="shared" si="18"/>
        <v>0</v>
      </c>
      <c r="CG469" s="46" t="str">
        <f ca="1">IFERROR(__xludf.DUMMYFUNCTION("if(OR(BH469="""",LEFT(BH469,2)=""LA""),"""",IMPORTXML(CONCATENATE(""https://loinc.org/"",BH469,""/""),""//span[@id='lcn']""))"),"")</f>
        <v/>
      </c>
      <c r="CH469" s="46"/>
      <c r="CI469" s="46"/>
      <c r="CJ469" s="46"/>
      <c r="CK469" s="46"/>
      <c r="CL469" s="46"/>
      <c r="CM469" s="46"/>
      <c r="CN469" s="46"/>
      <c r="CO469" s="46"/>
      <c r="CP469" s="46"/>
      <c r="CQ469" s="46"/>
      <c r="CR469" s="46"/>
      <c r="CS469" s="46"/>
      <c r="CT469" s="46"/>
      <c r="CU469" s="46"/>
    </row>
    <row r="470" spans="1:99" ht="12.75" customHeight="1">
      <c r="A470" s="399">
        <v>1698</v>
      </c>
      <c r="B470" s="409" t="s">
        <v>6014</v>
      </c>
      <c r="C470" s="399">
        <f t="shared" si="77"/>
        <v>1698</v>
      </c>
      <c r="D470" s="399" t="str">
        <f t="shared" ref="D470:D562" si="89">IF(F470="Input Option",CONCAT("       ",E470),E470)</f>
        <v>Implant removal</v>
      </c>
      <c r="E470" s="399" t="str">
        <f t="shared" ref="E470:E562" si="90">IF(Q470="",IF(V470="",Q470,V470),Q470)</f>
        <v>Implant removal</v>
      </c>
      <c r="F470" s="399" t="str">
        <f t="shared" ref="F470:F489" si="91">IF(AND(ISBLANK(V470)=FALSE,OR(T470="MC",T470="")),"Input Option","Data Element")</f>
        <v>Data Element</v>
      </c>
      <c r="G470" s="400">
        <f t="shared" si="80"/>
        <v>29</v>
      </c>
      <c r="H470" s="400" t="str">
        <f t="shared" si="88"/>
        <v/>
      </c>
      <c r="I470" s="400"/>
      <c r="J470" s="400"/>
      <c r="K470" s="401" t="s">
        <v>5969</v>
      </c>
      <c r="L470" s="402" t="s">
        <v>3517</v>
      </c>
      <c r="M470" s="400"/>
      <c r="N470" s="623" t="s">
        <v>5981</v>
      </c>
      <c r="O470" s="428"/>
      <c r="P470" s="404" t="s">
        <v>6015</v>
      </c>
      <c r="Q470" s="437" t="s">
        <v>3387</v>
      </c>
      <c r="R470" s="414"/>
      <c r="S470" s="437"/>
      <c r="T470" s="437"/>
      <c r="U470" s="437"/>
      <c r="V470" s="404"/>
      <c r="W470" s="403"/>
      <c r="X470" s="437"/>
      <c r="Y470" s="437"/>
      <c r="Z470" s="437"/>
      <c r="AA470" s="404"/>
      <c r="AB470" s="406"/>
      <c r="AC470" s="404"/>
      <c r="AD470" s="404"/>
      <c r="AE470" s="406"/>
      <c r="AF470" s="404"/>
      <c r="AG470" s="404"/>
      <c r="AH470" s="399"/>
      <c r="AI470" s="400"/>
      <c r="AJ470" s="399"/>
      <c r="AK470" s="409" t="s">
        <v>3715</v>
      </c>
      <c r="AL470" s="409"/>
      <c r="AM470" s="409" t="s">
        <v>3100</v>
      </c>
      <c r="AN470" s="409" t="s">
        <v>3101</v>
      </c>
      <c r="AO470" s="399"/>
      <c r="AP470" s="440" t="s">
        <v>6005</v>
      </c>
      <c r="AQ470" s="409" t="s">
        <v>3424</v>
      </c>
      <c r="AR470" s="399"/>
      <c r="AS470" s="399"/>
      <c r="AT470" s="399"/>
      <c r="AU470" s="399" t="s">
        <v>3387</v>
      </c>
      <c r="AV470" s="399" t="str">
        <f t="shared" ref="AV470:AV562" si="92">IF(AU470="","", IF(AND(B470=AU470),"Same","Changed"))</f>
        <v>Changed</v>
      </c>
      <c r="AW470" s="399"/>
      <c r="AX470" s="409" t="s">
        <v>3343</v>
      </c>
      <c r="AY470" s="399" t="str">
        <f t="shared" ref="AY470:AY562" si="93">IF(B470=D470,"",CONCATENATE(CHAR(34), D470,CHAR(34), "-&gt;", CHAR(34), B470,CHAR(34)))</f>
        <v>"Implant removal"-&gt;"Contraception Implant removal"</v>
      </c>
      <c r="AZ470" s="399"/>
      <c r="BA470" s="409">
        <v>1</v>
      </c>
      <c r="BB470" s="399"/>
      <c r="BC470" s="399"/>
      <c r="BD470" s="409" t="s">
        <v>3162</v>
      </c>
      <c r="BE470" s="411" t="s">
        <v>3633</v>
      </c>
      <c r="BF470" s="411"/>
      <c r="BG470" s="411"/>
      <c r="BH470" s="411"/>
      <c r="BI470" s="411"/>
      <c r="BJ470" s="399"/>
      <c r="BK470" s="399"/>
      <c r="BL470" s="399"/>
      <c r="BM470" s="409" t="s">
        <v>6016</v>
      </c>
      <c r="BN470" s="399"/>
      <c r="BO470" s="399"/>
      <c r="BP470" s="399"/>
      <c r="BQ470" s="399"/>
      <c r="BR470" s="399"/>
      <c r="BS470" s="407"/>
      <c r="BT470" s="407"/>
      <c r="BU470" s="412"/>
      <c r="BV470" s="46" t="str">
        <f t="shared" si="8"/>
        <v>Procedure</v>
      </c>
      <c r="BW470" s="46" t="str">
        <f t="shared" si="9"/>
        <v/>
      </c>
      <c r="BX470" s="46" t="str">
        <f t="shared" si="10"/>
        <v>Procedure</v>
      </c>
      <c r="BY470" s="43" t="str">
        <f t="shared" si="11"/>
        <v>WHO-FP Procedure (Service Provided)</v>
      </c>
      <c r="BZ470" s="46">
        <f t="shared" si="12"/>
        <v>1</v>
      </c>
      <c r="CA470" s="46">
        <f t="shared" si="13"/>
        <v>0</v>
      </c>
      <c r="CB470" s="46">
        <f t="shared" si="14"/>
        <v>1</v>
      </c>
      <c r="CC470" s="46">
        <f t="shared" si="15"/>
        <v>1</v>
      </c>
      <c r="CD470" s="46">
        <f t="shared" si="16"/>
        <v>1</v>
      </c>
      <c r="CE470" s="46">
        <f t="shared" si="17"/>
        <v>0</v>
      </c>
      <c r="CF470" s="46">
        <f t="shared" si="18"/>
        <v>0</v>
      </c>
      <c r="CG470" s="46" t="str">
        <f ca="1">IFERROR(__xludf.DUMMYFUNCTION("if(OR(BH470="""",LEFT(BH470,2)=""LA""),"""",IMPORTXML(CONCATENATE(""https://loinc.org/"",BH470,""/""),""//span[@id='lcn']""))"),"")</f>
        <v/>
      </c>
      <c r="CH470" s="46"/>
      <c r="CI470" s="46"/>
      <c r="CJ470" s="46"/>
      <c r="CK470" s="46"/>
      <c r="CL470" s="46"/>
      <c r="CM470" s="46"/>
      <c r="CN470" s="46"/>
      <c r="CO470" s="46"/>
      <c r="CP470" s="46"/>
      <c r="CQ470" s="46"/>
      <c r="CR470" s="46"/>
      <c r="CS470" s="46"/>
      <c r="CT470" s="46"/>
      <c r="CU470" s="46"/>
    </row>
    <row r="471" spans="1:99" ht="12.75" customHeight="1">
      <c r="A471" s="440">
        <v>2359</v>
      </c>
      <c r="B471" s="631" t="s">
        <v>6017</v>
      </c>
      <c r="C471" s="450">
        <f t="shared" si="77"/>
        <v>2359</v>
      </c>
      <c r="D471" s="450" t="str">
        <f t="shared" si="89"/>
        <v>Method at exit - reported</v>
      </c>
      <c r="E471" s="450" t="str">
        <f t="shared" si="90"/>
        <v>Method at exit - reported</v>
      </c>
      <c r="F471" s="403" t="str">
        <f t="shared" si="91"/>
        <v>Data Element</v>
      </c>
      <c r="G471" s="400">
        <f t="shared" si="80"/>
        <v>56</v>
      </c>
      <c r="H471" s="407" t="str">
        <f>IF(F471="Input Option",IF(H463="",B463,H463),"")</f>
        <v/>
      </c>
      <c r="I471" s="407"/>
      <c r="J471" s="407"/>
      <c r="K471" s="404" t="s">
        <v>5969</v>
      </c>
      <c r="L471" s="451" t="s">
        <v>3517</v>
      </c>
      <c r="M471" s="407"/>
      <c r="N471" s="623" t="s">
        <v>5981</v>
      </c>
      <c r="O471" s="407"/>
      <c r="P471" s="404" t="s">
        <v>5982</v>
      </c>
      <c r="Q471" s="404" t="s">
        <v>5983</v>
      </c>
      <c r="R471" s="414"/>
      <c r="S471" s="404" t="s">
        <v>5984</v>
      </c>
      <c r="T471" s="437" t="s">
        <v>3121</v>
      </c>
      <c r="U471" s="444" t="s">
        <v>3326</v>
      </c>
      <c r="V471" s="404"/>
      <c r="W471" s="407"/>
      <c r="X471" s="403" t="s">
        <v>208</v>
      </c>
      <c r="Y471" s="404"/>
      <c r="Z471" s="437" t="s">
        <v>113</v>
      </c>
      <c r="AA471" s="437" t="s">
        <v>3098</v>
      </c>
      <c r="AB471" s="407"/>
      <c r="AC471" s="404"/>
      <c r="AD471" s="404" t="s">
        <v>4401</v>
      </c>
      <c r="AE471" s="407"/>
      <c r="AF471" s="404"/>
      <c r="AG471" s="404"/>
      <c r="AH471" s="403"/>
      <c r="AI471" s="407"/>
      <c r="AJ471" s="403"/>
      <c r="AK471" s="585" t="s">
        <v>3741</v>
      </c>
      <c r="AL471" s="585"/>
      <c r="AM471" s="585" t="s">
        <v>3100</v>
      </c>
      <c r="AN471" s="585" t="s">
        <v>3101</v>
      </c>
      <c r="AO471" s="403"/>
      <c r="AP471" s="409" t="s">
        <v>6018</v>
      </c>
      <c r="AQ471" s="440" t="s">
        <v>3424</v>
      </c>
      <c r="AR471" s="468" t="s">
        <v>4415</v>
      </c>
      <c r="AS471" s="403"/>
      <c r="AT471" s="407"/>
      <c r="AU471" s="403" t="s">
        <v>5986</v>
      </c>
      <c r="AV471" s="403" t="str">
        <f t="shared" si="92"/>
        <v>Changed</v>
      </c>
      <c r="AW471" s="403"/>
      <c r="AX471" s="409" t="s">
        <v>3343</v>
      </c>
      <c r="AY471" s="407" t="str">
        <f t="shared" si="93"/>
        <v>"Method at exit - reported"-&gt;"Contraception Method at exit - reported - CarePlan-based"</v>
      </c>
      <c r="AZ471" s="403"/>
      <c r="BA471" s="409">
        <v>1</v>
      </c>
      <c r="BB471" s="399"/>
      <c r="BC471" s="403"/>
      <c r="BD471" s="453"/>
      <c r="BE471" s="411"/>
      <c r="BF471" s="412"/>
      <c r="BG471" s="411"/>
      <c r="BH471" s="411"/>
      <c r="BI471" s="411"/>
      <c r="BJ471" s="409" t="s">
        <v>3106</v>
      </c>
      <c r="BK471" s="403"/>
      <c r="BL471" s="403"/>
      <c r="BM471" s="403"/>
      <c r="BN471" s="403"/>
      <c r="BO471" s="403"/>
      <c r="BP471" s="403"/>
      <c r="BQ471" s="403"/>
      <c r="BR471" s="403"/>
      <c r="BS471" s="407"/>
      <c r="BT471" s="407"/>
      <c r="BU471" s="412"/>
      <c r="BV471" s="46" t="str">
        <f t="shared" si="8"/>
        <v>CarePlan</v>
      </c>
      <c r="BW471" s="46" t="str">
        <f t="shared" si="9"/>
        <v/>
      </c>
      <c r="BX471" s="46" t="str">
        <f t="shared" si="10"/>
        <v>CarePlan</v>
      </c>
      <c r="BY471" s="43" t="str">
        <f t="shared" si="11"/>
        <v>WHO-FP CarePlan (Exit Contraceptive Method)</v>
      </c>
      <c r="BZ471" s="46">
        <f t="shared" si="12"/>
        <v>1</v>
      </c>
      <c r="CA471" s="46">
        <f t="shared" si="13"/>
        <v>1</v>
      </c>
      <c r="CB471" s="46">
        <f t="shared" si="14"/>
        <v>1</v>
      </c>
      <c r="CC471" s="46">
        <f t="shared" si="15"/>
        <v>1</v>
      </c>
      <c r="CD471" s="46">
        <f t="shared" si="16"/>
        <v>1</v>
      </c>
      <c r="CE471" s="46">
        <f t="shared" si="17"/>
        <v>0</v>
      </c>
      <c r="CF471" s="46">
        <f t="shared" si="18"/>
        <v>0</v>
      </c>
      <c r="CG471" s="624" t="str">
        <f ca="1">IFERROR(__xludf.DUMMYFUNCTION("if(OR(BH471="""",LEFT(BH471,2)=""LA""),"""",IMPORTXML(CONCATENATE(""https://loinc.org/"",BH471,""/""),""//span[@id='lcn']""))"),"")</f>
        <v/>
      </c>
      <c r="CH471" s="625"/>
      <c r="CI471" s="625"/>
      <c r="CJ471" s="479"/>
      <c r="CK471" s="479"/>
      <c r="CL471" s="479"/>
      <c r="CM471" s="479"/>
      <c r="CN471" s="479"/>
      <c r="CO471" s="479"/>
      <c r="CP471" s="479"/>
      <c r="CQ471" s="479"/>
      <c r="CR471" s="479"/>
      <c r="CS471" s="479"/>
      <c r="CT471" s="479"/>
      <c r="CU471" s="479"/>
    </row>
    <row r="472" spans="1:99" ht="12.75" customHeight="1">
      <c r="A472" s="399">
        <v>1690</v>
      </c>
      <c r="B472" s="409" t="s">
        <v>6020</v>
      </c>
      <c r="C472" s="399">
        <f t="shared" si="77"/>
        <v>1690</v>
      </c>
      <c r="D472" s="399" t="str">
        <f t="shared" si="89"/>
        <v>How method is being provided</v>
      </c>
      <c r="E472" s="399" t="str">
        <f t="shared" si="90"/>
        <v>How method is being provided</v>
      </c>
      <c r="F472" s="399" t="str">
        <f t="shared" si="91"/>
        <v>Data Element</v>
      </c>
      <c r="G472" s="400">
        <f t="shared" si="80"/>
        <v>42</v>
      </c>
      <c r="H472" s="400" t="str">
        <f>IF(F472="Input Option",IF(H461="",B461,H461),"")</f>
        <v/>
      </c>
      <c r="I472" s="400"/>
      <c r="J472" s="400"/>
      <c r="K472" s="401" t="s">
        <v>5969</v>
      </c>
      <c r="L472" s="451" t="s">
        <v>3517</v>
      </c>
      <c r="M472" s="400"/>
      <c r="N472" s="623" t="s">
        <v>5981</v>
      </c>
      <c r="O472" s="428"/>
      <c r="P472" s="404" t="s">
        <v>6021</v>
      </c>
      <c r="Q472" s="444" t="s">
        <v>6022</v>
      </c>
      <c r="R472" s="414"/>
      <c r="S472" s="437" t="s">
        <v>6023</v>
      </c>
      <c r="T472" s="437" t="s">
        <v>3121</v>
      </c>
      <c r="U472" s="444" t="s">
        <v>3243</v>
      </c>
      <c r="V472" s="407"/>
      <c r="W472" s="407"/>
      <c r="X472" s="403" t="s">
        <v>208</v>
      </c>
      <c r="Y472" s="404"/>
      <c r="Z472" s="437" t="s">
        <v>113</v>
      </c>
      <c r="AA472" s="437" t="s">
        <v>3178</v>
      </c>
      <c r="AB472" s="444" t="s">
        <v>6024</v>
      </c>
      <c r="AC472" s="426"/>
      <c r="AD472" s="426"/>
      <c r="AE472" s="406"/>
      <c r="AF472" s="444" t="s">
        <v>6025</v>
      </c>
      <c r="AG472" s="426"/>
      <c r="AH472" s="399"/>
      <c r="AI472" s="400"/>
      <c r="AJ472" s="399"/>
      <c r="AK472" s="409" t="s">
        <v>6026</v>
      </c>
      <c r="AL472" s="399"/>
      <c r="AM472" s="409" t="s">
        <v>3314</v>
      </c>
      <c r="AN472" s="409" t="s">
        <v>3101</v>
      </c>
      <c r="AO472" s="399"/>
      <c r="AP472" s="409" t="s">
        <v>6018</v>
      </c>
      <c r="AQ472" s="409" t="s">
        <v>3424</v>
      </c>
      <c r="AR472" s="409" t="s">
        <v>6027</v>
      </c>
      <c r="AS472" s="409"/>
      <c r="AT472" s="399"/>
      <c r="AU472" s="399" t="s">
        <v>6022</v>
      </c>
      <c r="AV472" s="399" t="str">
        <f t="shared" si="92"/>
        <v>Changed</v>
      </c>
      <c r="AW472" s="399"/>
      <c r="AX472" s="409" t="s">
        <v>3343</v>
      </c>
      <c r="AY472" s="399" t="str">
        <f t="shared" si="93"/>
        <v>"How method is being provided"-&gt;"How contraceptive method is being provided"</v>
      </c>
      <c r="AZ472" s="399"/>
      <c r="BA472" s="409">
        <v>1</v>
      </c>
      <c r="BB472" s="399"/>
      <c r="BC472" s="399"/>
      <c r="BD472" s="399"/>
      <c r="BE472" s="411"/>
      <c r="BF472" s="411"/>
      <c r="BG472" s="411"/>
      <c r="BH472" s="411"/>
      <c r="BI472" s="411"/>
      <c r="BJ472" s="399"/>
      <c r="BK472" s="399"/>
      <c r="BL472" s="399"/>
      <c r="BM472" s="399" t="s">
        <v>6028</v>
      </c>
      <c r="BN472" s="399"/>
      <c r="BO472" s="399"/>
      <c r="BP472" s="399"/>
      <c r="BQ472" s="399"/>
      <c r="BR472" s="399"/>
      <c r="BS472" s="407"/>
      <c r="BT472" s="407"/>
      <c r="BU472" s="412"/>
      <c r="BV472" s="46" t="str">
        <f t="shared" si="8"/>
        <v>CarePlan</v>
      </c>
      <c r="BW472" s="46" t="str">
        <f t="shared" si="9"/>
        <v/>
      </c>
      <c r="BX472" s="46" t="str">
        <f t="shared" si="10"/>
        <v>CarePlan</v>
      </c>
      <c r="BY472" s="43" t="str">
        <f t="shared" si="11"/>
        <v>WHO-FP CarePlan (Exit Contraceptive Method)</v>
      </c>
      <c r="BZ472" s="46">
        <f t="shared" si="12"/>
        <v>1</v>
      </c>
      <c r="CA472" s="46">
        <f t="shared" si="13"/>
        <v>1</v>
      </c>
      <c r="CB472" s="46">
        <f t="shared" si="14"/>
        <v>0</v>
      </c>
      <c r="CC472" s="46">
        <f t="shared" si="15"/>
        <v>0</v>
      </c>
      <c r="CD472" s="46">
        <f t="shared" si="16"/>
        <v>0</v>
      </c>
      <c r="CE472" s="46">
        <f t="shared" si="17"/>
        <v>0</v>
      </c>
      <c r="CF472" s="46">
        <f t="shared" si="18"/>
        <v>1</v>
      </c>
      <c r="CG472" s="46" t="str">
        <f ca="1">IFERROR(__xludf.DUMMYFUNCTION("if(OR(BH472="""",LEFT(BH472,2)=""LA""),"""",IMPORTXML(CONCATENATE(""https://loinc.org/"",BH472,""/""),""//span[@id='lcn']""))"),"")</f>
        <v/>
      </c>
      <c r="CH472" s="46"/>
      <c r="CI472" s="46"/>
      <c r="CJ472" s="46"/>
      <c r="CK472" s="46"/>
      <c r="CL472" s="46"/>
      <c r="CM472" s="46"/>
      <c r="CN472" s="46"/>
      <c r="CO472" s="46"/>
      <c r="CP472" s="46"/>
      <c r="CQ472" s="46"/>
      <c r="CR472" s="46"/>
      <c r="CS472" s="46"/>
      <c r="CT472" s="46"/>
      <c r="CU472" s="46"/>
    </row>
    <row r="473" spans="1:99" ht="12.75" customHeight="1">
      <c r="A473" s="399">
        <v>1691</v>
      </c>
      <c r="B473" s="399" t="s">
        <v>6030</v>
      </c>
      <c r="C473" s="399">
        <f t="shared" si="77"/>
        <v>1691</v>
      </c>
      <c r="D473" s="399" t="e">
        <f t="shared" ca="1" si="89"/>
        <v>#NAME?</v>
      </c>
      <c r="E473" s="399" t="str">
        <f t="shared" si="90"/>
        <v>Provided on site    </v>
      </c>
      <c r="F473" s="399" t="str">
        <f t="shared" si="91"/>
        <v>Input Option</v>
      </c>
      <c r="G473" s="400">
        <f t="shared" si="80"/>
        <v>27</v>
      </c>
      <c r="H473" s="399" t="str">
        <f t="shared" ref="H473:H475" si="94">IF(F473="Input Option",IF(H472="",B472,H472),"")</f>
        <v>How contraceptive method is being provided</v>
      </c>
      <c r="I473" s="400"/>
      <c r="J473" s="400"/>
      <c r="K473" s="401" t="s">
        <v>5969</v>
      </c>
      <c r="L473" s="451" t="s">
        <v>3517</v>
      </c>
      <c r="M473" s="400"/>
      <c r="N473" s="623" t="s">
        <v>5981</v>
      </c>
      <c r="O473" s="428"/>
      <c r="P473" s="404" t="s">
        <v>6031</v>
      </c>
      <c r="Q473" s="404"/>
      <c r="R473" s="414"/>
      <c r="S473" s="404"/>
      <c r="T473" s="404"/>
      <c r="U473" s="404"/>
      <c r="V473" s="404" t="s">
        <v>6032</v>
      </c>
      <c r="W473" s="403"/>
      <c r="X473" s="403" t="s">
        <v>208</v>
      </c>
      <c r="Y473" s="404"/>
      <c r="Z473" s="404"/>
      <c r="AA473" s="404"/>
      <c r="AB473" s="406"/>
      <c r="AC473" s="404"/>
      <c r="AD473" s="404"/>
      <c r="AE473" s="406"/>
      <c r="AF473" s="404"/>
      <c r="AG473" s="404"/>
      <c r="AH473" s="399"/>
      <c r="AI473" s="400"/>
      <c r="AJ473" s="399"/>
      <c r="AK473" s="399"/>
      <c r="AL473" s="399"/>
      <c r="AM473" s="399"/>
      <c r="AN473" s="399"/>
      <c r="AO473" s="399"/>
      <c r="AP473" s="399"/>
      <c r="AQ473" s="409" t="s">
        <v>3130</v>
      </c>
      <c r="AR473" s="409" t="s">
        <v>6027</v>
      </c>
      <c r="AS473" s="409"/>
      <c r="AT473" s="399"/>
      <c r="AU473" s="399" t="s">
        <v>6030</v>
      </c>
      <c r="AV473" s="399" t="str">
        <f t="shared" si="92"/>
        <v>Same</v>
      </c>
      <c r="AW473" s="399"/>
      <c r="AX473" s="409" t="s">
        <v>3343</v>
      </c>
      <c r="AY473" s="399" t="e">
        <f t="shared" ca="1" si="93"/>
        <v>#NAME?</v>
      </c>
      <c r="AZ473" s="399"/>
      <c r="BA473" s="409">
        <v>1</v>
      </c>
      <c r="BB473" s="399"/>
      <c r="BC473" s="399"/>
      <c r="BD473" s="399" t="s">
        <v>3162</v>
      </c>
      <c r="BE473" s="411"/>
      <c r="BF473" s="411"/>
      <c r="BG473" s="411" t="s">
        <v>6033</v>
      </c>
      <c r="BH473" s="411"/>
      <c r="BI473" s="411"/>
      <c r="BJ473" s="399"/>
      <c r="BK473" s="399"/>
      <c r="BL473" s="399"/>
      <c r="BM473" s="399"/>
      <c r="BN473" s="399"/>
      <c r="BO473" s="399"/>
      <c r="BP473" s="399"/>
      <c r="BQ473" s="399"/>
      <c r="BR473" s="399"/>
      <c r="BS473" s="407"/>
      <c r="BT473" s="407"/>
      <c r="BU473" s="412"/>
      <c r="BV473" s="46" t="str">
        <f t="shared" si="8"/>
        <v/>
      </c>
      <c r="BW473" s="46">
        <f t="shared" si="9"/>
        <v>0</v>
      </c>
      <c r="BX473" s="46">
        <f t="shared" si="10"/>
        <v>0</v>
      </c>
      <c r="BY473" s="43" t="str">
        <f t="shared" si="11"/>
        <v>WHO-FP CarePlan (Exit Contraceptive Method)</v>
      </c>
      <c r="BZ473" s="46">
        <f t="shared" si="12"/>
        <v>1</v>
      </c>
      <c r="CA473" s="46" t="str">
        <f t="shared" si="13"/>
        <v/>
      </c>
      <c r="CB473" s="46">
        <f t="shared" si="14"/>
        <v>1</v>
      </c>
      <c r="CC473" s="46">
        <f t="shared" si="15"/>
        <v>1</v>
      </c>
      <c r="CD473" s="46">
        <f t="shared" si="16"/>
        <v>1</v>
      </c>
      <c r="CE473" s="46">
        <f t="shared" si="17"/>
        <v>0</v>
      </c>
      <c r="CF473" s="46">
        <f t="shared" si="18"/>
        <v>0</v>
      </c>
      <c r="CG473" s="46" t="str">
        <f ca="1">IFERROR(__xludf.DUMMYFUNCTION("if(OR(BH473="""",LEFT(BH473,2)=""LA""),"""",IMPORTXML(CONCATENATE(""https://loinc.org/"",BH473,""/""),""//span[@id='lcn']""))"),"")</f>
        <v/>
      </c>
      <c r="CH473" s="46"/>
      <c r="CI473" s="46"/>
      <c r="CJ473" s="46"/>
      <c r="CK473" s="46"/>
      <c r="CL473" s="46"/>
      <c r="CM473" s="46"/>
      <c r="CN473" s="46"/>
      <c r="CO473" s="46"/>
      <c r="CP473" s="46"/>
      <c r="CQ473" s="46"/>
      <c r="CR473" s="46"/>
      <c r="CS473" s="46"/>
      <c r="CT473" s="46"/>
      <c r="CU473" s="46"/>
    </row>
    <row r="474" spans="1:99" ht="12.75" customHeight="1">
      <c r="A474" s="399">
        <v>1692</v>
      </c>
      <c r="B474" s="399" t="s">
        <v>6034</v>
      </c>
      <c r="C474" s="399">
        <f t="shared" si="77"/>
        <v>1692</v>
      </c>
      <c r="D474" s="399" t="e">
        <f t="shared" ca="1" si="89"/>
        <v>#NAME?</v>
      </c>
      <c r="E474" s="399" t="str">
        <f t="shared" si="90"/>
        <v>Referral </v>
      </c>
      <c r="F474" s="399" t="str">
        <f t="shared" si="91"/>
        <v>Input Option</v>
      </c>
      <c r="G474" s="400">
        <f t="shared" si="80"/>
        <v>16</v>
      </c>
      <c r="H474" s="399" t="str">
        <f t="shared" si="94"/>
        <v>How contraceptive method is being provided</v>
      </c>
      <c r="I474" s="400"/>
      <c r="J474" s="400"/>
      <c r="K474" s="401" t="s">
        <v>5969</v>
      </c>
      <c r="L474" s="451" t="s">
        <v>3517</v>
      </c>
      <c r="M474" s="400"/>
      <c r="N474" s="623" t="s">
        <v>5981</v>
      </c>
      <c r="O474" s="428"/>
      <c r="P474" s="404" t="s">
        <v>6035</v>
      </c>
      <c r="Q474" s="404"/>
      <c r="R474" s="414"/>
      <c r="S474" s="404"/>
      <c r="T474" s="437"/>
      <c r="U474" s="437"/>
      <c r="V474" s="437" t="s">
        <v>6036</v>
      </c>
      <c r="W474" s="403"/>
      <c r="X474" s="403" t="s">
        <v>208</v>
      </c>
      <c r="Y474" s="404"/>
      <c r="Z474" s="404"/>
      <c r="AA474" s="404"/>
      <c r="AB474" s="406"/>
      <c r="AC474" s="404"/>
      <c r="AD474" s="404"/>
      <c r="AE474" s="406"/>
      <c r="AF474" s="404"/>
      <c r="AG474" s="404"/>
      <c r="AH474" s="399"/>
      <c r="AI474" s="400"/>
      <c r="AJ474" s="399"/>
      <c r="AK474" s="399"/>
      <c r="AL474" s="399"/>
      <c r="AM474" s="399"/>
      <c r="AN474" s="399"/>
      <c r="AO474" s="399"/>
      <c r="AP474" s="399"/>
      <c r="AQ474" s="409" t="s">
        <v>3130</v>
      </c>
      <c r="AR474" s="409" t="s">
        <v>6027</v>
      </c>
      <c r="AS474" s="409"/>
      <c r="AT474" s="399"/>
      <c r="AU474" s="399" t="s">
        <v>6034</v>
      </c>
      <c r="AV474" s="399" t="str">
        <f t="shared" si="92"/>
        <v>Same</v>
      </c>
      <c r="AW474" s="399"/>
      <c r="AX474" s="409" t="s">
        <v>3343</v>
      </c>
      <c r="AY474" s="399" t="e">
        <f t="shared" ca="1" si="93"/>
        <v>#NAME?</v>
      </c>
      <c r="AZ474" s="399"/>
      <c r="BA474" s="409">
        <v>1</v>
      </c>
      <c r="BB474" s="399"/>
      <c r="BC474" s="399"/>
      <c r="BD474" s="399" t="s">
        <v>3162</v>
      </c>
      <c r="BE474" s="411"/>
      <c r="BF474" s="411"/>
      <c r="BG474" s="411" t="s">
        <v>6037</v>
      </c>
      <c r="BH474" s="411"/>
      <c r="BI474" s="411"/>
      <c r="BJ474" s="409"/>
      <c r="BK474" s="399"/>
      <c r="BL474" s="399"/>
      <c r="BM474" s="399"/>
      <c r="BN474" s="399"/>
      <c r="BO474" s="399"/>
      <c r="BP474" s="399"/>
      <c r="BQ474" s="399"/>
      <c r="BR474" s="399"/>
      <c r="BS474" s="407"/>
      <c r="BT474" s="407"/>
      <c r="BU474" s="412"/>
      <c r="BV474" s="46" t="str">
        <f t="shared" si="8"/>
        <v/>
      </c>
      <c r="BW474" s="46">
        <f t="shared" si="9"/>
        <v>0</v>
      </c>
      <c r="BX474" s="46">
        <f t="shared" si="10"/>
        <v>0</v>
      </c>
      <c r="BY474" s="43" t="str">
        <f t="shared" si="11"/>
        <v>WHO-FP CarePlan (Exit Contraceptive Method)</v>
      </c>
      <c r="BZ474" s="46">
        <f t="shared" si="12"/>
        <v>1</v>
      </c>
      <c r="CA474" s="46" t="str">
        <f t="shared" si="13"/>
        <v/>
      </c>
      <c r="CB474" s="46">
        <f t="shared" si="14"/>
        <v>1</v>
      </c>
      <c r="CC474" s="46">
        <f t="shared" si="15"/>
        <v>1</v>
      </c>
      <c r="CD474" s="46">
        <f t="shared" si="16"/>
        <v>1</v>
      </c>
      <c r="CE474" s="46">
        <f t="shared" si="17"/>
        <v>0</v>
      </c>
      <c r="CF474" s="46">
        <f t="shared" si="18"/>
        <v>0</v>
      </c>
      <c r="CG474" s="46" t="str">
        <f ca="1">IFERROR(__xludf.DUMMYFUNCTION("if(OR(BH474="""",LEFT(BH474,2)=""LA""),"""",IMPORTXML(CONCATENATE(""https://loinc.org/"",BH474,""/""),""//span[@id='lcn']""))"),"")</f>
        <v/>
      </c>
      <c r="CH474" s="46"/>
      <c r="CI474" s="46"/>
      <c r="CJ474" s="46"/>
      <c r="CK474" s="46"/>
      <c r="CL474" s="46"/>
      <c r="CM474" s="46"/>
      <c r="CN474" s="46"/>
      <c r="CO474" s="46"/>
      <c r="CP474" s="46"/>
      <c r="CQ474" s="46"/>
      <c r="CR474" s="46"/>
      <c r="CS474" s="46"/>
      <c r="CT474" s="46"/>
      <c r="CU474" s="46"/>
    </row>
    <row r="475" spans="1:99" ht="12.75" customHeight="1">
      <c r="A475" s="399">
        <v>1693</v>
      </c>
      <c r="B475" s="399" t="s">
        <v>6038</v>
      </c>
      <c r="C475" s="399">
        <f t="shared" si="77"/>
        <v>1693</v>
      </c>
      <c r="D475" s="399" t="e">
        <f t="shared" ca="1" si="89"/>
        <v>#NAME?</v>
      </c>
      <c r="E475" s="399" t="str">
        <f t="shared" si="90"/>
        <v>Prescription</v>
      </c>
      <c r="F475" s="399" t="str">
        <f t="shared" si="91"/>
        <v>Input Option</v>
      </c>
      <c r="G475" s="400">
        <f t="shared" si="80"/>
        <v>19</v>
      </c>
      <c r="H475" s="399" t="str">
        <f t="shared" si="94"/>
        <v>How contraceptive method is being provided</v>
      </c>
      <c r="I475" s="400"/>
      <c r="J475" s="400"/>
      <c r="K475" s="401" t="s">
        <v>5969</v>
      </c>
      <c r="L475" s="451" t="s">
        <v>3517</v>
      </c>
      <c r="M475" s="400"/>
      <c r="N475" s="623" t="s">
        <v>5981</v>
      </c>
      <c r="O475" s="428"/>
      <c r="P475" s="404" t="s">
        <v>6039</v>
      </c>
      <c r="Q475" s="407"/>
      <c r="R475" s="407"/>
      <c r="S475" s="407"/>
      <c r="T475" s="407"/>
      <c r="U475" s="407"/>
      <c r="V475" s="437" t="s">
        <v>6040</v>
      </c>
      <c r="W475" s="403"/>
      <c r="X475" s="403" t="s">
        <v>208</v>
      </c>
      <c r="Y475" s="407"/>
      <c r="Z475" s="407"/>
      <c r="AA475" s="407"/>
      <c r="AB475" s="408"/>
      <c r="AC475" s="407"/>
      <c r="AD475" s="407"/>
      <c r="AE475" s="408"/>
      <c r="AF475" s="632" t="s">
        <v>6041</v>
      </c>
      <c r="AG475" s="421"/>
      <c r="AH475" s="399"/>
      <c r="AI475" s="400"/>
      <c r="AJ475" s="399"/>
      <c r="AK475" s="399"/>
      <c r="AL475" s="399"/>
      <c r="AM475" s="399"/>
      <c r="AN475" s="399"/>
      <c r="AO475" s="399"/>
      <c r="AP475" s="399"/>
      <c r="AQ475" s="409" t="s">
        <v>3130</v>
      </c>
      <c r="AR475" s="409" t="s">
        <v>6027</v>
      </c>
      <c r="AS475" s="409"/>
      <c r="AT475" s="399"/>
      <c r="AU475" s="399" t="s">
        <v>6038</v>
      </c>
      <c r="AV475" s="399" t="str">
        <f t="shared" si="92"/>
        <v>Same</v>
      </c>
      <c r="AW475" s="399"/>
      <c r="AX475" s="409" t="s">
        <v>3343</v>
      </c>
      <c r="AY475" s="399" t="e">
        <f t="shared" ca="1" si="93"/>
        <v>#NAME?</v>
      </c>
      <c r="AZ475" s="399"/>
      <c r="BA475" s="409">
        <v>1</v>
      </c>
      <c r="BB475" s="399"/>
      <c r="BC475" s="399"/>
      <c r="BD475" s="399" t="s">
        <v>3162</v>
      </c>
      <c r="BE475" s="411"/>
      <c r="BF475" s="411"/>
      <c r="BG475" s="411" t="s">
        <v>6042</v>
      </c>
      <c r="BH475" s="411"/>
      <c r="BI475" s="411"/>
      <c r="BJ475" s="399"/>
      <c r="BK475" s="399"/>
      <c r="BL475" s="399"/>
      <c r="BM475" s="399"/>
      <c r="BN475" s="399"/>
      <c r="BO475" s="399"/>
      <c r="BP475" s="399"/>
      <c r="BQ475" s="399"/>
      <c r="BR475" s="399"/>
      <c r="BS475" s="407"/>
      <c r="BT475" s="407"/>
      <c r="BU475" s="412"/>
      <c r="BV475" s="46" t="str">
        <f t="shared" si="8"/>
        <v/>
      </c>
      <c r="BW475" s="46">
        <f t="shared" si="9"/>
        <v>0</v>
      </c>
      <c r="BX475" s="46">
        <f t="shared" si="10"/>
        <v>0</v>
      </c>
      <c r="BY475" s="43" t="str">
        <f t="shared" si="11"/>
        <v>WHO-FP CarePlan (Exit Contraceptive Method)</v>
      </c>
      <c r="BZ475" s="46">
        <f t="shared" si="12"/>
        <v>1</v>
      </c>
      <c r="CA475" s="46" t="str">
        <f t="shared" si="13"/>
        <v/>
      </c>
      <c r="CB475" s="46">
        <f t="shared" si="14"/>
        <v>1</v>
      </c>
      <c r="CC475" s="46">
        <f t="shared" si="15"/>
        <v>1</v>
      </c>
      <c r="CD475" s="46">
        <f t="shared" si="16"/>
        <v>1</v>
      </c>
      <c r="CE475" s="46">
        <f t="shared" si="17"/>
        <v>0</v>
      </c>
      <c r="CF475" s="46">
        <f t="shared" si="18"/>
        <v>0</v>
      </c>
      <c r="CG475" s="46" t="str">
        <f ca="1">IFERROR(__xludf.DUMMYFUNCTION("if(OR(BH475="""",LEFT(BH475,2)=""LA""),"""",IMPORTXML(CONCATENATE(""https://loinc.org/"",BH475,""/""),""//span[@id='lcn']""))"),"")</f>
        <v/>
      </c>
      <c r="CH475" s="46"/>
      <c r="CI475" s="46"/>
      <c r="CJ475" s="46"/>
      <c r="CK475" s="46"/>
      <c r="CL475" s="46"/>
      <c r="CM475" s="46"/>
      <c r="CN475" s="46"/>
      <c r="CO475" s="46"/>
      <c r="CP475" s="46"/>
      <c r="CQ475" s="46"/>
      <c r="CR475" s="46"/>
      <c r="CS475" s="46"/>
      <c r="CT475" s="46"/>
      <c r="CU475" s="46"/>
    </row>
    <row r="476" spans="1:99" ht="12.75" customHeight="1">
      <c r="A476" s="399">
        <v>1699</v>
      </c>
      <c r="B476" s="409" t="s">
        <v>6044</v>
      </c>
      <c r="C476" s="399">
        <f t="shared" si="77"/>
        <v>1699</v>
      </c>
      <c r="D476" s="399" t="str">
        <f t="shared" si="89"/>
        <v xml:space="preserve">Provider </v>
      </c>
      <c r="E476" s="399" t="str">
        <f t="shared" si="90"/>
        <v xml:space="preserve">Provider </v>
      </c>
      <c r="F476" s="399" t="str">
        <f t="shared" si="91"/>
        <v>Data Element</v>
      </c>
      <c r="G476" s="400">
        <f t="shared" si="80"/>
        <v>31</v>
      </c>
      <c r="H476" s="400" t="str">
        <f>IF(F476="Input Option",IF(H470="",B470,H470),"")</f>
        <v/>
      </c>
      <c r="I476" s="400"/>
      <c r="J476" s="400"/>
      <c r="K476" s="401" t="s">
        <v>5969</v>
      </c>
      <c r="L476" s="402" t="s">
        <v>4081</v>
      </c>
      <c r="M476" s="400"/>
      <c r="N476" s="623" t="s">
        <v>5981</v>
      </c>
      <c r="O476" s="428"/>
      <c r="P476" s="404" t="s">
        <v>4897</v>
      </c>
      <c r="Q476" s="404" t="s">
        <v>6045</v>
      </c>
      <c r="R476" s="414"/>
      <c r="S476" s="437" t="s">
        <v>6046</v>
      </c>
      <c r="T476" s="437" t="s">
        <v>3121</v>
      </c>
      <c r="U476" s="444" t="s">
        <v>3243</v>
      </c>
      <c r="V476" s="404"/>
      <c r="W476" s="403"/>
      <c r="X476" s="437" t="s">
        <v>113</v>
      </c>
      <c r="Y476" s="437" t="s">
        <v>6047</v>
      </c>
      <c r="Z476" s="437" t="s">
        <v>113</v>
      </c>
      <c r="AA476" s="404"/>
      <c r="AB476" s="406"/>
      <c r="AC476" s="404"/>
      <c r="AD476" s="404" t="s">
        <v>6048</v>
      </c>
      <c r="AE476" s="406"/>
      <c r="AF476" s="404"/>
      <c r="AG476" s="404"/>
      <c r="AH476" s="399"/>
      <c r="AI476" s="400"/>
      <c r="AJ476" s="399"/>
      <c r="AK476" s="399" t="s">
        <v>6049</v>
      </c>
      <c r="AL476" s="399"/>
      <c r="AM476" s="399" t="s">
        <v>3100</v>
      </c>
      <c r="AN476" s="399" t="s">
        <v>3101</v>
      </c>
      <c r="AO476" s="399"/>
      <c r="AP476" s="409" t="s">
        <v>6050</v>
      </c>
      <c r="AQ476" s="409" t="s">
        <v>3424</v>
      </c>
      <c r="AR476" s="399"/>
      <c r="AS476" s="399"/>
      <c r="AT476" s="399"/>
      <c r="AU476" s="399" t="s">
        <v>6045</v>
      </c>
      <c r="AV476" s="399" t="str">
        <f t="shared" si="92"/>
        <v>Changed</v>
      </c>
      <c r="AW476" s="399"/>
      <c r="AX476" s="409" t="s">
        <v>3104</v>
      </c>
      <c r="AY476" s="399" t="str">
        <f t="shared" si="93"/>
        <v>"Provider "-&gt;"Provider that served the client"</v>
      </c>
      <c r="AZ476" s="399"/>
      <c r="BA476" s="409">
        <v>1</v>
      </c>
      <c r="BB476" s="399"/>
      <c r="BC476" s="399"/>
      <c r="BD476" s="399"/>
      <c r="BE476" s="411"/>
      <c r="BF476" s="411"/>
      <c r="BG476" s="411"/>
      <c r="BH476" s="411"/>
      <c r="BI476" s="411"/>
      <c r="BJ476" s="399" t="s">
        <v>3106</v>
      </c>
      <c r="BK476" s="399"/>
      <c r="BL476" s="399"/>
      <c r="BM476" s="399"/>
      <c r="BN476" s="399"/>
      <c r="BO476" s="399"/>
      <c r="BP476" s="399"/>
      <c r="BQ476" s="399"/>
      <c r="BR476" s="399"/>
      <c r="BS476" s="407"/>
      <c r="BT476" s="407"/>
      <c r="BU476" s="412"/>
      <c r="BV476" s="46" t="str">
        <f t="shared" si="8"/>
        <v>Practitioner</v>
      </c>
      <c r="BW476" s="46" t="str">
        <f t="shared" si="9"/>
        <v/>
      </c>
      <c r="BX476" s="46" t="str">
        <f t="shared" si="10"/>
        <v>Practitioner</v>
      </c>
      <c r="BY476" s="43" t="str">
        <f t="shared" si="11"/>
        <v>WHO-Core Practitioner</v>
      </c>
      <c r="BZ476" s="46">
        <f t="shared" si="12"/>
        <v>1</v>
      </c>
      <c r="CA476" s="46">
        <f t="shared" si="13"/>
        <v>0</v>
      </c>
      <c r="CB476" s="46">
        <f t="shared" si="14"/>
        <v>1</v>
      </c>
      <c r="CC476" s="46">
        <f t="shared" si="15"/>
        <v>1</v>
      </c>
      <c r="CD476" s="46">
        <f t="shared" si="16"/>
        <v>1</v>
      </c>
      <c r="CE476" s="46">
        <f t="shared" si="17"/>
        <v>0</v>
      </c>
      <c r="CF476" s="46">
        <f t="shared" si="18"/>
        <v>0</v>
      </c>
      <c r="CG476" s="46" t="str">
        <f ca="1">IFERROR(__xludf.DUMMYFUNCTION("if(OR(BH476="""",LEFT(BH476,2)=""LA""),"""",IMPORTXML(CONCATENATE(""https://loinc.org/"",BH476,""/""),""//span[@id='lcn']""))"),"")</f>
        <v/>
      </c>
      <c r="CH476" s="46"/>
      <c r="CI476" s="46"/>
      <c r="CJ476" s="46"/>
      <c r="CK476" s="46"/>
      <c r="CL476" s="46"/>
      <c r="CM476" s="46"/>
      <c r="CN476" s="46"/>
      <c r="CO476" s="46"/>
      <c r="CP476" s="46"/>
      <c r="CQ476" s="46"/>
      <c r="CR476" s="46"/>
      <c r="CS476" s="46"/>
      <c r="CT476" s="46"/>
      <c r="CU476" s="46"/>
    </row>
    <row r="477" spans="1:99" ht="12.75" customHeight="1">
      <c r="A477" s="409">
        <v>1700</v>
      </c>
      <c r="B477" s="399" t="s">
        <v>6051</v>
      </c>
      <c r="C477" s="399">
        <f t="shared" si="77"/>
        <v>1700</v>
      </c>
      <c r="D477" s="399" t="str">
        <f t="shared" si="89"/>
        <v>Quantity of backup method provided</v>
      </c>
      <c r="E477" s="399" t="str">
        <f t="shared" si="90"/>
        <v>Quantity of backup method provided</v>
      </c>
      <c r="F477" s="399" t="str">
        <f t="shared" si="91"/>
        <v>Data Element</v>
      </c>
      <c r="G477" s="400">
        <f t="shared" si="80"/>
        <v>34</v>
      </c>
      <c r="H477" s="400" t="str">
        <f t="shared" ref="H477:H495" si="95">IF(F477="Input Option",IF(H476="",B476,H476),"")</f>
        <v/>
      </c>
      <c r="I477" s="400"/>
      <c r="J477" s="400"/>
      <c r="K477" s="401" t="s">
        <v>5969</v>
      </c>
      <c r="L477" s="451" t="s">
        <v>3517</v>
      </c>
      <c r="M477" s="400"/>
      <c r="N477" s="464" t="s">
        <v>6052</v>
      </c>
      <c r="O477" s="428"/>
      <c r="P477" s="404" t="s">
        <v>6053</v>
      </c>
      <c r="Q477" s="420" t="s">
        <v>6051</v>
      </c>
      <c r="R477" s="414"/>
      <c r="S477" s="404" t="s">
        <v>6054</v>
      </c>
      <c r="T477" s="437" t="s">
        <v>168</v>
      </c>
      <c r="U477" s="437"/>
      <c r="V477" s="404"/>
      <c r="W477" s="403"/>
      <c r="X477" s="403" t="s">
        <v>208</v>
      </c>
      <c r="Y477" s="404"/>
      <c r="Z477" s="437" t="s">
        <v>113</v>
      </c>
      <c r="AA477" s="404" t="s">
        <v>1889</v>
      </c>
      <c r="AB477" s="406"/>
      <c r="AC477" s="404"/>
      <c r="AD477" s="404"/>
      <c r="AE477" s="406"/>
      <c r="AF477" s="404"/>
      <c r="AG477" s="404"/>
      <c r="AH477" s="399"/>
      <c r="AI477" s="400"/>
      <c r="AJ477" s="399"/>
      <c r="AK477" s="399"/>
      <c r="AL477" s="409" t="s">
        <v>3233</v>
      </c>
      <c r="AM477" s="409" t="s">
        <v>3314</v>
      </c>
      <c r="AN477" s="409" t="s">
        <v>3101</v>
      </c>
      <c r="AO477" s="399"/>
      <c r="AP477" s="399"/>
      <c r="AQ477" s="409" t="s">
        <v>115</v>
      </c>
      <c r="AR477" s="399"/>
      <c r="AS477" s="399"/>
      <c r="AT477" s="399"/>
      <c r="AU477" s="399" t="s">
        <v>6055</v>
      </c>
      <c r="AV477" s="399" t="str">
        <f t="shared" si="92"/>
        <v>Changed</v>
      </c>
      <c r="AW477" s="399"/>
      <c r="AX477" s="409" t="s">
        <v>3343</v>
      </c>
      <c r="AY477" s="399" t="str">
        <f t="shared" si="93"/>
        <v/>
      </c>
      <c r="AZ477" s="399"/>
      <c r="BA477" s="409">
        <v>0</v>
      </c>
      <c r="BB477" s="399"/>
      <c r="BC477" s="399"/>
      <c r="BD477" s="399"/>
      <c r="BE477" s="411"/>
      <c r="BF477" s="411"/>
      <c r="BG477" s="411"/>
      <c r="BH477" s="411"/>
      <c r="BI477" s="411"/>
      <c r="BJ477" s="399"/>
      <c r="BK477" s="399"/>
      <c r="BL477" s="399"/>
      <c r="BM477" s="399" t="s">
        <v>6028</v>
      </c>
      <c r="BN477" s="399"/>
      <c r="BO477" s="399"/>
      <c r="BP477" s="399"/>
      <c r="BQ477" s="399"/>
      <c r="BR477" s="399"/>
      <c r="BS477" s="407"/>
      <c r="BT477" s="407"/>
      <c r="BU477" s="412"/>
      <c r="BV477" s="46" t="str">
        <f t="shared" si="8"/>
        <v/>
      </c>
      <c r="BW477" s="46" t="str">
        <f t="shared" si="9"/>
        <v/>
      </c>
      <c r="BX477" s="46" t="str">
        <f t="shared" si="10"/>
        <v/>
      </c>
      <c r="BY477" s="43">
        <f t="shared" si="11"/>
        <v>0</v>
      </c>
      <c r="BZ477" s="46">
        <f t="shared" si="12"/>
        <v>1</v>
      </c>
      <c r="CA477" s="46">
        <f t="shared" si="13"/>
        <v>0</v>
      </c>
      <c r="CB477" s="46">
        <f t="shared" si="14"/>
        <v>0</v>
      </c>
      <c r="CC477" s="46">
        <f t="shared" si="15"/>
        <v>0</v>
      </c>
      <c r="CD477" s="46">
        <f t="shared" si="16"/>
        <v>0</v>
      </c>
      <c r="CE477" s="46">
        <f t="shared" si="17"/>
        <v>0</v>
      </c>
      <c r="CF477" s="46">
        <f t="shared" si="18"/>
        <v>1</v>
      </c>
      <c r="CG477" s="46" t="str">
        <f ca="1">IFERROR(__xludf.DUMMYFUNCTION("if(OR(BH477="""",LEFT(BH477,2)=""LA""),"""",IMPORTXML(CONCATENATE(""https://loinc.org/"",BH477,""/""),""//span[@id='lcn']""))"),"")</f>
        <v/>
      </c>
      <c r="CH477" s="46"/>
      <c r="CI477" s="46"/>
      <c r="CJ477" s="46"/>
      <c r="CK477" s="46"/>
      <c r="CL477" s="46"/>
      <c r="CM477" s="46"/>
      <c r="CN477" s="46"/>
      <c r="CO477" s="46"/>
      <c r="CP477" s="46"/>
      <c r="CQ477" s="46"/>
      <c r="CR477" s="46"/>
      <c r="CS477" s="46"/>
      <c r="CT477" s="46"/>
      <c r="CU477" s="46"/>
    </row>
    <row r="478" spans="1:99" ht="12.75" customHeight="1">
      <c r="A478" s="409">
        <v>1701</v>
      </c>
      <c r="B478" s="399" t="s">
        <v>6056</v>
      </c>
      <c r="C478" s="399">
        <f t="shared" si="77"/>
        <v>1701</v>
      </c>
      <c r="D478" s="399" t="str">
        <f t="shared" si="89"/>
        <v>Reason for no method at exit</v>
      </c>
      <c r="E478" s="399" t="str">
        <f t="shared" si="90"/>
        <v>Reason for no method at exit</v>
      </c>
      <c r="F478" s="399" t="str">
        <f t="shared" si="91"/>
        <v>Data Element</v>
      </c>
      <c r="G478" s="400">
        <f t="shared" si="80"/>
        <v>28</v>
      </c>
      <c r="H478" s="400" t="str">
        <f t="shared" si="95"/>
        <v/>
      </c>
      <c r="I478" s="400"/>
      <c r="J478" s="400"/>
      <c r="K478" s="401" t="s">
        <v>5969</v>
      </c>
      <c r="L478" s="451" t="s">
        <v>3517</v>
      </c>
      <c r="M478" s="400"/>
      <c r="N478" s="464" t="s">
        <v>6052</v>
      </c>
      <c r="O478" s="428"/>
      <c r="P478" s="404" t="s">
        <v>6057</v>
      </c>
      <c r="Q478" s="420" t="s">
        <v>6056</v>
      </c>
      <c r="R478" s="414"/>
      <c r="S478" s="404" t="s">
        <v>6058</v>
      </c>
      <c r="T478" s="437" t="s">
        <v>3121</v>
      </c>
      <c r="U478" s="437"/>
      <c r="V478" s="404"/>
      <c r="W478" s="403"/>
      <c r="X478" s="403" t="s">
        <v>208</v>
      </c>
      <c r="Y478" s="404"/>
      <c r="Z478" s="437" t="s">
        <v>113</v>
      </c>
      <c r="AA478" s="404" t="s">
        <v>3178</v>
      </c>
      <c r="AB478" s="444" t="s">
        <v>6059</v>
      </c>
      <c r="AC478" s="404"/>
      <c r="AD478" s="404" t="s">
        <v>6060</v>
      </c>
      <c r="AE478" s="406"/>
      <c r="AF478" s="404"/>
      <c r="AG478" s="404"/>
      <c r="AH478" s="399"/>
      <c r="AI478" s="400"/>
      <c r="AJ478" s="399"/>
      <c r="AK478" s="440" t="s">
        <v>3410</v>
      </c>
      <c r="AL478" s="409" t="s">
        <v>3181</v>
      </c>
      <c r="AM478" s="399" t="s">
        <v>3100</v>
      </c>
      <c r="AN478" s="399" t="s">
        <v>3101</v>
      </c>
      <c r="AO478" s="399"/>
      <c r="AP478" s="409" t="s">
        <v>6061</v>
      </c>
      <c r="AQ478" s="409" t="s">
        <v>3424</v>
      </c>
      <c r="AR478" s="399"/>
      <c r="AS478" s="399"/>
      <c r="AT478" s="399"/>
      <c r="AU478" s="399" t="s">
        <v>6062</v>
      </c>
      <c r="AV478" s="399" t="str">
        <f t="shared" si="92"/>
        <v>Changed</v>
      </c>
      <c r="AW478" s="399"/>
      <c r="AX478" s="409" t="s">
        <v>3343</v>
      </c>
      <c r="AY478" s="399" t="str">
        <f t="shared" si="93"/>
        <v/>
      </c>
      <c r="AZ478" s="399"/>
      <c r="BA478" s="409">
        <v>1</v>
      </c>
      <c r="BB478" s="399"/>
      <c r="BC478" s="399"/>
      <c r="BD478" s="399" t="s">
        <v>3162</v>
      </c>
      <c r="BE478" s="411"/>
      <c r="BF478" s="411"/>
      <c r="BG478" s="411"/>
      <c r="BH478" s="411" t="s">
        <v>6063</v>
      </c>
      <c r="BI478" s="411"/>
      <c r="BJ478" s="399"/>
      <c r="BK478" s="399"/>
      <c r="BL478" s="399"/>
      <c r="BM478" s="399" t="s">
        <v>6028</v>
      </c>
      <c r="BN478" s="438" t="str">
        <f>HYPERLINK("https://github.com/who-int/Data-Dictionary-Mapping/issues/90","90")</f>
        <v>90</v>
      </c>
      <c r="BO478" s="399"/>
      <c r="BP478" s="399"/>
      <c r="BQ478" s="399"/>
      <c r="BR478" s="399"/>
      <c r="BS478" s="407"/>
      <c r="BT478" s="407"/>
      <c r="BU478" s="412"/>
      <c r="BV478" s="46" t="str">
        <f t="shared" si="8"/>
        <v>Observation</v>
      </c>
      <c r="BW478" s="46" t="str">
        <f t="shared" si="9"/>
        <v/>
      </c>
      <c r="BX478" s="46" t="str">
        <f t="shared" si="10"/>
        <v>Observation</v>
      </c>
      <c r="BY478" s="43" t="str">
        <f t="shared" si="11"/>
        <v>WHO-FP Observation (Reason for no contraceptive method at exit)</v>
      </c>
      <c r="BZ478" s="46">
        <f t="shared" si="12"/>
        <v>1</v>
      </c>
      <c r="CA478" s="46">
        <f t="shared" si="13"/>
        <v>1</v>
      </c>
      <c r="CB478" s="46">
        <f t="shared" si="14"/>
        <v>1</v>
      </c>
      <c r="CC478" s="46">
        <f t="shared" si="15"/>
        <v>1</v>
      </c>
      <c r="CD478" s="46">
        <f t="shared" si="16"/>
        <v>1</v>
      </c>
      <c r="CE478" s="46">
        <f t="shared" si="17"/>
        <v>0</v>
      </c>
      <c r="CF478" s="46">
        <f t="shared" si="18"/>
        <v>0</v>
      </c>
      <c r="CG478" s="46" t="str">
        <f ca="1">IFERROR(__xludf.DUMMYFUNCTION("if(OR(BH478="""",LEFT(BH478,2)=""LA""),"""",IMPORTXML(CONCATENATE(""https://loinc.org/"",BH478,""/""),""//span[@id='lcn']""))"),"Reason for no birth control use - Reported --at exit")</f>
        <v>Reason for no birth control use - Reported --at exit</v>
      </c>
      <c r="CH478" s="46"/>
      <c r="CI478" s="46"/>
      <c r="CJ478" s="46"/>
      <c r="CK478" s="46"/>
      <c r="CL478" s="46"/>
      <c r="CM478" s="46"/>
      <c r="CN478" s="46"/>
      <c r="CO478" s="46"/>
      <c r="CP478" s="46"/>
      <c r="CQ478" s="46"/>
      <c r="CR478" s="46"/>
      <c r="CS478" s="46"/>
      <c r="CT478" s="46"/>
      <c r="CU478" s="46"/>
    </row>
    <row r="479" spans="1:99" ht="12.75" customHeight="1">
      <c r="A479" s="409">
        <v>1702</v>
      </c>
      <c r="B479" s="399" t="s">
        <v>6064</v>
      </c>
      <c r="C479" s="399">
        <f t="shared" si="77"/>
        <v>1702</v>
      </c>
      <c r="D479" s="399" t="e">
        <f t="shared" ca="1" si="89"/>
        <v>#NAME?</v>
      </c>
      <c r="E479" s="399" t="str">
        <f t="shared" si="90"/>
        <v>Voluntarily refrains from sexual intercourse</v>
      </c>
      <c r="F479" s="399" t="str">
        <f t="shared" si="91"/>
        <v>Input Option</v>
      </c>
      <c r="G479" s="400">
        <f t="shared" si="80"/>
        <v>51</v>
      </c>
      <c r="H479" s="399" t="str">
        <f t="shared" si="95"/>
        <v>Reason for no method at exit</v>
      </c>
      <c r="I479" s="400"/>
      <c r="J479" s="400"/>
      <c r="K479" s="401" t="s">
        <v>5969</v>
      </c>
      <c r="L479" s="451" t="s">
        <v>3517</v>
      </c>
      <c r="M479" s="400"/>
      <c r="N479" s="464" t="s">
        <v>6052</v>
      </c>
      <c r="O479" s="428"/>
      <c r="P479" s="407" t="s">
        <v>3783</v>
      </c>
      <c r="Q479" s="444" t="s">
        <v>3784</v>
      </c>
      <c r="R479" s="628"/>
      <c r="S479" s="404"/>
      <c r="T479" s="407"/>
      <c r="U479" s="407"/>
      <c r="V479" s="404" t="s">
        <v>5266</v>
      </c>
      <c r="W479" s="403"/>
      <c r="X479" s="403" t="s">
        <v>208</v>
      </c>
      <c r="Y479" s="404"/>
      <c r="Z479" s="437" t="s">
        <v>113</v>
      </c>
      <c r="AA479" s="404"/>
      <c r="AB479" s="406"/>
      <c r="AC479" s="404"/>
      <c r="AD479" s="404"/>
      <c r="AE479" s="406"/>
      <c r="AF479" s="404"/>
      <c r="AG479" s="404"/>
      <c r="AH479" s="399"/>
      <c r="AI479" s="400"/>
      <c r="AJ479" s="399"/>
      <c r="AK479" s="399"/>
      <c r="AL479" s="399"/>
      <c r="AM479" s="399"/>
      <c r="AN479" s="399"/>
      <c r="AO479" s="399"/>
      <c r="AP479" s="399"/>
      <c r="AQ479" s="409" t="s">
        <v>3130</v>
      </c>
      <c r="AR479" s="399"/>
      <c r="AS479" s="399"/>
      <c r="AT479" s="399"/>
      <c r="AU479" s="399" t="s">
        <v>5265</v>
      </c>
      <c r="AV479" s="399" t="str">
        <f t="shared" si="92"/>
        <v>Changed</v>
      </c>
      <c r="AW479" s="399"/>
      <c r="AX479" s="409" t="s">
        <v>3343</v>
      </c>
      <c r="AY479" s="399" t="e">
        <f t="shared" ca="1" si="93"/>
        <v>#NAME?</v>
      </c>
      <c r="AZ479" s="399"/>
      <c r="BA479" s="409">
        <v>1</v>
      </c>
      <c r="BB479" s="399"/>
      <c r="BC479" s="399"/>
      <c r="BD479" s="399" t="s">
        <v>3162</v>
      </c>
      <c r="BE479" s="411"/>
      <c r="BF479" s="411"/>
      <c r="BG479" s="411" t="s">
        <v>6065</v>
      </c>
      <c r="BH479" s="411" t="s">
        <v>6066</v>
      </c>
      <c r="BI479" s="411"/>
      <c r="BJ479" s="399"/>
      <c r="BK479" s="399"/>
      <c r="BL479" s="399"/>
      <c r="BM479" s="399"/>
      <c r="BN479" s="399"/>
      <c r="BO479" s="399"/>
      <c r="BP479" s="399"/>
      <c r="BQ479" s="399"/>
      <c r="BR479" s="399"/>
      <c r="BS479" s="407"/>
      <c r="BT479" s="407"/>
      <c r="BU479" s="412"/>
      <c r="BV479" s="46" t="str">
        <f t="shared" si="8"/>
        <v/>
      </c>
      <c r="BW479" s="46">
        <f t="shared" si="9"/>
        <v>0</v>
      </c>
      <c r="BX479" s="46">
        <f t="shared" si="10"/>
        <v>0</v>
      </c>
      <c r="BY479" s="43" t="str">
        <f t="shared" si="11"/>
        <v>WHO-FP Observation (Reason for no contraceptive method at exit)</v>
      </c>
      <c r="BZ479" s="46">
        <f t="shared" si="12"/>
        <v>1</v>
      </c>
      <c r="CA479" s="46" t="str">
        <f t="shared" si="13"/>
        <v/>
      </c>
      <c r="CB479" s="46">
        <f t="shared" si="14"/>
        <v>1</v>
      </c>
      <c r="CC479" s="46">
        <f t="shared" si="15"/>
        <v>1</v>
      </c>
      <c r="CD479" s="46">
        <f t="shared" si="16"/>
        <v>1</v>
      </c>
      <c r="CE479" s="46">
        <f t="shared" si="17"/>
        <v>0</v>
      </c>
      <c r="CF479" s="46">
        <f t="shared" si="18"/>
        <v>0</v>
      </c>
      <c r="CG479" s="46" t="str">
        <f ca="1">IFERROR(__xludf.DUMMYFUNCTION("if(OR(BH479="""",LEFT(BH479,2)=""LA""),"""",IMPORTXML(CONCATENATE(""https://loinc.org/"",BH479,""/""),""//span[@id='lcn']""))"),"#N/A")</f>
        <v>#N/A</v>
      </c>
      <c r="CH479" s="46"/>
      <c r="CI479" s="46"/>
      <c r="CJ479" s="46"/>
      <c r="CK479" s="46"/>
      <c r="CL479" s="46"/>
      <c r="CM479" s="46"/>
      <c r="CN479" s="46"/>
      <c r="CO479" s="46"/>
      <c r="CP479" s="46"/>
      <c r="CQ479" s="46"/>
      <c r="CR479" s="46"/>
      <c r="CS479" s="46"/>
      <c r="CT479" s="46"/>
      <c r="CU479" s="46"/>
    </row>
    <row r="480" spans="1:99" ht="12.75" customHeight="1">
      <c r="A480" s="409">
        <v>1703</v>
      </c>
      <c r="B480" s="399" t="s">
        <v>6067</v>
      </c>
      <c r="C480" s="399">
        <f t="shared" si="77"/>
        <v>1703</v>
      </c>
      <c r="D480" s="399" t="e">
        <f t="shared" ca="1" si="89"/>
        <v>#NAME?</v>
      </c>
      <c r="E480" s="399" t="str">
        <f t="shared" si="90"/>
        <v>Client choice to not use contraception</v>
      </c>
      <c r="F480" s="399" t="str">
        <f t="shared" si="91"/>
        <v>Input Option</v>
      </c>
      <c r="G480" s="400">
        <f t="shared" si="80"/>
        <v>45</v>
      </c>
      <c r="H480" s="399" t="str">
        <f t="shared" si="95"/>
        <v>Reason for no method at exit</v>
      </c>
      <c r="I480" s="400"/>
      <c r="J480" s="400"/>
      <c r="K480" s="401" t="s">
        <v>5969</v>
      </c>
      <c r="L480" s="451" t="s">
        <v>3517</v>
      </c>
      <c r="M480" s="400"/>
      <c r="N480" s="464" t="s">
        <v>6052</v>
      </c>
      <c r="O480" s="428"/>
      <c r="P480" s="407" t="s">
        <v>3796</v>
      </c>
      <c r="Q480" s="444" t="s">
        <v>6068</v>
      </c>
      <c r="R480" s="414"/>
      <c r="S480" s="404"/>
      <c r="T480" s="404"/>
      <c r="U480" s="404"/>
      <c r="V480" s="437" t="s">
        <v>6069</v>
      </c>
      <c r="W480" s="403"/>
      <c r="X480" s="403" t="s">
        <v>208</v>
      </c>
      <c r="Y480" s="404"/>
      <c r="Z480" s="437" t="s">
        <v>113</v>
      </c>
      <c r="AA480" s="404"/>
      <c r="AB480" s="406"/>
      <c r="AC480" s="404"/>
      <c r="AD480" s="404"/>
      <c r="AE480" s="406"/>
      <c r="AF480" s="404"/>
      <c r="AG480" s="404"/>
      <c r="AH480" s="399"/>
      <c r="AI480" s="400"/>
      <c r="AJ480" s="399"/>
      <c r="AK480" s="399"/>
      <c r="AL480" s="399"/>
      <c r="AM480" s="399"/>
      <c r="AN480" s="399"/>
      <c r="AO480" s="399"/>
      <c r="AP480" s="399"/>
      <c r="AQ480" s="409" t="s">
        <v>3130</v>
      </c>
      <c r="AR480" s="399"/>
      <c r="AS480" s="399"/>
      <c r="AT480" s="399"/>
      <c r="AU480" s="399" t="s">
        <v>6070</v>
      </c>
      <c r="AV480" s="399" t="str">
        <f t="shared" si="92"/>
        <v>Changed</v>
      </c>
      <c r="AW480" s="399"/>
      <c r="AX480" s="409" t="s">
        <v>3343</v>
      </c>
      <c r="AY480" s="399" t="e">
        <f t="shared" ca="1" si="93"/>
        <v>#NAME?</v>
      </c>
      <c r="AZ480" s="399"/>
      <c r="BA480" s="409">
        <v>1</v>
      </c>
      <c r="BB480" s="399"/>
      <c r="BC480" s="399"/>
      <c r="BD480" s="399"/>
      <c r="BE480" s="411"/>
      <c r="BF480" s="411"/>
      <c r="BG480" s="411" t="s">
        <v>6071</v>
      </c>
      <c r="BH480" s="411"/>
      <c r="BI480" s="411"/>
      <c r="BJ480" s="399"/>
      <c r="BK480" s="399"/>
      <c r="BL480" s="399"/>
      <c r="BM480" s="399"/>
      <c r="BN480" s="399"/>
      <c r="BO480" s="399"/>
      <c r="BP480" s="399"/>
      <c r="BQ480" s="399"/>
      <c r="BR480" s="399"/>
      <c r="BS480" s="407"/>
      <c r="BT480" s="407"/>
      <c r="BU480" s="412"/>
      <c r="BV480" s="46" t="str">
        <f t="shared" si="8"/>
        <v/>
      </c>
      <c r="BW480" s="46">
        <f t="shared" si="9"/>
        <v>0</v>
      </c>
      <c r="BX480" s="46">
        <f t="shared" si="10"/>
        <v>0</v>
      </c>
      <c r="BY480" s="43" t="str">
        <f t="shared" si="11"/>
        <v>WHO-FP Observation (Reason for no contraceptive method at exit)</v>
      </c>
      <c r="BZ480" s="46">
        <f t="shared" si="12"/>
        <v>1</v>
      </c>
      <c r="CA480" s="46" t="str">
        <f t="shared" si="13"/>
        <v/>
      </c>
      <c r="CB480" s="46">
        <f t="shared" si="14"/>
        <v>1</v>
      </c>
      <c r="CC480" s="46">
        <f t="shared" si="15"/>
        <v>1</v>
      </c>
      <c r="CD480" s="46">
        <f t="shared" si="16"/>
        <v>1</v>
      </c>
      <c r="CE480" s="46">
        <f t="shared" si="17"/>
        <v>0</v>
      </c>
      <c r="CF480" s="46">
        <f t="shared" si="18"/>
        <v>0</v>
      </c>
      <c r="CG480" s="46" t="str">
        <f ca="1">IFERROR(__xludf.DUMMYFUNCTION("if(OR(BH480="""",LEFT(BH480,2)=""LA""),"""",IMPORTXML(CONCATENATE(""https://loinc.org/"",BH480,""/""),""//span[@id='lcn']""))"),"")</f>
        <v/>
      </c>
      <c r="CH480" s="46"/>
      <c r="CI480" s="46"/>
      <c r="CJ480" s="46"/>
      <c r="CK480" s="46"/>
      <c r="CL480" s="46"/>
      <c r="CM480" s="46"/>
      <c r="CN480" s="46"/>
      <c r="CO480" s="46"/>
      <c r="CP480" s="46"/>
      <c r="CQ480" s="46"/>
      <c r="CR480" s="46"/>
      <c r="CS480" s="46"/>
      <c r="CT480" s="46"/>
      <c r="CU480" s="46"/>
    </row>
    <row r="481" spans="1:99" ht="12.75" customHeight="1">
      <c r="A481" s="409">
        <v>1704</v>
      </c>
      <c r="B481" s="399" t="s">
        <v>3799</v>
      </c>
      <c r="C481" s="399">
        <f t="shared" si="77"/>
        <v>1704</v>
      </c>
      <c r="D481" s="399" t="e">
        <f t="shared" ca="1" si="89"/>
        <v>#NAME?</v>
      </c>
      <c r="E481" s="399" t="str">
        <f t="shared" si="90"/>
        <v>Same sex partner    </v>
      </c>
      <c r="F481" s="399" t="str">
        <f t="shared" si="91"/>
        <v>Input Option</v>
      </c>
      <c r="G481" s="400">
        <f t="shared" si="80"/>
        <v>27</v>
      </c>
      <c r="H481" s="399" t="str">
        <f t="shared" si="95"/>
        <v>Reason for no method at exit</v>
      </c>
      <c r="I481" s="400"/>
      <c r="J481" s="400"/>
      <c r="K481" s="401" t="s">
        <v>5969</v>
      </c>
      <c r="L481" s="451" t="s">
        <v>3517</v>
      </c>
      <c r="M481" s="400"/>
      <c r="N481" s="464" t="s">
        <v>6052</v>
      </c>
      <c r="O481" s="428"/>
      <c r="P481" s="407" t="s">
        <v>3800</v>
      </c>
      <c r="Q481" s="404"/>
      <c r="R481" s="414"/>
      <c r="S481" s="404"/>
      <c r="T481" s="437"/>
      <c r="U481" s="437"/>
      <c r="V481" s="404" t="s">
        <v>3801</v>
      </c>
      <c r="W481" s="403"/>
      <c r="X481" s="403" t="s">
        <v>208</v>
      </c>
      <c r="Y481" s="404"/>
      <c r="Z481" s="437" t="s">
        <v>113</v>
      </c>
      <c r="AA481" s="404"/>
      <c r="AB481" s="406"/>
      <c r="AC481" s="404"/>
      <c r="AD481" s="404"/>
      <c r="AE481" s="406"/>
      <c r="AF481" s="404"/>
      <c r="AG481" s="404"/>
      <c r="AH481" s="399"/>
      <c r="AI481" s="400"/>
      <c r="AJ481" s="399"/>
      <c r="AK481" s="399"/>
      <c r="AL481" s="399"/>
      <c r="AM481" s="399"/>
      <c r="AN481" s="399"/>
      <c r="AO481" s="399"/>
      <c r="AP481" s="399"/>
      <c r="AQ481" s="409" t="s">
        <v>3130</v>
      </c>
      <c r="AR481" s="399"/>
      <c r="AS481" s="399"/>
      <c r="AT481" s="399"/>
      <c r="AU481" s="399" t="s">
        <v>3799</v>
      </c>
      <c r="AV481" s="399" t="str">
        <f t="shared" si="92"/>
        <v>Same</v>
      </c>
      <c r="AW481" s="399"/>
      <c r="AX481" s="409" t="s">
        <v>3343</v>
      </c>
      <c r="AY481" s="399" t="e">
        <f t="shared" ca="1" si="93"/>
        <v>#NAME?</v>
      </c>
      <c r="AZ481" s="399"/>
      <c r="BA481" s="409">
        <v>1</v>
      </c>
      <c r="BB481" s="399"/>
      <c r="BC481" s="399"/>
      <c r="BD481" s="399" t="s">
        <v>3162</v>
      </c>
      <c r="BE481" s="411"/>
      <c r="BF481" s="411"/>
      <c r="BG481" s="411" t="s">
        <v>3802</v>
      </c>
      <c r="BH481" s="411" t="s">
        <v>3803</v>
      </c>
      <c r="BI481" s="411"/>
      <c r="BJ481" s="399"/>
      <c r="BK481" s="399"/>
      <c r="BL481" s="399"/>
      <c r="BM481" s="399"/>
      <c r="BN481" s="399"/>
      <c r="BO481" s="399"/>
      <c r="BP481" s="399"/>
      <c r="BQ481" s="399"/>
      <c r="BR481" s="399"/>
      <c r="BS481" s="407"/>
      <c r="BT481" s="407"/>
      <c r="BU481" s="412"/>
      <c r="BV481" s="46" t="str">
        <f t="shared" si="8"/>
        <v/>
      </c>
      <c r="BW481" s="46">
        <f t="shared" si="9"/>
        <v>0</v>
      </c>
      <c r="BX481" s="46">
        <f t="shared" si="10"/>
        <v>0</v>
      </c>
      <c r="BY481" s="43" t="str">
        <f t="shared" si="11"/>
        <v>WHO-FP Observation (Reason for no contraceptive method at exit)</v>
      </c>
      <c r="BZ481" s="46">
        <f t="shared" si="12"/>
        <v>1</v>
      </c>
      <c r="CA481" s="46" t="str">
        <f t="shared" si="13"/>
        <v/>
      </c>
      <c r="CB481" s="46">
        <f t="shared" si="14"/>
        <v>1</v>
      </c>
      <c r="CC481" s="46">
        <f t="shared" si="15"/>
        <v>1</v>
      </c>
      <c r="CD481" s="46">
        <f t="shared" si="16"/>
        <v>1</v>
      </c>
      <c r="CE481" s="46">
        <f t="shared" si="17"/>
        <v>0</v>
      </c>
      <c r="CF481" s="46">
        <f t="shared" si="18"/>
        <v>0</v>
      </c>
      <c r="CG481" s="46" t="str">
        <f ca="1">IFERROR(__xludf.DUMMYFUNCTION("if(OR(BH481="""",LEFT(BH481,2)=""LA""),"""",IMPORTXML(CONCATENATE(""https://loinc.org/"",BH481,""/""),""//span[@id='lcn']""))"),"")</f>
        <v/>
      </c>
      <c r="CH481" s="46"/>
      <c r="CI481" s="46"/>
      <c r="CJ481" s="46"/>
      <c r="CK481" s="46"/>
      <c r="CL481" s="46"/>
      <c r="CM481" s="46"/>
      <c r="CN481" s="46"/>
      <c r="CO481" s="46"/>
      <c r="CP481" s="46"/>
      <c r="CQ481" s="46"/>
      <c r="CR481" s="46"/>
      <c r="CS481" s="46"/>
      <c r="CT481" s="46"/>
      <c r="CU481" s="46"/>
    </row>
    <row r="482" spans="1:99" ht="12.75" customHeight="1">
      <c r="A482" s="409">
        <v>1705</v>
      </c>
      <c r="B482" s="399" t="s">
        <v>6072</v>
      </c>
      <c r="C482" s="399">
        <f t="shared" si="77"/>
        <v>1705</v>
      </c>
      <c r="D482" s="399" t="e">
        <f t="shared" ca="1" si="89"/>
        <v>#NAME?</v>
      </c>
      <c r="E482" s="399" t="str">
        <f t="shared" si="90"/>
        <v>No method for other reasons</v>
      </c>
      <c r="F482" s="399" t="str">
        <f t="shared" si="91"/>
        <v>Input Option</v>
      </c>
      <c r="G482" s="400">
        <f t="shared" si="80"/>
        <v>34</v>
      </c>
      <c r="H482" s="399" t="str">
        <f t="shared" si="95"/>
        <v>Reason for no method at exit</v>
      </c>
      <c r="I482" s="400"/>
      <c r="J482" s="400"/>
      <c r="K482" s="401" t="s">
        <v>5969</v>
      </c>
      <c r="L482" s="451" t="s">
        <v>3517</v>
      </c>
      <c r="M482" s="400"/>
      <c r="N482" s="464" t="s">
        <v>6052</v>
      </c>
      <c r="O482" s="428"/>
      <c r="P482" s="407" t="s">
        <v>3805</v>
      </c>
      <c r="Q482" s="444" t="s">
        <v>3806</v>
      </c>
      <c r="R482" s="414"/>
      <c r="S482" s="404"/>
      <c r="T482" s="437"/>
      <c r="U482" s="437"/>
      <c r="V482" s="404" t="s">
        <v>3807</v>
      </c>
      <c r="W482" s="403"/>
      <c r="X482" s="403" t="s">
        <v>208</v>
      </c>
      <c r="Y482" s="404"/>
      <c r="Z482" s="437" t="s">
        <v>113</v>
      </c>
      <c r="AA482" s="404"/>
      <c r="AB482" s="406"/>
      <c r="AC482" s="404"/>
      <c r="AD482" s="404"/>
      <c r="AE482" s="406"/>
      <c r="AF482" s="444" t="s">
        <v>6074</v>
      </c>
      <c r="AG482" s="426"/>
      <c r="AH482" s="399"/>
      <c r="AI482" s="400"/>
      <c r="AJ482" s="399"/>
      <c r="AK482" s="399"/>
      <c r="AL482" s="399"/>
      <c r="AM482" s="399"/>
      <c r="AN482" s="399"/>
      <c r="AO482" s="399"/>
      <c r="AP482" s="399"/>
      <c r="AQ482" s="409" t="s">
        <v>3130</v>
      </c>
      <c r="AR482" s="399"/>
      <c r="AS482" s="399"/>
      <c r="AT482" s="399"/>
      <c r="AU482" s="399" t="s">
        <v>3804</v>
      </c>
      <c r="AV482" s="399" t="str">
        <f t="shared" si="92"/>
        <v>Changed</v>
      </c>
      <c r="AW482" s="399"/>
      <c r="AX482" s="409" t="s">
        <v>3343</v>
      </c>
      <c r="AY482" s="399" t="e">
        <f t="shared" ca="1" si="93"/>
        <v>#NAME?</v>
      </c>
      <c r="AZ482" s="399"/>
      <c r="BA482" s="409">
        <v>1</v>
      </c>
      <c r="BB482" s="399"/>
      <c r="BC482" s="399"/>
      <c r="BD482" s="399" t="s">
        <v>3162</v>
      </c>
      <c r="BE482" s="411"/>
      <c r="BF482" s="411"/>
      <c r="BG482" s="411" t="s">
        <v>3808</v>
      </c>
      <c r="BH482" s="411" t="s">
        <v>6076</v>
      </c>
      <c r="BI482" s="411"/>
      <c r="BJ482" s="399"/>
      <c r="BK482" s="399"/>
      <c r="BL482" s="399"/>
      <c r="BM482" s="399"/>
      <c r="BN482" s="399"/>
      <c r="BO482" s="399"/>
      <c r="BP482" s="399"/>
      <c r="BQ482" s="399"/>
      <c r="BR482" s="399"/>
      <c r="BS482" s="407"/>
      <c r="BT482" s="407"/>
      <c r="BU482" s="412"/>
      <c r="BV482" s="46" t="str">
        <f t="shared" si="8"/>
        <v/>
      </c>
      <c r="BW482" s="46">
        <f t="shared" si="9"/>
        <v>0</v>
      </c>
      <c r="BX482" s="46">
        <f t="shared" si="10"/>
        <v>0</v>
      </c>
      <c r="BY482" s="43" t="str">
        <f t="shared" si="11"/>
        <v>WHO-FP Observation (Reason for no contraceptive method at exit)</v>
      </c>
      <c r="BZ482" s="46">
        <f t="shared" si="12"/>
        <v>1</v>
      </c>
      <c r="CA482" s="46" t="str">
        <f t="shared" si="13"/>
        <v/>
      </c>
      <c r="CB482" s="46">
        <f t="shared" si="14"/>
        <v>1</v>
      </c>
      <c r="CC482" s="46">
        <f t="shared" si="15"/>
        <v>1</v>
      </c>
      <c r="CD482" s="46">
        <f t="shared" si="16"/>
        <v>1</v>
      </c>
      <c r="CE482" s="46">
        <f t="shared" si="17"/>
        <v>0</v>
      </c>
      <c r="CF482" s="46">
        <f t="shared" si="18"/>
        <v>0</v>
      </c>
      <c r="CG482" s="46" t="str">
        <f ca="1">IFERROR(__xludf.DUMMYFUNCTION("if(OR(BH482="""",LEFT(BH482,2)=""LA""),"""",IMPORTXML(CONCATENATE(""https://loinc.org/"",BH482,""/""),""//span[@id='lcn']""))"),"#N/A")</f>
        <v>#N/A</v>
      </c>
      <c r="CH482" s="46"/>
      <c r="CI482" s="46"/>
      <c r="CJ482" s="46"/>
      <c r="CK482" s="46"/>
      <c r="CL482" s="46"/>
      <c r="CM482" s="46"/>
      <c r="CN482" s="46"/>
      <c r="CO482" s="46"/>
      <c r="CP482" s="46"/>
      <c r="CQ482" s="46"/>
      <c r="CR482" s="46"/>
      <c r="CS482" s="46"/>
      <c r="CT482" s="46"/>
      <c r="CU482" s="46"/>
    </row>
    <row r="483" spans="1:99" ht="12.75" customHeight="1">
      <c r="A483" s="409">
        <v>1706</v>
      </c>
      <c r="B483" s="399" t="s">
        <v>3811</v>
      </c>
      <c r="C483" s="399">
        <f t="shared" si="77"/>
        <v>1706</v>
      </c>
      <c r="D483" s="399" t="e">
        <f t="shared" ca="1" si="89"/>
        <v>#NAME?</v>
      </c>
      <c r="E483" s="399" t="str">
        <f t="shared" si="90"/>
        <v>Out of stock</v>
      </c>
      <c r="F483" s="399" t="str">
        <f t="shared" si="91"/>
        <v>Input Option</v>
      </c>
      <c r="G483" s="400">
        <f t="shared" si="80"/>
        <v>19</v>
      </c>
      <c r="H483" s="399" t="str">
        <f t="shared" si="95"/>
        <v>Reason for no method at exit</v>
      </c>
      <c r="I483" s="400"/>
      <c r="J483" s="400"/>
      <c r="K483" s="401" t="s">
        <v>5969</v>
      </c>
      <c r="L483" s="451" t="s">
        <v>3517</v>
      </c>
      <c r="M483" s="400"/>
      <c r="N483" s="464" t="s">
        <v>6052</v>
      </c>
      <c r="O483" s="428"/>
      <c r="P483" s="407" t="s">
        <v>3812</v>
      </c>
      <c r="Q483" s="404"/>
      <c r="R483" s="414"/>
      <c r="S483" s="404"/>
      <c r="T483" s="437"/>
      <c r="U483" s="437"/>
      <c r="V483" s="404" t="s">
        <v>3814</v>
      </c>
      <c r="W483" s="404"/>
      <c r="X483" s="403" t="s">
        <v>208</v>
      </c>
      <c r="Y483" s="404"/>
      <c r="Z483" s="437" t="s">
        <v>113</v>
      </c>
      <c r="AA483" s="404"/>
      <c r="AB483" s="406"/>
      <c r="AC483" s="404"/>
      <c r="AD483" s="404"/>
      <c r="AE483" s="406"/>
      <c r="AF483" s="404"/>
      <c r="AG483" s="404"/>
      <c r="AH483" s="399"/>
      <c r="AI483" s="400"/>
      <c r="AJ483" s="399"/>
      <c r="AK483" s="399"/>
      <c r="AL483" s="399"/>
      <c r="AM483" s="399"/>
      <c r="AN483" s="399"/>
      <c r="AO483" s="399"/>
      <c r="AP483" s="399"/>
      <c r="AQ483" s="409" t="s">
        <v>3130</v>
      </c>
      <c r="AR483" s="399"/>
      <c r="AS483" s="399"/>
      <c r="AT483" s="399"/>
      <c r="AU483" s="399" t="s">
        <v>3811</v>
      </c>
      <c r="AV483" s="399" t="str">
        <f t="shared" si="92"/>
        <v>Same</v>
      </c>
      <c r="AW483" s="399"/>
      <c r="AX483" s="409" t="s">
        <v>3343</v>
      </c>
      <c r="AY483" s="399" t="e">
        <f t="shared" ca="1" si="93"/>
        <v>#NAME?</v>
      </c>
      <c r="AZ483" s="399"/>
      <c r="BA483" s="409">
        <v>1</v>
      </c>
      <c r="BB483" s="399"/>
      <c r="BC483" s="399"/>
      <c r="BD483" s="399" t="s">
        <v>6078</v>
      </c>
      <c r="BE483" s="411" t="s">
        <v>3815</v>
      </c>
      <c r="BF483" s="411"/>
      <c r="BG483" s="411" t="s">
        <v>3816</v>
      </c>
      <c r="BH483" s="411"/>
      <c r="BI483" s="411"/>
      <c r="BJ483" s="399"/>
      <c r="BK483" s="399"/>
      <c r="BL483" s="399"/>
      <c r="BM483" s="399"/>
      <c r="BN483" s="399"/>
      <c r="BO483" s="399">
        <v>165183</v>
      </c>
      <c r="BP483" s="399"/>
      <c r="BQ483" s="399"/>
      <c r="BR483" s="399" t="s">
        <v>2638</v>
      </c>
      <c r="BS483" s="407"/>
      <c r="BT483" s="407"/>
      <c r="BU483" s="412"/>
      <c r="BV483" s="46" t="str">
        <f t="shared" si="8"/>
        <v/>
      </c>
      <c r="BW483" s="46">
        <f t="shared" si="9"/>
        <v>0</v>
      </c>
      <c r="BX483" s="46">
        <f t="shared" si="10"/>
        <v>0</v>
      </c>
      <c r="BY483" s="43" t="str">
        <f t="shared" si="11"/>
        <v>WHO-FP Observation (Reason for no contraceptive method at exit)</v>
      </c>
      <c r="BZ483" s="46">
        <f t="shared" si="12"/>
        <v>1</v>
      </c>
      <c r="CA483" s="46" t="str">
        <f t="shared" si="13"/>
        <v/>
      </c>
      <c r="CB483" s="46">
        <f t="shared" si="14"/>
        <v>1</v>
      </c>
      <c r="CC483" s="46">
        <f t="shared" si="15"/>
        <v>1</v>
      </c>
      <c r="CD483" s="46">
        <f t="shared" si="16"/>
        <v>1</v>
      </c>
      <c r="CE483" s="46">
        <f t="shared" si="17"/>
        <v>0</v>
      </c>
      <c r="CF483" s="46">
        <f t="shared" si="18"/>
        <v>0</v>
      </c>
      <c r="CG483" s="46" t="str">
        <f ca="1">IFERROR(__xludf.DUMMYFUNCTION("if(OR(BH483="""",LEFT(BH483,2)=""LA""),"""",IMPORTXML(CONCATENATE(""https://loinc.org/"",BH483,""/""),""//span[@id='lcn']""))"),"")</f>
        <v/>
      </c>
      <c r="CH483" s="46"/>
      <c r="CI483" s="46"/>
      <c r="CJ483" s="46"/>
      <c r="CK483" s="46"/>
      <c r="CL483" s="46"/>
      <c r="CM483" s="46"/>
      <c r="CN483" s="46"/>
      <c r="CO483" s="46"/>
      <c r="CP483" s="46"/>
      <c r="CQ483" s="46"/>
      <c r="CR483" s="46"/>
      <c r="CS483" s="46"/>
      <c r="CT483" s="46"/>
      <c r="CU483" s="46"/>
    </row>
    <row r="484" spans="1:99" ht="12.75" customHeight="1">
      <c r="A484" s="409">
        <v>1707</v>
      </c>
      <c r="B484" s="399" t="s">
        <v>3817</v>
      </c>
      <c r="C484" s="399">
        <f t="shared" si="77"/>
        <v>1707</v>
      </c>
      <c r="D484" s="399" t="e">
        <f t="shared" ca="1" si="89"/>
        <v>#NAME?</v>
      </c>
      <c r="E484" s="399" t="str">
        <f t="shared" si="90"/>
        <v>Sterile for non-contraceptive reasons    </v>
      </c>
      <c r="F484" s="399" t="str">
        <f t="shared" si="91"/>
        <v>Input Option</v>
      </c>
      <c r="G484" s="400">
        <f t="shared" si="80"/>
        <v>48</v>
      </c>
      <c r="H484" s="399" t="str">
        <f t="shared" si="95"/>
        <v>Reason for no method at exit</v>
      </c>
      <c r="I484" s="400"/>
      <c r="J484" s="400"/>
      <c r="K484" s="401" t="s">
        <v>5969</v>
      </c>
      <c r="L484" s="451" t="s">
        <v>3517</v>
      </c>
      <c r="M484" s="400"/>
      <c r="N484" s="464" t="s">
        <v>6052</v>
      </c>
      <c r="O484" s="428"/>
      <c r="P484" s="407" t="s">
        <v>3818</v>
      </c>
      <c r="Q484" s="404"/>
      <c r="R484" s="414"/>
      <c r="S484" s="404"/>
      <c r="T484" s="437"/>
      <c r="U484" s="437"/>
      <c r="V484" s="420" t="s">
        <v>3819</v>
      </c>
      <c r="W484" s="407"/>
      <c r="X484" s="403" t="s">
        <v>208</v>
      </c>
      <c r="Y484" s="404"/>
      <c r="Z484" s="437" t="s">
        <v>113</v>
      </c>
      <c r="AA484" s="404"/>
      <c r="AB484" s="406"/>
      <c r="AC484" s="404"/>
      <c r="AD484" s="404"/>
      <c r="AE484" s="406"/>
      <c r="AF484" s="404"/>
      <c r="AG484" s="404"/>
      <c r="AH484" s="399"/>
      <c r="AI484" s="400"/>
      <c r="AJ484" s="399"/>
      <c r="AK484" s="399"/>
      <c r="AL484" s="399"/>
      <c r="AM484" s="399"/>
      <c r="AN484" s="399"/>
      <c r="AO484" s="399"/>
      <c r="AP484" s="399"/>
      <c r="AQ484" s="409" t="s">
        <v>3130</v>
      </c>
      <c r="AR484" s="399"/>
      <c r="AS484" s="399"/>
      <c r="AT484" s="399"/>
      <c r="AU484" s="399" t="s">
        <v>3817</v>
      </c>
      <c r="AV484" s="399" t="str">
        <f t="shared" si="92"/>
        <v>Same</v>
      </c>
      <c r="AW484" s="399"/>
      <c r="AX484" s="409" t="s">
        <v>3343</v>
      </c>
      <c r="AY484" s="399" t="e">
        <f t="shared" ca="1" si="93"/>
        <v>#NAME?</v>
      </c>
      <c r="AZ484" s="399"/>
      <c r="BA484" s="409">
        <v>1</v>
      </c>
      <c r="BB484" s="399"/>
      <c r="BC484" s="399"/>
      <c r="BD484" s="399" t="s">
        <v>3162</v>
      </c>
      <c r="BE484" s="411" t="s">
        <v>3820</v>
      </c>
      <c r="BF484" s="411" t="s">
        <v>3821</v>
      </c>
      <c r="BG484" s="411" t="s">
        <v>6079</v>
      </c>
      <c r="BH484" s="411" t="s">
        <v>6080</v>
      </c>
      <c r="BI484" s="411"/>
      <c r="BJ484" s="399"/>
      <c r="BK484" s="399"/>
      <c r="BL484" s="399"/>
      <c r="BM484" s="399"/>
      <c r="BN484" s="399"/>
      <c r="BO484" s="399"/>
      <c r="BP484" s="399" t="s">
        <v>5059</v>
      </c>
      <c r="BQ484" s="399"/>
      <c r="BR484" s="399" t="s">
        <v>3825</v>
      </c>
      <c r="BS484" s="407"/>
      <c r="BT484" s="407"/>
      <c r="BU484" s="412"/>
      <c r="BV484" s="46" t="str">
        <f t="shared" si="8"/>
        <v/>
      </c>
      <c r="BW484" s="46">
        <f t="shared" si="9"/>
        <v>0</v>
      </c>
      <c r="BX484" s="46">
        <f t="shared" si="10"/>
        <v>0</v>
      </c>
      <c r="BY484" s="43" t="str">
        <f t="shared" si="11"/>
        <v>WHO-FP Observation (Reason for no contraceptive method at exit)</v>
      </c>
      <c r="BZ484" s="46">
        <f t="shared" si="12"/>
        <v>1</v>
      </c>
      <c r="CA484" s="46" t="str">
        <f t="shared" si="13"/>
        <v/>
      </c>
      <c r="CB484" s="46">
        <f t="shared" si="14"/>
        <v>1</v>
      </c>
      <c r="CC484" s="46">
        <f t="shared" si="15"/>
        <v>1</v>
      </c>
      <c r="CD484" s="46">
        <f t="shared" si="16"/>
        <v>1</v>
      </c>
      <c r="CE484" s="46">
        <f t="shared" si="17"/>
        <v>0</v>
      </c>
      <c r="CF484" s="46">
        <f t="shared" si="18"/>
        <v>0</v>
      </c>
      <c r="CG484" s="46" t="str">
        <f ca="1">IFERROR(__xludf.DUMMYFUNCTION("if(OR(BH484="""",LEFT(BH484,2)=""LA""),"""",IMPORTXML(CONCATENATE(""https://loinc.org/"",BH484,""/""),""//span[@id='lcn']""))"),"#N/A")</f>
        <v>#N/A</v>
      </c>
      <c r="CH484" s="46"/>
      <c r="CI484" s="46"/>
      <c r="CJ484" s="46"/>
      <c r="CK484" s="46"/>
      <c r="CL484" s="46"/>
      <c r="CM484" s="46"/>
      <c r="CN484" s="46"/>
      <c r="CO484" s="46"/>
      <c r="CP484" s="46"/>
      <c r="CQ484" s="46"/>
      <c r="CR484" s="46"/>
      <c r="CS484" s="46"/>
      <c r="CT484" s="46"/>
      <c r="CU484" s="46"/>
    </row>
    <row r="485" spans="1:99" ht="12.75" customHeight="1">
      <c r="A485" s="409">
        <v>1708</v>
      </c>
      <c r="B485" s="399" t="s">
        <v>3826</v>
      </c>
      <c r="C485" s="399">
        <f t="shared" si="77"/>
        <v>1708</v>
      </c>
      <c r="D485" s="399" t="e">
        <f t="shared" ca="1" si="89"/>
        <v>#NAME?</v>
      </c>
      <c r="E485" s="399" t="str">
        <f t="shared" si="90"/>
        <v>Seeking pregnancy   </v>
      </c>
      <c r="F485" s="399" t="str">
        <f t="shared" si="91"/>
        <v>Input Option</v>
      </c>
      <c r="G485" s="400">
        <f t="shared" si="80"/>
        <v>27</v>
      </c>
      <c r="H485" s="399" t="str">
        <f t="shared" si="95"/>
        <v>Reason for no method at exit</v>
      </c>
      <c r="I485" s="400"/>
      <c r="J485" s="400"/>
      <c r="K485" s="401" t="s">
        <v>5969</v>
      </c>
      <c r="L485" s="451" t="s">
        <v>3517</v>
      </c>
      <c r="M485" s="400"/>
      <c r="N485" s="464" t="s">
        <v>6052</v>
      </c>
      <c r="O485" s="428"/>
      <c r="P485" s="407" t="s">
        <v>3827</v>
      </c>
      <c r="Q485" s="404"/>
      <c r="R485" s="414"/>
      <c r="S485" s="404"/>
      <c r="T485" s="437"/>
      <c r="U485" s="437"/>
      <c r="V485" s="404" t="s">
        <v>3828</v>
      </c>
      <c r="W485" s="407"/>
      <c r="X485" s="403" t="s">
        <v>208</v>
      </c>
      <c r="Y485" s="404"/>
      <c r="Z485" s="437" t="s">
        <v>113</v>
      </c>
      <c r="AA485" s="404"/>
      <c r="AB485" s="406"/>
      <c r="AC485" s="404"/>
      <c r="AD485" s="404"/>
      <c r="AE485" s="406"/>
      <c r="AF485" s="404"/>
      <c r="AG485" s="404"/>
      <c r="AH485" s="399"/>
      <c r="AI485" s="400"/>
      <c r="AJ485" s="399"/>
      <c r="AK485" s="399"/>
      <c r="AL485" s="399"/>
      <c r="AM485" s="399"/>
      <c r="AN485" s="399"/>
      <c r="AO485" s="399"/>
      <c r="AP485" s="399"/>
      <c r="AQ485" s="409" t="s">
        <v>3130</v>
      </c>
      <c r="AR485" s="399"/>
      <c r="AS485" s="399"/>
      <c r="AT485" s="399"/>
      <c r="AU485" s="399" t="s">
        <v>6083</v>
      </c>
      <c r="AV485" s="399" t="str">
        <f t="shared" si="92"/>
        <v>Changed</v>
      </c>
      <c r="AW485" s="399"/>
      <c r="AX485" s="409" t="s">
        <v>3343</v>
      </c>
      <c r="AY485" s="399" t="e">
        <f t="shared" ca="1" si="93"/>
        <v>#NAME?</v>
      </c>
      <c r="AZ485" s="399"/>
      <c r="BA485" s="409">
        <v>1</v>
      </c>
      <c r="BB485" s="399"/>
      <c r="BC485" s="399"/>
      <c r="BD485" s="399" t="s">
        <v>3162</v>
      </c>
      <c r="BE485" s="411"/>
      <c r="BF485" s="411"/>
      <c r="BG485" s="411" t="s">
        <v>3829</v>
      </c>
      <c r="BH485" s="411" t="s">
        <v>3830</v>
      </c>
      <c r="BI485" s="411"/>
      <c r="BJ485" s="399"/>
      <c r="BK485" s="409" t="s">
        <v>6084</v>
      </c>
      <c r="BL485" s="399"/>
      <c r="BM485" s="399" t="s">
        <v>6085</v>
      </c>
      <c r="BN485" s="399"/>
      <c r="BO485" s="399"/>
      <c r="BP485" s="399"/>
      <c r="BQ485" s="399"/>
      <c r="BR485" s="399"/>
      <c r="BS485" s="407"/>
      <c r="BT485" s="407"/>
      <c r="BU485" s="412"/>
      <c r="BV485" s="46" t="str">
        <f t="shared" si="8"/>
        <v/>
      </c>
      <c r="BW485" s="46">
        <f t="shared" si="9"/>
        <v>0</v>
      </c>
      <c r="BX485" s="46">
        <f t="shared" si="10"/>
        <v>0</v>
      </c>
      <c r="BY485" s="43" t="str">
        <f t="shared" si="11"/>
        <v>WHO-FP Observation (Reason for no contraceptive method at exit)</v>
      </c>
      <c r="BZ485" s="46">
        <f t="shared" si="12"/>
        <v>1</v>
      </c>
      <c r="CA485" s="46" t="str">
        <f t="shared" si="13"/>
        <v/>
      </c>
      <c r="CB485" s="46">
        <f t="shared" si="14"/>
        <v>1</v>
      </c>
      <c r="CC485" s="46">
        <f t="shared" si="15"/>
        <v>1</v>
      </c>
      <c r="CD485" s="46">
        <f t="shared" si="16"/>
        <v>1</v>
      </c>
      <c r="CE485" s="46">
        <f t="shared" si="17"/>
        <v>0</v>
      </c>
      <c r="CF485" s="46">
        <f t="shared" si="18"/>
        <v>0</v>
      </c>
      <c r="CG485" s="46" t="str">
        <f ca="1">IFERROR(__xludf.DUMMYFUNCTION("if(OR(BH485="""",LEFT(BH485,2)=""LA""),"""",IMPORTXML(CONCATENATE(""https://loinc.org/"",BH485,""/""),""//span[@id='lcn']""))"),"")</f>
        <v/>
      </c>
      <c r="CH485" s="46"/>
      <c r="CI485" s="46"/>
      <c r="CJ485" s="46"/>
      <c r="CK485" s="46"/>
      <c r="CL485" s="46"/>
      <c r="CM485" s="46"/>
      <c r="CN485" s="46"/>
      <c r="CO485" s="46"/>
      <c r="CP485" s="46"/>
      <c r="CQ485" s="46"/>
      <c r="CR485" s="46"/>
      <c r="CS485" s="46"/>
      <c r="CT485" s="46"/>
      <c r="CU485" s="46"/>
    </row>
    <row r="486" spans="1:99" ht="12.75" customHeight="1">
      <c r="A486" s="399">
        <v>1709</v>
      </c>
      <c r="B486" s="399" t="s">
        <v>6087</v>
      </c>
      <c r="C486" s="399">
        <f t="shared" si="77"/>
        <v>1709</v>
      </c>
      <c r="D486" s="399" t="str">
        <f t="shared" si="89"/>
        <v>Observations</v>
      </c>
      <c r="E486" s="399" t="str">
        <f t="shared" si="90"/>
        <v>Observations</v>
      </c>
      <c r="F486" s="399" t="str">
        <f t="shared" si="91"/>
        <v>Data Element</v>
      </c>
      <c r="G486" s="400">
        <f t="shared" si="80"/>
        <v>12</v>
      </c>
      <c r="H486" s="400" t="str">
        <f t="shared" si="95"/>
        <v/>
      </c>
      <c r="I486" s="400"/>
      <c r="J486" s="400"/>
      <c r="K486" s="401" t="s">
        <v>5969</v>
      </c>
      <c r="L486" s="402" t="s">
        <v>4081</v>
      </c>
      <c r="M486" s="400"/>
      <c r="N486" s="464" t="s">
        <v>6052</v>
      </c>
      <c r="O486" s="428"/>
      <c r="P486" s="404"/>
      <c r="Q486" s="404" t="s">
        <v>6087</v>
      </c>
      <c r="R486" s="414"/>
      <c r="S486" s="636" t="s">
        <v>6089</v>
      </c>
      <c r="T486" s="437" t="s">
        <v>111</v>
      </c>
      <c r="U486" s="437"/>
      <c r="V486" s="404"/>
      <c r="W486" s="407"/>
      <c r="X486" s="403" t="s">
        <v>208</v>
      </c>
      <c r="Y486" s="404"/>
      <c r="Z486" s="437" t="s">
        <v>113</v>
      </c>
      <c r="AA486" s="404" t="s">
        <v>1889</v>
      </c>
      <c r="AB486" s="406"/>
      <c r="AC486" s="404"/>
      <c r="AD486" s="404"/>
      <c r="AE486" s="406"/>
      <c r="AF486" s="444" t="s">
        <v>6090</v>
      </c>
      <c r="AG486" s="426"/>
      <c r="AH486" s="399"/>
      <c r="AI486" s="400"/>
      <c r="AJ486" s="399"/>
      <c r="AK486" s="409" t="s">
        <v>6091</v>
      </c>
      <c r="AL486" s="409"/>
      <c r="AM486" s="409" t="s">
        <v>3100</v>
      </c>
      <c r="AN486" s="409" t="s">
        <v>3101</v>
      </c>
      <c r="AO486" s="399"/>
      <c r="AP486" s="399"/>
      <c r="AQ486" s="409" t="s">
        <v>115</v>
      </c>
      <c r="AR486" s="399"/>
      <c r="AS486" s="399"/>
      <c r="AT486" s="399"/>
      <c r="AU486" s="399" t="s">
        <v>6087</v>
      </c>
      <c r="AV486" s="399" t="str">
        <f t="shared" si="92"/>
        <v>Same</v>
      </c>
      <c r="AW486" s="399"/>
      <c r="AX486" s="409" t="s">
        <v>3343</v>
      </c>
      <c r="AY486" s="399" t="str">
        <f t="shared" si="93"/>
        <v/>
      </c>
      <c r="AZ486" s="399"/>
      <c r="BA486" s="409">
        <v>0</v>
      </c>
      <c r="BB486" s="399"/>
      <c r="BC486" s="399"/>
      <c r="BD486" s="399"/>
      <c r="BE486" s="411"/>
      <c r="BF486" s="411"/>
      <c r="BG486" s="411"/>
      <c r="BH486" s="411"/>
      <c r="BI486" s="411"/>
      <c r="BJ486" s="409" t="s">
        <v>3106</v>
      </c>
      <c r="BK486" s="399"/>
      <c r="BL486" s="399"/>
      <c r="BM486" s="399"/>
      <c r="BN486" s="399"/>
      <c r="BO486" s="399"/>
      <c r="BP486" s="399"/>
      <c r="BQ486" s="399"/>
      <c r="BR486" s="399"/>
      <c r="BS486" s="407"/>
      <c r="BT486" s="407"/>
      <c r="BU486" s="412"/>
      <c r="BV486" s="46" t="str">
        <f t="shared" si="8"/>
        <v/>
      </c>
      <c r="BW486" s="46" t="str">
        <f t="shared" si="9"/>
        <v/>
      </c>
      <c r="BX486" s="46" t="str">
        <f t="shared" si="10"/>
        <v/>
      </c>
      <c r="BY486" s="43">
        <f t="shared" si="11"/>
        <v>0</v>
      </c>
      <c r="BZ486" s="46">
        <f t="shared" si="12"/>
        <v>1</v>
      </c>
      <c r="CA486" s="46">
        <f t="shared" si="13"/>
        <v>0</v>
      </c>
      <c r="CB486" s="46">
        <f t="shared" si="14"/>
        <v>1</v>
      </c>
      <c r="CC486" s="46">
        <f t="shared" si="15"/>
        <v>1</v>
      </c>
      <c r="CD486" s="46">
        <f t="shared" si="16"/>
        <v>1</v>
      </c>
      <c r="CE486" s="46">
        <f t="shared" si="17"/>
        <v>0</v>
      </c>
      <c r="CF486" s="46">
        <f t="shared" si="18"/>
        <v>0</v>
      </c>
      <c r="CG486" s="46" t="str">
        <f ca="1">IFERROR(__xludf.DUMMYFUNCTION("if(OR(BH486="""",LEFT(BH486,2)=""LA""),"""",IMPORTXML(CONCATENATE(""https://loinc.org/"",BH486,""/""),""//span[@id='lcn']""))"),"")</f>
        <v/>
      </c>
      <c r="CH486" s="46"/>
      <c r="CI486" s="46"/>
      <c r="CJ486" s="46"/>
      <c r="CK486" s="46"/>
      <c r="CL486" s="46"/>
      <c r="CM486" s="46"/>
      <c r="CN486" s="46"/>
      <c r="CO486" s="46"/>
      <c r="CP486" s="46"/>
      <c r="CQ486" s="46"/>
      <c r="CR486" s="46"/>
      <c r="CS486" s="46"/>
      <c r="CT486" s="46"/>
      <c r="CU486" s="46"/>
    </row>
    <row r="487" spans="1:99" ht="12.75" customHeight="1">
      <c r="A487" s="399">
        <v>1711</v>
      </c>
      <c r="B487" s="399" t="s">
        <v>6094</v>
      </c>
      <c r="C487" s="399">
        <f t="shared" si="77"/>
        <v>1711</v>
      </c>
      <c r="D487" s="399" t="str">
        <f t="shared" si="89"/>
        <v>Return Visit Appointment</v>
      </c>
      <c r="E487" s="399" t="str">
        <f t="shared" si="90"/>
        <v>Return Visit Appointment</v>
      </c>
      <c r="F487" s="399" t="str">
        <f t="shared" si="91"/>
        <v>Data Element</v>
      </c>
      <c r="G487" s="400">
        <f t="shared" si="80"/>
        <v>24</v>
      </c>
      <c r="H487" s="400" t="str">
        <f t="shared" si="95"/>
        <v/>
      </c>
      <c r="I487" s="400"/>
      <c r="J487" s="400"/>
      <c r="K487" s="402" t="s">
        <v>6095</v>
      </c>
      <c r="L487" s="402" t="s">
        <v>6096</v>
      </c>
      <c r="M487" s="400"/>
      <c r="N487" s="414" t="s">
        <v>6097</v>
      </c>
      <c r="O487" s="41" t="s">
        <v>6098</v>
      </c>
      <c r="P487" s="424" t="s">
        <v>6099</v>
      </c>
      <c r="Q487" s="404" t="s">
        <v>6094</v>
      </c>
      <c r="R487" s="414"/>
      <c r="S487" s="404" t="s">
        <v>6100</v>
      </c>
      <c r="T487" s="444" t="s">
        <v>3158</v>
      </c>
      <c r="U487" s="437"/>
      <c r="V487" s="404"/>
      <c r="W487" s="407"/>
      <c r="X487" s="403" t="s">
        <v>208</v>
      </c>
      <c r="Y487" s="404"/>
      <c r="Z487" s="437" t="s">
        <v>113</v>
      </c>
      <c r="AA487" s="404" t="s">
        <v>1889</v>
      </c>
      <c r="AB487" s="406"/>
      <c r="AC487" s="404"/>
      <c r="AD487" s="404"/>
      <c r="AE487" s="406"/>
      <c r="AF487" s="404"/>
      <c r="AG487" s="404" t="s">
        <v>6102</v>
      </c>
      <c r="AH487" s="399"/>
      <c r="AI487" s="400"/>
      <c r="AJ487" s="399"/>
      <c r="AK487" s="409" t="s">
        <v>3161</v>
      </c>
      <c r="AL487" s="409"/>
      <c r="AM487" s="409" t="s">
        <v>3100</v>
      </c>
      <c r="AN487" s="409" t="s">
        <v>3101</v>
      </c>
      <c r="AO487" s="399"/>
      <c r="AP487" s="409" t="s">
        <v>6103</v>
      </c>
      <c r="AQ487" s="409" t="s">
        <v>3424</v>
      </c>
      <c r="AR487" s="399"/>
      <c r="AS487" s="399"/>
      <c r="AT487" s="399"/>
      <c r="AU487" s="399" t="s">
        <v>6094</v>
      </c>
      <c r="AV487" s="399" t="str">
        <f t="shared" si="92"/>
        <v>Same</v>
      </c>
      <c r="AW487" s="399"/>
      <c r="AX487" s="409" t="s">
        <v>3104</v>
      </c>
      <c r="AY487" s="399" t="str">
        <f t="shared" si="93"/>
        <v/>
      </c>
      <c r="AZ487" s="409" t="s">
        <v>3105</v>
      </c>
      <c r="BA487" s="409" t="s">
        <v>3125</v>
      </c>
      <c r="BB487" s="399"/>
      <c r="BC487" s="399"/>
      <c r="BD487" s="399"/>
      <c r="BE487" s="411"/>
      <c r="BF487" s="411"/>
      <c r="BG487" s="411" t="s">
        <v>6104</v>
      </c>
      <c r="BH487" s="411"/>
      <c r="BI487" s="411"/>
      <c r="BJ487" s="409" t="s">
        <v>3106</v>
      </c>
      <c r="BK487" s="399"/>
      <c r="BL487" s="399"/>
      <c r="BM487" s="399"/>
      <c r="BN487" s="399"/>
      <c r="BO487" s="399"/>
      <c r="BP487" s="399"/>
      <c r="BQ487" s="399"/>
      <c r="BR487" s="399"/>
      <c r="BS487" s="407"/>
      <c r="BT487" s="407"/>
      <c r="BU487" s="412"/>
      <c r="BV487" s="46" t="str">
        <f t="shared" si="8"/>
        <v>Appointment</v>
      </c>
      <c r="BW487" s="46" t="str">
        <f t="shared" si="9"/>
        <v/>
      </c>
      <c r="BX487" s="46" t="str">
        <f t="shared" si="10"/>
        <v>Appointment</v>
      </c>
      <c r="BY487" s="43" t="str">
        <f t="shared" si="11"/>
        <v>WHO-Core Appointment (Return Visit)</v>
      </c>
      <c r="BZ487" s="46">
        <f t="shared" si="12"/>
        <v>1</v>
      </c>
      <c r="CA487" s="46">
        <f t="shared" si="13"/>
        <v>0</v>
      </c>
      <c r="CB487" s="46">
        <f t="shared" si="14"/>
        <v>1</v>
      </c>
      <c r="CC487" s="46">
        <f t="shared" si="15"/>
        <v>1</v>
      </c>
      <c r="CD487" s="46">
        <f t="shared" si="16"/>
        <v>1</v>
      </c>
      <c r="CE487" s="46">
        <f t="shared" si="17"/>
        <v>0</v>
      </c>
      <c r="CF487" s="46">
        <f t="shared" si="18"/>
        <v>0</v>
      </c>
      <c r="CG487" s="46" t="str">
        <f ca="1">IFERROR(__xludf.DUMMYFUNCTION("if(OR(BH487="""",LEFT(BH487,2)=""LA""),"""",IMPORTXML(CONCATENATE(""https://loinc.org/"",BH487,""/""),""//span[@id='lcn']""))"),"")</f>
        <v/>
      </c>
      <c r="CH487" s="46"/>
      <c r="CI487" s="46"/>
      <c r="CJ487" s="46"/>
      <c r="CK487" s="46"/>
      <c r="CL487" s="46"/>
      <c r="CM487" s="46"/>
      <c r="CN487" s="46"/>
      <c r="CO487" s="46"/>
      <c r="CP487" s="46"/>
      <c r="CQ487" s="46"/>
      <c r="CR487" s="46"/>
      <c r="CS487" s="46"/>
      <c r="CT487" s="46"/>
      <c r="CU487" s="46"/>
    </row>
    <row r="488" spans="1:99" ht="12.75" customHeight="1">
      <c r="A488" s="399">
        <v>1712</v>
      </c>
      <c r="B488" s="399" t="s">
        <v>6106</v>
      </c>
      <c r="C488" s="399">
        <f t="shared" si="77"/>
        <v>1712</v>
      </c>
      <c r="D488" s="399" t="str">
        <f t="shared" si="89"/>
        <v>Follow up recommended</v>
      </c>
      <c r="E488" s="399" t="str">
        <f t="shared" si="90"/>
        <v>Follow up recommended</v>
      </c>
      <c r="F488" s="399" t="str">
        <f t="shared" si="91"/>
        <v>Data Element</v>
      </c>
      <c r="G488" s="400">
        <f t="shared" si="80"/>
        <v>21</v>
      </c>
      <c r="H488" s="400" t="str">
        <f t="shared" si="95"/>
        <v/>
      </c>
      <c r="I488" s="400"/>
      <c r="J488" s="400"/>
      <c r="K488" s="401" t="s">
        <v>5969</v>
      </c>
      <c r="L488" s="402" t="s">
        <v>6096</v>
      </c>
      <c r="M488" s="400"/>
      <c r="N488" s="414" t="s">
        <v>6097</v>
      </c>
      <c r="O488" s="428"/>
      <c r="P488" s="404" t="s">
        <v>6107</v>
      </c>
      <c r="Q488" s="404" t="s">
        <v>6106</v>
      </c>
      <c r="R488" s="414"/>
      <c r="S488" s="636" t="s">
        <v>6108</v>
      </c>
      <c r="T488" s="404" t="s">
        <v>3169</v>
      </c>
      <c r="U488" s="404"/>
      <c r="V488" s="437" t="s">
        <v>3170</v>
      </c>
      <c r="W488" s="407"/>
      <c r="X488" s="403" t="s">
        <v>208</v>
      </c>
      <c r="Y488" s="404"/>
      <c r="Z488" s="437" t="s">
        <v>113</v>
      </c>
      <c r="AA488" s="404" t="s">
        <v>3178</v>
      </c>
      <c r="AB488" s="629" t="s">
        <v>6109</v>
      </c>
      <c r="AC488" s="404"/>
      <c r="AD488" s="404"/>
      <c r="AE488" s="406"/>
      <c r="AF488" s="404"/>
      <c r="AG488" s="404"/>
      <c r="AH488" s="399"/>
      <c r="AI488" s="400"/>
      <c r="AJ488" s="399"/>
      <c r="AK488" s="409" t="s">
        <v>6111</v>
      </c>
      <c r="AL488" s="399"/>
      <c r="AM488" s="409" t="s">
        <v>3100</v>
      </c>
      <c r="AN488" s="409" t="s">
        <v>3101</v>
      </c>
      <c r="AO488" s="399"/>
      <c r="AP488" s="409" t="s">
        <v>6112</v>
      </c>
      <c r="AQ488" s="409" t="s">
        <v>3424</v>
      </c>
      <c r="AR488" s="399"/>
      <c r="AS488" s="399"/>
      <c r="AT488" s="399"/>
      <c r="AU488" s="399" t="s">
        <v>6106</v>
      </c>
      <c r="AV488" s="399" t="str">
        <f t="shared" si="92"/>
        <v>Same</v>
      </c>
      <c r="AW488" s="399"/>
      <c r="AX488" s="409" t="s">
        <v>3104</v>
      </c>
      <c r="AY488" s="399" t="str">
        <f t="shared" si="93"/>
        <v/>
      </c>
      <c r="AZ488" s="399"/>
      <c r="BA488" s="409">
        <v>1</v>
      </c>
      <c r="BB488" s="415" t="s">
        <v>6113</v>
      </c>
      <c r="BC488" s="409" t="s">
        <v>6115</v>
      </c>
      <c r="BD488" s="399"/>
      <c r="BE488" s="411"/>
      <c r="BF488" s="411"/>
      <c r="BG488" s="411"/>
      <c r="BH488" s="411"/>
      <c r="BI488" s="411"/>
      <c r="BJ488" s="409" t="s">
        <v>3106</v>
      </c>
      <c r="BK488" s="399"/>
      <c r="BL488" s="399"/>
      <c r="BM488" s="399"/>
      <c r="BN488" s="399"/>
      <c r="BO488" s="399"/>
      <c r="BP488" s="399"/>
      <c r="BQ488" s="399"/>
      <c r="BR488" s="399"/>
      <c r="BS488" s="407"/>
      <c r="BT488" s="407"/>
      <c r="BU488" s="412"/>
      <c r="BV488" s="46" t="str">
        <f t="shared" si="8"/>
        <v>CarePlan</v>
      </c>
      <c r="BW488" s="46" t="str">
        <f t="shared" si="9"/>
        <v/>
      </c>
      <c r="BX488" s="46" t="str">
        <f t="shared" si="10"/>
        <v>CarePlan</v>
      </c>
      <c r="BY488" s="43" t="str">
        <f t="shared" si="11"/>
        <v>WHO-Core CarePlan (Follow-up)</v>
      </c>
      <c r="BZ488" s="46">
        <f t="shared" si="12"/>
        <v>1</v>
      </c>
      <c r="CA488" s="46">
        <f t="shared" si="13"/>
        <v>0</v>
      </c>
      <c r="CB488" s="46">
        <f t="shared" si="14"/>
        <v>1</v>
      </c>
      <c r="CC488" s="46">
        <f t="shared" si="15"/>
        <v>1</v>
      </c>
      <c r="CD488" s="46">
        <f t="shared" si="16"/>
        <v>1</v>
      </c>
      <c r="CE488" s="46">
        <f t="shared" si="17"/>
        <v>0</v>
      </c>
      <c r="CF488" s="46">
        <f t="shared" si="18"/>
        <v>0</v>
      </c>
      <c r="CG488" s="46" t="str">
        <f ca="1">IFERROR(__xludf.DUMMYFUNCTION("if(OR(BH488="""",LEFT(BH488,2)=""LA""),"""",IMPORTXML(CONCATENATE(""https://loinc.org/"",BH488,""/""),""//span[@id='lcn']""))"),"")</f>
        <v/>
      </c>
      <c r="CH488" s="46"/>
      <c r="CI488" s="46"/>
      <c r="CJ488" s="46"/>
      <c r="CK488" s="46"/>
      <c r="CL488" s="46"/>
      <c r="CM488" s="46"/>
      <c r="CN488" s="46"/>
      <c r="CO488" s="46"/>
      <c r="CP488" s="46"/>
      <c r="CQ488" s="46"/>
      <c r="CR488" s="46"/>
      <c r="CS488" s="46"/>
      <c r="CT488" s="46"/>
      <c r="CU488" s="46"/>
    </row>
    <row r="489" spans="1:99" ht="12.75" customHeight="1">
      <c r="A489" s="399">
        <v>1713</v>
      </c>
      <c r="B489" s="399" t="s">
        <v>6117</v>
      </c>
      <c r="C489" s="399">
        <f t="shared" si="77"/>
        <v>1713</v>
      </c>
      <c r="D489" s="399" t="str">
        <f t="shared" si="89"/>
        <v>Follow up contact recommended date</v>
      </c>
      <c r="E489" s="399" t="str">
        <f t="shared" si="90"/>
        <v>Follow up contact recommended date</v>
      </c>
      <c r="F489" s="399" t="str">
        <f t="shared" si="91"/>
        <v>Data Element</v>
      </c>
      <c r="G489" s="400">
        <f t="shared" si="80"/>
        <v>34</v>
      </c>
      <c r="H489" s="400" t="str">
        <f t="shared" si="95"/>
        <v/>
      </c>
      <c r="I489" s="400"/>
      <c r="J489" s="400"/>
      <c r="K489" s="402" t="s">
        <v>6095</v>
      </c>
      <c r="L489" s="402" t="s">
        <v>6096</v>
      </c>
      <c r="M489" s="400"/>
      <c r="N489" s="414" t="s">
        <v>6097</v>
      </c>
      <c r="O489" s="441" t="s">
        <v>6118</v>
      </c>
      <c r="P489" s="404" t="s">
        <v>6119</v>
      </c>
      <c r="Q489" s="420" t="s">
        <v>6117</v>
      </c>
      <c r="R489" s="414"/>
      <c r="S489" s="636" t="s">
        <v>6120</v>
      </c>
      <c r="T489" s="444" t="s">
        <v>3158</v>
      </c>
      <c r="U489" s="437"/>
      <c r="V489" s="404"/>
      <c r="W489" s="407"/>
      <c r="X489" s="403" t="s">
        <v>208</v>
      </c>
      <c r="Y489" s="404"/>
      <c r="Z489" s="437" t="s">
        <v>113</v>
      </c>
      <c r="AA489" s="404" t="s">
        <v>3178</v>
      </c>
      <c r="AB489" s="406"/>
      <c r="AC489" s="404"/>
      <c r="AD489" s="404"/>
      <c r="AE489" s="406"/>
      <c r="AF489" s="404"/>
      <c r="AG489" s="404"/>
      <c r="AH489" s="399"/>
      <c r="AI489" s="400"/>
      <c r="AJ489" s="399"/>
      <c r="AK489" s="409" t="s">
        <v>6122</v>
      </c>
      <c r="AL489" s="409" t="s">
        <v>6123</v>
      </c>
      <c r="AM489" s="409" t="s">
        <v>3100</v>
      </c>
      <c r="AN489" s="409" t="s">
        <v>3101</v>
      </c>
      <c r="AO489" s="399"/>
      <c r="AP489" s="409" t="s">
        <v>6112</v>
      </c>
      <c r="AQ489" s="409" t="s">
        <v>3424</v>
      </c>
      <c r="AR489" s="399"/>
      <c r="AS489" s="399"/>
      <c r="AT489" s="399"/>
      <c r="AU489" s="399" t="s">
        <v>6117</v>
      </c>
      <c r="AV489" s="399" t="str">
        <f t="shared" si="92"/>
        <v>Same</v>
      </c>
      <c r="AW489" s="399"/>
      <c r="AX489" s="409" t="s">
        <v>3104</v>
      </c>
      <c r="AY489" s="399" t="str">
        <f t="shared" si="93"/>
        <v/>
      </c>
      <c r="AZ489" s="399"/>
      <c r="BA489" s="409">
        <v>1</v>
      </c>
      <c r="BB489" s="399"/>
      <c r="BC489" s="399"/>
      <c r="BD489" s="399"/>
      <c r="BE489" s="411"/>
      <c r="BF489" s="411"/>
      <c r="BG489" s="411"/>
      <c r="BH489" s="411"/>
      <c r="BI489" s="411"/>
      <c r="BJ489" s="409" t="s">
        <v>3106</v>
      </c>
      <c r="BK489" s="399"/>
      <c r="BL489" s="399"/>
      <c r="BM489" s="399"/>
      <c r="BN489" s="399"/>
      <c r="BO489" s="399"/>
      <c r="BP489" s="399"/>
      <c r="BQ489" s="399"/>
      <c r="BR489" s="399"/>
      <c r="BS489" s="407"/>
      <c r="BT489" s="407"/>
      <c r="BU489" s="412"/>
      <c r="BV489" s="46" t="str">
        <f t="shared" si="8"/>
        <v>CarePlan</v>
      </c>
      <c r="BW489" s="46" t="str">
        <f t="shared" si="9"/>
        <v/>
      </c>
      <c r="BX489" s="46" t="str">
        <f t="shared" si="10"/>
        <v>CarePlan</v>
      </c>
      <c r="BY489" s="43" t="str">
        <f t="shared" si="11"/>
        <v>WHO-Core CarePlan (Follow-up)</v>
      </c>
      <c r="BZ489" s="46">
        <f t="shared" si="12"/>
        <v>1</v>
      </c>
      <c r="CA489" s="46">
        <f t="shared" si="13"/>
        <v>0</v>
      </c>
      <c r="CB489" s="46">
        <f t="shared" si="14"/>
        <v>1</v>
      </c>
      <c r="CC489" s="46">
        <f t="shared" si="15"/>
        <v>1</v>
      </c>
      <c r="CD489" s="46">
        <f t="shared" si="16"/>
        <v>1</v>
      </c>
      <c r="CE489" s="46">
        <f t="shared" si="17"/>
        <v>0</v>
      </c>
      <c r="CF489" s="46">
        <f t="shared" si="18"/>
        <v>0</v>
      </c>
      <c r="CG489" s="46" t="str">
        <f ca="1">IFERROR(__xludf.DUMMYFUNCTION("if(OR(BH489="""",LEFT(BH489,2)=""LA""),"""",IMPORTXML(CONCATENATE(""https://loinc.org/"",BH489,""/""),""//span[@id='lcn']""))"),"")</f>
        <v/>
      </c>
      <c r="CH489" s="46"/>
      <c r="CI489" s="46"/>
      <c r="CJ489" s="46"/>
      <c r="CK489" s="46"/>
      <c r="CL489" s="46"/>
      <c r="CM489" s="46"/>
      <c r="CN489" s="46"/>
      <c r="CO489" s="46"/>
      <c r="CP489" s="46"/>
      <c r="CQ489" s="46"/>
      <c r="CR489" s="46"/>
      <c r="CS489" s="46"/>
      <c r="CT489" s="46"/>
      <c r="CU489" s="46"/>
    </row>
    <row r="490" spans="1:99" ht="12.75" customHeight="1">
      <c r="A490" s="409">
        <v>1714</v>
      </c>
      <c r="B490" s="399" t="s">
        <v>6125</v>
      </c>
      <c r="C490" s="399">
        <f t="shared" si="77"/>
        <v>1714</v>
      </c>
      <c r="D490" s="399" t="str">
        <f t="shared" si="89"/>
        <v>Backup method provided</v>
      </c>
      <c r="E490" s="399" t="str">
        <f t="shared" si="90"/>
        <v>Backup method provided</v>
      </c>
      <c r="F490" s="409" t="s">
        <v>3164</v>
      </c>
      <c r="G490" s="400">
        <f t="shared" si="80"/>
        <v>22</v>
      </c>
      <c r="H490" s="400" t="str">
        <f t="shared" si="95"/>
        <v/>
      </c>
      <c r="I490" s="400"/>
      <c r="J490" s="400"/>
      <c r="K490" s="401" t="s">
        <v>5969</v>
      </c>
      <c r="L490" s="451" t="s">
        <v>3517</v>
      </c>
      <c r="M490" s="400"/>
      <c r="N490" s="414" t="s">
        <v>6127</v>
      </c>
      <c r="O490" s="428"/>
      <c r="P490" s="404" t="s">
        <v>6128</v>
      </c>
      <c r="Q490" s="404" t="s">
        <v>6125</v>
      </c>
      <c r="R490" s="414"/>
      <c r="S490" s="437" t="s">
        <v>6129</v>
      </c>
      <c r="T490" s="404" t="s">
        <v>3169</v>
      </c>
      <c r="U490" s="404"/>
      <c r="V490" s="404" t="s">
        <v>3170</v>
      </c>
      <c r="W490" s="407"/>
      <c r="X490" s="403" t="s">
        <v>208</v>
      </c>
      <c r="Y490" s="404"/>
      <c r="Z490" s="437" t="s">
        <v>113</v>
      </c>
      <c r="AA490" s="437" t="s">
        <v>3178</v>
      </c>
      <c r="AB490" s="444" t="s">
        <v>6130</v>
      </c>
      <c r="AC490" s="426"/>
      <c r="AD490" s="426"/>
      <c r="AE490" s="420"/>
      <c r="AF490" s="404"/>
      <c r="AG490" s="404"/>
      <c r="AH490" s="399"/>
      <c r="AI490" s="400"/>
      <c r="AJ490" s="399"/>
      <c r="AK490" s="399"/>
      <c r="AL490" s="399"/>
      <c r="AM490" s="409" t="s">
        <v>3314</v>
      </c>
      <c r="AN490" s="409" t="s">
        <v>3101</v>
      </c>
      <c r="AO490" s="399"/>
      <c r="AP490" s="399"/>
      <c r="AQ490" s="409" t="s">
        <v>115</v>
      </c>
      <c r="AR490" s="399"/>
      <c r="AS490" s="399"/>
      <c r="AT490" s="399"/>
      <c r="AU490" s="399" t="s">
        <v>6131</v>
      </c>
      <c r="AV490" s="399" t="str">
        <f t="shared" si="92"/>
        <v>Changed</v>
      </c>
      <c r="AW490" s="399"/>
      <c r="AX490" s="409" t="s">
        <v>3343</v>
      </c>
      <c r="AY490" s="399" t="str">
        <f t="shared" si="93"/>
        <v/>
      </c>
      <c r="AZ490" s="399"/>
      <c r="BA490" s="409">
        <v>1</v>
      </c>
      <c r="BB490" s="399"/>
      <c r="BC490" s="399"/>
      <c r="BD490" s="399"/>
      <c r="BE490" s="411"/>
      <c r="BF490" s="411"/>
      <c r="BG490" s="411"/>
      <c r="BH490" s="411"/>
      <c r="BI490" s="411"/>
      <c r="BJ490" s="399"/>
      <c r="BK490" s="399"/>
      <c r="BL490" s="399"/>
      <c r="BM490" s="399" t="s">
        <v>6028</v>
      </c>
      <c r="BN490" s="399"/>
      <c r="BO490" s="399"/>
      <c r="BP490" s="399"/>
      <c r="BQ490" s="399"/>
      <c r="BR490" s="399"/>
      <c r="BS490" s="407"/>
      <c r="BT490" s="407"/>
      <c r="BU490" s="412"/>
      <c r="BV490" s="46" t="str">
        <f t="shared" si="8"/>
        <v/>
      </c>
      <c r="BW490" s="46" t="str">
        <f t="shared" si="9"/>
        <v/>
      </c>
      <c r="BX490" s="46" t="str">
        <f t="shared" si="10"/>
        <v/>
      </c>
      <c r="BY490" s="43" t="str">
        <f t="shared" si="11"/>
        <v/>
      </c>
      <c r="BZ490" s="46">
        <f t="shared" si="12"/>
        <v>1</v>
      </c>
      <c r="CA490" s="46" t="str">
        <f t="shared" si="13"/>
        <v/>
      </c>
      <c r="CB490" s="46">
        <f t="shared" si="14"/>
        <v>0</v>
      </c>
      <c r="CC490" s="46">
        <f t="shared" si="15"/>
        <v>0</v>
      </c>
      <c r="CD490" s="46">
        <f t="shared" si="16"/>
        <v>0</v>
      </c>
      <c r="CE490" s="46">
        <f t="shared" si="17"/>
        <v>0</v>
      </c>
      <c r="CF490" s="46">
        <f t="shared" si="18"/>
        <v>1</v>
      </c>
      <c r="CG490" s="46" t="str">
        <f ca="1">IFERROR(__xludf.DUMMYFUNCTION("if(OR(BH490="""",LEFT(BH490,2)=""LA""),"""",IMPORTXML(CONCATENATE(""https://loinc.org/"",BH490,""/""),""//span[@id='lcn']""))"),"")</f>
        <v/>
      </c>
      <c r="CH490" s="46"/>
      <c r="CI490" s="46"/>
      <c r="CJ490" s="46"/>
      <c r="CK490" s="46"/>
      <c r="CL490" s="46"/>
      <c r="CM490" s="46"/>
      <c r="CN490" s="46"/>
      <c r="CO490" s="46"/>
      <c r="CP490" s="46"/>
      <c r="CQ490" s="46"/>
      <c r="CR490" s="46"/>
      <c r="CS490" s="46"/>
      <c r="CT490" s="46"/>
      <c r="CU490" s="46"/>
    </row>
    <row r="491" spans="1:99" ht="12.75" customHeight="1">
      <c r="A491" s="409">
        <v>1715</v>
      </c>
      <c r="B491" s="409" t="s">
        <v>6132</v>
      </c>
      <c r="C491" s="399">
        <f t="shared" si="77"/>
        <v>1715</v>
      </c>
      <c r="D491" s="399" t="str">
        <f t="shared" si="89"/>
        <v>Type of backup method provided</v>
      </c>
      <c r="E491" s="399" t="str">
        <f t="shared" si="90"/>
        <v>Type of backup method provided</v>
      </c>
      <c r="F491" s="399" t="str">
        <f t="shared" ref="F491:F495" si="96">IF(AND(ISBLANK(V491)=FALSE,OR(T491="MC",T491="")),"Input Option","Data Element")</f>
        <v>Data Element</v>
      </c>
      <c r="G491" s="400">
        <f t="shared" si="80"/>
        <v>36</v>
      </c>
      <c r="H491" s="400" t="str">
        <f t="shared" si="95"/>
        <v/>
      </c>
      <c r="I491" s="400"/>
      <c r="J491" s="400"/>
      <c r="K491" s="401" t="s">
        <v>5969</v>
      </c>
      <c r="L491" s="451" t="s">
        <v>3517</v>
      </c>
      <c r="M491" s="400"/>
      <c r="N491" s="414" t="s">
        <v>6127</v>
      </c>
      <c r="O491" s="428"/>
      <c r="P491" s="437" t="s">
        <v>6133</v>
      </c>
      <c r="Q491" s="420" t="s">
        <v>6134</v>
      </c>
      <c r="R491" s="414"/>
      <c r="S491" s="404" t="s">
        <v>6134</v>
      </c>
      <c r="T491" s="437" t="s">
        <v>3121</v>
      </c>
      <c r="U491" s="420" t="s">
        <v>3326</v>
      </c>
      <c r="V491" s="404"/>
      <c r="W491" s="407"/>
      <c r="X491" s="403" t="s">
        <v>208</v>
      </c>
      <c r="Y491" s="404"/>
      <c r="Z491" s="437" t="s">
        <v>113</v>
      </c>
      <c r="AA491" s="437" t="s">
        <v>3178</v>
      </c>
      <c r="AB491" s="444" t="s">
        <v>6135</v>
      </c>
      <c r="AC491" s="426"/>
      <c r="AD491" s="426"/>
      <c r="AE491" s="406"/>
      <c r="AF491" s="404"/>
      <c r="AG491" s="404"/>
      <c r="AH491" s="399"/>
      <c r="AI491" s="400"/>
      <c r="AJ491" s="399"/>
      <c r="AK491" s="403" t="s">
        <v>3741</v>
      </c>
      <c r="AL491" s="403"/>
      <c r="AM491" s="453" t="s">
        <v>3100</v>
      </c>
      <c r="AN491" s="453" t="s">
        <v>3101</v>
      </c>
      <c r="AO491" s="399"/>
      <c r="AP491" s="409" t="s">
        <v>6136</v>
      </c>
      <c r="AQ491" s="409" t="s">
        <v>3424</v>
      </c>
      <c r="AR491" s="409" t="s">
        <v>6137</v>
      </c>
      <c r="AS491" s="409"/>
      <c r="AT491" s="399"/>
      <c r="AU491" s="399" t="s">
        <v>6138</v>
      </c>
      <c r="AV491" s="399" t="str">
        <f t="shared" si="92"/>
        <v>Changed</v>
      </c>
      <c r="AW491" s="399"/>
      <c r="AX491" s="409" t="s">
        <v>3343</v>
      </c>
      <c r="AY491" s="399" t="str">
        <f t="shared" si="93"/>
        <v>"Type of backup method provided"-&gt;"Contraception backup method provided"</v>
      </c>
      <c r="AZ491" s="399"/>
      <c r="BA491" s="409">
        <v>1</v>
      </c>
      <c r="BB491" s="399"/>
      <c r="BC491" s="399"/>
      <c r="BD491" s="399"/>
      <c r="BE491" s="411"/>
      <c r="BF491" s="411"/>
      <c r="BG491" s="411"/>
      <c r="BH491" s="411"/>
      <c r="BI491" s="411"/>
      <c r="BJ491" s="399"/>
      <c r="BK491" s="399"/>
      <c r="BL491" s="399"/>
      <c r="BM491" s="399" t="s">
        <v>6028</v>
      </c>
      <c r="BN491" s="399"/>
      <c r="BO491" s="399"/>
      <c r="BP491" s="399"/>
      <c r="BQ491" s="399"/>
      <c r="BR491" s="399"/>
      <c r="BS491" s="407"/>
      <c r="BT491" s="407"/>
      <c r="BU491" s="412"/>
      <c r="BV491" s="46" t="str">
        <f t="shared" si="8"/>
        <v>CarePlan</v>
      </c>
      <c r="BW491" s="46" t="str">
        <f t="shared" si="9"/>
        <v/>
      </c>
      <c r="BX491" s="46" t="str">
        <f t="shared" si="10"/>
        <v>CarePlan</v>
      </c>
      <c r="BY491" s="43" t="str">
        <f t="shared" si="11"/>
        <v>WHO-FP CarePlan (Backup Contraceptive Method)</v>
      </c>
      <c r="BZ491" s="46">
        <f t="shared" si="12"/>
        <v>1</v>
      </c>
      <c r="CA491" s="46">
        <f t="shared" si="13"/>
        <v>1</v>
      </c>
      <c r="CB491" s="46">
        <f t="shared" si="14"/>
        <v>0</v>
      </c>
      <c r="CC491" s="46">
        <f t="shared" si="15"/>
        <v>1</v>
      </c>
      <c r="CD491" s="46">
        <f t="shared" si="16"/>
        <v>0</v>
      </c>
      <c r="CE491" s="46">
        <f t="shared" si="17"/>
        <v>1</v>
      </c>
      <c r="CF491" s="46">
        <f t="shared" si="18"/>
        <v>0</v>
      </c>
      <c r="CG491" s="46" t="str">
        <f ca="1">IFERROR(__xludf.DUMMYFUNCTION("if(OR(BH491="""",LEFT(BH491,2)=""LA""),"""",IMPORTXML(CONCATENATE(""https://loinc.org/"",BH491,""/""),""//span[@id='lcn']""))"),"")</f>
        <v/>
      </c>
      <c r="CH491" s="46"/>
      <c r="CI491" s="46"/>
      <c r="CJ491" s="46"/>
      <c r="CK491" s="46"/>
      <c r="CL491" s="46"/>
      <c r="CM491" s="46"/>
      <c r="CN491" s="46"/>
      <c r="CO491" s="46"/>
      <c r="CP491" s="46"/>
      <c r="CQ491" s="46"/>
      <c r="CR491" s="46"/>
      <c r="CS491" s="46"/>
      <c r="CT491" s="46"/>
      <c r="CU491" s="46"/>
    </row>
    <row r="492" spans="1:99" ht="12.75" customHeight="1">
      <c r="A492" s="399">
        <v>1716</v>
      </c>
      <c r="B492" s="399" t="s">
        <v>3623</v>
      </c>
      <c r="C492" s="399">
        <f t="shared" si="77"/>
        <v>1716</v>
      </c>
      <c r="D492" s="399" t="e">
        <f t="shared" ca="1" si="89"/>
        <v>#NAME?</v>
      </c>
      <c r="E492" s="399" t="str">
        <f t="shared" si="90"/>
        <v>Male condom</v>
      </c>
      <c r="F492" s="399" t="str">
        <f t="shared" si="96"/>
        <v>Input Option</v>
      </c>
      <c r="G492" s="400">
        <f t="shared" si="80"/>
        <v>18</v>
      </c>
      <c r="H492" s="399" t="str">
        <f t="shared" si="95"/>
        <v>Contraception backup method provided</v>
      </c>
      <c r="I492" s="400"/>
      <c r="J492" s="400"/>
      <c r="K492" s="401" t="s">
        <v>5969</v>
      </c>
      <c r="L492" s="451" t="s">
        <v>3517</v>
      </c>
      <c r="M492" s="400"/>
      <c r="N492" s="414" t="s">
        <v>6127</v>
      </c>
      <c r="O492" s="428"/>
      <c r="P492" s="407" t="s">
        <v>6139</v>
      </c>
      <c r="Q492" s="404"/>
      <c r="R492" s="404"/>
      <c r="S492" s="404"/>
      <c r="T492" s="404"/>
      <c r="U492" s="404"/>
      <c r="V492" s="404" t="s">
        <v>3626</v>
      </c>
      <c r="W492" s="404"/>
      <c r="X492" s="403" t="s">
        <v>208</v>
      </c>
      <c r="Y492" s="407"/>
      <c r="Z492" s="437" t="s">
        <v>113</v>
      </c>
      <c r="AA492" s="407"/>
      <c r="AB492" s="406"/>
      <c r="AC492" s="404"/>
      <c r="AD492" s="404"/>
      <c r="AE492" s="406"/>
      <c r="AF492" s="404"/>
      <c r="AG492" s="404"/>
      <c r="AH492" s="399"/>
      <c r="AI492" s="400"/>
      <c r="AJ492" s="399"/>
      <c r="AK492" s="399"/>
      <c r="AL492" s="399"/>
      <c r="AM492" s="399"/>
      <c r="AN492" s="399"/>
      <c r="AO492" s="399"/>
      <c r="AP492" s="409"/>
      <c r="AQ492" s="409" t="s">
        <v>3130</v>
      </c>
      <c r="AR492" s="409" t="s">
        <v>6137</v>
      </c>
      <c r="AS492" s="409"/>
      <c r="AT492" s="399"/>
      <c r="AU492" s="399" t="s">
        <v>3623</v>
      </c>
      <c r="AV492" s="399" t="str">
        <f t="shared" si="92"/>
        <v>Same</v>
      </c>
      <c r="AW492" s="399"/>
      <c r="AX492" s="409" t="s">
        <v>3343</v>
      </c>
      <c r="AY492" s="399" t="e">
        <f t="shared" ca="1" si="93"/>
        <v>#NAME?</v>
      </c>
      <c r="AZ492" s="399"/>
      <c r="BA492" s="409">
        <v>1</v>
      </c>
      <c r="BB492" s="399"/>
      <c r="BC492" s="399"/>
      <c r="BD492" s="399" t="s">
        <v>3162</v>
      </c>
      <c r="BE492" s="411"/>
      <c r="BF492" s="411"/>
      <c r="BG492" s="434" t="s">
        <v>6140</v>
      </c>
      <c r="BH492" s="411" t="s">
        <v>6141</v>
      </c>
      <c r="BI492" s="411"/>
      <c r="BJ492" s="399"/>
      <c r="BK492" s="399"/>
      <c r="BL492" s="399"/>
      <c r="BM492" s="399"/>
      <c r="BN492" s="399"/>
      <c r="BO492" s="399">
        <v>164813</v>
      </c>
      <c r="BP492" s="399"/>
      <c r="BQ492" s="399"/>
      <c r="BR492" s="399" t="s">
        <v>6142</v>
      </c>
      <c r="BS492" s="407"/>
      <c r="BT492" s="407"/>
      <c r="BU492" s="412"/>
      <c r="BV492" s="46" t="str">
        <f t="shared" si="8"/>
        <v/>
      </c>
      <c r="BW492" s="46">
        <f t="shared" si="9"/>
        <v>0</v>
      </c>
      <c r="BX492" s="46">
        <f t="shared" si="10"/>
        <v>0</v>
      </c>
      <c r="BY492" s="43" t="str">
        <f t="shared" si="11"/>
        <v>WHO-FP CarePlan (Backup Contraceptive Method)</v>
      </c>
      <c r="BZ492" s="46">
        <f t="shared" si="12"/>
        <v>1</v>
      </c>
      <c r="CA492" s="46" t="str">
        <f t="shared" si="13"/>
        <v/>
      </c>
      <c r="CB492" s="46">
        <f t="shared" si="14"/>
        <v>1</v>
      </c>
      <c r="CC492" s="46">
        <f t="shared" si="15"/>
        <v>1</v>
      </c>
      <c r="CD492" s="46">
        <f t="shared" si="16"/>
        <v>1</v>
      </c>
      <c r="CE492" s="46">
        <f t="shared" si="17"/>
        <v>0</v>
      </c>
      <c r="CF492" s="46">
        <f t="shared" si="18"/>
        <v>0</v>
      </c>
      <c r="CG492" s="46" t="str">
        <f ca="1">IFERROR(__xludf.DUMMYFUNCTION("if(OR(BH492="""",LEFT(BH492,2)=""LA""),"""",IMPORTXML(CONCATENATE(""https://loinc.org/"",BH492,""/""),""//span[@id='lcn']""))"),"")</f>
        <v/>
      </c>
      <c r="CH492" s="46"/>
      <c r="CI492" s="46"/>
      <c r="CJ492" s="46"/>
      <c r="CK492" s="46"/>
      <c r="CL492" s="46"/>
      <c r="CM492" s="46"/>
      <c r="CN492" s="46"/>
      <c r="CO492" s="46"/>
      <c r="CP492" s="46"/>
      <c r="CQ492" s="46"/>
      <c r="CR492" s="46"/>
      <c r="CS492" s="46"/>
      <c r="CT492" s="46"/>
      <c r="CU492" s="46"/>
    </row>
    <row r="493" spans="1:99" ht="12.75" customHeight="1">
      <c r="A493" s="399">
        <v>1717</v>
      </c>
      <c r="B493" s="399" t="s">
        <v>3629</v>
      </c>
      <c r="C493" s="399">
        <f t="shared" si="77"/>
        <v>1717</v>
      </c>
      <c r="D493" s="399" t="e">
        <f t="shared" ca="1" si="89"/>
        <v>#NAME?</v>
      </c>
      <c r="E493" s="399" t="str">
        <f t="shared" si="90"/>
        <v>Female condom</v>
      </c>
      <c r="F493" s="399" t="str">
        <f t="shared" si="96"/>
        <v>Input Option</v>
      </c>
      <c r="G493" s="400">
        <f t="shared" si="80"/>
        <v>20</v>
      </c>
      <c r="H493" s="399" t="str">
        <f t="shared" si="95"/>
        <v>Contraception backup method provided</v>
      </c>
      <c r="I493" s="400"/>
      <c r="J493" s="400"/>
      <c r="K493" s="401" t="s">
        <v>5969</v>
      </c>
      <c r="L493" s="451" t="s">
        <v>3517</v>
      </c>
      <c r="M493" s="400"/>
      <c r="N493" s="414" t="s">
        <v>6127</v>
      </c>
      <c r="O493" s="428"/>
      <c r="P493" s="407" t="s">
        <v>6144</v>
      </c>
      <c r="Q493" s="404"/>
      <c r="R493" s="404"/>
      <c r="S493" s="404"/>
      <c r="T493" s="404"/>
      <c r="U493" s="404"/>
      <c r="V493" s="404" t="s">
        <v>3632</v>
      </c>
      <c r="W493" s="404"/>
      <c r="X493" s="403" t="s">
        <v>208</v>
      </c>
      <c r="Y493" s="407"/>
      <c r="Z493" s="437" t="s">
        <v>113</v>
      </c>
      <c r="AA493" s="407"/>
      <c r="AB493" s="406"/>
      <c r="AC493" s="404"/>
      <c r="AD493" s="404"/>
      <c r="AE493" s="406"/>
      <c r="AF493" s="404"/>
      <c r="AG493" s="404"/>
      <c r="AH493" s="399"/>
      <c r="AI493" s="400"/>
      <c r="AJ493" s="399"/>
      <c r="AK493" s="399"/>
      <c r="AL493" s="399"/>
      <c r="AM493" s="399"/>
      <c r="AN493" s="399"/>
      <c r="AO493" s="399"/>
      <c r="AP493" s="409"/>
      <c r="AQ493" s="409" t="s">
        <v>3130</v>
      </c>
      <c r="AR493" s="409" t="s">
        <v>6137</v>
      </c>
      <c r="AS493" s="409"/>
      <c r="AT493" s="399"/>
      <c r="AU493" s="399" t="s">
        <v>3629</v>
      </c>
      <c r="AV493" s="399" t="str">
        <f t="shared" si="92"/>
        <v>Same</v>
      </c>
      <c r="AW493" s="399"/>
      <c r="AX493" s="409" t="s">
        <v>3343</v>
      </c>
      <c r="AY493" s="399" t="e">
        <f t="shared" ca="1" si="93"/>
        <v>#NAME?</v>
      </c>
      <c r="AZ493" s="399"/>
      <c r="BA493" s="409">
        <v>1</v>
      </c>
      <c r="BB493" s="399"/>
      <c r="BC493" s="399"/>
      <c r="BD493" s="399" t="s">
        <v>3162</v>
      </c>
      <c r="BE493" s="411"/>
      <c r="BF493" s="411"/>
      <c r="BG493" s="411" t="s">
        <v>6145</v>
      </c>
      <c r="BH493" s="411" t="s">
        <v>6146</v>
      </c>
      <c r="BI493" s="411"/>
      <c r="BJ493" s="399"/>
      <c r="BK493" s="399"/>
      <c r="BL493" s="399"/>
      <c r="BM493" s="399"/>
      <c r="BN493" s="399"/>
      <c r="BO493" s="399">
        <v>164814</v>
      </c>
      <c r="BP493" s="399"/>
      <c r="BQ493" s="399"/>
      <c r="BR493" s="399" t="s">
        <v>6147</v>
      </c>
      <c r="BS493" s="407"/>
      <c r="BT493" s="407"/>
      <c r="BU493" s="412"/>
      <c r="BV493" s="46" t="str">
        <f t="shared" si="8"/>
        <v/>
      </c>
      <c r="BW493" s="46">
        <f t="shared" si="9"/>
        <v>0</v>
      </c>
      <c r="BX493" s="46">
        <f t="shared" si="10"/>
        <v>0</v>
      </c>
      <c r="BY493" s="43" t="str">
        <f t="shared" si="11"/>
        <v>WHO-FP CarePlan (Backup Contraceptive Method)</v>
      </c>
      <c r="BZ493" s="46">
        <f t="shared" si="12"/>
        <v>1</v>
      </c>
      <c r="CA493" s="46" t="str">
        <f t="shared" si="13"/>
        <v/>
      </c>
      <c r="CB493" s="46">
        <f t="shared" si="14"/>
        <v>1</v>
      </c>
      <c r="CC493" s="46">
        <f t="shared" si="15"/>
        <v>1</v>
      </c>
      <c r="CD493" s="46">
        <f t="shared" si="16"/>
        <v>1</v>
      </c>
      <c r="CE493" s="46">
        <f t="shared" si="17"/>
        <v>0</v>
      </c>
      <c r="CF493" s="46">
        <f t="shared" si="18"/>
        <v>0</v>
      </c>
      <c r="CG493" s="46" t="str">
        <f ca="1">IFERROR(__xludf.DUMMYFUNCTION("if(OR(BH493="""",LEFT(BH493,2)=""LA""),"""",IMPORTXML(CONCATENATE(""https://loinc.org/"",BH493,""/""),""//span[@id='lcn']""))"),"")</f>
        <v/>
      </c>
      <c r="CH493" s="46"/>
      <c r="CI493" s="46"/>
      <c r="CJ493" s="46"/>
      <c r="CK493" s="46"/>
      <c r="CL493" s="46"/>
      <c r="CM493" s="46"/>
      <c r="CN493" s="46"/>
      <c r="CO493" s="46"/>
      <c r="CP493" s="46"/>
      <c r="CQ493" s="46"/>
      <c r="CR493" s="46"/>
      <c r="CS493" s="46"/>
      <c r="CT493" s="46"/>
      <c r="CU493" s="46"/>
    </row>
    <row r="494" spans="1:99" ht="12.75" customHeight="1">
      <c r="A494" s="399">
        <v>1718</v>
      </c>
      <c r="B494" s="409" t="s">
        <v>6148</v>
      </c>
      <c r="C494" s="399">
        <f t="shared" si="77"/>
        <v>1718</v>
      </c>
      <c r="D494" s="399" t="e">
        <f t="shared" ca="1" si="89"/>
        <v>#NAME?</v>
      </c>
      <c r="E494" s="399" t="str">
        <f t="shared" si="90"/>
        <v>Other</v>
      </c>
      <c r="F494" s="399" t="str">
        <f t="shared" si="96"/>
        <v>Input Option</v>
      </c>
      <c r="G494" s="400">
        <f t="shared" si="80"/>
        <v>13</v>
      </c>
      <c r="H494" s="399" t="str">
        <f t="shared" si="95"/>
        <v>Contraception backup method provided</v>
      </c>
      <c r="I494" s="400"/>
      <c r="J494" s="400"/>
      <c r="K494" s="401" t="s">
        <v>5969</v>
      </c>
      <c r="L494" s="451" t="s">
        <v>3517</v>
      </c>
      <c r="M494" s="400"/>
      <c r="N494" s="414" t="s">
        <v>6127</v>
      </c>
      <c r="O494" s="428"/>
      <c r="P494" s="407" t="s">
        <v>6149</v>
      </c>
      <c r="Q494" s="404"/>
      <c r="R494" s="414"/>
      <c r="S494" s="404"/>
      <c r="T494" s="404"/>
      <c r="U494" s="404"/>
      <c r="V494" s="437" t="s">
        <v>1387</v>
      </c>
      <c r="W494" s="404"/>
      <c r="X494" s="403" t="s">
        <v>208</v>
      </c>
      <c r="Y494" s="404"/>
      <c r="Z494" s="437" t="s">
        <v>113</v>
      </c>
      <c r="AA494" s="404"/>
      <c r="AB494" s="406"/>
      <c r="AC494" s="404"/>
      <c r="AD494" s="404"/>
      <c r="AE494" s="406"/>
      <c r="AF494" s="404"/>
      <c r="AG494" s="404"/>
      <c r="AH494" s="399"/>
      <c r="AI494" s="400"/>
      <c r="AJ494" s="399"/>
      <c r="AK494" s="399"/>
      <c r="AL494" s="399"/>
      <c r="AM494" s="399"/>
      <c r="AN494" s="399"/>
      <c r="AO494" s="399"/>
      <c r="AP494" s="409"/>
      <c r="AQ494" s="409" t="s">
        <v>3130</v>
      </c>
      <c r="AR494" s="409" t="s">
        <v>6137</v>
      </c>
      <c r="AS494" s="409"/>
      <c r="AT494" s="399"/>
      <c r="AU494" s="399" t="s">
        <v>2005</v>
      </c>
      <c r="AV494" s="399" t="str">
        <f t="shared" si="92"/>
        <v>Changed</v>
      </c>
      <c r="AW494" s="399"/>
      <c r="AX494" s="409" t="s">
        <v>3343</v>
      </c>
      <c r="AY494" s="399" t="e">
        <f t="shared" ca="1" si="93"/>
        <v>#NAME?</v>
      </c>
      <c r="AZ494" s="399"/>
      <c r="BA494" s="409">
        <v>1</v>
      </c>
      <c r="BB494" s="415" t="s">
        <v>3131</v>
      </c>
      <c r="BC494" s="409" t="s">
        <v>1387</v>
      </c>
      <c r="BD494" s="399"/>
      <c r="BE494" s="411"/>
      <c r="BF494" s="411"/>
      <c r="BG494" s="411"/>
      <c r="BH494" s="411"/>
      <c r="BI494" s="411"/>
      <c r="BJ494" s="399"/>
      <c r="BK494" s="399"/>
      <c r="BL494" s="399"/>
      <c r="BM494" s="399"/>
      <c r="BN494" s="399"/>
      <c r="BO494" s="399"/>
      <c r="BP494" s="399"/>
      <c r="BQ494" s="399"/>
      <c r="BR494" s="399"/>
      <c r="BS494" s="407"/>
      <c r="BT494" s="407"/>
      <c r="BU494" s="412"/>
      <c r="BV494" s="46" t="str">
        <f t="shared" si="8"/>
        <v/>
      </c>
      <c r="BW494" s="46">
        <f t="shared" si="9"/>
        <v>0</v>
      </c>
      <c r="BX494" s="46">
        <f t="shared" si="10"/>
        <v>0</v>
      </c>
      <c r="BY494" s="43" t="str">
        <f t="shared" si="11"/>
        <v>WHO-FP CarePlan (Backup Contraceptive Method)</v>
      </c>
      <c r="BZ494" s="46">
        <f t="shared" si="12"/>
        <v>1</v>
      </c>
      <c r="CA494" s="46" t="str">
        <f t="shared" si="13"/>
        <v/>
      </c>
      <c r="CB494" s="46">
        <f t="shared" si="14"/>
        <v>1</v>
      </c>
      <c r="CC494" s="46">
        <f t="shared" si="15"/>
        <v>1</v>
      </c>
      <c r="CD494" s="46">
        <f t="shared" si="16"/>
        <v>1</v>
      </c>
      <c r="CE494" s="46">
        <f t="shared" si="17"/>
        <v>0</v>
      </c>
      <c r="CF494" s="46">
        <f t="shared" si="18"/>
        <v>0</v>
      </c>
      <c r="CG494" s="46" t="str">
        <f ca="1">IFERROR(__xludf.DUMMYFUNCTION("if(OR(BH494="""",LEFT(BH494,2)=""LA""),"""",IMPORTXML(CONCATENATE(""https://loinc.org/"",BH494,""/""),""//span[@id='lcn']""))"),"")</f>
        <v/>
      </c>
      <c r="CH494" s="46"/>
      <c r="CI494" s="46"/>
      <c r="CJ494" s="46"/>
      <c r="CK494" s="46"/>
      <c r="CL494" s="46"/>
      <c r="CM494" s="46"/>
      <c r="CN494" s="46"/>
      <c r="CO494" s="46"/>
      <c r="CP494" s="46"/>
      <c r="CQ494" s="46"/>
      <c r="CR494" s="46"/>
      <c r="CS494" s="46"/>
      <c r="CT494" s="46"/>
      <c r="CU494" s="46"/>
    </row>
    <row r="495" spans="1:99" ht="12.75" customHeight="1">
      <c r="A495" s="399">
        <v>1719</v>
      </c>
      <c r="B495" s="399" t="s">
        <v>6150</v>
      </c>
      <c r="C495" s="399">
        <f t="shared" si="77"/>
        <v>1719</v>
      </c>
      <c r="D495" s="399" t="str">
        <f t="shared" si="89"/>
        <v>Quantity of backup method provided</v>
      </c>
      <c r="E495" s="399" t="str">
        <f t="shared" si="90"/>
        <v>Quantity of backup method provided</v>
      </c>
      <c r="F495" s="399" t="str">
        <f t="shared" si="96"/>
        <v>Data Element</v>
      </c>
      <c r="G495" s="400">
        <f t="shared" si="80"/>
        <v>48</v>
      </c>
      <c r="H495" s="400" t="str">
        <f t="shared" si="95"/>
        <v/>
      </c>
      <c r="I495" s="400"/>
      <c r="J495" s="400"/>
      <c r="K495" s="401" t="s">
        <v>5969</v>
      </c>
      <c r="L495" s="451" t="s">
        <v>3517</v>
      </c>
      <c r="M495" s="400"/>
      <c r="N495" s="414" t="s">
        <v>6127</v>
      </c>
      <c r="O495" s="428"/>
      <c r="P495" s="404"/>
      <c r="Q495" s="420" t="s">
        <v>6051</v>
      </c>
      <c r="R495" s="414"/>
      <c r="S495" s="404" t="s">
        <v>6151</v>
      </c>
      <c r="T495" s="437" t="s">
        <v>168</v>
      </c>
      <c r="U495" s="437"/>
      <c r="V495" s="404"/>
      <c r="W495" s="404"/>
      <c r="X495" s="403" t="s">
        <v>208</v>
      </c>
      <c r="Y495" s="404"/>
      <c r="Z495" s="437" t="s">
        <v>113</v>
      </c>
      <c r="AA495" s="404" t="s">
        <v>1889</v>
      </c>
      <c r="AB495" s="406"/>
      <c r="AC495" s="404"/>
      <c r="AD495" s="404"/>
      <c r="AE495" s="406"/>
      <c r="AF495" s="404"/>
      <c r="AG495" s="404"/>
      <c r="AH495" s="399"/>
      <c r="AI495" s="400"/>
      <c r="AJ495" s="399"/>
      <c r="AK495" s="399"/>
      <c r="AL495" s="409" t="s">
        <v>3233</v>
      </c>
      <c r="AM495" s="409" t="s">
        <v>3314</v>
      </c>
      <c r="AN495" s="409" t="s">
        <v>3101</v>
      </c>
      <c r="AO495" s="399"/>
      <c r="AP495" s="399"/>
      <c r="AQ495" s="409" t="s">
        <v>115</v>
      </c>
      <c r="AR495" s="399"/>
      <c r="AS495" s="399"/>
      <c r="AT495" s="399"/>
      <c r="AU495" s="399" t="s">
        <v>6150</v>
      </c>
      <c r="AV495" s="399" t="str">
        <f t="shared" si="92"/>
        <v>Same</v>
      </c>
      <c r="AW495" s="399"/>
      <c r="AX495" s="409" t="s">
        <v>3343</v>
      </c>
      <c r="AY495" s="399" t="str">
        <f t="shared" si="93"/>
        <v>"Quantity of backup method provided"-&gt;"Quantity of backup contraception method provided"</v>
      </c>
      <c r="AZ495" s="399"/>
      <c r="BA495" s="409">
        <v>0</v>
      </c>
      <c r="BB495" s="399"/>
      <c r="BC495" s="399"/>
      <c r="BD495" s="399"/>
      <c r="BE495" s="411"/>
      <c r="BF495" s="411"/>
      <c r="BG495" s="411"/>
      <c r="BH495" s="411"/>
      <c r="BI495" s="411"/>
      <c r="BJ495" s="399"/>
      <c r="BK495" s="399"/>
      <c r="BL495" s="399"/>
      <c r="BM495" s="399" t="s">
        <v>6028</v>
      </c>
      <c r="BN495" s="399"/>
      <c r="BO495" s="399"/>
      <c r="BP495" s="399"/>
      <c r="BQ495" s="399"/>
      <c r="BR495" s="399"/>
      <c r="BS495" s="407"/>
      <c r="BT495" s="407"/>
      <c r="BU495" s="412"/>
      <c r="BV495" s="46" t="str">
        <f t="shared" si="8"/>
        <v/>
      </c>
      <c r="BW495" s="46" t="str">
        <f t="shared" si="9"/>
        <v/>
      </c>
      <c r="BX495" s="46" t="str">
        <f t="shared" si="10"/>
        <v/>
      </c>
      <c r="BY495" s="43">
        <f t="shared" si="11"/>
        <v>0</v>
      </c>
      <c r="BZ495" s="46">
        <f t="shared" si="12"/>
        <v>1</v>
      </c>
      <c r="CA495" s="46">
        <f t="shared" si="13"/>
        <v>1</v>
      </c>
      <c r="CB495" s="46">
        <f t="shared" si="14"/>
        <v>0</v>
      </c>
      <c r="CC495" s="46">
        <f t="shared" si="15"/>
        <v>0</v>
      </c>
      <c r="CD495" s="46">
        <f t="shared" si="16"/>
        <v>0</v>
      </c>
      <c r="CE495" s="46">
        <f t="shared" si="17"/>
        <v>0</v>
      </c>
      <c r="CF495" s="46">
        <f t="shared" si="18"/>
        <v>1</v>
      </c>
      <c r="CG495" s="46" t="str">
        <f ca="1">IFERROR(__xludf.DUMMYFUNCTION("if(OR(BH495="""",LEFT(BH495,2)=""LA""),"""",IMPORTXML(CONCATENATE(""https://loinc.org/"",BH495,""/""),""//span[@id='lcn']""))"),"")</f>
        <v/>
      </c>
      <c r="CH495" s="46"/>
      <c r="CI495" s="46"/>
      <c r="CJ495" s="46"/>
      <c r="CK495" s="46"/>
      <c r="CL495" s="46"/>
      <c r="CM495" s="46"/>
      <c r="CN495" s="46"/>
      <c r="CO495" s="46"/>
      <c r="CP495" s="46"/>
      <c r="CQ495" s="46"/>
      <c r="CR495" s="46"/>
      <c r="CS495" s="46"/>
      <c r="CT495" s="46"/>
      <c r="CU495" s="46"/>
    </row>
    <row r="496" spans="1:99" ht="12.75" customHeight="1">
      <c r="A496" s="399">
        <v>1720</v>
      </c>
      <c r="B496" s="409" t="s">
        <v>6152</v>
      </c>
      <c r="C496" s="399">
        <f t="shared" si="77"/>
        <v>1720</v>
      </c>
      <c r="D496" s="399" t="e">
        <f t="shared" ca="1" si="89"/>
        <v>#NAME?</v>
      </c>
      <c r="E496" s="399" t="str">
        <f t="shared" si="90"/>
        <v>Backup method needed</v>
      </c>
      <c r="F496" s="409" t="s">
        <v>180</v>
      </c>
      <c r="G496" s="400">
        <f t="shared" si="80"/>
        <v>41</v>
      </c>
      <c r="H496" s="409" t="s">
        <v>5899</v>
      </c>
      <c r="I496" s="400"/>
      <c r="J496" s="400"/>
      <c r="K496" s="401" t="s">
        <v>5969</v>
      </c>
      <c r="L496" s="451" t="s">
        <v>3517</v>
      </c>
      <c r="M496" s="400"/>
      <c r="N496" s="414" t="s">
        <v>6127</v>
      </c>
      <c r="O496" s="428"/>
      <c r="P496" s="437" t="s">
        <v>6153</v>
      </c>
      <c r="Q496" s="431" t="s">
        <v>6154</v>
      </c>
      <c r="R496" s="403"/>
      <c r="S496" s="407" t="s">
        <v>6155</v>
      </c>
      <c r="T496" s="403" t="s">
        <v>3169</v>
      </c>
      <c r="U496" s="403"/>
      <c r="V496" s="431" t="s">
        <v>3170</v>
      </c>
      <c r="W496" s="404"/>
      <c r="X496" s="403" t="s">
        <v>208</v>
      </c>
      <c r="Y496" s="403"/>
      <c r="Z496" s="403" t="s">
        <v>113</v>
      </c>
      <c r="AA496" s="403" t="s">
        <v>3178</v>
      </c>
      <c r="AB496" s="406" t="s">
        <v>6156</v>
      </c>
      <c r="AC496" s="403"/>
      <c r="AD496" s="403"/>
      <c r="AE496" s="406"/>
      <c r="AF496" s="403"/>
      <c r="AG496" s="403"/>
      <c r="AH496" s="399"/>
      <c r="AI496" s="400"/>
      <c r="AJ496" s="399"/>
      <c r="AK496" s="409"/>
      <c r="AL496" s="399"/>
      <c r="AM496" s="409"/>
      <c r="AN496" s="409"/>
      <c r="AO496" s="399"/>
      <c r="AP496" s="409"/>
      <c r="AQ496" s="409" t="s">
        <v>3424</v>
      </c>
      <c r="AR496" s="399"/>
      <c r="AS496" s="399"/>
      <c r="AT496" s="399"/>
      <c r="AU496" s="399" t="s">
        <v>6157</v>
      </c>
      <c r="AV496" s="399" t="str">
        <f t="shared" si="92"/>
        <v>Changed</v>
      </c>
      <c r="AW496" s="399"/>
      <c r="AX496" s="409" t="s">
        <v>3343</v>
      </c>
      <c r="AY496" s="399" t="e">
        <f t="shared" ca="1" si="93"/>
        <v>#NAME?</v>
      </c>
      <c r="AZ496" s="399"/>
      <c r="BA496" s="409">
        <v>1</v>
      </c>
      <c r="BB496" s="415" t="s">
        <v>3131</v>
      </c>
      <c r="BC496" s="409" t="s">
        <v>6158</v>
      </c>
      <c r="BD496" s="399"/>
      <c r="BE496" s="411"/>
      <c r="BF496" s="411"/>
      <c r="BG496" s="411"/>
      <c r="BH496" s="411"/>
      <c r="BI496" s="411"/>
      <c r="BJ496" s="399"/>
      <c r="BK496" s="399"/>
      <c r="BL496" s="399"/>
      <c r="BM496" s="399" t="s">
        <v>6028</v>
      </c>
      <c r="BN496" s="399"/>
      <c r="BO496" s="399"/>
      <c r="BP496" s="399"/>
      <c r="BQ496" s="399"/>
      <c r="BR496" s="399"/>
      <c r="BS496" s="407"/>
      <c r="BT496" s="407"/>
      <c r="BU496" s="412"/>
      <c r="BV496" s="46" t="str">
        <f t="shared" si="8"/>
        <v/>
      </c>
      <c r="BW496" s="46">
        <f t="shared" si="9"/>
        <v>0</v>
      </c>
      <c r="BX496" s="46">
        <f t="shared" si="10"/>
        <v>0</v>
      </c>
      <c r="BY496" s="43" t="str">
        <f t="shared" si="11"/>
        <v>WHO-FP CarePlan (Recommendation)</v>
      </c>
      <c r="BZ496" s="46">
        <f t="shared" si="12"/>
        <v>1</v>
      </c>
      <c r="CA496" s="46" t="str">
        <f t="shared" si="13"/>
        <v/>
      </c>
      <c r="CB496" s="46">
        <f t="shared" si="14"/>
        <v>1</v>
      </c>
      <c r="CC496" s="46">
        <f t="shared" si="15"/>
        <v>1</v>
      </c>
      <c r="CD496" s="46">
        <f t="shared" si="16"/>
        <v>1</v>
      </c>
      <c r="CE496" s="46">
        <f t="shared" si="17"/>
        <v>0</v>
      </c>
      <c r="CF496" s="46">
        <f t="shared" si="18"/>
        <v>0</v>
      </c>
      <c r="CG496" s="46" t="str">
        <f ca="1">IFERROR(__xludf.DUMMYFUNCTION("if(OR(BH496="""",LEFT(BH496,2)=""LA""),"""",IMPORTXML(CONCATENATE(""https://loinc.org/"",BH496,""/""),""//span[@id='lcn']""))"),"")</f>
        <v/>
      </c>
      <c r="CH496" s="46"/>
      <c r="CI496" s="46"/>
      <c r="CJ496" s="46"/>
      <c r="CK496" s="46"/>
      <c r="CL496" s="46"/>
      <c r="CM496" s="46"/>
      <c r="CN496" s="46"/>
      <c r="CO496" s="46"/>
      <c r="CP496" s="46"/>
      <c r="CQ496" s="46"/>
      <c r="CR496" s="46"/>
      <c r="CS496" s="46"/>
      <c r="CT496" s="46"/>
      <c r="CU496" s="46"/>
    </row>
    <row r="497" spans="1:99" ht="12.75" customHeight="1">
      <c r="A497" s="409">
        <v>1876</v>
      </c>
      <c r="B497" s="399" t="s">
        <v>6159</v>
      </c>
      <c r="C497" s="399">
        <f t="shared" si="77"/>
        <v>1876</v>
      </c>
      <c r="D497" s="399" t="str">
        <f t="shared" si="89"/>
        <v>Temperature</v>
      </c>
      <c r="E497" s="399" t="str">
        <f t="shared" si="90"/>
        <v>Temperature</v>
      </c>
      <c r="F497" s="399" t="str">
        <f t="shared" ref="F497:F521" si="97">IF(AND(ISBLANK(V497)=FALSE,OR(T497="MC",T497="")),"Input Option","Data Element")</f>
        <v>Data Element</v>
      </c>
      <c r="G497" s="400">
        <f t="shared" si="80"/>
        <v>11</v>
      </c>
      <c r="H497" s="400" t="str">
        <f t="shared" ref="H497:H545" si="98">IF(F497="Input Option",IF(H496="",B496,H496),"")</f>
        <v/>
      </c>
      <c r="I497" s="400"/>
      <c r="J497" s="400"/>
      <c r="K497" s="401" t="s">
        <v>5283</v>
      </c>
      <c r="L497" s="402" t="s">
        <v>3450</v>
      </c>
      <c r="M497" s="400"/>
      <c r="N497" s="437" t="s">
        <v>6160</v>
      </c>
      <c r="O497" s="437" t="s">
        <v>6161</v>
      </c>
      <c r="P497" s="437"/>
      <c r="Q497" s="437" t="s">
        <v>6159</v>
      </c>
      <c r="R497" s="437"/>
      <c r="S497" s="437" t="s">
        <v>6162</v>
      </c>
      <c r="T497" s="444" t="s">
        <v>6163</v>
      </c>
      <c r="U497" s="437"/>
      <c r="V497" s="437"/>
      <c r="W497" s="437"/>
      <c r="X497" s="437" t="s">
        <v>113</v>
      </c>
      <c r="Y497" s="437" t="s">
        <v>1437</v>
      </c>
      <c r="Z497" s="437" t="s">
        <v>113</v>
      </c>
      <c r="AA497" s="437" t="s">
        <v>1889</v>
      </c>
      <c r="AB497" s="629"/>
      <c r="AC497" s="437"/>
      <c r="AD497" s="437"/>
      <c r="AE497" s="629"/>
      <c r="AF497" s="437"/>
      <c r="AG497" s="444" t="s">
        <v>6164</v>
      </c>
      <c r="AH497" s="399"/>
      <c r="AI497" s="400"/>
      <c r="AJ497" s="399" t="s">
        <v>1787</v>
      </c>
      <c r="AK497" s="409" t="s">
        <v>3410</v>
      </c>
      <c r="AL497" s="409" t="s">
        <v>3456</v>
      </c>
      <c r="AM497" s="409" t="s">
        <v>3100</v>
      </c>
      <c r="AN497" s="409" t="s">
        <v>3101</v>
      </c>
      <c r="AO497" s="637"/>
      <c r="AP497" s="409" t="s">
        <v>6165</v>
      </c>
      <c r="AQ497" s="638" t="s">
        <v>3424</v>
      </c>
      <c r="AR497" s="637"/>
      <c r="AS497" s="637"/>
      <c r="AT497" s="409" t="s">
        <v>6166</v>
      </c>
      <c r="AU497" s="399"/>
      <c r="AV497" s="399" t="str">
        <f t="shared" si="92"/>
        <v/>
      </c>
      <c r="AW497" s="399"/>
      <c r="AX497" s="409" t="s">
        <v>3104</v>
      </c>
      <c r="AY497" s="399" t="str">
        <f t="shared" si="93"/>
        <v/>
      </c>
      <c r="AZ497" s="409" t="s">
        <v>3105</v>
      </c>
      <c r="BA497" s="409" t="s">
        <v>3125</v>
      </c>
      <c r="BB497" s="399"/>
      <c r="BC497" s="399" t="s">
        <v>1787</v>
      </c>
      <c r="BD497" s="409" t="s">
        <v>3162</v>
      </c>
      <c r="BE497" s="411"/>
      <c r="BF497" s="411" t="s">
        <v>1787</v>
      </c>
      <c r="BG497" s="480" t="s">
        <v>6167</v>
      </c>
      <c r="BH497" s="434" t="s">
        <v>6168</v>
      </c>
      <c r="BI497" s="411"/>
      <c r="BJ497" s="399" t="s">
        <v>1787</v>
      </c>
      <c r="BK497" s="399" t="s">
        <v>1787</v>
      </c>
      <c r="BL497" s="399"/>
      <c r="BM497" s="399" t="s">
        <v>1787</v>
      </c>
      <c r="BN497" s="399" t="s">
        <v>1787</v>
      </c>
      <c r="BO497" s="399" t="s">
        <v>1787</v>
      </c>
      <c r="BP497" s="399" t="s">
        <v>1787</v>
      </c>
      <c r="BQ497" s="399" t="s">
        <v>1787</v>
      </c>
      <c r="BR497" s="399" t="s">
        <v>1787</v>
      </c>
      <c r="BS497" s="407"/>
      <c r="BT497" s="407"/>
      <c r="BU497" s="412"/>
      <c r="BV497" s="46" t="str">
        <f t="shared" si="8"/>
        <v>Observation</v>
      </c>
      <c r="BW497" s="46" t="str">
        <f t="shared" si="9"/>
        <v/>
      </c>
      <c r="BX497" s="46" t="str">
        <f t="shared" si="10"/>
        <v>Observation</v>
      </c>
      <c r="BY497" s="43" t="str">
        <f t="shared" si="11"/>
        <v>WHO-Core Observation (Temperature)</v>
      </c>
      <c r="BZ497" s="46">
        <f t="shared" si="12"/>
        <v>1</v>
      </c>
      <c r="CA497" s="46">
        <f t="shared" si="13"/>
        <v>0</v>
      </c>
      <c r="CB497" s="46">
        <f t="shared" si="14"/>
        <v>1</v>
      </c>
      <c r="CC497" s="46">
        <f t="shared" si="15"/>
        <v>1</v>
      </c>
      <c r="CD497" s="46">
        <f t="shared" si="16"/>
        <v>1</v>
      </c>
      <c r="CE497" s="46">
        <f t="shared" si="17"/>
        <v>0</v>
      </c>
      <c r="CF497" s="46">
        <f t="shared" si="18"/>
        <v>0</v>
      </c>
      <c r="CG497" s="46" t="str">
        <f ca="1">IFERROR(__xludf.DUMMYFUNCTION("if(OR(BH497="""",LEFT(BH497,2)=""LA""),"""",IMPORTXML(CONCATENATE(""https://loinc.org/"",BH497,""/""),""//span[@id='lcn']""))"),"Body temperature")</f>
        <v>Body temperature</v>
      </c>
      <c r="CH497" s="46"/>
      <c r="CI497" s="46"/>
      <c r="CJ497" s="46"/>
      <c r="CK497" s="46"/>
      <c r="CL497" s="46"/>
      <c r="CM497" s="46"/>
      <c r="CN497" s="46"/>
      <c r="CO497" s="46"/>
      <c r="CP497" s="46"/>
      <c r="CQ497" s="46"/>
      <c r="CR497" s="46"/>
      <c r="CS497" s="46"/>
      <c r="CT497" s="46"/>
      <c r="CU497" s="46"/>
    </row>
    <row r="498" spans="1:99" ht="12.75" customHeight="1">
      <c r="A498" s="409">
        <v>1877</v>
      </c>
      <c r="B498" s="399" t="s">
        <v>6169</v>
      </c>
      <c r="C498" s="399">
        <f t="shared" si="77"/>
        <v>1877</v>
      </c>
      <c r="D498" s="399" t="str">
        <f t="shared" si="89"/>
        <v>Signs of fever</v>
      </c>
      <c r="E498" s="399" t="str">
        <f t="shared" si="90"/>
        <v>Signs of fever</v>
      </c>
      <c r="F498" s="399" t="str">
        <f t="shared" si="97"/>
        <v>Data Element</v>
      </c>
      <c r="G498" s="400">
        <f t="shared" si="80"/>
        <v>14</v>
      </c>
      <c r="H498" s="400" t="str">
        <f t="shared" si="98"/>
        <v/>
      </c>
      <c r="I498" s="400"/>
      <c r="J498" s="400"/>
      <c r="K498" s="401" t="s">
        <v>5283</v>
      </c>
      <c r="L498" s="402" t="s">
        <v>4081</v>
      </c>
      <c r="M498" s="400"/>
      <c r="N498" s="437" t="s">
        <v>6160</v>
      </c>
      <c r="O498" s="437" t="s">
        <v>6170</v>
      </c>
      <c r="P498" s="437"/>
      <c r="Q498" s="437" t="s">
        <v>6169</v>
      </c>
      <c r="R498" s="437"/>
      <c r="S498" s="437"/>
      <c r="T498" s="437"/>
      <c r="U498" s="437"/>
      <c r="V498" s="437"/>
      <c r="W498" s="437"/>
      <c r="X498" s="437"/>
      <c r="Y498" s="437"/>
      <c r="Z498" s="437"/>
      <c r="AA498" s="437"/>
      <c r="AB498" s="629"/>
      <c r="AC498" s="437"/>
      <c r="AD498" s="437"/>
      <c r="AE498" s="629"/>
      <c r="AF498" s="437"/>
      <c r="AG498" s="444" t="s">
        <v>6164</v>
      </c>
      <c r="AH498" s="399"/>
      <c r="AI498" s="400"/>
      <c r="AJ498" s="399" t="s">
        <v>1787</v>
      </c>
      <c r="AK498" s="409" t="s">
        <v>3916</v>
      </c>
      <c r="AL498" s="409"/>
      <c r="AM498" s="409" t="s">
        <v>3100</v>
      </c>
      <c r="AN498" s="409" t="s">
        <v>3101</v>
      </c>
      <c r="AO498" s="399" t="s">
        <v>1787</v>
      </c>
      <c r="AP498" s="409" t="s">
        <v>6171</v>
      </c>
      <c r="AQ498" s="409" t="s">
        <v>3424</v>
      </c>
      <c r="AR498" s="399"/>
      <c r="AS498" s="399"/>
      <c r="AT498" s="399"/>
      <c r="AU498" s="399"/>
      <c r="AV498" s="399" t="str">
        <f t="shared" si="92"/>
        <v/>
      </c>
      <c r="AW498" s="399"/>
      <c r="AX498" s="409" t="s">
        <v>5194</v>
      </c>
      <c r="AY498" s="399" t="str">
        <f t="shared" si="93"/>
        <v/>
      </c>
      <c r="AZ498" s="399"/>
      <c r="BA498" s="409" t="s">
        <v>3125</v>
      </c>
      <c r="BB498" s="399"/>
      <c r="BC498" s="399" t="s">
        <v>1787</v>
      </c>
      <c r="BD498" s="399" t="s">
        <v>1787</v>
      </c>
      <c r="BE498" s="434" t="s">
        <v>6173</v>
      </c>
      <c r="BF498" s="411" t="s">
        <v>1787</v>
      </c>
      <c r="BG498" s="434" t="s">
        <v>6174</v>
      </c>
      <c r="BH498" s="411"/>
      <c r="BI498" s="411"/>
      <c r="BJ498" s="399" t="s">
        <v>1787</v>
      </c>
      <c r="BK498" s="399" t="s">
        <v>1787</v>
      </c>
      <c r="BL498" s="399"/>
      <c r="BM498" s="399" t="s">
        <v>1787</v>
      </c>
      <c r="BN498" s="399" t="s">
        <v>1787</v>
      </c>
      <c r="BO498" s="399" t="s">
        <v>1787</v>
      </c>
      <c r="BP498" s="399" t="s">
        <v>1787</v>
      </c>
      <c r="BQ498" s="399" t="s">
        <v>1787</v>
      </c>
      <c r="BR498" s="399" t="s">
        <v>1787</v>
      </c>
      <c r="BS498" s="407"/>
      <c r="BT498" s="407"/>
      <c r="BU498" s="412"/>
      <c r="BV498" s="46" t="str">
        <f t="shared" si="8"/>
        <v>Observation</v>
      </c>
      <c r="BW498" s="46" t="str">
        <f t="shared" si="9"/>
        <v/>
      </c>
      <c r="BX498" s="46" t="str">
        <f t="shared" si="10"/>
        <v>Observation</v>
      </c>
      <c r="BY498" s="43" t="str">
        <f t="shared" si="11"/>
        <v>WHO-STI Observation (Signs of Fever)</v>
      </c>
      <c r="BZ498" s="46">
        <f t="shared" si="12"/>
        <v>1</v>
      </c>
      <c r="CA498" s="46">
        <f t="shared" si="13"/>
        <v>0</v>
      </c>
      <c r="CB498" s="46">
        <f t="shared" si="14"/>
        <v>1</v>
      </c>
      <c r="CC498" s="46">
        <f t="shared" si="15"/>
        <v>1</v>
      </c>
      <c r="CD498" s="46">
        <f t="shared" si="16"/>
        <v>1</v>
      </c>
      <c r="CE498" s="46">
        <f t="shared" si="17"/>
        <v>0</v>
      </c>
      <c r="CF498" s="46">
        <f t="shared" si="18"/>
        <v>0</v>
      </c>
      <c r="CG498" s="46" t="str">
        <f ca="1">IFERROR(__xludf.DUMMYFUNCTION("if(OR(BH498="""",LEFT(BH498,2)=""LA""),"""",IMPORTXML(CONCATENATE(""https://loinc.org/"",BH498,""/""),""//span[@id='lcn']""))"),"")</f>
        <v/>
      </c>
      <c r="CH498" s="46"/>
      <c r="CI498" s="46"/>
      <c r="CJ498" s="46"/>
      <c r="CK498" s="46"/>
      <c r="CL498" s="46"/>
      <c r="CM498" s="46"/>
      <c r="CN498" s="46"/>
      <c r="CO498" s="46"/>
      <c r="CP498" s="46"/>
      <c r="CQ498" s="46"/>
      <c r="CR498" s="46"/>
      <c r="CS498" s="46"/>
      <c r="CT498" s="46"/>
      <c r="CU498" s="46"/>
    </row>
    <row r="499" spans="1:99" ht="12.75" customHeight="1">
      <c r="A499" s="409">
        <v>1878</v>
      </c>
      <c r="B499" s="399" t="s">
        <v>6176</v>
      </c>
      <c r="C499" s="399">
        <f t="shared" si="77"/>
        <v>1878</v>
      </c>
      <c r="D499" s="399" t="str">
        <f t="shared" si="89"/>
        <v>Signs of shock</v>
      </c>
      <c r="E499" s="399" t="str">
        <f t="shared" si="90"/>
        <v>Signs of shock</v>
      </c>
      <c r="F499" s="399" t="str">
        <f t="shared" si="97"/>
        <v>Data Element</v>
      </c>
      <c r="G499" s="400">
        <f t="shared" si="80"/>
        <v>14</v>
      </c>
      <c r="H499" s="400" t="str">
        <f t="shared" si="98"/>
        <v/>
      </c>
      <c r="I499" s="400"/>
      <c r="J499" s="400"/>
      <c r="K499" s="401" t="s">
        <v>5283</v>
      </c>
      <c r="L499" s="402" t="s">
        <v>4081</v>
      </c>
      <c r="M499" s="400"/>
      <c r="N499" s="437" t="s">
        <v>6160</v>
      </c>
      <c r="O499" s="437" t="s">
        <v>6177</v>
      </c>
      <c r="P499" s="437"/>
      <c r="Q499" s="437" t="s">
        <v>6176</v>
      </c>
      <c r="R499" s="437"/>
      <c r="S499" s="437"/>
      <c r="T499" s="437"/>
      <c r="U499" s="437"/>
      <c r="V499" s="437"/>
      <c r="W499" s="437"/>
      <c r="X499" s="437"/>
      <c r="Y499" s="437"/>
      <c r="Z499" s="437"/>
      <c r="AA499" s="437"/>
      <c r="AB499" s="629"/>
      <c r="AC499" s="437"/>
      <c r="AD499" s="437"/>
      <c r="AE499" s="629"/>
      <c r="AF499" s="437"/>
      <c r="AG499" s="444" t="s">
        <v>6164</v>
      </c>
      <c r="AH499" s="399"/>
      <c r="AI499" s="400"/>
      <c r="AJ499" s="399" t="s">
        <v>1787</v>
      </c>
      <c r="AK499" s="409" t="s">
        <v>3916</v>
      </c>
      <c r="AL499" s="409"/>
      <c r="AM499" s="409" t="s">
        <v>3100</v>
      </c>
      <c r="AN499" s="409" t="s">
        <v>3101</v>
      </c>
      <c r="AO499" s="399" t="s">
        <v>1787</v>
      </c>
      <c r="AP499" s="409" t="s">
        <v>6178</v>
      </c>
      <c r="AQ499" s="409" t="s">
        <v>3424</v>
      </c>
      <c r="AR499" s="399"/>
      <c r="AS499" s="399"/>
      <c r="AT499" s="399"/>
      <c r="AU499" s="399"/>
      <c r="AV499" s="399" t="str">
        <f t="shared" si="92"/>
        <v/>
      </c>
      <c r="AW499" s="399"/>
      <c r="AX499" s="409" t="s">
        <v>5194</v>
      </c>
      <c r="AY499" s="399" t="str">
        <f t="shared" si="93"/>
        <v/>
      </c>
      <c r="AZ499" s="399"/>
      <c r="BA499" s="409" t="s">
        <v>3125</v>
      </c>
      <c r="BB499" s="399"/>
      <c r="BC499" s="399" t="s">
        <v>1787</v>
      </c>
      <c r="BD499" s="399" t="s">
        <v>1787</v>
      </c>
      <c r="BE499" s="434" t="s">
        <v>6179</v>
      </c>
      <c r="BF499" s="411" t="s">
        <v>1787</v>
      </c>
      <c r="BG499" s="434" t="s">
        <v>6180</v>
      </c>
      <c r="BH499" s="411"/>
      <c r="BI499" s="411"/>
      <c r="BJ499" s="399" t="s">
        <v>1787</v>
      </c>
      <c r="BK499" s="409" t="s">
        <v>5948</v>
      </c>
      <c r="BL499" s="399"/>
      <c r="BM499" s="399" t="s">
        <v>1787</v>
      </c>
      <c r="BN499" s="399" t="s">
        <v>1787</v>
      </c>
      <c r="BO499" s="399" t="s">
        <v>1787</v>
      </c>
      <c r="BP499" s="399" t="s">
        <v>1787</v>
      </c>
      <c r="BQ499" s="399" t="s">
        <v>1787</v>
      </c>
      <c r="BR499" s="399" t="s">
        <v>1787</v>
      </c>
      <c r="BS499" s="407"/>
      <c r="BT499" s="407"/>
      <c r="BU499" s="412"/>
      <c r="BV499" s="46" t="str">
        <f t="shared" si="8"/>
        <v>Observation</v>
      </c>
      <c r="BW499" s="46" t="str">
        <f t="shared" si="9"/>
        <v/>
      </c>
      <c r="BX499" s="46" t="str">
        <f t="shared" si="10"/>
        <v>Observation</v>
      </c>
      <c r="BY499" s="43" t="str">
        <f t="shared" si="11"/>
        <v>WHO-STI Observation (Signs of Shock)</v>
      </c>
      <c r="BZ499" s="46">
        <f t="shared" si="12"/>
        <v>1</v>
      </c>
      <c r="CA499" s="46">
        <f t="shared" si="13"/>
        <v>0</v>
      </c>
      <c r="CB499" s="46">
        <f t="shared" si="14"/>
        <v>1</v>
      </c>
      <c r="CC499" s="46">
        <f t="shared" si="15"/>
        <v>1</v>
      </c>
      <c r="CD499" s="46">
        <f t="shared" si="16"/>
        <v>1</v>
      </c>
      <c r="CE499" s="46">
        <f t="shared" si="17"/>
        <v>0</v>
      </c>
      <c r="CF499" s="46">
        <f t="shared" si="18"/>
        <v>0</v>
      </c>
      <c r="CG499" s="46" t="str">
        <f ca="1">IFERROR(__xludf.DUMMYFUNCTION("if(OR(BH499="""",LEFT(BH499,2)=""LA""),"""",IMPORTXML(CONCATENATE(""https://loinc.org/"",BH499,""/""),""//span[@id='lcn']""))"),"")</f>
        <v/>
      </c>
      <c r="CH499" s="46"/>
      <c r="CI499" s="46"/>
      <c r="CJ499" s="46"/>
      <c r="CK499" s="46"/>
      <c r="CL499" s="46"/>
      <c r="CM499" s="46"/>
      <c r="CN499" s="46"/>
      <c r="CO499" s="46"/>
      <c r="CP499" s="46"/>
      <c r="CQ499" s="46"/>
      <c r="CR499" s="46"/>
      <c r="CS499" s="46"/>
      <c r="CT499" s="46"/>
      <c r="CU499" s="46"/>
    </row>
    <row r="500" spans="1:99" ht="12.75" customHeight="1">
      <c r="A500" s="409">
        <v>1881</v>
      </c>
      <c r="B500" s="399" t="s">
        <v>6181</v>
      </c>
      <c r="C500" s="399">
        <f t="shared" si="77"/>
        <v>1881</v>
      </c>
      <c r="D500" s="399" t="str">
        <f t="shared" si="89"/>
        <v>Risk assessment conducted</v>
      </c>
      <c r="E500" s="399" t="str">
        <f t="shared" si="90"/>
        <v>Risk assessment conducted</v>
      </c>
      <c r="F500" s="399" t="str">
        <f t="shared" si="97"/>
        <v>Data Element</v>
      </c>
      <c r="G500" s="400">
        <f t="shared" si="80"/>
        <v>29</v>
      </c>
      <c r="H500" s="400" t="str">
        <f t="shared" si="98"/>
        <v/>
      </c>
      <c r="I500" s="400"/>
      <c r="J500" s="400"/>
      <c r="K500" s="402" t="s">
        <v>3475</v>
      </c>
      <c r="L500" s="402" t="s">
        <v>5194</v>
      </c>
      <c r="M500" s="400"/>
      <c r="N500" s="639" t="s">
        <v>4853</v>
      </c>
      <c r="O500" s="41" t="s">
        <v>6182</v>
      </c>
      <c r="P500" s="640" t="s">
        <v>6183</v>
      </c>
      <c r="Q500" s="429" t="s">
        <v>5197</v>
      </c>
      <c r="R500" s="404"/>
      <c r="S500" s="404" t="s">
        <v>6184</v>
      </c>
      <c r="T500" s="431" t="s">
        <v>3169</v>
      </c>
      <c r="U500" s="431"/>
      <c r="V500" s="404" t="s">
        <v>3170</v>
      </c>
      <c r="W500" s="431"/>
      <c r="X500" s="404" t="s">
        <v>208</v>
      </c>
      <c r="Y500" s="404"/>
      <c r="Z500" s="404" t="s">
        <v>113</v>
      </c>
      <c r="AA500" s="404" t="s">
        <v>1889</v>
      </c>
      <c r="AB500" s="406"/>
      <c r="AC500" s="404"/>
      <c r="AD500" s="404"/>
      <c r="AE500" s="406"/>
      <c r="AF500" s="404"/>
      <c r="AG500" s="404"/>
      <c r="AH500" s="399"/>
      <c r="AI500" s="400"/>
      <c r="AJ500" s="399" t="s">
        <v>1787</v>
      </c>
      <c r="AK500" s="409" t="s">
        <v>3410</v>
      </c>
      <c r="AL500" s="440" t="s">
        <v>3313</v>
      </c>
      <c r="AM500" s="403" t="s">
        <v>3100</v>
      </c>
      <c r="AN500" s="403" t="s">
        <v>3101</v>
      </c>
      <c r="AO500" s="399" t="s">
        <v>1787</v>
      </c>
      <c r="AP500" s="409" t="s">
        <v>6185</v>
      </c>
      <c r="AQ500" s="409" t="s">
        <v>3424</v>
      </c>
      <c r="AR500" s="399"/>
      <c r="AS500" s="399"/>
      <c r="AT500" s="399"/>
      <c r="AU500" s="399"/>
      <c r="AV500" s="399" t="str">
        <f t="shared" si="92"/>
        <v/>
      </c>
      <c r="AW500" s="399"/>
      <c r="AX500" s="409" t="s">
        <v>5194</v>
      </c>
      <c r="AY500" s="399" t="str">
        <f t="shared" si="93"/>
        <v>"Risk assessment conducted"-&gt;"STI Risk assessment conducted"</v>
      </c>
      <c r="AZ500" s="399"/>
      <c r="BA500" s="409">
        <v>1</v>
      </c>
      <c r="BB500" s="399"/>
      <c r="BC500" s="399" t="s">
        <v>1787</v>
      </c>
      <c r="BD500" s="409" t="s">
        <v>3162</v>
      </c>
      <c r="BE500" s="411" t="s">
        <v>4044</v>
      </c>
      <c r="BF500" s="411" t="s">
        <v>1787</v>
      </c>
      <c r="BG500" s="411"/>
      <c r="BH500" s="411"/>
      <c r="BI500" s="411"/>
      <c r="BJ500" s="399" t="s">
        <v>1787</v>
      </c>
      <c r="BK500" s="399" t="s">
        <v>1787</v>
      </c>
      <c r="BL500" s="399"/>
      <c r="BM500" s="399" t="s">
        <v>1787</v>
      </c>
      <c r="BN500" s="409" t="s">
        <v>6186</v>
      </c>
      <c r="BO500" s="399" t="s">
        <v>1787</v>
      </c>
      <c r="BP500" s="399" t="s">
        <v>1787</v>
      </c>
      <c r="BQ500" s="399" t="s">
        <v>1787</v>
      </c>
      <c r="BR500" s="399" t="s">
        <v>1787</v>
      </c>
      <c r="BS500" s="407"/>
      <c r="BT500" s="407"/>
      <c r="BU500" s="412"/>
      <c r="BV500" s="46" t="str">
        <f t="shared" si="8"/>
        <v>Observation</v>
      </c>
      <c r="BW500" s="46" t="str">
        <f t="shared" si="9"/>
        <v/>
      </c>
      <c r="BX500" s="46" t="str">
        <f t="shared" si="10"/>
        <v>Observation</v>
      </c>
      <c r="BY500" s="43" t="str">
        <f t="shared" si="11"/>
        <v>WHO-STI Observation (Risk Assessment)</v>
      </c>
      <c r="BZ500" s="46">
        <f t="shared" si="12"/>
        <v>1</v>
      </c>
      <c r="CA500" s="46">
        <f t="shared" si="13"/>
        <v>0</v>
      </c>
      <c r="CB500" s="46">
        <f t="shared" si="14"/>
        <v>1</v>
      </c>
      <c r="CC500" s="46">
        <f t="shared" si="15"/>
        <v>1</v>
      </c>
      <c r="CD500" s="46">
        <f t="shared" si="16"/>
        <v>1</v>
      </c>
      <c r="CE500" s="46">
        <f t="shared" si="17"/>
        <v>0</v>
      </c>
      <c r="CF500" s="46">
        <f t="shared" si="18"/>
        <v>0</v>
      </c>
      <c r="CG500" s="46" t="str">
        <f ca="1">IFERROR(__xludf.DUMMYFUNCTION("if(OR(BH500="""",LEFT(BH500,2)=""LA""),"""",IMPORTXML(CONCATENATE(""https://loinc.org/"",BH500,""/""),""//span[@id='lcn']""))"),"")</f>
        <v/>
      </c>
      <c r="CH500" s="46"/>
      <c r="CI500" s="46"/>
      <c r="CJ500" s="46"/>
      <c r="CK500" s="46"/>
      <c r="CL500" s="46"/>
      <c r="CM500" s="46"/>
      <c r="CN500" s="46"/>
      <c r="CO500" s="46"/>
      <c r="CP500" s="46"/>
      <c r="CQ500" s="46"/>
      <c r="CR500" s="46"/>
      <c r="CS500" s="46"/>
      <c r="CT500" s="46"/>
      <c r="CU500" s="46"/>
    </row>
    <row r="501" spans="1:99" ht="12.75" customHeight="1">
      <c r="A501" s="409">
        <v>1882</v>
      </c>
      <c r="B501" s="409" t="s">
        <v>5203</v>
      </c>
      <c r="C501" s="399">
        <f t="shared" si="77"/>
        <v>1882</v>
      </c>
      <c r="D501" s="399" t="str">
        <f t="shared" si="89"/>
        <v>STI risk-assessment factors</v>
      </c>
      <c r="E501" s="399" t="str">
        <f t="shared" si="90"/>
        <v>STI risk-assessment factors</v>
      </c>
      <c r="F501" s="399" t="str">
        <f t="shared" si="97"/>
        <v>Data Element</v>
      </c>
      <c r="G501" s="400">
        <f t="shared" si="80"/>
        <v>27</v>
      </c>
      <c r="H501" s="400" t="str">
        <f t="shared" si="98"/>
        <v/>
      </c>
      <c r="I501" s="400"/>
      <c r="J501" s="400"/>
      <c r="K501" s="409" t="s">
        <v>3475</v>
      </c>
      <c r="L501" s="402" t="s">
        <v>5194</v>
      </c>
      <c r="M501" s="400"/>
      <c r="N501" s="641" t="s">
        <v>6187</v>
      </c>
      <c r="O501" s="41" t="s">
        <v>6188</v>
      </c>
      <c r="P501" s="640" t="s">
        <v>5204</v>
      </c>
      <c r="Q501" s="429" t="s">
        <v>6189</v>
      </c>
      <c r="R501" s="404"/>
      <c r="S501" s="404" t="s">
        <v>5205</v>
      </c>
      <c r="T501" s="431" t="s">
        <v>3121</v>
      </c>
      <c r="U501" s="642" t="s">
        <v>6190</v>
      </c>
      <c r="V501" s="404"/>
      <c r="W501" s="431"/>
      <c r="X501" s="404" t="s">
        <v>208</v>
      </c>
      <c r="Y501" s="404"/>
      <c r="Z501" s="404" t="s">
        <v>113</v>
      </c>
      <c r="AA501" s="404" t="s">
        <v>3178</v>
      </c>
      <c r="AB501" s="420" t="s">
        <v>6191</v>
      </c>
      <c r="AC501" s="426"/>
      <c r="AD501" s="426"/>
      <c r="AE501" s="406"/>
      <c r="AF501" s="404"/>
      <c r="AG501" s="404"/>
      <c r="AH501" s="399"/>
      <c r="AI501" s="400"/>
      <c r="AJ501" s="399" t="s">
        <v>1787</v>
      </c>
      <c r="AK501" s="440" t="s">
        <v>3410</v>
      </c>
      <c r="AL501" s="409" t="s">
        <v>3181</v>
      </c>
      <c r="AM501" s="409" t="s">
        <v>3100</v>
      </c>
      <c r="AN501" s="409" t="s">
        <v>3101</v>
      </c>
      <c r="AO501" s="399" t="s">
        <v>1787</v>
      </c>
      <c r="AP501" s="409" t="s">
        <v>6192</v>
      </c>
      <c r="AQ501" s="409" t="s">
        <v>3424</v>
      </c>
      <c r="AR501" s="399"/>
      <c r="AS501" s="399"/>
      <c r="AT501" s="399"/>
      <c r="AU501" s="399"/>
      <c r="AV501" s="399" t="str">
        <f t="shared" si="92"/>
        <v/>
      </c>
      <c r="AW501" s="399"/>
      <c r="AX501" s="409" t="s">
        <v>3104</v>
      </c>
      <c r="AY501" s="399" t="str">
        <f t="shared" si="93"/>
        <v>"STI risk-assessment factors"-&gt;"STI risk assessment factors"</v>
      </c>
      <c r="AZ501" s="399"/>
      <c r="BA501" s="409">
        <v>1</v>
      </c>
      <c r="BB501" s="399"/>
      <c r="BC501" s="399" t="s">
        <v>1787</v>
      </c>
      <c r="BD501" s="399" t="s">
        <v>1787</v>
      </c>
      <c r="BE501" s="411"/>
      <c r="BF501" s="411" t="s">
        <v>1787</v>
      </c>
      <c r="BG501" s="411"/>
      <c r="BH501" s="434" t="s">
        <v>6193</v>
      </c>
      <c r="BI501" s="411"/>
      <c r="BJ501" s="399" t="s">
        <v>1787</v>
      </c>
      <c r="BK501" s="409" t="s">
        <v>6194</v>
      </c>
      <c r="BL501" s="399"/>
      <c r="BM501" s="399" t="s">
        <v>1787</v>
      </c>
      <c r="BN501" s="409" t="s">
        <v>6195</v>
      </c>
      <c r="BO501" s="399" t="s">
        <v>1787</v>
      </c>
      <c r="BP501" s="399" t="s">
        <v>1787</v>
      </c>
      <c r="BQ501" s="399" t="s">
        <v>1787</v>
      </c>
      <c r="BR501" s="399" t="s">
        <v>1787</v>
      </c>
      <c r="BS501" s="407"/>
      <c r="BT501" s="407"/>
      <c r="BU501" s="412"/>
      <c r="BV501" s="46" t="str">
        <f t="shared" si="8"/>
        <v>Observation</v>
      </c>
      <c r="BW501" s="46" t="str">
        <f t="shared" si="9"/>
        <v/>
      </c>
      <c r="BX501" s="46" t="str">
        <f t="shared" si="10"/>
        <v>Observation</v>
      </c>
      <c r="BY501" s="43" t="str">
        <f t="shared" si="11"/>
        <v>WHO-Core Observation (STI Risk Factors)</v>
      </c>
      <c r="BZ501" s="46">
        <f t="shared" si="12"/>
        <v>1</v>
      </c>
      <c r="CA501" s="46">
        <f t="shared" si="13"/>
        <v>1</v>
      </c>
      <c r="CB501" s="46">
        <f t="shared" si="14"/>
        <v>1</v>
      </c>
      <c r="CC501" s="46">
        <f t="shared" si="15"/>
        <v>1</v>
      </c>
      <c r="CD501" s="46">
        <f t="shared" si="16"/>
        <v>1</v>
      </c>
      <c r="CE501" s="46">
        <f t="shared" si="17"/>
        <v>0</v>
      </c>
      <c r="CF501" s="46">
        <f t="shared" si="18"/>
        <v>0</v>
      </c>
      <c r="CG501" s="46" t="str">
        <f ca="1">IFERROR(__xludf.DUMMYFUNCTION("if(OR(BH501="""",LEFT(BH501,2)=""LA""),"""",IMPORTXML(CONCATENATE(""https://loinc.org/"",BH501,""/""),""//span[@id='lcn']""))"),"")</f>
        <v/>
      </c>
      <c r="CH501" s="46"/>
      <c r="CI501" s="46"/>
      <c r="CJ501" s="46"/>
      <c r="CK501" s="46"/>
      <c r="CL501" s="46"/>
      <c r="CM501" s="46"/>
      <c r="CN501" s="46"/>
      <c r="CO501" s="46"/>
      <c r="CP501" s="46"/>
      <c r="CQ501" s="46"/>
      <c r="CR501" s="46"/>
      <c r="CS501" s="46"/>
      <c r="CT501" s="46"/>
      <c r="CU501" s="46"/>
    </row>
    <row r="502" spans="1:99" ht="12.75" customHeight="1">
      <c r="A502" s="409">
        <v>1883</v>
      </c>
      <c r="B502" s="399" t="s">
        <v>6196</v>
      </c>
      <c r="C502" s="399">
        <f t="shared" si="77"/>
        <v>1883</v>
      </c>
      <c r="D502" s="399" t="e">
        <f t="shared" ca="1" si="89"/>
        <v>#NAME?</v>
      </c>
      <c r="E502" s="399" t="str">
        <f t="shared" si="90"/>
        <v>Sex worker</v>
      </c>
      <c r="F502" s="399" t="str">
        <f t="shared" si="97"/>
        <v>Input Option</v>
      </c>
      <c r="G502" s="400">
        <f t="shared" si="80"/>
        <v>17</v>
      </c>
      <c r="H502" s="399" t="str">
        <f t="shared" si="98"/>
        <v>STI risk assessment factors</v>
      </c>
      <c r="I502" s="400"/>
      <c r="J502" s="400"/>
      <c r="K502" s="401" t="s">
        <v>5283</v>
      </c>
      <c r="L502" s="402" t="s">
        <v>5194</v>
      </c>
      <c r="M502" s="400"/>
      <c r="N502" s="639" t="s">
        <v>4853</v>
      </c>
      <c r="O502" s="404" t="s">
        <v>6197</v>
      </c>
      <c r="P502" s="404"/>
      <c r="Q502" s="404"/>
      <c r="R502" s="404"/>
      <c r="S502" s="404" t="s">
        <v>6198</v>
      </c>
      <c r="T502" s="404"/>
      <c r="U502" s="404"/>
      <c r="V502" s="437" t="s">
        <v>6199</v>
      </c>
      <c r="W502" s="404"/>
      <c r="X502" s="404"/>
      <c r="Y502" s="404"/>
      <c r="Z502" s="404" t="s">
        <v>113</v>
      </c>
      <c r="AA502" s="404" t="s">
        <v>1889</v>
      </c>
      <c r="AB502" s="406"/>
      <c r="AC502" s="404"/>
      <c r="AD502" s="404"/>
      <c r="AE502" s="406"/>
      <c r="AF502" s="404"/>
      <c r="AG502" s="404"/>
      <c r="AH502" s="399"/>
      <c r="AI502" s="400"/>
      <c r="AJ502" s="399" t="s">
        <v>1787</v>
      </c>
      <c r="AK502" s="399"/>
      <c r="AL502" s="409"/>
      <c r="AM502" s="409"/>
      <c r="AN502" s="409"/>
      <c r="AO502" s="399" t="s">
        <v>1787</v>
      </c>
      <c r="AP502" s="399"/>
      <c r="AQ502" s="409" t="s">
        <v>3424</v>
      </c>
      <c r="AR502" s="399"/>
      <c r="AS502" s="399"/>
      <c r="AT502" s="399"/>
      <c r="AU502" s="399"/>
      <c r="AV502" s="399" t="str">
        <f t="shared" si="92"/>
        <v/>
      </c>
      <c r="AW502" s="399"/>
      <c r="AX502" s="409" t="s">
        <v>3104</v>
      </c>
      <c r="AY502" s="399" t="e">
        <f t="shared" ca="1" si="93"/>
        <v>#NAME?</v>
      </c>
      <c r="AZ502" s="399"/>
      <c r="BA502" s="409">
        <v>1</v>
      </c>
      <c r="BB502" s="399"/>
      <c r="BC502" s="399" t="s">
        <v>1787</v>
      </c>
      <c r="BD502" s="409" t="s">
        <v>3162</v>
      </c>
      <c r="BE502" s="411"/>
      <c r="BF502" s="411" t="s">
        <v>1787</v>
      </c>
      <c r="BG502" s="434" t="s">
        <v>6200</v>
      </c>
      <c r="BH502" s="411"/>
      <c r="BI502" s="411"/>
      <c r="BJ502" s="399" t="s">
        <v>1787</v>
      </c>
      <c r="BK502" s="399" t="s">
        <v>1787</v>
      </c>
      <c r="BL502" s="399"/>
      <c r="BM502" s="399" t="s">
        <v>1787</v>
      </c>
      <c r="BN502" s="399" t="s">
        <v>1787</v>
      </c>
      <c r="BO502" s="399" t="s">
        <v>1787</v>
      </c>
      <c r="BP502" s="399" t="s">
        <v>1787</v>
      </c>
      <c r="BQ502" s="399" t="s">
        <v>1787</v>
      </c>
      <c r="BR502" s="399" t="s">
        <v>1787</v>
      </c>
      <c r="BS502" s="407"/>
      <c r="BT502" s="407"/>
      <c r="BU502" s="412"/>
      <c r="BV502" s="46" t="str">
        <f t="shared" si="8"/>
        <v/>
      </c>
      <c r="BW502" s="46">
        <f t="shared" si="9"/>
        <v>0</v>
      </c>
      <c r="BX502" s="46">
        <f t="shared" si="10"/>
        <v>0</v>
      </c>
      <c r="BY502" s="43" t="str">
        <f t="shared" si="11"/>
        <v>WHO-Core Observation (STI Risk Factors)</v>
      </c>
      <c r="BZ502" s="46">
        <f t="shared" si="12"/>
        <v>1</v>
      </c>
      <c r="CA502" s="46" t="str">
        <f t="shared" si="13"/>
        <v/>
      </c>
      <c r="CB502" s="46">
        <f t="shared" si="14"/>
        <v>1</v>
      </c>
      <c r="CC502" s="46">
        <f t="shared" si="15"/>
        <v>1</v>
      </c>
      <c r="CD502" s="46">
        <f t="shared" si="16"/>
        <v>1</v>
      </c>
      <c r="CE502" s="46">
        <f t="shared" si="17"/>
        <v>0</v>
      </c>
      <c r="CF502" s="46">
        <f t="shared" si="18"/>
        <v>0</v>
      </c>
      <c r="CG502" s="46" t="str">
        <f ca="1">IFERROR(__xludf.DUMMYFUNCTION("if(OR(BH502="""",LEFT(BH502,2)=""LA""),"""",IMPORTXML(CONCATENATE(""https://loinc.org/"",BH502,""/""),""//span[@id='lcn']""))"),"")</f>
        <v/>
      </c>
      <c r="CH502" s="46"/>
      <c r="CI502" s="46"/>
      <c r="CJ502" s="46"/>
      <c r="CK502" s="46"/>
      <c r="CL502" s="46"/>
      <c r="CM502" s="46"/>
      <c r="CN502" s="46"/>
      <c r="CO502" s="46"/>
      <c r="CP502" s="46"/>
      <c r="CQ502" s="46"/>
      <c r="CR502" s="46"/>
      <c r="CS502" s="46"/>
      <c r="CT502" s="46"/>
      <c r="CU502" s="46"/>
    </row>
    <row r="503" spans="1:99" ht="12.75" customHeight="1">
      <c r="A503" s="409">
        <v>1884</v>
      </c>
      <c r="B503" s="399" t="s">
        <v>6201</v>
      </c>
      <c r="C503" s="399">
        <f t="shared" si="77"/>
        <v>1884</v>
      </c>
      <c r="D503" s="399" t="e">
        <f t="shared" ca="1" si="89"/>
        <v>#NAME?</v>
      </c>
      <c r="E503" s="399" t="str">
        <f t="shared" si="90"/>
        <v>Sex with HIV+ person</v>
      </c>
      <c r="F503" s="399" t="str">
        <f t="shared" si="97"/>
        <v>Input Option</v>
      </c>
      <c r="G503" s="400">
        <f t="shared" si="80"/>
        <v>27</v>
      </c>
      <c r="H503" s="399" t="str">
        <f t="shared" si="98"/>
        <v>STI risk assessment factors</v>
      </c>
      <c r="I503" s="400"/>
      <c r="J503" s="400"/>
      <c r="K503" s="401" t="s">
        <v>5283</v>
      </c>
      <c r="L503" s="402" t="s">
        <v>5194</v>
      </c>
      <c r="M503" s="400"/>
      <c r="N503" s="639" t="s">
        <v>4853</v>
      </c>
      <c r="O503" s="404" t="s">
        <v>6202</v>
      </c>
      <c r="P503" s="404"/>
      <c r="Q503" s="404"/>
      <c r="R503" s="404"/>
      <c r="S503" s="420" t="s">
        <v>6203</v>
      </c>
      <c r="T503" s="426"/>
      <c r="U503" s="404"/>
      <c r="V503" s="444" t="s">
        <v>6204</v>
      </c>
      <c r="W503" s="404"/>
      <c r="X503" s="437"/>
      <c r="Y503" s="404"/>
      <c r="Z503" s="404" t="s">
        <v>113</v>
      </c>
      <c r="AA503" s="404" t="s">
        <v>1889</v>
      </c>
      <c r="AB503" s="406"/>
      <c r="AC503" s="404"/>
      <c r="AD503" s="404"/>
      <c r="AE503" s="406"/>
      <c r="AF503" s="404"/>
      <c r="AG503" s="404"/>
      <c r="AH503" s="399"/>
      <c r="AI503" s="400"/>
      <c r="AJ503" s="399" t="s">
        <v>1787</v>
      </c>
      <c r="AK503" s="399"/>
      <c r="AL503" s="409"/>
      <c r="AM503" s="409"/>
      <c r="AN503" s="409"/>
      <c r="AO503" s="399" t="s">
        <v>1787</v>
      </c>
      <c r="AP503" s="399"/>
      <c r="AQ503" s="409" t="s">
        <v>3424</v>
      </c>
      <c r="AR503" s="399"/>
      <c r="AS503" s="399"/>
      <c r="AT503" s="399"/>
      <c r="AU503" s="399"/>
      <c r="AV503" s="399" t="str">
        <f t="shared" si="92"/>
        <v/>
      </c>
      <c r="AW503" s="399"/>
      <c r="AX503" s="409" t="s">
        <v>3104</v>
      </c>
      <c r="AY503" s="399" t="e">
        <f t="shared" ca="1" si="93"/>
        <v>#NAME?</v>
      </c>
      <c r="AZ503" s="399"/>
      <c r="BA503" s="409" t="s">
        <v>3125</v>
      </c>
      <c r="BB503" s="399"/>
      <c r="BC503" s="399" t="s">
        <v>1787</v>
      </c>
      <c r="BD503" s="399" t="s">
        <v>1787</v>
      </c>
      <c r="BE503" s="434" t="s">
        <v>6205</v>
      </c>
      <c r="BF503" s="411" t="s">
        <v>1787</v>
      </c>
      <c r="BG503" s="411"/>
      <c r="BH503" s="411"/>
      <c r="BI503" s="411"/>
      <c r="BJ503" s="399" t="s">
        <v>1787</v>
      </c>
      <c r="BK503" s="409" t="s">
        <v>6206</v>
      </c>
      <c r="BL503" s="399"/>
      <c r="BM503" s="399" t="s">
        <v>1787</v>
      </c>
      <c r="BN503" s="399" t="s">
        <v>1787</v>
      </c>
      <c r="BO503" s="399" t="s">
        <v>1787</v>
      </c>
      <c r="BP503" s="399" t="s">
        <v>1787</v>
      </c>
      <c r="BQ503" s="399" t="s">
        <v>1787</v>
      </c>
      <c r="BR503" s="399" t="s">
        <v>1787</v>
      </c>
      <c r="BS503" s="407"/>
      <c r="BT503" s="407"/>
      <c r="BU503" s="412"/>
      <c r="BV503" s="46" t="str">
        <f t="shared" si="8"/>
        <v/>
      </c>
      <c r="BW503" s="46">
        <f t="shared" si="9"/>
        <v>0</v>
      </c>
      <c r="BX503" s="46">
        <f t="shared" si="10"/>
        <v>0</v>
      </c>
      <c r="BY503" s="43" t="str">
        <f t="shared" si="11"/>
        <v>WHO-Core Observation (STI Risk Factors)</v>
      </c>
      <c r="BZ503" s="46">
        <f t="shared" si="12"/>
        <v>1</v>
      </c>
      <c r="CA503" s="46" t="str">
        <f t="shared" si="13"/>
        <v/>
      </c>
      <c r="CB503" s="46">
        <f t="shared" si="14"/>
        <v>1</v>
      </c>
      <c r="CC503" s="46">
        <f t="shared" si="15"/>
        <v>1</v>
      </c>
      <c r="CD503" s="46">
        <f t="shared" si="16"/>
        <v>1</v>
      </c>
      <c r="CE503" s="46">
        <f t="shared" si="17"/>
        <v>0</v>
      </c>
      <c r="CF503" s="46">
        <f t="shared" si="18"/>
        <v>0</v>
      </c>
      <c r="CG503" s="46" t="str">
        <f ca="1">IFERROR(__xludf.DUMMYFUNCTION("if(OR(BH503="""",LEFT(BH503,2)=""LA""),"""",IMPORTXML(CONCATENATE(""https://loinc.org/"",BH503,""/""),""//span[@id='lcn']""))"),"")</f>
        <v/>
      </c>
      <c r="CH503" s="46"/>
      <c r="CI503" s="46"/>
      <c r="CJ503" s="46"/>
      <c r="CK503" s="46"/>
      <c r="CL503" s="46"/>
      <c r="CM503" s="46"/>
      <c r="CN503" s="46"/>
      <c r="CO503" s="46"/>
      <c r="CP503" s="46"/>
      <c r="CQ503" s="46"/>
      <c r="CR503" s="46"/>
      <c r="CS503" s="46"/>
      <c r="CT503" s="46"/>
      <c r="CU503" s="46"/>
    </row>
    <row r="504" spans="1:99" ht="12.75" customHeight="1">
      <c r="A504" s="409">
        <v>1885</v>
      </c>
      <c r="B504" s="399" t="s">
        <v>6207</v>
      </c>
      <c r="C504" s="399">
        <f t="shared" si="77"/>
        <v>1885</v>
      </c>
      <c r="D504" s="399" t="e">
        <f t="shared" ca="1" si="89"/>
        <v>#NAME?</v>
      </c>
      <c r="E504" s="399" t="str">
        <f t="shared" si="90"/>
        <v>Referral for STI screening</v>
      </c>
      <c r="F504" s="399" t="str">
        <f t="shared" si="97"/>
        <v>Input Option</v>
      </c>
      <c r="G504" s="400">
        <f t="shared" si="80"/>
        <v>33</v>
      </c>
      <c r="H504" s="399" t="str">
        <f t="shared" si="98"/>
        <v>STI risk assessment factors</v>
      </c>
      <c r="I504" s="400"/>
      <c r="J504" s="400"/>
      <c r="K504" s="401" t="s">
        <v>5283</v>
      </c>
      <c r="L504" s="402" t="s">
        <v>5194</v>
      </c>
      <c r="M504" s="400"/>
      <c r="N504" s="639" t="s">
        <v>4853</v>
      </c>
      <c r="O504" s="404" t="s">
        <v>6208</v>
      </c>
      <c r="P504" s="404"/>
      <c r="Q504" s="404"/>
      <c r="R504" s="404"/>
      <c r="S504" s="420" t="s">
        <v>6209</v>
      </c>
      <c r="T504" s="426"/>
      <c r="U504" s="404"/>
      <c r="V504" s="444" t="s">
        <v>6210</v>
      </c>
      <c r="W504" s="404"/>
      <c r="X504" s="437"/>
      <c r="Y504" s="404"/>
      <c r="Z504" s="404" t="s">
        <v>113</v>
      </c>
      <c r="AA504" s="404" t="s">
        <v>1889</v>
      </c>
      <c r="AB504" s="406"/>
      <c r="AC504" s="404"/>
      <c r="AD504" s="404"/>
      <c r="AE504" s="406"/>
      <c r="AF504" s="404"/>
      <c r="AG504" s="404"/>
      <c r="AH504" s="399"/>
      <c r="AI504" s="400"/>
      <c r="AJ504" s="399" t="s">
        <v>1787</v>
      </c>
      <c r="AK504" s="399"/>
      <c r="AL504" s="409"/>
      <c r="AM504" s="409"/>
      <c r="AN504" s="409"/>
      <c r="AO504" s="399" t="s">
        <v>1787</v>
      </c>
      <c r="AP504" s="399"/>
      <c r="AQ504" s="409" t="s">
        <v>3424</v>
      </c>
      <c r="AR504" s="399"/>
      <c r="AS504" s="399"/>
      <c r="AT504" s="399"/>
      <c r="AU504" s="399"/>
      <c r="AV504" s="399" t="str">
        <f t="shared" si="92"/>
        <v/>
      </c>
      <c r="AW504" s="399"/>
      <c r="AX504" s="409" t="s">
        <v>3104</v>
      </c>
      <c r="AY504" s="399" t="e">
        <f t="shared" ca="1" si="93"/>
        <v>#NAME?</v>
      </c>
      <c r="AZ504" s="399"/>
      <c r="BA504" s="409" t="s">
        <v>3125</v>
      </c>
      <c r="BB504" s="399"/>
      <c r="BC504" s="399" t="s">
        <v>1787</v>
      </c>
      <c r="BD504" s="399" t="s">
        <v>1787</v>
      </c>
      <c r="BE504" s="434" t="s">
        <v>6211</v>
      </c>
      <c r="BF504" s="411" t="s">
        <v>1787</v>
      </c>
      <c r="BG504" s="434" t="s">
        <v>6212</v>
      </c>
      <c r="BH504" s="411"/>
      <c r="BI504" s="411"/>
      <c r="BJ504" s="399" t="s">
        <v>1787</v>
      </c>
      <c r="BK504" s="409" t="s">
        <v>6213</v>
      </c>
      <c r="BL504" s="399"/>
      <c r="BM504" s="399" t="s">
        <v>1787</v>
      </c>
      <c r="BN504" s="399" t="s">
        <v>1787</v>
      </c>
      <c r="BO504" s="399" t="s">
        <v>1787</v>
      </c>
      <c r="BP504" s="399" t="s">
        <v>1787</v>
      </c>
      <c r="BQ504" s="399" t="s">
        <v>1787</v>
      </c>
      <c r="BR504" s="399" t="s">
        <v>1787</v>
      </c>
      <c r="BS504" s="407"/>
      <c r="BT504" s="407"/>
      <c r="BU504" s="412"/>
      <c r="BV504" s="46" t="str">
        <f t="shared" si="8"/>
        <v/>
      </c>
      <c r="BW504" s="46">
        <f t="shared" si="9"/>
        <v>0</v>
      </c>
      <c r="BX504" s="46">
        <f t="shared" si="10"/>
        <v>0</v>
      </c>
      <c r="BY504" s="43" t="str">
        <f t="shared" si="11"/>
        <v>WHO-Core Observation (STI Risk Factors)</v>
      </c>
      <c r="BZ504" s="46">
        <f t="shared" si="12"/>
        <v>1</v>
      </c>
      <c r="CA504" s="46" t="str">
        <f t="shared" si="13"/>
        <v/>
      </c>
      <c r="CB504" s="46">
        <f t="shared" si="14"/>
        <v>1</v>
      </c>
      <c r="CC504" s="46">
        <f t="shared" si="15"/>
        <v>1</v>
      </c>
      <c r="CD504" s="46">
        <f t="shared" si="16"/>
        <v>1</v>
      </c>
      <c r="CE504" s="46">
        <f t="shared" si="17"/>
        <v>0</v>
      </c>
      <c r="CF504" s="46">
        <f t="shared" si="18"/>
        <v>0</v>
      </c>
      <c r="CG504" s="46" t="str">
        <f ca="1">IFERROR(__xludf.DUMMYFUNCTION("if(OR(BH504="""",LEFT(BH504,2)=""LA""),"""",IMPORTXML(CONCATENATE(""https://loinc.org/"",BH504,""/""),""//span[@id='lcn']""))"),"")</f>
        <v/>
      </c>
      <c r="CH504" s="46"/>
      <c r="CI504" s="46"/>
      <c r="CJ504" s="46"/>
      <c r="CK504" s="46"/>
      <c r="CL504" s="46"/>
      <c r="CM504" s="46"/>
      <c r="CN504" s="46"/>
      <c r="CO504" s="46"/>
      <c r="CP504" s="46"/>
      <c r="CQ504" s="46"/>
      <c r="CR504" s="46"/>
      <c r="CS504" s="46"/>
      <c r="CT504" s="46"/>
      <c r="CU504" s="46"/>
    </row>
    <row r="505" spans="1:99" ht="12.75" customHeight="1">
      <c r="A505" s="409">
        <v>1886</v>
      </c>
      <c r="B505" s="399" t="s">
        <v>6214</v>
      </c>
      <c r="C505" s="399">
        <f t="shared" si="77"/>
        <v>1886</v>
      </c>
      <c r="D505" s="399" t="e">
        <f t="shared" ca="1" si="89"/>
        <v>#NAME?</v>
      </c>
      <c r="E505" s="399" t="str">
        <f t="shared" si="90"/>
        <v>Casual sexual partner</v>
      </c>
      <c r="F505" s="399" t="str">
        <f t="shared" si="97"/>
        <v>Input Option</v>
      </c>
      <c r="G505" s="400">
        <f t="shared" si="80"/>
        <v>28</v>
      </c>
      <c r="H505" s="399" t="str">
        <f t="shared" si="98"/>
        <v>STI risk assessment factors</v>
      </c>
      <c r="I505" s="400"/>
      <c r="J505" s="400"/>
      <c r="K505" s="401" t="s">
        <v>5283</v>
      </c>
      <c r="L505" s="402" t="s">
        <v>5194</v>
      </c>
      <c r="M505" s="400"/>
      <c r="N505" s="639" t="s">
        <v>4853</v>
      </c>
      <c r="O505" s="404" t="s">
        <v>6215</v>
      </c>
      <c r="P505" s="404"/>
      <c r="Q505" s="404"/>
      <c r="R505" s="404"/>
      <c r="S505" s="420" t="s">
        <v>6216</v>
      </c>
      <c r="T505" s="426"/>
      <c r="U505" s="404"/>
      <c r="V505" s="444" t="s">
        <v>6217</v>
      </c>
      <c r="W505" s="404"/>
      <c r="X505" s="437"/>
      <c r="Y505" s="404"/>
      <c r="Z505" s="404" t="s">
        <v>113</v>
      </c>
      <c r="AA505" s="404" t="s">
        <v>1889</v>
      </c>
      <c r="AB505" s="406"/>
      <c r="AC505" s="404"/>
      <c r="AD505" s="404"/>
      <c r="AE505" s="406"/>
      <c r="AF505" s="404"/>
      <c r="AG505" s="404"/>
      <c r="AH505" s="399"/>
      <c r="AI505" s="400"/>
      <c r="AJ505" s="399" t="s">
        <v>1787</v>
      </c>
      <c r="AK505" s="399"/>
      <c r="AL505" s="409"/>
      <c r="AM505" s="409"/>
      <c r="AN505" s="409"/>
      <c r="AO505" s="399" t="s">
        <v>1787</v>
      </c>
      <c r="AP505" s="399"/>
      <c r="AQ505" s="409" t="s">
        <v>3424</v>
      </c>
      <c r="AR505" s="399"/>
      <c r="AS505" s="399"/>
      <c r="AT505" s="399"/>
      <c r="AU505" s="399"/>
      <c r="AV505" s="399" t="str">
        <f t="shared" si="92"/>
        <v/>
      </c>
      <c r="AW505" s="399"/>
      <c r="AX505" s="409" t="s">
        <v>3104</v>
      </c>
      <c r="AY505" s="399" t="e">
        <f t="shared" ca="1" si="93"/>
        <v>#NAME?</v>
      </c>
      <c r="AZ505" s="399"/>
      <c r="BA505" s="409" t="s">
        <v>3125</v>
      </c>
      <c r="BB505" s="399"/>
      <c r="BC505" s="399" t="s">
        <v>1787</v>
      </c>
      <c r="BD505" s="409" t="s">
        <v>3162</v>
      </c>
      <c r="BE505" s="411"/>
      <c r="BF505" s="411" t="s">
        <v>1787</v>
      </c>
      <c r="BG505" s="434" t="s">
        <v>6218</v>
      </c>
      <c r="BH505" s="411"/>
      <c r="BI505" s="411"/>
      <c r="BJ505" s="399" t="s">
        <v>1787</v>
      </c>
      <c r="BK505" s="399" t="s">
        <v>1787</v>
      </c>
      <c r="BL505" s="399"/>
      <c r="BM505" s="409" t="s">
        <v>6219</v>
      </c>
      <c r="BN505" s="399" t="s">
        <v>1787</v>
      </c>
      <c r="BO505" s="399" t="s">
        <v>1787</v>
      </c>
      <c r="BP505" s="399" t="s">
        <v>1787</v>
      </c>
      <c r="BQ505" s="399" t="s">
        <v>1787</v>
      </c>
      <c r="BR505" s="399" t="s">
        <v>1787</v>
      </c>
      <c r="BS505" s="407"/>
      <c r="BT505" s="407"/>
      <c r="BU505" s="412"/>
      <c r="BV505" s="46" t="str">
        <f t="shared" si="8"/>
        <v/>
      </c>
      <c r="BW505" s="46">
        <f t="shared" si="9"/>
        <v>0</v>
      </c>
      <c r="BX505" s="46">
        <f t="shared" si="10"/>
        <v>0</v>
      </c>
      <c r="BY505" s="43" t="str">
        <f t="shared" si="11"/>
        <v>WHO-Core Observation (STI Risk Factors)</v>
      </c>
      <c r="BZ505" s="46">
        <f t="shared" si="12"/>
        <v>1</v>
      </c>
      <c r="CA505" s="46" t="str">
        <f t="shared" si="13"/>
        <v/>
      </c>
      <c r="CB505" s="46">
        <f t="shared" si="14"/>
        <v>1</v>
      </c>
      <c r="CC505" s="46">
        <f t="shared" si="15"/>
        <v>1</v>
      </c>
      <c r="CD505" s="46">
        <f t="shared" si="16"/>
        <v>1</v>
      </c>
      <c r="CE505" s="46">
        <f t="shared" si="17"/>
        <v>0</v>
      </c>
      <c r="CF505" s="46">
        <f t="shared" si="18"/>
        <v>0</v>
      </c>
      <c r="CG505" s="46" t="str">
        <f ca="1">IFERROR(__xludf.DUMMYFUNCTION("if(OR(BH505="""",LEFT(BH505,2)=""LA""),"""",IMPORTXML(CONCATENATE(""https://loinc.org/"",BH505,""/""),""//span[@id='lcn']""))"),"")</f>
        <v/>
      </c>
      <c r="CH505" s="46"/>
      <c r="CI505" s="46"/>
      <c r="CJ505" s="46"/>
      <c r="CK505" s="46"/>
      <c r="CL505" s="46"/>
      <c r="CM505" s="46"/>
      <c r="CN505" s="46"/>
      <c r="CO505" s="46"/>
      <c r="CP505" s="46"/>
      <c r="CQ505" s="46"/>
      <c r="CR505" s="46"/>
      <c r="CS505" s="46"/>
      <c r="CT505" s="46"/>
      <c r="CU505" s="46"/>
    </row>
    <row r="506" spans="1:99" ht="12.75" customHeight="1">
      <c r="A506" s="409">
        <v>1887</v>
      </c>
      <c r="B506" s="399" t="s">
        <v>1646</v>
      </c>
      <c r="C506" s="399">
        <f t="shared" si="77"/>
        <v>1887</v>
      </c>
      <c r="D506" s="399" t="e">
        <f t="shared" ca="1" si="89"/>
        <v>#NAME?</v>
      </c>
      <c r="E506" s="399" t="str">
        <f t="shared" si="90"/>
        <v>No condom use during sex</v>
      </c>
      <c r="F506" s="399" t="str">
        <f t="shared" si="97"/>
        <v>Input Option</v>
      </c>
      <c r="G506" s="400">
        <f t="shared" si="80"/>
        <v>31</v>
      </c>
      <c r="H506" s="399" t="str">
        <f t="shared" si="98"/>
        <v>STI risk assessment factors</v>
      </c>
      <c r="I506" s="400"/>
      <c r="J506" s="400"/>
      <c r="K506" s="401" t="s">
        <v>5283</v>
      </c>
      <c r="L506" s="402" t="s">
        <v>5194</v>
      </c>
      <c r="M506" s="400"/>
      <c r="N506" s="639" t="s">
        <v>4853</v>
      </c>
      <c r="O506" s="404" t="s">
        <v>6220</v>
      </c>
      <c r="P506" s="404"/>
      <c r="Q506" s="404"/>
      <c r="R506" s="404"/>
      <c r="S506" s="404"/>
      <c r="T506" s="404"/>
      <c r="U506" s="404"/>
      <c r="V506" s="444" t="s">
        <v>1209</v>
      </c>
      <c r="W506" s="407"/>
      <c r="X506" s="437"/>
      <c r="Y506" s="404"/>
      <c r="Z506" s="404" t="s">
        <v>113</v>
      </c>
      <c r="AA506" s="404" t="s">
        <v>1889</v>
      </c>
      <c r="AB506" s="406"/>
      <c r="AC506" s="404"/>
      <c r="AD506" s="404"/>
      <c r="AE506" s="406"/>
      <c r="AF506" s="404"/>
      <c r="AG506" s="404"/>
      <c r="AH506" s="399"/>
      <c r="AI506" s="400"/>
      <c r="AJ506" s="399" t="s">
        <v>1787</v>
      </c>
      <c r="AK506" s="399"/>
      <c r="AL506" s="409"/>
      <c r="AM506" s="409"/>
      <c r="AN506" s="409"/>
      <c r="AO506" s="399" t="s">
        <v>1787</v>
      </c>
      <c r="AP506" s="399"/>
      <c r="AQ506" s="409" t="s">
        <v>3424</v>
      </c>
      <c r="AR506" s="399"/>
      <c r="AS506" s="399"/>
      <c r="AT506" s="399"/>
      <c r="AU506" s="399"/>
      <c r="AV506" s="399" t="str">
        <f t="shared" si="92"/>
        <v/>
      </c>
      <c r="AW506" s="399"/>
      <c r="AX506" s="409" t="s">
        <v>3104</v>
      </c>
      <c r="AY506" s="399" t="e">
        <f t="shared" ca="1" si="93"/>
        <v>#NAME?</v>
      </c>
      <c r="AZ506" s="399"/>
      <c r="BA506" s="409" t="s">
        <v>3125</v>
      </c>
      <c r="BB506" s="399"/>
      <c r="BC506" s="399" t="s">
        <v>1787</v>
      </c>
      <c r="BD506" s="399" t="s">
        <v>1787</v>
      </c>
      <c r="BE506" s="411"/>
      <c r="BF506" s="411" t="s">
        <v>1787</v>
      </c>
      <c r="BG506" s="434" t="s">
        <v>6221</v>
      </c>
      <c r="BH506" s="411"/>
      <c r="BI506" s="411"/>
      <c r="BJ506" s="399" t="s">
        <v>1787</v>
      </c>
      <c r="BK506" s="399" t="s">
        <v>1787</v>
      </c>
      <c r="BL506" s="399"/>
      <c r="BM506" s="410" t="s">
        <v>6222</v>
      </c>
      <c r="BN506" s="399" t="s">
        <v>1787</v>
      </c>
      <c r="BO506" s="399" t="s">
        <v>1787</v>
      </c>
      <c r="BP506" s="399" t="s">
        <v>1787</v>
      </c>
      <c r="BQ506" s="399" t="s">
        <v>1787</v>
      </c>
      <c r="BR506" s="399" t="s">
        <v>1787</v>
      </c>
      <c r="BS506" s="407"/>
      <c r="BT506" s="407"/>
      <c r="BU506" s="412"/>
      <c r="BV506" s="46" t="str">
        <f t="shared" si="8"/>
        <v/>
      </c>
      <c r="BW506" s="46">
        <f t="shared" si="9"/>
        <v>0</v>
      </c>
      <c r="BX506" s="46">
        <f t="shared" si="10"/>
        <v>0</v>
      </c>
      <c r="BY506" s="43" t="str">
        <f t="shared" si="11"/>
        <v>WHO-Core Observation (STI Risk Factors)</v>
      </c>
      <c r="BZ506" s="46">
        <f t="shared" si="12"/>
        <v>1</v>
      </c>
      <c r="CA506" s="46" t="str">
        <f t="shared" si="13"/>
        <v/>
      </c>
      <c r="CB506" s="46">
        <f t="shared" si="14"/>
        <v>1</v>
      </c>
      <c r="CC506" s="46">
        <f t="shared" si="15"/>
        <v>1</v>
      </c>
      <c r="CD506" s="46">
        <f t="shared" si="16"/>
        <v>1</v>
      </c>
      <c r="CE506" s="46">
        <f t="shared" si="17"/>
        <v>0</v>
      </c>
      <c r="CF506" s="46">
        <f t="shared" si="18"/>
        <v>0</v>
      </c>
      <c r="CG506" s="46" t="str">
        <f ca="1">IFERROR(__xludf.DUMMYFUNCTION("if(OR(BH506="""",LEFT(BH506,2)=""LA""),"""",IMPORTXML(CONCATENATE(""https://loinc.org/"",BH506,""/""),""//span[@id='lcn']""))"),"")</f>
        <v/>
      </c>
      <c r="CH506" s="46"/>
      <c r="CI506" s="46"/>
      <c r="CJ506" s="46"/>
      <c r="CK506" s="46"/>
      <c r="CL506" s="46"/>
      <c r="CM506" s="46"/>
      <c r="CN506" s="46"/>
      <c r="CO506" s="46"/>
      <c r="CP506" s="46"/>
      <c r="CQ506" s="46"/>
      <c r="CR506" s="46"/>
      <c r="CS506" s="46"/>
      <c r="CT506" s="46"/>
      <c r="CU506" s="46"/>
    </row>
    <row r="507" spans="1:99" ht="12.75" customHeight="1">
      <c r="A507" s="409">
        <v>1888</v>
      </c>
      <c r="B507" s="399" t="s">
        <v>6223</v>
      </c>
      <c r="C507" s="399">
        <f t="shared" si="77"/>
        <v>1888</v>
      </c>
      <c r="D507" s="399" t="e">
        <f t="shared" ca="1" si="89"/>
        <v>#NAME?</v>
      </c>
      <c r="E507" s="399" t="str">
        <f t="shared" si="90"/>
        <v>Patient with multiple sexual partners</v>
      </c>
      <c r="F507" s="399" t="str">
        <f t="shared" si="97"/>
        <v>Input Option</v>
      </c>
      <c r="G507" s="400">
        <f t="shared" si="80"/>
        <v>44</v>
      </c>
      <c r="H507" s="399" t="str">
        <f t="shared" si="98"/>
        <v>STI risk assessment factors</v>
      </c>
      <c r="I507" s="400"/>
      <c r="J507" s="400"/>
      <c r="K507" s="401" t="s">
        <v>5283</v>
      </c>
      <c r="L507" s="402" t="s">
        <v>5194</v>
      </c>
      <c r="M507" s="400"/>
      <c r="N507" s="639" t="s">
        <v>4853</v>
      </c>
      <c r="O507" s="404" t="s">
        <v>6224</v>
      </c>
      <c r="P507" s="404"/>
      <c r="Q507" s="404"/>
      <c r="R507" s="404"/>
      <c r="S507" s="444" t="s">
        <v>6225</v>
      </c>
      <c r="T507" s="404"/>
      <c r="U507" s="404"/>
      <c r="V507" s="444" t="s">
        <v>6225</v>
      </c>
      <c r="W507" s="421"/>
      <c r="X507" s="437"/>
      <c r="Y507" s="404"/>
      <c r="Z507" s="404" t="s">
        <v>113</v>
      </c>
      <c r="AA507" s="404" t="s">
        <v>1889</v>
      </c>
      <c r="AB507" s="406"/>
      <c r="AC507" s="404"/>
      <c r="AD507" s="404"/>
      <c r="AE507" s="406"/>
      <c r="AF507" s="404"/>
      <c r="AG507" s="404"/>
      <c r="AH507" s="399"/>
      <c r="AI507" s="400"/>
      <c r="AJ507" s="399" t="s">
        <v>1787</v>
      </c>
      <c r="AK507" s="399"/>
      <c r="AL507" s="409"/>
      <c r="AM507" s="409"/>
      <c r="AN507" s="409"/>
      <c r="AO507" s="399" t="s">
        <v>1787</v>
      </c>
      <c r="AP507" s="399"/>
      <c r="AQ507" s="409" t="s">
        <v>3424</v>
      </c>
      <c r="AR507" s="399"/>
      <c r="AS507" s="399"/>
      <c r="AT507" s="399"/>
      <c r="AU507" s="399"/>
      <c r="AV507" s="399" t="str">
        <f t="shared" si="92"/>
        <v/>
      </c>
      <c r="AW507" s="399"/>
      <c r="AX507" s="409" t="s">
        <v>3104</v>
      </c>
      <c r="AY507" s="399" t="e">
        <f t="shared" ca="1" si="93"/>
        <v>#NAME?</v>
      </c>
      <c r="AZ507" s="399"/>
      <c r="BA507" s="409" t="s">
        <v>3125</v>
      </c>
      <c r="BB507" s="399"/>
      <c r="BC507" s="399" t="s">
        <v>1787</v>
      </c>
      <c r="BD507" s="409" t="s">
        <v>6226</v>
      </c>
      <c r="BE507" s="411" t="s">
        <v>6227</v>
      </c>
      <c r="BF507" s="411" t="s">
        <v>1787</v>
      </c>
      <c r="BG507" s="434" t="s">
        <v>6228</v>
      </c>
      <c r="BH507" s="411"/>
      <c r="BI507" s="411"/>
      <c r="BJ507" s="399" t="s">
        <v>1787</v>
      </c>
      <c r="BK507" s="399" t="s">
        <v>1787</v>
      </c>
      <c r="BL507" s="399"/>
      <c r="BM507" s="399" t="s">
        <v>1787</v>
      </c>
      <c r="BN507" s="399" t="s">
        <v>1787</v>
      </c>
      <c r="BO507" s="399" t="s">
        <v>1787</v>
      </c>
      <c r="BP507" s="399" t="s">
        <v>1787</v>
      </c>
      <c r="BQ507" s="399" t="s">
        <v>1787</v>
      </c>
      <c r="BR507" s="399" t="s">
        <v>1787</v>
      </c>
      <c r="BS507" s="407"/>
      <c r="BT507" s="407"/>
      <c r="BU507" s="412"/>
      <c r="BV507" s="46" t="str">
        <f t="shared" si="8"/>
        <v/>
      </c>
      <c r="BW507" s="46">
        <f t="shared" si="9"/>
        <v>0</v>
      </c>
      <c r="BX507" s="46">
        <f t="shared" si="10"/>
        <v>0</v>
      </c>
      <c r="BY507" s="43" t="str">
        <f t="shared" si="11"/>
        <v>WHO-Core Observation (STI Risk Factors)</v>
      </c>
      <c r="BZ507" s="46">
        <f t="shared" si="12"/>
        <v>1</v>
      </c>
      <c r="CA507" s="46" t="str">
        <f t="shared" si="13"/>
        <v/>
      </c>
      <c r="CB507" s="46">
        <f t="shared" si="14"/>
        <v>1</v>
      </c>
      <c r="CC507" s="46">
        <f t="shared" si="15"/>
        <v>1</v>
      </c>
      <c r="CD507" s="46">
        <f t="shared" si="16"/>
        <v>1</v>
      </c>
      <c r="CE507" s="46">
        <f t="shared" si="17"/>
        <v>0</v>
      </c>
      <c r="CF507" s="46">
        <f t="shared" si="18"/>
        <v>0</v>
      </c>
      <c r="CG507" s="46" t="str">
        <f ca="1">IFERROR(__xludf.DUMMYFUNCTION("if(OR(BH507="""",LEFT(BH507,2)=""LA""),"""",IMPORTXML(CONCATENATE(""https://loinc.org/"",BH507,""/""),""//span[@id='lcn']""))"),"")</f>
        <v/>
      </c>
      <c r="CH507" s="46"/>
      <c r="CI507" s="46"/>
      <c r="CJ507" s="46"/>
      <c r="CK507" s="46"/>
      <c r="CL507" s="46"/>
      <c r="CM507" s="46"/>
      <c r="CN507" s="46"/>
      <c r="CO507" s="46"/>
      <c r="CP507" s="46"/>
      <c r="CQ507" s="46"/>
      <c r="CR507" s="46"/>
      <c r="CS507" s="46"/>
      <c r="CT507" s="46"/>
      <c r="CU507" s="46"/>
    </row>
    <row r="508" spans="1:99" ht="12.75" customHeight="1">
      <c r="A508" s="409">
        <v>1889</v>
      </c>
      <c r="B508" s="399" t="s">
        <v>5244</v>
      </c>
      <c r="C508" s="399">
        <f t="shared" si="77"/>
        <v>1889</v>
      </c>
      <c r="D508" s="399" t="str">
        <f t="shared" si="89"/>
        <v>Increased risk of STIs</v>
      </c>
      <c r="E508" s="399" t="str">
        <f t="shared" si="90"/>
        <v>Increased risk of STIs</v>
      </c>
      <c r="F508" s="399" t="str">
        <f t="shared" si="97"/>
        <v>Data Element</v>
      </c>
      <c r="G508" s="400">
        <f t="shared" si="80"/>
        <v>22</v>
      </c>
      <c r="H508" s="400" t="str">
        <f t="shared" si="98"/>
        <v/>
      </c>
      <c r="I508" s="400"/>
      <c r="J508" s="400"/>
      <c r="K508" s="401" t="s">
        <v>5283</v>
      </c>
      <c r="L508" s="402" t="s">
        <v>5194</v>
      </c>
      <c r="M508" s="400"/>
      <c r="N508" s="639" t="s">
        <v>4853</v>
      </c>
      <c r="O508" s="431" t="s">
        <v>6229</v>
      </c>
      <c r="P508" s="431"/>
      <c r="Q508" s="429" t="s">
        <v>5244</v>
      </c>
      <c r="R508" s="404"/>
      <c r="S508" s="404" t="s">
        <v>6230</v>
      </c>
      <c r="T508" s="404" t="s">
        <v>3169</v>
      </c>
      <c r="U508" s="404"/>
      <c r="V508" s="431" t="s">
        <v>3170</v>
      </c>
      <c r="W508" s="407"/>
      <c r="X508" s="643" t="s">
        <v>208</v>
      </c>
      <c r="Y508" s="643"/>
      <c r="Z508" s="404" t="s">
        <v>113</v>
      </c>
      <c r="AA508" s="404" t="s">
        <v>1889</v>
      </c>
      <c r="AB508" s="644"/>
      <c r="AC508" s="643"/>
      <c r="AD508" s="404" t="s">
        <v>3215</v>
      </c>
      <c r="AE508" s="644"/>
      <c r="AF508" s="643"/>
      <c r="AG508" s="643"/>
      <c r="AH508" s="399"/>
      <c r="AI508" s="400"/>
      <c r="AJ508" s="399" t="s">
        <v>1787</v>
      </c>
      <c r="AK508" s="409" t="s">
        <v>3410</v>
      </c>
      <c r="AL508" s="440" t="s">
        <v>3313</v>
      </c>
      <c r="AM508" s="409" t="s">
        <v>3100</v>
      </c>
      <c r="AN508" s="409" t="s">
        <v>3101</v>
      </c>
      <c r="AO508" s="399" t="s">
        <v>1787</v>
      </c>
      <c r="AP508" s="409" t="s">
        <v>6231</v>
      </c>
      <c r="AQ508" s="409" t="s">
        <v>3424</v>
      </c>
      <c r="AR508" s="399"/>
      <c r="AS508" s="399"/>
      <c r="AT508" s="399"/>
      <c r="AU508" s="399"/>
      <c r="AV508" s="399" t="str">
        <f t="shared" si="92"/>
        <v/>
      </c>
      <c r="AW508" s="399"/>
      <c r="AX508" s="409" t="s">
        <v>5194</v>
      </c>
      <c r="AY508" s="399" t="str">
        <f t="shared" si="93"/>
        <v/>
      </c>
      <c r="AZ508" s="399"/>
      <c r="BA508" s="409">
        <v>1</v>
      </c>
      <c r="BB508" s="399"/>
      <c r="BC508" s="399" t="s">
        <v>1787</v>
      </c>
      <c r="BD508" s="399" t="s">
        <v>1787</v>
      </c>
      <c r="BE508" s="411" t="s">
        <v>5247</v>
      </c>
      <c r="BF508" s="411" t="s">
        <v>1787</v>
      </c>
      <c r="BG508" s="411"/>
      <c r="BH508" s="411"/>
      <c r="BI508" s="411"/>
      <c r="BJ508" s="399"/>
      <c r="BK508" s="399" t="s">
        <v>1787</v>
      </c>
      <c r="BL508" s="399"/>
      <c r="BM508" s="399" t="s">
        <v>1787</v>
      </c>
      <c r="BN508" s="399" t="s">
        <v>1787</v>
      </c>
      <c r="BO508" s="399" t="s">
        <v>1787</v>
      </c>
      <c r="BP508" s="399" t="s">
        <v>1787</v>
      </c>
      <c r="BQ508" s="399" t="s">
        <v>1787</v>
      </c>
      <c r="BR508" s="399" t="s">
        <v>1787</v>
      </c>
      <c r="BS508" s="407"/>
      <c r="BT508" s="407"/>
      <c r="BU508" s="412"/>
      <c r="BV508" s="46" t="str">
        <f t="shared" si="8"/>
        <v>Observation</v>
      </c>
      <c r="BW508" s="46" t="str">
        <f t="shared" si="9"/>
        <v/>
      </c>
      <c r="BX508" s="46" t="str">
        <f t="shared" si="10"/>
        <v>Observation</v>
      </c>
      <c r="BY508" s="43" t="str">
        <f t="shared" si="11"/>
        <v>WHO-STI Observation (Increased STI Risk)</v>
      </c>
      <c r="BZ508" s="46">
        <f t="shared" si="12"/>
        <v>1</v>
      </c>
      <c r="CA508" s="46">
        <f t="shared" si="13"/>
        <v>0</v>
      </c>
      <c r="CB508" s="46">
        <f t="shared" si="14"/>
        <v>1</v>
      </c>
      <c r="CC508" s="46">
        <f t="shared" si="15"/>
        <v>1</v>
      </c>
      <c r="CD508" s="46">
        <f t="shared" si="16"/>
        <v>1</v>
      </c>
      <c r="CE508" s="46">
        <f t="shared" si="17"/>
        <v>0</v>
      </c>
      <c r="CF508" s="46">
        <f t="shared" si="18"/>
        <v>0</v>
      </c>
      <c r="CG508" s="46" t="str">
        <f ca="1">IFERROR(__xludf.DUMMYFUNCTION("if(OR(BH508="""",LEFT(BH508,2)=""LA""),"""",IMPORTXML(CONCATENATE(""https://loinc.org/"",BH508,""/""),""//span[@id='lcn']""))"),"")</f>
        <v/>
      </c>
      <c r="CH508" s="46"/>
      <c r="CI508" s="46"/>
      <c r="CJ508" s="46"/>
      <c r="CK508" s="46"/>
      <c r="CL508" s="46"/>
      <c r="CM508" s="46"/>
      <c r="CN508" s="46"/>
      <c r="CO508" s="46"/>
      <c r="CP508" s="46"/>
      <c r="CQ508" s="46"/>
      <c r="CR508" s="46"/>
      <c r="CS508" s="46"/>
      <c r="CT508" s="46"/>
      <c r="CU508" s="46"/>
    </row>
    <row r="509" spans="1:99" ht="12.75" customHeight="1">
      <c r="A509" s="409">
        <v>1893</v>
      </c>
      <c r="B509" s="399" t="s">
        <v>960</v>
      </c>
      <c r="C509" s="399">
        <f t="shared" si="77"/>
        <v>1893</v>
      </c>
      <c r="D509" s="399" t="str">
        <f t="shared" si="89"/>
        <v>Current medications</v>
      </c>
      <c r="E509" s="399" t="str">
        <f t="shared" si="90"/>
        <v>Current medications</v>
      </c>
      <c r="F509" s="399" t="str">
        <f t="shared" si="97"/>
        <v>Data Element</v>
      </c>
      <c r="G509" s="400">
        <f t="shared" si="80"/>
        <v>19</v>
      </c>
      <c r="H509" s="400" t="str">
        <f t="shared" si="98"/>
        <v/>
      </c>
      <c r="I509" s="400"/>
      <c r="J509" s="400"/>
      <c r="K509" s="401" t="s">
        <v>5283</v>
      </c>
      <c r="L509" s="402" t="s">
        <v>961</v>
      </c>
      <c r="M509" s="400"/>
      <c r="N509" s="639" t="s">
        <v>4853</v>
      </c>
      <c r="O509" s="431" t="s">
        <v>6232</v>
      </c>
      <c r="P509" s="431"/>
      <c r="Q509" s="404" t="s">
        <v>960</v>
      </c>
      <c r="R509" s="404" t="s">
        <v>962</v>
      </c>
      <c r="S509" s="404" t="s">
        <v>6233</v>
      </c>
      <c r="T509" s="404" t="s">
        <v>3121</v>
      </c>
      <c r="U509" s="420" t="s">
        <v>3326</v>
      </c>
      <c r="V509" s="404"/>
      <c r="W509" s="407"/>
      <c r="X509" s="404" t="s">
        <v>113</v>
      </c>
      <c r="Y509" s="404" t="s">
        <v>964</v>
      </c>
      <c r="Z509" s="404" t="s">
        <v>113</v>
      </c>
      <c r="AA509" s="404" t="s">
        <v>3098</v>
      </c>
      <c r="AB509" s="406"/>
      <c r="AC509" s="404"/>
      <c r="AD509" s="404"/>
      <c r="AE509" s="406"/>
      <c r="AF509" s="404"/>
      <c r="AG509" s="404"/>
      <c r="AH509" s="399"/>
      <c r="AI509" s="400"/>
      <c r="AJ509" s="399" t="s">
        <v>1787</v>
      </c>
      <c r="AK509" s="409" t="s">
        <v>3650</v>
      </c>
      <c r="AL509" s="409" t="s">
        <v>3181</v>
      </c>
      <c r="AM509" s="409" t="s">
        <v>3100</v>
      </c>
      <c r="AN509" s="409" t="s">
        <v>3101</v>
      </c>
      <c r="AO509" s="399" t="s">
        <v>1787</v>
      </c>
      <c r="AP509" s="409" t="s">
        <v>6234</v>
      </c>
      <c r="AQ509" s="409" t="s">
        <v>3424</v>
      </c>
      <c r="AR509" s="399"/>
      <c r="AS509" s="409" t="s">
        <v>3413</v>
      </c>
      <c r="AT509" s="399"/>
      <c r="AU509" s="399"/>
      <c r="AV509" s="399" t="str">
        <f t="shared" si="92"/>
        <v/>
      </c>
      <c r="AW509" s="399"/>
      <c r="AX509" s="409" t="s">
        <v>3104</v>
      </c>
      <c r="AY509" s="399" t="str">
        <f t="shared" si="93"/>
        <v/>
      </c>
      <c r="AZ509" s="409" t="s">
        <v>3105</v>
      </c>
      <c r="BA509" s="409" t="s">
        <v>3125</v>
      </c>
      <c r="BB509" s="399"/>
      <c r="BC509" s="399" t="s">
        <v>1787</v>
      </c>
      <c r="BD509" s="399" t="s">
        <v>1787</v>
      </c>
      <c r="BE509" s="411"/>
      <c r="BF509" s="411" t="s">
        <v>1787</v>
      </c>
      <c r="BG509" s="411"/>
      <c r="BH509" s="411"/>
      <c r="BI509" s="411"/>
      <c r="BJ509" s="409" t="s">
        <v>3106</v>
      </c>
      <c r="BK509" s="399" t="s">
        <v>1787</v>
      </c>
      <c r="BL509" s="399"/>
      <c r="BM509" s="399" t="s">
        <v>1787</v>
      </c>
      <c r="BN509" s="399" t="s">
        <v>1787</v>
      </c>
      <c r="BO509" s="399" t="s">
        <v>1787</v>
      </c>
      <c r="BP509" s="399" t="s">
        <v>1787</v>
      </c>
      <c r="BQ509" s="399" t="s">
        <v>1787</v>
      </c>
      <c r="BR509" s="399" t="s">
        <v>1787</v>
      </c>
      <c r="BS509" s="407"/>
      <c r="BT509" s="407"/>
      <c r="BU509" s="412"/>
      <c r="BV509" s="46" t="str">
        <f t="shared" si="8"/>
        <v>MedicationStatement</v>
      </c>
      <c r="BW509" s="46" t="str">
        <f t="shared" si="9"/>
        <v/>
      </c>
      <c r="BX509" s="46" t="str">
        <f t="shared" si="10"/>
        <v>MedicationStatement</v>
      </c>
      <c r="BY509" s="43" t="str">
        <f t="shared" si="11"/>
        <v>WHO-Core MedicationStatement (Current Medication)</v>
      </c>
      <c r="BZ509" s="46">
        <f t="shared" si="12"/>
        <v>1</v>
      </c>
      <c r="CA509" s="46">
        <f t="shared" si="13"/>
        <v>1</v>
      </c>
      <c r="CB509" s="46">
        <f t="shared" si="14"/>
        <v>1</v>
      </c>
      <c r="CC509" s="46">
        <f t="shared" si="15"/>
        <v>1</v>
      </c>
      <c r="CD509" s="46">
        <f t="shared" si="16"/>
        <v>1</v>
      </c>
      <c r="CE509" s="46">
        <f t="shared" si="17"/>
        <v>0</v>
      </c>
      <c r="CF509" s="46">
        <f t="shared" si="18"/>
        <v>0</v>
      </c>
      <c r="CG509" s="46" t="str">
        <f ca="1">IFERROR(__xludf.DUMMYFUNCTION("if(OR(BH509="""",LEFT(BH509,2)=""LA""),"""",IMPORTXML(CONCATENATE(""https://loinc.org/"",BH509,""/""),""//span[@id='lcn']""))"),"")</f>
        <v/>
      </c>
      <c r="CH509" s="46"/>
      <c r="CI509" s="46"/>
      <c r="CJ509" s="46"/>
      <c r="CK509" s="46"/>
      <c r="CL509" s="46"/>
      <c r="CM509" s="46"/>
      <c r="CN509" s="46"/>
      <c r="CO509" s="46"/>
      <c r="CP509" s="46"/>
      <c r="CQ509" s="46"/>
      <c r="CR509" s="46"/>
      <c r="CS509" s="46"/>
      <c r="CT509" s="46"/>
      <c r="CU509" s="46"/>
    </row>
    <row r="510" spans="1:99" ht="12.75" customHeight="1">
      <c r="A510" s="409">
        <v>1894</v>
      </c>
      <c r="B510" s="399" t="s">
        <v>553</v>
      </c>
      <c r="C510" s="399">
        <f t="shared" si="77"/>
        <v>1894</v>
      </c>
      <c r="D510" s="399" t="e">
        <f t="shared" ca="1" si="89"/>
        <v>#NAME?</v>
      </c>
      <c r="E510" s="399" t="str">
        <f t="shared" si="90"/>
        <v>None</v>
      </c>
      <c r="F510" s="399" t="str">
        <f t="shared" si="97"/>
        <v>Input Option</v>
      </c>
      <c r="G510" s="400">
        <f t="shared" si="80"/>
        <v>11</v>
      </c>
      <c r="H510" s="399" t="str">
        <f t="shared" si="98"/>
        <v>Current medications</v>
      </c>
      <c r="I510" s="400"/>
      <c r="J510" s="400"/>
      <c r="K510" s="401" t="s">
        <v>5283</v>
      </c>
      <c r="L510" s="402" t="s">
        <v>961</v>
      </c>
      <c r="M510" s="400"/>
      <c r="N510" s="639" t="s">
        <v>4853</v>
      </c>
      <c r="O510" s="431" t="s">
        <v>6235</v>
      </c>
      <c r="P510" s="431"/>
      <c r="Q510" s="404"/>
      <c r="R510" s="404"/>
      <c r="S510" s="404"/>
      <c r="T510" s="437"/>
      <c r="U510" s="437"/>
      <c r="V510" s="404" t="s">
        <v>423</v>
      </c>
      <c r="W510" s="404"/>
      <c r="X510" s="404" t="s">
        <v>208</v>
      </c>
      <c r="Y510" s="404"/>
      <c r="Z510" s="404" t="s">
        <v>113</v>
      </c>
      <c r="AA510" s="404" t="s">
        <v>3098</v>
      </c>
      <c r="AB510" s="406"/>
      <c r="AC510" s="404"/>
      <c r="AD510" s="404"/>
      <c r="AE510" s="406"/>
      <c r="AF510" s="404"/>
      <c r="AG510" s="404"/>
      <c r="AH510" s="399"/>
      <c r="AI510" s="400"/>
      <c r="AJ510" s="399" t="s">
        <v>1787</v>
      </c>
      <c r="AK510" s="399"/>
      <c r="AL510" s="399" t="s">
        <v>1787</v>
      </c>
      <c r="AM510" s="399"/>
      <c r="AN510" s="399" t="s">
        <v>1787</v>
      </c>
      <c r="AO510" s="399" t="s">
        <v>1787</v>
      </c>
      <c r="AP510" s="399"/>
      <c r="AQ510" s="409" t="s">
        <v>3424</v>
      </c>
      <c r="AR510" s="399"/>
      <c r="AS510" s="399"/>
      <c r="AT510" s="399"/>
      <c r="AU510" s="399"/>
      <c r="AV510" s="399" t="str">
        <f t="shared" si="92"/>
        <v/>
      </c>
      <c r="AW510" s="399"/>
      <c r="AX510" s="409" t="s">
        <v>3104</v>
      </c>
      <c r="AY510" s="399" t="e">
        <f t="shared" ca="1" si="93"/>
        <v>#NAME?</v>
      </c>
      <c r="AZ510" s="409" t="s">
        <v>3105</v>
      </c>
      <c r="BA510" s="409" t="s">
        <v>3125</v>
      </c>
      <c r="BB510" s="399"/>
      <c r="BC510" s="399" t="s">
        <v>1787</v>
      </c>
      <c r="BD510" s="399" t="s">
        <v>1787</v>
      </c>
      <c r="BE510" s="411"/>
      <c r="BF510" s="411" t="s">
        <v>1787</v>
      </c>
      <c r="BG510" s="411"/>
      <c r="BH510" s="411"/>
      <c r="BI510" s="411"/>
      <c r="BJ510" s="409" t="s">
        <v>3106</v>
      </c>
      <c r="BK510" s="399" t="s">
        <v>1787</v>
      </c>
      <c r="BL510" s="399"/>
      <c r="BM510" s="399" t="s">
        <v>1787</v>
      </c>
      <c r="BN510" s="399" t="s">
        <v>1787</v>
      </c>
      <c r="BO510" s="399" t="s">
        <v>1787</v>
      </c>
      <c r="BP510" s="399" t="s">
        <v>1787</v>
      </c>
      <c r="BQ510" s="399" t="s">
        <v>1787</v>
      </c>
      <c r="BR510" s="399" t="s">
        <v>1787</v>
      </c>
      <c r="BS510" s="407"/>
      <c r="BT510" s="407"/>
      <c r="BU510" s="412"/>
      <c r="BV510" s="46" t="str">
        <f t="shared" si="8"/>
        <v/>
      </c>
      <c r="BW510" s="46">
        <f t="shared" si="9"/>
        <v>0</v>
      </c>
      <c r="BX510" s="46">
        <f t="shared" si="10"/>
        <v>0</v>
      </c>
      <c r="BY510" s="43" t="str">
        <f t="shared" si="11"/>
        <v>WHO-FP MedicationStatement (Current Medication)</v>
      </c>
      <c r="BZ510" s="46">
        <f t="shared" si="12"/>
        <v>1</v>
      </c>
      <c r="CA510" s="46" t="str">
        <f t="shared" si="13"/>
        <v/>
      </c>
      <c r="CB510" s="46">
        <f t="shared" si="14"/>
        <v>1</v>
      </c>
      <c r="CC510" s="46">
        <f t="shared" si="15"/>
        <v>1</v>
      </c>
      <c r="CD510" s="46">
        <f t="shared" si="16"/>
        <v>1</v>
      </c>
      <c r="CE510" s="46">
        <f t="shared" si="17"/>
        <v>0</v>
      </c>
      <c r="CF510" s="46">
        <f t="shared" si="18"/>
        <v>0</v>
      </c>
      <c r="CG510" s="46" t="str">
        <f ca="1">IFERROR(__xludf.DUMMYFUNCTION("if(OR(BH510="""",LEFT(BH510,2)=""LA""),"""",IMPORTXML(CONCATENATE(""https://loinc.org/"",BH510,""/""),""//span[@id='lcn']""))"),"")</f>
        <v/>
      </c>
      <c r="CH510" s="46"/>
      <c r="CI510" s="46"/>
      <c r="CJ510" s="46"/>
      <c r="CK510" s="46"/>
      <c r="CL510" s="46"/>
      <c r="CM510" s="46"/>
      <c r="CN510" s="46"/>
      <c r="CO510" s="46"/>
      <c r="CP510" s="46"/>
      <c r="CQ510" s="46"/>
      <c r="CR510" s="46"/>
      <c r="CS510" s="46"/>
      <c r="CT510" s="46"/>
      <c r="CU510" s="46"/>
    </row>
    <row r="511" spans="1:99" ht="12.75" customHeight="1">
      <c r="A511" s="409">
        <v>1895</v>
      </c>
      <c r="B511" s="399" t="s">
        <v>701</v>
      </c>
      <c r="C511" s="399">
        <f t="shared" si="77"/>
        <v>1895</v>
      </c>
      <c r="D511" s="399" t="e">
        <f t="shared" ca="1" si="89"/>
        <v>#NAME?</v>
      </c>
      <c r="E511" s="399" t="str">
        <f t="shared" si="90"/>
        <v>Don't know</v>
      </c>
      <c r="F511" s="399" t="str">
        <f t="shared" si="97"/>
        <v>Input Option</v>
      </c>
      <c r="G511" s="400">
        <f t="shared" si="80"/>
        <v>17</v>
      </c>
      <c r="H511" s="399" t="str">
        <f t="shared" si="98"/>
        <v>Current medications</v>
      </c>
      <c r="I511" s="400"/>
      <c r="J511" s="400"/>
      <c r="K511" s="401" t="s">
        <v>5283</v>
      </c>
      <c r="L511" s="402" t="s">
        <v>961</v>
      </c>
      <c r="M511" s="400"/>
      <c r="N511" s="639" t="s">
        <v>4853</v>
      </c>
      <c r="O511" s="431" t="s">
        <v>6236</v>
      </c>
      <c r="P511" s="431"/>
      <c r="Q511" s="404"/>
      <c r="R511" s="404"/>
      <c r="S511" s="404"/>
      <c r="T511" s="437"/>
      <c r="U511" s="437"/>
      <c r="V511" s="404" t="s">
        <v>500</v>
      </c>
      <c r="W511" s="407"/>
      <c r="X511" s="404" t="s">
        <v>208</v>
      </c>
      <c r="Y511" s="404"/>
      <c r="Z511" s="404" t="s">
        <v>113</v>
      </c>
      <c r="AA511" s="404" t="s">
        <v>3098</v>
      </c>
      <c r="AB511" s="406"/>
      <c r="AC511" s="404"/>
      <c r="AD511" s="404"/>
      <c r="AE511" s="406"/>
      <c r="AF511" s="404"/>
      <c r="AG511" s="404"/>
      <c r="AH511" s="399"/>
      <c r="AI511" s="400"/>
      <c r="AJ511" s="399" t="s">
        <v>1787</v>
      </c>
      <c r="AK511" s="399"/>
      <c r="AL511" s="399" t="s">
        <v>1787</v>
      </c>
      <c r="AM511" s="399"/>
      <c r="AN511" s="399" t="s">
        <v>1787</v>
      </c>
      <c r="AO511" s="399" t="s">
        <v>1787</v>
      </c>
      <c r="AP511" s="399"/>
      <c r="AQ511" s="409" t="s">
        <v>3424</v>
      </c>
      <c r="AR511" s="399"/>
      <c r="AS511" s="399"/>
      <c r="AT511" s="399"/>
      <c r="AU511" s="399"/>
      <c r="AV511" s="399" t="str">
        <f t="shared" si="92"/>
        <v/>
      </c>
      <c r="AW511" s="399"/>
      <c r="AX511" s="409" t="s">
        <v>3104</v>
      </c>
      <c r="AY511" s="399" t="e">
        <f t="shared" ca="1" si="93"/>
        <v>#NAME?</v>
      </c>
      <c r="AZ511" s="399"/>
      <c r="BA511" s="409" t="s">
        <v>3125</v>
      </c>
      <c r="BB511" s="415" t="s">
        <v>3131</v>
      </c>
      <c r="BC511" s="399" t="s">
        <v>500</v>
      </c>
      <c r="BD511" s="399" t="s">
        <v>1787</v>
      </c>
      <c r="BE511" s="411"/>
      <c r="BF511" s="411" t="s">
        <v>1787</v>
      </c>
      <c r="BG511" s="411"/>
      <c r="BH511" s="411"/>
      <c r="BI511" s="411"/>
      <c r="BJ511" s="409" t="s">
        <v>4282</v>
      </c>
      <c r="BK511" s="399" t="s">
        <v>1787</v>
      </c>
      <c r="BL511" s="409" t="s">
        <v>3162</v>
      </c>
      <c r="BM511" s="399" t="s">
        <v>1787</v>
      </c>
      <c r="BN511" s="399" t="s">
        <v>1787</v>
      </c>
      <c r="BO511" s="399" t="s">
        <v>1787</v>
      </c>
      <c r="BP511" s="399" t="s">
        <v>1787</v>
      </c>
      <c r="BQ511" s="399" t="s">
        <v>1787</v>
      </c>
      <c r="BR511" s="399" t="s">
        <v>1787</v>
      </c>
      <c r="BS511" s="407"/>
      <c r="BT511" s="407"/>
      <c r="BU511" s="412"/>
      <c r="BV511" s="46" t="str">
        <f t="shared" si="8"/>
        <v/>
      </c>
      <c r="BW511" s="46">
        <f t="shared" si="9"/>
        <v>0</v>
      </c>
      <c r="BX511" s="46">
        <f t="shared" si="10"/>
        <v>0</v>
      </c>
      <c r="BY511" s="43" t="str">
        <f t="shared" si="11"/>
        <v>WHO-FP MedicationStatement (Current Medication)</v>
      </c>
      <c r="BZ511" s="46">
        <f t="shared" si="12"/>
        <v>1</v>
      </c>
      <c r="CA511" s="46" t="str">
        <f t="shared" si="13"/>
        <v/>
      </c>
      <c r="CB511" s="46">
        <f t="shared" si="14"/>
        <v>1</v>
      </c>
      <c r="CC511" s="46">
        <f t="shared" si="15"/>
        <v>1</v>
      </c>
      <c r="CD511" s="46">
        <f t="shared" si="16"/>
        <v>1</v>
      </c>
      <c r="CE511" s="46">
        <f t="shared" si="17"/>
        <v>0</v>
      </c>
      <c r="CF511" s="46">
        <f t="shared" si="18"/>
        <v>0</v>
      </c>
      <c r="CG511" s="46" t="str">
        <f ca="1">IFERROR(__xludf.DUMMYFUNCTION("if(OR(BH511="""",LEFT(BH511,2)=""LA""),"""",IMPORTXML(CONCATENATE(""https://loinc.org/"",BH511,""/""),""//span[@id='lcn']""))"),"")</f>
        <v/>
      </c>
      <c r="CH511" s="46"/>
      <c r="CI511" s="46"/>
      <c r="CJ511" s="46"/>
      <c r="CK511" s="46"/>
      <c r="CL511" s="46"/>
      <c r="CM511" s="46"/>
      <c r="CN511" s="46"/>
      <c r="CO511" s="46"/>
      <c r="CP511" s="46"/>
      <c r="CQ511" s="46"/>
      <c r="CR511" s="46"/>
      <c r="CS511" s="46"/>
      <c r="CT511" s="46"/>
      <c r="CU511" s="46"/>
    </row>
    <row r="512" spans="1:99" ht="12.75" customHeight="1">
      <c r="A512" s="409">
        <v>1896</v>
      </c>
      <c r="B512" s="399" t="s">
        <v>1236</v>
      </c>
      <c r="C512" s="399">
        <f t="shared" si="77"/>
        <v>1896</v>
      </c>
      <c r="D512" s="399" t="e">
        <f t="shared" ca="1" si="89"/>
        <v>#NAME?</v>
      </c>
      <c r="E512" s="399" t="str">
        <f t="shared" si="90"/>
        <v>Antivirals</v>
      </c>
      <c r="F512" s="399" t="str">
        <f t="shared" si="97"/>
        <v>Input Option</v>
      </c>
      <c r="G512" s="400">
        <f t="shared" si="80"/>
        <v>17</v>
      </c>
      <c r="H512" s="399" t="str">
        <f t="shared" si="98"/>
        <v>Current medications</v>
      </c>
      <c r="I512" s="400"/>
      <c r="J512" s="400"/>
      <c r="K512" s="401" t="s">
        <v>5283</v>
      </c>
      <c r="L512" s="402" t="s">
        <v>961</v>
      </c>
      <c r="M512" s="400"/>
      <c r="N512" s="639" t="s">
        <v>4853</v>
      </c>
      <c r="O512" s="431" t="s">
        <v>6237</v>
      </c>
      <c r="P512" s="431"/>
      <c r="Q512" s="404"/>
      <c r="R512" s="404"/>
      <c r="S512" s="404"/>
      <c r="T512" s="404"/>
      <c r="U512" s="404"/>
      <c r="V512" s="404" t="s">
        <v>1016</v>
      </c>
      <c r="W512" s="407"/>
      <c r="X512" s="404" t="s">
        <v>208</v>
      </c>
      <c r="Y512" s="404"/>
      <c r="Z512" s="404" t="s">
        <v>113</v>
      </c>
      <c r="AA512" s="404" t="s">
        <v>3098</v>
      </c>
      <c r="AB512" s="406"/>
      <c r="AC512" s="404"/>
      <c r="AD512" s="404"/>
      <c r="AE512" s="406"/>
      <c r="AF512" s="404"/>
      <c r="AG512" s="404"/>
      <c r="AH512" s="399"/>
      <c r="AI512" s="400"/>
      <c r="AJ512" s="399" t="s">
        <v>1787</v>
      </c>
      <c r="AK512" s="399"/>
      <c r="AL512" s="399" t="s">
        <v>1787</v>
      </c>
      <c r="AM512" s="399"/>
      <c r="AN512" s="399" t="s">
        <v>1787</v>
      </c>
      <c r="AO512" s="399" t="s">
        <v>1787</v>
      </c>
      <c r="AP512" s="399"/>
      <c r="AQ512" s="409" t="s">
        <v>3130</v>
      </c>
      <c r="AR512" s="399"/>
      <c r="AS512" s="399"/>
      <c r="AT512" s="399"/>
      <c r="AU512" s="399"/>
      <c r="AV512" s="399" t="str">
        <f t="shared" si="92"/>
        <v/>
      </c>
      <c r="AW512" s="399"/>
      <c r="AX512" s="409" t="s">
        <v>3104</v>
      </c>
      <c r="AY512" s="399" t="e">
        <f t="shared" ca="1" si="93"/>
        <v>#NAME?</v>
      </c>
      <c r="AZ512" s="399"/>
      <c r="BA512" s="409" t="s">
        <v>3125</v>
      </c>
      <c r="BB512" s="399"/>
      <c r="BC512" s="399" t="s">
        <v>1787</v>
      </c>
      <c r="BD512" s="409" t="s">
        <v>6238</v>
      </c>
      <c r="BE512" s="411"/>
      <c r="BF512" s="411" t="s">
        <v>1787</v>
      </c>
      <c r="BG512" s="434" t="s">
        <v>6239</v>
      </c>
      <c r="BH512" s="411"/>
      <c r="BI512" s="411"/>
      <c r="BJ512" s="399" t="s">
        <v>1787</v>
      </c>
      <c r="BK512" s="399" t="s">
        <v>1787</v>
      </c>
      <c r="BL512" s="409" t="s">
        <v>3162</v>
      </c>
      <c r="BM512" s="399" t="s">
        <v>1787</v>
      </c>
      <c r="BN512" s="399" t="s">
        <v>1787</v>
      </c>
      <c r="BO512" s="399" t="s">
        <v>1787</v>
      </c>
      <c r="BP512" s="399" t="s">
        <v>1787</v>
      </c>
      <c r="BQ512" s="399" t="s">
        <v>1787</v>
      </c>
      <c r="BR512" s="399" t="s">
        <v>1787</v>
      </c>
      <c r="BS512" s="407"/>
      <c r="BT512" s="407"/>
      <c r="BU512" s="412"/>
      <c r="BV512" s="46" t="str">
        <f t="shared" si="8"/>
        <v/>
      </c>
      <c r="BW512" s="46">
        <f t="shared" si="9"/>
        <v>0</v>
      </c>
      <c r="BX512" s="46">
        <f t="shared" si="10"/>
        <v>0</v>
      </c>
      <c r="BY512" s="43" t="str">
        <f t="shared" si="11"/>
        <v>WHO-FP MedicationStatement (Current Medication)</v>
      </c>
      <c r="BZ512" s="46">
        <f t="shared" si="12"/>
        <v>1</v>
      </c>
      <c r="CA512" s="46" t="str">
        <f t="shared" si="13"/>
        <v/>
      </c>
      <c r="CB512" s="46">
        <f t="shared" si="14"/>
        <v>1</v>
      </c>
      <c r="CC512" s="46">
        <f t="shared" si="15"/>
        <v>1</v>
      </c>
      <c r="CD512" s="46">
        <f t="shared" si="16"/>
        <v>1</v>
      </c>
      <c r="CE512" s="46">
        <f t="shared" si="17"/>
        <v>0</v>
      </c>
      <c r="CF512" s="46">
        <f t="shared" si="18"/>
        <v>0</v>
      </c>
      <c r="CG512" s="46" t="str">
        <f ca="1">IFERROR(__xludf.DUMMYFUNCTION("if(OR(BH512="""",LEFT(BH512,2)=""LA""),"""",IMPORTXML(CONCATENATE(""https://loinc.org/"",BH512,""/""),""//span[@id='lcn']""))"),"")</f>
        <v/>
      </c>
      <c r="CH512" s="46"/>
      <c r="CI512" s="46"/>
      <c r="CJ512" s="46"/>
      <c r="CK512" s="46"/>
      <c r="CL512" s="46"/>
      <c r="CM512" s="46"/>
      <c r="CN512" s="46"/>
      <c r="CO512" s="46"/>
      <c r="CP512" s="46"/>
      <c r="CQ512" s="46"/>
      <c r="CR512" s="46"/>
      <c r="CS512" s="46"/>
      <c r="CT512" s="46"/>
      <c r="CU512" s="46"/>
    </row>
    <row r="513" spans="1:99" ht="12.75" customHeight="1">
      <c r="A513" s="409">
        <v>1897</v>
      </c>
      <c r="B513" s="399" t="s">
        <v>6242</v>
      </c>
      <c r="C513" s="399">
        <f t="shared" si="77"/>
        <v>1897</v>
      </c>
      <c r="D513" s="399" t="e">
        <f t="shared" ca="1" si="89"/>
        <v>#NAME?</v>
      </c>
      <c r="E513" s="399" t="str">
        <f t="shared" si="90"/>
        <v>Antiretrovirals</v>
      </c>
      <c r="F513" s="399" t="str">
        <f t="shared" si="97"/>
        <v>Input Option</v>
      </c>
      <c r="G513" s="400">
        <f t="shared" si="80"/>
        <v>22</v>
      </c>
      <c r="H513" s="399" t="str">
        <f t="shared" si="98"/>
        <v>Current medications</v>
      </c>
      <c r="I513" s="400"/>
      <c r="J513" s="400"/>
      <c r="K513" s="401" t="s">
        <v>5283</v>
      </c>
      <c r="L513" s="402" t="s">
        <v>961</v>
      </c>
      <c r="M513" s="400"/>
      <c r="N513" s="639" t="s">
        <v>4853</v>
      </c>
      <c r="O513" s="431" t="s">
        <v>6243</v>
      </c>
      <c r="P513" s="431"/>
      <c r="Q513" s="404"/>
      <c r="R513" s="404" t="s">
        <v>6244</v>
      </c>
      <c r="S513" s="404"/>
      <c r="T513" s="404"/>
      <c r="U513" s="404"/>
      <c r="V513" s="404" t="s">
        <v>6245</v>
      </c>
      <c r="W513" s="407"/>
      <c r="X513" s="404" t="s">
        <v>208</v>
      </c>
      <c r="Y513" s="404"/>
      <c r="Z513" s="404" t="s">
        <v>113</v>
      </c>
      <c r="AA513" s="404" t="s">
        <v>3098</v>
      </c>
      <c r="AB513" s="406"/>
      <c r="AC513" s="404"/>
      <c r="AD513" s="404"/>
      <c r="AE513" s="406"/>
      <c r="AF513" s="404"/>
      <c r="AG513" s="404"/>
      <c r="AH513" s="399"/>
      <c r="AI513" s="400"/>
      <c r="AJ513" s="399" t="s">
        <v>1787</v>
      </c>
      <c r="AK513" s="399"/>
      <c r="AL513" s="399" t="s">
        <v>1787</v>
      </c>
      <c r="AM513" s="399"/>
      <c r="AN513" s="399" t="s">
        <v>1787</v>
      </c>
      <c r="AO513" s="399" t="s">
        <v>1787</v>
      </c>
      <c r="AP513" s="399"/>
      <c r="AQ513" s="409" t="s">
        <v>3130</v>
      </c>
      <c r="AR513" s="399"/>
      <c r="AS513" s="399"/>
      <c r="AT513" s="399"/>
      <c r="AU513" s="399"/>
      <c r="AV513" s="399" t="str">
        <f t="shared" si="92"/>
        <v/>
      </c>
      <c r="AW513" s="399"/>
      <c r="AX513" s="409" t="s">
        <v>3104</v>
      </c>
      <c r="AY513" s="399" t="e">
        <f t="shared" ca="1" si="93"/>
        <v>#NAME?</v>
      </c>
      <c r="AZ513" s="399"/>
      <c r="BA513" s="409" t="s">
        <v>3125</v>
      </c>
      <c r="BB513" s="399"/>
      <c r="BC513" s="399" t="s">
        <v>1787</v>
      </c>
      <c r="BD513" s="399" t="s">
        <v>1787</v>
      </c>
      <c r="BE513" s="411"/>
      <c r="BF513" s="411" t="s">
        <v>1787</v>
      </c>
      <c r="BG513" s="434" t="s">
        <v>6246</v>
      </c>
      <c r="BH513" s="411"/>
      <c r="BI513" s="411"/>
      <c r="BJ513" s="399" t="s">
        <v>1787</v>
      </c>
      <c r="BK513" s="399" t="s">
        <v>1787</v>
      </c>
      <c r="BL513" s="409" t="s">
        <v>3162</v>
      </c>
      <c r="BM513" s="399" t="s">
        <v>1787</v>
      </c>
      <c r="BN513" s="399" t="s">
        <v>1787</v>
      </c>
      <c r="BO513" s="399" t="s">
        <v>1787</v>
      </c>
      <c r="BP513" s="399" t="s">
        <v>1787</v>
      </c>
      <c r="BQ513" s="399" t="s">
        <v>1787</v>
      </c>
      <c r="BR513" s="399" t="s">
        <v>1787</v>
      </c>
      <c r="BS513" s="407"/>
      <c r="BT513" s="407"/>
      <c r="BU513" s="412"/>
      <c r="BV513" s="46" t="str">
        <f t="shared" si="8"/>
        <v/>
      </c>
      <c r="BW513" s="46">
        <f t="shared" si="9"/>
        <v>0</v>
      </c>
      <c r="BX513" s="46">
        <f t="shared" si="10"/>
        <v>0</v>
      </c>
      <c r="BY513" s="43" t="str">
        <f t="shared" si="11"/>
        <v>WHO-FP MedicationStatement (Current Medication)</v>
      </c>
      <c r="BZ513" s="46">
        <f t="shared" si="12"/>
        <v>1</v>
      </c>
      <c r="CA513" s="46" t="str">
        <f t="shared" si="13"/>
        <v/>
      </c>
      <c r="CB513" s="46">
        <f t="shared" si="14"/>
        <v>1</v>
      </c>
      <c r="CC513" s="46">
        <f t="shared" si="15"/>
        <v>1</v>
      </c>
      <c r="CD513" s="46">
        <f t="shared" si="16"/>
        <v>1</v>
      </c>
      <c r="CE513" s="46">
        <f t="shared" si="17"/>
        <v>0</v>
      </c>
      <c r="CF513" s="46">
        <f t="shared" si="18"/>
        <v>0</v>
      </c>
      <c r="CG513" s="46" t="str">
        <f ca="1">IFERROR(__xludf.DUMMYFUNCTION("if(OR(BH513="""",LEFT(BH513,2)=""LA""),"""",IMPORTXML(CONCATENATE(""https://loinc.org/"",BH513,""/""),""//span[@id='lcn']""))"),"")</f>
        <v/>
      </c>
      <c r="CH513" s="46"/>
      <c r="CI513" s="46"/>
      <c r="CJ513" s="46"/>
      <c r="CK513" s="46"/>
      <c r="CL513" s="46"/>
      <c r="CM513" s="46"/>
      <c r="CN513" s="46"/>
      <c r="CO513" s="46"/>
      <c r="CP513" s="46"/>
      <c r="CQ513" s="46"/>
      <c r="CR513" s="46"/>
      <c r="CS513" s="46"/>
      <c r="CT513" s="46"/>
      <c r="CU513" s="46"/>
    </row>
    <row r="514" spans="1:99" ht="12.75" customHeight="1">
      <c r="A514" s="409">
        <v>1898</v>
      </c>
      <c r="B514" s="399" t="s">
        <v>6247</v>
      </c>
      <c r="C514" s="399">
        <f t="shared" si="77"/>
        <v>1898</v>
      </c>
      <c r="D514" s="399" t="e">
        <f t="shared" ca="1" si="89"/>
        <v>#NAME?</v>
      </c>
      <c r="E514" s="399" t="str">
        <f t="shared" si="90"/>
        <v>PrEP</v>
      </c>
      <c r="F514" s="399" t="str">
        <f t="shared" si="97"/>
        <v>Input Option</v>
      </c>
      <c r="G514" s="400">
        <f t="shared" si="80"/>
        <v>11</v>
      </c>
      <c r="H514" s="399" t="str">
        <f t="shared" si="98"/>
        <v>Current medications</v>
      </c>
      <c r="I514" s="400"/>
      <c r="J514" s="400"/>
      <c r="K514" s="401" t="s">
        <v>5283</v>
      </c>
      <c r="L514" s="402" t="s">
        <v>961</v>
      </c>
      <c r="M514" s="400"/>
      <c r="N514" s="639" t="s">
        <v>4853</v>
      </c>
      <c r="O514" s="431" t="s">
        <v>6248</v>
      </c>
      <c r="P514" s="431"/>
      <c r="Q514" s="404"/>
      <c r="R514" s="404"/>
      <c r="S514" s="404"/>
      <c r="T514" s="404"/>
      <c r="U514" s="404"/>
      <c r="V514" s="404" t="s">
        <v>6249</v>
      </c>
      <c r="W514" s="404"/>
      <c r="X514" s="404" t="s">
        <v>208</v>
      </c>
      <c r="Y514" s="404"/>
      <c r="Z514" s="404" t="s">
        <v>113</v>
      </c>
      <c r="AA514" s="404" t="s">
        <v>3098</v>
      </c>
      <c r="AB514" s="406"/>
      <c r="AC514" s="404"/>
      <c r="AD514" s="404"/>
      <c r="AE514" s="406"/>
      <c r="AF514" s="404"/>
      <c r="AG514" s="404"/>
      <c r="AH514" s="399"/>
      <c r="AI514" s="400"/>
      <c r="AJ514" s="399" t="s">
        <v>1787</v>
      </c>
      <c r="AK514" s="399"/>
      <c r="AL514" s="399" t="s">
        <v>1787</v>
      </c>
      <c r="AM514" s="399"/>
      <c r="AN514" s="399" t="s">
        <v>1787</v>
      </c>
      <c r="AO514" s="399" t="s">
        <v>1787</v>
      </c>
      <c r="AP514" s="399"/>
      <c r="AQ514" s="409" t="s">
        <v>3130</v>
      </c>
      <c r="AR514" s="399"/>
      <c r="AS514" s="399"/>
      <c r="AT514" s="399"/>
      <c r="AU514" s="399"/>
      <c r="AV514" s="399" t="str">
        <f t="shared" si="92"/>
        <v/>
      </c>
      <c r="AW514" s="399"/>
      <c r="AX514" s="409" t="s">
        <v>3104</v>
      </c>
      <c r="AY514" s="399" t="e">
        <f t="shared" ca="1" si="93"/>
        <v>#NAME?</v>
      </c>
      <c r="AZ514" s="399"/>
      <c r="BA514" s="409" t="s">
        <v>3125</v>
      </c>
      <c r="BB514" s="399"/>
      <c r="BC514" s="399" t="s">
        <v>1787</v>
      </c>
      <c r="BD514" s="399" t="s">
        <v>1787</v>
      </c>
      <c r="BE514" s="411"/>
      <c r="BF514" s="411" t="s">
        <v>1787</v>
      </c>
      <c r="BG514" s="434" t="s">
        <v>6250</v>
      </c>
      <c r="BH514" s="411"/>
      <c r="BI514" s="411"/>
      <c r="BJ514" s="399" t="s">
        <v>1787</v>
      </c>
      <c r="BK514" s="409" t="s">
        <v>6251</v>
      </c>
      <c r="BL514" s="399"/>
      <c r="BM514" s="399" t="s">
        <v>1787</v>
      </c>
      <c r="BN514" s="399" t="s">
        <v>1787</v>
      </c>
      <c r="BO514" s="399" t="s">
        <v>1787</v>
      </c>
      <c r="BP514" s="399" t="s">
        <v>1787</v>
      </c>
      <c r="BQ514" s="399" t="s">
        <v>1787</v>
      </c>
      <c r="BR514" s="399" t="s">
        <v>1787</v>
      </c>
      <c r="BS514" s="407"/>
      <c r="BT514" s="407"/>
      <c r="BU514" s="412"/>
      <c r="BV514" s="46" t="str">
        <f t="shared" si="8"/>
        <v/>
      </c>
      <c r="BW514" s="46">
        <f t="shared" si="9"/>
        <v>0</v>
      </c>
      <c r="BX514" s="46">
        <f t="shared" si="10"/>
        <v>0</v>
      </c>
      <c r="BY514" s="43" t="str">
        <f t="shared" si="11"/>
        <v>WHO-FP MedicationStatement (Current Medication)</v>
      </c>
      <c r="BZ514" s="46">
        <f t="shared" si="12"/>
        <v>1</v>
      </c>
      <c r="CA514" s="46" t="str">
        <f t="shared" si="13"/>
        <v/>
      </c>
      <c r="CB514" s="46">
        <f t="shared" si="14"/>
        <v>1</v>
      </c>
      <c r="CC514" s="46">
        <f t="shared" si="15"/>
        <v>1</v>
      </c>
      <c r="CD514" s="46">
        <f t="shared" si="16"/>
        <v>1</v>
      </c>
      <c r="CE514" s="46">
        <f t="shared" si="17"/>
        <v>0</v>
      </c>
      <c r="CF514" s="46">
        <f t="shared" si="18"/>
        <v>0</v>
      </c>
      <c r="CG514" s="46" t="str">
        <f ca="1">IFERROR(__xludf.DUMMYFUNCTION("if(OR(BH514="""",LEFT(BH514,2)=""LA""),"""",IMPORTXML(CONCATENATE(""https://loinc.org/"",BH514,""/""),""//span[@id='lcn']""))"),"")</f>
        <v/>
      </c>
      <c r="CH514" s="46"/>
      <c r="CI514" s="46"/>
      <c r="CJ514" s="46"/>
      <c r="CK514" s="46"/>
      <c r="CL514" s="46"/>
      <c r="CM514" s="46"/>
      <c r="CN514" s="46"/>
      <c r="CO514" s="46"/>
      <c r="CP514" s="46"/>
      <c r="CQ514" s="46"/>
      <c r="CR514" s="46"/>
      <c r="CS514" s="46"/>
      <c r="CT514" s="46"/>
      <c r="CU514" s="46"/>
    </row>
    <row r="515" spans="1:99" ht="12.75" customHeight="1">
      <c r="A515" s="409">
        <v>1899</v>
      </c>
      <c r="B515" s="399" t="s">
        <v>6252</v>
      </c>
      <c r="C515" s="399">
        <f t="shared" si="77"/>
        <v>1899</v>
      </c>
      <c r="D515" s="399" t="e">
        <f t="shared" ca="1" si="89"/>
        <v>#NAME?</v>
      </c>
      <c r="E515" s="399" t="str">
        <f t="shared" si="90"/>
        <v>STI medication</v>
      </c>
      <c r="F515" s="399" t="str">
        <f t="shared" si="97"/>
        <v>Input Option</v>
      </c>
      <c r="G515" s="400">
        <f t="shared" si="80"/>
        <v>21</v>
      </c>
      <c r="H515" s="399" t="str">
        <f t="shared" si="98"/>
        <v>Current medications</v>
      </c>
      <c r="I515" s="400"/>
      <c r="J515" s="400"/>
      <c r="K515" s="401" t="s">
        <v>5283</v>
      </c>
      <c r="L515" s="402" t="s">
        <v>961</v>
      </c>
      <c r="M515" s="400"/>
      <c r="N515" s="639" t="s">
        <v>4853</v>
      </c>
      <c r="O515" s="431" t="s">
        <v>6253</v>
      </c>
      <c r="P515" s="431"/>
      <c r="Q515" s="404"/>
      <c r="R515" s="404"/>
      <c r="S515" s="404"/>
      <c r="T515" s="404"/>
      <c r="U515" s="404"/>
      <c r="V515" s="420" t="s">
        <v>6254</v>
      </c>
      <c r="W515" s="407"/>
      <c r="X515" s="404" t="s">
        <v>208</v>
      </c>
      <c r="Y515" s="404"/>
      <c r="Z515" s="404" t="s">
        <v>113</v>
      </c>
      <c r="AA515" s="404" t="s">
        <v>3098</v>
      </c>
      <c r="AB515" s="406"/>
      <c r="AC515" s="404"/>
      <c r="AD515" s="404"/>
      <c r="AE515" s="406"/>
      <c r="AF515" s="404"/>
      <c r="AG515" s="404"/>
      <c r="AH515" s="399"/>
      <c r="AI515" s="400"/>
      <c r="AJ515" s="399" t="s">
        <v>1787</v>
      </c>
      <c r="AK515" s="399"/>
      <c r="AL515" s="399" t="s">
        <v>1787</v>
      </c>
      <c r="AM515" s="399"/>
      <c r="AN515" s="399" t="s">
        <v>1787</v>
      </c>
      <c r="AO515" s="399" t="s">
        <v>1787</v>
      </c>
      <c r="AP515" s="399"/>
      <c r="AQ515" s="409" t="s">
        <v>3130</v>
      </c>
      <c r="AR515" s="399"/>
      <c r="AS515" s="399"/>
      <c r="AT515" s="399"/>
      <c r="AU515" s="399"/>
      <c r="AV515" s="399" t="str">
        <f t="shared" si="92"/>
        <v/>
      </c>
      <c r="AW515" s="399"/>
      <c r="AX515" s="409" t="s">
        <v>3104</v>
      </c>
      <c r="AY515" s="399" t="e">
        <f t="shared" ca="1" si="93"/>
        <v>#NAME?</v>
      </c>
      <c r="AZ515" s="399"/>
      <c r="BA515" s="409" t="s">
        <v>3125</v>
      </c>
      <c r="BB515" s="415" t="s">
        <v>3131</v>
      </c>
      <c r="BC515" s="399" t="s">
        <v>6254</v>
      </c>
      <c r="BD515" s="399" t="s">
        <v>1787</v>
      </c>
      <c r="BE515" s="411"/>
      <c r="BF515" s="411" t="s">
        <v>1787</v>
      </c>
      <c r="BG515" s="411"/>
      <c r="BH515" s="411"/>
      <c r="BI515" s="411"/>
      <c r="BJ515" s="409" t="s">
        <v>4282</v>
      </c>
      <c r="BK515" s="399" t="s">
        <v>1787</v>
      </c>
      <c r="BL515" s="409" t="s">
        <v>3162</v>
      </c>
      <c r="BM515" s="409" t="s">
        <v>6255</v>
      </c>
      <c r="BN515" s="399" t="s">
        <v>1787</v>
      </c>
      <c r="BO515" s="399" t="s">
        <v>1787</v>
      </c>
      <c r="BP515" s="399" t="s">
        <v>1787</v>
      </c>
      <c r="BQ515" s="399" t="s">
        <v>1787</v>
      </c>
      <c r="BR515" s="399" t="s">
        <v>1787</v>
      </c>
      <c r="BS515" s="407"/>
      <c r="BT515" s="407"/>
      <c r="BU515" s="412"/>
      <c r="BV515" s="46" t="str">
        <f t="shared" si="8"/>
        <v/>
      </c>
      <c r="BW515" s="46">
        <f t="shared" si="9"/>
        <v>0</v>
      </c>
      <c r="BX515" s="46">
        <f t="shared" si="10"/>
        <v>0</v>
      </c>
      <c r="BY515" s="43" t="str">
        <f t="shared" si="11"/>
        <v>WHO-FP MedicationStatement (Current Medication)</v>
      </c>
      <c r="BZ515" s="46">
        <f t="shared" si="12"/>
        <v>1</v>
      </c>
      <c r="CA515" s="46" t="str">
        <f t="shared" si="13"/>
        <v/>
      </c>
      <c r="CB515" s="46">
        <f t="shared" si="14"/>
        <v>1</v>
      </c>
      <c r="CC515" s="46">
        <f t="shared" si="15"/>
        <v>1</v>
      </c>
      <c r="CD515" s="46">
        <f t="shared" si="16"/>
        <v>1</v>
      </c>
      <c r="CE515" s="46">
        <f t="shared" si="17"/>
        <v>0</v>
      </c>
      <c r="CF515" s="46">
        <f t="shared" si="18"/>
        <v>0</v>
      </c>
      <c r="CG515" s="46" t="str">
        <f ca="1">IFERROR(__xludf.DUMMYFUNCTION("if(OR(BH515="""",LEFT(BH515,2)=""LA""),"""",IMPORTXML(CONCATENATE(""https://loinc.org/"",BH515,""/""),""//span[@id='lcn']""))"),"")</f>
        <v/>
      </c>
      <c r="CH515" s="46"/>
      <c r="CI515" s="46"/>
      <c r="CJ515" s="46"/>
      <c r="CK515" s="46"/>
      <c r="CL515" s="46"/>
      <c r="CM515" s="46"/>
      <c r="CN515" s="46"/>
      <c r="CO515" s="46"/>
      <c r="CP515" s="46"/>
      <c r="CQ515" s="46"/>
      <c r="CR515" s="46"/>
      <c r="CS515" s="46"/>
      <c r="CT515" s="46"/>
      <c r="CU515" s="46"/>
    </row>
    <row r="516" spans="1:99" ht="12.75" customHeight="1">
      <c r="A516" s="409">
        <v>1900</v>
      </c>
      <c r="B516" s="399" t="s">
        <v>1248</v>
      </c>
      <c r="C516" s="399">
        <f t="shared" si="77"/>
        <v>1900</v>
      </c>
      <c r="D516" s="399" t="e">
        <f t="shared" ca="1" si="89"/>
        <v>#NAME?</v>
      </c>
      <c r="E516" s="399" t="str">
        <f t="shared" si="90"/>
        <v>Other antibiotics</v>
      </c>
      <c r="F516" s="399" t="str">
        <f t="shared" si="97"/>
        <v>Input Option</v>
      </c>
      <c r="G516" s="400">
        <f t="shared" si="80"/>
        <v>24</v>
      </c>
      <c r="H516" s="399" t="str">
        <f t="shared" si="98"/>
        <v>Current medications</v>
      </c>
      <c r="I516" s="400"/>
      <c r="J516" s="400"/>
      <c r="K516" s="401" t="s">
        <v>5283</v>
      </c>
      <c r="L516" s="402" t="s">
        <v>961</v>
      </c>
      <c r="M516" s="400"/>
      <c r="N516" s="639" t="s">
        <v>4853</v>
      </c>
      <c r="O516" s="431" t="s">
        <v>6256</v>
      </c>
      <c r="P516" s="431"/>
      <c r="Q516" s="407"/>
      <c r="R516" s="407"/>
      <c r="S516" s="407"/>
      <c r="T516" s="407"/>
      <c r="U516" s="407"/>
      <c r="V516" s="432" t="s">
        <v>1034</v>
      </c>
      <c r="W516" s="407"/>
      <c r="X516" s="404" t="s">
        <v>208</v>
      </c>
      <c r="Y516" s="407"/>
      <c r="Z516" s="404" t="s">
        <v>113</v>
      </c>
      <c r="AA516" s="404" t="s">
        <v>3098</v>
      </c>
      <c r="AB516" s="408"/>
      <c r="AC516" s="407"/>
      <c r="AD516" s="407"/>
      <c r="AE516" s="408"/>
      <c r="AF516" s="407"/>
      <c r="AG516" s="407"/>
      <c r="AH516" s="399"/>
      <c r="AI516" s="400"/>
      <c r="AJ516" s="399" t="s">
        <v>1787</v>
      </c>
      <c r="AK516" s="399"/>
      <c r="AL516" s="399" t="s">
        <v>1787</v>
      </c>
      <c r="AM516" s="399"/>
      <c r="AN516" s="399" t="s">
        <v>1787</v>
      </c>
      <c r="AO516" s="399" t="s">
        <v>1787</v>
      </c>
      <c r="AP516" s="399"/>
      <c r="AQ516" s="409" t="s">
        <v>3130</v>
      </c>
      <c r="AR516" s="399"/>
      <c r="AS516" s="399"/>
      <c r="AT516" s="399"/>
      <c r="AU516" s="399"/>
      <c r="AV516" s="399" t="str">
        <f t="shared" si="92"/>
        <v/>
      </c>
      <c r="AW516" s="399"/>
      <c r="AX516" s="409" t="s">
        <v>3104</v>
      </c>
      <c r="AY516" s="399" t="e">
        <f t="shared" ca="1" si="93"/>
        <v>#NAME?</v>
      </c>
      <c r="AZ516" s="409" t="s">
        <v>3105</v>
      </c>
      <c r="BA516" s="409" t="s">
        <v>3125</v>
      </c>
      <c r="BB516" s="415" t="s">
        <v>3131</v>
      </c>
      <c r="BC516" s="409" t="s">
        <v>6257</v>
      </c>
      <c r="BD516" s="399" t="s">
        <v>1787</v>
      </c>
      <c r="BE516" s="411"/>
      <c r="BF516" s="411" t="s">
        <v>1787</v>
      </c>
      <c r="BG516" s="411"/>
      <c r="BH516" s="411"/>
      <c r="BI516" s="411"/>
      <c r="BJ516" s="399" t="s">
        <v>1787</v>
      </c>
      <c r="BK516" s="399" t="s">
        <v>1787</v>
      </c>
      <c r="BL516" s="399"/>
      <c r="BM516" s="399" t="s">
        <v>1787</v>
      </c>
      <c r="BN516" s="399" t="s">
        <v>1787</v>
      </c>
      <c r="BO516" s="399" t="s">
        <v>1787</v>
      </c>
      <c r="BP516" s="399" t="s">
        <v>1787</v>
      </c>
      <c r="BQ516" s="399" t="s">
        <v>1787</v>
      </c>
      <c r="BR516" s="399" t="s">
        <v>1787</v>
      </c>
      <c r="BS516" s="407"/>
      <c r="BT516" s="407"/>
      <c r="BU516" s="412"/>
      <c r="BV516" s="46" t="str">
        <f t="shared" si="8"/>
        <v/>
      </c>
      <c r="BW516" s="46">
        <f t="shared" si="9"/>
        <v>0</v>
      </c>
      <c r="BX516" s="46">
        <f t="shared" si="10"/>
        <v>0</v>
      </c>
      <c r="BY516" s="43" t="str">
        <f t="shared" si="11"/>
        <v>WHO-FP MedicationStatement (Current Medication)</v>
      </c>
      <c r="BZ516" s="46">
        <f t="shared" si="12"/>
        <v>1</v>
      </c>
      <c r="CA516" s="46" t="str">
        <f t="shared" si="13"/>
        <v/>
      </c>
      <c r="CB516" s="46">
        <f t="shared" si="14"/>
        <v>1</v>
      </c>
      <c r="CC516" s="46">
        <f t="shared" si="15"/>
        <v>1</v>
      </c>
      <c r="CD516" s="46">
        <f t="shared" si="16"/>
        <v>1</v>
      </c>
      <c r="CE516" s="46">
        <f t="shared" si="17"/>
        <v>0</v>
      </c>
      <c r="CF516" s="46">
        <f t="shared" si="18"/>
        <v>0</v>
      </c>
      <c r="CG516" s="46" t="str">
        <f ca="1">IFERROR(__xludf.DUMMYFUNCTION("if(OR(BH516="""",LEFT(BH516,2)=""LA""),"""",IMPORTXML(CONCATENATE(""https://loinc.org/"",BH516,""/""),""//span[@id='lcn']""))"),"")</f>
        <v/>
      </c>
      <c r="CH516" s="46"/>
      <c r="CI516" s="46"/>
      <c r="CJ516" s="46"/>
      <c r="CK516" s="46"/>
      <c r="CL516" s="46"/>
      <c r="CM516" s="46"/>
      <c r="CN516" s="46"/>
      <c r="CO516" s="46"/>
      <c r="CP516" s="46"/>
      <c r="CQ516" s="46"/>
      <c r="CR516" s="46"/>
      <c r="CS516" s="46"/>
      <c r="CT516" s="46"/>
      <c r="CU516" s="46"/>
    </row>
    <row r="517" spans="1:99" ht="12.75" customHeight="1">
      <c r="A517" s="409">
        <v>1901</v>
      </c>
      <c r="B517" s="399" t="s">
        <v>535</v>
      </c>
      <c r="C517" s="399">
        <f t="shared" si="77"/>
        <v>1901</v>
      </c>
      <c r="D517" s="399" t="e">
        <f t="shared" ca="1" si="89"/>
        <v>#NAME?</v>
      </c>
      <c r="E517" s="399" t="str">
        <f t="shared" si="90"/>
        <v>Other (specify)</v>
      </c>
      <c r="F517" s="399" t="str">
        <f t="shared" si="97"/>
        <v>Input Option</v>
      </c>
      <c r="G517" s="400">
        <f t="shared" si="80"/>
        <v>22</v>
      </c>
      <c r="H517" s="399" t="str">
        <f t="shared" si="98"/>
        <v>Current medications</v>
      </c>
      <c r="I517" s="400"/>
      <c r="J517" s="400"/>
      <c r="K517" s="401" t="s">
        <v>5283</v>
      </c>
      <c r="L517" s="402" t="s">
        <v>961</v>
      </c>
      <c r="M517" s="400"/>
      <c r="N517" s="639" t="s">
        <v>4853</v>
      </c>
      <c r="O517" s="437" t="s">
        <v>6258</v>
      </c>
      <c r="P517" s="437"/>
      <c r="Q517" s="407"/>
      <c r="R517" s="407"/>
      <c r="S517" s="407"/>
      <c r="T517" s="407"/>
      <c r="U517" s="407"/>
      <c r="V517" s="407" t="s">
        <v>405</v>
      </c>
      <c r="W517" s="407"/>
      <c r="X517" s="404" t="s">
        <v>208</v>
      </c>
      <c r="Y517" s="407"/>
      <c r="Z517" s="404" t="s">
        <v>113</v>
      </c>
      <c r="AA517" s="404" t="s">
        <v>3098</v>
      </c>
      <c r="AB517" s="408"/>
      <c r="AC517" s="407"/>
      <c r="AD517" s="407"/>
      <c r="AE517" s="408"/>
      <c r="AF517" s="407" t="s">
        <v>3218</v>
      </c>
      <c r="AG517" s="407"/>
      <c r="AH517" s="399"/>
      <c r="AI517" s="400"/>
      <c r="AJ517" s="399" t="s">
        <v>1787</v>
      </c>
      <c r="AK517" s="399"/>
      <c r="AL517" s="399" t="s">
        <v>1787</v>
      </c>
      <c r="AM517" s="399"/>
      <c r="AN517" s="399" t="s">
        <v>1787</v>
      </c>
      <c r="AO517" s="399" t="s">
        <v>1787</v>
      </c>
      <c r="AP517" s="399"/>
      <c r="AQ517" s="409" t="s">
        <v>3130</v>
      </c>
      <c r="AR517" s="399"/>
      <c r="AS517" s="399"/>
      <c r="AT517" s="399"/>
      <c r="AU517" s="399"/>
      <c r="AV517" s="399" t="str">
        <f t="shared" si="92"/>
        <v/>
      </c>
      <c r="AW517" s="399"/>
      <c r="AX517" s="409" t="s">
        <v>3104</v>
      </c>
      <c r="AY517" s="399" t="e">
        <f t="shared" ca="1" si="93"/>
        <v>#NAME?</v>
      </c>
      <c r="AZ517" s="409" t="s">
        <v>3105</v>
      </c>
      <c r="BA517" s="409">
        <v>1</v>
      </c>
      <c r="BB517" s="415" t="s">
        <v>3131</v>
      </c>
      <c r="BC517" s="409" t="s">
        <v>1387</v>
      </c>
      <c r="BD517" s="399" t="s">
        <v>1787</v>
      </c>
      <c r="BE517" s="411"/>
      <c r="BF517" s="411" t="s">
        <v>1787</v>
      </c>
      <c r="BG517" s="411"/>
      <c r="BH517" s="411"/>
      <c r="BI517" s="411"/>
      <c r="BJ517" s="399" t="s">
        <v>1787</v>
      </c>
      <c r="BK517" s="399" t="s">
        <v>1787</v>
      </c>
      <c r="BL517" s="399"/>
      <c r="BM517" s="399" t="s">
        <v>1787</v>
      </c>
      <c r="BN517" s="399" t="s">
        <v>1787</v>
      </c>
      <c r="BO517" s="399" t="s">
        <v>1787</v>
      </c>
      <c r="BP517" s="399" t="s">
        <v>1787</v>
      </c>
      <c r="BQ517" s="399" t="s">
        <v>1787</v>
      </c>
      <c r="BR517" s="399" t="s">
        <v>1787</v>
      </c>
      <c r="BS517" s="407"/>
      <c r="BT517" s="407"/>
      <c r="BU517" s="412"/>
      <c r="BV517" s="46" t="str">
        <f t="shared" si="8"/>
        <v/>
      </c>
      <c r="BW517" s="46">
        <f t="shared" si="9"/>
        <v>0</v>
      </c>
      <c r="BX517" s="46">
        <f t="shared" si="10"/>
        <v>0</v>
      </c>
      <c r="BY517" s="43" t="str">
        <f t="shared" si="11"/>
        <v>WHO-FP MedicationStatement (Current Medication)</v>
      </c>
      <c r="BZ517" s="46">
        <f t="shared" si="12"/>
        <v>1</v>
      </c>
      <c r="CA517" s="46" t="str">
        <f t="shared" si="13"/>
        <v/>
      </c>
      <c r="CB517" s="46">
        <f t="shared" si="14"/>
        <v>1</v>
      </c>
      <c r="CC517" s="46">
        <f t="shared" si="15"/>
        <v>1</v>
      </c>
      <c r="CD517" s="46">
        <f t="shared" si="16"/>
        <v>1</v>
      </c>
      <c r="CE517" s="46">
        <f t="shared" si="17"/>
        <v>0</v>
      </c>
      <c r="CF517" s="46">
        <f t="shared" si="18"/>
        <v>0</v>
      </c>
      <c r="CG517" s="46" t="str">
        <f ca="1">IFERROR(__xludf.DUMMYFUNCTION("if(OR(BH517="""",LEFT(BH517,2)=""LA""),"""",IMPORTXML(CONCATENATE(""https://loinc.org/"",BH517,""/""),""//span[@id='lcn']""))"),"")</f>
        <v/>
      </c>
      <c r="CH517" s="46"/>
      <c r="CI517" s="46"/>
      <c r="CJ517" s="46"/>
      <c r="CK517" s="46"/>
      <c r="CL517" s="46"/>
      <c r="CM517" s="46"/>
      <c r="CN517" s="46"/>
      <c r="CO517" s="46"/>
      <c r="CP517" s="46"/>
      <c r="CQ517" s="46"/>
      <c r="CR517" s="46"/>
      <c r="CS517" s="46"/>
      <c r="CT517" s="46"/>
      <c r="CU517" s="46"/>
    </row>
    <row r="518" spans="1:99" ht="12.75" customHeight="1">
      <c r="A518" s="409">
        <v>1902</v>
      </c>
      <c r="B518" s="399" t="s">
        <v>6259</v>
      </c>
      <c r="C518" s="399">
        <f t="shared" si="77"/>
        <v>1902</v>
      </c>
      <c r="D518" s="399" t="str">
        <f t="shared" si="89"/>
        <v>Other (specify)</v>
      </c>
      <c r="E518" s="399" t="str">
        <f t="shared" si="90"/>
        <v>Other (specify)</v>
      </c>
      <c r="F518" s="399" t="str">
        <f t="shared" si="97"/>
        <v>Data Element</v>
      </c>
      <c r="G518" s="400">
        <f t="shared" si="80"/>
        <v>37</v>
      </c>
      <c r="H518" s="400" t="str">
        <f t="shared" si="98"/>
        <v/>
      </c>
      <c r="I518" s="400"/>
      <c r="J518" s="400"/>
      <c r="K518" s="401" t="s">
        <v>5283</v>
      </c>
      <c r="L518" s="402" t="s">
        <v>961</v>
      </c>
      <c r="M518" s="400"/>
      <c r="N518" s="639" t="s">
        <v>4853</v>
      </c>
      <c r="O518" s="437" t="s">
        <v>6260</v>
      </c>
      <c r="P518" s="437"/>
      <c r="Q518" s="407" t="s">
        <v>405</v>
      </c>
      <c r="R518" s="407"/>
      <c r="S518" s="407" t="s">
        <v>1050</v>
      </c>
      <c r="T518" s="407" t="s">
        <v>111</v>
      </c>
      <c r="U518" s="407"/>
      <c r="V518" s="407"/>
      <c r="W518" s="407"/>
      <c r="X518" s="407" t="s">
        <v>208</v>
      </c>
      <c r="Y518" s="407"/>
      <c r="Z518" s="407" t="s">
        <v>113</v>
      </c>
      <c r="AA518" s="407" t="s">
        <v>3178</v>
      </c>
      <c r="AB518" s="432" t="s">
        <v>6261</v>
      </c>
      <c r="AC518" s="421"/>
      <c r="AD518" s="421"/>
      <c r="AE518" s="408"/>
      <c r="AF518" s="407"/>
      <c r="AG518" s="407"/>
      <c r="AH518" s="399"/>
      <c r="AI518" s="400"/>
      <c r="AJ518" s="399" t="s">
        <v>1787</v>
      </c>
      <c r="AK518" s="409" t="s">
        <v>6262</v>
      </c>
      <c r="AL518" s="409" t="s">
        <v>3423</v>
      </c>
      <c r="AM518" s="409" t="s">
        <v>3100</v>
      </c>
      <c r="AN518" s="409" t="s">
        <v>3101</v>
      </c>
      <c r="AO518" s="399" t="s">
        <v>1787</v>
      </c>
      <c r="AP518" s="409" t="s">
        <v>6234</v>
      </c>
      <c r="AQ518" s="409" t="s">
        <v>3424</v>
      </c>
      <c r="AR518" s="399"/>
      <c r="AS518" s="399"/>
      <c r="AT518" s="399"/>
      <c r="AU518" s="399"/>
      <c r="AV518" s="399" t="str">
        <f t="shared" si="92"/>
        <v/>
      </c>
      <c r="AW518" s="399"/>
      <c r="AX518" s="409" t="s">
        <v>3104</v>
      </c>
      <c r="AY518" s="399" t="str">
        <f t="shared" si="93"/>
        <v>"Other (specify)"-&gt;"Other (specify) - Current medications"</v>
      </c>
      <c r="AZ518" s="409" t="s">
        <v>3105</v>
      </c>
      <c r="BA518" s="409">
        <v>1</v>
      </c>
      <c r="BB518" s="399"/>
      <c r="BC518" s="399" t="s">
        <v>1787</v>
      </c>
      <c r="BD518" s="409"/>
      <c r="BE518" s="411"/>
      <c r="BF518" s="411" t="s">
        <v>1787</v>
      </c>
      <c r="BG518" s="411"/>
      <c r="BH518" s="411"/>
      <c r="BI518" s="411"/>
      <c r="BJ518" s="409" t="s">
        <v>3106</v>
      </c>
      <c r="BK518" s="399" t="s">
        <v>1787</v>
      </c>
      <c r="BL518" s="399"/>
      <c r="BM518" s="399" t="s">
        <v>1787</v>
      </c>
      <c r="BN518" s="399" t="s">
        <v>1787</v>
      </c>
      <c r="BO518" s="399" t="s">
        <v>1787</v>
      </c>
      <c r="BP518" s="399" t="s">
        <v>1787</v>
      </c>
      <c r="BQ518" s="399" t="s">
        <v>1787</v>
      </c>
      <c r="BR518" s="399" t="s">
        <v>1787</v>
      </c>
      <c r="BS518" s="407"/>
      <c r="BT518" s="407"/>
      <c r="BU518" s="412"/>
      <c r="BV518" s="46" t="str">
        <f t="shared" si="8"/>
        <v>MedicationStatement</v>
      </c>
      <c r="BW518" s="46" t="str">
        <f t="shared" si="9"/>
        <v/>
      </c>
      <c r="BX518" s="46" t="str">
        <f t="shared" si="10"/>
        <v>MedicationStatement</v>
      </c>
      <c r="BY518" s="43" t="str">
        <f t="shared" si="11"/>
        <v>WHO-Core MedicationStatement (Current Medication)</v>
      </c>
      <c r="BZ518" s="46">
        <f t="shared" si="12"/>
        <v>1</v>
      </c>
      <c r="CA518" s="46">
        <f t="shared" si="13"/>
        <v>0</v>
      </c>
      <c r="CB518" s="46">
        <f t="shared" si="14"/>
        <v>1</v>
      </c>
      <c r="CC518" s="46">
        <f t="shared" si="15"/>
        <v>1</v>
      </c>
      <c r="CD518" s="46">
        <f t="shared" si="16"/>
        <v>1</v>
      </c>
      <c r="CE518" s="46">
        <f t="shared" si="17"/>
        <v>0</v>
      </c>
      <c r="CF518" s="46">
        <f t="shared" si="18"/>
        <v>0</v>
      </c>
      <c r="CG518" s="46" t="str">
        <f ca="1">IFERROR(__xludf.DUMMYFUNCTION("if(OR(BH518="""",LEFT(BH518,2)=""LA""),"""",IMPORTXML(CONCATENATE(""https://loinc.org/"",BH518,""/""),""//span[@id='lcn']""))"),"")</f>
        <v/>
      </c>
      <c r="CH518" s="46"/>
      <c r="CI518" s="46"/>
      <c r="CJ518" s="46"/>
      <c r="CK518" s="46"/>
      <c r="CL518" s="46"/>
      <c r="CM518" s="46"/>
      <c r="CN518" s="46"/>
      <c r="CO518" s="46"/>
      <c r="CP518" s="46"/>
      <c r="CQ518" s="46"/>
      <c r="CR518" s="46"/>
      <c r="CS518" s="46"/>
      <c r="CT518" s="46"/>
      <c r="CU518" s="46"/>
    </row>
    <row r="519" spans="1:99" ht="12.75" customHeight="1">
      <c r="A519" s="409">
        <v>1903</v>
      </c>
      <c r="B519" s="399" t="s">
        <v>6263</v>
      </c>
      <c r="C519" s="399">
        <f t="shared" si="77"/>
        <v>1903</v>
      </c>
      <c r="D519" s="399" t="str">
        <f t="shared" si="89"/>
        <v>Current STI Treatment</v>
      </c>
      <c r="E519" s="399" t="str">
        <f t="shared" si="90"/>
        <v>Current STI Treatment</v>
      </c>
      <c r="F519" s="399" t="str">
        <f t="shared" si="97"/>
        <v>Data Element</v>
      </c>
      <c r="G519" s="400">
        <f t="shared" si="80"/>
        <v>21</v>
      </c>
      <c r="H519" s="400" t="str">
        <f t="shared" si="98"/>
        <v/>
      </c>
      <c r="I519" s="400"/>
      <c r="J519" s="400"/>
      <c r="K519" s="401" t="s">
        <v>5283</v>
      </c>
      <c r="L519" s="402" t="s">
        <v>5194</v>
      </c>
      <c r="M519" s="400"/>
      <c r="N519" s="639" t="s">
        <v>4853</v>
      </c>
      <c r="O519" s="431" t="s">
        <v>6253</v>
      </c>
      <c r="P519" s="431"/>
      <c r="Q519" s="420" t="s">
        <v>6263</v>
      </c>
      <c r="R519" s="426"/>
      <c r="S519" s="404"/>
      <c r="T519" s="404" t="s">
        <v>3169</v>
      </c>
      <c r="U519" s="404"/>
      <c r="V519" s="404" t="s">
        <v>3170</v>
      </c>
      <c r="W519" s="404"/>
      <c r="X519" s="404" t="s">
        <v>208</v>
      </c>
      <c r="Y519" s="404"/>
      <c r="Z519" s="407" t="s">
        <v>113</v>
      </c>
      <c r="AA519" s="404" t="s">
        <v>3098</v>
      </c>
      <c r="AB519" s="406"/>
      <c r="AC519" s="404"/>
      <c r="AD519" s="404"/>
      <c r="AE519" s="406"/>
      <c r="AF519" s="420" t="s">
        <v>6264</v>
      </c>
      <c r="AG519" s="426"/>
      <c r="AH519" s="399"/>
      <c r="AI519" s="400"/>
      <c r="AJ519" s="399" t="s">
        <v>1787</v>
      </c>
      <c r="AK519" s="409" t="s">
        <v>3410</v>
      </c>
      <c r="AL519" s="440" t="s">
        <v>3313</v>
      </c>
      <c r="AM519" s="409" t="s">
        <v>3100</v>
      </c>
      <c r="AN519" s="409" t="s">
        <v>3101</v>
      </c>
      <c r="AO519" s="409"/>
      <c r="AP519" s="409" t="s">
        <v>6265</v>
      </c>
      <c r="AQ519" s="409" t="s">
        <v>3424</v>
      </c>
      <c r="AR519" s="409"/>
      <c r="AS519" s="409"/>
      <c r="AT519" s="399"/>
      <c r="AU519" s="399"/>
      <c r="AV519" s="399" t="str">
        <f t="shared" si="92"/>
        <v/>
      </c>
      <c r="AW519" s="399"/>
      <c r="AX519" s="409" t="s">
        <v>5194</v>
      </c>
      <c r="AY519" s="399" t="str">
        <f t="shared" si="93"/>
        <v/>
      </c>
      <c r="AZ519" s="399"/>
      <c r="BA519" s="409" t="s">
        <v>3125</v>
      </c>
      <c r="BB519" s="399"/>
      <c r="BC519" s="399" t="s">
        <v>1787</v>
      </c>
      <c r="BD519" s="399" t="s">
        <v>1787</v>
      </c>
      <c r="BE519" s="411" t="s">
        <v>6266</v>
      </c>
      <c r="BF519" s="411" t="s">
        <v>1787</v>
      </c>
      <c r="BG519" s="434" t="s">
        <v>6267</v>
      </c>
      <c r="BH519" s="411"/>
      <c r="BI519" s="411"/>
      <c r="BJ519" s="399" t="s">
        <v>1787</v>
      </c>
      <c r="BK519" s="399" t="s">
        <v>1787</v>
      </c>
      <c r="BL519" s="399"/>
      <c r="BM519" s="399" t="s">
        <v>1787</v>
      </c>
      <c r="BN519" s="399" t="s">
        <v>1787</v>
      </c>
      <c r="BO519" s="399" t="s">
        <v>1787</v>
      </c>
      <c r="BP519" s="399" t="s">
        <v>1787</v>
      </c>
      <c r="BQ519" s="399" t="s">
        <v>1787</v>
      </c>
      <c r="BR519" s="399" t="s">
        <v>1787</v>
      </c>
      <c r="BS519" s="407"/>
      <c r="BT519" s="407"/>
      <c r="BU519" s="412"/>
      <c r="BV519" s="46" t="str">
        <f t="shared" si="8"/>
        <v>Observation</v>
      </c>
      <c r="BW519" s="46" t="str">
        <f t="shared" si="9"/>
        <v/>
      </c>
      <c r="BX519" s="46" t="str">
        <f t="shared" si="10"/>
        <v>Observation</v>
      </c>
      <c r="BY519" s="43" t="str">
        <f t="shared" si="11"/>
        <v>WHO-STI Observation (Current STI Treatment)</v>
      </c>
      <c r="BZ519" s="46">
        <f t="shared" si="12"/>
        <v>1</v>
      </c>
      <c r="CA519" s="46">
        <f t="shared" si="13"/>
        <v>0</v>
      </c>
      <c r="CB519" s="46">
        <f t="shared" si="14"/>
        <v>1</v>
      </c>
      <c r="CC519" s="46">
        <f t="shared" si="15"/>
        <v>1</v>
      </c>
      <c r="CD519" s="46">
        <f t="shared" si="16"/>
        <v>1</v>
      </c>
      <c r="CE519" s="46">
        <f t="shared" si="17"/>
        <v>0</v>
      </c>
      <c r="CF519" s="46">
        <f t="shared" si="18"/>
        <v>0</v>
      </c>
      <c r="CG519" s="46" t="str">
        <f ca="1">IFERROR(__xludf.DUMMYFUNCTION("if(OR(BH519="""",LEFT(BH519,2)=""LA""),"""",IMPORTXML(CONCATENATE(""https://loinc.org/"",BH519,""/""),""//span[@id='lcn']""))"),"")</f>
        <v/>
      </c>
      <c r="CH519" s="46"/>
      <c r="CI519" s="46"/>
      <c r="CJ519" s="46"/>
      <c r="CK519" s="46"/>
      <c r="CL519" s="46"/>
      <c r="CM519" s="46"/>
      <c r="CN519" s="46"/>
      <c r="CO519" s="46"/>
      <c r="CP519" s="46"/>
      <c r="CQ519" s="46"/>
      <c r="CR519" s="46"/>
      <c r="CS519" s="46"/>
      <c r="CT519" s="46"/>
      <c r="CU519" s="46"/>
    </row>
    <row r="520" spans="1:99" ht="12.75" customHeight="1">
      <c r="A520" s="409">
        <v>1904</v>
      </c>
      <c r="B520" s="399" t="s">
        <v>6270</v>
      </c>
      <c r="C520" s="399">
        <f t="shared" si="77"/>
        <v>1904</v>
      </c>
      <c r="D520" s="399" t="str">
        <f t="shared" si="89"/>
        <v>Past STI treatment</v>
      </c>
      <c r="E520" s="399" t="str">
        <f t="shared" si="90"/>
        <v>Past STI treatment</v>
      </c>
      <c r="F520" s="399" t="str">
        <f t="shared" si="97"/>
        <v>Data Element</v>
      </c>
      <c r="G520" s="400">
        <f t="shared" si="80"/>
        <v>18</v>
      </c>
      <c r="H520" s="400" t="str">
        <f t="shared" si="98"/>
        <v/>
      </c>
      <c r="I520" s="400"/>
      <c r="J520" s="400"/>
      <c r="K520" s="401" t="s">
        <v>5283</v>
      </c>
      <c r="L520" s="402" t="s">
        <v>5194</v>
      </c>
      <c r="M520" s="400"/>
      <c r="N520" s="639" t="s">
        <v>4853</v>
      </c>
      <c r="O520" s="431" t="s">
        <v>6273</v>
      </c>
      <c r="P520" s="431"/>
      <c r="Q520" s="429" t="s">
        <v>6270</v>
      </c>
      <c r="R520" s="426"/>
      <c r="S520" s="437"/>
      <c r="T520" s="404" t="s">
        <v>3169</v>
      </c>
      <c r="U520" s="404"/>
      <c r="V520" s="404" t="s">
        <v>3170</v>
      </c>
      <c r="W520" s="404"/>
      <c r="X520" s="404" t="s">
        <v>208</v>
      </c>
      <c r="Y520" s="643"/>
      <c r="Z520" s="407" t="s">
        <v>113</v>
      </c>
      <c r="AA520" s="404" t="s">
        <v>1889</v>
      </c>
      <c r="AB520" s="644"/>
      <c r="AC520" s="643"/>
      <c r="AD520" s="643"/>
      <c r="AE520" s="644"/>
      <c r="AF520" s="643"/>
      <c r="AG520" s="643"/>
      <c r="AH520" s="399"/>
      <c r="AI520" s="400"/>
      <c r="AJ520" s="399" t="s">
        <v>1787</v>
      </c>
      <c r="AK520" s="409" t="s">
        <v>3410</v>
      </c>
      <c r="AL520" s="440" t="s">
        <v>3313</v>
      </c>
      <c r="AM520" s="409" t="s">
        <v>3100</v>
      </c>
      <c r="AN520" s="409" t="s">
        <v>3101</v>
      </c>
      <c r="AO520" s="409"/>
      <c r="AP520" s="409" t="s">
        <v>6274</v>
      </c>
      <c r="AQ520" s="409" t="s">
        <v>3424</v>
      </c>
      <c r="AR520" s="409"/>
      <c r="AS520" s="409"/>
      <c r="AT520" s="399"/>
      <c r="AU520" s="399"/>
      <c r="AV520" s="399" t="str">
        <f t="shared" si="92"/>
        <v/>
      </c>
      <c r="AW520" s="399"/>
      <c r="AX520" s="409" t="s">
        <v>5194</v>
      </c>
      <c r="AY520" s="399" t="str">
        <f t="shared" si="93"/>
        <v/>
      </c>
      <c r="AZ520" s="399"/>
      <c r="BA520" s="409" t="s">
        <v>3125</v>
      </c>
      <c r="BB520" s="399"/>
      <c r="BC520" s="399" t="s">
        <v>1787</v>
      </c>
      <c r="BD520" s="399" t="s">
        <v>1787</v>
      </c>
      <c r="BE520" s="411"/>
      <c r="BF520" s="411" t="s">
        <v>1787</v>
      </c>
      <c r="BG520" s="411"/>
      <c r="BH520" s="411"/>
      <c r="BI520" s="411"/>
      <c r="BJ520" s="409" t="s">
        <v>3106</v>
      </c>
      <c r="BK520" s="399" t="s">
        <v>1787</v>
      </c>
      <c r="BL520" s="399"/>
      <c r="BM520" s="399" t="s">
        <v>1787</v>
      </c>
      <c r="BN520" s="399" t="s">
        <v>1787</v>
      </c>
      <c r="BO520" s="399" t="s">
        <v>1787</v>
      </c>
      <c r="BP520" s="399" t="s">
        <v>1787</v>
      </c>
      <c r="BQ520" s="399" t="s">
        <v>1787</v>
      </c>
      <c r="BR520" s="399" t="s">
        <v>1787</v>
      </c>
      <c r="BS520" s="407"/>
      <c r="BT520" s="407"/>
      <c r="BU520" s="412"/>
      <c r="BV520" s="46" t="str">
        <f t="shared" si="8"/>
        <v>Observation</v>
      </c>
      <c r="BW520" s="46" t="str">
        <f t="shared" si="9"/>
        <v/>
      </c>
      <c r="BX520" s="46" t="str">
        <f t="shared" si="10"/>
        <v>Observation</v>
      </c>
      <c r="BY520" s="43" t="str">
        <f t="shared" si="11"/>
        <v>WHO-STI Observation (Past STI Treatment)</v>
      </c>
      <c r="BZ520" s="46">
        <f t="shared" si="12"/>
        <v>1</v>
      </c>
      <c r="CA520" s="46">
        <f t="shared" si="13"/>
        <v>0</v>
      </c>
      <c r="CB520" s="46">
        <f t="shared" si="14"/>
        <v>1</v>
      </c>
      <c r="CC520" s="46">
        <f t="shared" si="15"/>
        <v>1</v>
      </c>
      <c r="CD520" s="46">
        <f t="shared" si="16"/>
        <v>1</v>
      </c>
      <c r="CE520" s="46">
        <f t="shared" si="17"/>
        <v>0</v>
      </c>
      <c r="CF520" s="46">
        <f t="shared" si="18"/>
        <v>0</v>
      </c>
      <c r="CG520" s="46" t="str">
        <f ca="1">IFERROR(__xludf.DUMMYFUNCTION("if(OR(BH520="""",LEFT(BH520,2)=""LA""),"""",IMPORTXML(CONCATENATE(""https://loinc.org/"",BH520,""/""),""//span[@id='lcn']""))"),"")</f>
        <v/>
      </c>
      <c r="CH520" s="46"/>
      <c r="CI520" s="46"/>
      <c r="CJ520" s="46"/>
      <c r="CK520" s="46"/>
      <c r="CL520" s="46"/>
      <c r="CM520" s="46"/>
      <c r="CN520" s="46"/>
      <c r="CO520" s="46"/>
      <c r="CP520" s="46"/>
      <c r="CQ520" s="46"/>
      <c r="CR520" s="46"/>
      <c r="CS520" s="46"/>
      <c r="CT520" s="46"/>
      <c r="CU520" s="46"/>
    </row>
    <row r="521" spans="1:99" ht="12.75" customHeight="1">
      <c r="A521" s="409">
        <v>1905</v>
      </c>
      <c r="B521" s="399" t="s">
        <v>6279</v>
      </c>
      <c r="C521" s="399">
        <f t="shared" si="77"/>
        <v>1905</v>
      </c>
      <c r="D521" s="399" t="str">
        <f t="shared" si="89"/>
        <v>STI Treatment date</v>
      </c>
      <c r="E521" s="399" t="str">
        <f t="shared" si="90"/>
        <v>STI Treatment date</v>
      </c>
      <c r="F521" s="399" t="str">
        <f t="shared" si="97"/>
        <v>Data Element</v>
      </c>
      <c r="G521" s="400">
        <f t="shared" si="80"/>
        <v>18</v>
      </c>
      <c r="H521" s="400" t="str">
        <f t="shared" si="98"/>
        <v/>
      </c>
      <c r="I521" s="400"/>
      <c r="J521" s="400"/>
      <c r="K521" s="401" t="s">
        <v>5283</v>
      </c>
      <c r="L521" s="402" t="s">
        <v>5194</v>
      </c>
      <c r="M521" s="400"/>
      <c r="N521" s="639" t="s">
        <v>4853</v>
      </c>
      <c r="O521" s="431" t="s">
        <v>6280</v>
      </c>
      <c r="P521" s="431"/>
      <c r="Q521" s="429" t="s">
        <v>6279</v>
      </c>
      <c r="R521" s="404"/>
      <c r="S521" s="404" t="s">
        <v>6281</v>
      </c>
      <c r="T521" s="404" t="s">
        <v>140</v>
      </c>
      <c r="U521" s="404"/>
      <c r="V521" s="404"/>
      <c r="W521" s="404"/>
      <c r="X521" s="404" t="s">
        <v>208</v>
      </c>
      <c r="Y521" s="643"/>
      <c r="Z521" s="407" t="s">
        <v>113</v>
      </c>
      <c r="AA521" s="404" t="s">
        <v>3178</v>
      </c>
      <c r="AB521" s="420" t="s">
        <v>6282</v>
      </c>
      <c r="AC521" s="648"/>
      <c r="AD521" s="648"/>
      <c r="AE521" s="649"/>
      <c r="AF521" s="643"/>
      <c r="AG521" s="643"/>
      <c r="AH521" s="399"/>
      <c r="AI521" s="400"/>
      <c r="AJ521" s="399" t="s">
        <v>1787</v>
      </c>
      <c r="AK521" s="409" t="s">
        <v>3410</v>
      </c>
      <c r="AL521" s="409" t="s">
        <v>3513</v>
      </c>
      <c r="AM521" s="409" t="s">
        <v>3100</v>
      </c>
      <c r="AN521" s="409" t="s">
        <v>3101</v>
      </c>
      <c r="AO521" s="399" t="s">
        <v>1787</v>
      </c>
      <c r="AP521" s="409" t="s">
        <v>6274</v>
      </c>
      <c r="AQ521" s="409" t="s">
        <v>3424</v>
      </c>
      <c r="AR521" s="399"/>
      <c r="AS521" s="399"/>
      <c r="AT521" s="399"/>
      <c r="AU521" s="399"/>
      <c r="AV521" s="399" t="str">
        <f t="shared" si="92"/>
        <v/>
      </c>
      <c r="AW521" s="399"/>
      <c r="AX521" s="409" t="s">
        <v>5194</v>
      </c>
      <c r="AY521" s="399" t="str">
        <f t="shared" si="93"/>
        <v/>
      </c>
      <c r="AZ521" s="399"/>
      <c r="BA521" s="409" t="s">
        <v>3125</v>
      </c>
      <c r="BB521" s="399"/>
      <c r="BC521" s="399" t="s">
        <v>1787</v>
      </c>
      <c r="BD521" s="399" t="s">
        <v>1787</v>
      </c>
      <c r="BE521" s="411"/>
      <c r="BF521" s="411" t="s">
        <v>1787</v>
      </c>
      <c r="BG521" s="411"/>
      <c r="BH521" s="411"/>
      <c r="BI521" s="411"/>
      <c r="BJ521" s="409" t="s">
        <v>3106</v>
      </c>
      <c r="BK521" s="399" t="s">
        <v>1787</v>
      </c>
      <c r="BL521" s="399"/>
      <c r="BM521" s="399" t="s">
        <v>1787</v>
      </c>
      <c r="BN521" s="399" t="s">
        <v>1787</v>
      </c>
      <c r="BO521" s="399" t="s">
        <v>1787</v>
      </c>
      <c r="BP521" s="399" t="s">
        <v>1787</v>
      </c>
      <c r="BQ521" s="399" t="s">
        <v>1787</v>
      </c>
      <c r="BR521" s="399" t="s">
        <v>1787</v>
      </c>
      <c r="BS521" s="407"/>
      <c r="BT521" s="407"/>
      <c r="BU521" s="412"/>
      <c r="BV521" s="46" t="str">
        <f t="shared" si="8"/>
        <v>Observation</v>
      </c>
      <c r="BW521" s="46" t="str">
        <f t="shared" si="9"/>
        <v/>
      </c>
      <c r="BX521" s="46" t="str">
        <f t="shared" si="10"/>
        <v>Observation</v>
      </c>
      <c r="BY521" s="43" t="str">
        <f t="shared" si="11"/>
        <v>WHO-STI Observation (Past STI Treatment)</v>
      </c>
      <c r="BZ521" s="46">
        <f t="shared" si="12"/>
        <v>1</v>
      </c>
      <c r="CA521" s="46">
        <f t="shared" si="13"/>
        <v>0</v>
      </c>
      <c r="CB521" s="46">
        <f t="shared" si="14"/>
        <v>1</v>
      </c>
      <c r="CC521" s="46">
        <f t="shared" si="15"/>
        <v>1</v>
      </c>
      <c r="CD521" s="46">
        <f t="shared" si="16"/>
        <v>1</v>
      </c>
      <c r="CE521" s="46">
        <f t="shared" si="17"/>
        <v>0</v>
      </c>
      <c r="CF521" s="46">
        <f t="shared" si="18"/>
        <v>0</v>
      </c>
      <c r="CG521" s="46" t="str">
        <f ca="1">IFERROR(__xludf.DUMMYFUNCTION("if(OR(BH521="""",LEFT(BH521,2)=""LA""),"""",IMPORTXML(CONCATENATE(""https://loinc.org/"",BH521,""/""),""//span[@id='lcn']""))"),"")</f>
        <v/>
      </c>
      <c r="CH521" s="46"/>
      <c r="CI521" s="46"/>
      <c r="CJ521" s="46"/>
      <c r="CK521" s="46"/>
      <c r="CL521" s="46"/>
      <c r="CM521" s="46"/>
      <c r="CN521" s="46"/>
      <c r="CO521" s="46"/>
      <c r="CP521" s="46"/>
      <c r="CQ521" s="46"/>
      <c r="CR521" s="46"/>
      <c r="CS521" s="46"/>
      <c r="CT521" s="46"/>
      <c r="CU521" s="46"/>
    </row>
    <row r="522" spans="1:99" ht="12.75" customHeight="1">
      <c r="A522" s="409">
        <v>1906</v>
      </c>
      <c r="B522" s="399" t="s">
        <v>6286</v>
      </c>
      <c r="C522" s="399">
        <f t="shared" si="77"/>
        <v>1906</v>
      </c>
      <c r="D522" s="399" t="str">
        <f t="shared" si="89"/>
        <v>History of STIs</v>
      </c>
      <c r="E522" s="399" t="str">
        <f t="shared" si="90"/>
        <v>History of STIs</v>
      </c>
      <c r="F522" s="409" t="s">
        <v>96</v>
      </c>
      <c r="G522" s="400">
        <f t="shared" si="80"/>
        <v>15</v>
      </c>
      <c r="H522" s="400" t="str">
        <f t="shared" si="98"/>
        <v/>
      </c>
      <c r="I522" s="400"/>
      <c r="J522" s="400"/>
      <c r="K522" s="401" t="s">
        <v>5283</v>
      </c>
      <c r="L522" s="402" t="s">
        <v>5194</v>
      </c>
      <c r="M522" s="400"/>
      <c r="N522" s="639" t="s">
        <v>4853</v>
      </c>
      <c r="O522" s="407" t="s">
        <v>6287</v>
      </c>
      <c r="P522" s="407"/>
      <c r="Q522" s="407" t="s">
        <v>6286</v>
      </c>
      <c r="R522" s="407"/>
      <c r="S522" s="407" t="s">
        <v>6288</v>
      </c>
      <c r="T522" s="407" t="s">
        <v>3339</v>
      </c>
      <c r="U522" s="407" t="s">
        <v>3326</v>
      </c>
      <c r="V522" s="407"/>
      <c r="W522" s="404"/>
      <c r="X522" s="407" t="s">
        <v>208</v>
      </c>
      <c r="Y522" s="407"/>
      <c r="Z522" s="650" t="s">
        <v>113</v>
      </c>
      <c r="AA522" s="407" t="s">
        <v>3178</v>
      </c>
      <c r="AB522" s="408" t="s">
        <v>6289</v>
      </c>
      <c r="AC522" s="407"/>
      <c r="AD522" s="407"/>
      <c r="AE522" s="408"/>
      <c r="AF522" s="414"/>
      <c r="AG522" s="407"/>
      <c r="AH522" s="399"/>
      <c r="AI522" s="400"/>
      <c r="AJ522" s="399" t="s">
        <v>1787</v>
      </c>
      <c r="AK522" s="440" t="s">
        <v>4476</v>
      </c>
      <c r="AL522" s="409"/>
      <c r="AM522" s="409" t="s">
        <v>3100</v>
      </c>
      <c r="AN522" s="409" t="s">
        <v>3101</v>
      </c>
      <c r="AO522" s="399" t="s">
        <v>1787</v>
      </c>
      <c r="AP522" s="409" t="s">
        <v>6290</v>
      </c>
      <c r="AQ522" s="409" t="s">
        <v>3424</v>
      </c>
      <c r="AR522" s="409"/>
      <c r="AS522" s="409" t="s">
        <v>3413</v>
      </c>
      <c r="AT522" s="399"/>
      <c r="AU522" s="399"/>
      <c r="AV522" s="399" t="str">
        <f t="shared" si="92"/>
        <v/>
      </c>
      <c r="AW522" s="399"/>
      <c r="AX522" s="409" t="s">
        <v>5194</v>
      </c>
      <c r="AY522" s="399" t="str">
        <f t="shared" si="93"/>
        <v/>
      </c>
      <c r="AZ522" s="399"/>
      <c r="BA522" s="409" t="s">
        <v>3125</v>
      </c>
      <c r="BB522" s="399"/>
      <c r="BC522" s="399" t="s">
        <v>1787</v>
      </c>
      <c r="BD522" s="399" t="s">
        <v>1787</v>
      </c>
      <c r="BE522" s="411"/>
      <c r="BF522" s="411" t="s">
        <v>1787</v>
      </c>
      <c r="BG522" s="411"/>
      <c r="BH522" s="411"/>
      <c r="BI522" s="411"/>
      <c r="BJ522" s="409" t="s">
        <v>3106</v>
      </c>
      <c r="BK522" s="399" t="s">
        <v>1787</v>
      </c>
      <c r="BL522" s="399"/>
      <c r="BM522" s="409" t="s">
        <v>6291</v>
      </c>
      <c r="BN522" s="399" t="s">
        <v>1787</v>
      </c>
      <c r="BO522" s="399" t="s">
        <v>1787</v>
      </c>
      <c r="BP522" s="399" t="s">
        <v>1787</v>
      </c>
      <c r="BQ522" s="399" t="s">
        <v>1787</v>
      </c>
      <c r="BR522" s="399" t="s">
        <v>1787</v>
      </c>
      <c r="BS522" s="407"/>
      <c r="BT522" s="407"/>
      <c r="BU522" s="412"/>
      <c r="BV522" s="46" t="str">
        <f t="shared" si="8"/>
        <v>Condition</v>
      </c>
      <c r="BW522" s="46" t="str">
        <f t="shared" si="9"/>
        <v/>
      </c>
      <c r="BX522" s="46" t="str">
        <f t="shared" si="10"/>
        <v>Condition</v>
      </c>
      <c r="BY522" s="43" t="str">
        <f t="shared" si="11"/>
        <v>WHO-STI Condition (STI History)</v>
      </c>
      <c r="BZ522" s="46">
        <f t="shared" si="12"/>
        <v>1</v>
      </c>
      <c r="CA522" s="46">
        <f t="shared" si="13"/>
        <v>1</v>
      </c>
      <c r="CB522" s="46">
        <f t="shared" si="14"/>
        <v>1</v>
      </c>
      <c r="CC522" s="46">
        <f t="shared" si="15"/>
        <v>1</v>
      </c>
      <c r="CD522" s="46">
        <f t="shared" si="16"/>
        <v>1</v>
      </c>
      <c r="CE522" s="46">
        <f t="shared" si="17"/>
        <v>0</v>
      </c>
      <c r="CF522" s="46">
        <f t="shared" si="18"/>
        <v>0</v>
      </c>
      <c r="CG522" s="46" t="str">
        <f ca="1">IFERROR(__xludf.DUMMYFUNCTION("if(OR(BH522="""",LEFT(BH522,2)=""LA""),"""",IMPORTXML(CONCATENATE(""https://loinc.org/"",BH522,""/""),""//span[@id='lcn']""))"),"")</f>
        <v/>
      </c>
      <c r="CH522" s="46"/>
      <c r="CI522" s="46"/>
      <c r="CJ522" s="46"/>
      <c r="CK522" s="46"/>
      <c r="CL522" s="46"/>
      <c r="CM522" s="46"/>
      <c r="CN522" s="46"/>
      <c r="CO522" s="46"/>
      <c r="CP522" s="46"/>
      <c r="CQ522" s="46"/>
      <c r="CR522" s="46"/>
      <c r="CS522" s="46"/>
      <c r="CT522" s="46"/>
      <c r="CU522" s="46"/>
    </row>
    <row r="523" spans="1:99" ht="12.75" customHeight="1">
      <c r="A523" s="409">
        <v>1907</v>
      </c>
      <c r="B523" s="399" t="s">
        <v>6292</v>
      </c>
      <c r="C523" s="399">
        <f t="shared" si="77"/>
        <v>1907</v>
      </c>
      <c r="D523" s="399" t="e">
        <f t="shared" ca="1" si="89"/>
        <v>#NAME?</v>
      </c>
      <c r="E523" s="399" t="str">
        <f t="shared" si="90"/>
        <v>Chlamydia</v>
      </c>
      <c r="F523" s="409" t="s">
        <v>180</v>
      </c>
      <c r="G523" s="400">
        <f t="shared" si="80"/>
        <v>9</v>
      </c>
      <c r="H523" s="399" t="str">
        <f t="shared" si="98"/>
        <v>History of STIs</v>
      </c>
      <c r="I523" s="400"/>
      <c r="J523" s="400"/>
      <c r="K523" s="401" t="s">
        <v>5283</v>
      </c>
      <c r="L523" s="402" t="s">
        <v>5194</v>
      </c>
      <c r="M523" s="400"/>
      <c r="N523" s="639" t="s">
        <v>4853</v>
      </c>
      <c r="O523" s="431" t="s">
        <v>6293</v>
      </c>
      <c r="P523" s="431"/>
      <c r="Q523" s="404"/>
      <c r="R523" s="431"/>
      <c r="S523" s="431"/>
      <c r="T523" s="437"/>
      <c r="U523" s="437"/>
      <c r="V523" s="437" t="s">
        <v>6292</v>
      </c>
      <c r="W523" s="404"/>
      <c r="X523" s="437" t="s">
        <v>208</v>
      </c>
      <c r="Y523" s="437"/>
      <c r="Z523" s="437" t="s">
        <v>113</v>
      </c>
      <c r="AA523" s="437" t="s">
        <v>3178</v>
      </c>
      <c r="AB523" s="629"/>
      <c r="AC523" s="437"/>
      <c r="AD523" s="404"/>
      <c r="AE523" s="629"/>
      <c r="AF523" s="437"/>
      <c r="AG523" s="437"/>
      <c r="AH523" s="399"/>
      <c r="AI523" s="400"/>
      <c r="AJ523" s="399" t="s">
        <v>1787</v>
      </c>
      <c r="AK523" s="440"/>
      <c r="AL523" s="409"/>
      <c r="AM523" s="409"/>
      <c r="AN523" s="409"/>
      <c r="AO523" s="399" t="s">
        <v>1787</v>
      </c>
      <c r="AP523" s="399"/>
      <c r="AQ523" s="409" t="s">
        <v>3130</v>
      </c>
      <c r="AR523" s="399"/>
      <c r="AS523" s="399"/>
      <c r="AT523" s="399"/>
      <c r="AU523" s="399"/>
      <c r="AV523" s="399" t="str">
        <f t="shared" si="92"/>
        <v/>
      </c>
      <c r="AW523" s="399"/>
      <c r="AX523" s="409" t="s">
        <v>5194</v>
      </c>
      <c r="AY523" s="399" t="e">
        <f t="shared" ca="1" si="93"/>
        <v>#NAME?</v>
      </c>
      <c r="AZ523" s="399"/>
      <c r="BA523" s="409">
        <v>1</v>
      </c>
      <c r="BB523" s="399"/>
      <c r="BC523" s="399" t="s">
        <v>1787</v>
      </c>
      <c r="BD523" s="409" t="s">
        <v>3162</v>
      </c>
      <c r="BE523" s="411"/>
      <c r="BF523" s="411" t="s">
        <v>1787</v>
      </c>
      <c r="BG523" s="434" t="s">
        <v>6294</v>
      </c>
      <c r="BH523" s="411"/>
      <c r="BI523" s="411"/>
      <c r="BJ523" s="399" t="s">
        <v>1787</v>
      </c>
      <c r="BK523" s="399" t="s">
        <v>1787</v>
      </c>
      <c r="BL523" s="399"/>
      <c r="BM523" s="409" t="s">
        <v>6295</v>
      </c>
      <c r="BN523" s="399" t="s">
        <v>1787</v>
      </c>
      <c r="BO523" s="399" t="s">
        <v>1787</v>
      </c>
      <c r="BP523" s="399" t="s">
        <v>1787</v>
      </c>
      <c r="BQ523" s="399" t="s">
        <v>1787</v>
      </c>
      <c r="BR523" s="399" t="s">
        <v>1787</v>
      </c>
      <c r="BS523" s="407"/>
      <c r="BT523" s="407"/>
      <c r="BU523" s="412"/>
      <c r="BV523" s="46" t="str">
        <f t="shared" si="8"/>
        <v/>
      </c>
      <c r="BW523" s="46">
        <f t="shared" si="9"/>
        <v>0</v>
      </c>
      <c r="BX523" s="46">
        <f t="shared" si="10"/>
        <v>0</v>
      </c>
      <c r="BY523" s="43" t="str">
        <f t="shared" si="11"/>
        <v>WHO-STI Condition (STI History)</v>
      </c>
      <c r="BZ523" s="46">
        <f t="shared" si="12"/>
        <v>1</v>
      </c>
      <c r="CA523" s="46" t="str">
        <f t="shared" si="13"/>
        <v/>
      </c>
      <c r="CB523" s="46">
        <f t="shared" si="14"/>
        <v>1</v>
      </c>
      <c r="CC523" s="46">
        <f t="shared" si="15"/>
        <v>1</v>
      </c>
      <c r="CD523" s="46">
        <f t="shared" si="16"/>
        <v>1</v>
      </c>
      <c r="CE523" s="46">
        <f t="shared" si="17"/>
        <v>0</v>
      </c>
      <c r="CF523" s="46">
        <f t="shared" si="18"/>
        <v>0</v>
      </c>
      <c r="CG523" s="46" t="str">
        <f ca="1">IFERROR(__xludf.DUMMYFUNCTION("if(OR(BH523="""",LEFT(BH523,2)=""LA""),"""",IMPORTXML(CONCATENATE(""https://loinc.org/"",BH523,""/""),""//span[@id='lcn']""))"),"")</f>
        <v/>
      </c>
      <c r="CH523" s="46"/>
      <c r="CI523" s="46"/>
      <c r="CJ523" s="46"/>
      <c r="CK523" s="46"/>
      <c r="CL523" s="46"/>
      <c r="CM523" s="46"/>
      <c r="CN523" s="46"/>
      <c r="CO523" s="46"/>
      <c r="CP523" s="46"/>
      <c r="CQ523" s="46"/>
      <c r="CR523" s="46"/>
      <c r="CS523" s="46"/>
      <c r="CT523" s="46"/>
      <c r="CU523" s="46"/>
    </row>
    <row r="524" spans="1:99" ht="12.75" customHeight="1">
      <c r="A524" s="409">
        <v>1908</v>
      </c>
      <c r="B524" s="399" t="s">
        <v>2057</v>
      </c>
      <c r="C524" s="399">
        <f t="shared" si="77"/>
        <v>1908</v>
      </c>
      <c r="D524" s="399" t="e">
        <f t="shared" ca="1" si="89"/>
        <v>#NAME?</v>
      </c>
      <c r="E524" s="399" t="str">
        <f t="shared" si="90"/>
        <v>Syphilis</v>
      </c>
      <c r="F524" s="409" t="s">
        <v>180</v>
      </c>
      <c r="G524" s="400">
        <f t="shared" si="80"/>
        <v>8</v>
      </c>
      <c r="H524" s="399" t="str">
        <f t="shared" si="98"/>
        <v>History of STIs</v>
      </c>
      <c r="I524" s="400"/>
      <c r="J524" s="400"/>
      <c r="K524" s="401" t="s">
        <v>5283</v>
      </c>
      <c r="L524" s="402" t="s">
        <v>5194</v>
      </c>
      <c r="M524" s="400"/>
      <c r="N524" s="639" t="s">
        <v>4853</v>
      </c>
      <c r="O524" s="431" t="s">
        <v>6296</v>
      </c>
      <c r="P524" s="431"/>
      <c r="Q524" s="404"/>
      <c r="R524" s="431"/>
      <c r="S524" s="431"/>
      <c r="T524" s="437"/>
      <c r="U524" s="437"/>
      <c r="V524" s="437" t="s">
        <v>2057</v>
      </c>
      <c r="W524" s="404"/>
      <c r="X524" s="437" t="s">
        <v>208</v>
      </c>
      <c r="Y524" s="437"/>
      <c r="Z524" s="437" t="s">
        <v>113</v>
      </c>
      <c r="AA524" s="437" t="s">
        <v>3178</v>
      </c>
      <c r="AB524" s="629"/>
      <c r="AC524" s="437"/>
      <c r="AD524" s="404"/>
      <c r="AE524" s="629"/>
      <c r="AF524" s="437"/>
      <c r="AG524" s="437"/>
      <c r="AH524" s="399"/>
      <c r="AI524" s="400"/>
      <c r="AJ524" s="399" t="s">
        <v>1787</v>
      </c>
      <c r="AK524" s="440"/>
      <c r="AL524" s="409"/>
      <c r="AM524" s="409"/>
      <c r="AN524" s="409"/>
      <c r="AO524" s="399" t="s">
        <v>1787</v>
      </c>
      <c r="AP524" s="399"/>
      <c r="AQ524" s="409" t="s">
        <v>3130</v>
      </c>
      <c r="AR524" s="399"/>
      <c r="AS524" s="399"/>
      <c r="AT524" s="399"/>
      <c r="AU524" s="399"/>
      <c r="AV524" s="399" t="str">
        <f t="shared" si="92"/>
        <v/>
      </c>
      <c r="AW524" s="399"/>
      <c r="AX524" s="409" t="s">
        <v>5194</v>
      </c>
      <c r="AY524" s="399" t="e">
        <f t="shared" ca="1" si="93"/>
        <v>#NAME?</v>
      </c>
      <c r="AZ524" s="399"/>
      <c r="BA524" s="409" t="s">
        <v>3125</v>
      </c>
      <c r="BB524" s="399"/>
      <c r="BC524" s="399" t="s">
        <v>1787</v>
      </c>
      <c r="BD524" s="399" t="s">
        <v>1787</v>
      </c>
      <c r="BE524" s="411"/>
      <c r="BF524" s="411" t="s">
        <v>1787</v>
      </c>
      <c r="BG524" s="434" t="s">
        <v>6298</v>
      </c>
      <c r="BH524" s="411"/>
      <c r="BI524" s="411"/>
      <c r="BJ524" s="399" t="s">
        <v>1787</v>
      </c>
      <c r="BK524" s="399" t="s">
        <v>1787</v>
      </c>
      <c r="BL524" s="399"/>
      <c r="BM524" s="409" t="s">
        <v>6295</v>
      </c>
      <c r="BN524" s="399" t="s">
        <v>1787</v>
      </c>
      <c r="BO524" s="399" t="s">
        <v>1787</v>
      </c>
      <c r="BP524" s="399" t="s">
        <v>1787</v>
      </c>
      <c r="BQ524" s="399" t="s">
        <v>1787</v>
      </c>
      <c r="BR524" s="399" t="s">
        <v>1787</v>
      </c>
      <c r="BS524" s="407"/>
      <c r="BT524" s="407"/>
      <c r="BU524" s="412"/>
      <c r="BV524" s="46" t="str">
        <f t="shared" si="8"/>
        <v/>
      </c>
      <c r="BW524" s="46">
        <f t="shared" si="9"/>
        <v>0</v>
      </c>
      <c r="BX524" s="46">
        <f t="shared" si="10"/>
        <v>0</v>
      </c>
      <c r="BY524" s="43" t="str">
        <f t="shared" si="11"/>
        <v>WHO-STI Condition (STI History)</v>
      </c>
      <c r="BZ524" s="46">
        <f t="shared" si="12"/>
        <v>1</v>
      </c>
      <c r="CA524" s="46" t="str">
        <f t="shared" si="13"/>
        <v/>
      </c>
      <c r="CB524" s="46">
        <f t="shared" si="14"/>
        <v>1</v>
      </c>
      <c r="CC524" s="46">
        <f t="shared" si="15"/>
        <v>1</v>
      </c>
      <c r="CD524" s="46">
        <f t="shared" si="16"/>
        <v>1</v>
      </c>
      <c r="CE524" s="46">
        <f t="shared" si="17"/>
        <v>0</v>
      </c>
      <c r="CF524" s="46">
        <f t="shared" si="18"/>
        <v>0</v>
      </c>
      <c r="CG524" s="46" t="str">
        <f ca="1">IFERROR(__xludf.DUMMYFUNCTION("if(OR(BH524="""",LEFT(BH524,2)=""LA""),"""",IMPORTXML(CONCATENATE(""https://loinc.org/"",BH524,""/""),""//span[@id='lcn']""))"),"")</f>
        <v/>
      </c>
      <c r="CH524" s="46"/>
      <c r="CI524" s="46"/>
      <c r="CJ524" s="46"/>
      <c r="CK524" s="46"/>
      <c r="CL524" s="46"/>
      <c r="CM524" s="46"/>
      <c r="CN524" s="46"/>
      <c r="CO524" s="46"/>
      <c r="CP524" s="46"/>
      <c r="CQ524" s="46"/>
      <c r="CR524" s="46"/>
      <c r="CS524" s="46"/>
      <c r="CT524" s="46"/>
      <c r="CU524" s="46"/>
    </row>
    <row r="525" spans="1:99" ht="12.75" customHeight="1">
      <c r="A525" s="409">
        <v>1909</v>
      </c>
      <c r="B525" s="399" t="s">
        <v>6302</v>
      </c>
      <c r="C525" s="399">
        <f t="shared" si="77"/>
        <v>1909</v>
      </c>
      <c r="D525" s="399" t="e">
        <f t="shared" ca="1" si="89"/>
        <v>#NAME?</v>
      </c>
      <c r="E525" s="399" t="str">
        <f t="shared" si="90"/>
        <v>Herpes simplex viruses</v>
      </c>
      <c r="F525" s="409" t="s">
        <v>180</v>
      </c>
      <c r="G525" s="400">
        <f t="shared" si="80"/>
        <v>22</v>
      </c>
      <c r="H525" s="399" t="str">
        <f t="shared" si="98"/>
        <v>History of STIs</v>
      </c>
      <c r="I525" s="400"/>
      <c r="J525" s="400"/>
      <c r="K525" s="401" t="s">
        <v>5283</v>
      </c>
      <c r="L525" s="402" t="s">
        <v>5194</v>
      </c>
      <c r="M525" s="400"/>
      <c r="N525" s="639" t="s">
        <v>4853</v>
      </c>
      <c r="O525" s="431" t="s">
        <v>6303</v>
      </c>
      <c r="P525" s="431"/>
      <c r="Q525" s="437"/>
      <c r="R525" s="437" t="s">
        <v>6304</v>
      </c>
      <c r="S525" s="437"/>
      <c r="T525" s="437"/>
      <c r="U525" s="437"/>
      <c r="V525" s="429" t="s">
        <v>6302</v>
      </c>
      <c r="W525" s="404"/>
      <c r="X525" s="437" t="s">
        <v>208</v>
      </c>
      <c r="Y525" s="437"/>
      <c r="Z525" s="437" t="s">
        <v>113</v>
      </c>
      <c r="AA525" s="437" t="s">
        <v>3178</v>
      </c>
      <c r="AB525" s="629"/>
      <c r="AC525" s="437"/>
      <c r="AD525" s="404"/>
      <c r="AE525" s="629"/>
      <c r="AF525" s="437"/>
      <c r="AG525" s="437"/>
      <c r="AH525" s="399"/>
      <c r="AI525" s="400"/>
      <c r="AJ525" s="399" t="s">
        <v>1787</v>
      </c>
      <c r="AK525" s="440"/>
      <c r="AL525" s="409"/>
      <c r="AM525" s="409"/>
      <c r="AN525" s="409"/>
      <c r="AO525" s="399" t="s">
        <v>1787</v>
      </c>
      <c r="AP525" s="399"/>
      <c r="AQ525" s="409" t="s">
        <v>3130</v>
      </c>
      <c r="AR525" s="399"/>
      <c r="AS525" s="399"/>
      <c r="AT525" s="399"/>
      <c r="AU525" s="399"/>
      <c r="AV525" s="399" t="str">
        <f t="shared" si="92"/>
        <v/>
      </c>
      <c r="AW525" s="399"/>
      <c r="AX525" s="409" t="s">
        <v>5194</v>
      </c>
      <c r="AY525" s="399" t="e">
        <f t="shared" ca="1" si="93"/>
        <v>#NAME?</v>
      </c>
      <c r="AZ525" s="399"/>
      <c r="BA525" s="409" t="s">
        <v>3125</v>
      </c>
      <c r="BB525" s="399"/>
      <c r="BC525" s="399" t="s">
        <v>1787</v>
      </c>
      <c r="BD525" s="399" t="s">
        <v>1787</v>
      </c>
      <c r="BE525" s="411"/>
      <c r="BF525" s="411" t="s">
        <v>1787</v>
      </c>
      <c r="BG525" s="434" t="s">
        <v>6307</v>
      </c>
      <c r="BH525" s="411"/>
      <c r="BI525" s="411"/>
      <c r="BJ525" s="399" t="s">
        <v>1787</v>
      </c>
      <c r="BK525" s="409"/>
      <c r="BL525" s="409"/>
      <c r="BM525" s="409" t="s">
        <v>6308</v>
      </c>
      <c r="BN525" s="399" t="s">
        <v>1787</v>
      </c>
      <c r="BO525" s="399" t="s">
        <v>1787</v>
      </c>
      <c r="BP525" s="399" t="s">
        <v>1787</v>
      </c>
      <c r="BQ525" s="399" t="s">
        <v>1787</v>
      </c>
      <c r="BR525" s="399" t="s">
        <v>1787</v>
      </c>
      <c r="BS525" s="407"/>
      <c r="BT525" s="407"/>
      <c r="BU525" s="412"/>
      <c r="BV525" s="46" t="str">
        <f t="shared" si="8"/>
        <v/>
      </c>
      <c r="BW525" s="46">
        <f t="shared" si="9"/>
        <v>0</v>
      </c>
      <c r="BX525" s="46">
        <f t="shared" si="10"/>
        <v>0</v>
      </c>
      <c r="BY525" s="43" t="str">
        <f t="shared" si="11"/>
        <v>WHO-STI Condition (STI History)</v>
      </c>
      <c r="BZ525" s="46">
        <f t="shared" si="12"/>
        <v>1</v>
      </c>
      <c r="CA525" s="46" t="str">
        <f t="shared" si="13"/>
        <v/>
      </c>
      <c r="CB525" s="46">
        <f t="shared" si="14"/>
        <v>1</v>
      </c>
      <c r="CC525" s="46">
        <f t="shared" si="15"/>
        <v>1</v>
      </c>
      <c r="CD525" s="46">
        <f t="shared" si="16"/>
        <v>1</v>
      </c>
      <c r="CE525" s="46">
        <f t="shared" si="17"/>
        <v>0</v>
      </c>
      <c r="CF525" s="46">
        <f t="shared" si="18"/>
        <v>0</v>
      </c>
      <c r="CG525" s="46" t="str">
        <f ca="1">IFERROR(__xludf.DUMMYFUNCTION("if(OR(BH525="""",LEFT(BH525,2)=""LA""),"""",IMPORTXML(CONCATENATE(""https://loinc.org/"",BH525,""/""),""//span[@id='lcn']""))"),"")</f>
        <v/>
      </c>
      <c r="CH525" s="46"/>
      <c r="CI525" s="46"/>
      <c r="CJ525" s="46"/>
      <c r="CK525" s="46"/>
      <c r="CL525" s="46"/>
      <c r="CM525" s="46"/>
      <c r="CN525" s="46"/>
      <c r="CO525" s="46"/>
      <c r="CP525" s="46"/>
      <c r="CQ525" s="46"/>
      <c r="CR525" s="46"/>
      <c r="CS525" s="46"/>
      <c r="CT525" s="46"/>
      <c r="CU525" s="46"/>
    </row>
    <row r="526" spans="1:99" ht="12.75" customHeight="1">
      <c r="A526" s="409">
        <v>1910</v>
      </c>
      <c r="B526" s="399" t="s">
        <v>6309</v>
      </c>
      <c r="C526" s="399">
        <f t="shared" si="77"/>
        <v>1910</v>
      </c>
      <c r="D526" s="399" t="e">
        <f t="shared" ca="1" si="89"/>
        <v>#NAME?</v>
      </c>
      <c r="E526" s="399" t="str">
        <f t="shared" si="90"/>
        <v>Gonorrhea</v>
      </c>
      <c r="F526" s="409" t="s">
        <v>180</v>
      </c>
      <c r="G526" s="400">
        <f t="shared" si="80"/>
        <v>9</v>
      </c>
      <c r="H526" s="399" t="str">
        <f t="shared" si="98"/>
        <v>History of STIs</v>
      </c>
      <c r="I526" s="400"/>
      <c r="J526" s="400"/>
      <c r="K526" s="401" t="s">
        <v>5283</v>
      </c>
      <c r="L526" s="402" t="s">
        <v>5194</v>
      </c>
      <c r="M526" s="400"/>
      <c r="N526" s="639" t="s">
        <v>4853</v>
      </c>
      <c r="O526" s="431" t="s">
        <v>6310</v>
      </c>
      <c r="P526" s="431"/>
      <c r="Q526" s="404"/>
      <c r="R526" s="431"/>
      <c r="S526" s="431"/>
      <c r="T526" s="437"/>
      <c r="U526" s="437"/>
      <c r="V526" s="437" t="s">
        <v>6309</v>
      </c>
      <c r="W526" s="404"/>
      <c r="X526" s="437" t="s">
        <v>208</v>
      </c>
      <c r="Y526" s="437"/>
      <c r="Z526" s="437" t="s">
        <v>113</v>
      </c>
      <c r="AA526" s="437" t="s">
        <v>3178</v>
      </c>
      <c r="AB526" s="629"/>
      <c r="AC526" s="437"/>
      <c r="AD526" s="404"/>
      <c r="AE526" s="629"/>
      <c r="AF526" s="437"/>
      <c r="AG526" s="437"/>
      <c r="AH526" s="399"/>
      <c r="AI526" s="400"/>
      <c r="AJ526" s="399" t="s">
        <v>1787</v>
      </c>
      <c r="AK526" s="440"/>
      <c r="AL526" s="409"/>
      <c r="AM526" s="409"/>
      <c r="AN526" s="409"/>
      <c r="AO526" s="399" t="s">
        <v>1787</v>
      </c>
      <c r="AP526" s="399"/>
      <c r="AQ526" s="409" t="s">
        <v>3130</v>
      </c>
      <c r="AR526" s="399"/>
      <c r="AS526" s="399"/>
      <c r="AT526" s="399"/>
      <c r="AU526" s="399"/>
      <c r="AV526" s="399" t="str">
        <f t="shared" si="92"/>
        <v/>
      </c>
      <c r="AW526" s="399"/>
      <c r="AX526" s="409" t="s">
        <v>5194</v>
      </c>
      <c r="AY526" s="399" t="e">
        <f t="shared" ca="1" si="93"/>
        <v>#NAME?</v>
      </c>
      <c r="AZ526" s="399"/>
      <c r="BA526" s="409">
        <v>1</v>
      </c>
      <c r="BB526" s="399"/>
      <c r="BC526" s="399" t="s">
        <v>1787</v>
      </c>
      <c r="BD526" s="399" t="s">
        <v>1787</v>
      </c>
      <c r="BE526" s="411" t="s">
        <v>5208</v>
      </c>
      <c r="BF526" s="411" t="s">
        <v>1787</v>
      </c>
      <c r="BG526" s="411"/>
      <c r="BH526" s="411"/>
      <c r="BI526" s="411"/>
      <c r="BJ526" s="399" t="s">
        <v>1787</v>
      </c>
      <c r="BK526" s="399" t="s">
        <v>1787</v>
      </c>
      <c r="BL526" s="399"/>
      <c r="BM526" s="399" t="s">
        <v>1787</v>
      </c>
      <c r="BN526" s="399" t="s">
        <v>1787</v>
      </c>
      <c r="BO526" s="399" t="s">
        <v>1787</v>
      </c>
      <c r="BP526" s="399" t="s">
        <v>1787</v>
      </c>
      <c r="BQ526" s="399" t="s">
        <v>1787</v>
      </c>
      <c r="BR526" s="399" t="s">
        <v>1787</v>
      </c>
      <c r="BS526" s="407"/>
      <c r="BT526" s="407"/>
      <c r="BU526" s="412"/>
      <c r="BV526" s="46" t="str">
        <f t="shared" si="8"/>
        <v/>
      </c>
      <c r="BW526" s="46">
        <f t="shared" si="9"/>
        <v>0</v>
      </c>
      <c r="BX526" s="46">
        <f t="shared" si="10"/>
        <v>0</v>
      </c>
      <c r="BY526" s="43" t="str">
        <f t="shared" si="11"/>
        <v>WHO-STI Condition (STI History)</v>
      </c>
      <c r="BZ526" s="46">
        <f t="shared" si="12"/>
        <v>1</v>
      </c>
      <c r="CA526" s="46" t="str">
        <f t="shared" si="13"/>
        <v/>
      </c>
      <c r="CB526" s="46">
        <f t="shared" si="14"/>
        <v>1</v>
      </c>
      <c r="CC526" s="46">
        <f t="shared" si="15"/>
        <v>1</v>
      </c>
      <c r="CD526" s="46">
        <f t="shared" si="16"/>
        <v>1</v>
      </c>
      <c r="CE526" s="46">
        <f t="shared" si="17"/>
        <v>0</v>
      </c>
      <c r="CF526" s="46">
        <f t="shared" si="18"/>
        <v>0</v>
      </c>
      <c r="CG526" s="46" t="str">
        <f ca="1">IFERROR(__xludf.DUMMYFUNCTION("if(OR(BH526="""",LEFT(BH526,2)=""LA""),"""",IMPORTXML(CONCATENATE(""https://loinc.org/"",BH526,""/""),""//span[@id='lcn']""))"),"")</f>
        <v/>
      </c>
      <c r="CH526" s="46"/>
      <c r="CI526" s="46"/>
      <c r="CJ526" s="46"/>
      <c r="CK526" s="46"/>
      <c r="CL526" s="46"/>
      <c r="CM526" s="46"/>
      <c r="CN526" s="46"/>
      <c r="CO526" s="46"/>
      <c r="CP526" s="46"/>
      <c r="CQ526" s="46"/>
      <c r="CR526" s="46"/>
      <c r="CS526" s="46"/>
      <c r="CT526" s="46"/>
      <c r="CU526" s="46"/>
    </row>
    <row r="527" spans="1:99" ht="12.75" customHeight="1">
      <c r="A527" s="409">
        <v>1911</v>
      </c>
      <c r="B527" s="399" t="s">
        <v>6312</v>
      </c>
      <c r="C527" s="399">
        <f t="shared" si="77"/>
        <v>1911</v>
      </c>
      <c r="D527" s="399" t="e">
        <f t="shared" ca="1" si="89"/>
        <v>#NAME?</v>
      </c>
      <c r="E527" s="399" t="str">
        <f t="shared" si="90"/>
        <v>Yeast infection</v>
      </c>
      <c r="F527" s="409" t="s">
        <v>180</v>
      </c>
      <c r="G527" s="400">
        <f t="shared" si="80"/>
        <v>15</v>
      </c>
      <c r="H527" s="399" t="str">
        <f t="shared" si="98"/>
        <v>History of STIs</v>
      </c>
      <c r="I527" s="400"/>
      <c r="J527" s="400"/>
      <c r="K527" s="401" t="s">
        <v>5283</v>
      </c>
      <c r="L527" s="402" t="s">
        <v>5194</v>
      </c>
      <c r="M527" s="400"/>
      <c r="N527" s="639" t="s">
        <v>4853</v>
      </c>
      <c r="O527" s="404" t="s">
        <v>6313</v>
      </c>
      <c r="P527" s="404"/>
      <c r="Q527" s="437"/>
      <c r="R527" s="437"/>
      <c r="S527" s="437" t="s">
        <v>6314</v>
      </c>
      <c r="T527" s="437"/>
      <c r="U527" s="437"/>
      <c r="V527" s="444" t="s">
        <v>6312</v>
      </c>
      <c r="W527" s="404"/>
      <c r="X527" s="437" t="s">
        <v>208</v>
      </c>
      <c r="Y527" s="437"/>
      <c r="Z527" s="437" t="s">
        <v>113</v>
      </c>
      <c r="AA527" s="437" t="s">
        <v>3178</v>
      </c>
      <c r="AB527" s="629"/>
      <c r="AC527" s="437"/>
      <c r="AD527" s="437"/>
      <c r="AE527" s="629"/>
      <c r="AF527" s="437"/>
      <c r="AG527" s="437"/>
      <c r="AH527" s="399"/>
      <c r="AI527" s="400"/>
      <c r="AJ527" s="399" t="s">
        <v>1787</v>
      </c>
      <c r="AK527" s="440"/>
      <c r="AL527" s="409"/>
      <c r="AM527" s="409"/>
      <c r="AN527" s="409"/>
      <c r="AO527" s="399" t="s">
        <v>1787</v>
      </c>
      <c r="AP527" s="399"/>
      <c r="AQ527" s="409" t="s">
        <v>3130</v>
      </c>
      <c r="AR527" s="399"/>
      <c r="AS527" s="399"/>
      <c r="AT527" s="399"/>
      <c r="AU527" s="399"/>
      <c r="AV527" s="399" t="str">
        <f t="shared" si="92"/>
        <v/>
      </c>
      <c r="AW527" s="399"/>
      <c r="AX527" s="409" t="s">
        <v>5194</v>
      </c>
      <c r="AY527" s="399" t="e">
        <f t="shared" ca="1" si="93"/>
        <v>#NAME?</v>
      </c>
      <c r="AZ527" s="399"/>
      <c r="BA527" s="409" t="s">
        <v>3125</v>
      </c>
      <c r="BB527" s="399"/>
      <c r="BC527" s="399" t="s">
        <v>1787</v>
      </c>
      <c r="BD527" s="409" t="s">
        <v>6316</v>
      </c>
      <c r="BE527" s="411" t="s">
        <v>6317</v>
      </c>
      <c r="BF527" s="411" t="s">
        <v>1787</v>
      </c>
      <c r="BG527" s="411"/>
      <c r="BH527" s="411"/>
      <c r="BI527" s="411"/>
      <c r="BJ527" s="399" t="s">
        <v>1787</v>
      </c>
      <c r="BK527" s="399" t="s">
        <v>1787</v>
      </c>
      <c r="BL527" s="399"/>
      <c r="BM527" s="399" t="s">
        <v>1787</v>
      </c>
      <c r="BN527" s="399" t="s">
        <v>1787</v>
      </c>
      <c r="BO527" s="399" t="s">
        <v>1787</v>
      </c>
      <c r="BP527" s="399" t="s">
        <v>1787</v>
      </c>
      <c r="BQ527" s="399" t="s">
        <v>1787</v>
      </c>
      <c r="BR527" s="399" t="s">
        <v>1787</v>
      </c>
      <c r="BS527" s="407"/>
      <c r="BT527" s="407"/>
      <c r="BU527" s="412"/>
      <c r="BV527" s="46" t="str">
        <f t="shared" si="8"/>
        <v/>
      </c>
      <c r="BW527" s="46">
        <f t="shared" si="9"/>
        <v>0</v>
      </c>
      <c r="BX527" s="46">
        <f t="shared" si="10"/>
        <v>0</v>
      </c>
      <c r="BY527" s="43" t="str">
        <f t="shared" si="11"/>
        <v>WHO-STI Condition (STI History)</v>
      </c>
      <c r="BZ527" s="46">
        <f t="shared" si="12"/>
        <v>1</v>
      </c>
      <c r="CA527" s="46" t="str">
        <f t="shared" si="13"/>
        <v/>
      </c>
      <c r="CB527" s="46">
        <f t="shared" si="14"/>
        <v>1</v>
      </c>
      <c r="CC527" s="46">
        <f t="shared" si="15"/>
        <v>1</v>
      </c>
      <c r="CD527" s="46">
        <f t="shared" si="16"/>
        <v>1</v>
      </c>
      <c r="CE527" s="46">
        <f t="shared" si="17"/>
        <v>0</v>
      </c>
      <c r="CF527" s="46">
        <f t="shared" si="18"/>
        <v>0</v>
      </c>
      <c r="CG527" s="46" t="str">
        <f ca="1">IFERROR(__xludf.DUMMYFUNCTION("if(OR(BH527="""",LEFT(BH527,2)=""LA""),"""",IMPORTXML(CONCATENATE(""https://loinc.org/"",BH527,""/""),""//span[@id='lcn']""))"),"")</f>
        <v/>
      </c>
      <c r="CH527" s="46"/>
      <c r="CI527" s="46"/>
      <c r="CJ527" s="46"/>
      <c r="CK527" s="46"/>
      <c r="CL527" s="46"/>
      <c r="CM527" s="46"/>
      <c r="CN527" s="46"/>
      <c r="CO527" s="46"/>
      <c r="CP527" s="46"/>
      <c r="CQ527" s="46"/>
      <c r="CR527" s="46"/>
      <c r="CS527" s="46"/>
      <c r="CT527" s="46"/>
      <c r="CU527" s="46"/>
    </row>
    <row r="528" spans="1:99" ht="12.75" customHeight="1">
      <c r="A528" s="409">
        <v>1912</v>
      </c>
      <c r="B528" s="399" t="s">
        <v>4246</v>
      </c>
      <c r="C528" s="399">
        <f t="shared" si="77"/>
        <v>1912</v>
      </c>
      <c r="D528" s="399" t="e">
        <f t="shared" ca="1" si="89"/>
        <v>#NAME?</v>
      </c>
      <c r="E528" s="399" t="str">
        <f t="shared" si="90"/>
        <v>Bacterial vaginosis</v>
      </c>
      <c r="F528" s="409" t="s">
        <v>180</v>
      </c>
      <c r="G528" s="400">
        <f t="shared" si="80"/>
        <v>19</v>
      </c>
      <c r="H528" s="399" t="str">
        <f t="shared" si="98"/>
        <v>History of STIs</v>
      </c>
      <c r="I528" s="400"/>
      <c r="J528" s="400"/>
      <c r="K528" s="401" t="s">
        <v>5283</v>
      </c>
      <c r="L528" s="402" t="s">
        <v>5194</v>
      </c>
      <c r="M528" s="400"/>
      <c r="N528" s="639" t="s">
        <v>4853</v>
      </c>
      <c r="O528" s="404" t="s">
        <v>6319</v>
      </c>
      <c r="P528" s="404"/>
      <c r="Q528" s="437"/>
      <c r="R528" s="437"/>
      <c r="S528" s="437"/>
      <c r="T528" s="437"/>
      <c r="U528" s="437"/>
      <c r="V528" s="444" t="s">
        <v>4246</v>
      </c>
      <c r="W528" s="404"/>
      <c r="X528" s="437" t="s">
        <v>208</v>
      </c>
      <c r="Y528" s="437"/>
      <c r="Z528" s="437" t="s">
        <v>113</v>
      </c>
      <c r="AA528" s="437" t="s">
        <v>3178</v>
      </c>
      <c r="AB528" s="629"/>
      <c r="AC528" s="437"/>
      <c r="AD528" s="437"/>
      <c r="AE528" s="629"/>
      <c r="AF528" s="437"/>
      <c r="AG528" s="437"/>
      <c r="AH528" s="399"/>
      <c r="AI528" s="400"/>
      <c r="AJ528" s="399" t="s">
        <v>1787</v>
      </c>
      <c r="AK528" s="440"/>
      <c r="AL528" s="409"/>
      <c r="AM528" s="409"/>
      <c r="AN528" s="409"/>
      <c r="AO528" s="399" t="s">
        <v>1787</v>
      </c>
      <c r="AP528" s="399"/>
      <c r="AQ528" s="409" t="s">
        <v>3130</v>
      </c>
      <c r="AR528" s="399"/>
      <c r="AS528" s="399"/>
      <c r="AT528" s="399"/>
      <c r="AU528" s="399"/>
      <c r="AV528" s="399" t="str">
        <f t="shared" si="92"/>
        <v/>
      </c>
      <c r="AW528" s="399"/>
      <c r="AX528" s="409" t="s">
        <v>5194</v>
      </c>
      <c r="AY528" s="399" t="e">
        <f t="shared" ca="1" si="93"/>
        <v>#NAME?</v>
      </c>
      <c r="AZ528" s="399"/>
      <c r="BA528" s="409">
        <v>1</v>
      </c>
      <c r="BB528" s="399"/>
      <c r="BC528" s="399" t="s">
        <v>1787</v>
      </c>
      <c r="BD528" s="399" t="s">
        <v>1787</v>
      </c>
      <c r="BE528" s="411"/>
      <c r="BF528" s="411" t="s">
        <v>1787</v>
      </c>
      <c r="BG528" s="434" t="s">
        <v>4248</v>
      </c>
      <c r="BH528" s="411"/>
      <c r="BI528" s="411"/>
      <c r="BJ528" s="399" t="s">
        <v>1787</v>
      </c>
      <c r="BK528" s="399" t="s">
        <v>1787</v>
      </c>
      <c r="BL528" s="399"/>
      <c r="BM528" s="409" t="s">
        <v>6320</v>
      </c>
      <c r="BN528" s="399" t="s">
        <v>1787</v>
      </c>
      <c r="BO528" s="399" t="s">
        <v>1787</v>
      </c>
      <c r="BP528" s="399" t="s">
        <v>1787</v>
      </c>
      <c r="BQ528" s="399" t="s">
        <v>1787</v>
      </c>
      <c r="BR528" s="399" t="s">
        <v>1787</v>
      </c>
      <c r="BS528" s="407"/>
      <c r="BT528" s="407"/>
      <c r="BU528" s="412"/>
      <c r="BV528" s="46" t="str">
        <f t="shared" si="8"/>
        <v/>
      </c>
      <c r="BW528" s="46">
        <f t="shared" si="9"/>
        <v>0</v>
      </c>
      <c r="BX528" s="46">
        <f t="shared" si="10"/>
        <v>0</v>
      </c>
      <c r="BY528" s="43" t="str">
        <f t="shared" si="11"/>
        <v>WHO-STI Condition (STI History)</v>
      </c>
      <c r="BZ528" s="46">
        <f t="shared" si="12"/>
        <v>1</v>
      </c>
      <c r="CA528" s="46" t="str">
        <f t="shared" si="13"/>
        <v/>
      </c>
      <c r="CB528" s="46">
        <f t="shared" si="14"/>
        <v>1</v>
      </c>
      <c r="CC528" s="46">
        <f t="shared" si="15"/>
        <v>1</v>
      </c>
      <c r="CD528" s="46">
        <f t="shared" si="16"/>
        <v>1</v>
      </c>
      <c r="CE528" s="46">
        <f t="shared" si="17"/>
        <v>0</v>
      </c>
      <c r="CF528" s="46">
        <f t="shared" si="18"/>
        <v>0</v>
      </c>
      <c r="CG528" s="46" t="str">
        <f ca="1">IFERROR(__xludf.DUMMYFUNCTION("if(OR(BH528="""",LEFT(BH528,2)=""LA""),"""",IMPORTXML(CONCATENATE(""https://loinc.org/"",BH528,""/""),""//span[@id='lcn']""))"),"")</f>
        <v/>
      </c>
      <c r="CH528" s="46"/>
      <c r="CI528" s="46"/>
      <c r="CJ528" s="46"/>
      <c r="CK528" s="46"/>
      <c r="CL528" s="46"/>
      <c r="CM528" s="46"/>
      <c r="CN528" s="46"/>
      <c r="CO528" s="46"/>
      <c r="CP528" s="46"/>
      <c r="CQ528" s="46"/>
      <c r="CR528" s="46"/>
      <c r="CS528" s="46"/>
      <c r="CT528" s="46"/>
      <c r="CU528" s="46"/>
    </row>
    <row r="529" spans="1:99" ht="12.75" customHeight="1">
      <c r="A529" s="409">
        <v>1913</v>
      </c>
      <c r="B529" s="399" t="s">
        <v>6321</v>
      </c>
      <c r="C529" s="399">
        <f t="shared" si="77"/>
        <v>1913</v>
      </c>
      <c r="D529" s="399" t="e">
        <f t="shared" ca="1" si="89"/>
        <v>#NAME?</v>
      </c>
      <c r="E529" s="399" t="str">
        <f t="shared" si="90"/>
        <v>Trichomoniasis</v>
      </c>
      <c r="F529" s="409" t="s">
        <v>180</v>
      </c>
      <c r="G529" s="400">
        <f t="shared" si="80"/>
        <v>14</v>
      </c>
      <c r="H529" s="399" t="str">
        <f t="shared" si="98"/>
        <v>History of STIs</v>
      </c>
      <c r="I529" s="400"/>
      <c r="J529" s="400"/>
      <c r="K529" s="401" t="s">
        <v>5283</v>
      </c>
      <c r="L529" s="402" t="s">
        <v>5194</v>
      </c>
      <c r="M529" s="400"/>
      <c r="N529" s="639" t="s">
        <v>4853</v>
      </c>
      <c r="O529" s="404" t="s">
        <v>6322</v>
      </c>
      <c r="P529" s="404"/>
      <c r="Q529" s="437"/>
      <c r="R529" s="437"/>
      <c r="S529" s="437"/>
      <c r="T529" s="437"/>
      <c r="U529" s="437"/>
      <c r="V529" s="444" t="s">
        <v>6321</v>
      </c>
      <c r="W529" s="404"/>
      <c r="X529" s="437" t="s">
        <v>208</v>
      </c>
      <c r="Y529" s="437"/>
      <c r="Z529" s="437" t="s">
        <v>113</v>
      </c>
      <c r="AA529" s="437" t="s">
        <v>3178</v>
      </c>
      <c r="AB529" s="629"/>
      <c r="AC529" s="437"/>
      <c r="AD529" s="437"/>
      <c r="AE529" s="629"/>
      <c r="AF529" s="437"/>
      <c r="AG529" s="437"/>
      <c r="AH529" s="399"/>
      <c r="AI529" s="400"/>
      <c r="AJ529" s="399" t="s">
        <v>1787</v>
      </c>
      <c r="AK529" s="440"/>
      <c r="AL529" s="409"/>
      <c r="AM529" s="409"/>
      <c r="AN529" s="409"/>
      <c r="AO529" s="399" t="s">
        <v>1787</v>
      </c>
      <c r="AP529" s="399"/>
      <c r="AQ529" s="409" t="s">
        <v>3130</v>
      </c>
      <c r="AR529" s="399"/>
      <c r="AS529" s="399"/>
      <c r="AT529" s="399"/>
      <c r="AU529" s="399"/>
      <c r="AV529" s="399" t="str">
        <f t="shared" si="92"/>
        <v/>
      </c>
      <c r="AW529" s="399"/>
      <c r="AX529" s="409" t="s">
        <v>5194</v>
      </c>
      <c r="AY529" s="399" t="e">
        <f t="shared" ca="1" si="93"/>
        <v>#NAME?</v>
      </c>
      <c r="AZ529" s="399"/>
      <c r="BA529" s="409" t="s">
        <v>3125</v>
      </c>
      <c r="BB529" s="399"/>
      <c r="BC529" s="399" t="s">
        <v>1787</v>
      </c>
      <c r="BD529" s="409" t="s">
        <v>3162</v>
      </c>
      <c r="BE529" s="411"/>
      <c r="BF529" s="411" t="s">
        <v>1787</v>
      </c>
      <c r="BG529" s="434" t="s">
        <v>6324</v>
      </c>
      <c r="BH529" s="411"/>
      <c r="BI529" s="411"/>
      <c r="BJ529" s="399" t="s">
        <v>1787</v>
      </c>
      <c r="BK529" s="399" t="s">
        <v>1787</v>
      </c>
      <c r="BL529" s="399"/>
      <c r="BM529" s="409" t="s">
        <v>6320</v>
      </c>
      <c r="BN529" s="399" t="s">
        <v>1787</v>
      </c>
      <c r="BO529" s="399" t="s">
        <v>1787</v>
      </c>
      <c r="BP529" s="399" t="s">
        <v>1787</v>
      </c>
      <c r="BQ529" s="399" t="s">
        <v>1787</v>
      </c>
      <c r="BR529" s="399" t="s">
        <v>1787</v>
      </c>
      <c r="BS529" s="407"/>
      <c r="BT529" s="407"/>
      <c r="BU529" s="412"/>
      <c r="BV529" s="46" t="str">
        <f t="shared" si="8"/>
        <v/>
      </c>
      <c r="BW529" s="46">
        <f t="shared" si="9"/>
        <v>0</v>
      </c>
      <c r="BX529" s="46">
        <f t="shared" si="10"/>
        <v>0</v>
      </c>
      <c r="BY529" s="43" t="str">
        <f t="shared" si="11"/>
        <v>WHO-STI Condition (STI History)</v>
      </c>
      <c r="BZ529" s="46">
        <f t="shared" si="12"/>
        <v>1</v>
      </c>
      <c r="CA529" s="46" t="str">
        <f t="shared" si="13"/>
        <v/>
      </c>
      <c r="CB529" s="46">
        <f t="shared" si="14"/>
        <v>1</v>
      </c>
      <c r="CC529" s="46">
        <f t="shared" si="15"/>
        <v>1</v>
      </c>
      <c r="CD529" s="46">
        <f t="shared" si="16"/>
        <v>1</v>
      </c>
      <c r="CE529" s="46">
        <f t="shared" si="17"/>
        <v>0</v>
      </c>
      <c r="CF529" s="46">
        <f t="shared" si="18"/>
        <v>0</v>
      </c>
      <c r="CG529" s="46" t="str">
        <f ca="1">IFERROR(__xludf.DUMMYFUNCTION("if(OR(BH529="""",LEFT(BH529,2)=""LA""),"""",IMPORTXML(CONCATENATE(""https://loinc.org/"",BH529,""/""),""//span[@id='lcn']""))"),"")</f>
        <v/>
      </c>
      <c r="CH529" s="46"/>
      <c r="CI529" s="46"/>
      <c r="CJ529" s="46"/>
      <c r="CK529" s="46"/>
      <c r="CL529" s="46"/>
      <c r="CM529" s="46"/>
      <c r="CN529" s="46"/>
      <c r="CO529" s="46"/>
      <c r="CP529" s="46"/>
      <c r="CQ529" s="46"/>
      <c r="CR529" s="46"/>
      <c r="CS529" s="46"/>
      <c r="CT529" s="46"/>
      <c r="CU529" s="46"/>
    </row>
    <row r="530" spans="1:99" ht="12.75" customHeight="1">
      <c r="A530" s="409">
        <v>1914</v>
      </c>
      <c r="B530" s="399" t="s">
        <v>6325</v>
      </c>
      <c r="C530" s="399">
        <f t="shared" si="77"/>
        <v>1914</v>
      </c>
      <c r="D530" s="399" t="e">
        <f t="shared" ca="1" si="89"/>
        <v>#NAME?</v>
      </c>
      <c r="E530" s="399" t="str">
        <f t="shared" si="90"/>
        <v>Cervical infection</v>
      </c>
      <c r="F530" s="409" t="s">
        <v>180</v>
      </c>
      <c r="G530" s="400">
        <f t="shared" si="80"/>
        <v>18</v>
      </c>
      <c r="H530" s="399" t="str">
        <f t="shared" si="98"/>
        <v>History of STIs</v>
      </c>
      <c r="I530" s="400"/>
      <c r="J530" s="400"/>
      <c r="K530" s="401" t="s">
        <v>5283</v>
      </c>
      <c r="L530" s="402" t="s">
        <v>5194</v>
      </c>
      <c r="M530" s="400"/>
      <c r="N530" s="639" t="s">
        <v>4853</v>
      </c>
      <c r="O530" s="431" t="s">
        <v>6326</v>
      </c>
      <c r="P530" s="431"/>
      <c r="Q530" s="437"/>
      <c r="R530" s="437"/>
      <c r="S530" s="437"/>
      <c r="T530" s="437"/>
      <c r="U530" s="437"/>
      <c r="V530" s="444" t="s">
        <v>6325</v>
      </c>
      <c r="W530" s="404"/>
      <c r="X530" s="437" t="s">
        <v>208</v>
      </c>
      <c r="Y530" s="437"/>
      <c r="Z530" s="437" t="s">
        <v>113</v>
      </c>
      <c r="AA530" s="437" t="s">
        <v>3178</v>
      </c>
      <c r="AB530" s="629"/>
      <c r="AC530" s="437"/>
      <c r="AD530" s="437"/>
      <c r="AE530" s="629"/>
      <c r="AF530" s="444" t="s">
        <v>6327</v>
      </c>
      <c r="AG530" s="651"/>
      <c r="AH530" s="399"/>
      <c r="AI530" s="400"/>
      <c r="AJ530" s="399" t="s">
        <v>1787</v>
      </c>
      <c r="AK530" s="440"/>
      <c r="AL530" s="409"/>
      <c r="AM530" s="409"/>
      <c r="AN530" s="409"/>
      <c r="AO530" s="399" t="s">
        <v>1787</v>
      </c>
      <c r="AP530" s="399"/>
      <c r="AQ530" s="409" t="s">
        <v>3130</v>
      </c>
      <c r="AR530" s="399"/>
      <c r="AS530" s="399"/>
      <c r="AT530" s="399"/>
      <c r="AU530" s="399"/>
      <c r="AV530" s="399" t="str">
        <f t="shared" si="92"/>
        <v/>
      </c>
      <c r="AW530" s="399"/>
      <c r="AX530" s="409" t="s">
        <v>5194</v>
      </c>
      <c r="AY530" s="399" t="e">
        <f t="shared" ca="1" si="93"/>
        <v>#NAME?</v>
      </c>
      <c r="AZ530" s="399"/>
      <c r="BA530" s="409" t="s">
        <v>3125</v>
      </c>
      <c r="BB530" s="399"/>
      <c r="BC530" s="399" t="s">
        <v>1787</v>
      </c>
      <c r="BD530" s="399" t="s">
        <v>1787</v>
      </c>
      <c r="BE530" s="434" t="s">
        <v>6328</v>
      </c>
      <c r="BF530" s="411" t="s">
        <v>1787</v>
      </c>
      <c r="BG530" s="411"/>
      <c r="BH530" s="411"/>
      <c r="BI530" s="411"/>
      <c r="BJ530" s="399" t="s">
        <v>1787</v>
      </c>
      <c r="BK530" s="409" t="s">
        <v>6329</v>
      </c>
      <c r="BL530" s="399"/>
      <c r="BM530" s="399" t="s">
        <v>1787</v>
      </c>
      <c r="BN530" s="399" t="s">
        <v>1787</v>
      </c>
      <c r="BO530" s="399" t="s">
        <v>1787</v>
      </c>
      <c r="BP530" s="399" t="s">
        <v>1787</v>
      </c>
      <c r="BQ530" s="399" t="s">
        <v>1787</v>
      </c>
      <c r="BR530" s="399" t="s">
        <v>1787</v>
      </c>
      <c r="BS530" s="407"/>
      <c r="BT530" s="407"/>
      <c r="BU530" s="412"/>
      <c r="BV530" s="46" t="str">
        <f t="shared" si="8"/>
        <v/>
      </c>
      <c r="BW530" s="46">
        <f t="shared" si="9"/>
        <v>0</v>
      </c>
      <c r="BX530" s="46">
        <f t="shared" si="10"/>
        <v>0</v>
      </c>
      <c r="BY530" s="43" t="str">
        <f t="shared" si="11"/>
        <v>WHO-STI Condition (STI History)</v>
      </c>
      <c r="BZ530" s="46">
        <f t="shared" si="12"/>
        <v>1</v>
      </c>
      <c r="CA530" s="46" t="str">
        <f t="shared" si="13"/>
        <v/>
      </c>
      <c r="CB530" s="46">
        <f t="shared" si="14"/>
        <v>1</v>
      </c>
      <c r="CC530" s="46">
        <f t="shared" si="15"/>
        <v>1</v>
      </c>
      <c r="CD530" s="46">
        <f t="shared" si="16"/>
        <v>1</v>
      </c>
      <c r="CE530" s="46">
        <f t="shared" si="17"/>
        <v>0</v>
      </c>
      <c r="CF530" s="46">
        <f t="shared" si="18"/>
        <v>0</v>
      </c>
      <c r="CG530" s="46" t="str">
        <f ca="1">IFERROR(__xludf.DUMMYFUNCTION("if(OR(BH530="""",LEFT(BH530,2)=""LA""),"""",IMPORTXML(CONCATENATE(""https://loinc.org/"",BH530,""/""),""//span[@id='lcn']""))"),"")</f>
        <v/>
      </c>
      <c r="CH530" s="46"/>
      <c r="CI530" s="46"/>
      <c r="CJ530" s="46"/>
      <c r="CK530" s="46"/>
      <c r="CL530" s="46"/>
      <c r="CM530" s="46"/>
      <c r="CN530" s="46"/>
      <c r="CO530" s="46"/>
      <c r="CP530" s="46"/>
      <c r="CQ530" s="46"/>
      <c r="CR530" s="46"/>
      <c r="CS530" s="46"/>
      <c r="CT530" s="46"/>
      <c r="CU530" s="46"/>
    </row>
    <row r="531" spans="1:99" ht="12.75" customHeight="1">
      <c r="A531" s="409">
        <v>1915</v>
      </c>
      <c r="B531" s="399" t="s">
        <v>6330</v>
      </c>
      <c r="C531" s="399">
        <f t="shared" si="77"/>
        <v>1915</v>
      </c>
      <c r="D531" s="399" t="e">
        <f t="shared" ca="1" si="89"/>
        <v>#NAME?</v>
      </c>
      <c r="E531" s="399" t="str">
        <f t="shared" si="90"/>
        <v>Anaerobic infection</v>
      </c>
      <c r="F531" s="409" t="s">
        <v>180</v>
      </c>
      <c r="G531" s="400">
        <f t="shared" si="80"/>
        <v>19</v>
      </c>
      <c r="H531" s="399" t="str">
        <f t="shared" si="98"/>
        <v>History of STIs</v>
      </c>
      <c r="I531" s="400"/>
      <c r="J531" s="400"/>
      <c r="K531" s="401" t="s">
        <v>5283</v>
      </c>
      <c r="L531" s="402" t="s">
        <v>5194</v>
      </c>
      <c r="M531" s="400"/>
      <c r="N531" s="639" t="s">
        <v>4853</v>
      </c>
      <c r="O531" s="404" t="s">
        <v>6331</v>
      </c>
      <c r="P531" s="404"/>
      <c r="Q531" s="437"/>
      <c r="R531" s="437"/>
      <c r="S531" s="437"/>
      <c r="T531" s="437"/>
      <c r="U531" s="437"/>
      <c r="V531" s="444" t="s">
        <v>6330</v>
      </c>
      <c r="W531" s="404"/>
      <c r="X531" s="437" t="s">
        <v>208</v>
      </c>
      <c r="Y531" s="437"/>
      <c r="Z531" s="437" t="s">
        <v>113</v>
      </c>
      <c r="AA531" s="437" t="s">
        <v>3178</v>
      </c>
      <c r="AB531" s="629"/>
      <c r="AC531" s="437"/>
      <c r="AD531" s="437"/>
      <c r="AE531" s="629"/>
      <c r="AF531" s="437"/>
      <c r="AG531" s="437"/>
      <c r="AH531" s="399"/>
      <c r="AI531" s="400"/>
      <c r="AJ531" s="399" t="s">
        <v>1787</v>
      </c>
      <c r="AK531" s="440"/>
      <c r="AL531" s="409"/>
      <c r="AM531" s="409"/>
      <c r="AN531" s="409"/>
      <c r="AO531" s="399" t="s">
        <v>1787</v>
      </c>
      <c r="AP531" s="399"/>
      <c r="AQ531" s="409" t="s">
        <v>3130</v>
      </c>
      <c r="AR531" s="399"/>
      <c r="AS531" s="399"/>
      <c r="AT531" s="399"/>
      <c r="AU531" s="399"/>
      <c r="AV531" s="399" t="str">
        <f t="shared" si="92"/>
        <v/>
      </c>
      <c r="AW531" s="399"/>
      <c r="AX531" s="409" t="s">
        <v>5194</v>
      </c>
      <c r="AY531" s="399" t="e">
        <f t="shared" ca="1" si="93"/>
        <v>#NAME?</v>
      </c>
      <c r="AZ531" s="399"/>
      <c r="BA531" s="409" t="s">
        <v>3125</v>
      </c>
      <c r="BB531" s="399"/>
      <c r="BC531" s="399" t="s">
        <v>1787</v>
      </c>
      <c r="BD531" s="409" t="s">
        <v>3162</v>
      </c>
      <c r="BE531" s="411"/>
      <c r="BF531" s="411" t="s">
        <v>1787</v>
      </c>
      <c r="BG531" s="434" t="s">
        <v>6332</v>
      </c>
      <c r="BH531" s="411"/>
      <c r="BI531" s="411"/>
      <c r="BJ531" s="399" t="s">
        <v>1787</v>
      </c>
      <c r="BK531" s="399" t="s">
        <v>1787</v>
      </c>
      <c r="BL531" s="399"/>
      <c r="BM531" s="409" t="s">
        <v>6333</v>
      </c>
      <c r="BN531" s="399" t="s">
        <v>1787</v>
      </c>
      <c r="BO531" s="399" t="s">
        <v>1787</v>
      </c>
      <c r="BP531" s="399" t="s">
        <v>1787</v>
      </c>
      <c r="BQ531" s="399" t="s">
        <v>1787</v>
      </c>
      <c r="BR531" s="399" t="s">
        <v>1787</v>
      </c>
      <c r="BS531" s="407"/>
      <c r="BT531" s="407"/>
      <c r="BU531" s="412"/>
      <c r="BV531" s="46" t="str">
        <f t="shared" si="8"/>
        <v/>
      </c>
      <c r="BW531" s="46">
        <f t="shared" si="9"/>
        <v>0</v>
      </c>
      <c r="BX531" s="46">
        <f t="shared" si="10"/>
        <v>0</v>
      </c>
      <c r="BY531" s="43" t="str">
        <f t="shared" si="11"/>
        <v>WHO-STI Condition (STI History)</v>
      </c>
      <c r="BZ531" s="46">
        <f t="shared" si="12"/>
        <v>1</v>
      </c>
      <c r="CA531" s="46" t="str">
        <f t="shared" si="13"/>
        <v/>
      </c>
      <c r="CB531" s="46">
        <f t="shared" si="14"/>
        <v>1</v>
      </c>
      <c r="CC531" s="46">
        <f t="shared" si="15"/>
        <v>1</v>
      </c>
      <c r="CD531" s="46">
        <f t="shared" si="16"/>
        <v>1</v>
      </c>
      <c r="CE531" s="46">
        <f t="shared" si="17"/>
        <v>0</v>
      </c>
      <c r="CF531" s="46">
        <f t="shared" si="18"/>
        <v>0</v>
      </c>
      <c r="CG531" s="46" t="str">
        <f ca="1">IFERROR(__xludf.DUMMYFUNCTION("if(OR(BH531="""",LEFT(BH531,2)=""LA""),"""",IMPORTXML(CONCATENATE(""https://loinc.org/"",BH531,""/""),""//span[@id='lcn']""))"),"")</f>
        <v/>
      </c>
      <c r="CH531" s="46"/>
      <c r="CI531" s="46"/>
      <c r="CJ531" s="46"/>
      <c r="CK531" s="46"/>
      <c r="CL531" s="46"/>
      <c r="CM531" s="46"/>
      <c r="CN531" s="46"/>
      <c r="CO531" s="46"/>
      <c r="CP531" s="46"/>
      <c r="CQ531" s="46"/>
      <c r="CR531" s="46"/>
      <c r="CS531" s="46"/>
      <c r="CT531" s="46"/>
      <c r="CU531" s="46"/>
    </row>
    <row r="532" spans="1:99" ht="12.75" customHeight="1">
      <c r="A532" s="409">
        <v>1916</v>
      </c>
      <c r="B532" s="399" t="s">
        <v>6334</v>
      </c>
      <c r="C532" s="399">
        <f t="shared" si="77"/>
        <v>1916</v>
      </c>
      <c r="D532" s="399" t="e">
        <f t="shared" ca="1" si="89"/>
        <v>#NAME?</v>
      </c>
      <c r="E532" s="399" t="str">
        <f t="shared" si="90"/>
        <v>Pelvic Inflammatory Disease</v>
      </c>
      <c r="F532" s="409" t="s">
        <v>180</v>
      </c>
      <c r="G532" s="400">
        <f t="shared" si="80"/>
        <v>27</v>
      </c>
      <c r="H532" s="399" t="str">
        <f t="shared" si="98"/>
        <v>History of STIs</v>
      </c>
      <c r="I532" s="400"/>
      <c r="J532" s="400"/>
      <c r="K532" s="401" t="s">
        <v>5283</v>
      </c>
      <c r="L532" s="402" t="s">
        <v>5194</v>
      </c>
      <c r="M532" s="400"/>
      <c r="N532" s="639" t="s">
        <v>4853</v>
      </c>
      <c r="O532" s="404" t="s">
        <v>6335</v>
      </c>
      <c r="P532" s="404"/>
      <c r="Q532" s="437"/>
      <c r="R532" s="437" t="s">
        <v>6336</v>
      </c>
      <c r="S532" s="437"/>
      <c r="T532" s="437"/>
      <c r="U532" s="437"/>
      <c r="V532" s="444" t="s">
        <v>6334</v>
      </c>
      <c r="W532" s="404"/>
      <c r="X532" s="437" t="s">
        <v>208</v>
      </c>
      <c r="Y532" s="437"/>
      <c r="Z532" s="437" t="s">
        <v>113</v>
      </c>
      <c r="AA532" s="437" t="s">
        <v>3178</v>
      </c>
      <c r="AB532" s="629"/>
      <c r="AC532" s="437"/>
      <c r="AD532" s="437"/>
      <c r="AE532" s="629"/>
      <c r="AF532" s="437"/>
      <c r="AG532" s="437"/>
      <c r="AH532" s="399"/>
      <c r="AI532" s="400"/>
      <c r="AJ532" s="399" t="s">
        <v>1787</v>
      </c>
      <c r="AK532" s="440"/>
      <c r="AL532" s="409"/>
      <c r="AM532" s="409"/>
      <c r="AN532" s="409"/>
      <c r="AO532" s="399" t="s">
        <v>1787</v>
      </c>
      <c r="AP532" s="399"/>
      <c r="AQ532" s="409" t="s">
        <v>3130</v>
      </c>
      <c r="AR532" s="399"/>
      <c r="AS532" s="399"/>
      <c r="AT532" s="399"/>
      <c r="AU532" s="399"/>
      <c r="AV532" s="399" t="str">
        <f t="shared" si="92"/>
        <v/>
      </c>
      <c r="AW532" s="399"/>
      <c r="AX532" s="409" t="s">
        <v>5194</v>
      </c>
      <c r="AY532" s="399" t="e">
        <f t="shared" ca="1" si="93"/>
        <v>#NAME?</v>
      </c>
      <c r="AZ532" s="399"/>
      <c r="BA532" s="409">
        <v>1</v>
      </c>
      <c r="BB532" s="399"/>
      <c r="BC532" s="399" t="s">
        <v>1787</v>
      </c>
      <c r="BD532" s="409" t="s">
        <v>3162</v>
      </c>
      <c r="BE532" s="411"/>
      <c r="BF532" s="411" t="s">
        <v>1787</v>
      </c>
      <c r="BG532" s="434" t="s">
        <v>5180</v>
      </c>
      <c r="BH532" s="411"/>
      <c r="BI532" s="411"/>
      <c r="BJ532" s="399" t="s">
        <v>1787</v>
      </c>
      <c r="BK532" s="399" t="s">
        <v>1787</v>
      </c>
      <c r="BL532" s="399"/>
      <c r="BM532" s="409" t="s">
        <v>3254</v>
      </c>
      <c r="BN532" s="399" t="s">
        <v>1787</v>
      </c>
      <c r="BO532" s="399" t="s">
        <v>1787</v>
      </c>
      <c r="BP532" s="399" t="s">
        <v>1787</v>
      </c>
      <c r="BQ532" s="399" t="s">
        <v>1787</v>
      </c>
      <c r="BR532" s="399" t="s">
        <v>1787</v>
      </c>
      <c r="BS532" s="407"/>
      <c r="BT532" s="407"/>
      <c r="BU532" s="412"/>
      <c r="BV532" s="46" t="str">
        <f t="shared" si="8"/>
        <v/>
      </c>
      <c r="BW532" s="46">
        <f t="shared" si="9"/>
        <v>0</v>
      </c>
      <c r="BX532" s="46">
        <f t="shared" si="10"/>
        <v>0</v>
      </c>
      <c r="BY532" s="43" t="str">
        <f t="shared" si="11"/>
        <v>WHO-STI Condition (STI History)</v>
      </c>
      <c r="BZ532" s="46">
        <f t="shared" si="12"/>
        <v>1</v>
      </c>
      <c r="CA532" s="46" t="str">
        <f t="shared" si="13"/>
        <v/>
      </c>
      <c r="CB532" s="46">
        <f t="shared" si="14"/>
        <v>1</v>
      </c>
      <c r="CC532" s="46">
        <f t="shared" si="15"/>
        <v>1</v>
      </c>
      <c r="CD532" s="46">
        <f t="shared" si="16"/>
        <v>1</v>
      </c>
      <c r="CE532" s="46">
        <f t="shared" si="17"/>
        <v>0</v>
      </c>
      <c r="CF532" s="46">
        <f t="shared" si="18"/>
        <v>0</v>
      </c>
      <c r="CG532" s="46" t="str">
        <f ca="1">IFERROR(__xludf.DUMMYFUNCTION("if(OR(BH532="""",LEFT(BH532,2)=""LA""),"""",IMPORTXML(CONCATENATE(""https://loinc.org/"",BH532,""/""),""//span[@id='lcn']""))"),"")</f>
        <v/>
      </c>
      <c r="CH532" s="46"/>
      <c r="CI532" s="46"/>
      <c r="CJ532" s="46"/>
      <c r="CK532" s="46"/>
      <c r="CL532" s="46"/>
      <c r="CM532" s="46"/>
      <c r="CN532" s="46"/>
      <c r="CO532" s="46"/>
      <c r="CP532" s="46"/>
      <c r="CQ532" s="46"/>
      <c r="CR532" s="46"/>
      <c r="CS532" s="46"/>
      <c r="CT532" s="46"/>
      <c r="CU532" s="46"/>
    </row>
    <row r="533" spans="1:99" ht="12.75" customHeight="1">
      <c r="A533" s="409">
        <v>1917</v>
      </c>
      <c r="B533" s="399" t="s">
        <v>6338</v>
      </c>
      <c r="C533" s="399">
        <f t="shared" si="77"/>
        <v>1917</v>
      </c>
      <c r="D533" s="399" t="e">
        <f t="shared" ca="1" si="89"/>
        <v>#NAME?</v>
      </c>
      <c r="E533" s="399" t="str">
        <f t="shared" si="90"/>
        <v>Anogenital warts</v>
      </c>
      <c r="F533" s="409" t="s">
        <v>180</v>
      </c>
      <c r="G533" s="400">
        <f t="shared" si="80"/>
        <v>16</v>
      </c>
      <c r="H533" s="399" t="str">
        <f t="shared" si="98"/>
        <v>History of STIs</v>
      </c>
      <c r="I533" s="400"/>
      <c r="J533" s="400"/>
      <c r="K533" s="401" t="s">
        <v>5283</v>
      </c>
      <c r="L533" s="402" t="s">
        <v>5194</v>
      </c>
      <c r="M533" s="400"/>
      <c r="N533" s="639" t="s">
        <v>4853</v>
      </c>
      <c r="O533" s="431" t="s">
        <v>6339</v>
      </c>
      <c r="P533" s="431"/>
      <c r="Q533" s="437"/>
      <c r="R533" s="437"/>
      <c r="S533" s="437"/>
      <c r="T533" s="437"/>
      <c r="U533" s="437"/>
      <c r="V533" s="444" t="s">
        <v>6338</v>
      </c>
      <c r="W533" s="404"/>
      <c r="X533" s="437" t="s">
        <v>208</v>
      </c>
      <c r="Y533" s="437"/>
      <c r="Z533" s="437" t="s">
        <v>113</v>
      </c>
      <c r="AA533" s="437" t="s">
        <v>3178</v>
      </c>
      <c r="AB533" s="629"/>
      <c r="AC533" s="437"/>
      <c r="AD533" s="437"/>
      <c r="AE533" s="629"/>
      <c r="AF533" s="437"/>
      <c r="AG533" s="437"/>
      <c r="AH533" s="399"/>
      <c r="AI533" s="400"/>
      <c r="AJ533" s="399" t="s">
        <v>1787</v>
      </c>
      <c r="AK533" s="440"/>
      <c r="AL533" s="409"/>
      <c r="AM533" s="409"/>
      <c r="AN533" s="409"/>
      <c r="AO533" s="399" t="s">
        <v>1787</v>
      </c>
      <c r="AP533" s="399"/>
      <c r="AQ533" s="409" t="s">
        <v>3130</v>
      </c>
      <c r="AR533" s="399"/>
      <c r="AS533" s="399"/>
      <c r="AT533" s="399"/>
      <c r="AU533" s="399"/>
      <c r="AV533" s="399" t="str">
        <f t="shared" si="92"/>
        <v/>
      </c>
      <c r="AW533" s="399"/>
      <c r="AX533" s="409" t="s">
        <v>5194</v>
      </c>
      <c r="AY533" s="399" t="e">
        <f t="shared" ca="1" si="93"/>
        <v>#NAME?</v>
      </c>
      <c r="AZ533" s="399"/>
      <c r="BA533" s="409" t="s">
        <v>3125</v>
      </c>
      <c r="BB533" s="399"/>
      <c r="BC533" s="399" t="s">
        <v>1787</v>
      </c>
      <c r="BD533" s="409" t="s">
        <v>3162</v>
      </c>
      <c r="BE533" s="411" t="s">
        <v>6340</v>
      </c>
      <c r="BF533" s="411" t="s">
        <v>1787</v>
      </c>
      <c r="BG533" s="434" t="s">
        <v>6341</v>
      </c>
      <c r="BH533" s="411"/>
      <c r="BI533" s="411"/>
      <c r="BJ533" s="399" t="s">
        <v>1787</v>
      </c>
      <c r="BK533" s="399" t="s">
        <v>1787</v>
      </c>
      <c r="BL533" s="399"/>
      <c r="BM533" s="399" t="s">
        <v>1787</v>
      </c>
      <c r="BN533" s="399" t="s">
        <v>1787</v>
      </c>
      <c r="BO533" s="399" t="s">
        <v>1787</v>
      </c>
      <c r="BP533" s="399" t="s">
        <v>1787</v>
      </c>
      <c r="BQ533" s="399" t="s">
        <v>1787</v>
      </c>
      <c r="BR533" s="399" t="s">
        <v>1787</v>
      </c>
      <c r="BS533" s="407"/>
      <c r="BT533" s="407"/>
      <c r="BU533" s="412"/>
      <c r="BV533" s="46" t="str">
        <f t="shared" si="8"/>
        <v/>
      </c>
      <c r="BW533" s="46">
        <f t="shared" si="9"/>
        <v>0</v>
      </c>
      <c r="BX533" s="46">
        <f t="shared" si="10"/>
        <v>0</v>
      </c>
      <c r="BY533" s="43" t="str">
        <f t="shared" si="11"/>
        <v>WHO-STI Condition (STI History)</v>
      </c>
      <c r="BZ533" s="46">
        <f t="shared" si="12"/>
        <v>1</v>
      </c>
      <c r="CA533" s="46" t="str">
        <f t="shared" si="13"/>
        <v/>
      </c>
      <c r="CB533" s="46">
        <f t="shared" si="14"/>
        <v>1</v>
      </c>
      <c r="CC533" s="46">
        <f t="shared" si="15"/>
        <v>1</v>
      </c>
      <c r="CD533" s="46">
        <f t="shared" si="16"/>
        <v>1</v>
      </c>
      <c r="CE533" s="46">
        <f t="shared" si="17"/>
        <v>0</v>
      </c>
      <c r="CF533" s="46">
        <f t="shared" si="18"/>
        <v>0</v>
      </c>
      <c r="CG533" s="46" t="str">
        <f ca="1">IFERROR(__xludf.DUMMYFUNCTION("if(OR(BH533="""",LEFT(BH533,2)=""LA""),"""",IMPORTXML(CONCATENATE(""https://loinc.org/"",BH533,""/""),""//span[@id='lcn']""))"),"")</f>
        <v/>
      </c>
      <c r="CH533" s="46"/>
      <c r="CI533" s="46"/>
      <c r="CJ533" s="46"/>
      <c r="CK533" s="46"/>
      <c r="CL533" s="46"/>
      <c r="CM533" s="46"/>
      <c r="CN533" s="46"/>
      <c r="CO533" s="46"/>
      <c r="CP533" s="46"/>
      <c r="CQ533" s="46"/>
      <c r="CR533" s="46"/>
      <c r="CS533" s="46"/>
      <c r="CT533" s="46"/>
      <c r="CU533" s="46"/>
    </row>
    <row r="534" spans="1:99" ht="12.75" customHeight="1">
      <c r="A534" s="409">
        <v>1918</v>
      </c>
      <c r="B534" s="399" t="s">
        <v>6342</v>
      </c>
      <c r="C534" s="399">
        <f t="shared" si="77"/>
        <v>1918</v>
      </c>
      <c r="D534" s="399" t="e">
        <f t="shared" ca="1" si="89"/>
        <v>#NAME?</v>
      </c>
      <c r="E534" s="399" t="str">
        <f t="shared" si="90"/>
        <v xml:space="preserve">Toxic shock syndrome </v>
      </c>
      <c r="F534" s="409" t="s">
        <v>180</v>
      </c>
      <c r="G534" s="400">
        <f t="shared" si="80"/>
        <v>21</v>
      </c>
      <c r="H534" s="399" t="str">
        <f t="shared" si="98"/>
        <v>History of STIs</v>
      </c>
      <c r="I534" s="400"/>
      <c r="J534" s="400"/>
      <c r="K534" s="401" t="s">
        <v>5283</v>
      </c>
      <c r="L534" s="402" t="s">
        <v>5194</v>
      </c>
      <c r="M534" s="400"/>
      <c r="N534" s="639" t="s">
        <v>4853</v>
      </c>
      <c r="O534" s="404" t="s">
        <v>6343</v>
      </c>
      <c r="P534" s="404"/>
      <c r="Q534" s="437"/>
      <c r="R534" s="437"/>
      <c r="S534" s="437"/>
      <c r="T534" s="437"/>
      <c r="U534" s="437"/>
      <c r="V534" s="444" t="s">
        <v>6342</v>
      </c>
      <c r="W534" s="404"/>
      <c r="X534" s="437" t="s">
        <v>208</v>
      </c>
      <c r="Y534" s="437"/>
      <c r="Z534" s="437" t="s">
        <v>113</v>
      </c>
      <c r="AA534" s="437" t="s">
        <v>3178</v>
      </c>
      <c r="AB534" s="629"/>
      <c r="AC534" s="437"/>
      <c r="AD534" s="437"/>
      <c r="AE534" s="629"/>
      <c r="AF534" s="437"/>
      <c r="AG534" s="437"/>
      <c r="AH534" s="399"/>
      <c r="AI534" s="400"/>
      <c r="AJ534" s="399" t="s">
        <v>1787</v>
      </c>
      <c r="AK534" s="440"/>
      <c r="AL534" s="409"/>
      <c r="AM534" s="409"/>
      <c r="AN534" s="409"/>
      <c r="AO534" s="399" t="s">
        <v>1787</v>
      </c>
      <c r="AP534" s="399"/>
      <c r="AQ534" s="409" t="s">
        <v>3130</v>
      </c>
      <c r="AR534" s="399"/>
      <c r="AS534" s="399"/>
      <c r="AT534" s="399"/>
      <c r="AU534" s="399"/>
      <c r="AV534" s="399" t="str">
        <f t="shared" si="92"/>
        <v/>
      </c>
      <c r="AW534" s="399"/>
      <c r="AX534" s="409" t="s">
        <v>5194</v>
      </c>
      <c r="AY534" s="399" t="e">
        <f t="shared" ca="1" si="93"/>
        <v>#NAME?</v>
      </c>
      <c r="AZ534" s="399"/>
      <c r="BA534" s="409">
        <v>1</v>
      </c>
      <c r="BB534" s="399"/>
      <c r="BC534" s="399" t="s">
        <v>1787</v>
      </c>
      <c r="BD534" s="409" t="s">
        <v>3162</v>
      </c>
      <c r="BE534" s="411"/>
      <c r="BF534" s="411" t="s">
        <v>1787</v>
      </c>
      <c r="BG534" s="434" t="s">
        <v>4254</v>
      </c>
      <c r="BH534" s="411"/>
      <c r="BI534" s="411"/>
      <c r="BJ534" s="399" t="s">
        <v>1787</v>
      </c>
      <c r="BK534" s="399" t="s">
        <v>1787</v>
      </c>
      <c r="BL534" s="399"/>
      <c r="BM534" s="399" t="s">
        <v>1787</v>
      </c>
      <c r="BN534" s="399" t="s">
        <v>1787</v>
      </c>
      <c r="BO534" s="399" t="s">
        <v>1787</v>
      </c>
      <c r="BP534" s="399" t="s">
        <v>1787</v>
      </c>
      <c r="BQ534" s="399" t="s">
        <v>1787</v>
      </c>
      <c r="BR534" s="399" t="s">
        <v>1787</v>
      </c>
      <c r="BS534" s="407"/>
      <c r="BT534" s="407"/>
      <c r="BU534" s="412"/>
      <c r="BV534" s="46" t="str">
        <f t="shared" si="8"/>
        <v/>
      </c>
      <c r="BW534" s="46">
        <f t="shared" si="9"/>
        <v>0</v>
      </c>
      <c r="BX534" s="46">
        <f t="shared" si="10"/>
        <v>0</v>
      </c>
      <c r="BY534" s="43" t="str">
        <f t="shared" si="11"/>
        <v>WHO-STI Condition (STI History)</v>
      </c>
      <c r="BZ534" s="46">
        <f t="shared" si="12"/>
        <v>1</v>
      </c>
      <c r="CA534" s="46" t="str">
        <f t="shared" si="13"/>
        <v/>
      </c>
      <c r="CB534" s="46">
        <f t="shared" si="14"/>
        <v>1</v>
      </c>
      <c r="CC534" s="46">
        <f t="shared" si="15"/>
        <v>1</v>
      </c>
      <c r="CD534" s="46">
        <f t="shared" si="16"/>
        <v>1</v>
      </c>
      <c r="CE534" s="46">
        <f t="shared" si="17"/>
        <v>0</v>
      </c>
      <c r="CF534" s="46">
        <f t="shared" si="18"/>
        <v>0</v>
      </c>
      <c r="CG534" s="46" t="str">
        <f ca="1">IFERROR(__xludf.DUMMYFUNCTION("if(OR(BH534="""",LEFT(BH534,2)=""LA""),"""",IMPORTXML(CONCATENATE(""https://loinc.org/"",BH534,""/""),""//span[@id='lcn']""))"),"")</f>
        <v/>
      </c>
      <c r="CH534" s="46"/>
      <c r="CI534" s="46"/>
      <c r="CJ534" s="46"/>
      <c r="CK534" s="46"/>
      <c r="CL534" s="46"/>
      <c r="CM534" s="46"/>
      <c r="CN534" s="46"/>
      <c r="CO534" s="46"/>
      <c r="CP534" s="46"/>
      <c r="CQ534" s="46"/>
      <c r="CR534" s="46"/>
      <c r="CS534" s="46"/>
      <c r="CT534" s="46"/>
      <c r="CU534" s="46"/>
    </row>
    <row r="535" spans="1:99" ht="12.75" customHeight="1">
      <c r="A535" s="409">
        <v>1920</v>
      </c>
      <c r="B535" s="399" t="s">
        <v>6344</v>
      </c>
      <c r="C535" s="399">
        <f t="shared" si="77"/>
        <v>1920</v>
      </c>
      <c r="D535" s="399" t="e">
        <f t="shared" ca="1" si="89"/>
        <v>#NAME?</v>
      </c>
      <c r="E535" s="399" t="str">
        <f t="shared" si="90"/>
        <v>Human papillomavirus</v>
      </c>
      <c r="F535" s="409" t="s">
        <v>180</v>
      </c>
      <c r="G535" s="400">
        <f t="shared" si="80"/>
        <v>20</v>
      </c>
      <c r="H535" s="399" t="str">
        <f t="shared" si="98"/>
        <v>History of STIs</v>
      </c>
      <c r="I535" s="400"/>
      <c r="J535" s="400"/>
      <c r="K535" s="401" t="s">
        <v>5283</v>
      </c>
      <c r="L535" s="402" t="s">
        <v>5194</v>
      </c>
      <c r="M535" s="400"/>
      <c r="N535" s="639" t="s">
        <v>4853</v>
      </c>
      <c r="O535" s="431" t="s">
        <v>6345</v>
      </c>
      <c r="P535" s="431"/>
      <c r="Q535" s="404"/>
      <c r="R535" s="437" t="s">
        <v>6346</v>
      </c>
      <c r="S535" s="431"/>
      <c r="T535" s="437"/>
      <c r="U535" s="437"/>
      <c r="V535" s="429" t="s">
        <v>6344</v>
      </c>
      <c r="W535" s="404"/>
      <c r="X535" s="437" t="s">
        <v>208</v>
      </c>
      <c r="Y535" s="437"/>
      <c r="Z535" s="437" t="s">
        <v>113</v>
      </c>
      <c r="AA535" s="437" t="s">
        <v>3178</v>
      </c>
      <c r="AB535" s="406"/>
      <c r="AC535" s="404"/>
      <c r="AD535" s="404" t="s">
        <v>3215</v>
      </c>
      <c r="AE535" s="406"/>
      <c r="AF535" s="404"/>
      <c r="AG535" s="404"/>
      <c r="AH535" s="399"/>
      <c r="AI535" s="400"/>
      <c r="AJ535" s="399" t="s">
        <v>1787</v>
      </c>
      <c r="AK535" s="440"/>
      <c r="AL535" s="409"/>
      <c r="AM535" s="409"/>
      <c r="AN535" s="409"/>
      <c r="AO535" s="399" t="s">
        <v>1787</v>
      </c>
      <c r="AP535" s="399"/>
      <c r="AQ535" s="409" t="s">
        <v>3130</v>
      </c>
      <c r="AR535" s="399"/>
      <c r="AS535" s="399"/>
      <c r="AT535" s="399"/>
      <c r="AU535" s="399"/>
      <c r="AV535" s="399" t="str">
        <f t="shared" si="92"/>
        <v/>
      </c>
      <c r="AW535" s="399"/>
      <c r="AX535" s="409" t="s">
        <v>5194</v>
      </c>
      <c r="AY535" s="399" t="e">
        <f t="shared" ca="1" si="93"/>
        <v>#NAME?</v>
      </c>
      <c r="AZ535" s="399"/>
      <c r="BA535" s="409" t="s">
        <v>3125</v>
      </c>
      <c r="BB535" s="399"/>
      <c r="BC535" s="399" t="s">
        <v>1787</v>
      </c>
      <c r="BD535" s="409" t="s">
        <v>3162</v>
      </c>
      <c r="BE535" s="411"/>
      <c r="BF535" s="411" t="s">
        <v>1787</v>
      </c>
      <c r="BG535" s="434" t="s">
        <v>6347</v>
      </c>
      <c r="BH535" s="411"/>
      <c r="BI535" s="411"/>
      <c r="BJ535" s="399" t="s">
        <v>1787</v>
      </c>
      <c r="BK535" s="399" t="s">
        <v>1787</v>
      </c>
      <c r="BL535" s="399"/>
      <c r="BM535" s="399" t="s">
        <v>1787</v>
      </c>
      <c r="BN535" s="399" t="s">
        <v>1787</v>
      </c>
      <c r="BO535" s="399" t="s">
        <v>1787</v>
      </c>
      <c r="BP535" s="399" t="s">
        <v>1787</v>
      </c>
      <c r="BQ535" s="399" t="s">
        <v>1787</v>
      </c>
      <c r="BR535" s="399" t="s">
        <v>1787</v>
      </c>
      <c r="BS535" s="407"/>
      <c r="BT535" s="407"/>
      <c r="BU535" s="412"/>
      <c r="BV535" s="46" t="str">
        <f t="shared" si="8"/>
        <v/>
      </c>
      <c r="BW535" s="46">
        <f t="shared" si="9"/>
        <v>0</v>
      </c>
      <c r="BX535" s="46">
        <f t="shared" si="10"/>
        <v>0</v>
      </c>
      <c r="BY535" s="43" t="str">
        <f t="shared" si="11"/>
        <v>WHO-STI Condition (STI History)</v>
      </c>
      <c r="BZ535" s="46">
        <f t="shared" si="12"/>
        <v>1</v>
      </c>
      <c r="CA535" s="46" t="str">
        <f t="shared" si="13"/>
        <v/>
      </c>
      <c r="CB535" s="46">
        <f t="shared" si="14"/>
        <v>1</v>
      </c>
      <c r="CC535" s="46">
        <f t="shared" si="15"/>
        <v>1</v>
      </c>
      <c r="CD535" s="46">
        <f t="shared" si="16"/>
        <v>1</v>
      </c>
      <c r="CE535" s="46">
        <f t="shared" si="17"/>
        <v>0</v>
      </c>
      <c r="CF535" s="46">
        <f t="shared" si="18"/>
        <v>0</v>
      </c>
      <c r="CG535" s="46" t="str">
        <f ca="1">IFERROR(__xludf.DUMMYFUNCTION("if(OR(BH535="""",LEFT(BH535,2)=""LA""),"""",IMPORTXML(CONCATENATE(""https://loinc.org/"",BH535,""/""),""//span[@id='lcn']""))"),"")</f>
        <v/>
      </c>
      <c r="CH535" s="46"/>
      <c r="CI535" s="46"/>
      <c r="CJ535" s="46"/>
      <c r="CK535" s="46"/>
      <c r="CL535" s="46"/>
      <c r="CM535" s="46"/>
      <c r="CN535" s="46"/>
      <c r="CO535" s="46"/>
      <c r="CP535" s="46"/>
      <c r="CQ535" s="46"/>
      <c r="CR535" s="46"/>
      <c r="CS535" s="46"/>
      <c r="CT535" s="46"/>
      <c r="CU535" s="46"/>
    </row>
    <row r="536" spans="1:99" ht="12.75" customHeight="1">
      <c r="A536" s="409">
        <v>1921</v>
      </c>
      <c r="B536" s="409" t="s">
        <v>6348</v>
      </c>
      <c r="C536" s="399">
        <f t="shared" si="77"/>
        <v>1921</v>
      </c>
      <c r="D536" s="399" t="str">
        <f t="shared" si="89"/>
        <v>Other (specify)</v>
      </c>
      <c r="E536" s="399" t="str">
        <f t="shared" si="90"/>
        <v>Other (specify)</v>
      </c>
      <c r="F536" s="410" t="s">
        <v>96</v>
      </c>
      <c r="G536" s="400">
        <f t="shared" si="80"/>
        <v>17</v>
      </c>
      <c r="H536" s="400" t="str">
        <f t="shared" si="98"/>
        <v/>
      </c>
      <c r="I536" s="400"/>
      <c r="J536" s="400"/>
      <c r="K536" s="401" t="s">
        <v>5283</v>
      </c>
      <c r="L536" s="402" t="s">
        <v>5194</v>
      </c>
      <c r="M536" s="400"/>
      <c r="N536" s="639" t="s">
        <v>4853</v>
      </c>
      <c r="O536" s="404" t="s">
        <v>6258</v>
      </c>
      <c r="P536" s="404"/>
      <c r="Q536" s="437"/>
      <c r="R536" s="404"/>
      <c r="S536" s="437"/>
      <c r="T536" s="437"/>
      <c r="U536" s="437"/>
      <c r="V536" s="420" t="s">
        <v>405</v>
      </c>
      <c r="W536" s="404"/>
      <c r="X536" s="437" t="s">
        <v>208</v>
      </c>
      <c r="Y536" s="437"/>
      <c r="Z536" s="437" t="s">
        <v>113</v>
      </c>
      <c r="AA536" s="437" t="s">
        <v>3178</v>
      </c>
      <c r="AB536" s="406"/>
      <c r="AC536" s="404"/>
      <c r="AD536" s="404"/>
      <c r="AE536" s="406"/>
      <c r="AF536" s="404"/>
      <c r="AG536" s="404"/>
      <c r="AH536" s="399"/>
      <c r="AI536" s="400"/>
      <c r="AJ536" s="399" t="s">
        <v>1787</v>
      </c>
      <c r="AK536" s="440" t="s">
        <v>6350</v>
      </c>
      <c r="AL536" s="409"/>
      <c r="AM536" s="409" t="s">
        <v>3100</v>
      </c>
      <c r="AN536" s="409" t="s">
        <v>3101</v>
      </c>
      <c r="AO536" s="399" t="s">
        <v>1787</v>
      </c>
      <c r="AP536" s="409" t="s">
        <v>6290</v>
      </c>
      <c r="AQ536" s="409" t="s">
        <v>3424</v>
      </c>
      <c r="AR536" s="399"/>
      <c r="AS536" s="399"/>
      <c r="AT536" s="399"/>
      <c r="AU536" s="399"/>
      <c r="AV536" s="399" t="str">
        <f t="shared" si="92"/>
        <v/>
      </c>
      <c r="AW536" s="399"/>
      <c r="AX536" s="409" t="s">
        <v>5194</v>
      </c>
      <c r="AY536" s="399" t="str">
        <f t="shared" si="93"/>
        <v>"Other (specify)"-&gt;"Other STI History"</v>
      </c>
      <c r="AZ536" s="399"/>
      <c r="BA536" s="409">
        <v>1</v>
      </c>
      <c r="BB536" s="399"/>
      <c r="BC536" s="403"/>
      <c r="BD536" s="399" t="s">
        <v>1787</v>
      </c>
      <c r="BE536" s="434" t="s">
        <v>6351</v>
      </c>
      <c r="BF536" s="411" t="s">
        <v>1787</v>
      </c>
      <c r="BG536" s="411"/>
      <c r="BH536" s="411"/>
      <c r="BI536" s="411"/>
      <c r="BJ536" s="399" t="s">
        <v>1787</v>
      </c>
      <c r="BK536" s="409" t="s">
        <v>6352</v>
      </c>
      <c r="BL536" s="399"/>
      <c r="BM536" s="399" t="s">
        <v>1787</v>
      </c>
      <c r="BN536" s="399" t="s">
        <v>1787</v>
      </c>
      <c r="BO536" s="399" t="s">
        <v>1787</v>
      </c>
      <c r="BP536" s="399" t="s">
        <v>1787</v>
      </c>
      <c r="BQ536" s="399" t="s">
        <v>1787</v>
      </c>
      <c r="BR536" s="399" t="s">
        <v>1787</v>
      </c>
      <c r="BS536" s="407"/>
      <c r="BT536" s="407"/>
      <c r="BU536" s="412"/>
      <c r="BV536" s="46" t="str">
        <f t="shared" si="8"/>
        <v>Condition</v>
      </c>
      <c r="BW536" s="46" t="str">
        <f t="shared" si="9"/>
        <v/>
      </c>
      <c r="BX536" s="46" t="str">
        <f t="shared" si="10"/>
        <v>Condition</v>
      </c>
      <c r="BY536" s="43" t="str">
        <f t="shared" si="11"/>
        <v>WHO-STI Condition (STI History)</v>
      </c>
      <c r="BZ536" s="46">
        <f t="shared" si="12"/>
        <v>1</v>
      </c>
      <c r="CA536" s="46">
        <f t="shared" si="13"/>
        <v>0</v>
      </c>
      <c r="CB536" s="46">
        <f t="shared" si="14"/>
        <v>1</v>
      </c>
      <c r="CC536" s="46">
        <f t="shared" si="15"/>
        <v>1</v>
      </c>
      <c r="CD536" s="46">
        <f t="shared" si="16"/>
        <v>1</v>
      </c>
      <c r="CE536" s="46">
        <f t="shared" si="17"/>
        <v>0</v>
      </c>
      <c r="CF536" s="46">
        <f t="shared" si="18"/>
        <v>0</v>
      </c>
      <c r="CG536" s="46" t="str">
        <f ca="1">IFERROR(__xludf.DUMMYFUNCTION("if(OR(BH536="""",LEFT(BH536,2)=""LA""),"""",IMPORTXML(CONCATENATE(""https://loinc.org/"",BH536,""/""),""//span[@id='lcn']""))"),"")</f>
        <v/>
      </c>
      <c r="CH536" s="46"/>
      <c r="CI536" s="46"/>
      <c r="CJ536" s="46"/>
      <c r="CK536" s="46"/>
      <c r="CL536" s="46"/>
      <c r="CM536" s="46"/>
      <c r="CN536" s="46"/>
      <c r="CO536" s="46"/>
      <c r="CP536" s="46"/>
      <c r="CQ536" s="46"/>
      <c r="CR536" s="46"/>
      <c r="CS536" s="46"/>
      <c r="CT536" s="46"/>
      <c r="CU536" s="46"/>
    </row>
    <row r="537" spans="1:99" ht="12.75" customHeight="1">
      <c r="A537" s="409">
        <v>1923</v>
      </c>
      <c r="B537" s="399" t="s">
        <v>6353</v>
      </c>
      <c r="C537" s="399">
        <f t="shared" si="77"/>
        <v>1923</v>
      </c>
      <c r="D537" s="399" t="str">
        <f t="shared" si="89"/>
        <v>Clinical status</v>
      </c>
      <c r="E537" s="399" t="str">
        <f t="shared" si="90"/>
        <v>Clinical status</v>
      </c>
      <c r="F537" s="399" t="str">
        <f t="shared" ref="F537:F545" si="99">IF(AND(ISBLANK(V537)=FALSE,OR(T537="MC",T537="")),"Input Option","Data Element")</f>
        <v>Data Element</v>
      </c>
      <c r="G537" s="400">
        <f t="shared" si="80"/>
        <v>15</v>
      </c>
      <c r="H537" s="400" t="str">
        <f t="shared" si="98"/>
        <v/>
      </c>
      <c r="I537" s="400"/>
      <c r="J537" s="400"/>
      <c r="K537" s="401" t="s">
        <v>5283</v>
      </c>
      <c r="L537" s="402" t="s">
        <v>5194</v>
      </c>
      <c r="M537" s="400"/>
      <c r="N537" s="639" t="s">
        <v>4853</v>
      </c>
      <c r="O537" s="437" t="s">
        <v>6355</v>
      </c>
      <c r="P537" s="437"/>
      <c r="Q537" s="407" t="s">
        <v>6353</v>
      </c>
      <c r="R537" s="407"/>
      <c r="S537" s="407" t="s">
        <v>6356</v>
      </c>
      <c r="T537" s="407" t="s">
        <v>3121</v>
      </c>
      <c r="U537" s="407" t="s">
        <v>3243</v>
      </c>
      <c r="V537" s="407"/>
      <c r="W537" s="404"/>
      <c r="X537" s="407" t="s">
        <v>208</v>
      </c>
      <c r="Y537" s="407"/>
      <c r="Z537" s="407" t="s">
        <v>113</v>
      </c>
      <c r="AA537" s="407" t="s">
        <v>3178</v>
      </c>
      <c r="AB537" s="432" t="s">
        <v>6358</v>
      </c>
      <c r="AC537" s="421"/>
      <c r="AD537" s="421"/>
      <c r="AE537" s="432"/>
      <c r="AF537" s="407"/>
      <c r="AG537" s="407"/>
      <c r="AH537" s="399"/>
      <c r="AI537" s="400"/>
      <c r="AJ537" s="399" t="s">
        <v>1787</v>
      </c>
      <c r="AK537" s="409" t="s">
        <v>6360</v>
      </c>
      <c r="AL537" s="409"/>
      <c r="AM537" s="409" t="s">
        <v>3100</v>
      </c>
      <c r="AN537" s="409" t="s">
        <v>3101</v>
      </c>
      <c r="AO537" s="399" t="s">
        <v>1787</v>
      </c>
      <c r="AP537" s="409" t="s">
        <v>6290</v>
      </c>
      <c r="AQ537" s="409" t="s">
        <v>3424</v>
      </c>
      <c r="AR537" s="399"/>
      <c r="AS537" s="399"/>
      <c r="AT537" s="399"/>
      <c r="AU537" s="399"/>
      <c r="AV537" s="399" t="str">
        <f t="shared" si="92"/>
        <v/>
      </c>
      <c r="AW537" s="399"/>
      <c r="AX537" s="409" t="s">
        <v>5194</v>
      </c>
      <c r="AY537" s="399" t="str">
        <f t="shared" si="93"/>
        <v/>
      </c>
      <c r="AZ537" s="399"/>
      <c r="BA537" s="409" t="s">
        <v>3125</v>
      </c>
      <c r="BB537" s="399"/>
      <c r="BC537" s="399" t="s">
        <v>1787</v>
      </c>
      <c r="BD537" s="399" t="s">
        <v>1787</v>
      </c>
      <c r="BE537" s="411"/>
      <c r="BF537" s="411" t="s">
        <v>1787</v>
      </c>
      <c r="BG537" s="411"/>
      <c r="BH537" s="411"/>
      <c r="BI537" s="411"/>
      <c r="BJ537" s="409" t="s">
        <v>3106</v>
      </c>
      <c r="BK537" s="399" t="s">
        <v>1787</v>
      </c>
      <c r="BL537" s="399"/>
      <c r="BM537" s="399" t="s">
        <v>1787</v>
      </c>
      <c r="BN537" s="399" t="s">
        <v>1787</v>
      </c>
      <c r="BO537" s="399" t="s">
        <v>1787</v>
      </c>
      <c r="BP537" s="399" t="s">
        <v>1787</v>
      </c>
      <c r="BQ537" s="399" t="s">
        <v>1787</v>
      </c>
      <c r="BR537" s="399" t="s">
        <v>1787</v>
      </c>
      <c r="BS537" s="407"/>
      <c r="BT537" s="407"/>
      <c r="BU537" s="412"/>
      <c r="BV537" s="46" t="str">
        <f t="shared" si="8"/>
        <v>Condition</v>
      </c>
      <c r="BW537" s="46" t="str">
        <f t="shared" si="9"/>
        <v/>
      </c>
      <c r="BX537" s="46" t="str">
        <f t="shared" si="10"/>
        <v>Condition</v>
      </c>
      <c r="BY537" s="43" t="str">
        <f t="shared" si="11"/>
        <v>WHO-STI Condition (STI History)</v>
      </c>
      <c r="BZ537" s="46">
        <f t="shared" si="12"/>
        <v>1</v>
      </c>
      <c r="CA537" s="46">
        <f t="shared" si="13"/>
        <v>1</v>
      </c>
      <c r="CB537" s="46">
        <f t="shared" si="14"/>
        <v>1</v>
      </c>
      <c r="CC537" s="46">
        <f t="shared" si="15"/>
        <v>1</v>
      </c>
      <c r="CD537" s="46">
        <f t="shared" si="16"/>
        <v>1</v>
      </c>
      <c r="CE537" s="46">
        <f t="shared" si="17"/>
        <v>0</v>
      </c>
      <c r="CF537" s="46">
        <f t="shared" si="18"/>
        <v>0</v>
      </c>
      <c r="CG537" s="46" t="str">
        <f ca="1">IFERROR(__xludf.DUMMYFUNCTION("if(OR(BH537="""",LEFT(BH537,2)=""LA""),"""",IMPORTXML(CONCATENATE(""https://loinc.org/"",BH537,""/""),""//span[@id='lcn']""))"),"")</f>
        <v/>
      </c>
      <c r="CH537" s="46"/>
      <c r="CI537" s="46"/>
      <c r="CJ537" s="46"/>
      <c r="CK537" s="46"/>
      <c r="CL537" s="46"/>
      <c r="CM537" s="46"/>
      <c r="CN537" s="46"/>
      <c r="CO537" s="46"/>
      <c r="CP537" s="46"/>
      <c r="CQ537" s="46"/>
      <c r="CR537" s="46"/>
      <c r="CS537" s="46"/>
      <c r="CT537" s="46"/>
      <c r="CU537" s="46"/>
    </row>
    <row r="538" spans="1:99" ht="12.75" customHeight="1">
      <c r="A538" s="409">
        <v>1924</v>
      </c>
      <c r="B538" s="399" t="s">
        <v>6361</v>
      </c>
      <c r="C538" s="399">
        <f t="shared" si="77"/>
        <v>1924</v>
      </c>
      <c r="D538" s="399" t="e">
        <f t="shared" ca="1" si="89"/>
        <v>#NAME?</v>
      </c>
      <c r="E538" s="399" t="str">
        <f t="shared" si="90"/>
        <v>Active</v>
      </c>
      <c r="F538" s="399" t="str">
        <f t="shared" si="99"/>
        <v>Input Option</v>
      </c>
      <c r="G538" s="400">
        <f t="shared" si="80"/>
        <v>13</v>
      </c>
      <c r="H538" s="399" t="str">
        <f t="shared" si="98"/>
        <v>Clinical status</v>
      </c>
      <c r="I538" s="400"/>
      <c r="J538" s="400"/>
      <c r="K538" s="401" t="s">
        <v>5283</v>
      </c>
      <c r="L538" s="402" t="s">
        <v>5194</v>
      </c>
      <c r="M538" s="400"/>
      <c r="N538" s="639" t="s">
        <v>4853</v>
      </c>
      <c r="O538" s="437" t="s">
        <v>6362</v>
      </c>
      <c r="P538" s="437"/>
      <c r="Q538" s="407"/>
      <c r="R538" s="407"/>
      <c r="S538" s="407"/>
      <c r="T538" s="407"/>
      <c r="U538" s="407"/>
      <c r="V538" s="407" t="s">
        <v>6363</v>
      </c>
      <c r="W538" s="404"/>
      <c r="X538" s="407"/>
      <c r="Y538" s="407"/>
      <c r="Z538" s="407"/>
      <c r="AA538" s="407"/>
      <c r="AB538" s="408"/>
      <c r="AC538" s="407"/>
      <c r="AD538" s="407"/>
      <c r="AE538" s="408"/>
      <c r="AF538" s="407"/>
      <c r="AG538" s="407"/>
      <c r="AH538" s="399"/>
      <c r="AI538" s="400"/>
      <c r="AJ538" s="399" t="s">
        <v>1787</v>
      </c>
      <c r="AK538" s="399"/>
      <c r="AL538" s="399" t="s">
        <v>1787</v>
      </c>
      <c r="AM538" s="399"/>
      <c r="AN538" s="399" t="s">
        <v>1787</v>
      </c>
      <c r="AO538" s="399" t="s">
        <v>1787</v>
      </c>
      <c r="AP538" s="399"/>
      <c r="AQ538" s="409" t="s">
        <v>3130</v>
      </c>
      <c r="AR538" s="399"/>
      <c r="AS538" s="399"/>
      <c r="AT538" s="399"/>
      <c r="AU538" s="399"/>
      <c r="AV538" s="399" t="str">
        <f t="shared" si="92"/>
        <v/>
      </c>
      <c r="AW538" s="399"/>
      <c r="AX538" s="409" t="s">
        <v>5194</v>
      </c>
      <c r="AY538" s="399" t="e">
        <f t="shared" ca="1" si="93"/>
        <v>#NAME?</v>
      </c>
      <c r="AZ538" s="399"/>
      <c r="BA538" s="409" t="s">
        <v>3125</v>
      </c>
      <c r="BB538" s="415" t="s">
        <v>6364</v>
      </c>
      <c r="BC538" s="409" t="s">
        <v>6365</v>
      </c>
      <c r="BD538" s="399" t="s">
        <v>1787</v>
      </c>
      <c r="BE538" s="411"/>
      <c r="BF538" s="411" t="s">
        <v>1787</v>
      </c>
      <c r="BG538" s="411"/>
      <c r="BH538" s="411"/>
      <c r="BI538" s="411"/>
      <c r="BJ538" s="399" t="s">
        <v>1787</v>
      </c>
      <c r="BK538" s="399" t="s">
        <v>1787</v>
      </c>
      <c r="BL538" s="399"/>
      <c r="BM538" s="399" t="s">
        <v>1787</v>
      </c>
      <c r="BN538" s="399" t="s">
        <v>1787</v>
      </c>
      <c r="BO538" s="399" t="s">
        <v>1787</v>
      </c>
      <c r="BP538" s="399" t="s">
        <v>1787</v>
      </c>
      <c r="BQ538" s="399" t="s">
        <v>1787</v>
      </c>
      <c r="BR538" s="399" t="s">
        <v>1787</v>
      </c>
      <c r="BS538" s="407"/>
      <c r="BT538" s="407"/>
      <c r="BU538" s="412"/>
      <c r="BV538" s="46" t="str">
        <f t="shared" si="8"/>
        <v/>
      </c>
      <c r="BW538" s="46">
        <f t="shared" si="9"/>
        <v>0</v>
      </c>
      <c r="BX538" s="46">
        <f t="shared" si="10"/>
        <v>0</v>
      </c>
      <c r="BY538" s="43" t="str">
        <f t="shared" si="11"/>
        <v>WHO-STI Condition (STI History)</v>
      </c>
      <c r="BZ538" s="46">
        <f t="shared" si="12"/>
        <v>1</v>
      </c>
      <c r="CA538" s="46" t="str">
        <f t="shared" si="13"/>
        <v/>
      </c>
      <c r="CB538" s="46">
        <f t="shared" si="14"/>
        <v>1</v>
      </c>
      <c r="CC538" s="46">
        <f t="shared" si="15"/>
        <v>1</v>
      </c>
      <c r="CD538" s="46">
        <f t="shared" si="16"/>
        <v>1</v>
      </c>
      <c r="CE538" s="46">
        <f t="shared" si="17"/>
        <v>0</v>
      </c>
      <c r="CF538" s="46">
        <f t="shared" si="18"/>
        <v>0</v>
      </c>
      <c r="CG538" s="46" t="str">
        <f ca="1">IFERROR(__xludf.DUMMYFUNCTION("if(OR(BH538="""",LEFT(BH538,2)=""LA""),"""",IMPORTXML(CONCATENATE(""https://loinc.org/"",BH538,""/""),""//span[@id='lcn']""))"),"")</f>
        <v/>
      </c>
      <c r="CH538" s="46"/>
      <c r="CI538" s="46"/>
      <c r="CJ538" s="46"/>
      <c r="CK538" s="46"/>
      <c r="CL538" s="46"/>
      <c r="CM538" s="46"/>
      <c r="CN538" s="46"/>
      <c r="CO538" s="46"/>
      <c r="CP538" s="46"/>
      <c r="CQ538" s="46"/>
      <c r="CR538" s="46"/>
      <c r="CS538" s="46"/>
      <c r="CT538" s="46"/>
      <c r="CU538" s="46"/>
    </row>
    <row r="539" spans="1:99" ht="12.75" customHeight="1">
      <c r="A539" s="409">
        <v>1925</v>
      </c>
      <c r="B539" s="399" t="s">
        <v>6366</v>
      </c>
      <c r="C539" s="399">
        <f t="shared" si="77"/>
        <v>1925</v>
      </c>
      <c r="D539" s="399" t="e">
        <f t="shared" ca="1" si="89"/>
        <v>#NAME?</v>
      </c>
      <c r="E539" s="399" t="str">
        <f t="shared" si="90"/>
        <v>Recurrence</v>
      </c>
      <c r="F539" s="399" t="str">
        <f t="shared" si="99"/>
        <v>Input Option</v>
      </c>
      <c r="G539" s="400">
        <f t="shared" si="80"/>
        <v>17</v>
      </c>
      <c r="H539" s="399" t="str">
        <f t="shared" si="98"/>
        <v>Clinical status</v>
      </c>
      <c r="I539" s="400"/>
      <c r="J539" s="400"/>
      <c r="K539" s="401" t="s">
        <v>5283</v>
      </c>
      <c r="L539" s="402" t="s">
        <v>5194</v>
      </c>
      <c r="M539" s="400"/>
      <c r="N539" s="639" t="s">
        <v>4853</v>
      </c>
      <c r="O539" s="437" t="s">
        <v>6367</v>
      </c>
      <c r="P539" s="437"/>
      <c r="Q539" s="407"/>
      <c r="R539" s="407"/>
      <c r="S539" s="407"/>
      <c r="T539" s="407"/>
      <c r="U539" s="407"/>
      <c r="V539" s="407" t="s">
        <v>6368</v>
      </c>
      <c r="W539" s="404"/>
      <c r="X539" s="407"/>
      <c r="Y539" s="407"/>
      <c r="Z539" s="407"/>
      <c r="AA539" s="407"/>
      <c r="AB539" s="408"/>
      <c r="AC539" s="407"/>
      <c r="AD539" s="407"/>
      <c r="AE539" s="408"/>
      <c r="AF539" s="407"/>
      <c r="AG539" s="407"/>
      <c r="AH539" s="399"/>
      <c r="AI539" s="400"/>
      <c r="AJ539" s="399" t="s">
        <v>1787</v>
      </c>
      <c r="AK539" s="399"/>
      <c r="AL539" s="399" t="s">
        <v>1787</v>
      </c>
      <c r="AM539" s="399"/>
      <c r="AN539" s="399" t="s">
        <v>1787</v>
      </c>
      <c r="AO539" s="399" t="s">
        <v>1787</v>
      </c>
      <c r="AP539" s="399"/>
      <c r="AQ539" s="409" t="s">
        <v>3130</v>
      </c>
      <c r="AR539" s="399"/>
      <c r="AS539" s="399"/>
      <c r="AT539" s="399"/>
      <c r="AU539" s="399"/>
      <c r="AV539" s="399" t="str">
        <f t="shared" si="92"/>
        <v/>
      </c>
      <c r="AW539" s="399"/>
      <c r="AX539" s="409" t="s">
        <v>5194</v>
      </c>
      <c r="AY539" s="399" t="e">
        <f t="shared" ca="1" si="93"/>
        <v>#NAME?</v>
      </c>
      <c r="AZ539" s="399"/>
      <c r="BA539" s="409" t="s">
        <v>3125</v>
      </c>
      <c r="BB539" s="415" t="s">
        <v>6364</v>
      </c>
      <c r="BC539" s="409" t="s">
        <v>6369</v>
      </c>
      <c r="BD539" s="399" t="s">
        <v>1787</v>
      </c>
      <c r="BE539" s="411"/>
      <c r="BF539" s="411" t="s">
        <v>1787</v>
      </c>
      <c r="BG539" s="411"/>
      <c r="BH539" s="411"/>
      <c r="BI539" s="411"/>
      <c r="BJ539" s="399" t="s">
        <v>1787</v>
      </c>
      <c r="BK539" s="399" t="s">
        <v>1787</v>
      </c>
      <c r="BL539" s="399"/>
      <c r="BM539" s="399" t="s">
        <v>1787</v>
      </c>
      <c r="BN539" s="399" t="s">
        <v>1787</v>
      </c>
      <c r="BO539" s="399" t="s">
        <v>1787</v>
      </c>
      <c r="BP539" s="399" t="s">
        <v>1787</v>
      </c>
      <c r="BQ539" s="399" t="s">
        <v>1787</v>
      </c>
      <c r="BR539" s="399" t="s">
        <v>1787</v>
      </c>
      <c r="BS539" s="407"/>
      <c r="BT539" s="407"/>
      <c r="BU539" s="412"/>
      <c r="BV539" s="46" t="str">
        <f t="shared" si="8"/>
        <v/>
      </c>
      <c r="BW539" s="46">
        <f t="shared" si="9"/>
        <v>0</v>
      </c>
      <c r="BX539" s="46">
        <f t="shared" si="10"/>
        <v>0</v>
      </c>
      <c r="BY539" s="43" t="str">
        <f t="shared" si="11"/>
        <v>WHO-STI Condition (STI History)</v>
      </c>
      <c r="BZ539" s="46">
        <f t="shared" si="12"/>
        <v>1</v>
      </c>
      <c r="CA539" s="46" t="str">
        <f t="shared" si="13"/>
        <v/>
      </c>
      <c r="CB539" s="46">
        <f t="shared" si="14"/>
        <v>1</v>
      </c>
      <c r="CC539" s="46">
        <f t="shared" si="15"/>
        <v>1</v>
      </c>
      <c r="CD539" s="46">
        <f t="shared" si="16"/>
        <v>1</v>
      </c>
      <c r="CE539" s="46">
        <f t="shared" si="17"/>
        <v>0</v>
      </c>
      <c r="CF539" s="46">
        <f t="shared" si="18"/>
        <v>0</v>
      </c>
      <c r="CG539" s="46" t="str">
        <f ca="1">IFERROR(__xludf.DUMMYFUNCTION("if(OR(BH539="""",LEFT(BH539,2)=""LA""),"""",IMPORTXML(CONCATENATE(""https://loinc.org/"",BH539,""/""),""//span[@id='lcn']""))"),"")</f>
        <v/>
      </c>
      <c r="CH539" s="46"/>
      <c r="CI539" s="46"/>
      <c r="CJ539" s="46"/>
      <c r="CK539" s="46"/>
      <c r="CL539" s="46"/>
      <c r="CM539" s="46"/>
      <c r="CN539" s="46"/>
      <c r="CO539" s="46"/>
      <c r="CP539" s="46"/>
      <c r="CQ539" s="46"/>
      <c r="CR539" s="46"/>
      <c r="CS539" s="46"/>
      <c r="CT539" s="46"/>
      <c r="CU539" s="46"/>
    </row>
    <row r="540" spans="1:99" ht="12.75" customHeight="1">
      <c r="A540" s="409">
        <v>1926</v>
      </c>
      <c r="B540" s="399" t="s">
        <v>6370</v>
      </c>
      <c r="C540" s="399">
        <f t="shared" si="77"/>
        <v>1926</v>
      </c>
      <c r="D540" s="399" t="e">
        <f t="shared" ca="1" si="89"/>
        <v>#NAME?</v>
      </c>
      <c r="E540" s="399" t="str">
        <f t="shared" si="90"/>
        <v>Relapse</v>
      </c>
      <c r="F540" s="399" t="str">
        <f t="shared" si="99"/>
        <v>Input Option</v>
      </c>
      <c r="G540" s="400">
        <f t="shared" si="80"/>
        <v>14</v>
      </c>
      <c r="H540" s="399" t="str">
        <f t="shared" si="98"/>
        <v>Clinical status</v>
      </c>
      <c r="I540" s="400"/>
      <c r="J540" s="400"/>
      <c r="K540" s="401" t="s">
        <v>5283</v>
      </c>
      <c r="L540" s="402" t="s">
        <v>5194</v>
      </c>
      <c r="M540" s="400"/>
      <c r="N540" s="639" t="s">
        <v>4853</v>
      </c>
      <c r="O540" s="437" t="s">
        <v>6371</v>
      </c>
      <c r="P540" s="437"/>
      <c r="Q540" s="407"/>
      <c r="R540" s="407"/>
      <c r="S540" s="407"/>
      <c r="T540" s="407"/>
      <c r="U540" s="407"/>
      <c r="V540" s="407" t="s">
        <v>6372</v>
      </c>
      <c r="W540" s="404"/>
      <c r="X540" s="407"/>
      <c r="Y540" s="407"/>
      <c r="Z540" s="407"/>
      <c r="AA540" s="407"/>
      <c r="AB540" s="408"/>
      <c r="AC540" s="407"/>
      <c r="AD540" s="407"/>
      <c r="AE540" s="408"/>
      <c r="AF540" s="407"/>
      <c r="AG540" s="407"/>
      <c r="AH540" s="399"/>
      <c r="AI540" s="400"/>
      <c r="AJ540" s="399" t="s">
        <v>1787</v>
      </c>
      <c r="AK540" s="399"/>
      <c r="AL540" s="399" t="s">
        <v>1787</v>
      </c>
      <c r="AM540" s="399"/>
      <c r="AN540" s="399" t="s">
        <v>1787</v>
      </c>
      <c r="AO540" s="399" t="s">
        <v>1787</v>
      </c>
      <c r="AP540" s="399"/>
      <c r="AQ540" s="409" t="s">
        <v>3130</v>
      </c>
      <c r="AR540" s="399"/>
      <c r="AS540" s="399"/>
      <c r="AT540" s="399"/>
      <c r="AU540" s="399"/>
      <c r="AV540" s="399" t="str">
        <f t="shared" si="92"/>
        <v/>
      </c>
      <c r="AW540" s="399"/>
      <c r="AX540" s="409" t="s">
        <v>5194</v>
      </c>
      <c r="AY540" s="399" t="e">
        <f t="shared" ca="1" si="93"/>
        <v>#NAME?</v>
      </c>
      <c r="AZ540" s="399"/>
      <c r="BA540" s="409" t="s">
        <v>3125</v>
      </c>
      <c r="BB540" s="415" t="s">
        <v>6364</v>
      </c>
      <c r="BC540" s="409" t="s">
        <v>6373</v>
      </c>
      <c r="BD540" s="399" t="s">
        <v>1787</v>
      </c>
      <c r="BE540" s="411"/>
      <c r="BF540" s="411" t="s">
        <v>1787</v>
      </c>
      <c r="BG540" s="411"/>
      <c r="BH540" s="411"/>
      <c r="BI540" s="411"/>
      <c r="BJ540" s="399" t="s">
        <v>1787</v>
      </c>
      <c r="BK540" s="399" t="s">
        <v>1787</v>
      </c>
      <c r="BL540" s="399"/>
      <c r="BM540" s="399" t="s">
        <v>1787</v>
      </c>
      <c r="BN540" s="399" t="s">
        <v>1787</v>
      </c>
      <c r="BO540" s="399" t="s">
        <v>1787</v>
      </c>
      <c r="BP540" s="399" t="s">
        <v>1787</v>
      </c>
      <c r="BQ540" s="399" t="s">
        <v>1787</v>
      </c>
      <c r="BR540" s="399" t="s">
        <v>1787</v>
      </c>
      <c r="BS540" s="407"/>
      <c r="BT540" s="407"/>
      <c r="BU540" s="412"/>
      <c r="BV540" s="46" t="str">
        <f t="shared" si="8"/>
        <v/>
      </c>
      <c r="BW540" s="46">
        <f t="shared" si="9"/>
        <v>0</v>
      </c>
      <c r="BX540" s="46">
        <f t="shared" si="10"/>
        <v>0</v>
      </c>
      <c r="BY540" s="43" t="str">
        <f t="shared" si="11"/>
        <v>WHO-STI Condition (STI History)</v>
      </c>
      <c r="BZ540" s="46">
        <f t="shared" si="12"/>
        <v>1</v>
      </c>
      <c r="CA540" s="46" t="str">
        <f t="shared" si="13"/>
        <v/>
      </c>
      <c r="CB540" s="46">
        <f t="shared" si="14"/>
        <v>1</v>
      </c>
      <c r="CC540" s="46">
        <f t="shared" si="15"/>
        <v>1</v>
      </c>
      <c r="CD540" s="46">
        <f t="shared" si="16"/>
        <v>1</v>
      </c>
      <c r="CE540" s="46">
        <f t="shared" si="17"/>
        <v>0</v>
      </c>
      <c r="CF540" s="46">
        <f t="shared" si="18"/>
        <v>0</v>
      </c>
      <c r="CG540" s="46" t="str">
        <f ca="1">IFERROR(__xludf.DUMMYFUNCTION("if(OR(BH540="""",LEFT(BH540,2)=""LA""),"""",IMPORTXML(CONCATENATE(""https://loinc.org/"",BH540,""/""),""//span[@id='lcn']""))"),"")</f>
        <v/>
      </c>
      <c r="CH540" s="46"/>
      <c r="CI540" s="46"/>
      <c r="CJ540" s="46"/>
      <c r="CK540" s="46"/>
      <c r="CL540" s="46"/>
      <c r="CM540" s="46"/>
      <c r="CN540" s="46"/>
      <c r="CO540" s="46"/>
      <c r="CP540" s="46"/>
      <c r="CQ540" s="46"/>
      <c r="CR540" s="46"/>
      <c r="CS540" s="46"/>
      <c r="CT540" s="46"/>
      <c r="CU540" s="46"/>
    </row>
    <row r="541" spans="1:99" ht="12.75" customHeight="1">
      <c r="A541" s="409">
        <v>1927</v>
      </c>
      <c r="B541" s="399" t="s">
        <v>6374</v>
      </c>
      <c r="C541" s="399">
        <f t="shared" si="77"/>
        <v>1927</v>
      </c>
      <c r="D541" s="399" t="e">
        <f t="shared" ca="1" si="89"/>
        <v>#NAME?</v>
      </c>
      <c r="E541" s="399" t="str">
        <f t="shared" si="90"/>
        <v>Inactive</v>
      </c>
      <c r="F541" s="399" t="str">
        <f t="shared" si="99"/>
        <v>Input Option</v>
      </c>
      <c r="G541" s="400">
        <f t="shared" si="80"/>
        <v>15</v>
      </c>
      <c r="H541" s="399" t="str">
        <f t="shared" si="98"/>
        <v>Clinical status</v>
      </c>
      <c r="I541" s="400"/>
      <c r="J541" s="400"/>
      <c r="K541" s="401" t="s">
        <v>5283</v>
      </c>
      <c r="L541" s="402" t="s">
        <v>5194</v>
      </c>
      <c r="M541" s="400"/>
      <c r="N541" s="639" t="s">
        <v>4853</v>
      </c>
      <c r="O541" s="437" t="s">
        <v>6375</v>
      </c>
      <c r="P541" s="437"/>
      <c r="Q541" s="407"/>
      <c r="R541" s="407"/>
      <c r="S541" s="407"/>
      <c r="T541" s="407"/>
      <c r="U541" s="407"/>
      <c r="V541" s="407" t="s">
        <v>6376</v>
      </c>
      <c r="W541" s="404"/>
      <c r="X541" s="407"/>
      <c r="Y541" s="407"/>
      <c r="Z541" s="407"/>
      <c r="AA541" s="407"/>
      <c r="AB541" s="408"/>
      <c r="AC541" s="407"/>
      <c r="AD541" s="407"/>
      <c r="AE541" s="408"/>
      <c r="AF541" s="407"/>
      <c r="AG541" s="407"/>
      <c r="AH541" s="399"/>
      <c r="AI541" s="400"/>
      <c r="AJ541" s="399" t="s">
        <v>1787</v>
      </c>
      <c r="AK541" s="399"/>
      <c r="AL541" s="399" t="s">
        <v>1787</v>
      </c>
      <c r="AM541" s="399"/>
      <c r="AN541" s="399" t="s">
        <v>1787</v>
      </c>
      <c r="AO541" s="399" t="s">
        <v>1787</v>
      </c>
      <c r="AP541" s="399"/>
      <c r="AQ541" s="409" t="s">
        <v>3130</v>
      </c>
      <c r="AR541" s="399"/>
      <c r="AS541" s="399"/>
      <c r="AT541" s="399"/>
      <c r="AU541" s="399"/>
      <c r="AV541" s="399" t="str">
        <f t="shared" si="92"/>
        <v/>
      </c>
      <c r="AW541" s="399"/>
      <c r="AX541" s="409" t="s">
        <v>5194</v>
      </c>
      <c r="AY541" s="399" t="e">
        <f t="shared" ca="1" si="93"/>
        <v>#NAME?</v>
      </c>
      <c r="AZ541" s="399"/>
      <c r="BA541" s="409" t="s">
        <v>3125</v>
      </c>
      <c r="BB541" s="415" t="s">
        <v>6364</v>
      </c>
      <c r="BC541" s="409" t="s">
        <v>6377</v>
      </c>
      <c r="BD541" s="399" t="s">
        <v>1787</v>
      </c>
      <c r="BE541" s="411"/>
      <c r="BF541" s="411" t="s">
        <v>1787</v>
      </c>
      <c r="BG541" s="411"/>
      <c r="BH541" s="411"/>
      <c r="BI541" s="411"/>
      <c r="BJ541" s="399" t="s">
        <v>1787</v>
      </c>
      <c r="BK541" s="399" t="s">
        <v>1787</v>
      </c>
      <c r="BL541" s="399"/>
      <c r="BM541" s="399" t="s">
        <v>1787</v>
      </c>
      <c r="BN541" s="399" t="s">
        <v>1787</v>
      </c>
      <c r="BO541" s="399" t="s">
        <v>1787</v>
      </c>
      <c r="BP541" s="399" t="s">
        <v>1787</v>
      </c>
      <c r="BQ541" s="399" t="s">
        <v>1787</v>
      </c>
      <c r="BR541" s="399" t="s">
        <v>1787</v>
      </c>
      <c r="BS541" s="407"/>
      <c r="BT541" s="407"/>
      <c r="BU541" s="412"/>
      <c r="BV541" s="46" t="str">
        <f t="shared" si="8"/>
        <v/>
      </c>
      <c r="BW541" s="46">
        <f t="shared" si="9"/>
        <v>0</v>
      </c>
      <c r="BX541" s="46">
        <f t="shared" si="10"/>
        <v>0</v>
      </c>
      <c r="BY541" s="43" t="str">
        <f t="shared" si="11"/>
        <v>WHO-STI Condition (STI History)</v>
      </c>
      <c r="BZ541" s="46">
        <f t="shared" si="12"/>
        <v>1</v>
      </c>
      <c r="CA541" s="46" t="str">
        <f t="shared" si="13"/>
        <v/>
      </c>
      <c r="CB541" s="46">
        <f t="shared" si="14"/>
        <v>1</v>
      </c>
      <c r="CC541" s="46">
        <f t="shared" si="15"/>
        <v>1</v>
      </c>
      <c r="CD541" s="46">
        <f t="shared" si="16"/>
        <v>1</v>
      </c>
      <c r="CE541" s="46">
        <f t="shared" si="17"/>
        <v>0</v>
      </c>
      <c r="CF541" s="46">
        <f t="shared" si="18"/>
        <v>0</v>
      </c>
      <c r="CG541" s="46" t="str">
        <f ca="1">IFERROR(__xludf.DUMMYFUNCTION("if(OR(BH541="""",LEFT(BH541,2)=""LA""),"""",IMPORTXML(CONCATENATE(""https://loinc.org/"",BH541,""/""),""//span[@id='lcn']""))"),"")</f>
        <v/>
      </c>
      <c r="CH541" s="46"/>
      <c r="CI541" s="46"/>
      <c r="CJ541" s="46"/>
      <c r="CK541" s="46"/>
      <c r="CL541" s="46"/>
      <c r="CM541" s="46"/>
      <c r="CN541" s="46"/>
      <c r="CO541" s="46"/>
      <c r="CP541" s="46"/>
      <c r="CQ541" s="46"/>
      <c r="CR541" s="46"/>
      <c r="CS541" s="46"/>
      <c r="CT541" s="46"/>
      <c r="CU541" s="46"/>
    </row>
    <row r="542" spans="1:99" ht="12.75" customHeight="1">
      <c r="A542" s="409">
        <v>1928</v>
      </c>
      <c r="B542" s="399" t="s">
        <v>6379</v>
      </c>
      <c r="C542" s="399">
        <f t="shared" si="77"/>
        <v>1928</v>
      </c>
      <c r="D542" s="399" t="e">
        <f t="shared" ca="1" si="89"/>
        <v>#NAME?</v>
      </c>
      <c r="E542" s="399" t="str">
        <f t="shared" si="90"/>
        <v>Remission</v>
      </c>
      <c r="F542" s="399" t="str">
        <f t="shared" si="99"/>
        <v>Input Option</v>
      </c>
      <c r="G542" s="400">
        <f t="shared" si="80"/>
        <v>16</v>
      </c>
      <c r="H542" s="399" t="str">
        <f t="shared" si="98"/>
        <v>Clinical status</v>
      </c>
      <c r="I542" s="400"/>
      <c r="J542" s="400"/>
      <c r="K542" s="401" t="s">
        <v>5283</v>
      </c>
      <c r="L542" s="402" t="s">
        <v>5194</v>
      </c>
      <c r="M542" s="400"/>
      <c r="N542" s="639" t="s">
        <v>4853</v>
      </c>
      <c r="O542" s="437" t="s">
        <v>6380</v>
      </c>
      <c r="P542" s="437"/>
      <c r="Q542" s="407"/>
      <c r="R542" s="407"/>
      <c r="S542" s="407"/>
      <c r="T542" s="407"/>
      <c r="U542" s="407"/>
      <c r="V542" s="407" t="s">
        <v>6381</v>
      </c>
      <c r="W542" s="404"/>
      <c r="X542" s="407"/>
      <c r="Y542" s="407"/>
      <c r="Z542" s="407"/>
      <c r="AA542" s="407"/>
      <c r="AB542" s="408"/>
      <c r="AC542" s="407"/>
      <c r="AD542" s="407"/>
      <c r="AE542" s="408"/>
      <c r="AF542" s="407"/>
      <c r="AG542" s="407"/>
      <c r="AH542" s="399"/>
      <c r="AI542" s="400"/>
      <c r="AJ542" s="399" t="s">
        <v>1787</v>
      </c>
      <c r="AK542" s="399"/>
      <c r="AL542" s="399" t="s">
        <v>1787</v>
      </c>
      <c r="AM542" s="399"/>
      <c r="AN542" s="399" t="s">
        <v>1787</v>
      </c>
      <c r="AO542" s="399" t="s">
        <v>1787</v>
      </c>
      <c r="AP542" s="399"/>
      <c r="AQ542" s="409" t="s">
        <v>3130</v>
      </c>
      <c r="AR542" s="399"/>
      <c r="AS542" s="399"/>
      <c r="AT542" s="399"/>
      <c r="AU542" s="399"/>
      <c r="AV542" s="399" t="str">
        <f t="shared" si="92"/>
        <v/>
      </c>
      <c r="AW542" s="399"/>
      <c r="AX542" s="409" t="s">
        <v>5194</v>
      </c>
      <c r="AY542" s="399" t="e">
        <f t="shared" ca="1" si="93"/>
        <v>#NAME?</v>
      </c>
      <c r="AZ542" s="399"/>
      <c r="BA542" s="409" t="s">
        <v>3125</v>
      </c>
      <c r="BB542" s="415" t="s">
        <v>6364</v>
      </c>
      <c r="BC542" s="409" t="s">
        <v>6382</v>
      </c>
      <c r="BD542" s="399" t="s">
        <v>1787</v>
      </c>
      <c r="BE542" s="411"/>
      <c r="BF542" s="411" t="s">
        <v>1787</v>
      </c>
      <c r="BG542" s="411"/>
      <c r="BH542" s="411"/>
      <c r="BI542" s="411"/>
      <c r="BJ542" s="399" t="s">
        <v>1787</v>
      </c>
      <c r="BK542" s="399" t="s">
        <v>1787</v>
      </c>
      <c r="BL542" s="399"/>
      <c r="BM542" s="399" t="s">
        <v>1787</v>
      </c>
      <c r="BN542" s="399" t="s">
        <v>1787</v>
      </c>
      <c r="BO542" s="399" t="s">
        <v>1787</v>
      </c>
      <c r="BP542" s="399" t="s">
        <v>1787</v>
      </c>
      <c r="BQ542" s="399" t="s">
        <v>1787</v>
      </c>
      <c r="BR542" s="399" t="s">
        <v>1787</v>
      </c>
      <c r="BS542" s="407"/>
      <c r="BT542" s="407"/>
      <c r="BU542" s="412"/>
      <c r="BV542" s="46" t="str">
        <f t="shared" si="8"/>
        <v/>
      </c>
      <c r="BW542" s="46">
        <f t="shared" si="9"/>
        <v>0</v>
      </c>
      <c r="BX542" s="46">
        <f t="shared" si="10"/>
        <v>0</v>
      </c>
      <c r="BY542" s="43" t="str">
        <f t="shared" si="11"/>
        <v>WHO-STI Condition (STI History)</v>
      </c>
      <c r="BZ542" s="46">
        <f t="shared" si="12"/>
        <v>1</v>
      </c>
      <c r="CA542" s="46" t="str">
        <f t="shared" si="13"/>
        <v/>
      </c>
      <c r="CB542" s="46">
        <f t="shared" si="14"/>
        <v>1</v>
      </c>
      <c r="CC542" s="46">
        <f t="shared" si="15"/>
        <v>1</v>
      </c>
      <c r="CD542" s="46">
        <f t="shared" si="16"/>
        <v>1</v>
      </c>
      <c r="CE542" s="46">
        <f t="shared" si="17"/>
        <v>0</v>
      </c>
      <c r="CF542" s="46">
        <f t="shared" si="18"/>
        <v>0</v>
      </c>
      <c r="CG542" s="46" t="str">
        <f ca="1">IFERROR(__xludf.DUMMYFUNCTION("if(OR(BH542="""",LEFT(BH542,2)=""LA""),"""",IMPORTXML(CONCATENATE(""https://loinc.org/"",BH542,""/""),""//span[@id='lcn']""))"),"")</f>
        <v/>
      </c>
      <c r="CH542" s="46"/>
      <c r="CI542" s="46"/>
      <c r="CJ542" s="46"/>
      <c r="CK542" s="46"/>
      <c r="CL542" s="46"/>
      <c r="CM542" s="46"/>
      <c r="CN542" s="46"/>
      <c r="CO542" s="46"/>
      <c r="CP542" s="46"/>
      <c r="CQ542" s="46"/>
      <c r="CR542" s="46"/>
      <c r="CS542" s="46"/>
      <c r="CT542" s="46"/>
      <c r="CU542" s="46"/>
    </row>
    <row r="543" spans="1:99" ht="12.75" customHeight="1">
      <c r="A543" s="409">
        <v>1929</v>
      </c>
      <c r="B543" s="399" t="s">
        <v>6384</v>
      </c>
      <c r="C543" s="399">
        <f t="shared" si="77"/>
        <v>1929</v>
      </c>
      <c r="D543" s="399" t="e">
        <f t="shared" ca="1" si="89"/>
        <v>#NAME?</v>
      </c>
      <c r="E543" s="399" t="str">
        <f t="shared" si="90"/>
        <v>Resolved</v>
      </c>
      <c r="F543" s="399" t="str">
        <f t="shared" si="99"/>
        <v>Input Option</v>
      </c>
      <c r="G543" s="400">
        <f t="shared" si="80"/>
        <v>15</v>
      </c>
      <c r="H543" s="399" t="str">
        <f t="shared" si="98"/>
        <v>Clinical status</v>
      </c>
      <c r="I543" s="400"/>
      <c r="J543" s="400"/>
      <c r="K543" s="401" t="s">
        <v>5283</v>
      </c>
      <c r="L543" s="402" t="s">
        <v>5194</v>
      </c>
      <c r="M543" s="400"/>
      <c r="N543" s="639" t="s">
        <v>4853</v>
      </c>
      <c r="O543" s="437" t="s">
        <v>6385</v>
      </c>
      <c r="P543" s="437"/>
      <c r="Q543" s="407"/>
      <c r="R543" s="407"/>
      <c r="S543" s="407"/>
      <c r="T543" s="407"/>
      <c r="U543" s="407"/>
      <c r="V543" s="407" t="s">
        <v>6386</v>
      </c>
      <c r="W543" s="404"/>
      <c r="X543" s="407"/>
      <c r="Y543" s="407"/>
      <c r="Z543" s="407"/>
      <c r="AA543" s="407"/>
      <c r="AB543" s="408"/>
      <c r="AC543" s="407"/>
      <c r="AD543" s="407"/>
      <c r="AE543" s="408"/>
      <c r="AF543" s="407"/>
      <c r="AG543" s="407"/>
      <c r="AH543" s="399"/>
      <c r="AI543" s="400"/>
      <c r="AJ543" s="399" t="s">
        <v>1787</v>
      </c>
      <c r="AK543" s="399"/>
      <c r="AL543" s="399" t="s">
        <v>1787</v>
      </c>
      <c r="AM543" s="399"/>
      <c r="AN543" s="399" t="s">
        <v>1787</v>
      </c>
      <c r="AO543" s="399" t="s">
        <v>1787</v>
      </c>
      <c r="AP543" s="399"/>
      <c r="AQ543" s="409" t="s">
        <v>3130</v>
      </c>
      <c r="AR543" s="399"/>
      <c r="AS543" s="399"/>
      <c r="AT543" s="399"/>
      <c r="AU543" s="399"/>
      <c r="AV543" s="399" t="str">
        <f t="shared" si="92"/>
        <v/>
      </c>
      <c r="AW543" s="399"/>
      <c r="AX543" s="409" t="s">
        <v>5194</v>
      </c>
      <c r="AY543" s="399" t="e">
        <f t="shared" ca="1" si="93"/>
        <v>#NAME?</v>
      </c>
      <c r="AZ543" s="399"/>
      <c r="BA543" s="409" t="s">
        <v>3125</v>
      </c>
      <c r="BB543" s="415" t="s">
        <v>6364</v>
      </c>
      <c r="BC543" s="409" t="s">
        <v>6387</v>
      </c>
      <c r="BD543" s="399" t="s">
        <v>1787</v>
      </c>
      <c r="BE543" s="411"/>
      <c r="BF543" s="411" t="s">
        <v>1787</v>
      </c>
      <c r="BG543" s="411"/>
      <c r="BH543" s="411"/>
      <c r="BI543" s="411"/>
      <c r="BJ543" s="399" t="s">
        <v>1787</v>
      </c>
      <c r="BK543" s="399" t="s">
        <v>1787</v>
      </c>
      <c r="BL543" s="399"/>
      <c r="BM543" s="399" t="s">
        <v>1787</v>
      </c>
      <c r="BN543" s="399" t="s">
        <v>1787</v>
      </c>
      <c r="BO543" s="399" t="s">
        <v>1787</v>
      </c>
      <c r="BP543" s="399" t="s">
        <v>1787</v>
      </c>
      <c r="BQ543" s="399" t="s">
        <v>1787</v>
      </c>
      <c r="BR543" s="399" t="s">
        <v>1787</v>
      </c>
      <c r="BS543" s="407"/>
      <c r="BT543" s="407"/>
      <c r="BU543" s="412"/>
      <c r="BV543" s="46" t="str">
        <f t="shared" si="8"/>
        <v/>
      </c>
      <c r="BW543" s="46">
        <f t="shared" si="9"/>
        <v>0</v>
      </c>
      <c r="BX543" s="46">
        <f t="shared" si="10"/>
        <v>0</v>
      </c>
      <c r="BY543" s="43" t="str">
        <f t="shared" si="11"/>
        <v>WHO-STI Condition (STI History)</v>
      </c>
      <c r="BZ543" s="46">
        <f t="shared" si="12"/>
        <v>1</v>
      </c>
      <c r="CA543" s="46" t="str">
        <f t="shared" si="13"/>
        <v/>
      </c>
      <c r="CB543" s="46">
        <f t="shared" si="14"/>
        <v>1</v>
      </c>
      <c r="CC543" s="46">
        <f t="shared" si="15"/>
        <v>1</v>
      </c>
      <c r="CD543" s="46">
        <f t="shared" si="16"/>
        <v>1</v>
      </c>
      <c r="CE543" s="46">
        <f t="shared" si="17"/>
        <v>0</v>
      </c>
      <c r="CF543" s="46">
        <f t="shared" si="18"/>
        <v>0</v>
      </c>
      <c r="CG543" s="46" t="str">
        <f ca="1">IFERROR(__xludf.DUMMYFUNCTION("if(OR(BH543="""",LEFT(BH543,2)=""LA""),"""",IMPORTXML(CONCATENATE(""https://loinc.org/"",BH543,""/""),""//span[@id='lcn']""))"),"")</f>
        <v/>
      </c>
      <c r="CH543" s="46"/>
      <c r="CI543" s="46"/>
      <c r="CJ543" s="46"/>
      <c r="CK543" s="46"/>
      <c r="CL543" s="46"/>
      <c r="CM543" s="46"/>
      <c r="CN543" s="46"/>
      <c r="CO543" s="46"/>
      <c r="CP543" s="46"/>
      <c r="CQ543" s="46"/>
      <c r="CR543" s="46"/>
      <c r="CS543" s="46"/>
      <c r="CT543" s="46"/>
      <c r="CU543" s="46"/>
    </row>
    <row r="544" spans="1:99" ht="12.75" customHeight="1">
      <c r="A544" s="409">
        <v>1930</v>
      </c>
      <c r="B544" s="399" t="s">
        <v>1162</v>
      </c>
      <c r="C544" s="399">
        <f t="shared" si="77"/>
        <v>1930</v>
      </c>
      <c r="D544" s="399" t="e">
        <f t="shared" ca="1" si="89"/>
        <v>#NAME?</v>
      </c>
      <c r="E544" s="399" t="str">
        <f t="shared" si="90"/>
        <v>Unknown</v>
      </c>
      <c r="F544" s="399" t="str">
        <f t="shared" si="99"/>
        <v>Input Option</v>
      </c>
      <c r="G544" s="400">
        <f t="shared" si="80"/>
        <v>14</v>
      </c>
      <c r="H544" s="399" t="str">
        <f t="shared" si="98"/>
        <v>Clinical status</v>
      </c>
      <c r="I544" s="400"/>
      <c r="J544" s="400"/>
      <c r="K544" s="401" t="s">
        <v>5283</v>
      </c>
      <c r="L544" s="402" t="s">
        <v>5194</v>
      </c>
      <c r="M544" s="400"/>
      <c r="N544" s="639" t="s">
        <v>4853</v>
      </c>
      <c r="O544" s="437" t="s">
        <v>6388</v>
      </c>
      <c r="P544" s="437"/>
      <c r="Q544" s="407"/>
      <c r="R544" s="407"/>
      <c r="S544" s="407"/>
      <c r="T544" s="407"/>
      <c r="U544" s="407"/>
      <c r="V544" s="407" t="s">
        <v>936</v>
      </c>
      <c r="W544" s="404"/>
      <c r="X544" s="407"/>
      <c r="Y544" s="407"/>
      <c r="Z544" s="407"/>
      <c r="AA544" s="407"/>
      <c r="AB544" s="408"/>
      <c r="AC544" s="407"/>
      <c r="AD544" s="407"/>
      <c r="AE544" s="408"/>
      <c r="AF544" s="407"/>
      <c r="AG544" s="407"/>
      <c r="AH544" s="399"/>
      <c r="AI544" s="400"/>
      <c r="AJ544" s="399" t="s">
        <v>1787</v>
      </c>
      <c r="AK544" s="399"/>
      <c r="AL544" s="399" t="s">
        <v>1787</v>
      </c>
      <c r="AM544" s="399"/>
      <c r="AN544" s="399" t="s">
        <v>1787</v>
      </c>
      <c r="AO544" s="399" t="s">
        <v>1787</v>
      </c>
      <c r="AP544" s="399"/>
      <c r="AQ544" s="409" t="s">
        <v>3130</v>
      </c>
      <c r="AR544" s="399"/>
      <c r="AS544" s="399"/>
      <c r="AT544" s="399"/>
      <c r="AU544" s="399"/>
      <c r="AV544" s="399" t="str">
        <f t="shared" si="92"/>
        <v/>
      </c>
      <c r="AW544" s="399"/>
      <c r="AX544" s="409" t="s">
        <v>5194</v>
      </c>
      <c r="AY544" s="399" t="e">
        <f t="shared" ca="1" si="93"/>
        <v>#NAME?</v>
      </c>
      <c r="AZ544" s="399"/>
      <c r="BA544" s="409">
        <v>1</v>
      </c>
      <c r="BB544" s="415" t="s">
        <v>3131</v>
      </c>
      <c r="BC544" s="409" t="s">
        <v>936</v>
      </c>
      <c r="BD544" s="399" t="s">
        <v>1787</v>
      </c>
      <c r="BE544" s="411"/>
      <c r="BF544" s="411" t="s">
        <v>1787</v>
      </c>
      <c r="BG544" s="411"/>
      <c r="BH544" s="411"/>
      <c r="BI544" s="411"/>
      <c r="BJ544" s="409" t="s">
        <v>3133</v>
      </c>
      <c r="BK544" s="399" t="s">
        <v>1787</v>
      </c>
      <c r="BL544" s="399"/>
      <c r="BM544" s="399" t="s">
        <v>1787</v>
      </c>
      <c r="BN544" s="399" t="s">
        <v>1787</v>
      </c>
      <c r="BO544" s="399" t="s">
        <v>1787</v>
      </c>
      <c r="BP544" s="399" t="s">
        <v>1787</v>
      </c>
      <c r="BQ544" s="399" t="s">
        <v>1787</v>
      </c>
      <c r="BR544" s="399" t="s">
        <v>1787</v>
      </c>
      <c r="BS544" s="407"/>
      <c r="BT544" s="407"/>
      <c r="BU544" s="412"/>
      <c r="BV544" s="46" t="str">
        <f t="shared" si="8"/>
        <v/>
      </c>
      <c r="BW544" s="46">
        <f t="shared" si="9"/>
        <v>0</v>
      </c>
      <c r="BX544" s="46">
        <f t="shared" si="10"/>
        <v>0</v>
      </c>
      <c r="BY544" s="43" t="str">
        <f t="shared" si="11"/>
        <v>WHO-STI Condition (STI History)</v>
      </c>
      <c r="BZ544" s="46">
        <f t="shared" si="12"/>
        <v>1</v>
      </c>
      <c r="CA544" s="46" t="str">
        <f t="shared" si="13"/>
        <v/>
      </c>
      <c r="CB544" s="46">
        <f t="shared" si="14"/>
        <v>1</v>
      </c>
      <c r="CC544" s="46">
        <f t="shared" si="15"/>
        <v>1</v>
      </c>
      <c r="CD544" s="46">
        <f t="shared" si="16"/>
        <v>1</v>
      </c>
      <c r="CE544" s="46">
        <f t="shared" si="17"/>
        <v>0</v>
      </c>
      <c r="CF544" s="46">
        <f t="shared" si="18"/>
        <v>0</v>
      </c>
      <c r="CG544" s="46" t="str">
        <f ca="1">IFERROR(__xludf.DUMMYFUNCTION("if(OR(BH544="""",LEFT(BH544,2)=""LA""),"""",IMPORTXML(CONCATENATE(""https://loinc.org/"",BH544,""/""),""//span[@id='lcn']""))"),"")</f>
        <v/>
      </c>
      <c r="CH544" s="46"/>
      <c r="CI544" s="46"/>
      <c r="CJ544" s="46"/>
      <c r="CK544" s="46"/>
      <c r="CL544" s="46"/>
      <c r="CM544" s="46"/>
      <c r="CN544" s="46"/>
      <c r="CO544" s="46"/>
      <c r="CP544" s="46"/>
      <c r="CQ544" s="46"/>
      <c r="CR544" s="46"/>
      <c r="CS544" s="46"/>
      <c r="CT544" s="46"/>
      <c r="CU544" s="46"/>
    </row>
    <row r="545" spans="1:99" ht="12.75" customHeight="1">
      <c r="A545" s="409">
        <v>1931</v>
      </c>
      <c r="B545" s="399" t="s">
        <v>6389</v>
      </c>
      <c r="C545" s="399">
        <f t="shared" si="77"/>
        <v>1931</v>
      </c>
      <c r="D545" s="399" t="str">
        <f t="shared" si="89"/>
        <v>STI treatment medication history</v>
      </c>
      <c r="E545" s="399" t="str">
        <f t="shared" si="90"/>
        <v>STI treatment medication history</v>
      </c>
      <c r="F545" s="399" t="str">
        <f t="shared" si="99"/>
        <v>Data Element</v>
      </c>
      <c r="G545" s="400">
        <f t="shared" si="80"/>
        <v>32</v>
      </c>
      <c r="H545" s="400" t="str">
        <f t="shared" si="98"/>
        <v/>
      </c>
      <c r="I545" s="400"/>
      <c r="J545" s="400"/>
      <c r="K545" s="401" t="s">
        <v>5283</v>
      </c>
      <c r="L545" s="402" t="s">
        <v>5194</v>
      </c>
      <c r="M545" s="400"/>
      <c r="N545" s="639" t="s">
        <v>4853</v>
      </c>
      <c r="O545" s="431" t="s">
        <v>6390</v>
      </c>
      <c r="P545" s="431"/>
      <c r="Q545" s="429" t="s">
        <v>6389</v>
      </c>
      <c r="R545" s="404"/>
      <c r="S545" s="404" t="s">
        <v>6391</v>
      </c>
      <c r="T545" s="404" t="s">
        <v>3121</v>
      </c>
      <c r="U545" s="404" t="s">
        <v>3326</v>
      </c>
      <c r="V545" s="404" t="s">
        <v>3170</v>
      </c>
      <c r="W545" s="404"/>
      <c r="X545" s="437" t="s">
        <v>113</v>
      </c>
      <c r="Y545" s="404" t="s">
        <v>695</v>
      </c>
      <c r="Z545" s="407" t="s">
        <v>113</v>
      </c>
      <c r="AA545" s="404"/>
      <c r="AB545" s="420" t="s">
        <v>6282</v>
      </c>
      <c r="AC545" s="648"/>
      <c r="AD545" s="648"/>
      <c r="AE545" s="649"/>
      <c r="AF545" s="643"/>
      <c r="AG545" s="643"/>
      <c r="AH545" s="399"/>
      <c r="AI545" s="400"/>
      <c r="AJ545" s="399" t="s">
        <v>1787</v>
      </c>
      <c r="AK545" s="409" t="s">
        <v>3650</v>
      </c>
      <c r="AL545" s="409" t="s">
        <v>3181</v>
      </c>
      <c r="AM545" s="409" t="s">
        <v>3100</v>
      </c>
      <c r="AN545" s="409" t="s">
        <v>3101</v>
      </c>
      <c r="AO545" s="399" t="s">
        <v>1787</v>
      </c>
      <c r="AP545" s="409" t="s">
        <v>6394</v>
      </c>
      <c r="AQ545" s="409" t="s">
        <v>3424</v>
      </c>
      <c r="AR545" s="410" t="s">
        <v>6395</v>
      </c>
      <c r="AS545" s="410"/>
      <c r="AT545" s="399"/>
      <c r="AU545" s="399"/>
      <c r="AV545" s="399" t="str">
        <f t="shared" si="92"/>
        <v/>
      </c>
      <c r="AW545" s="399"/>
      <c r="AX545" s="409" t="s">
        <v>5194</v>
      </c>
      <c r="AY545" s="399" t="str">
        <f t="shared" si="93"/>
        <v/>
      </c>
      <c r="AZ545" s="399"/>
      <c r="BA545" s="409" t="s">
        <v>3125</v>
      </c>
      <c r="BB545" s="399"/>
      <c r="BC545" s="399" t="s">
        <v>1787</v>
      </c>
      <c r="BD545" s="399" t="s">
        <v>1787</v>
      </c>
      <c r="BE545" s="411"/>
      <c r="BF545" s="411" t="s">
        <v>1787</v>
      </c>
      <c r="BG545" s="411"/>
      <c r="BH545" s="411"/>
      <c r="BI545" s="411"/>
      <c r="BJ545" s="409" t="s">
        <v>3106</v>
      </c>
      <c r="BK545" s="399" t="s">
        <v>1787</v>
      </c>
      <c r="BL545" s="399"/>
      <c r="BM545" s="399" t="s">
        <v>1787</v>
      </c>
      <c r="BN545" s="399" t="s">
        <v>1787</v>
      </c>
      <c r="BO545" s="399" t="s">
        <v>1787</v>
      </c>
      <c r="BP545" s="399" t="s">
        <v>1787</v>
      </c>
      <c r="BQ545" s="399" t="s">
        <v>1787</v>
      </c>
      <c r="BR545" s="399" t="s">
        <v>1787</v>
      </c>
      <c r="BS545" s="407"/>
      <c r="BT545" s="407"/>
      <c r="BU545" s="412"/>
      <c r="BV545" s="46" t="str">
        <f t="shared" si="8"/>
        <v>MedicationStatement</v>
      </c>
      <c r="BW545" s="46" t="str">
        <f t="shared" si="9"/>
        <v/>
      </c>
      <c r="BX545" s="46" t="str">
        <f t="shared" si="10"/>
        <v>MedicationStatement</v>
      </c>
      <c r="BY545" s="43" t="str">
        <f t="shared" si="11"/>
        <v>WHO-STI MedicationStatement (Medication History)</v>
      </c>
      <c r="BZ545" s="46">
        <f t="shared" si="12"/>
        <v>1</v>
      </c>
      <c r="CA545" s="46">
        <f t="shared" si="13"/>
        <v>1</v>
      </c>
      <c r="CB545" s="46">
        <f t="shared" si="14"/>
        <v>1</v>
      </c>
      <c r="CC545" s="46">
        <f t="shared" si="15"/>
        <v>1</v>
      </c>
      <c r="CD545" s="46">
        <f t="shared" si="16"/>
        <v>1</v>
      </c>
      <c r="CE545" s="46">
        <f t="shared" si="17"/>
        <v>0</v>
      </c>
      <c r="CF545" s="46">
        <f t="shared" si="18"/>
        <v>0</v>
      </c>
      <c r="CG545" s="46" t="str">
        <f ca="1">IFERROR(__xludf.DUMMYFUNCTION("if(OR(BH545="""",LEFT(BH545,2)=""LA""),"""",IMPORTXML(CONCATENATE(""https://loinc.org/"",BH545,""/""),""//span[@id='lcn']""))"),"")</f>
        <v/>
      </c>
      <c r="CH545" s="46"/>
      <c r="CI545" s="46"/>
      <c r="CJ545" s="46"/>
      <c r="CK545" s="46"/>
      <c r="CL545" s="46"/>
      <c r="CM545" s="46"/>
      <c r="CN545" s="46"/>
      <c r="CO545" s="46"/>
      <c r="CP545" s="46"/>
      <c r="CQ545" s="46"/>
      <c r="CR545" s="46"/>
      <c r="CS545" s="46"/>
      <c r="CT545" s="46"/>
      <c r="CU545" s="46"/>
    </row>
    <row r="546" spans="1:99" ht="12.75" customHeight="1">
      <c r="A546" s="409">
        <v>1937</v>
      </c>
      <c r="B546" s="399" t="s">
        <v>6398</v>
      </c>
      <c r="C546" s="399">
        <f t="shared" si="77"/>
        <v>1937</v>
      </c>
      <c r="D546" s="399" t="str">
        <f t="shared" si="89"/>
        <v>Drug allergies</v>
      </c>
      <c r="E546" s="399" t="str">
        <f t="shared" si="90"/>
        <v>Drug allergies</v>
      </c>
      <c r="F546" s="409" t="s">
        <v>96</v>
      </c>
      <c r="G546" s="400">
        <f t="shared" si="80"/>
        <v>14</v>
      </c>
      <c r="H546" s="400" t="str">
        <f>IF(F546="Input Option",IF(H790="",B790,H790),"")</f>
        <v/>
      </c>
      <c r="I546" s="400"/>
      <c r="J546" s="400"/>
      <c r="K546" s="401" t="s">
        <v>5283</v>
      </c>
      <c r="L546" s="402" t="s">
        <v>961</v>
      </c>
      <c r="M546" s="400"/>
      <c r="N546" s="639" t="s">
        <v>4853</v>
      </c>
      <c r="O546" s="404" t="s">
        <v>6399</v>
      </c>
      <c r="P546" s="404"/>
      <c r="Q546" s="404" t="s">
        <v>6398</v>
      </c>
      <c r="R546" s="404"/>
      <c r="S546" s="404" t="s">
        <v>6400</v>
      </c>
      <c r="T546" s="404" t="s">
        <v>3121</v>
      </c>
      <c r="U546" s="420" t="s">
        <v>3326</v>
      </c>
      <c r="V546" s="404"/>
      <c r="W546" s="404"/>
      <c r="X546" s="437" t="s">
        <v>113</v>
      </c>
      <c r="Y546" s="404" t="s">
        <v>695</v>
      </c>
      <c r="Z546" s="407" t="s">
        <v>113</v>
      </c>
      <c r="AA546" s="404" t="s">
        <v>3098</v>
      </c>
      <c r="AB546" s="406"/>
      <c r="AC546" s="404"/>
      <c r="AD546" s="404"/>
      <c r="AE546" s="406"/>
      <c r="AF546" s="404"/>
      <c r="AG546" s="404"/>
      <c r="AH546" s="399"/>
      <c r="AI546" s="400"/>
      <c r="AJ546" s="399" t="s">
        <v>1787</v>
      </c>
      <c r="AK546" s="430" t="s">
        <v>6401</v>
      </c>
      <c r="AL546" s="403"/>
      <c r="AM546" s="403" t="s">
        <v>3100</v>
      </c>
      <c r="AN546" s="403" t="s">
        <v>3101</v>
      </c>
      <c r="AO546" s="652" t="s">
        <v>6402</v>
      </c>
      <c r="AP546" s="409" t="s">
        <v>6404</v>
      </c>
      <c r="AQ546" s="409" t="s">
        <v>3424</v>
      </c>
      <c r="AR546" s="399"/>
      <c r="AS546" s="409" t="s">
        <v>3413</v>
      </c>
      <c r="AT546" s="399"/>
      <c r="AU546" s="399"/>
      <c r="AV546" s="399" t="str">
        <f t="shared" si="92"/>
        <v/>
      </c>
      <c r="AW546" s="399"/>
      <c r="AX546" s="409" t="s">
        <v>3104</v>
      </c>
      <c r="AY546" s="399" t="str">
        <f t="shared" si="93"/>
        <v/>
      </c>
      <c r="AZ546" s="409" t="s">
        <v>3105</v>
      </c>
      <c r="BA546" s="409" t="s">
        <v>3125</v>
      </c>
      <c r="BB546" s="399"/>
      <c r="BC546" s="399" t="s">
        <v>1787</v>
      </c>
      <c r="BD546" s="409" t="s">
        <v>3162</v>
      </c>
      <c r="BE546" s="411"/>
      <c r="BF546" s="411" t="s">
        <v>1787</v>
      </c>
      <c r="BG546" s="411"/>
      <c r="BH546" s="434"/>
      <c r="BI546" s="411"/>
      <c r="BJ546" s="409" t="s">
        <v>3106</v>
      </c>
      <c r="BK546" s="399" t="s">
        <v>1787</v>
      </c>
      <c r="BL546" s="399"/>
      <c r="BM546" s="399" t="s">
        <v>1787</v>
      </c>
      <c r="BN546" s="399" t="s">
        <v>1787</v>
      </c>
      <c r="BO546" s="399" t="s">
        <v>1787</v>
      </c>
      <c r="BP546" s="399" t="s">
        <v>1787</v>
      </c>
      <c r="BQ546" s="399" t="s">
        <v>1787</v>
      </c>
      <c r="BR546" s="399" t="s">
        <v>1787</v>
      </c>
      <c r="BS546" s="407"/>
      <c r="BT546" s="407"/>
      <c r="BU546" s="412"/>
      <c r="BV546" s="46" t="str">
        <f t="shared" si="8"/>
        <v>AllergyIntolerance</v>
      </c>
      <c r="BW546" s="46" t="str">
        <f t="shared" si="9"/>
        <v/>
      </c>
      <c r="BX546" s="46" t="str">
        <f t="shared" si="10"/>
        <v>AllergyIntolerance</v>
      </c>
      <c r="BY546" s="43" t="str">
        <f t="shared" si="11"/>
        <v>WHO-Core AllergyIntolerance (Drug Allergies)</v>
      </c>
      <c r="BZ546" s="46">
        <f t="shared" si="12"/>
        <v>1</v>
      </c>
      <c r="CA546" s="46">
        <f t="shared" si="13"/>
        <v>1</v>
      </c>
      <c r="CB546" s="46">
        <f t="shared" si="14"/>
        <v>1</v>
      </c>
      <c r="CC546" s="46">
        <f t="shared" si="15"/>
        <v>1</v>
      </c>
      <c r="CD546" s="46">
        <f t="shared" si="16"/>
        <v>1</v>
      </c>
      <c r="CE546" s="46">
        <f t="shared" si="17"/>
        <v>0</v>
      </c>
      <c r="CF546" s="46">
        <f t="shared" si="18"/>
        <v>0</v>
      </c>
      <c r="CG546" s="46" t="str">
        <f ca="1">IFERROR(__xludf.DUMMYFUNCTION("if(OR(BH546="""",LEFT(BH546,2)=""LA""),"""",IMPORTXML(CONCATENATE(""https://loinc.org/"",BH546,""/""),""//span[@id='lcn']""))"),"")</f>
        <v/>
      </c>
      <c r="CH546" s="46"/>
      <c r="CI546" s="46"/>
      <c r="CJ546" s="46"/>
      <c r="CK546" s="46"/>
      <c r="CL546" s="46"/>
      <c r="CM546" s="46"/>
      <c r="CN546" s="46"/>
      <c r="CO546" s="46"/>
      <c r="CP546" s="46"/>
      <c r="CQ546" s="46"/>
      <c r="CR546" s="46"/>
      <c r="CS546" s="46"/>
      <c r="CT546" s="46"/>
      <c r="CU546" s="46"/>
    </row>
    <row r="547" spans="1:99" ht="12.75" customHeight="1">
      <c r="A547" s="409">
        <v>1938</v>
      </c>
      <c r="B547" s="399" t="s">
        <v>553</v>
      </c>
      <c r="C547" s="399">
        <f t="shared" si="77"/>
        <v>1938</v>
      </c>
      <c r="D547" s="399" t="e">
        <f t="shared" ca="1" si="89"/>
        <v>#NAME?</v>
      </c>
      <c r="E547" s="399">
        <f t="shared" si="90"/>
        <v>0</v>
      </c>
      <c r="F547" s="399" t="s">
        <v>180</v>
      </c>
      <c r="G547" s="400">
        <f t="shared" si="80"/>
        <v>11</v>
      </c>
      <c r="H547" s="399" t="str">
        <f t="shared" ref="H547:H562" si="100">IF(F547="Input Option",IF(H546="",B546,H546),"")</f>
        <v>Drug allergies</v>
      </c>
      <c r="I547" s="400"/>
      <c r="J547" s="400"/>
      <c r="K547" s="401" t="s">
        <v>5283</v>
      </c>
      <c r="L547" s="402" t="s">
        <v>961</v>
      </c>
      <c r="M547" s="400"/>
      <c r="N547" s="639" t="s">
        <v>4853</v>
      </c>
      <c r="O547" s="431" t="s">
        <v>6235</v>
      </c>
      <c r="P547" s="431"/>
      <c r="Q547" s="404"/>
      <c r="R547" s="404"/>
      <c r="S547" s="404"/>
      <c r="T547" s="404" t="s">
        <v>423</v>
      </c>
      <c r="U547" s="404"/>
      <c r="V547" s="404"/>
      <c r="W547" s="407"/>
      <c r="X547" s="404"/>
      <c r="Y547" s="404"/>
      <c r="Z547" s="407" t="s">
        <v>113</v>
      </c>
      <c r="AA547" s="404"/>
      <c r="AB547" s="406"/>
      <c r="AC547" s="404"/>
      <c r="AD547" s="404"/>
      <c r="AE547" s="406"/>
      <c r="AF547" s="404"/>
      <c r="AG547" s="404"/>
      <c r="AH547" s="399"/>
      <c r="AI547" s="400"/>
      <c r="AJ547" s="399" t="s">
        <v>1787</v>
      </c>
      <c r="AK547" s="399"/>
      <c r="AL547" s="403"/>
      <c r="AM547" s="403"/>
      <c r="AN547" s="403"/>
      <c r="AO547" s="652"/>
      <c r="AP547" s="399"/>
      <c r="AQ547" s="409" t="s">
        <v>3424</v>
      </c>
      <c r="AR547" s="399"/>
      <c r="AS547" s="399"/>
      <c r="AT547" s="399"/>
      <c r="AU547" s="399"/>
      <c r="AV547" s="399" t="str">
        <f t="shared" si="92"/>
        <v/>
      </c>
      <c r="AW547" s="399"/>
      <c r="AX547" s="409" t="s">
        <v>3104</v>
      </c>
      <c r="AY547" s="399" t="e">
        <f t="shared" ca="1" si="93"/>
        <v>#NAME?</v>
      </c>
      <c r="AZ547" s="409" t="s">
        <v>3105</v>
      </c>
      <c r="BA547" s="409" t="s">
        <v>3125</v>
      </c>
      <c r="BB547" s="399"/>
      <c r="BC547" s="399" t="s">
        <v>1787</v>
      </c>
      <c r="BD547" s="409" t="s">
        <v>3162</v>
      </c>
      <c r="BE547" s="411"/>
      <c r="BF547" s="411" t="s">
        <v>1787</v>
      </c>
      <c r="BG547" s="411"/>
      <c r="BH547" s="434" t="s">
        <v>6409</v>
      </c>
      <c r="BI547" s="411"/>
      <c r="BJ547" s="399" t="s">
        <v>1787</v>
      </c>
      <c r="BK547" s="399" t="s">
        <v>1787</v>
      </c>
      <c r="BL547" s="399"/>
      <c r="BM547" s="399" t="s">
        <v>1787</v>
      </c>
      <c r="BN547" s="399" t="s">
        <v>1787</v>
      </c>
      <c r="BO547" s="399" t="s">
        <v>1787</v>
      </c>
      <c r="BP547" s="399" t="s">
        <v>1787</v>
      </c>
      <c r="BQ547" s="399" t="s">
        <v>1787</v>
      </c>
      <c r="BR547" s="399" t="s">
        <v>1787</v>
      </c>
      <c r="BS547" s="407"/>
      <c r="BT547" s="407"/>
      <c r="BU547" s="412"/>
      <c r="BV547" s="46" t="str">
        <f t="shared" si="8"/>
        <v/>
      </c>
      <c r="BW547" s="46">
        <f t="shared" si="9"/>
        <v>0</v>
      </c>
      <c r="BX547" s="46">
        <f t="shared" si="10"/>
        <v>0</v>
      </c>
      <c r="BY547" s="43" t="str">
        <f t="shared" si="11"/>
        <v>WHO-Core AllergyIntolerance (Drug Allergies)</v>
      </c>
      <c r="BZ547" s="46">
        <f t="shared" si="12"/>
        <v>1</v>
      </c>
      <c r="CA547" s="46" t="str">
        <f t="shared" si="13"/>
        <v/>
      </c>
      <c r="CB547" s="46">
        <f t="shared" si="14"/>
        <v>1</v>
      </c>
      <c r="CC547" s="46">
        <f t="shared" si="15"/>
        <v>1</v>
      </c>
      <c r="CD547" s="46">
        <f t="shared" si="16"/>
        <v>1</v>
      </c>
      <c r="CE547" s="46">
        <f t="shared" si="17"/>
        <v>0</v>
      </c>
      <c r="CF547" s="46">
        <f t="shared" si="18"/>
        <v>0</v>
      </c>
      <c r="CG547" s="46" t="str">
        <f ca="1">IFERROR(__xludf.DUMMYFUNCTION("if(OR(BH547="""",LEFT(BH547,2)=""LA""),"""",IMPORTXML(CONCATENATE(""https://loinc.org/"",BH547,""/""),""//span[@id='lcn']""))"),"")</f>
        <v/>
      </c>
      <c r="CH547" s="46"/>
      <c r="CI547" s="46"/>
      <c r="CJ547" s="46"/>
      <c r="CK547" s="46"/>
      <c r="CL547" s="46"/>
      <c r="CM547" s="46"/>
      <c r="CN547" s="46"/>
      <c r="CO547" s="46"/>
      <c r="CP547" s="46"/>
      <c r="CQ547" s="46"/>
      <c r="CR547" s="46"/>
      <c r="CS547" s="46"/>
      <c r="CT547" s="46"/>
      <c r="CU547" s="46"/>
    </row>
    <row r="548" spans="1:99" ht="12.75" customHeight="1">
      <c r="A548" s="409">
        <v>1939</v>
      </c>
      <c r="B548" s="399" t="s">
        <v>701</v>
      </c>
      <c r="C548" s="399">
        <f t="shared" si="77"/>
        <v>1939</v>
      </c>
      <c r="D548" s="399" t="e">
        <f t="shared" ca="1" si="89"/>
        <v>#NAME?</v>
      </c>
      <c r="E548" s="399">
        <f t="shared" si="90"/>
        <v>0</v>
      </c>
      <c r="F548" s="399" t="s">
        <v>180</v>
      </c>
      <c r="G548" s="400">
        <f t="shared" si="80"/>
        <v>17</v>
      </c>
      <c r="H548" s="399" t="str">
        <f t="shared" si="100"/>
        <v>Drug allergies</v>
      </c>
      <c r="I548" s="400"/>
      <c r="J548" s="400"/>
      <c r="K548" s="401" t="s">
        <v>5283</v>
      </c>
      <c r="L548" s="402" t="s">
        <v>961</v>
      </c>
      <c r="M548" s="400"/>
      <c r="N548" s="639" t="s">
        <v>4853</v>
      </c>
      <c r="O548" s="431" t="s">
        <v>6236</v>
      </c>
      <c r="P548" s="431"/>
      <c r="Q548" s="404"/>
      <c r="R548" s="404"/>
      <c r="S548" s="404"/>
      <c r="T548" s="404" t="s">
        <v>500</v>
      </c>
      <c r="U548" s="404"/>
      <c r="V548" s="404"/>
      <c r="W548" s="407"/>
      <c r="X548" s="404"/>
      <c r="Y548" s="404"/>
      <c r="Z548" s="407" t="s">
        <v>113</v>
      </c>
      <c r="AA548" s="404"/>
      <c r="AB548" s="406"/>
      <c r="AC548" s="404"/>
      <c r="AD548" s="404"/>
      <c r="AE548" s="406"/>
      <c r="AF548" s="404"/>
      <c r="AG548" s="404"/>
      <c r="AH548" s="399"/>
      <c r="AI548" s="400"/>
      <c r="AJ548" s="399" t="s">
        <v>1787</v>
      </c>
      <c r="AK548" s="399"/>
      <c r="AL548" s="403"/>
      <c r="AM548" s="403"/>
      <c r="AN548" s="403"/>
      <c r="AO548" s="652"/>
      <c r="AP548" s="399"/>
      <c r="AQ548" s="409" t="s">
        <v>3424</v>
      </c>
      <c r="AR548" s="399"/>
      <c r="AS548" s="399"/>
      <c r="AT548" s="399"/>
      <c r="AU548" s="399"/>
      <c r="AV548" s="399" t="str">
        <f t="shared" si="92"/>
        <v/>
      </c>
      <c r="AW548" s="399"/>
      <c r="AX548" s="409" t="s">
        <v>3104</v>
      </c>
      <c r="AY548" s="399" t="e">
        <f t="shared" ca="1" si="93"/>
        <v>#NAME?</v>
      </c>
      <c r="AZ548" s="409" t="s">
        <v>3105</v>
      </c>
      <c r="BA548" s="409" t="s">
        <v>3125</v>
      </c>
      <c r="BB548" s="399"/>
      <c r="BC548" s="399" t="s">
        <v>1787</v>
      </c>
      <c r="BD548" s="409" t="s">
        <v>3162</v>
      </c>
      <c r="BE548" s="411"/>
      <c r="BF548" s="411" t="s">
        <v>1787</v>
      </c>
      <c r="BG548" s="411"/>
      <c r="BH548" s="434" t="s">
        <v>6413</v>
      </c>
      <c r="BI548" s="411"/>
      <c r="BJ548" s="399" t="s">
        <v>1787</v>
      </c>
      <c r="BK548" s="399" t="s">
        <v>1787</v>
      </c>
      <c r="BL548" s="399"/>
      <c r="BM548" s="399" t="s">
        <v>1787</v>
      </c>
      <c r="BN548" s="399" t="s">
        <v>1787</v>
      </c>
      <c r="BO548" s="399" t="s">
        <v>1787</v>
      </c>
      <c r="BP548" s="399" t="s">
        <v>1787</v>
      </c>
      <c r="BQ548" s="399" t="s">
        <v>1787</v>
      </c>
      <c r="BR548" s="399" t="s">
        <v>1787</v>
      </c>
      <c r="BS548" s="407"/>
      <c r="BT548" s="407"/>
      <c r="BU548" s="412"/>
      <c r="BV548" s="46" t="str">
        <f t="shared" si="8"/>
        <v/>
      </c>
      <c r="BW548" s="46">
        <f t="shared" si="9"/>
        <v>0</v>
      </c>
      <c r="BX548" s="46">
        <f t="shared" si="10"/>
        <v>0</v>
      </c>
      <c r="BY548" s="43" t="str">
        <f t="shared" si="11"/>
        <v>WHO-Core AllergyIntolerance (Drug Allergies)</v>
      </c>
      <c r="BZ548" s="46">
        <f t="shared" si="12"/>
        <v>1</v>
      </c>
      <c r="CA548" s="46" t="str">
        <f t="shared" si="13"/>
        <v/>
      </c>
      <c r="CB548" s="46">
        <f t="shared" si="14"/>
        <v>1</v>
      </c>
      <c r="CC548" s="46">
        <f t="shared" si="15"/>
        <v>1</v>
      </c>
      <c r="CD548" s="46">
        <f t="shared" si="16"/>
        <v>1</v>
      </c>
      <c r="CE548" s="46">
        <f t="shared" si="17"/>
        <v>0</v>
      </c>
      <c r="CF548" s="46">
        <f t="shared" si="18"/>
        <v>0</v>
      </c>
      <c r="CG548" s="46" t="str">
        <f ca="1">IFERROR(__xludf.DUMMYFUNCTION("if(OR(BH548="""",LEFT(BH548,2)=""LA""),"""",IMPORTXML(CONCATENATE(""https://loinc.org/"",BH548,""/""),""//span[@id='lcn']""))"),"")</f>
        <v/>
      </c>
      <c r="CH548" s="46"/>
      <c r="CI548" s="46"/>
      <c r="CJ548" s="46"/>
      <c r="CK548" s="46"/>
      <c r="CL548" s="46"/>
      <c r="CM548" s="46"/>
      <c r="CN548" s="46"/>
      <c r="CO548" s="46"/>
      <c r="CP548" s="46"/>
      <c r="CQ548" s="46"/>
      <c r="CR548" s="46"/>
      <c r="CS548" s="46"/>
      <c r="CT548" s="46"/>
      <c r="CU548" s="46"/>
    </row>
    <row r="549" spans="1:99" ht="12.75" customHeight="1">
      <c r="A549" s="409">
        <v>1940</v>
      </c>
      <c r="B549" s="399" t="s">
        <v>1101</v>
      </c>
      <c r="C549" s="399">
        <f t="shared" si="77"/>
        <v>1940</v>
      </c>
      <c r="D549" s="399" t="e">
        <f t="shared" ca="1" si="89"/>
        <v>#NAME?</v>
      </c>
      <c r="E549" s="399">
        <f t="shared" si="90"/>
        <v>0</v>
      </c>
      <c r="F549" s="399" t="s">
        <v>180</v>
      </c>
      <c r="G549" s="400">
        <f t="shared" si="80"/>
        <v>17</v>
      </c>
      <c r="H549" s="399" t="str">
        <f t="shared" si="100"/>
        <v>Drug allergies</v>
      </c>
      <c r="I549" s="400"/>
      <c r="J549" s="400"/>
      <c r="K549" s="401" t="s">
        <v>5283</v>
      </c>
      <c r="L549" s="402" t="s">
        <v>961</v>
      </c>
      <c r="M549" s="400"/>
      <c r="N549" s="639" t="s">
        <v>4853</v>
      </c>
      <c r="O549" s="431" t="s">
        <v>6416</v>
      </c>
      <c r="P549" s="431"/>
      <c r="Q549" s="404"/>
      <c r="R549" s="404"/>
      <c r="S549" s="404"/>
      <c r="T549" s="404" t="s">
        <v>809</v>
      </c>
      <c r="U549" s="404"/>
      <c r="V549" s="404"/>
      <c r="W549" s="407"/>
      <c r="X549" s="404"/>
      <c r="Y549" s="404"/>
      <c r="Z549" s="407" t="s">
        <v>113</v>
      </c>
      <c r="AA549" s="404"/>
      <c r="AB549" s="406"/>
      <c r="AC549" s="404"/>
      <c r="AD549" s="404"/>
      <c r="AE549" s="406"/>
      <c r="AF549" s="404"/>
      <c r="AG549" s="404"/>
      <c r="AH549" s="399"/>
      <c r="AI549" s="400"/>
      <c r="AJ549" s="399" t="s">
        <v>1787</v>
      </c>
      <c r="AK549" s="399"/>
      <c r="AL549" s="403"/>
      <c r="AM549" s="403"/>
      <c r="AN549" s="403"/>
      <c r="AO549" s="652"/>
      <c r="AP549" s="399"/>
      <c r="AQ549" s="409" t="s">
        <v>3424</v>
      </c>
      <c r="AR549" s="399"/>
      <c r="AS549" s="399"/>
      <c r="AT549" s="399"/>
      <c r="AU549" s="399"/>
      <c r="AV549" s="399" t="str">
        <f t="shared" si="92"/>
        <v/>
      </c>
      <c r="AW549" s="399"/>
      <c r="AX549" s="409" t="s">
        <v>3104</v>
      </c>
      <c r="AY549" s="399" t="e">
        <f t="shared" ca="1" si="93"/>
        <v>#NAME?</v>
      </c>
      <c r="AZ549" s="409" t="s">
        <v>3105</v>
      </c>
      <c r="BA549" s="409" t="s">
        <v>3125</v>
      </c>
      <c r="BB549" s="399"/>
      <c r="BC549" s="399" t="s">
        <v>1787</v>
      </c>
      <c r="BD549" s="409" t="s">
        <v>6417</v>
      </c>
      <c r="BE549" s="411"/>
      <c r="BF549" s="411" t="s">
        <v>1787</v>
      </c>
      <c r="BG549" s="411"/>
      <c r="BH549" s="411"/>
      <c r="BI549" s="434" t="s">
        <v>6418</v>
      </c>
      <c r="BJ549" s="399" t="s">
        <v>1787</v>
      </c>
      <c r="BK549" s="399" t="s">
        <v>1787</v>
      </c>
      <c r="BL549" s="399"/>
      <c r="BM549" s="409" t="s">
        <v>6419</v>
      </c>
      <c r="BN549" s="399" t="s">
        <v>1787</v>
      </c>
      <c r="BO549" s="399" t="s">
        <v>1787</v>
      </c>
      <c r="BP549" s="399" t="s">
        <v>1787</v>
      </c>
      <c r="BQ549" s="399" t="s">
        <v>1787</v>
      </c>
      <c r="BR549" s="399" t="s">
        <v>1787</v>
      </c>
      <c r="BS549" s="407"/>
      <c r="BT549" s="407"/>
      <c r="BU549" s="412"/>
      <c r="BV549" s="46" t="str">
        <f t="shared" si="8"/>
        <v/>
      </c>
      <c r="BW549" s="46">
        <f t="shared" si="9"/>
        <v>0</v>
      </c>
      <c r="BX549" s="46">
        <f t="shared" si="10"/>
        <v>0</v>
      </c>
      <c r="BY549" s="43" t="str">
        <f t="shared" si="11"/>
        <v>WHO-Core AllergyIntolerance (Drug Allergies)</v>
      </c>
      <c r="BZ549" s="46">
        <f t="shared" si="12"/>
        <v>1</v>
      </c>
      <c r="CA549" s="46" t="str">
        <f t="shared" si="13"/>
        <v/>
      </c>
      <c r="CB549" s="46">
        <f t="shared" si="14"/>
        <v>1</v>
      </c>
      <c r="CC549" s="46">
        <f t="shared" si="15"/>
        <v>1</v>
      </c>
      <c r="CD549" s="46">
        <f t="shared" si="16"/>
        <v>1</v>
      </c>
      <c r="CE549" s="46">
        <f t="shared" si="17"/>
        <v>0</v>
      </c>
      <c r="CF549" s="46">
        <f t="shared" si="18"/>
        <v>0</v>
      </c>
      <c r="CG549" s="46" t="str">
        <f ca="1">IFERROR(__xludf.DUMMYFUNCTION("if(OR(BH549="""",LEFT(BH549,2)=""LA""),"""",IMPORTXML(CONCATENATE(""https://loinc.org/"",BH549,""/""),""//span[@id='lcn']""))"),"")</f>
        <v/>
      </c>
      <c r="CH549" s="46"/>
      <c r="CI549" s="46"/>
      <c r="CJ549" s="46"/>
      <c r="CK549" s="46"/>
      <c r="CL549" s="46"/>
      <c r="CM549" s="46"/>
      <c r="CN549" s="46"/>
      <c r="CO549" s="46"/>
      <c r="CP549" s="46"/>
      <c r="CQ549" s="46"/>
      <c r="CR549" s="46"/>
      <c r="CS549" s="46"/>
      <c r="CT549" s="46"/>
      <c r="CU549" s="46"/>
    </row>
    <row r="550" spans="1:99" ht="12.75" customHeight="1">
      <c r="A550" s="409">
        <v>1941</v>
      </c>
      <c r="B550" s="399" t="s">
        <v>6424</v>
      </c>
      <c r="C550" s="399">
        <f t="shared" si="77"/>
        <v>1941</v>
      </c>
      <c r="D550" s="399" t="e">
        <f t="shared" ca="1" si="89"/>
        <v>#NAME?</v>
      </c>
      <c r="E550" s="399">
        <f t="shared" si="90"/>
        <v>0</v>
      </c>
      <c r="F550" s="399" t="s">
        <v>180</v>
      </c>
      <c r="G550" s="400">
        <f t="shared" si="80"/>
        <v>42</v>
      </c>
      <c r="H550" s="399" t="str">
        <f t="shared" si="100"/>
        <v>Drug allergies</v>
      </c>
      <c r="I550" s="400"/>
      <c r="J550" s="400"/>
      <c r="K550" s="401" t="s">
        <v>5283</v>
      </c>
      <c r="L550" s="402" t="s">
        <v>961</v>
      </c>
      <c r="M550" s="400"/>
      <c r="N550" s="639" t="s">
        <v>4853</v>
      </c>
      <c r="O550" s="431" t="s">
        <v>6425</v>
      </c>
      <c r="P550" s="431"/>
      <c r="Q550" s="404"/>
      <c r="R550" s="404"/>
      <c r="S550" s="404"/>
      <c r="T550" s="404" t="s">
        <v>6426</v>
      </c>
      <c r="U550" s="404" t="s">
        <v>6427</v>
      </c>
      <c r="V550" s="404"/>
      <c r="W550" s="407"/>
      <c r="X550" s="404"/>
      <c r="Y550" s="404"/>
      <c r="Z550" s="407" t="s">
        <v>113</v>
      </c>
      <c r="AA550" s="404"/>
      <c r="AB550" s="406"/>
      <c r="AC550" s="404"/>
      <c r="AD550" s="404"/>
      <c r="AE550" s="406"/>
      <c r="AF550" s="404"/>
      <c r="AG550" s="404"/>
      <c r="AH550" s="399"/>
      <c r="AI550" s="400"/>
      <c r="AJ550" s="399" t="s">
        <v>1787</v>
      </c>
      <c r="AK550" s="399"/>
      <c r="AL550" s="403"/>
      <c r="AM550" s="403"/>
      <c r="AN550" s="403"/>
      <c r="AO550" s="652"/>
      <c r="AP550" s="399"/>
      <c r="AQ550" s="409" t="s">
        <v>3424</v>
      </c>
      <c r="AR550" s="399"/>
      <c r="AS550" s="399"/>
      <c r="AT550" s="399"/>
      <c r="AU550" s="399"/>
      <c r="AV550" s="399" t="str">
        <f t="shared" si="92"/>
        <v/>
      </c>
      <c r="AW550" s="399"/>
      <c r="AX550" s="409" t="s">
        <v>3104</v>
      </c>
      <c r="AY550" s="399" t="e">
        <f t="shared" ca="1" si="93"/>
        <v>#NAME?</v>
      </c>
      <c r="AZ550" s="409" t="s">
        <v>3105</v>
      </c>
      <c r="BA550" s="409" t="s">
        <v>3125</v>
      </c>
      <c r="BB550" s="399"/>
      <c r="BC550" s="399" t="s">
        <v>1787</v>
      </c>
      <c r="BD550" s="399" t="s">
        <v>1787</v>
      </c>
      <c r="BE550" s="411"/>
      <c r="BF550" s="411" t="s">
        <v>1787</v>
      </c>
      <c r="BG550" s="411"/>
      <c r="BH550" s="411"/>
      <c r="BI550" s="434" t="s">
        <v>6429</v>
      </c>
      <c r="BJ550" s="399" t="s">
        <v>1787</v>
      </c>
      <c r="BK550" s="399" t="s">
        <v>1787</v>
      </c>
      <c r="BL550" s="399"/>
      <c r="BM550" s="409" t="s">
        <v>6430</v>
      </c>
      <c r="BN550" s="399" t="s">
        <v>1787</v>
      </c>
      <c r="BO550" s="399" t="s">
        <v>1787</v>
      </c>
      <c r="BP550" s="399" t="s">
        <v>1787</v>
      </c>
      <c r="BQ550" s="399" t="s">
        <v>1787</v>
      </c>
      <c r="BR550" s="399" t="s">
        <v>1787</v>
      </c>
      <c r="BS550" s="407"/>
      <c r="BT550" s="407"/>
      <c r="BU550" s="412"/>
      <c r="BV550" s="46" t="str">
        <f t="shared" si="8"/>
        <v/>
      </c>
      <c r="BW550" s="46">
        <f t="shared" si="9"/>
        <v>0</v>
      </c>
      <c r="BX550" s="46">
        <f t="shared" si="10"/>
        <v>0</v>
      </c>
      <c r="BY550" s="43" t="str">
        <f t="shared" si="11"/>
        <v>WHO-Core AllergyIntolerance (Drug Allergies)</v>
      </c>
      <c r="BZ550" s="46">
        <f t="shared" si="12"/>
        <v>1</v>
      </c>
      <c r="CA550" s="46" t="str">
        <f t="shared" si="13"/>
        <v/>
      </c>
      <c r="CB550" s="46">
        <f t="shared" si="14"/>
        <v>1</v>
      </c>
      <c r="CC550" s="46">
        <f t="shared" si="15"/>
        <v>1</v>
      </c>
      <c r="CD550" s="46">
        <f t="shared" si="16"/>
        <v>1</v>
      </c>
      <c r="CE550" s="46">
        <f t="shared" si="17"/>
        <v>0</v>
      </c>
      <c r="CF550" s="46">
        <f t="shared" si="18"/>
        <v>0</v>
      </c>
      <c r="CG550" s="46" t="str">
        <f ca="1">IFERROR(__xludf.DUMMYFUNCTION("if(OR(BH550="""",LEFT(BH550,2)=""LA""),"""",IMPORTXML(CONCATENATE(""https://loinc.org/"",BH550,""/""),""//span[@id='lcn']""))"),"")</f>
        <v/>
      </c>
      <c r="CH550" s="46"/>
      <c r="CI550" s="46"/>
      <c r="CJ550" s="46"/>
      <c r="CK550" s="46"/>
      <c r="CL550" s="46"/>
      <c r="CM550" s="46"/>
      <c r="CN550" s="46"/>
      <c r="CO550" s="46"/>
      <c r="CP550" s="46"/>
      <c r="CQ550" s="46"/>
      <c r="CR550" s="46"/>
      <c r="CS550" s="46"/>
      <c r="CT550" s="46"/>
      <c r="CU550" s="46"/>
    </row>
    <row r="551" spans="1:99" ht="12.75" customHeight="1">
      <c r="A551" s="409">
        <v>1942</v>
      </c>
      <c r="B551" s="399" t="s">
        <v>6148</v>
      </c>
      <c r="C551" s="399">
        <f t="shared" si="77"/>
        <v>1942</v>
      </c>
      <c r="D551" s="399" t="e">
        <f t="shared" ca="1" si="89"/>
        <v>#NAME?</v>
      </c>
      <c r="E551" s="399">
        <f t="shared" si="90"/>
        <v>0</v>
      </c>
      <c r="F551" s="399" t="s">
        <v>180</v>
      </c>
      <c r="G551" s="400">
        <f t="shared" si="80"/>
        <v>13</v>
      </c>
      <c r="H551" s="399" t="str">
        <f t="shared" si="100"/>
        <v>Drug allergies</v>
      </c>
      <c r="I551" s="400"/>
      <c r="J551" s="400"/>
      <c r="K551" s="401" t="s">
        <v>5283</v>
      </c>
      <c r="L551" s="402" t="s">
        <v>961</v>
      </c>
      <c r="M551" s="400"/>
      <c r="N551" s="639" t="s">
        <v>4853</v>
      </c>
      <c r="O551" s="431" t="s">
        <v>6258</v>
      </c>
      <c r="P551" s="431"/>
      <c r="Q551" s="404"/>
      <c r="R551" s="404"/>
      <c r="S551" s="404"/>
      <c r="T551" s="404" t="s">
        <v>6437</v>
      </c>
      <c r="U551" s="404" t="s">
        <v>6438</v>
      </c>
      <c r="V551" s="404"/>
      <c r="W551" s="407"/>
      <c r="X551" s="404"/>
      <c r="Y551" s="404"/>
      <c r="Z551" s="407" t="s">
        <v>113</v>
      </c>
      <c r="AA551" s="404"/>
      <c r="AB551" s="406"/>
      <c r="AC551" s="404"/>
      <c r="AD551" s="404"/>
      <c r="AE551" s="406"/>
      <c r="AF551" s="404"/>
      <c r="AG551" s="404"/>
      <c r="AH551" s="399"/>
      <c r="AI551" s="400"/>
      <c r="AJ551" s="399" t="s">
        <v>1787</v>
      </c>
      <c r="AK551" s="399"/>
      <c r="AL551" s="403"/>
      <c r="AM551" s="403"/>
      <c r="AN551" s="403"/>
      <c r="AO551" s="652"/>
      <c r="AP551" s="399"/>
      <c r="AQ551" s="409" t="s">
        <v>3424</v>
      </c>
      <c r="AR551" s="399"/>
      <c r="AS551" s="399"/>
      <c r="AT551" s="399"/>
      <c r="AU551" s="399"/>
      <c r="AV551" s="399" t="str">
        <f t="shared" si="92"/>
        <v/>
      </c>
      <c r="AW551" s="399"/>
      <c r="AX551" s="409" t="s">
        <v>3104</v>
      </c>
      <c r="AY551" s="399" t="e">
        <f t="shared" ca="1" si="93"/>
        <v>#NAME?</v>
      </c>
      <c r="AZ551" s="409" t="s">
        <v>3105</v>
      </c>
      <c r="BA551" s="409" t="s">
        <v>3125</v>
      </c>
      <c r="BB551" s="415" t="s">
        <v>3131</v>
      </c>
      <c r="BC551" s="403" t="s">
        <v>1387</v>
      </c>
      <c r="BD551" s="399" t="s">
        <v>1787</v>
      </c>
      <c r="BE551" s="411"/>
      <c r="BF551" s="411" t="s">
        <v>1787</v>
      </c>
      <c r="BG551" s="411"/>
      <c r="BH551" s="411"/>
      <c r="BI551" s="411"/>
      <c r="BJ551" s="399" t="s">
        <v>1787</v>
      </c>
      <c r="BK551" s="399" t="s">
        <v>1787</v>
      </c>
      <c r="BL551" s="399"/>
      <c r="BM551" s="399" t="s">
        <v>1787</v>
      </c>
      <c r="BN551" s="399" t="s">
        <v>1787</v>
      </c>
      <c r="BO551" s="399" t="s">
        <v>1787</v>
      </c>
      <c r="BP551" s="399" t="s">
        <v>1787</v>
      </c>
      <c r="BQ551" s="399" t="s">
        <v>1787</v>
      </c>
      <c r="BR551" s="399" t="s">
        <v>1787</v>
      </c>
      <c r="BS551" s="407"/>
      <c r="BT551" s="407"/>
      <c r="BU551" s="412"/>
      <c r="BV551" s="46" t="str">
        <f t="shared" si="8"/>
        <v/>
      </c>
      <c r="BW551" s="46">
        <f t="shared" si="9"/>
        <v>0</v>
      </c>
      <c r="BX551" s="46">
        <f t="shared" si="10"/>
        <v>0</v>
      </c>
      <c r="BY551" s="43" t="str">
        <f t="shared" si="11"/>
        <v>WHO-Core AllergyIntolerance (Drug Allergies)</v>
      </c>
      <c r="BZ551" s="46">
        <f t="shared" si="12"/>
        <v>1</v>
      </c>
      <c r="CA551" s="46" t="str">
        <f t="shared" si="13"/>
        <v/>
      </c>
      <c r="CB551" s="46">
        <f t="shared" si="14"/>
        <v>1</v>
      </c>
      <c r="CC551" s="46">
        <f t="shared" si="15"/>
        <v>1</v>
      </c>
      <c r="CD551" s="46">
        <f t="shared" si="16"/>
        <v>1</v>
      </c>
      <c r="CE551" s="46">
        <f t="shared" si="17"/>
        <v>0</v>
      </c>
      <c r="CF551" s="46">
        <f t="shared" si="18"/>
        <v>0</v>
      </c>
      <c r="CG551" s="46" t="str">
        <f ca="1">IFERROR(__xludf.DUMMYFUNCTION("if(OR(BH551="""",LEFT(BH551,2)=""LA""),"""",IMPORTXML(CONCATENATE(""https://loinc.org/"",BH551,""/""),""//span[@id='lcn']""))"),"")</f>
        <v/>
      </c>
      <c r="CH551" s="46"/>
      <c r="CI551" s="46"/>
      <c r="CJ551" s="46"/>
      <c r="CK551" s="46"/>
      <c r="CL551" s="46"/>
      <c r="CM551" s="46"/>
      <c r="CN551" s="46"/>
      <c r="CO551" s="46"/>
      <c r="CP551" s="46"/>
      <c r="CQ551" s="46"/>
      <c r="CR551" s="46"/>
      <c r="CS551" s="46"/>
      <c r="CT551" s="46"/>
      <c r="CU551" s="46"/>
    </row>
    <row r="552" spans="1:99" ht="12.75" customHeight="1">
      <c r="A552" s="409">
        <v>1943</v>
      </c>
      <c r="B552" s="399" t="s">
        <v>6442</v>
      </c>
      <c r="C552" s="399">
        <f t="shared" si="77"/>
        <v>1943</v>
      </c>
      <c r="D552" s="399" t="str">
        <f t="shared" si="89"/>
        <v>Other (specify)</v>
      </c>
      <c r="E552" s="399" t="str">
        <f t="shared" si="90"/>
        <v>Other (specify)</v>
      </c>
      <c r="F552" s="399" t="str">
        <f>IF(AND(ISBLANK(V552)=FALSE,OR(T552="MC",T552="")),"Input Option","Data Element")</f>
        <v>Data Element</v>
      </c>
      <c r="G552" s="400">
        <f t="shared" si="80"/>
        <v>32</v>
      </c>
      <c r="H552" s="400" t="str">
        <f t="shared" si="100"/>
        <v/>
      </c>
      <c r="I552" s="400"/>
      <c r="J552" s="400"/>
      <c r="K552" s="401" t="s">
        <v>5283</v>
      </c>
      <c r="L552" s="402" t="s">
        <v>961</v>
      </c>
      <c r="M552" s="400"/>
      <c r="N552" s="639" t="s">
        <v>4853</v>
      </c>
      <c r="O552" s="437" t="s">
        <v>6260</v>
      </c>
      <c r="P552" s="437"/>
      <c r="Q552" s="407" t="s">
        <v>405</v>
      </c>
      <c r="R552" s="407"/>
      <c r="S552" s="407" t="s">
        <v>1050</v>
      </c>
      <c r="T552" s="407" t="s">
        <v>111</v>
      </c>
      <c r="U552" s="407"/>
      <c r="V552" s="407"/>
      <c r="W552" s="407"/>
      <c r="X552" s="407" t="s">
        <v>208</v>
      </c>
      <c r="Y552" s="407"/>
      <c r="Z552" s="407" t="s">
        <v>113</v>
      </c>
      <c r="AA552" s="407" t="s">
        <v>3178</v>
      </c>
      <c r="AB552" s="432" t="s">
        <v>6443</v>
      </c>
      <c r="AC552" s="421"/>
      <c r="AD552" s="407"/>
      <c r="AE552" s="408"/>
      <c r="AF552" s="407"/>
      <c r="AG552" s="407"/>
      <c r="AH552" s="399"/>
      <c r="AI552" s="400"/>
      <c r="AJ552" s="399" t="s">
        <v>1787</v>
      </c>
      <c r="AK552" s="430" t="s">
        <v>6445</v>
      </c>
      <c r="AL552" s="403"/>
      <c r="AM552" s="403" t="s">
        <v>3100</v>
      </c>
      <c r="AN552" s="403" t="s">
        <v>3101</v>
      </c>
      <c r="AO552" s="652" t="s">
        <v>6402</v>
      </c>
      <c r="AP552" s="409" t="s">
        <v>6404</v>
      </c>
      <c r="AQ552" s="409" t="s">
        <v>3424</v>
      </c>
      <c r="AR552" s="399"/>
      <c r="AS552" s="399"/>
      <c r="AT552" s="399"/>
      <c r="AU552" s="399"/>
      <c r="AV552" s="399" t="str">
        <f t="shared" si="92"/>
        <v/>
      </c>
      <c r="AW552" s="399"/>
      <c r="AX552" s="409" t="s">
        <v>3104</v>
      </c>
      <c r="AY552" s="399" t="str">
        <f t="shared" si="93"/>
        <v>"Other (specify)"-&gt;"Other (specify) - Drug allergies"</v>
      </c>
      <c r="AZ552" s="409" t="s">
        <v>3105</v>
      </c>
      <c r="BA552" s="409">
        <v>1</v>
      </c>
      <c r="BB552" s="399"/>
      <c r="BC552" s="399" t="s">
        <v>1787</v>
      </c>
      <c r="BD552" s="399" t="s">
        <v>1787</v>
      </c>
      <c r="BE552" s="411"/>
      <c r="BF552" s="411" t="s">
        <v>1787</v>
      </c>
      <c r="BG552" s="411"/>
      <c r="BH552" s="411"/>
      <c r="BI552" s="411"/>
      <c r="BJ552" s="409" t="s">
        <v>3106</v>
      </c>
      <c r="BK552" s="399" t="s">
        <v>1787</v>
      </c>
      <c r="BL552" s="399"/>
      <c r="BM552" s="399" t="s">
        <v>1787</v>
      </c>
      <c r="BN552" s="399" t="s">
        <v>1787</v>
      </c>
      <c r="BO552" s="399" t="s">
        <v>1787</v>
      </c>
      <c r="BP552" s="399" t="s">
        <v>1787</v>
      </c>
      <c r="BQ552" s="399" t="s">
        <v>1787</v>
      </c>
      <c r="BR552" s="399" t="s">
        <v>1787</v>
      </c>
      <c r="BS552" s="407"/>
      <c r="BT552" s="407"/>
      <c r="BU552" s="412"/>
      <c r="BV552" s="46" t="str">
        <f t="shared" si="8"/>
        <v>AllergyIntolerance</v>
      </c>
      <c r="BW552" s="46" t="str">
        <f t="shared" si="9"/>
        <v/>
      </c>
      <c r="BX552" s="46" t="str">
        <f t="shared" si="10"/>
        <v>AllergyIntolerance</v>
      </c>
      <c r="BY552" s="43" t="str">
        <f t="shared" si="11"/>
        <v>WHO-Core AllergyIntolerance (Drug Allergies)</v>
      </c>
      <c r="BZ552" s="46">
        <f t="shared" si="12"/>
        <v>1</v>
      </c>
      <c r="CA552" s="46">
        <f t="shared" si="13"/>
        <v>0</v>
      </c>
      <c r="CB552" s="46">
        <f t="shared" si="14"/>
        <v>1</v>
      </c>
      <c r="CC552" s="46">
        <f t="shared" si="15"/>
        <v>1</v>
      </c>
      <c r="CD552" s="46">
        <f t="shared" si="16"/>
        <v>1</v>
      </c>
      <c r="CE552" s="46">
        <f t="shared" si="17"/>
        <v>0</v>
      </c>
      <c r="CF552" s="46">
        <f t="shared" si="18"/>
        <v>0</v>
      </c>
      <c r="CG552" s="46" t="str">
        <f ca="1">IFERROR(__xludf.DUMMYFUNCTION("if(OR(BH552="""",LEFT(BH552,2)=""LA""),"""",IMPORTXML(CONCATENATE(""https://loinc.org/"",BH552,""/""),""//span[@id='lcn']""))"),"")</f>
        <v/>
      </c>
      <c r="CH552" s="46"/>
      <c r="CI552" s="46"/>
      <c r="CJ552" s="46"/>
      <c r="CK552" s="46"/>
      <c r="CL552" s="46"/>
      <c r="CM552" s="46"/>
      <c r="CN552" s="46"/>
      <c r="CO552" s="46"/>
      <c r="CP552" s="46"/>
      <c r="CQ552" s="46"/>
      <c r="CR552" s="46"/>
      <c r="CS552" s="46"/>
      <c r="CT552" s="46"/>
      <c r="CU552" s="46"/>
    </row>
    <row r="553" spans="1:99" ht="12.75" customHeight="1">
      <c r="A553" s="409">
        <v>1944</v>
      </c>
      <c r="B553" s="399" t="s">
        <v>6447</v>
      </c>
      <c r="C553" s="399">
        <f t="shared" si="77"/>
        <v>1944</v>
      </c>
      <c r="D553" s="399">
        <f t="shared" si="89"/>
        <v>0</v>
      </c>
      <c r="E553" s="399">
        <f t="shared" si="90"/>
        <v>0</v>
      </c>
      <c r="F553" s="409" t="s">
        <v>3164</v>
      </c>
      <c r="G553" s="400">
        <f t="shared" si="80"/>
        <v>73</v>
      </c>
      <c r="H553" s="400" t="str">
        <f t="shared" si="100"/>
        <v/>
      </c>
      <c r="I553" s="400"/>
      <c r="J553" s="400"/>
      <c r="K553" s="401" t="s">
        <v>5283</v>
      </c>
      <c r="L553" s="402" t="s">
        <v>887</v>
      </c>
      <c r="M553" s="400"/>
      <c r="N553" s="639" t="s">
        <v>4853</v>
      </c>
      <c r="O553" s="431" t="s">
        <v>4808</v>
      </c>
      <c r="P553" s="431"/>
      <c r="Q553" s="429"/>
      <c r="R553" s="656" t="s">
        <v>6447</v>
      </c>
      <c r="S553" s="448"/>
      <c r="T553" s="648"/>
      <c r="U553" s="648"/>
      <c r="V553" s="404"/>
      <c r="W553" s="407"/>
      <c r="X553" s="643"/>
      <c r="Y553" s="643"/>
      <c r="Z553" s="407" t="s">
        <v>113</v>
      </c>
      <c r="AA553" s="643"/>
      <c r="AB553" s="644"/>
      <c r="AC553" s="643"/>
      <c r="AD553" s="643"/>
      <c r="AE553" s="644"/>
      <c r="AF553" s="643"/>
      <c r="AG553" s="643"/>
      <c r="AH553" s="399"/>
      <c r="AI553" s="400"/>
      <c r="AJ553" s="399" t="s">
        <v>1787</v>
      </c>
      <c r="AK553" s="399"/>
      <c r="AL553" s="399" t="s">
        <v>1787</v>
      </c>
      <c r="AM553" s="403"/>
      <c r="AN553" s="403"/>
      <c r="AO553" s="399" t="s">
        <v>1787</v>
      </c>
      <c r="AP553" s="409"/>
      <c r="AQ553" s="409" t="s">
        <v>115</v>
      </c>
      <c r="AR553" s="399"/>
      <c r="AS553" s="399"/>
      <c r="AT553" s="399"/>
      <c r="AU553" s="399"/>
      <c r="AV553" s="399" t="str">
        <f t="shared" si="92"/>
        <v/>
      </c>
      <c r="AW553" s="399"/>
      <c r="AX553" s="409" t="s">
        <v>3104</v>
      </c>
      <c r="AY553" s="399" t="str">
        <f t="shared" si="93"/>
        <v>"0"-&gt;"Confirmation date for positive HIV test OR HIV test date, HIV test result"</v>
      </c>
      <c r="AZ553" s="399"/>
      <c r="BA553" s="409" t="s">
        <v>3125</v>
      </c>
      <c r="BB553" s="399"/>
      <c r="BC553" s="399" t="s">
        <v>1787</v>
      </c>
      <c r="BD553" s="409"/>
      <c r="BE553" s="411"/>
      <c r="BF553" s="411" t="s">
        <v>1787</v>
      </c>
      <c r="BG553" s="411"/>
      <c r="BH553" s="411"/>
      <c r="BI553" s="411"/>
      <c r="BJ553" s="409" t="s">
        <v>3106</v>
      </c>
      <c r="BK553" s="409" t="s">
        <v>6449</v>
      </c>
      <c r="BL553" s="409" t="s">
        <v>3162</v>
      </c>
      <c r="BM553" s="409" t="s">
        <v>5944</v>
      </c>
      <c r="BN553" s="657" t="s">
        <v>6450</v>
      </c>
      <c r="BO553" s="399" t="s">
        <v>1787</v>
      </c>
      <c r="BP553" s="399" t="s">
        <v>1787</v>
      </c>
      <c r="BQ553" s="399" t="s">
        <v>1787</v>
      </c>
      <c r="BR553" s="399" t="s">
        <v>1787</v>
      </c>
      <c r="BS553" s="407"/>
      <c r="BT553" s="407"/>
      <c r="BU553" s="412"/>
      <c r="BV553" s="46" t="str">
        <f t="shared" si="8"/>
        <v/>
      </c>
      <c r="BW553" s="46" t="str">
        <f t="shared" si="9"/>
        <v/>
      </c>
      <c r="BX553" s="46" t="str">
        <f t="shared" si="10"/>
        <v/>
      </c>
      <c r="BY553" s="43" t="str">
        <f t="shared" si="11"/>
        <v/>
      </c>
      <c r="BZ553" s="46">
        <f t="shared" si="12"/>
        <v>1</v>
      </c>
      <c r="CA553" s="46" t="str">
        <f t="shared" si="13"/>
        <v/>
      </c>
      <c r="CB553" s="46">
        <f t="shared" si="14"/>
        <v>1</v>
      </c>
      <c r="CC553" s="46">
        <f t="shared" si="15"/>
        <v>1</v>
      </c>
      <c r="CD553" s="46">
        <f t="shared" si="16"/>
        <v>1</v>
      </c>
      <c r="CE553" s="46">
        <f t="shared" si="17"/>
        <v>0</v>
      </c>
      <c r="CF553" s="46">
        <f t="shared" si="18"/>
        <v>0</v>
      </c>
      <c r="CG553" s="46" t="str">
        <f ca="1">IFERROR(__xludf.DUMMYFUNCTION("if(OR(BH553="""",LEFT(BH553,2)=""LA""),"""",IMPORTXML(CONCATENATE(""https://loinc.org/"",BH553,""/""),""//span[@id='lcn']""))"),"")</f>
        <v/>
      </c>
      <c r="CH553" s="46"/>
      <c r="CI553" s="46"/>
      <c r="CJ553" s="46"/>
      <c r="CK553" s="46"/>
      <c r="CL553" s="46"/>
      <c r="CM553" s="46"/>
      <c r="CN553" s="46"/>
      <c r="CO553" s="46"/>
      <c r="CP553" s="46"/>
      <c r="CQ553" s="46"/>
      <c r="CR553" s="46"/>
      <c r="CS553" s="46"/>
      <c r="CT553" s="46"/>
      <c r="CU553" s="46"/>
    </row>
    <row r="554" spans="1:99" ht="12.75" customHeight="1">
      <c r="A554" s="409">
        <v>1952</v>
      </c>
      <c r="B554" s="399" t="s">
        <v>6451</v>
      </c>
      <c r="C554" s="399">
        <f t="shared" si="77"/>
        <v>1952</v>
      </c>
      <c r="D554" s="399" t="str">
        <f t="shared" si="89"/>
        <v>Enrollment date into HIV care</v>
      </c>
      <c r="E554" s="399" t="str">
        <f t="shared" si="90"/>
        <v>Enrollment date into HIV care</v>
      </c>
      <c r="F554" s="399" t="str">
        <f t="shared" ref="F554:F557" si="101">IF(AND(ISBLANK(V554)=FALSE,OR(T554="MC",T554="")),"Input Option","Data Element")</f>
        <v>Data Element</v>
      </c>
      <c r="G554" s="400">
        <f t="shared" si="80"/>
        <v>29</v>
      </c>
      <c r="H554" s="400" t="str">
        <f t="shared" si="100"/>
        <v/>
      </c>
      <c r="I554" s="400"/>
      <c r="J554" s="400"/>
      <c r="K554" s="401" t="s">
        <v>5283</v>
      </c>
      <c r="L554" s="402" t="s">
        <v>887</v>
      </c>
      <c r="M554" s="400"/>
      <c r="N554" s="639" t="s">
        <v>4853</v>
      </c>
      <c r="O554" s="431" t="s">
        <v>6454</v>
      </c>
      <c r="P554" s="431"/>
      <c r="Q554" s="429" t="s">
        <v>6451</v>
      </c>
      <c r="R554" s="426"/>
      <c r="S554" s="431"/>
      <c r="T554" s="643"/>
      <c r="U554" s="643"/>
      <c r="V554" s="404"/>
      <c r="W554" s="407"/>
      <c r="X554" s="403" t="s">
        <v>208</v>
      </c>
      <c r="Y554" s="643"/>
      <c r="Z554" s="407" t="s">
        <v>113</v>
      </c>
      <c r="AA554" s="404" t="s">
        <v>3178</v>
      </c>
      <c r="AB554" s="420" t="s">
        <v>5957</v>
      </c>
      <c r="AC554" s="648"/>
      <c r="AD554" s="643"/>
      <c r="AE554" s="644"/>
      <c r="AF554" s="643"/>
      <c r="AG554" s="643"/>
      <c r="AH554" s="399"/>
      <c r="AI554" s="400"/>
      <c r="AJ554" s="399" t="s">
        <v>1787</v>
      </c>
      <c r="AK554" s="409" t="s">
        <v>4471</v>
      </c>
      <c r="AL554" s="409" t="s">
        <v>3158</v>
      </c>
      <c r="AM554" s="409" t="s">
        <v>3100</v>
      </c>
      <c r="AN554" s="409" t="s">
        <v>3101</v>
      </c>
      <c r="AO554" s="399" t="s">
        <v>1787</v>
      </c>
      <c r="AP554" s="409" t="s">
        <v>6456</v>
      </c>
      <c r="AQ554" s="409" t="s">
        <v>3424</v>
      </c>
      <c r="AR554" s="399"/>
      <c r="AS554" s="399"/>
      <c r="AT554" s="399"/>
      <c r="AU554" s="399"/>
      <c r="AV554" s="399" t="str">
        <f t="shared" si="92"/>
        <v/>
      </c>
      <c r="AW554" s="399"/>
      <c r="AX554" s="409" t="s">
        <v>3104</v>
      </c>
      <c r="AY554" s="399" t="str">
        <f t="shared" si="93"/>
        <v/>
      </c>
      <c r="AZ554" s="399"/>
      <c r="BA554" s="409" t="s">
        <v>3125</v>
      </c>
      <c r="BB554" s="399"/>
      <c r="BC554" s="399" t="s">
        <v>1787</v>
      </c>
      <c r="BD554" s="409"/>
      <c r="BE554" s="411"/>
      <c r="BF554" s="411" t="s">
        <v>1787</v>
      </c>
      <c r="BG554" s="411"/>
      <c r="BH554" s="434" t="s">
        <v>6457</v>
      </c>
      <c r="BI554" s="411"/>
      <c r="BJ554" s="399" t="s">
        <v>1787</v>
      </c>
      <c r="BK554" s="399" t="s">
        <v>1787</v>
      </c>
      <c r="BL554" s="409" t="s">
        <v>3162</v>
      </c>
      <c r="BM554" s="399" t="s">
        <v>1787</v>
      </c>
      <c r="BN554" s="399" t="s">
        <v>1787</v>
      </c>
      <c r="BO554" s="399" t="s">
        <v>1787</v>
      </c>
      <c r="BP554" s="399" t="s">
        <v>1787</v>
      </c>
      <c r="BQ554" s="399" t="s">
        <v>1787</v>
      </c>
      <c r="BR554" s="399" t="s">
        <v>1787</v>
      </c>
      <c r="BS554" s="407"/>
      <c r="BT554" s="407"/>
      <c r="BU554" s="412"/>
      <c r="BV554" s="46" t="str">
        <f t="shared" si="8"/>
        <v>Observation</v>
      </c>
      <c r="BW554" s="46" t="str">
        <f t="shared" si="9"/>
        <v/>
      </c>
      <c r="BX554" s="46" t="str">
        <f t="shared" si="10"/>
        <v>Observation</v>
      </c>
      <c r="BY554" s="43" t="str">
        <f t="shared" si="11"/>
        <v>WHO-Core Observation (HIV Care Enrollment)</v>
      </c>
      <c r="BZ554" s="46">
        <f t="shared" si="12"/>
        <v>1</v>
      </c>
      <c r="CA554" s="46">
        <f t="shared" si="13"/>
        <v>0</v>
      </c>
      <c r="CB554" s="46">
        <f t="shared" si="14"/>
        <v>1</v>
      </c>
      <c r="CC554" s="46">
        <f t="shared" si="15"/>
        <v>1</v>
      </c>
      <c r="CD554" s="46">
        <f t="shared" si="16"/>
        <v>1</v>
      </c>
      <c r="CE554" s="46">
        <f t="shared" si="17"/>
        <v>0</v>
      </c>
      <c r="CF554" s="46">
        <f t="shared" si="18"/>
        <v>0</v>
      </c>
      <c r="CG554" s="46" t="str">
        <f ca="1">IFERROR(__xludf.DUMMYFUNCTION("if(OR(BH554="""",LEFT(BH554,2)=""LA""),"""",IMPORTXML(CONCATENATE(""https://loinc.org/"",BH554,""/""),""//span[@id='lcn']""))"),"Date original clinic HIV treatment start")</f>
        <v>Date original clinic HIV treatment start</v>
      </c>
      <c r="CH554" s="46"/>
      <c r="CI554" s="46"/>
      <c r="CJ554" s="46"/>
      <c r="CK554" s="46"/>
      <c r="CL554" s="46"/>
      <c r="CM554" s="46"/>
      <c r="CN554" s="46"/>
      <c r="CO554" s="46"/>
      <c r="CP554" s="46"/>
      <c r="CQ554" s="46"/>
      <c r="CR554" s="46"/>
      <c r="CS554" s="46"/>
      <c r="CT554" s="46"/>
      <c r="CU554" s="46"/>
    </row>
    <row r="555" spans="1:99" ht="12.75" customHeight="1">
      <c r="A555" s="409">
        <v>1953</v>
      </c>
      <c r="B555" s="399" t="s">
        <v>6460</v>
      </c>
      <c r="C555" s="399">
        <f t="shared" si="77"/>
        <v>1953</v>
      </c>
      <c r="D555" s="399" t="str">
        <f t="shared" si="89"/>
        <v>PrEP status</v>
      </c>
      <c r="E555" s="399" t="str">
        <f t="shared" si="90"/>
        <v>PrEP status</v>
      </c>
      <c r="F555" s="399" t="str">
        <f t="shared" si="101"/>
        <v>Data Element</v>
      </c>
      <c r="G555" s="400">
        <f t="shared" si="80"/>
        <v>11</v>
      </c>
      <c r="H555" s="400" t="str">
        <f t="shared" si="100"/>
        <v/>
      </c>
      <c r="I555" s="400"/>
      <c r="J555" s="400"/>
      <c r="K555" s="401" t="s">
        <v>5283</v>
      </c>
      <c r="L555" s="402" t="s">
        <v>887</v>
      </c>
      <c r="M555" s="400"/>
      <c r="N555" s="639" t="s">
        <v>4853</v>
      </c>
      <c r="O555" s="431" t="s">
        <v>6461</v>
      </c>
      <c r="P555" s="431"/>
      <c r="Q555" s="431" t="s">
        <v>6460</v>
      </c>
      <c r="R555" s="404"/>
      <c r="S555" s="431"/>
      <c r="T555" s="643"/>
      <c r="U555" s="643"/>
      <c r="V555" s="404"/>
      <c r="W555" s="407"/>
      <c r="X555" s="403" t="s">
        <v>208</v>
      </c>
      <c r="Y555" s="643"/>
      <c r="Z555" s="407" t="s">
        <v>113</v>
      </c>
      <c r="AA555" s="404" t="s">
        <v>3178</v>
      </c>
      <c r="AB555" s="406"/>
      <c r="AC555" s="643"/>
      <c r="AD555" s="643"/>
      <c r="AE555" s="644"/>
      <c r="AF555" s="643"/>
      <c r="AG555" s="643"/>
      <c r="AH555" s="399"/>
      <c r="AI555" s="400"/>
      <c r="AJ555" s="399" t="s">
        <v>1787</v>
      </c>
      <c r="AK555" s="409" t="s">
        <v>3410</v>
      </c>
      <c r="AL555" s="409" t="s">
        <v>3181</v>
      </c>
      <c r="AM555" s="409" t="s">
        <v>3100</v>
      </c>
      <c r="AN555" s="409" t="s">
        <v>3101</v>
      </c>
      <c r="AO555" s="399" t="s">
        <v>1787</v>
      </c>
      <c r="AP555" s="409" t="s">
        <v>6462</v>
      </c>
      <c r="AQ555" s="409" t="s">
        <v>3424</v>
      </c>
      <c r="AR555" s="399"/>
      <c r="AS555" s="399"/>
      <c r="AT555" s="399"/>
      <c r="AU555" s="399"/>
      <c r="AV555" s="399" t="str">
        <f t="shared" si="92"/>
        <v/>
      </c>
      <c r="AW555" s="399"/>
      <c r="AX555" s="409" t="s">
        <v>3104</v>
      </c>
      <c r="AY555" s="399" t="str">
        <f t="shared" si="93"/>
        <v/>
      </c>
      <c r="AZ555" s="399"/>
      <c r="BA555" s="409" t="s">
        <v>3125</v>
      </c>
      <c r="BB555" s="415" t="s">
        <v>3131</v>
      </c>
      <c r="BC555" s="399" t="s">
        <v>6460</v>
      </c>
      <c r="BD555" s="399" t="s">
        <v>1787</v>
      </c>
      <c r="BE555" s="411"/>
      <c r="BF555" s="411" t="s">
        <v>1787</v>
      </c>
      <c r="BG555" s="411"/>
      <c r="BH555" s="411"/>
      <c r="BI555" s="411"/>
      <c r="BJ555" s="409" t="s">
        <v>4745</v>
      </c>
      <c r="BK555" s="409" t="s">
        <v>6465</v>
      </c>
      <c r="BL555" s="409" t="s">
        <v>3162</v>
      </c>
      <c r="BM555" s="409" t="s">
        <v>6466</v>
      </c>
      <c r="BN555" s="399" t="s">
        <v>1787</v>
      </c>
      <c r="BO555" s="399" t="s">
        <v>1787</v>
      </c>
      <c r="BP555" s="399" t="s">
        <v>1787</v>
      </c>
      <c r="BQ555" s="399" t="s">
        <v>1787</v>
      </c>
      <c r="BR555" s="399" t="s">
        <v>1787</v>
      </c>
      <c r="BS555" s="407"/>
      <c r="BT555" s="407"/>
      <c r="BU555" s="412"/>
      <c r="BV555" s="46" t="str">
        <f t="shared" si="8"/>
        <v>Observation</v>
      </c>
      <c r="BW555" s="46" t="str">
        <f t="shared" si="9"/>
        <v/>
      </c>
      <c r="BX555" s="46" t="str">
        <f t="shared" si="10"/>
        <v>Observation</v>
      </c>
      <c r="BY555" s="43" t="str">
        <f t="shared" si="11"/>
        <v>WHO-Core Observation (PrEP Status)</v>
      </c>
      <c r="BZ555" s="46">
        <f t="shared" si="12"/>
        <v>1</v>
      </c>
      <c r="CA555" s="46">
        <f t="shared" si="13"/>
        <v>0</v>
      </c>
      <c r="CB555" s="46">
        <f t="shared" si="14"/>
        <v>1</v>
      </c>
      <c r="CC555" s="46">
        <f t="shared" si="15"/>
        <v>1</v>
      </c>
      <c r="CD555" s="46">
        <f t="shared" si="16"/>
        <v>1</v>
      </c>
      <c r="CE555" s="46">
        <f t="shared" si="17"/>
        <v>0</v>
      </c>
      <c r="CF555" s="46">
        <f t="shared" si="18"/>
        <v>0</v>
      </c>
      <c r="CG555" s="46" t="str">
        <f ca="1">IFERROR(__xludf.DUMMYFUNCTION("if(OR(BH555="""",LEFT(BH555,2)=""LA""),"""",IMPORTXML(CONCATENATE(""https://loinc.org/"",BH555,""/""),""//span[@id='lcn']""))"),"")</f>
        <v/>
      </c>
      <c r="CH555" s="46"/>
      <c r="CI555" s="46"/>
      <c r="CJ555" s="46"/>
      <c r="CK555" s="46"/>
      <c r="CL555" s="46"/>
      <c r="CM555" s="46"/>
      <c r="CN555" s="46"/>
      <c r="CO555" s="46"/>
      <c r="CP555" s="46"/>
      <c r="CQ555" s="46"/>
      <c r="CR555" s="46"/>
      <c r="CS555" s="46"/>
      <c r="CT555" s="46"/>
      <c r="CU555" s="46"/>
    </row>
    <row r="556" spans="1:99" ht="12.75" customHeight="1">
      <c r="A556" s="409">
        <v>1954</v>
      </c>
      <c r="B556" s="399" t="s">
        <v>6468</v>
      </c>
      <c r="C556" s="399">
        <f t="shared" si="77"/>
        <v>1954</v>
      </c>
      <c r="D556" s="399" t="str">
        <f t="shared" si="89"/>
        <v>Start date for antiretroviral therapy</v>
      </c>
      <c r="E556" s="399" t="str">
        <f t="shared" si="90"/>
        <v>Start date for antiretroviral therapy</v>
      </c>
      <c r="F556" s="399" t="str">
        <f t="shared" si="101"/>
        <v>Data Element</v>
      </c>
      <c r="G556" s="400">
        <f t="shared" si="80"/>
        <v>37</v>
      </c>
      <c r="H556" s="400" t="str">
        <f t="shared" si="100"/>
        <v/>
      </c>
      <c r="I556" s="400"/>
      <c r="J556" s="400"/>
      <c r="K556" s="401" t="s">
        <v>5283</v>
      </c>
      <c r="L556" s="402" t="s">
        <v>887</v>
      </c>
      <c r="M556" s="400"/>
      <c r="N556" s="639" t="s">
        <v>4853</v>
      </c>
      <c r="O556" s="431" t="s">
        <v>6470</v>
      </c>
      <c r="P556" s="431"/>
      <c r="Q556" s="429" t="s">
        <v>6468</v>
      </c>
      <c r="R556" s="426"/>
      <c r="S556" s="431"/>
      <c r="T556" s="643"/>
      <c r="U556" s="643"/>
      <c r="V556" s="404"/>
      <c r="W556" s="407"/>
      <c r="X556" s="403" t="s">
        <v>208</v>
      </c>
      <c r="Y556" s="643"/>
      <c r="Z556" s="407" t="s">
        <v>113</v>
      </c>
      <c r="AA556" s="404" t="s">
        <v>3178</v>
      </c>
      <c r="AB556" s="420" t="s">
        <v>5957</v>
      </c>
      <c r="AC556" s="648"/>
      <c r="AD556" s="643"/>
      <c r="AE556" s="644"/>
      <c r="AF556" s="643"/>
      <c r="AG556" s="643"/>
      <c r="AH556" s="399"/>
      <c r="AI556" s="400"/>
      <c r="AJ556" s="399" t="s">
        <v>1787</v>
      </c>
      <c r="AK556" s="409" t="s">
        <v>3712</v>
      </c>
      <c r="AL556" s="409" t="s">
        <v>3158</v>
      </c>
      <c r="AM556" s="409" t="s">
        <v>3100</v>
      </c>
      <c r="AN556" s="409" t="s">
        <v>3101</v>
      </c>
      <c r="AO556" s="399" t="s">
        <v>1787</v>
      </c>
      <c r="AP556" s="409" t="s">
        <v>6234</v>
      </c>
      <c r="AQ556" s="409" t="s">
        <v>3424</v>
      </c>
      <c r="AR556" s="399"/>
      <c r="AS556" s="399"/>
      <c r="AT556" s="399"/>
      <c r="AU556" s="399"/>
      <c r="AV556" s="399" t="str">
        <f t="shared" si="92"/>
        <v/>
      </c>
      <c r="AW556" s="399"/>
      <c r="AX556" s="409" t="s">
        <v>3104</v>
      </c>
      <c r="AY556" s="399" t="str">
        <f t="shared" si="93"/>
        <v/>
      </c>
      <c r="AZ556" s="409" t="s">
        <v>3105</v>
      </c>
      <c r="BA556" s="409" t="s">
        <v>3125</v>
      </c>
      <c r="BB556" s="399"/>
      <c r="BC556" s="399" t="s">
        <v>1787</v>
      </c>
      <c r="BD556" s="399" t="s">
        <v>1787</v>
      </c>
      <c r="BE556" s="411"/>
      <c r="BF556" s="411" t="s">
        <v>1787</v>
      </c>
      <c r="BG556" s="411"/>
      <c r="BH556" s="411"/>
      <c r="BI556" s="411"/>
      <c r="BJ556" s="409" t="s">
        <v>3106</v>
      </c>
      <c r="BK556" s="399" t="s">
        <v>1787</v>
      </c>
      <c r="BL556" s="399"/>
      <c r="BM556" s="399" t="s">
        <v>1787</v>
      </c>
      <c r="BN556" s="399" t="s">
        <v>1787</v>
      </c>
      <c r="BO556" s="399" t="s">
        <v>1787</v>
      </c>
      <c r="BP556" s="399" t="s">
        <v>1787</v>
      </c>
      <c r="BQ556" s="399" t="s">
        <v>1787</v>
      </c>
      <c r="BR556" s="399" t="s">
        <v>1787</v>
      </c>
      <c r="BS556" s="407"/>
      <c r="BT556" s="407"/>
      <c r="BU556" s="412"/>
      <c r="BV556" s="46" t="str">
        <f t="shared" si="8"/>
        <v>MedicationStatement</v>
      </c>
      <c r="BW556" s="46" t="str">
        <f t="shared" si="9"/>
        <v/>
      </c>
      <c r="BX556" s="46" t="str">
        <f t="shared" si="10"/>
        <v>MedicationStatement</v>
      </c>
      <c r="BY556" s="43" t="str">
        <f t="shared" si="11"/>
        <v>WHO-Core MedicationStatement (Current Medication)</v>
      </c>
      <c r="BZ556" s="46">
        <f t="shared" si="12"/>
        <v>1</v>
      </c>
      <c r="CA556" s="46">
        <f t="shared" si="13"/>
        <v>0</v>
      </c>
      <c r="CB556" s="46">
        <f t="shared" si="14"/>
        <v>1</v>
      </c>
      <c r="CC556" s="46">
        <f t="shared" si="15"/>
        <v>1</v>
      </c>
      <c r="CD556" s="46">
        <f t="shared" si="16"/>
        <v>1</v>
      </c>
      <c r="CE556" s="46">
        <f t="shared" si="17"/>
        <v>0</v>
      </c>
      <c r="CF556" s="46">
        <f t="shared" si="18"/>
        <v>0</v>
      </c>
      <c r="CG556" s="46" t="str">
        <f ca="1">IFERROR(__xludf.DUMMYFUNCTION("if(OR(BH556="""",LEFT(BH556,2)=""LA""),"""",IMPORTXML(CONCATENATE(""https://loinc.org/"",BH556,""/""),""//span[@id='lcn']""))"),"")</f>
        <v/>
      </c>
      <c r="CH556" s="46"/>
      <c r="CI556" s="46"/>
      <c r="CJ556" s="46"/>
      <c r="CK556" s="46"/>
      <c r="CL556" s="46"/>
      <c r="CM556" s="46"/>
      <c r="CN556" s="46"/>
      <c r="CO556" s="46"/>
      <c r="CP556" s="46"/>
      <c r="CQ556" s="46"/>
      <c r="CR556" s="46"/>
      <c r="CS556" s="46"/>
      <c r="CT556" s="46"/>
      <c r="CU556" s="46"/>
    </row>
    <row r="557" spans="1:99" ht="12.75" customHeight="1">
      <c r="A557" s="409">
        <v>1955</v>
      </c>
      <c r="B557" s="399" t="s">
        <v>6473</v>
      </c>
      <c r="C557" s="399">
        <f t="shared" si="77"/>
        <v>1955</v>
      </c>
      <c r="D557" s="399" t="str">
        <f t="shared" si="89"/>
        <v>Antiretroviral regimen (date and dose)</v>
      </c>
      <c r="E557" s="399" t="str">
        <f t="shared" si="90"/>
        <v>Antiretroviral regimen (date and dose)</v>
      </c>
      <c r="F557" s="399" t="str">
        <f t="shared" si="101"/>
        <v>Data Element</v>
      </c>
      <c r="G557" s="400">
        <f t="shared" si="80"/>
        <v>38</v>
      </c>
      <c r="H557" s="400" t="str">
        <f t="shared" si="100"/>
        <v/>
      </c>
      <c r="I557" s="400"/>
      <c r="J557" s="400"/>
      <c r="K557" s="401" t="s">
        <v>5283</v>
      </c>
      <c r="L557" s="402" t="s">
        <v>887</v>
      </c>
      <c r="M557" s="400"/>
      <c r="N557" s="639" t="s">
        <v>4853</v>
      </c>
      <c r="O557" s="431" t="s">
        <v>6474</v>
      </c>
      <c r="P557" s="431"/>
      <c r="Q557" s="429" t="s">
        <v>6473</v>
      </c>
      <c r="R557" s="426"/>
      <c r="S557" s="431"/>
      <c r="T557" s="643"/>
      <c r="U557" s="643"/>
      <c r="V557" s="404"/>
      <c r="W557" s="407"/>
      <c r="X557" s="403" t="s">
        <v>208</v>
      </c>
      <c r="Y557" s="643"/>
      <c r="Z557" s="407" t="s">
        <v>113</v>
      </c>
      <c r="AA557" s="404" t="s">
        <v>3178</v>
      </c>
      <c r="AB557" s="420" t="s">
        <v>5957</v>
      </c>
      <c r="AC557" s="648"/>
      <c r="AD557" s="643"/>
      <c r="AE557" s="644"/>
      <c r="AF557" s="643"/>
      <c r="AG557" s="643"/>
      <c r="AH557" s="399"/>
      <c r="AI557" s="400"/>
      <c r="AJ557" s="399" t="s">
        <v>1787</v>
      </c>
      <c r="AK557" s="409" t="s">
        <v>6475</v>
      </c>
      <c r="AL557" s="409"/>
      <c r="AM557" s="409" t="s">
        <v>3100</v>
      </c>
      <c r="AN557" s="409" t="s">
        <v>3101</v>
      </c>
      <c r="AO557" s="399" t="s">
        <v>1787</v>
      </c>
      <c r="AP557" s="409" t="s">
        <v>6234</v>
      </c>
      <c r="AQ557" s="409" t="s">
        <v>3424</v>
      </c>
      <c r="AR557" s="399"/>
      <c r="AS557" s="399"/>
      <c r="AT557" s="399"/>
      <c r="AU557" s="399"/>
      <c r="AV557" s="399" t="str">
        <f t="shared" si="92"/>
        <v/>
      </c>
      <c r="AW557" s="399"/>
      <c r="AX557" s="409" t="s">
        <v>3104</v>
      </c>
      <c r="AY557" s="399" t="str">
        <f t="shared" si="93"/>
        <v/>
      </c>
      <c r="AZ557" s="399"/>
      <c r="BA557" s="409" t="s">
        <v>3125</v>
      </c>
      <c r="BB557" s="415" t="s">
        <v>3131</v>
      </c>
      <c r="BC557" s="399" t="s">
        <v>6473</v>
      </c>
      <c r="BD557" s="399" t="s">
        <v>1787</v>
      </c>
      <c r="BE557" s="411"/>
      <c r="BF557" s="411" t="s">
        <v>1787</v>
      </c>
      <c r="BG557" s="411"/>
      <c r="BH557" s="411"/>
      <c r="BI557" s="411"/>
      <c r="BJ557" s="409" t="s">
        <v>4745</v>
      </c>
      <c r="BK557" s="399" t="s">
        <v>1787</v>
      </c>
      <c r="BL557" s="409" t="s">
        <v>3162</v>
      </c>
      <c r="BM557" s="409" t="s">
        <v>6477</v>
      </c>
      <c r="BN557" s="399" t="s">
        <v>1787</v>
      </c>
      <c r="BO557" s="399" t="s">
        <v>1787</v>
      </c>
      <c r="BP557" s="399" t="s">
        <v>1787</v>
      </c>
      <c r="BQ557" s="399" t="s">
        <v>1787</v>
      </c>
      <c r="BR557" s="399" t="s">
        <v>1787</v>
      </c>
      <c r="BS557" s="407"/>
      <c r="BT557" s="407"/>
      <c r="BU557" s="412"/>
      <c r="BV557" s="46" t="str">
        <f t="shared" si="8"/>
        <v>MedicationStatement</v>
      </c>
      <c r="BW557" s="46" t="str">
        <f t="shared" si="9"/>
        <v/>
      </c>
      <c r="BX557" s="46" t="str">
        <f t="shared" si="10"/>
        <v>MedicationStatement</v>
      </c>
      <c r="BY557" s="43" t="str">
        <f t="shared" si="11"/>
        <v>WHO-Core MedicationStatement (Current Medication)</v>
      </c>
      <c r="BZ557" s="46">
        <f t="shared" si="12"/>
        <v>1</v>
      </c>
      <c r="CA557" s="46">
        <f t="shared" si="13"/>
        <v>0</v>
      </c>
      <c r="CB557" s="46">
        <f t="shared" si="14"/>
        <v>1</v>
      </c>
      <c r="CC557" s="46">
        <f t="shared" si="15"/>
        <v>1</v>
      </c>
      <c r="CD557" s="46">
        <f t="shared" si="16"/>
        <v>1</v>
      </c>
      <c r="CE557" s="46">
        <f t="shared" si="17"/>
        <v>0</v>
      </c>
      <c r="CF557" s="46">
        <f t="shared" si="18"/>
        <v>0</v>
      </c>
      <c r="CG557" s="46" t="str">
        <f ca="1">IFERROR(__xludf.DUMMYFUNCTION("if(OR(BH557="""",LEFT(BH557,2)=""LA""),"""",IMPORTXML(CONCATENATE(""https://loinc.org/"",BH557,""/""),""//span[@id='lcn']""))"),"")</f>
        <v/>
      </c>
      <c r="CH557" s="46"/>
      <c r="CI557" s="46"/>
      <c r="CJ557" s="46"/>
      <c r="CK557" s="46"/>
      <c r="CL557" s="46"/>
      <c r="CM557" s="46"/>
      <c r="CN557" s="46"/>
      <c r="CO557" s="46"/>
      <c r="CP557" s="46"/>
      <c r="CQ557" s="46"/>
      <c r="CR557" s="46"/>
      <c r="CS557" s="46"/>
      <c r="CT557" s="46"/>
      <c r="CU557" s="46"/>
    </row>
    <row r="558" spans="1:99" ht="12.75" customHeight="1">
      <c r="A558" s="409">
        <v>1956</v>
      </c>
      <c r="B558" s="399" t="s">
        <v>6479</v>
      </c>
      <c r="C558" s="399">
        <f t="shared" si="77"/>
        <v>1956</v>
      </c>
      <c r="D558" s="399" t="str">
        <f t="shared" si="89"/>
        <v>History of contraceptive use</v>
      </c>
      <c r="E558" s="399" t="str">
        <f t="shared" si="90"/>
        <v>History of contraceptive use</v>
      </c>
      <c r="F558" s="409" t="s">
        <v>3164</v>
      </c>
      <c r="G558" s="400">
        <f t="shared" si="80"/>
        <v>28</v>
      </c>
      <c r="H558" s="400" t="str">
        <f t="shared" si="100"/>
        <v/>
      </c>
      <c r="I558" s="400"/>
      <c r="J558" s="400"/>
      <c r="K558" s="401" t="s">
        <v>5283</v>
      </c>
      <c r="L558" s="402" t="s">
        <v>3517</v>
      </c>
      <c r="M558" s="400"/>
      <c r="N558" s="639" t="s">
        <v>4853</v>
      </c>
      <c r="O558" s="431" t="s">
        <v>6481</v>
      </c>
      <c r="P558" s="431"/>
      <c r="Q558" s="429" t="s">
        <v>6479</v>
      </c>
      <c r="R558" s="426"/>
      <c r="S558" s="404"/>
      <c r="T558" s="431"/>
      <c r="U558" s="431"/>
      <c r="V558" s="404"/>
      <c r="W558" s="407"/>
      <c r="X558" s="403" t="s">
        <v>208</v>
      </c>
      <c r="Y558" s="404"/>
      <c r="Z558" s="407" t="s">
        <v>113</v>
      </c>
      <c r="AA558" s="404" t="s">
        <v>1889</v>
      </c>
      <c r="AB558" s="406"/>
      <c r="AC558" s="404"/>
      <c r="AD558" s="404"/>
      <c r="AE558" s="406"/>
      <c r="AF558" s="404"/>
      <c r="AG558" s="404"/>
      <c r="AH558" s="399"/>
      <c r="AI558" s="400"/>
      <c r="AJ558" s="399" t="s">
        <v>1787</v>
      </c>
      <c r="AK558" s="399"/>
      <c r="AL558" s="399" t="s">
        <v>1787</v>
      </c>
      <c r="AM558" s="399"/>
      <c r="AN558" s="399" t="s">
        <v>1787</v>
      </c>
      <c r="AO558" s="399" t="s">
        <v>1787</v>
      </c>
      <c r="AP558" s="399"/>
      <c r="AQ558" s="409" t="s">
        <v>115</v>
      </c>
      <c r="AR558" s="399"/>
      <c r="AS558" s="399"/>
      <c r="AT558" s="399"/>
      <c r="AU558" s="399"/>
      <c r="AV558" s="399" t="str">
        <f t="shared" si="92"/>
        <v/>
      </c>
      <c r="AW558" s="399"/>
      <c r="AX558" s="409" t="s">
        <v>3104</v>
      </c>
      <c r="AY558" s="399" t="str">
        <f t="shared" si="93"/>
        <v/>
      </c>
      <c r="AZ558" s="409" t="s">
        <v>3105</v>
      </c>
      <c r="BA558" s="409" t="s">
        <v>3125</v>
      </c>
      <c r="BB558" s="399"/>
      <c r="BC558" s="399" t="s">
        <v>1787</v>
      </c>
      <c r="BD558" s="409" t="s">
        <v>3162</v>
      </c>
      <c r="BE558" s="411"/>
      <c r="BF558" s="411" t="s">
        <v>1787</v>
      </c>
      <c r="BG558" s="411"/>
      <c r="BH558" s="411"/>
      <c r="BI558" s="411"/>
      <c r="BJ558" s="409" t="s">
        <v>3106</v>
      </c>
      <c r="BK558" s="409"/>
      <c r="BL558" s="409"/>
      <c r="BM558" s="409" t="s">
        <v>6483</v>
      </c>
      <c r="BN558" s="399" t="s">
        <v>1787</v>
      </c>
      <c r="BO558" s="399" t="s">
        <v>1787</v>
      </c>
      <c r="BP558" s="399" t="s">
        <v>1787</v>
      </c>
      <c r="BQ558" s="399" t="s">
        <v>1787</v>
      </c>
      <c r="BR558" s="399" t="s">
        <v>1787</v>
      </c>
      <c r="BS558" s="407"/>
      <c r="BT558" s="407"/>
      <c r="BU558" s="412"/>
      <c r="BV558" s="46" t="str">
        <f t="shared" si="8"/>
        <v/>
      </c>
      <c r="BW558" s="46" t="str">
        <f t="shared" si="9"/>
        <v/>
      </c>
      <c r="BX558" s="46" t="str">
        <f t="shared" si="10"/>
        <v/>
      </c>
      <c r="BY558" s="43" t="str">
        <f t="shared" si="11"/>
        <v/>
      </c>
      <c r="BZ558" s="46">
        <f t="shared" si="12"/>
        <v>1</v>
      </c>
      <c r="CA558" s="46" t="str">
        <f t="shared" si="13"/>
        <v/>
      </c>
      <c r="CB558" s="46">
        <f t="shared" si="14"/>
        <v>1</v>
      </c>
      <c r="CC558" s="46">
        <f t="shared" si="15"/>
        <v>1</v>
      </c>
      <c r="CD558" s="46">
        <f t="shared" si="16"/>
        <v>1</v>
      </c>
      <c r="CE558" s="46">
        <f t="shared" si="17"/>
        <v>0</v>
      </c>
      <c r="CF558" s="46">
        <f t="shared" si="18"/>
        <v>0</v>
      </c>
      <c r="CG558" s="46" t="str">
        <f ca="1">IFERROR(__xludf.DUMMYFUNCTION("if(OR(BH558="""",LEFT(BH558,2)=""LA""),"""",IMPORTXML(CONCATENATE(""https://loinc.org/"",BH558,""/""),""//span[@id='lcn']""))"),"")</f>
        <v/>
      </c>
      <c r="CH558" s="46"/>
      <c r="CI558" s="46"/>
      <c r="CJ558" s="46"/>
      <c r="CK558" s="46"/>
      <c r="CL558" s="46"/>
      <c r="CM558" s="46"/>
      <c r="CN558" s="46"/>
      <c r="CO558" s="46"/>
      <c r="CP558" s="46"/>
      <c r="CQ558" s="46"/>
      <c r="CR558" s="46"/>
      <c r="CS558" s="46"/>
      <c r="CT558" s="46"/>
      <c r="CU558" s="46"/>
    </row>
    <row r="559" spans="1:99" ht="12.75" customHeight="1">
      <c r="A559" s="409">
        <v>1958</v>
      </c>
      <c r="B559" s="409" t="s">
        <v>6486</v>
      </c>
      <c r="C559" s="399">
        <f t="shared" si="77"/>
        <v>1958</v>
      </c>
      <c r="D559" s="399" t="str">
        <f t="shared" si="89"/>
        <v>Contraceptive history</v>
      </c>
      <c r="E559" s="399" t="str">
        <f t="shared" si="90"/>
        <v>Contraceptive history</v>
      </c>
      <c r="F559" s="399" t="str">
        <f t="shared" ref="F559:F562" si="102">IF(AND(ISBLANK(V559)=FALSE,OR(T559="MC",T559="")),"Input Option","Data Element")</f>
        <v>Data Element</v>
      </c>
      <c r="G559" s="400">
        <f t="shared" si="80"/>
        <v>36</v>
      </c>
      <c r="H559" s="400" t="str">
        <f t="shared" si="100"/>
        <v/>
      </c>
      <c r="I559" s="400"/>
      <c r="J559" s="400"/>
      <c r="K559" s="401" t="s">
        <v>5283</v>
      </c>
      <c r="L559" s="402" t="s">
        <v>3517</v>
      </c>
      <c r="M559" s="400"/>
      <c r="N559" s="639" t="s">
        <v>4853</v>
      </c>
      <c r="O559" s="404" t="s">
        <v>6489</v>
      </c>
      <c r="P559" s="404"/>
      <c r="Q559" s="420" t="s">
        <v>6490</v>
      </c>
      <c r="R559" s="404"/>
      <c r="S559" s="404" t="s">
        <v>4885</v>
      </c>
      <c r="T559" s="404" t="s">
        <v>3121</v>
      </c>
      <c r="U559" s="420" t="s">
        <v>3326</v>
      </c>
      <c r="V559" s="404"/>
      <c r="W559" s="407"/>
      <c r="X559" s="404" t="s">
        <v>208</v>
      </c>
      <c r="Y559" s="404"/>
      <c r="Z559" s="404" t="s">
        <v>113</v>
      </c>
      <c r="AA559" s="404" t="s">
        <v>1889</v>
      </c>
      <c r="AB559" s="406"/>
      <c r="AC559" s="404"/>
      <c r="AD559" s="404"/>
      <c r="AE559" s="406"/>
      <c r="AF559" s="404"/>
      <c r="AG559" s="404"/>
      <c r="AH559" s="399"/>
      <c r="AI559" s="400"/>
      <c r="AJ559" s="399" t="s">
        <v>1787</v>
      </c>
      <c r="AK559" s="410" t="s">
        <v>3534</v>
      </c>
      <c r="AL559" s="410"/>
      <c r="AM559" s="410" t="s">
        <v>3100</v>
      </c>
      <c r="AN559" s="410" t="s">
        <v>3101</v>
      </c>
      <c r="AO559" s="399" t="s">
        <v>1787</v>
      </c>
      <c r="AP559" s="440" t="s">
        <v>3837</v>
      </c>
      <c r="AQ559" s="440" t="s">
        <v>3424</v>
      </c>
      <c r="AR559" s="403" t="s">
        <v>3536</v>
      </c>
      <c r="AS559" s="403"/>
      <c r="AT559" s="399"/>
      <c r="AU559" s="399"/>
      <c r="AV559" s="399" t="str">
        <f t="shared" si="92"/>
        <v/>
      </c>
      <c r="AW559" s="399"/>
      <c r="AX559" s="409" t="s">
        <v>3104</v>
      </c>
      <c r="AY559" s="399" t="str">
        <f t="shared" si="93"/>
        <v>"Contraceptive history"-&gt;"Contraceptive history - Device-based"</v>
      </c>
      <c r="AZ559" s="409" t="s">
        <v>3105</v>
      </c>
      <c r="BA559" s="409" t="s">
        <v>3125</v>
      </c>
      <c r="BB559" s="399"/>
      <c r="BC559" s="399" t="s">
        <v>1787</v>
      </c>
      <c r="BD559" s="399" t="s">
        <v>1787</v>
      </c>
      <c r="BE559" s="411"/>
      <c r="BF559" s="411" t="s">
        <v>1787</v>
      </c>
      <c r="BG559" s="411"/>
      <c r="BH559" s="411"/>
      <c r="BI559" s="411"/>
      <c r="BJ559" s="409" t="s">
        <v>3106</v>
      </c>
      <c r="BK559" s="399" t="s">
        <v>1787</v>
      </c>
      <c r="BL559" s="399"/>
      <c r="BM559" s="399" t="s">
        <v>1787</v>
      </c>
      <c r="BN559" s="399" t="s">
        <v>1787</v>
      </c>
      <c r="BO559" s="399" t="s">
        <v>1787</v>
      </c>
      <c r="BP559" s="399" t="s">
        <v>1787</v>
      </c>
      <c r="BQ559" s="399" t="s">
        <v>1787</v>
      </c>
      <c r="BR559" s="399" t="s">
        <v>1787</v>
      </c>
      <c r="BS559" s="407"/>
      <c r="BT559" s="407"/>
      <c r="BU559" s="412"/>
      <c r="BV559" s="46" t="str">
        <f t="shared" si="8"/>
        <v>DeviceUseStatement</v>
      </c>
      <c r="BW559" s="46" t="str">
        <f t="shared" si="9"/>
        <v/>
      </c>
      <c r="BX559" s="46" t="str">
        <f t="shared" si="10"/>
        <v>DeviceUseStatement</v>
      </c>
      <c r="BY559" s="43" t="str">
        <f t="shared" si="11"/>
        <v>WHO-Core DeviceUseStatement (Prior Contraceptive Methods)</v>
      </c>
      <c r="BZ559" s="46">
        <f t="shared" si="12"/>
        <v>1</v>
      </c>
      <c r="CA559" s="46">
        <f t="shared" si="13"/>
        <v>1</v>
      </c>
      <c r="CB559" s="46">
        <f t="shared" si="14"/>
        <v>1</v>
      </c>
      <c r="CC559" s="46">
        <f t="shared" si="15"/>
        <v>1</v>
      </c>
      <c r="CD559" s="46">
        <f t="shared" si="16"/>
        <v>1</v>
      </c>
      <c r="CE559" s="46">
        <f t="shared" si="17"/>
        <v>0</v>
      </c>
      <c r="CF559" s="46">
        <f t="shared" si="18"/>
        <v>0</v>
      </c>
      <c r="CG559" s="46" t="str">
        <f ca="1">IFERROR(__xludf.DUMMYFUNCTION("if(OR(BH559="""",LEFT(BH559,2)=""LA""),"""",IMPORTXML(CONCATENATE(""https://loinc.org/"",BH559,""/""),""//span[@id='lcn']""))"),"")</f>
        <v/>
      </c>
      <c r="CH559" s="46"/>
      <c r="CI559" s="46"/>
      <c r="CJ559" s="46"/>
      <c r="CK559" s="46"/>
      <c r="CL559" s="46"/>
      <c r="CM559" s="46"/>
      <c r="CN559" s="46"/>
      <c r="CO559" s="46"/>
      <c r="CP559" s="46"/>
      <c r="CQ559" s="46"/>
      <c r="CR559" s="46"/>
      <c r="CS559" s="46"/>
      <c r="CT559" s="46"/>
      <c r="CU559" s="46"/>
    </row>
    <row r="560" spans="1:99" ht="12.75" customHeight="1">
      <c r="A560" s="409">
        <v>2360</v>
      </c>
      <c r="B560" s="409" t="s">
        <v>6496</v>
      </c>
      <c r="C560" s="399">
        <f t="shared" si="77"/>
        <v>2360</v>
      </c>
      <c r="D560" s="399" t="str">
        <f t="shared" si="89"/>
        <v>Contraceptive history</v>
      </c>
      <c r="E560" s="399" t="str">
        <f t="shared" si="90"/>
        <v>Contraceptive history</v>
      </c>
      <c r="F560" s="399" t="str">
        <f t="shared" si="102"/>
        <v>Data Element</v>
      </c>
      <c r="G560" s="400">
        <f t="shared" si="80"/>
        <v>40</v>
      </c>
      <c r="H560" s="400" t="str">
        <f t="shared" si="100"/>
        <v/>
      </c>
      <c r="I560" s="400"/>
      <c r="J560" s="400"/>
      <c r="K560" s="401" t="s">
        <v>5283</v>
      </c>
      <c r="L560" s="402" t="s">
        <v>3517</v>
      </c>
      <c r="M560" s="400"/>
      <c r="N560" s="639" t="s">
        <v>4853</v>
      </c>
      <c r="O560" s="404" t="s">
        <v>6489</v>
      </c>
      <c r="P560" s="404"/>
      <c r="Q560" s="420" t="s">
        <v>6490</v>
      </c>
      <c r="R560" s="404"/>
      <c r="S560" s="404" t="s">
        <v>4885</v>
      </c>
      <c r="T560" s="404" t="s">
        <v>3121</v>
      </c>
      <c r="U560" s="420" t="s">
        <v>3326</v>
      </c>
      <c r="V560" s="404"/>
      <c r="W560" s="407"/>
      <c r="X560" s="404" t="s">
        <v>208</v>
      </c>
      <c r="Y560" s="404"/>
      <c r="Z560" s="404" t="s">
        <v>113</v>
      </c>
      <c r="AA560" s="404" t="s">
        <v>1889</v>
      </c>
      <c r="AB560" s="406"/>
      <c r="AC560" s="404"/>
      <c r="AD560" s="404"/>
      <c r="AE560" s="406"/>
      <c r="AF560" s="404"/>
      <c r="AG560" s="404"/>
      <c r="AH560" s="399"/>
      <c r="AI560" s="400"/>
      <c r="AJ560" s="399" t="s">
        <v>1787</v>
      </c>
      <c r="AK560" s="409" t="s">
        <v>3650</v>
      </c>
      <c r="AL560" s="409" t="s">
        <v>3181</v>
      </c>
      <c r="AM560" s="409" t="s">
        <v>3100</v>
      </c>
      <c r="AN560" s="410" t="s">
        <v>3101</v>
      </c>
      <c r="AO560" s="399" t="s">
        <v>1787</v>
      </c>
      <c r="AP560" s="409" t="s">
        <v>3840</v>
      </c>
      <c r="AQ560" s="440" t="s">
        <v>3424</v>
      </c>
      <c r="AR560" s="403" t="s">
        <v>3652</v>
      </c>
      <c r="AS560" s="403"/>
      <c r="AT560" s="399"/>
      <c r="AU560" s="399"/>
      <c r="AV560" s="399" t="str">
        <f t="shared" si="92"/>
        <v/>
      </c>
      <c r="AW560" s="399"/>
      <c r="AX560" s="409" t="s">
        <v>3104</v>
      </c>
      <c r="AY560" s="399" t="str">
        <f t="shared" si="93"/>
        <v>"Contraceptive history"-&gt;"Contraceptive history - Medication-based"</v>
      </c>
      <c r="AZ560" s="409" t="s">
        <v>3105</v>
      </c>
      <c r="BA560" s="409" t="s">
        <v>3125</v>
      </c>
      <c r="BB560" s="399"/>
      <c r="BC560" s="399" t="s">
        <v>1787</v>
      </c>
      <c r="BD560" s="399" t="s">
        <v>1787</v>
      </c>
      <c r="BE560" s="411"/>
      <c r="BF560" s="411" t="s">
        <v>1787</v>
      </c>
      <c r="BG560" s="411"/>
      <c r="BH560" s="411"/>
      <c r="BI560" s="411"/>
      <c r="BJ560" s="409" t="s">
        <v>3106</v>
      </c>
      <c r="BK560" s="399" t="s">
        <v>1787</v>
      </c>
      <c r="BL560" s="399"/>
      <c r="BM560" s="399" t="s">
        <v>1787</v>
      </c>
      <c r="BN560" s="399" t="s">
        <v>1787</v>
      </c>
      <c r="BO560" s="399" t="s">
        <v>1787</v>
      </c>
      <c r="BP560" s="399" t="s">
        <v>1787</v>
      </c>
      <c r="BQ560" s="399" t="s">
        <v>1787</v>
      </c>
      <c r="BR560" s="399" t="s">
        <v>1787</v>
      </c>
      <c r="BS560" s="407"/>
      <c r="BT560" s="407"/>
      <c r="BU560" s="412"/>
      <c r="BV560" s="46" t="str">
        <f t="shared" si="8"/>
        <v>MedicationStatement</v>
      </c>
      <c r="BW560" s="46" t="str">
        <f t="shared" si="9"/>
        <v/>
      </c>
      <c r="BX560" s="46" t="str">
        <f t="shared" si="10"/>
        <v>MedicationStatement</v>
      </c>
      <c r="BY560" s="43" t="str">
        <f t="shared" si="11"/>
        <v>WHO-Core MedicationStatement (Prior Contraceptive Methods)</v>
      </c>
      <c r="BZ560" s="46">
        <f t="shared" si="12"/>
        <v>1</v>
      </c>
      <c r="CA560" s="46">
        <f t="shared" si="13"/>
        <v>1</v>
      </c>
      <c r="CB560" s="46">
        <f t="shared" si="14"/>
        <v>1</v>
      </c>
      <c r="CC560" s="46">
        <f t="shared" si="15"/>
        <v>1</v>
      </c>
      <c r="CD560" s="46">
        <f t="shared" si="16"/>
        <v>1</v>
      </c>
      <c r="CE560" s="46">
        <f t="shared" si="17"/>
        <v>0</v>
      </c>
      <c r="CF560" s="46">
        <f t="shared" si="18"/>
        <v>0</v>
      </c>
      <c r="CG560" s="46" t="str">
        <f ca="1">IFERROR(__xludf.DUMMYFUNCTION("if(OR(BH560="""",LEFT(BH560,2)=""LA""),"""",IMPORTXML(CONCATENATE(""https://loinc.org/"",BH560,""/""),""//span[@id='lcn']""))"),"")</f>
        <v/>
      </c>
      <c r="CH560" s="46"/>
      <c r="CI560" s="46"/>
      <c r="CJ560" s="46"/>
      <c r="CK560" s="46"/>
      <c r="CL560" s="46"/>
      <c r="CM560" s="46"/>
      <c r="CN560" s="46"/>
      <c r="CO560" s="46"/>
      <c r="CP560" s="46"/>
      <c r="CQ560" s="46"/>
      <c r="CR560" s="46"/>
      <c r="CS560" s="46"/>
      <c r="CT560" s="46"/>
      <c r="CU560" s="46"/>
    </row>
    <row r="561" spans="1:99" ht="12.75" customHeight="1">
      <c r="A561" s="409">
        <v>2361</v>
      </c>
      <c r="B561" s="409" t="s">
        <v>6500</v>
      </c>
      <c r="C561" s="399">
        <f t="shared" si="77"/>
        <v>2361</v>
      </c>
      <c r="D561" s="399" t="str">
        <f t="shared" si="89"/>
        <v>Contraceptive history</v>
      </c>
      <c r="E561" s="399" t="str">
        <f t="shared" si="90"/>
        <v>Contraceptive history</v>
      </c>
      <c r="F561" s="399" t="str">
        <f t="shared" si="102"/>
        <v>Data Element</v>
      </c>
      <c r="G561" s="400">
        <f t="shared" si="80"/>
        <v>39</v>
      </c>
      <c r="H561" s="400" t="str">
        <f t="shared" si="100"/>
        <v/>
      </c>
      <c r="I561" s="400"/>
      <c r="J561" s="400"/>
      <c r="K561" s="401" t="s">
        <v>5283</v>
      </c>
      <c r="L561" s="402" t="s">
        <v>3517</v>
      </c>
      <c r="M561" s="400"/>
      <c r="N561" s="639" t="s">
        <v>4853</v>
      </c>
      <c r="O561" s="404" t="s">
        <v>6489</v>
      </c>
      <c r="P561" s="404"/>
      <c r="Q561" s="420" t="s">
        <v>6490</v>
      </c>
      <c r="R561" s="404"/>
      <c r="S561" s="404" t="s">
        <v>4885</v>
      </c>
      <c r="T561" s="404" t="s">
        <v>3121</v>
      </c>
      <c r="U561" s="420" t="s">
        <v>3326</v>
      </c>
      <c r="V561" s="404"/>
      <c r="W561" s="407"/>
      <c r="X561" s="404" t="s">
        <v>208</v>
      </c>
      <c r="Y561" s="404"/>
      <c r="Z561" s="404" t="s">
        <v>113</v>
      </c>
      <c r="AA561" s="404" t="s">
        <v>1889</v>
      </c>
      <c r="AB561" s="406"/>
      <c r="AC561" s="404"/>
      <c r="AD561" s="404"/>
      <c r="AE561" s="406"/>
      <c r="AF561" s="404"/>
      <c r="AG561" s="404"/>
      <c r="AH561" s="399"/>
      <c r="AI561" s="400"/>
      <c r="AJ561" s="399" t="s">
        <v>1787</v>
      </c>
      <c r="AK561" s="410" t="s">
        <v>3715</v>
      </c>
      <c r="AL561" s="410"/>
      <c r="AM561" s="410" t="s">
        <v>3100</v>
      </c>
      <c r="AN561" s="410" t="s">
        <v>3101</v>
      </c>
      <c r="AO561" s="399" t="s">
        <v>1787</v>
      </c>
      <c r="AP561" s="409" t="s">
        <v>3843</v>
      </c>
      <c r="AQ561" s="440" t="s">
        <v>3424</v>
      </c>
      <c r="AR561" s="403" t="s">
        <v>3717</v>
      </c>
      <c r="AS561" s="403"/>
      <c r="AT561" s="399"/>
      <c r="AU561" s="399"/>
      <c r="AV561" s="399" t="str">
        <f t="shared" si="92"/>
        <v/>
      </c>
      <c r="AW561" s="399"/>
      <c r="AX561" s="409" t="s">
        <v>3104</v>
      </c>
      <c r="AY561" s="399" t="str">
        <f t="shared" si="93"/>
        <v>"Contraceptive history"-&gt;"Contraceptive history - Procedure-based"</v>
      </c>
      <c r="AZ561" s="409" t="s">
        <v>3105</v>
      </c>
      <c r="BA561" s="409" t="s">
        <v>3125</v>
      </c>
      <c r="BB561" s="399"/>
      <c r="BC561" s="399" t="s">
        <v>1787</v>
      </c>
      <c r="BD561" s="399" t="s">
        <v>1787</v>
      </c>
      <c r="BE561" s="411"/>
      <c r="BF561" s="411" t="s">
        <v>1787</v>
      </c>
      <c r="BG561" s="411"/>
      <c r="BH561" s="411"/>
      <c r="BI561" s="411"/>
      <c r="BJ561" s="409" t="s">
        <v>3106</v>
      </c>
      <c r="BK561" s="399" t="s">
        <v>1787</v>
      </c>
      <c r="BL561" s="399"/>
      <c r="BM561" s="399" t="s">
        <v>1787</v>
      </c>
      <c r="BN561" s="399" t="s">
        <v>1787</v>
      </c>
      <c r="BO561" s="399" t="s">
        <v>1787</v>
      </c>
      <c r="BP561" s="399" t="s">
        <v>1787</v>
      </c>
      <c r="BQ561" s="399" t="s">
        <v>1787</v>
      </c>
      <c r="BR561" s="399" t="s">
        <v>1787</v>
      </c>
      <c r="BS561" s="407"/>
      <c r="BT561" s="407"/>
      <c r="BU561" s="412"/>
      <c r="BV561" s="46" t="str">
        <f t="shared" si="8"/>
        <v>Procedure</v>
      </c>
      <c r="BW561" s="46" t="str">
        <f t="shared" si="9"/>
        <v/>
      </c>
      <c r="BX561" s="46" t="str">
        <f t="shared" si="10"/>
        <v>Procedure</v>
      </c>
      <c r="BY561" s="43" t="str">
        <f t="shared" si="11"/>
        <v>WHO-Core Procedure (Prior Contraceptive Methods)</v>
      </c>
      <c r="BZ561" s="46">
        <f t="shared" si="12"/>
        <v>1</v>
      </c>
      <c r="CA561" s="46">
        <f t="shared" si="13"/>
        <v>1</v>
      </c>
      <c r="CB561" s="46">
        <f t="shared" si="14"/>
        <v>1</v>
      </c>
      <c r="CC561" s="46">
        <f t="shared" si="15"/>
        <v>1</v>
      </c>
      <c r="CD561" s="46">
        <f t="shared" si="16"/>
        <v>1</v>
      </c>
      <c r="CE561" s="46">
        <f t="shared" si="17"/>
        <v>0</v>
      </c>
      <c r="CF561" s="46">
        <f t="shared" si="18"/>
        <v>0</v>
      </c>
      <c r="CG561" s="46" t="str">
        <f ca="1">IFERROR(__xludf.DUMMYFUNCTION("if(OR(BH561="""",LEFT(BH561,2)=""LA""),"""",IMPORTXML(CONCATENATE(""https://loinc.org/"",BH561,""/""),""//span[@id='lcn']""))"),"")</f>
        <v/>
      </c>
      <c r="CH561" s="46"/>
      <c r="CI561" s="46"/>
      <c r="CJ561" s="46"/>
      <c r="CK561" s="46"/>
      <c r="CL561" s="46"/>
      <c r="CM561" s="46"/>
      <c r="CN561" s="46"/>
      <c r="CO561" s="46"/>
      <c r="CP561" s="46"/>
      <c r="CQ561" s="46"/>
      <c r="CR561" s="46"/>
      <c r="CS561" s="46"/>
      <c r="CT561" s="46"/>
      <c r="CU561" s="46"/>
    </row>
    <row r="562" spans="1:99" ht="12.75" customHeight="1">
      <c r="A562" s="409">
        <v>2362</v>
      </c>
      <c r="B562" s="409" t="s">
        <v>6506</v>
      </c>
      <c r="C562" s="399">
        <f t="shared" si="77"/>
        <v>2362</v>
      </c>
      <c r="D562" s="399" t="str">
        <f t="shared" si="89"/>
        <v>Contraceptive history</v>
      </c>
      <c r="E562" s="399" t="str">
        <f t="shared" si="90"/>
        <v>Contraceptive history</v>
      </c>
      <c r="F562" s="399" t="str">
        <f t="shared" si="102"/>
        <v>Data Element</v>
      </c>
      <c r="G562" s="400">
        <f t="shared" si="80"/>
        <v>38</v>
      </c>
      <c r="H562" s="400" t="str">
        <f t="shared" si="100"/>
        <v/>
      </c>
      <c r="I562" s="400"/>
      <c r="J562" s="400"/>
      <c r="K562" s="401" t="s">
        <v>5283</v>
      </c>
      <c r="L562" s="402" t="s">
        <v>3517</v>
      </c>
      <c r="M562" s="400"/>
      <c r="N562" s="639" t="s">
        <v>4853</v>
      </c>
      <c r="O562" s="404" t="s">
        <v>6489</v>
      </c>
      <c r="P562" s="404"/>
      <c r="Q562" s="420" t="s">
        <v>6490</v>
      </c>
      <c r="R562" s="404"/>
      <c r="S562" s="404" t="s">
        <v>4885</v>
      </c>
      <c r="T562" s="404" t="s">
        <v>3121</v>
      </c>
      <c r="U562" s="420" t="s">
        <v>3326</v>
      </c>
      <c r="V562" s="404"/>
      <c r="W562" s="407"/>
      <c r="X562" s="404" t="s">
        <v>208</v>
      </c>
      <c r="Y562" s="404"/>
      <c r="Z562" s="404" t="s">
        <v>113</v>
      </c>
      <c r="AA562" s="404" t="s">
        <v>1889</v>
      </c>
      <c r="AB562" s="406"/>
      <c r="AC562" s="404"/>
      <c r="AD562" s="404"/>
      <c r="AE562" s="406"/>
      <c r="AF562" s="404"/>
      <c r="AG562" s="404"/>
      <c r="AH562" s="399"/>
      <c r="AI562" s="400"/>
      <c r="AJ562" s="399" t="s">
        <v>1787</v>
      </c>
      <c r="AK562" s="410" t="s">
        <v>3741</v>
      </c>
      <c r="AL562" s="410"/>
      <c r="AM562" s="410" t="s">
        <v>3100</v>
      </c>
      <c r="AN562" s="410" t="s">
        <v>3101</v>
      </c>
      <c r="AO562" s="399" t="s">
        <v>1787</v>
      </c>
      <c r="AP562" s="409" t="s">
        <v>3845</v>
      </c>
      <c r="AQ562" s="409" t="s">
        <v>3424</v>
      </c>
      <c r="AR562" s="403" t="s">
        <v>3743</v>
      </c>
      <c r="AS562" s="403"/>
      <c r="AT562" s="399"/>
      <c r="AU562" s="399"/>
      <c r="AV562" s="399" t="str">
        <f t="shared" si="92"/>
        <v/>
      </c>
      <c r="AW562" s="399"/>
      <c r="AX562" s="409" t="s">
        <v>3104</v>
      </c>
      <c r="AY562" s="399" t="str">
        <f t="shared" si="93"/>
        <v>"Contraceptive history"-&gt;"Contraceptive history - CarePlan-based"</v>
      </c>
      <c r="AZ562" s="409" t="s">
        <v>3105</v>
      </c>
      <c r="BA562" s="409" t="s">
        <v>3125</v>
      </c>
      <c r="BB562" s="399"/>
      <c r="BC562" s="399" t="s">
        <v>1787</v>
      </c>
      <c r="BD562" s="399" t="s">
        <v>1787</v>
      </c>
      <c r="BE562" s="411"/>
      <c r="BF562" s="411" t="s">
        <v>1787</v>
      </c>
      <c r="BG562" s="411"/>
      <c r="BH562" s="411"/>
      <c r="BI562" s="411"/>
      <c r="BJ562" s="409" t="s">
        <v>3106</v>
      </c>
      <c r="BK562" s="399" t="s">
        <v>1787</v>
      </c>
      <c r="BL562" s="399"/>
      <c r="BM562" s="399" t="s">
        <v>1787</v>
      </c>
      <c r="BN562" s="399" t="s">
        <v>1787</v>
      </c>
      <c r="BO562" s="399" t="s">
        <v>1787</v>
      </c>
      <c r="BP562" s="399" t="s">
        <v>1787</v>
      </c>
      <c r="BQ562" s="399" t="s">
        <v>1787</v>
      </c>
      <c r="BR562" s="399" t="s">
        <v>1787</v>
      </c>
      <c r="BS562" s="407"/>
      <c r="BT562" s="407"/>
      <c r="BU562" s="412"/>
      <c r="BV562" s="46" t="str">
        <f t="shared" si="8"/>
        <v>CarePlan</v>
      </c>
      <c r="BW562" s="46" t="str">
        <f t="shared" si="9"/>
        <v/>
      </c>
      <c r="BX562" s="46" t="str">
        <f t="shared" si="10"/>
        <v>CarePlan</v>
      </c>
      <c r="BY562" s="43" t="str">
        <f t="shared" si="11"/>
        <v>WHO-Core CarePlan (Prior Contraceptive Methods)</v>
      </c>
      <c r="BZ562" s="46">
        <f t="shared" si="12"/>
        <v>1</v>
      </c>
      <c r="CA562" s="46">
        <f t="shared" si="13"/>
        <v>1</v>
      </c>
      <c r="CB562" s="46">
        <f t="shared" si="14"/>
        <v>1</v>
      </c>
      <c r="CC562" s="46">
        <f t="shared" si="15"/>
        <v>1</v>
      </c>
      <c r="CD562" s="46">
        <f t="shared" si="16"/>
        <v>1</v>
      </c>
      <c r="CE562" s="46">
        <f t="shared" si="17"/>
        <v>0</v>
      </c>
      <c r="CF562" s="46">
        <f t="shared" si="18"/>
        <v>0</v>
      </c>
      <c r="CG562" s="46" t="str">
        <f ca="1">IFERROR(__xludf.DUMMYFUNCTION("if(OR(BH562="""",LEFT(BH562,2)=""LA""),"""",IMPORTXML(CONCATENATE(""https://loinc.org/"",BH562,""/""),""//span[@id='lcn']""))"),"")</f>
        <v/>
      </c>
      <c r="CH562" s="46"/>
      <c r="CI562" s="46"/>
      <c r="CJ562" s="46"/>
      <c r="CK562" s="46"/>
      <c r="CL562" s="46"/>
      <c r="CM562" s="46"/>
      <c r="CN562" s="46"/>
      <c r="CO562" s="46"/>
      <c r="CP562" s="46"/>
      <c r="CQ562" s="46"/>
      <c r="CR562" s="46"/>
      <c r="CS562" s="46"/>
      <c r="CT562" s="46"/>
      <c r="CU562" s="46"/>
    </row>
    <row r="563" spans="1:99" ht="12.75" customHeight="1">
      <c r="A563" s="413">
        <v>2374</v>
      </c>
      <c r="B563" s="409" t="s">
        <v>6511</v>
      </c>
      <c r="C563" s="399"/>
      <c r="D563" s="399"/>
      <c r="E563" s="399"/>
      <c r="F563" s="409" t="s">
        <v>96</v>
      </c>
      <c r="G563" s="400"/>
      <c r="H563" s="400"/>
      <c r="I563" s="400"/>
      <c r="J563" s="400"/>
      <c r="K563" s="401"/>
      <c r="L563" s="402"/>
      <c r="M563" s="400"/>
      <c r="N563" s="639"/>
      <c r="O563" s="404"/>
      <c r="P563" s="404"/>
      <c r="Q563" s="429"/>
      <c r="R563" s="404"/>
      <c r="S563" s="404"/>
      <c r="T563" s="404"/>
      <c r="U563" s="404"/>
      <c r="V563" s="431"/>
      <c r="W563" s="407"/>
      <c r="X563" s="431"/>
      <c r="Y563" s="404"/>
      <c r="Z563" s="404"/>
      <c r="AA563" s="404"/>
      <c r="AB563" s="406"/>
      <c r="AC563" s="404"/>
      <c r="AD563" s="404"/>
      <c r="AE563" s="406"/>
      <c r="AF563" s="404"/>
      <c r="AG563" s="406"/>
      <c r="AH563" s="399"/>
      <c r="AI563" s="400"/>
      <c r="AJ563" s="399"/>
      <c r="AK563" s="440" t="s">
        <v>3741</v>
      </c>
      <c r="AL563" s="399"/>
      <c r="AM563" s="399" t="s">
        <v>3100</v>
      </c>
      <c r="AN563" s="399" t="s">
        <v>3101</v>
      </c>
      <c r="AO563" s="399" t="s">
        <v>1787</v>
      </c>
      <c r="AP563" s="409" t="s">
        <v>6515</v>
      </c>
      <c r="AQ563" s="409" t="s">
        <v>3130</v>
      </c>
      <c r="AR563" s="399"/>
      <c r="AS563" s="399"/>
      <c r="AT563" s="399"/>
      <c r="AU563" s="399"/>
      <c r="AV563" s="399"/>
      <c r="AW563" s="399"/>
      <c r="AX563" s="409" t="s">
        <v>5194</v>
      </c>
      <c r="AY563" s="399"/>
      <c r="AZ563" s="399"/>
      <c r="BA563" s="409" t="s">
        <v>3125</v>
      </c>
      <c r="BB563" s="399"/>
      <c r="BC563" s="399"/>
      <c r="BD563" s="409"/>
      <c r="BE563" s="411"/>
      <c r="BF563" s="411"/>
      <c r="BG563" s="411"/>
      <c r="BH563" s="411"/>
      <c r="BI563" s="411"/>
      <c r="BJ563" s="399"/>
      <c r="BK563" s="399"/>
      <c r="BL563" s="399"/>
      <c r="BM563" s="399"/>
      <c r="BN563" s="399"/>
      <c r="BO563" s="399"/>
      <c r="BP563" s="399"/>
      <c r="BQ563" s="399"/>
      <c r="BR563" s="399"/>
      <c r="BS563" s="407"/>
      <c r="BT563" s="407"/>
      <c r="BU563" s="412"/>
      <c r="BV563" s="46" t="str">
        <f t="shared" si="8"/>
        <v>CarePlan</v>
      </c>
      <c r="BW563" s="46" t="str">
        <f t="shared" si="9"/>
        <v/>
      </c>
      <c r="BX563" s="46" t="str">
        <f t="shared" si="10"/>
        <v>CarePlan</v>
      </c>
      <c r="BY563" s="43" t="str">
        <f t="shared" si="11"/>
        <v>WHO-STI CarePlan (Recommendation)</v>
      </c>
      <c r="BZ563" s="46">
        <f t="shared" si="12"/>
        <v>1</v>
      </c>
      <c r="CA563" s="46">
        <f t="shared" si="13"/>
        <v>1</v>
      </c>
      <c r="CB563" s="46">
        <f t="shared" si="14"/>
        <v>0</v>
      </c>
      <c r="CC563" s="46">
        <f t="shared" si="15"/>
        <v>1</v>
      </c>
      <c r="CD563" s="46">
        <f t="shared" si="16"/>
        <v>0</v>
      </c>
      <c r="CE563" s="46">
        <f t="shared" si="17"/>
        <v>1</v>
      </c>
      <c r="CF563" s="46">
        <f t="shared" si="18"/>
        <v>0</v>
      </c>
      <c r="CG563" s="46"/>
      <c r="CH563" s="46"/>
      <c r="CI563" s="46"/>
      <c r="CJ563" s="46"/>
      <c r="CK563" s="46"/>
      <c r="CL563" s="46"/>
      <c r="CM563" s="46"/>
      <c r="CN563" s="46"/>
      <c r="CO563" s="46"/>
      <c r="CP563" s="46"/>
      <c r="CQ563" s="46"/>
      <c r="CR563" s="46"/>
      <c r="CS563" s="46"/>
      <c r="CT563" s="46"/>
      <c r="CU563" s="46"/>
    </row>
    <row r="564" spans="1:99" ht="12.75" customHeight="1">
      <c r="A564" s="409">
        <v>1987</v>
      </c>
      <c r="B564" s="409" t="s">
        <v>6519</v>
      </c>
      <c r="C564" s="399">
        <f t="shared" ref="C564:C684" si="103">A564</f>
        <v>1987</v>
      </c>
      <c r="D564" s="399" t="e">
        <f t="shared" ref="D564:D684" ca="1" si="104">IF(F564="Input Option",CONCAT("       ",E564),E564)</f>
        <v>#NAME?</v>
      </c>
      <c r="E564" s="399" t="str">
        <f t="shared" ref="E564:E684" si="105">IF(Q564="",IF(V564="",Q564,V564),Q564)</f>
        <v>Perform pregnancy test</v>
      </c>
      <c r="F564" s="409" t="s">
        <v>180</v>
      </c>
      <c r="G564" s="400">
        <f t="shared" ref="G564:G684" si="106">LEN(B564)</f>
        <v>29</v>
      </c>
      <c r="H564" s="401" t="s">
        <v>6511</v>
      </c>
      <c r="I564" s="400"/>
      <c r="J564" s="400"/>
      <c r="K564" s="401" t="s">
        <v>5283</v>
      </c>
      <c r="L564" s="402" t="s">
        <v>3489</v>
      </c>
      <c r="M564" s="400"/>
      <c r="N564" s="639" t="s">
        <v>4853</v>
      </c>
      <c r="O564" s="404" t="s">
        <v>6522</v>
      </c>
      <c r="P564" s="404"/>
      <c r="Q564" s="429" t="s">
        <v>5156</v>
      </c>
      <c r="R564" s="404"/>
      <c r="S564" s="404" t="s">
        <v>5158</v>
      </c>
      <c r="T564" s="404" t="s">
        <v>3169</v>
      </c>
      <c r="U564" s="404"/>
      <c r="V564" s="431" t="s">
        <v>3170</v>
      </c>
      <c r="W564" s="407"/>
      <c r="X564" s="431" t="s">
        <v>208</v>
      </c>
      <c r="Y564" s="404"/>
      <c r="Z564" s="404" t="s">
        <v>208</v>
      </c>
      <c r="AA564" s="404" t="s">
        <v>3178</v>
      </c>
      <c r="AB564" s="420" t="s">
        <v>4066</v>
      </c>
      <c r="AC564" s="426"/>
      <c r="AD564" s="426"/>
      <c r="AE564" s="420"/>
      <c r="AF564" s="404"/>
      <c r="AG564" s="420" t="s">
        <v>4067</v>
      </c>
      <c r="AH564" s="399"/>
      <c r="AI564" s="400"/>
      <c r="AJ564" s="399" t="s">
        <v>1787</v>
      </c>
      <c r="AK564" s="440"/>
      <c r="AL564" s="399"/>
      <c r="AM564" s="399"/>
      <c r="AN564" s="399"/>
      <c r="AO564" s="399"/>
      <c r="AP564" s="409"/>
      <c r="AQ564" s="409" t="s">
        <v>3424</v>
      </c>
      <c r="AR564" s="399"/>
      <c r="AS564" s="399"/>
      <c r="AT564" s="399"/>
      <c r="AU564" s="399"/>
      <c r="AV564" s="399" t="str">
        <f t="shared" ref="AV564:AV684" si="107">IF(AU564="","", IF(AND(B564=AU564),"Same","Changed"))</f>
        <v/>
      </c>
      <c r="AW564" s="399"/>
      <c r="AX564" s="409" t="s">
        <v>5194</v>
      </c>
      <c r="AY564" s="399" t="e">
        <f t="shared" ref="AY564:AY684" ca="1" si="108">IF(B564=D564,"",CONCATENATE(CHAR(34), D564,CHAR(34), "-&gt;", CHAR(34), B564,CHAR(34)))</f>
        <v>#NAME?</v>
      </c>
      <c r="AZ564" s="399"/>
      <c r="BA564" s="409" t="s">
        <v>3125</v>
      </c>
      <c r="BB564" s="399"/>
      <c r="BC564" s="399" t="s">
        <v>1787</v>
      </c>
      <c r="BD564" s="409" t="s">
        <v>6526</v>
      </c>
      <c r="BE564" s="411" t="s">
        <v>6527</v>
      </c>
      <c r="BF564" s="411" t="s">
        <v>1787</v>
      </c>
      <c r="BG564" s="411"/>
      <c r="BH564" s="411"/>
      <c r="BI564" s="411"/>
      <c r="BJ564" s="399" t="s">
        <v>1787</v>
      </c>
      <c r="BK564" s="399" t="s">
        <v>1787</v>
      </c>
      <c r="BL564" s="399"/>
      <c r="BM564" s="399" t="s">
        <v>1787</v>
      </c>
      <c r="BN564" s="399" t="s">
        <v>1787</v>
      </c>
      <c r="BO564" s="399" t="s">
        <v>1787</v>
      </c>
      <c r="BP564" s="399" t="s">
        <v>1787</v>
      </c>
      <c r="BQ564" s="399" t="s">
        <v>1787</v>
      </c>
      <c r="BR564" s="399" t="s">
        <v>1787</v>
      </c>
      <c r="BS564" s="407"/>
      <c r="BT564" s="407"/>
      <c r="BU564" s="412"/>
      <c r="BV564" s="46" t="str">
        <f t="shared" si="8"/>
        <v/>
      </c>
      <c r="BW564" s="46">
        <f t="shared" si="9"/>
        <v>0</v>
      </c>
      <c r="BX564" s="46">
        <f t="shared" si="10"/>
        <v>0</v>
      </c>
      <c r="BY564" s="43" t="str">
        <f t="shared" si="11"/>
        <v>WHO-STI CarePlan (Recommendation)</v>
      </c>
      <c r="BZ564" s="46">
        <f t="shared" si="12"/>
        <v>1</v>
      </c>
      <c r="CA564" s="46" t="str">
        <f t="shared" si="13"/>
        <v/>
      </c>
      <c r="CB564" s="46">
        <f t="shared" si="14"/>
        <v>1</v>
      </c>
      <c r="CC564" s="46">
        <f t="shared" si="15"/>
        <v>1</v>
      </c>
      <c r="CD564" s="46">
        <f t="shared" si="16"/>
        <v>1</v>
      </c>
      <c r="CE564" s="46">
        <f t="shared" si="17"/>
        <v>0</v>
      </c>
      <c r="CF564" s="46">
        <f t="shared" si="18"/>
        <v>0</v>
      </c>
      <c r="CG564" s="46" t="str">
        <f ca="1">IFERROR(__xludf.DUMMYFUNCTION("if(OR(BH564="""",LEFT(BH564,2)=""LA""),"""",IMPORTXML(CONCATENATE(""https://loinc.org/"",BH564,""/""),""//span[@id='lcn']""))"),"")</f>
        <v/>
      </c>
      <c r="CH564" s="46"/>
      <c r="CI564" s="46"/>
      <c r="CJ564" s="46"/>
      <c r="CK564" s="46"/>
      <c r="CL564" s="46"/>
      <c r="CM564" s="46"/>
      <c r="CN564" s="46"/>
      <c r="CO564" s="46"/>
      <c r="CP564" s="46"/>
      <c r="CQ564" s="46"/>
      <c r="CR564" s="46"/>
      <c r="CS564" s="46"/>
      <c r="CT564" s="46"/>
      <c r="CU564" s="46"/>
    </row>
    <row r="565" spans="1:99" ht="12.75" customHeight="1">
      <c r="A565" s="463">
        <v>1275</v>
      </c>
      <c r="B565" s="463" t="s">
        <v>4816</v>
      </c>
      <c r="C565" s="399">
        <f t="shared" si="103"/>
        <v>1275</v>
      </c>
      <c r="D565" s="399" t="str">
        <f t="shared" si="104"/>
        <v>Information source for pregnancy status</v>
      </c>
      <c r="E565" s="399" t="str">
        <f t="shared" si="105"/>
        <v>Information source for pregnancy status</v>
      </c>
      <c r="F565" s="399" t="str">
        <f t="shared" ref="F565:F612" si="109">IF(AND(ISBLANK(V565)=FALSE,OR(T565="MC",T565="")),"Input Option","Data Element")</f>
        <v>Data Element</v>
      </c>
      <c r="G565" s="400">
        <f t="shared" si="106"/>
        <v>39</v>
      </c>
      <c r="H565" s="400" t="str">
        <f t="shared" ref="H565:H662" si="110">IF(F565="Input Option",IF(H564="",B564,H564),"")</f>
        <v/>
      </c>
      <c r="I565" s="400"/>
      <c r="J565" s="400"/>
      <c r="K565" s="401" t="s">
        <v>3333</v>
      </c>
      <c r="L565" s="402" t="s">
        <v>3489</v>
      </c>
      <c r="M565" s="400"/>
      <c r="N565" s="427" t="s">
        <v>3477</v>
      </c>
      <c r="O565" s="41" t="s">
        <v>6531</v>
      </c>
      <c r="P565" s="440" t="s">
        <v>4821</v>
      </c>
      <c r="Q565" s="432" t="s">
        <v>4816</v>
      </c>
      <c r="R565" s="403"/>
      <c r="S565" s="403" t="s">
        <v>4822</v>
      </c>
      <c r="T565" s="403" t="s">
        <v>3339</v>
      </c>
      <c r="U565" s="432" t="s">
        <v>3326</v>
      </c>
      <c r="V565" s="403"/>
      <c r="W565" s="407"/>
      <c r="X565" s="407" t="s">
        <v>208</v>
      </c>
      <c r="Y565" s="403"/>
      <c r="Z565" s="403" t="s">
        <v>113</v>
      </c>
      <c r="AA565" s="403" t="s">
        <v>3178</v>
      </c>
      <c r="AB565" s="432" t="s">
        <v>4825</v>
      </c>
      <c r="AC565" s="421"/>
      <c r="AD565" s="403"/>
      <c r="AE565" s="406"/>
      <c r="AF565" s="407"/>
      <c r="AG565" s="407" t="s">
        <v>3851</v>
      </c>
      <c r="AH565" s="399"/>
      <c r="AI565" s="400"/>
      <c r="AJ565" s="399"/>
      <c r="AK565" s="440" t="s">
        <v>3410</v>
      </c>
      <c r="AL565" s="409" t="s">
        <v>3181</v>
      </c>
      <c r="AM565" s="409" t="s">
        <v>3100</v>
      </c>
      <c r="AN565" s="409" t="s">
        <v>3101</v>
      </c>
      <c r="AO565" s="399"/>
      <c r="AP565" s="409"/>
      <c r="AQ565" s="409" t="s">
        <v>115</v>
      </c>
      <c r="AR565" s="409"/>
      <c r="AS565" s="409"/>
      <c r="AT565" s="399"/>
      <c r="AU565" s="399" t="s">
        <v>4816</v>
      </c>
      <c r="AV565" s="399" t="str">
        <f t="shared" si="107"/>
        <v>Same</v>
      </c>
      <c r="AW565" s="399"/>
      <c r="AX565" s="409" t="s">
        <v>3104</v>
      </c>
      <c r="AY565" s="399" t="str">
        <f t="shared" si="108"/>
        <v/>
      </c>
      <c r="AZ565" s="409" t="s">
        <v>3105</v>
      </c>
      <c r="BA565" s="409">
        <v>0</v>
      </c>
      <c r="BB565" s="399"/>
      <c r="BC565" s="399"/>
      <c r="BD565" s="399" t="s">
        <v>3162</v>
      </c>
      <c r="BE565" s="411"/>
      <c r="BF565" s="411"/>
      <c r="BG565" s="411"/>
      <c r="BH565" s="434" t="s">
        <v>6534</v>
      </c>
      <c r="BI565" s="411"/>
      <c r="BJ565" s="399"/>
      <c r="BK565" s="399"/>
      <c r="BL565" s="399"/>
      <c r="BM565" s="410" t="s">
        <v>6536</v>
      </c>
      <c r="BN565" s="399"/>
      <c r="BO565" s="399"/>
      <c r="BP565" s="399"/>
      <c r="BQ565" s="399"/>
      <c r="BR565" s="399"/>
      <c r="BS565" s="407"/>
      <c r="BT565" s="407"/>
      <c r="BU565" s="412"/>
      <c r="BV565" s="46" t="str">
        <f t="shared" si="8"/>
        <v/>
      </c>
      <c r="BW565" s="46" t="str">
        <f t="shared" si="9"/>
        <v/>
      </c>
      <c r="BX565" s="46" t="str">
        <f t="shared" si="10"/>
        <v/>
      </c>
      <c r="BY565" s="43">
        <f t="shared" si="11"/>
        <v>0</v>
      </c>
      <c r="BZ565" s="46">
        <f t="shared" si="12"/>
        <v>1</v>
      </c>
      <c r="CA565" s="46">
        <f t="shared" si="13"/>
        <v>1</v>
      </c>
      <c r="CB565" s="46">
        <f t="shared" si="14"/>
        <v>1</v>
      </c>
      <c r="CC565" s="46">
        <f t="shared" si="15"/>
        <v>1</v>
      </c>
      <c r="CD565" s="46">
        <f t="shared" si="16"/>
        <v>1</v>
      </c>
      <c r="CE565" s="46">
        <f t="shared" si="17"/>
        <v>0</v>
      </c>
      <c r="CF565" s="46">
        <f t="shared" si="18"/>
        <v>0</v>
      </c>
      <c r="CG565" s="46" t="str">
        <f ca="1">IFERROR(__xludf.DUMMYFUNCTION("if(OR(BH565="""",LEFT(BH565,2)=""LA""),"""",IMPORTXML(CONCATENATE(""https://loinc.org/"",BH565,""/""),""//span[@id='lcn']""))"),"Information source for pregnancy status")</f>
        <v>Information source for pregnancy status</v>
      </c>
      <c r="CH565" s="46"/>
      <c r="CI565" s="46"/>
      <c r="CJ565" s="46"/>
      <c r="CK565" s="46"/>
      <c r="CL565" s="46"/>
      <c r="CM565" s="46"/>
      <c r="CN565" s="46"/>
      <c r="CO565" s="46"/>
      <c r="CP565" s="46"/>
      <c r="CQ565" s="46"/>
      <c r="CR565" s="46"/>
      <c r="CS565" s="46"/>
      <c r="CT565" s="46"/>
      <c r="CU565" s="46"/>
    </row>
    <row r="566" spans="1:99" ht="12.75" customHeight="1">
      <c r="A566" s="409">
        <v>1995</v>
      </c>
      <c r="B566" s="399" t="s">
        <v>6538</v>
      </c>
      <c r="C566" s="399">
        <f t="shared" si="103"/>
        <v>1995</v>
      </c>
      <c r="D566" s="399" t="e">
        <f t="shared" ca="1" si="104"/>
        <v>#NAME?</v>
      </c>
      <c r="E566" s="399" t="str">
        <f t="shared" si="105"/>
        <v>Patient reported</v>
      </c>
      <c r="F566" s="399" t="str">
        <f t="shared" si="109"/>
        <v>Input Option</v>
      </c>
      <c r="G566" s="400">
        <f t="shared" si="106"/>
        <v>23</v>
      </c>
      <c r="H566" s="399" t="str">
        <f t="shared" si="110"/>
        <v>Information source for pregnancy status</v>
      </c>
      <c r="I566" s="400"/>
      <c r="J566" s="400"/>
      <c r="K566" s="401" t="s">
        <v>5283</v>
      </c>
      <c r="L566" s="402" t="s">
        <v>3489</v>
      </c>
      <c r="M566" s="400"/>
      <c r="N566" s="639" t="s">
        <v>4853</v>
      </c>
      <c r="O566" s="404" t="s">
        <v>6539</v>
      </c>
      <c r="P566" s="404"/>
      <c r="Q566" s="404"/>
      <c r="R566" s="404"/>
      <c r="S566" s="437"/>
      <c r="T566" s="404"/>
      <c r="U566" s="404"/>
      <c r="V566" s="420" t="s">
        <v>6541</v>
      </c>
      <c r="W566" s="407"/>
      <c r="X566" s="414" t="s">
        <v>208</v>
      </c>
      <c r="Y566" s="404"/>
      <c r="Z566" s="404" t="s">
        <v>113</v>
      </c>
      <c r="AA566" s="404" t="s">
        <v>3178</v>
      </c>
      <c r="AB566" s="425"/>
      <c r="AC566" s="404"/>
      <c r="AD566" s="404"/>
      <c r="AE566" s="406"/>
      <c r="AF566" s="404"/>
      <c r="AG566" s="404"/>
      <c r="AH566" s="399"/>
      <c r="AI566" s="400"/>
      <c r="AJ566" s="399" t="s">
        <v>1787</v>
      </c>
      <c r="AK566" s="399"/>
      <c r="AL566" s="399" t="s">
        <v>1787</v>
      </c>
      <c r="AM566" s="399"/>
      <c r="AN566" s="399" t="s">
        <v>1787</v>
      </c>
      <c r="AO566" s="399" t="s">
        <v>1787</v>
      </c>
      <c r="AP566" s="409"/>
      <c r="AQ566" s="409" t="s">
        <v>115</v>
      </c>
      <c r="AR566" s="409"/>
      <c r="AS566" s="409"/>
      <c r="AT566" s="399"/>
      <c r="AU566" s="399"/>
      <c r="AV566" s="399" t="str">
        <f t="shared" si="107"/>
        <v/>
      </c>
      <c r="AW566" s="399"/>
      <c r="AX566" s="409" t="s">
        <v>5194</v>
      </c>
      <c r="AY566" s="399" t="e">
        <f t="shared" ca="1" si="108"/>
        <v>#NAME?</v>
      </c>
      <c r="AZ566" s="399"/>
      <c r="BA566" s="409">
        <v>0</v>
      </c>
      <c r="BB566" s="399"/>
      <c r="BC566" s="399" t="s">
        <v>1787</v>
      </c>
      <c r="BD566" s="409" t="s">
        <v>6542</v>
      </c>
      <c r="BE566" s="411"/>
      <c r="BF566" s="411" t="s">
        <v>1787</v>
      </c>
      <c r="BG566" s="434" t="s">
        <v>6543</v>
      </c>
      <c r="BH566" s="411"/>
      <c r="BI566" s="411"/>
      <c r="BJ566" s="399" t="s">
        <v>1787</v>
      </c>
      <c r="BK566" s="399" t="s">
        <v>1787</v>
      </c>
      <c r="BL566" s="409" t="s">
        <v>3162</v>
      </c>
      <c r="BM566" s="409" t="s">
        <v>6544</v>
      </c>
      <c r="BN566" s="399" t="s">
        <v>1787</v>
      </c>
      <c r="BO566" s="399" t="s">
        <v>1787</v>
      </c>
      <c r="BP566" s="399" t="s">
        <v>1787</v>
      </c>
      <c r="BQ566" s="399" t="s">
        <v>1787</v>
      </c>
      <c r="BR566" s="399" t="s">
        <v>1787</v>
      </c>
      <c r="BS566" s="407"/>
      <c r="BT566" s="407"/>
      <c r="BU566" s="412"/>
      <c r="BV566" s="46" t="str">
        <f t="shared" si="8"/>
        <v/>
      </c>
      <c r="BW566" s="46">
        <f t="shared" si="9"/>
        <v>0</v>
      </c>
      <c r="BX566" s="46">
        <f t="shared" si="10"/>
        <v>0</v>
      </c>
      <c r="BY566" s="43">
        <f t="shared" si="11"/>
        <v>0</v>
      </c>
      <c r="BZ566" s="46">
        <f t="shared" si="12"/>
        <v>1</v>
      </c>
      <c r="CA566" s="46" t="str">
        <f t="shared" si="13"/>
        <v/>
      </c>
      <c r="CB566" s="46">
        <f t="shared" si="14"/>
        <v>1</v>
      </c>
      <c r="CC566" s="46">
        <f t="shared" si="15"/>
        <v>1</v>
      </c>
      <c r="CD566" s="46">
        <f t="shared" si="16"/>
        <v>1</v>
      </c>
      <c r="CE566" s="46">
        <f t="shared" si="17"/>
        <v>0</v>
      </c>
      <c r="CF566" s="46">
        <f t="shared" si="18"/>
        <v>0</v>
      </c>
      <c r="CG566" s="46" t="str">
        <f ca="1">IFERROR(__xludf.DUMMYFUNCTION("if(OR(BH566="""",LEFT(BH566,2)=""LA""),"""",IMPORTXML(CONCATENATE(""https://loinc.org/"",BH566,""/""),""//span[@id='lcn']""))"),"")</f>
        <v/>
      </c>
      <c r="CH566" s="46"/>
      <c r="CI566" s="46"/>
      <c r="CJ566" s="46"/>
      <c r="CK566" s="46"/>
      <c r="CL566" s="46"/>
      <c r="CM566" s="46"/>
      <c r="CN566" s="46"/>
      <c r="CO566" s="46"/>
      <c r="CP566" s="46"/>
      <c r="CQ566" s="46"/>
      <c r="CR566" s="46"/>
      <c r="CS566" s="46"/>
      <c r="CT566" s="46"/>
      <c r="CU566" s="46"/>
    </row>
    <row r="567" spans="1:99" ht="12.75" customHeight="1">
      <c r="A567" s="409">
        <v>1996</v>
      </c>
      <c r="B567" s="399" t="s">
        <v>4829</v>
      </c>
      <c r="C567" s="399">
        <f t="shared" si="103"/>
        <v>1996</v>
      </c>
      <c r="D567" s="399" t="e">
        <f t="shared" ca="1" si="104"/>
        <v>#NAME?</v>
      </c>
      <c r="E567" s="399" t="str">
        <f t="shared" si="105"/>
        <v>Urine Test</v>
      </c>
      <c r="F567" s="399" t="str">
        <f t="shared" si="109"/>
        <v>Input Option</v>
      </c>
      <c r="G567" s="400">
        <f t="shared" si="106"/>
        <v>17</v>
      </c>
      <c r="H567" s="399" t="str">
        <f t="shared" si="110"/>
        <v>Information source for pregnancy status</v>
      </c>
      <c r="I567" s="400"/>
      <c r="J567" s="400"/>
      <c r="K567" s="401" t="s">
        <v>5283</v>
      </c>
      <c r="L567" s="402" t="s">
        <v>3489</v>
      </c>
      <c r="M567" s="400"/>
      <c r="N567" s="639" t="s">
        <v>4853</v>
      </c>
      <c r="O567" s="404" t="s">
        <v>6546</v>
      </c>
      <c r="P567" s="404"/>
      <c r="Q567" s="404"/>
      <c r="R567" s="404"/>
      <c r="S567" s="404" t="s">
        <v>4832</v>
      </c>
      <c r="T567" s="404"/>
      <c r="U567" s="404"/>
      <c r="V567" s="404" t="s">
        <v>4830</v>
      </c>
      <c r="W567" s="407"/>
      <c r="X567" s="414" t="s">
        <v>208</v>
      </c>
      <c r="Y567" s="404"/>
      <c r="Z567" s="404" t="s">
        <v>113</v>
      </c>
      <c r="AA567" s="404" t="s">
        <v>3178</v>
      </c>
      <c r="AB567" s="406"/>
      <c r="AC567" s="404"/>
      <c r="AD567" s="404"/>
      <c r="AE567" s="406"/>
      <c r="AF567" s="404"/>
      <c r="AG567" s="404"/>
      <c r="AH567" s="399"/>
      <c r="AI567" s="400"/>
      <c r="AJ567" s="399" t="s">
        <v>1787</v>
      </c>
      <c r="AK567" s="399"/>
      <c r="AL567" s="399" t="s">
        <v>1787</v>
      </c>
      <c r="AM567" s="399"/>
      <c r="AN567" s="399" t="s">
        <v>1787</v>
      </c>
      <c r="AO567" s="399" t="s">
        <v>1787</v>
      </c>
      <c r="AP567" s="409"/>
      <c r="AQ567" s="409" t="s">
        <v>115</v>
      </c>
      <c r="AR567" s="409"/>
      <c r="AS567" s="409"/>
      <c r="AT567" s="399"/>
      <c r="AU567" s="399"/>
      <c r="AV567" s="399" t="str">
        <f t="shared" si="107"/>
        <v/>
      </c>
      <c r="AW567" s="399"/>
      <c r="AX567" s="409" t="s">
        <v>5194</v>
      </c>
      <c r="AY567" s="399" t="e">
        <f t="shared" ca="1" si="108"/>
        <v>#NAME?</v>
      </c>
      <c r="AZ567" s="399"/>
      <c r="BA567" s="409">
        <v>0</v>
      </c>
      <c r="BB567" s="399"/>
      <c r="BC567" s="399" t="s">
        <v>1787</v>
      </c>
      <c r="BD567" s="399" t="s">
        <v>4835</v>
      </c>
      <c r="BE567" s="411"/>
      <c r="BF567" s="411"/>
      <c r="BG567" s="411" t="s">
        <v>6548</v>
      </c>
      <c r="BH567" s="434" t="s">
        <v>6549</v>
      </c>
      <c r="BI567" s="411"/>
      <c r="BJ567" s="399" t="s">
        <v>1787</v>
      </c>
      <c r="BK567" s="399" t="s">
        <v>1787</v>
      </c>
      <c r="BL567" s="399"/>
      <c r="BM567" s="399" t="s">
        <v>1787</v>
      </c>
      <c r="BN567" s="403" t="s">
        <v>6550</v>
      </c>
      <c r="BO567" s="399" t="s">
        <v>1787</v>
      </c>
      <c r="BP567" s="399" t="s">
        <v>1787</v>
      </c>
      <c r="BQ567" s="399" t="s">
        <v>1787</v>
      </c>
      <c r="BR567" s="399" t="s">
        <v>1787</v>
      </c>
      <c r="BS567" s="407"/>
      <c r="BT567" s="407"/>
      <c r="BU567" s="412"/>
      <c r="BV567" s="46" t="str">
        <f t="shared" si="8"/>
        <v/>
      </c>
      <c r="BW567" s="46">
        <f t="shared" si="9"/>
        <v>0</v>
      </c>
      <c r="BX567" s="46">
        <f t="shared" si="10"/>
        <v>0</v>
      </c>
      <c r="BY567" s="43">
        <f t="shared" si="11"/>
        <v>0</v>
      </c>
      <c r="BZ567" s="46">
        <f t="shared" si="12"/>
        <v>1</v>
      </c>
      <c r="CA567" s="46" t="str">
        <f t="shared" si="13"/>
        <v/>
      </c>
      <c r="CB567" s="46">
        <f t="shared" si="14"/>
        <v>1</v>
      </c>
      <c r="CC567" s="46">
        <f t="shared" si="15"/>
        <v>1</v>
      </c>
      <c r="CD567" s="46">
        <f t="shared" si="16"/>
        <v>1</v>
      </c>
      <c r="CE567" s="46">
        <f t="shared" si="17"/>
        <v>0</v>
      </c>
      <c r="CF567" s="46">
        <f t="shared" si="18"/>
        <v>0</v>
      </c>
      <c r="CG567" s="46" t="str">
        <f ca="1">IFERROR(__xludf.DUMMYFUNCTION("if(OR(BH567="""",LEFT(BH567,2)=""LA""),"""",IMPORTXML(CONCATENATE(""https://loinc.org/"",BH567,""/""),""//span[@id='lcn']""))"),"Choriogonadotropin (pregnancy test) [Presence] in Urine")</f>
        <v>Choriogonadotropin (pregnancy test) [Presence] in Urine</v>
      </c>
      <c r="CH567" s="46"/>
      <c r="CI567" s="46"/>
      <c r="CJ567" s="46"/>
      <c r="CK567" s="46"/>
      <c r="CL567" s="46"/>
      <c r="CM567" s="46"/>
      <c r="CN567" s="46"/>
      <c r="CO567" s="46"/>
      <c r="CP567" s="46"/>
      <c r="CQ567" s="46"/>
      <c r="CR567" s="46"/>
      <c r="CS567" s="46"/>
      <c r="CT567" s="46"/>
      <c r="CU567" s="46"/>
    </row>
    <row r="568" spans="1:99" ht="12.75" customHeight="1">
      <c r="A568" s="409">
        <v>1997</v>
      </c>
      <c r="B568" s="399" t="s">
        <v>4841</v>
      </c>
      <c r="C568" s="399">
        <f t="shared" si="103"/>
        <v>1997</v>
      </c>
      <c r="D568" s="399" t="e">
        <f t="shared" ca="1" si="104"/>
        <v>#NAME?</v>
      </c>
      <c r="E568" s="399" t="str">
        <f t="shared" si="105"/>
        <v>Blood Test</v>
      </c>
      <c r="F568" s="399" t="str">
        <f t="shared" si="109"/>
        <v>Input Option</v>
      </c>
      <c r="G568" s="400">
        <f t="shared" si="106"/>
        <v>17</v>
      </c>
      <c r="H568" s="399" t="str">
        <f t="shared" si="110"/>
        <v>Information source for pregnancy status</v>
      </c>
      <c r="I568" s="400"/>
      <c r="J568" s="400"/>
      <c r="K568" s="401" t="s">
        <v>5283</v>
      </c>
      <c r="L568" s="402" t="s">
        <v>3489</v>
      </c>
      <c r="M568" s="400"/>
      <c r="N568" s="639" t="s">
        <v>4853</v>
      </c>
      <c r="O568" s="404" t="s">
        <v>6553</v>
      </c>
      <c r="P568" s="404"/>
      <c r="Q568" s="404"/>
      <c r="R568" s="404"/>
      <c r="S568" s="420" t="s">
        <v>4844</v>
      </c>
      <c r="T568" s="404"/>
      <c r="U568" s="404"/>
      <c r="V568" s="404" t="s">
        <v>4842</v>
      </c>
      <c r="W568" s="407"/>
      <c r="X568" s="414" t="s">
        <v>208</v>
      </c>
      <c r="Y568" s="404"/>
      <c r="Z568" s="404" t="s">
        <v>113</v>
      </c>
      <c r="AA568" s="404" t="s">
        <v>3178</v>
      </c>
      <c r="AB568" s="406"/>
      <c r="AC568" s="404"/>
      <c r="AD568" s="404"/>
      <c r="AE568" s="406"/>
      <c r="AF568" s="404"/>
      <c r="AG568" s="404"/>
      <c r="AH568" s="399"/>
      <c r="AI568" s="400"/>
      <c r="AJ568" s="399" t="s">
        <v>1787</v>
      </c>
      <c r="AK568" s="399"/>
      <c r="AL568" s="399" t="s">
        <v>1787</v>
      </c>
      <c r="AM568" s="399"/>
      <c r="AN568" s="399" t="s">
        <v>1787</v>
      </c>
      <c r="AO568" s="399" t="s">
        <v>1787</v>
      </c>
      <c r="AP568" s="409"/>
      <c r="AQ568" s="409" t="s">
        <v>115</v>
      </c>
      <c r="AR568" s="409"/>
      <c r="AS568" s="409"/>
      <c r="AT568" s="399"/>
      <c r="AU568" s="399"/>
      <c r="AV568" s="399" t="str">
        <f t="shared" si="107"/>
        <v/>
      </c>
      <c r="AW568" s="399"/>
      <c r="AX568" s="409" t="s">
        <v>5194</v>
      </c>
      <c r="AY568" s="399" t="e">
        <f t="shared" ca="1" si="108"/>
        <v>#NAME?</v>
      </c>
      <c r="AZ568" s="399"/>
      <c r="BA568" s="409">
        <v>0</v>
      </c>
      <c r="BB568" s="399"/>
      <c r="BC568" s="399" t="s">
        <v>1787</v>
      </c>
      <c r="BD568" s="399" t="s">
        <v>4845</v>
      </c>
      <c r="BE568" s="411"/>
      <c r="BF568" s="411"/>
      <c r="BG568" s="411" t="s">
        <v>6555</v>
      </c>
      <c r="BH568" s="434" t="s">
        <v>6556</v>
      </c>
      <c r="BI568" s="411"/>
      <c r="BJ568" s="399" t="s">
        <v>1787</v>
      </c>
      <c r="BK568" s="399" t="s">
        <v>4854</v>
      </c>
      <c r="BL568" s="399"/>
      <c r="BM568" s="399" t="s">
        <v>1787</v>
      </c>
      <c r="BN568" s="403" t="s">
        <v>6550</v>
      </c>
      <c r="BO568" s="399" t="s">
        <v>1787</v>
      </c>
      <c r="BP568" s="399" t="s">
        <v>1787</v>
      </c>
      <c r="BQ568" s="399" t="s">
        <v>1787</v>
      </c>
      <c r="BR568" s="399" t="s">
        <v>1787</v>
      </c>
      <c r="BS568" s="407"/>
      <c r="BT568" s="407"/>
      <c r="BU568" s="412"/>
      <c r="BV568" s="46" t="str">
        <f t="shared" si="8"/>
        <v/>
      </c>
      <c r="BW568" s="46">
        <f t="shared" si="9"/>
        <v>0</v>
      </c>
      <c r="BX568" s="46">
        <f t="shared" si="10"/>
        <v>0</v>
      </c>
      <c r="BY568" s="43">
        <f t="shared" si="11"/>
        <v>0</v>
      </c>
      <c r="BZ568" s="46">
        <f t="shared" si="12"/>
        <v>1</v>
      </c>
      <c r="CA568" s="46" t="str">
        <f t="shared" si="13"/>
        <v/>
      </c>
      <c r="CB568" s="46">
        <f t="shared" si="14"/>
        <v>1</v>
      </c>
      <c r="CC568" s="46">
        <f t="shared" si="15"/>
        <v>1</v>
      </c>
      <c r="CD568" s="46">
        <f t="shared" si="16"/>
        <v>1</v>
      </c>
      <c r="CE568" s="46">
        <f t="shared" si="17"/>
        <v>0</v>
      </c>
      <c r="CF568" s="46">
        <f t="shared" si="18"/>
        <v>0</v>
      </c>
      <c r="CG568" s="46" t="str">
        <f ca="1">IFERROR(__xludf.DUMMYFUNCTION("if(OR(BH568="""",LEFT(BH568,2)=""LA""),"""",IMPORTXML(CONCATENATE(""https://loinc.org/"",BH568,""/""),""//span[@id='lcn']""))"),"Choriogonadotropin (pregnancy test) [Presence] in Serum or Plasma")</f>
        <v>Choriogonadotropin (pregnancy test) [Presence] in Serum or Plasma</v>
      </c>
      <c r="CH568" s="46"/>
      <c r="CI568" s="46"/>
      <c r="CJ568" s="46"/>
      <c r="CK568" s="46"/>
      <c r="CL568" s="46"/>
      <c r="CM568" s="46"/>
      <c r="CN568" s="46"/>
      <c r="CO568" s="46"/>
      <c r="CP568" s="46"/>
      <c r="CQ568" s="46"/>
      <c r="CR568" s="46"/>
      <c r="CS568" s="46"/>
      <c r="CT568" s="46"/>
      <c r="CU568" s="46"/>
    </row>
    <row r="569" spans="1:99" ht="12.75" customHeight="1">
      <c r="A569" s="409">
        <v>1998</v>
      </c>
      <c r="B569" s="399" t="s">
        <v>4847</v>
      </c>
      <c r="C569" s="399">
        <f t="shared" si="103"/>
        <v>1998</v>
      </c>
      <c r="D569" s="399" t="e">
        <f t="shared" ca="1" si="104"/>
        <v>#NAME?</v>
      </c>
      <c r="E569" s="399" t="str">
        <f t="shared" si="105"/>
        <v>Pregnancy checklist</v>
      </c>
      <c r="F569" s="399" t="str">
        <f t="shared" si="109"/>
        <v>Input Option</v>
      </c>
      <c r="G569" s="400">
        <f t="shared" si="106"/>
        <v>26</v>
      </c>
      <c r="H569" s="399" t="str">
        <f t="shared" si="110"/>
        <v>Information source for pregnancy status</v>
      </c>
      <c r="I569" s="400"/>
      <c r="J569" s="400"/>
      <c r="K569" s="401" t="s">
        <v>5283</v>
      </c>
      <c r="L569" s="402" t="s">
        <v>3489</v>
      </c>
      <c r="M569" s="400"/>
      <c r="N569" s="639" t="s">
        <v>4853</v>
      </c>
      <c r="O569" s="404" t="s">
        <v>6559</v>
      </c>
      <c r="P569" s="404"/>
      <c r="Q569" s="404"/>
      <c r="R569" s="404"/>
      <c r="S569" s="420" t="s">
        <v>4850</v>
      </c>
      <c r="T569" s="426"/>
      <c r="U569" s="404"/>
      <c r="V569" s="420" t="s">
        <v>4848</v>
      </c>
      <c r="W569" s="407"/>
      <c r="X569" s="414" t="s">
        <v>208</v>
      </c>
      <c r="Y569" s="404"/>
      <c r="Z569" s="404" t="s">
        <v>113</v>
      </c>
      <c r="AA569" s="404" t="s">
        <v>3178</v>
      </c>
      <c r="AB569" s="420" t="s">
        <v>4851</v>
      </c>
      <c r="AC569" s="426"/>
      <c r="AD569" s="426"/>
      <c r="AE569" s="406"/>
      <c r="AF569" s="420" t="s">
        <v>4852</v>
      </c>
      <c r="AG569" s="426"/>
      <c r="AH569" s="399"/>
      <c r="AI569" s="400"/>
      <c r="AJ569" s="399" t="s">
        <v>1787</v>
      </c>
      <c r="AK569" s="399"/>
      <c r="AL569" s="399" t="s">
        <v>1787</v>
      </c>
      <c r="AM569" s="399"/>
      <c r="AN569" s="399" t="s">
        <v>1787</v>
      </c>
      <c r="AO569" s="399" t="s">
        <v>1787</v>
      </c>
      <c r="AP569" s="409"/>
      <c r="AQ569" s="409" t="s">
        <v>115</v>
      </c>
      <c r="AR569" s="409"/>
      <c r="AS569" s="409"/>
      <c r="AT569" s="399"/>
      <c r="AU569" s="399"/>
      <c r="AV569" s="399" t="str">
        <f t="shared" si="107"/>
        <v/>
      </c>
      <c r="AW569" s="399"/>
      <c r="AX569" s="409" t="s">
        <v>5194</v>
      </c>
      <c r="AY569" s="399" t="e">
        <f t="shared" ca="1" si="108"/>
        <v>#NAME?</v>
      </c>
      <c r="AZ569" s="399"/>
      <c r="BA569" s="409">
        <v>0</v>
      </c>
      <c r="BB569" s="399"/>
      <c r="BC569" s="399" t="s">
        <v>1787</v>
      </c>
      <c r="BD569" s="399" t="s">
        <v>1787</v>
      </c>
      <c r="BE569" s="411"/>
      <c r="BF569" s="411" t="s">
        <v>1787</v>
      </c>
      <c r="BG569" s="411" t="s">
        <v>6561</v>
      </c>
      <c r="BH569" s="411"/>
      <c r="BI569" s="411"/>
      <c r="BJ569" s="399" t="s">
        <v>1787</v>
      </c>
      <c r="BK569" s="399" t="s">
        <v>1787</v>
      </c>
      <c r="BL569" s="399"/>
      <c r="BM569" s="399" t="s">
        <v>1787</v>
      </c>
      <c r="BN569" s="399" t="s">
        <v>1787</v>
      </c>
      <c r="BO569" s="399" t="s">
        <v>1787</v>
      </c>
      <c r="BP569" s="399" t="s">
        <v>1787</v>
      </c>
      <c r="BQ569" s="399" t="s">
        <v>1787</v>
      </c>
      <c r="BR569" s="399" t="s">
        <v>1787</v>
      </c>
      <c r="BS569" s="407"/>
      <c r="BT569" s="407"/>
      <c r="BU569" s="412"/>
      <c r="BV569" s="46" t="str">
        <f t="shared" si="8"/>
        <v/>
      </c>
      <c r="BW569" s="46">
        <f t="shared" si="9"/>
        <v>0</v>
      </c>
      <c r="BX569" s="46">
        <f t="shared" si="10"/>
        <v>0</v>
      </c>
      <c r="BY569" s="43">
        <f t="shared" si="11"/>
        <v>0</v>
      </c>
      <c r="BZ569" s="46">
        <f t="shared" si="12"/>
        <v>1</v>
      </c>
      <c r="CA569" s="46" t="str">
        <f t="shared" si="13"/>
        <v/>
      </c>
      <c r="CB569" s="46">
        <f t="shared" si="14"/>
        <v>1</v>
      </c>
      <c r="CC569" s="46">
        <f t="shared" si="15"/>
        <v>1</v>
      </c>
      <c r="CD569" s="46">
        <f t="shared" si="16"/>
        <v>1</v>
      </c>
      <c r="CE569" s="46">
        <f t="shared" si="17"/>
        <v>0</v>
      </c>
      <c r="CF569" s="46">
        <f t="shared" si="18"/>
        <v>0</v>
      </c>
      <c r="CG569" s="46" t="str">
        <f ca="1">IFERROR(__xludf.DUMMYFUNCTION("if(OR(BH569="""",LEFT(BH569,2)=""LA""),"""",IMPORTXML(CONCATENATE(""https://loinc.org/"",BH569,""/""),""//span[@id='lcn']""))"),"")</f>
        <v/>
      </c>
      <c r="CH569" s="46"/>
      <c r="CI569" s="46"/>
      <c r="CJ569" s="46"/>
      <c r="CK569" s="46"/>
      <c r="CL569" s="46"/>
      <c r="CM569" s="46"/>
      <c r="CN569" s="46"/>
      <c r="CO569" s="46"/>
      <c r="CP569" s="46"/>
      <c r="CQ569" s="46"/>
      <c r="CR569" s="46"/>
      <c r="CS569" s="46"/>
      <c r="CT569" s="46"/>
      <c r="CU569" s="46"/>
    </row>
    <row r="570" spans="1:99" ht="12.75" customHeight="1">
      <c r="A570" s="409">
        <v>1999</v>
      </c>
      <c r="B570" s="399" t="s">
        <v>4858</v>
      </c>
      <c r="C570" s="399">
        <f t="shared" si="103"/>
        <v>1999</v>
      </c>
      <c r="D570" s="399" t="e">
        <f t="shared" ca="1" si="104"/>
        <v>#NAME?</v>
      </c>
      <c r="E570" s="399" t="str">
        <f t="shared" si="105"/>
        <v>Pregnancy test guidance</v>
      </c>
      <c r="F570" s="399" t="str">
        <f t="shared" si="109"/>
        <v>Input Option</v>
      </c>
      <c r="G570" s="400">
        <f t="shared" si="106"/>
        <v>30</v>
      </c>
      <c r="H570" s="399" t="str">
        <f t="shared" si="110"/>
        <v>Information source for pregnancy status</v>
      </c>
      <c r="I570" s="400"/>
      <c r="J570" s="400"/>
      <c r="K570" s="401" t="s">
        <v>5283</v>
      </c>
      <c r="L570" s="402" t="s">
        <v>3489</v>
      </c>
      <c r="M570" s="400"/>
      <c r="N570" s="639" t="s">
        <v>4853</v>
      </c>
      <c r="O570" s="404" t="s">
        <v>6562</v>
      </c>
      <c r="P570" s="404"/>
      <c r="Q570" s="404"/>
      <c r="R570" s="404"/>
      <c r="S570" s="420" t="s">
        <v>4861</v>
      </c>
      <c r="T570" s="426"/>
      <c r="U570" s="404"/>
      <c r="V570" s="420" t="s">
        <v>4859</v>
      </c>
      <c r="W570" s="407"/>
      <c r="X570" s="414" t="s">
        <v>208</v>
      </c>
      <c r="Y570" s="404"/>
      <c r="Z570" s="404" t="s">
        <v>113</v>
      </c>
      <c r="AA570" s="404" t="s">
        <v>3178</v>
      </c>
      <c r="AB570" s="406"/>
      <c r="AC570" s="404"/>
      <c r="AD570" s="404"/>
      <c r="AE570" s="406"/>
      <c r="AF570" s="404"/>
      <c r="AG570" s="404"/>
      <c r="AH570" s="399"/>
      <c r="AI570" s="400"/>
      <c r="AJ570" s="399" t="s">
        <v>1787</v>
      </c>
      <c r="AK570" s="399"/>
      <c r="AL570" s="399" t="s">
        <v>1787</v>
      </c>
      <c r="AM570" s="399"/>
      <c r="AN570" s="399" t="s">
        <v>1787</v>
      </c>
      <c r="AO570" s="399" t="s">
        <v>1787</v>
      </c>
      <c r="AP570" s="409"/>
      <c r="AQ570" s="409" t="s">
        <v>115</v>
      </c>
      <c r="AR570" s="409"/>
      <c r="AS570" s="409"/>
      <c r="AT570" s="399"/>
      <c r="AU570" s="399"/>
      <c r="AV570" s="399" t="str">
        <f t="shared" si="107"/>
        <v/>
      </c>
      <c r="AW570" s="399"/>
      <c r="AX570" s="409" t="s">
        <v>5194</v>
      </c>
      <c r="AY570" s="399" t="e">
        <f t="shared" ca="1" si="108"/>
        <v>#NAME?</v>
      </c>
      <c r="AZ570" s="399"/>
      <c r="BA570" s="409">
        <v>0</v>
      </c>
      <c r="BB570" s="415" t="s">
        <v>3131</v>
      </c>
      <c r="BC570" s="399" t="s">
        <v>4859</v>
      </c>
      <c r="BD570" s="399" t="s">
        <v>1787</v>
      </c>
      <c r="BE570" s="411"/>
      <c r="BF570" s="411" t="s">
        <v>1787</v>
      </c>
      <c r="BG570" s="411"/>
      <c r="BH570" s="411"/>
      <c r="BI570" s="411"/>
      <c r="BJ570" s="409" t="s">
        <v>4282</v>
      </c>
      <c r="BK570" s="399" t="s">
        <v>1787</v>
      </c>
      <c r="BL570" s="409" t="s">
        <v>3162</v>
      </c>
      <c r="BM570" s="409" t="s">
        <v>6563</v>
      </c>
      <c r="BN570" s="399" t="s">
        <v>1787</v>
      </c>
      <c r="BO570" s="399" t="s">
        <v>1787</v>
      </c>
      <c r="BP570" s="399" t="s">
        <v>1787</v>
      </c>
      <c r="BQ570" s="399" t="s">
        <v>1787</v>
      </c>
      <c r="BR570" s="399" t="s">
        <v>1787</v>
      </c>
      <c r="BS570" s="407"/>
      <c r="BT570" s="407"/>
      <c r="BU570" s="412"/>
      <c r="BV570" s="46" t="str">
        <f t="shared" si="8"/>
        <v/>
      </c>
      <c r="BW570" s="46">
        <f t="shared" si="9"/>
        <v>0</v>
      </c>
      <c r="BX570" s="46">
        <f t="shared" si="10"/>
        <v>0</v>
      </c>
      <c r="BY570" s="43">
        <f t="shared" si="11"/>
        <v>0</v>
      </c>
      <c r="BZ570" s="46">
        <f t="shared" si="12"/>
        <v>1</v>
      </c>
      <c r="CA570" s="46" t="str">
        <f t="shared" si="13"/>
        <v/>
      </c>
      <c r="CB570" s="46">
        <f t="shared" si="14"/>
        <v>1</v>
      </c>
      <c r="CC570" s="46">
        <f t="shared" si="15"/>
        <v>1</v>
      </c>
      <c r="CD570" s="46">
        <f t="shared" si="16"/>
        <v>1</v>
      </c>
      <c r="CE570" s="46">
        <f t="shared" si="17"/>
        <v>0</v>
      </c>
      <c r="CF570" s="46">
        <f t="shared" si="18"/>
        <v>0</v>
      </c>
      <c r="CG570" s="46" t="str">
        <f ca="1">IFERROR(__xludf.DUMMYFUNCTION("if(OR(BH570="""",LEFT(BH570,2)=""LA""),"""",IMPORTXML(CONCATENATE(""https://loinc.org/"",BH570,""/""),""//span[@id='lcn']""))"),"")</f>
        <v/>
      </c>
      <c r="CH570" s="46"/>
      <c r="CI570" s="46"/>
      <c r="CJ570" s="46"/>
      <c r="CK570" s="46"/>
      <c r="CL570" s="46"/>
      <c r="CM570" s="46"/>
      <c r="CN570" s="46"/>
      <c r="CO570" s="46"/>
      <c r="CP570" s="46"/>
      <c r="CQ570" s="46"/>
      <c r="CR570" s="46"/>
      <c r="CS570" s="46"/>
      <c r="CT570" s="46"/>
      <c r="CU570" s="46"/>
    </row>
    <row r="571" spans="1:99" ht="12.75" customHeight="1">
      <c r="A571" s="409">
        <v>2001</v>
      </c>
      <c r="B571" s="399" t="s">
        <v>6564</v>
      </c>
      <c r="C571" s="399">
        <f t="shared" si="103"/>
        <v>2001</v>
      </c>
      <c r="D571" s="399" t="str">
        <f t="shared" si="104"/>
        <v>Recent abortion or miscarriage</v>
      </c>
      <c r="E571" s="399" t="str">
        <f t="shared" si="105"/>
        <v>Recent abortion or miscarriage</v>
      </c>
      <c r="F571" s="399" t="str">
        <f t="shared" si="109"/>
        <v>Data Element</v>
      </c>
      <c r="G571" s="400">
        <f t="shared" si="106"/>
        <v>30</v>
      </c>
      <c r="H571" s="400" t="str">
        <f t="shared" si="110"/>
        <v/>
      </c>
      <c r="I571" s="400"/>
      <c r="J571" s="400"/>
      <c r="K571" s="401" t="s">
        <v>5283</v>
      </c>
      <c r="L571" s="402" t="s">
        <v>3489</v>
      </c>
      <c r="M571" s="400"/>
      <c r="N571" s="639" t="s">
        <v>4853</v>
      </c>
      <c r="O571" s="431" t="s">
        <v>6565</v>
      </c>
      <c r="P571" s="431"/>
      <c r="Q571" s="429" t="s">
        <v>6564</v>
      </c>
      <c r="R571" s="426"/>
      <c r="S571" s="404"/>
      <c r="T571" s="404" t="s">
        <v>3169</v>
      </c>
      <c r="U571" s="404"/>
      <c r="V571" s="437" t="s">
        <v>3170</v>
      </c>
      <c r="W571" s="404"/>
      <c r="X571" s="404" t="s">
        <v>208</v>
      </c>
      <c r="Y571" s="404"/>
      <c r="Z571" s="404" t="s">
        <v>113</v>
      </c>
      <c r="AA571" s="404" t="s">
        <v>3178</v>
      </c>
      <c r="AB571" s="420" t="s">
        <v>3850</v>
      </c>
      <c r="AC571" s="404"/>
      <c r="AD571" s="404"/>
      <c r="AE571" s="406"/>
      <c r="AF571" s="404"/>
      <c r="AG571" s="404"/>
      <c r="AH571" s="399"/>
      <c r="AI571" s="400"/>
      <c r="AJ571" s="399" t="s">
        <v>1787</v>
      </c>
      <c r="AK571" s="409" t="s">
        <v>3410</v>
      </c>
      <c r="AL571" s="440" t="s">
        <v>3313</v>
      </c>
      <c r="AM571" s="409" t="s">
        <v>3100</v>
      </c>
      <c r="AN571" s="403" t="s">
        <v>3101</v>
      </c>
      <c r="AO571" s="399" t="s">
        <v>1787</v>
      </c>
      <c r="AP571" s="409" t="s">
        <v>6566</v>
      </c>
      <c r="AQ571" s="409" t="s">
        <v>3424</v>
      </c>
      <c r="AR571" s="399"/>
      <c r="AS571" s="399"/>
      <c r="AT571" s="399"/>
      <c r="AU571" s="399"/>
      <c r="AV571" s="399" t="str">
        <f t="shared" si="107"/>
        <v/>
      </c>
      <c r="AW571" s="399"/>
      <c r="AX571" s="409" t="s">
        <v>5194</v>
      </c>
      <c r="AY571" s="399" t="str">
        <f t="shared" si="108"/>
        <v/>
      </c>
      <c r="AZ571" s="399"/>
      <c r="BA571" s="409">
        <v>1</v>
      </c>
      <c r="BB571" s="399"/>
      <c r="BC571" s="399" t="s">
        <v>1787</v>
      </c>
      <c r="BD571" s="399" t="s">
        <v>1787</v>
      </c>
      <c r="BE571" s="411"/>
      <c r="BF571" s="411" t="s">
        <v>1787</v>
      </c>
      <c r="BG571" s="434" t="s">
        <v>6567</v>
      </c>
      <c r="BH571" s="411"/>
      <c r="BI571" s="411"/>
      <c r="BJ571" s="399" t="s">
        <v>1787</v>
      </c>
      <c r="BK571" s="399" t="s">
        <v>1787</v>
      </c>
      <c r="BL571" s="399"/>
      <c r="BM571" s="409" t="s">
        <v>6568</v>
      </c>
      <c r="BN571" s="399" t="s">
        <v>1787</v>
      </c>
      <c r="BO571" s="399" t="s">
        <v>1787</v>
      </c>
      <c r="BP571" s="399" t="s">
        <v>1787</v>
      </c>
      <c r="BQ571" s="399" t="s">
        <v>1787</v>
      </c>
      <c r="BR571" s="399" t="s">
        <v>1787</v>
      </c>
      <c r="BS571" s="407"/>
      <c r="BT571" s="407"/>
      <c r="BU571" s="412"/>
      <c r="BV571" s="46" t="str">
        <f t="shared" si="8"/>
        <v>Observation</v>
      </c>
      <c r="BW571" s="46" t="str">
        <f t="shared" si="9"/>
        <v/>
      </c>
      <c r="BX571" s="46" t="str">
        <f t="shared" si="10"/>
        <v>Observation</v>
      </c>
      <c r="BY571" s="43" t="str">
        <f t="shared" si="11"/>
        <v>WHO-STI Observation (Recent Abortion or Miscarriage)</v>
      </c>
      <c r="BZ571" s="46">
        <f t="shared" si="12"/>
        <v>1</v>
      </c>
      <c r="CA571" s="46">
        <f t="shared" si="13"/>
        <v>0</v>
      </c>
      <c r="CB571" s="46">
        <f t="shared" si="14"/>
        <v>1</v>
      </c>
      <c r="CC571" s="46">
        <f t="shared" si="15"/>
        <v>1</v>
      </c>
      <c r="CD571" s="46">
        <f t="shared" si="16"/>
        <v>1</v>
      </c>
      <c r="CE571" s="46">
        <f t="shared" si="17"/>
        <v>0</v>
      </c>
      <c r="CF571" s="46">
        <f t="shared" si="18"/>
        <v>0</v>
      </c>
      <c r="CG571" s="46" t="str">
        <f ca="1">IFERROR(__xludf.DUMMYFUNCTION("if(OR(BH571="""",LEFT(BH571,2)=""LA""),"""",IMPORTXML(CONCATENATE(""https://loinc.org/"",BH571,""/""),""//span[@id='lcn']""))"),"")</f>
        <v/>
      </c>
      <c r="CH571" s="46"/>
      <c r="CI571" s="46"/>
      <c r="CJ571" s="46"/>
      <c r="CK571" s="46"/>
      <c r="CL571" s="46"/>
      <c r="CM571" s="46"/>
      <c r="CN571" s="46"/>
      <c r="CO571" s="46"/>
      <c r="CP571" s="46"/>
      <c r="CQ571" s="46"/>
      <c r="CR571" s="46"/>
      <c r="CS571" s="46"/>
      <c r="CT571" s="46"/>
      <c r="CU571" s="46"/>
    </row>
    <row r="572" spans="1:99" ht="12.75" customHeight="1">
      <c r="A572" s="409">
        <v>2003</v>
      </c>
      <c r="B572" s="399" t="s">
        <v>6569</v>
      </c>
      <c r="C572" s="399">
        <f t="shared" si="103"/>
        <v>2003</v>
      </c>
      <c r="D572" s="399" t="str">
        <f t="shared" si="104"/>
        <v>Reported symptoms</v>
      </c>
      <c r="E572" s="399" t="str">
        <f t="shared" si="105"/>
        <v>Reported symptoms</v>
      </c>
      <c r="F572" s="399" t="str">
        <f t="shared" si="109"/>
        <v>Data Element</v>
      </c>
      <c r="G572" s="400">
        <f t="shared" si="106"/>
        <v>17</v>
      </c>
      <c r="H572" s="400" t="str">
        <f t="shared" si="110"/>
        <v/>
      </c>
      <c r="I572" s="400"/>
      <c r="J572" s="400"/>
      <c r="K572" s="401" t="s">
        <v>5283</v>
      </c>
      <c r="L572" s="402" t="s">
        <v>5194</v>
      </c>
      <c r="M572" s="400"/>
      <c r="N572" s="639" t="s">
        <v>4853</v>
      </c>
      <c r="O572" s="431" t="s">
        <v>6570</v>
      </c>
      <c r="P572" s="431"/>
      <c r="Q572" s="658" t="s">
        <v>6569</v>
      </c>
      <c r="R572" s="426"/>
      <c r="S572" s="404"/>
      <c r="T572" s="659"/>
      <c r="U572" s="659"/>
      <c r="V572" s="659"/>
      <c r="W572" s="404"/>
      <c r="X572" s="404" t="s">
        <v>208</v>
      </c>
      <c r="Y572" s="404"/>
      <c r="Z572" s="404" t="s">
        <v>113</v>
      </c>
      <c r="AA572" s="404" t="s">
        <v>1889</v>
      </c>
      <c r="AB572" s="406"/>
      <c r="AC572" s="404"/>
      <c r="AD572" s="404"/>
      <c r="AE572" s="406"/>
      <c r="AF572" s="404"/>
      <c r="AG572" s="404"/>
      <c r="AH572" s="399"/>
      <c r="AI572" s="400"/>
      <c r="AJ572" s="399" t="s">
        <v>1787</v>
      </c>
      <c r="AK572" s="440" t="s">
        <v>3410</v>
      </c>
      <c r="AL572" s="409" t="s">
        <v>3181</v>
      </c>
      <c r="AM572" s="409" t="s">
        <v>3100</v>
      </c>
      <c r="AN572" s="409" t="s">
        <v>3101</v>
      </c>
      <c r="AO572" s="399" t="s">
        <v>1787</v>
      </c>
      <c r="AP572" s="409" t="s">
        <v>6571</v>
      </c>
      <c r="AQ572" s="409" t="s">
        <v>3424</v>
      </c>
      <c r="AR572" s="399"/>
      <c r="AS572" s="409" t="s">
        <v>3413</v>
      </c>
      <c r="AT572" s="399"/>
      <c r="AU572" s="399"/>
      <c r="AV572" s="399" t="str">
        <f t="shared" si="107"/>
        <v/>
      </c>
      <c r="AW572" s="399"/>
      <c r="AX572" s="409" t="s">
        <v>5194</v>
      </c>
      <c r="AY572" s="399" t="str">
        <f t="shared" si="108"/>
        <v/>
      </c>
      <c r="AZ572" s="399"/>
      <c r="BA572" s="409" t="s">
        <v>3125</v>
      </c>
      <c r="BB572" s="399"/>
      <c r="BC572" s="399" t="s">
        <v>1787</v>
      </c>
      <c r="BD572" s="399" t="s">
        <v>1787</v>
      </c>
      <c r="BE572" s="411"/>
      <c r="BF572" s="411" t="s">
        <v>1787</v>
      </c>
      <c r="BG572" s="411"/>
      <c r="BH572" s="411"/>
      <c r="BI572" s="411"/>
      <c r="BJ572" s="409" t="s">
        <v>3106</v>
      </c>
      <c r="BK572" s="399" t="s">
        <v>1787</v>
      </c>
      <c r="BL572" s="399"/>
      <c r="BM572" s="399" t="s">
        <v>1787</v>
      </c>
      <c r="BN572" s="399" t="s">
        <v>1787</v>
      </c>
      <c r="BO572" s="399" t="s">
        <v>1787</v>
      </c>
      <c r="BP572" s="399" t="s">
        <v>1787</v>
      </c>
      <c r="BQ572" s="399" t="s">
        <v>1787</v>
      </c>
      <c r="BR572" s="399" t="s">
        <v>1787</v>
      </c>
      <c r="BS572" s="407"/>
      <c r="BT572" s="407"/>
      <c r="BU572" s="412"/>
      <c r="BV572" s="46" t="str">
        <f t="shared" si="8"/>
        <v>Observation</v>
      </c>
      <c r="BW572" s="46" t="str">
        <f t="shared" si="9"/>
        <v/>
      </c>
      <c r="BX572" s="46" t="str">
        <f t="shared" si="10"/>
        <v>Observation</v>
      </c>
      <c r="BY572" s="43" t="str">
        <f t="shared" si="11"/>
        <v>WHO-STI Observation (Reported Symptoms)</v>
      </c>
      <c r="BZ572" s="46">
        <f t="shared" si="12"/>
        <v>1</v>
      </c>
      <c r="CA572" s="46">
        <f t="shared" si="13"/>
        <v>1</v>
      </c>
      <c r="CB572" s="46">
        <f t="shared" si="14"/>
        <v>1</v>
      </c>
      <c r="CC572" s="46">
        <f t="shared" si="15"/>
        <v>1</v>
      </c>
      <c r="CD572" s="46">
        <f t="shared" si="16"/>
        <v>1</v>
      </c>
      <c r="CE572" s="46">
        <f t="shared" si="17"/>
        <v>0</v>
      </c>
      <c r="CF572" s="46">
        <f t="shared" si="18"/>
        <v>0</v>
      </c>
      <c r="CG572" s="46" t="str">
        <f ca="1">IFERROR(__xludf.DUMMYFUNCTION("if(OR(BH572="""",LEFT(BH572,2)=""LA""),"""",IMPORTXML(CONCATENATE(""https://loinc.org/"",BH572,""/""),""//span[@id='lcn']""))"),"")</f>
        <v/>
      </c>
      <c r="CH572" s="46"/>
      <c r="CI572" s="46"/>
      <c r="CJ572" s="46"/>
      <c r="CK572" s="46"/>
      <c r="CL572" s="46"/>
      <c r="CM572" s="46"/>
      <c r="CN572" s="46"/>
      <c r="CO572" s="46"/>
      <c r="CP572" s="46"/>
      <c r="CQ572" s="46"/>
      <c r="CR572" s="46"/>
      <c r="CS572" s="46"/>
      <c r="CT572" s="46"/>
      <c r="CU572" s="46"/>
    </row>
    <row r="573" spans="1:99" ht="12.75" customHeight="1">
      <c r="A573" s="409">
        <v>2004</v>
      </c>
      <c r="B573" s="399" t="s">
        <v>304</v>
      </c>
      <c r="C573" s="399">
        <f t="shared" si="103"/>
        <v>2004</v>
      </c>
      <c r="D573" s="399" t="e">
        <f t="shared" ca="1" si="104"/>
        <v>#NAME?</v>
      </c>
      <c r="E573" s="399" t="str">
        <f t="shared" si="105"/>
        <v>Abnormal vaginal discharge</v>
      </c>
      <c r="F573" s="399" t="str">
        <f t="shared" si="109"/>
        <v>Input Option</v>
      </c>
      <c r="G573" s="400">
        <f t="shared" si="106"/>
        <v>33</v>
      </c>
      <c r="H573" s="399" t="str">
        <f t="shared" si="110"/>
        <v>Reported symptoms</v>
      </c>
      <c r="I573" s="400"/>
      <c r="J573" s="400"/>
      <c r="K573" s="401" t="s">
        <v>5283</v>
      </c>
      <c r="L573" s="402" t="s">
        <v>5194</v>
      </c>
      <c r="M573" s="400"/>
      <c r="N573" s="639" t="s">
        <v>4853</v>
      </c>
      <c r="O573" s="431" t="s">
        <v>6572</v>
      </c>
      <c r="P573" s="431"/>
      <c r="Q573" s="404"/>
      <c r="R573" s="404"/>
      <c r="S573" s="404"/>
      <c r="T573" s="404"/>
      <c r="U573" s="404"/>
      <c r="V573" s="658" t="s">
        <v>239</v>
      </c>
      <c r="W573" s="404"/>
      <c r="X573" s="404" t="s">
        <v>208</v>
      </c>
      <c r="Y573" s="404"/>
      <c r="Z573" s="404" t="s">
        <v>113</v>
      </c>
      <c r="AA573" s="404" t="s">
        <v>1889</v>
      </c>
      <c r="AB573" s="420" t="s">
        <v>6573</v>
      </c>
      <c r="AC573" s="404"/>
      <c r="AD573" s="404" t="s">
        <v>6574</v>
      </c>
      <c r="AE573" s="406"/>
      <c r="AF573" s="404"/>
      <c r="AG573" s="420" t="s">
        <v>6575</v>
      </c>
      <c r="AH573" s="399"/>
      <c r="AI573" s="400"/>
      <c r="AJ573" s="399" t="s">
        <v>1787</v>
      </c>
      <c r="AK573" s="399"/>
      <c r="AL573" s="399" t="s">
        <v>1787</v>
      </c>
      <c r="AM573" s="399"/>
      <c r="AN573" s="399" t="s">
        <v>1787</v>
      </c>
      <c r="AO573" s="399" t="s">
        <v>1787</v>
      </c>
      <c r="AP573" s="399"/>
      <c r="AQ573" s="409" t="s">
        <v>3130</v>
      </c>
      <c r="AR573" s="399"/>
      <c r="AS573" s="399"/>
      <c r="AT573" s="399"/>
      <c r="AU573" s="399"/>
      <c r="AV573" s="399" t="str">
        <f t="shared" si="107"/>
        <v/>
      </c>
      <c r="AW573" s="399"/>
      <c r="AX573" s="409" t="s">
        <v>5194</v>
      </c>
      <c r="AY573" s="399" t="e">
        <f t="shared" ca="1" si="108"/>
        <v>#NAME?</v>
      </c>
      <c r="AZ573" s="399"/>
      <c r="BA573" s="409" t="s">
        <v>3125</v>
      </c>
      <c r="BB573" s="399"/>
      <c r="BC573" s="399" t="s">
        <v>1787</v>
      </c>
      <c r="BD573" s="409" t="s">
        <v>6576</v>
      </c>
      <c r="BE573" s="411"/>
      <c r="BF573" s="411" t="s">
        <v>1787</v>
      </c>
      <c r="BG573" s="434" t="s">
        <v>6577</v>
      </c>
      <c r="BH573" s="411"/>
      <c r="BI573" s="411"/>
      <c r="BJ573" s="399" t="s">
        <v>1787</v>
      </c>
      <c r="BK573" s="399" t="s">
        <v>1787</v>
      </c>
      <c r="BL573" s="399"/>
      <c r="BM573" s="399" t="s">
        <v>1787</v>
      </c>
      <c r="BN573" s="399" t="s">
        <v>1787</v>
      </c>
      <c r="BO573" s="399" t="s">
        <v>1787</v>
      </c>
      <c r="BP573" s="399" t="s">
        <v>1787</v>
      </c>
      <c r="BQ573" s="399" t="s">
        <v>1787</v>
      </c>
      <c r="BR573" s="399" t="s">
        <v>1787</v>
      </c>
      <c r="BS573" s="407"/>
      <c r="BT573" s="407"/>
      <c r="BU573" s="412"/>
      <c r="BV573" s="46" t="str">
        <f t="shared" si="8"/>
        <v/>
      </c>
      <c r="BW573" s="46">
        <f t="shared" si="9"/>
        <v>0</v>
      </c>
      <c r="BX573" s="46">
        <f t="shared" si="10"/>
        <v>0</v>
      </c>
      <c r="BY573" s="43" t="str">
        <f t="shared" si="11"/>
        <v>WHO-STI Observation (Reported Symptoms)</v>
      </c>
      <c r="BZ573" s="46">
        <f t="shared" si="12"/>
        <v>1</v>
      </c>
      <c r="CA573" s="46" t="str">
        <f t="shared" si="13"/>
        <v/>
      </c>
      <c r="CB573" s="46">
        <f t="shared" si="14"/>
        <v>1</v>
      </c>
      <c r="CC573" s="46">
        <f t="shared" si="15"/>
        <v>1</v>
      </c>
      <c r="CD573" s="46">
        <f t="shared" si="16"/>
        <v>1</v>
      </c>
      <c r="CE573" s="46">
        <f t="shared" si="17"/>
        <v>0</v>
      </c>
      <c r="CF573" s="46">
        <f t="shared" si="18"/>
        <v>0</v>
      </c>
      <c r="CG573" s="46" t="str">
        <f ca="1">IFERROR(__xludf.DUMMYFUNCTION("if(OR(BH573="""",LEFT(BH573,2)=""LA""),"""",IMPORTXML(CONCATENATE(""https://loinc.org/"",BH573,""/""),""//span[@id='lcn']""))"),"")</f>
        <v/>
      </c>
      <c r="CH573" s="46"/>
      <c r="CI573" s="46"/>
      <c r="CJ573" s="46"/>
      <c r="CK573" s="46"/>
      <c r="CL573" s="46"/>
      <c r="CM573" s="46"/>
      <c r="CN573" s="46"/>
      <c r="CO573" s="46"/>
      <c r="CP573" s="46"/>
      <c r="CQ573" s="46"/>
      <c r="CR573" s="46"/>
      <c r="CS573" s="46"/>
      <c r="CT573" s="46"/>
      <c r="CU573" s="46"/>
    </row>
    <row r="574" spans="1:99" ht="12.75" customHeight="1">
      <c r="A574" s="409">
        <v>2005</v>
      </c>
      <c r="B574" s="399" t="s">
        <v>6578</v>
      </c>
      <c r="C574" s="399">
        <f t="shared" si="103"/>
        <v>2005</v>
      </c>
      <c r="D574" s="399" t="e">
        <f t="shared" ca="1" si="104"/>
        <v>#NAME?</v>
      </c>
      <c r="E574" s="399" t="str">
        <f t="shared" si="105"/>
        <v>Vulval or vaginal Irritation</v>
      </c>
      <c r="F574" s="399" t="str">
        <f t="shared" si="109"/>
        <v>Input Option</v>
      </c>
      <c r="G574" s="400">
        <f t="shared" si="106"/>
        <v>35</v>
      </c>
      <c r="H574" s="399" t="str">
        <f t="shared" si="110"/>
        <v>Reported symptoms</v>
      </c>
      <c r="I574" s="400"/>
      <c r="J574" s="400"/>
      <c r="K574" s="401" t="s">
        <v>5283</v>
      </c>
      <c r="L574" s="402" t="s">
        <v>5194</v>
      </c>
      <c r="M574" s="400"/>
      <c r="N574" s="639" t="s">
        <v>4853</v>
      </c>
      <c r="O574" s="431" t="s">
        <v>6579</v>
      </c>
      <c r="P574" s="431"/>
      <c r="Q574" s="404"/>
      <c r="R574" s="404"/>
      <c r="S574" s="404"/>
      <c r="T574" s="404"/>
      <c r="U574" s="404"/>
      <c r="V574" s="658" t="s">
        <v>6580</v>
      </c>
      <c r="W574" s="404"/>
      <c r="X574" s="404" t="s">
        <v>208</v>
      </c>
      <c r="Y574" s="404"/>
      <c r="Z574" s="404" t="s">
        <v>3876</v>
      </c>
      <c r="AA574" s="404" t="s">
        <v>1889</v>
      </c>
      <c r="AB574" s="420" t="s">
        <v>6573</v>
      </c>
      <c r="AC574" s="404"/>
      <c r="AD574" s="404"/>
      <c r="AE574" s="406"/>
      <c r="AF574" s="404"/>
      <c r="AG574" s="404"/>
      <c r="AH574" s="399"/>
      <c r="AI574" s="400"/>
      <c r="AJ574" s="399" t="s">
        <v>1787</v>
      </c>
      <c r="AK574" s="399"/>
      <c r="AL574" s="399" t="s">
        <v>1787</v>
      </c>
      <c r="AM574" s="399"/>
      <c r="AN574" s="399" t="s">
        <v>1787</v>
      </c>
      <c r="AO574" s="399" t="s">
        <v>1787</v>
      </c>
      <c r="AP574" s="399"/>
      <c r="AQ574" s="660" t="s">
        <v>3130</v>
      </c>
      <c r="AR574" s="399"/>
      <c r="AS574" s="399"/>
      <c r="AT574" s="399"/>
      <c r="AU574" s="399"/>
      <c r="AV574" s="399" t="str">
        <f t="shared" si="107"/>
        <v/>
      </c>
      <c r="AW574" s="399"/>
      <c r="AX574" s="409" t="s">
        <v>5194</v>
      </c>
      <c r="AY574" s="399" t="e">
        <f t="shared" ca="1" si="108"/>
        <v>#NAME?</v>
      </c>
      <c r="AZ574" s="399"/>
      <c r="BA574" s="409" t="s">
        <v>3125</v>
      </c>
      <c r="BB574" s="399"/>
      <c r="BC574" s="399" t="s">
        <v>1787</v>
      </c>
      <c r="BD574" s="409" t="s">
        <v>3162</v>
      </c>
      <c r="BE574" s="411"/>
      <c r="BF574" s="411" t="s">
        <v>1787</v>
      </c>
      <c r="BG574" s="434" t="s">
        <v>6583</v>
      </c>
      <c r="BH574" s="411"/>
      <c r="BI574" s="411"/>
      <c r="BJ574" s="399" t="s">
        <v>1787</v>
      </c>
      <c r="BK574" s="399" t="s">
        <v>1787</v>
      </c>
      <c r="BL574" s="399"/>
      <c r="BM574" s="399" t="s">
        <v>1787</v>
      </c>
      <c r="BN574" s="399" t="s">
        <v>1787</v>
      </c>
      <c r="BO574" s="399" t="s">
        <v>1787</v>
      </c>
      <c r="BP574" s="399" t="s">
        <v>1787</v>
      </c>
      <c r="BQ574" s="399" t="s">
        <v>1787</v>
      </c>
      <c r="BR574" s="399" t="s">
        <v>1787</v>
      </c>
      <c r="BS574" s="407"/>
      <c r="BT574" s="407"/>
      <c r="BU574" s="412"/>
      <c r="BV574" s="46" t="str">
        <f t="shared" si="8"/>
        <v/>
      </c>
      <c r="BW574" s="46">
        <f t="shared" si="9"/>
        <v>0</v>
      </c>
      <c r="BX574" s="46">
        <f t="shared" si="10"/>
        <v>0</v>
      </c>
      <c r="BY574" s="43" t="str">
        <f t="shared" si="11"/>
        <v>WHO-STI Observation (Reported Symptoms)</v>
      </c>
      <c r="BZ574" s="46">
        <f t="shared" si="12"/>
        <v>1</v>
      </c>
      <c r="CA574" s="46" t="str">
        <f t="shared" si="13"/>
        <v/>
      </c>
      <c r="CB574" s="46">
        <f t="shared" si="14"/>
        <v>1</v>
      </c>
      <c r="CC574" s="46">
        <f t="shared" si="15"/>
        <v>1</v>
      </c>
      <c r="CD574" s="46">
        <f t="shared" si="16"/>
        <v>1</v>
      </c>
      <c r="CE574" s="46">
        <f t="shared" si="17"/>
        <v>0</v>
      </c>
      <c r="CF574" s="46">
        <f t="shared" si="18"/>
        <v>0</v>
      </c>
      <c r="CG574" s="46" t="str">
        <f ca="1">IFERROR(__xludf.DUMMYFUNCTION("if(OR(BH574="""",LEFT(BH574,2)=""LA""),"""",IMPORTXML(CONCATENATE(""https://loinc.org/"",BH574,""/""),""//span[@id='lcn']""))"),"")</f>
        <v/>
      </c>
      <c r="CH574" s="46"/>
      <c r="CI574" s="46"/>
      <c r="CJ574" s="46"/>
      <c r="CK574" s="46"/>
      <c r="CL574" s="46"/>
      <c r="CM574" s="46"/>
      <c r="CN574" s="46"/>
      <c r="CO574" s="46"/>
      <c r="CP574" s="46"/>
      <c r="CQ574" s="46"/>
      <c r="CR574" s="46"/>
      <c r="CS574" s="46"/>
      <c r="CT574" s="46"/>
      <c r="CU574" s="46"/>
    </row>
    <row r="575" spans="1:99" ht="12.75" customHeight="1">
      <c r="A575" s="409">
        <v>2006</v>
      </c>
      <c r="B575" s="399" t="s">
        <v>6587</v>
      </c>
      <c r="C575" s="399">
        <f t="shared" si="103"/>
        <v>2006</v>
      </c>
      <c r="D575" s="399" t="e">
        <f t="shared" ca="1" si="104"/>
        <v>#NAME?</v>
      </c>
      <c r="E575" s="399" t="str">
        <f t="shared" si="105"/>
        <v>Abdominal guarding</v>
      </c>
      <c r="F575" s="399" t="str">
        <f t="shared" si="109"/>
        <v>Input Option</v>
      </c>
      <c r="G575" s="400">
        <f t="shared" si="106"/>
        <v>25</v>
      </c>
      <c r="H575" s="399" t="str">
        <f t="shared" si="110"/>
        <v>Reported symptoms</v>
      </c>
      <c r="I575" s="400"/>
      <c r="J575" s="400"/>
      <c r="K575" s="401" t="s">
        <v>5283</v>
      </c>
      <c r="L575" s="402" t="s">
        <v>5194</v>
      </c>
      <c r="M575" s="400"/>
      <c r="N575" s="639" t="s">
        <v>4853</v>
      </c>
      <c r="O575" s="431" t="s">
        <v>6589</v>
      </c>
      <c r="P575" s="431"/>
      <c r="Q575" s="404"/>
      <c r="R575" s="404"/>
      <c r="S575" s="404"/>
      <c r="T575" s="404"/>
      <c r="U575" s="404"/>
      <c r="V575" s="658" t="s">
        <v>6590</v>
      </c>
      <c r="W575" s="404"/>
      <c r="X575" s="404" t="s">
        <v>208</v>
      </c>
      <c r="Y575" s="404"/>
      <c r="Z575" s="404" t="s">
        <v>113</v>
      </c>
      <c r="AA575" s="404" t="s">
        <v>1889</v>
      </c>
      <c r="AB575" s="406"/>
      <c r="AC575" s="404"/>
      <c r="AD575" s="404"/>
      <c r="AE575" s="406"/>
      <c r="AF575" s="404"/>
      <c r="AG575" s="420" t="s">
        <v>6592</v>
      </c>
      <c r="AH575" s="399"/>
      <c r="AI575" s="400"/>
      <c r="AJ575" s="399" t="s">
        <v>1787</v>
      </c>
      <c r="AK575" s="399"/>
      <c r="AL575" s="399" t="s">
        <v>1787</v>
      </c>
      <c r="AM575" s="399"/>
      <c r="AN575" s="399" t="s">
        <v>1787</v>
      </c>
      <c r="AO575" s="399" t="s">
        <v>1787</v>
      </c>
      <c r="AP575" s="399"/>
      <c r="AQ575" s="409" t="s">
        <v>3130</v>
      </c>
      <c r="AR575" s="399"/>
      <c r="AS575" s="399"/>
      <c r="AT575" s="399"/>
      <c r="AU575" s="399"/>
      <c r="AV575" s="399" t="str">
        <f t="shared" si="107"/>
        <v/>
      </c>
      <c r="AW575" s="399"/>
      <c r="AX575" s="409" t="s">
        <v>5194</v>
      </c>
      <c r="AY575" s="399" t="e">
        <f t="shared" ca="1" si="108"/>
        <v>#NAME?</v>
      </c>
      <c r="AZ575" s="399"/>
      <c r="BA575" s="409" t="s">
        <v>3125</v>
      </c>
      <c r="BB575" s="399"/>
      <c r="BC575" s="399" t="s">
        <v>1787</v>
      </c>
      <c r="BD575" s="409" t="s">
        <v>3162</v>
      </c>
      <c r="BE575" s="411"/>
      <c r="BF575" s="411" t="s">
        <v>1787</v>
      </c>
      <c r="BG575" s="434" t="s">
        <v>6595</v>
      </c>
      <c r="BH575" s="411"/>
      <c r="BI575" s="411"/>
      <c r="BJ575" s="399" t="s">
        <v>1787</v>
      </c>
      <c r="BK575" s="399" t="s">
        <v>1787</v>
      </c>
      <c r="BL575" s="399"/>
      <c r="BM575" s="399" t="s">
        <v>1787</v>
      </c>
      <c r="BN575" s="399" t="s">
        <v>1787</v>
      </c>
      <c r="BO575" s="399" t="s">
        <v>1787</v>
      </c>
      <c r="BP575" s="399" t="s">
        <v>1787</v>
      </c>
      <c r="BQ575" s="399" t="s">
        <v>1787</v>
      </c>
      <c r="BR575" s="399" t="s">
        <v>1787</v>
      </c>
      <c r="BS575" s="407"/>
      <c r="BT575" s="407"/>
      <c r="BU575" s="412"/>
      <c r="BV575" s="46" t="str">
        <f t="shared" si="8"/>
        <v/>
      </c>
      <c r="BW575" s="46">
        <f t="shared" si="9"/>
        <v>0</v>
      </c>
      <c r="BX575" s="46">
        <f t="shared" si="10"/>
        <v>0</v>
      </c>
      <c r="BY575" s="43" t="str">
        <f t="shared" si="11"/>
        <v>WHO-STI Observation (Reported Symptoms)</v>
      </c>
      <c r="BZ575" s="46">
        <f t="shared" si="12"/>
        <v>1</v>
      </c>
      <c r="CA575" s="46" t="str">
        <f t="shared" si="13"/>
        <v/>
      </c>
      <c r="CB575" s="46">
        <f t="shared" si="14"/>
        <v>1</v>
      </c>
      <c r="CC575" s="46">
        <f t="shared" si="15"/>
        <v>1</v>
      </c>
      <c r="CD575" s="46">
        <f t="shared" si="16"/>
        <v>1</v>
      </c>
      <c r="CE575" s="46">
        <f t="shared" si="17"/>
        <v>0</v>
      </c>
      <c r="CF575" s="46">
        <f t="shared" si="18"/>
        <v>0</v>
      </c>
      <c r="CG575" s="46" t="str">
        <f ca="1">IFERROR(__xludf.DUMMYFUNCTION("if(OR(BH575="""",LEFT(BH575,2)=""LA""),"""",IMPORTXML(CONCATENATE(""https://loinc.org/"",BH575,""/""),""//span[@id='lcn']""))"),"")</f>
        <v/>
      </c>
      <c r="CH575" s="46"/>
      <c r="CI575" s="46"/>
      <c r="CJ575" s="46"/>
      <c r="CK575" s="46"/>
      <c r="CL575" s="46"/>
      <c r="CM575" s="46"/>
      <c r="CN575" s="46"/>
      <c r="CO575" s="46"/>
      <c r="CP575" s="46"/>
      <c r="CQ575" s="46"/>
      <c r="CR575" s="46"/>
      <c r="CS575" s="46"/>
      <c r="CT575" s="46"/>
      <c r="CU575" s="46"/>
    </row>
    <row r="576" spans="1:99" ht="12.75" customHeight="1">
      <c r="A576" s="409">
        <v>2007</v>
      </c>
      <c r="B576" s="399" t="s">
        <v>6597</v>
      </c>
      <c r="C576" s="399">
        <f t="shared" si="103"/>
        <v>2007</v>
      </c>
      <c r="D576" s="399" t="e">
        <f t="shared" ca="1" si="104"/>
        <v>#NAME?</v>
      </c>
      <c r="E576" s="399" t="str">
        <f t="shared" si="105"/>
        <v>Rebound tenderness</v>
      </c>
      <c r="F576" s="399" t="str">
        <f t="shared" si="109"/>
        <v>Input Option</v>
      </c>
      <c r="G576" s="400">
        <f t="shared" si="106"/>
        <v>25</v>
      </c>
      <c r="H576" s="399" t="str">
        <f t="shared" si="110"/>
        <v>Reported symptoms</v>
      </c>
      <c r="I576" s="400"/>
      <c r="J576" s="400"/>
      <c r="K576" s="401" t="s">
        <v>5283</v>
      </c>
      <c r="L576" s="402" t="s">
        <v>5194</v>
      </c>
      <c r="M576" s="400"/>
      <c r="N576" s="639" t="s">
        <v>4853</v>
      </c>
      <c r="O576" s="431" t="s">
        <v>6599</v>
      </c>
      <c r="P576" s="431"/>
      <c r="Q576" s="404"/>
      <c r="R576" s="404"/>
      <c r="S576" s="404"/>
      <c r="T576" s="404"/>
      <c r="U576" s="404"/>
      <c r="V576" s="658" t="s">
        <v>6601</v>
      </c>
      <c r="W576" s="404"/>
      <c r="X576" s="404" t="s">
        <v>208</v>
      </c>
      <c r="Y576" s="404"/>
      <c r="Z576" s="404" t="s">
        <v>113</v>
      </c>
      <c r="AA576" s="404" t="s">
        <v>1889</v>
      </c>
      <c r="AB576" s="406"/>
      <c r="AC576" s="404"/>
      <c r="AD576" s="404"/>
      <c r="AE576" s="406"/>
      <c r="AF576" s="404"/>
      <c r="AG576" s="420" t="s">
        <v>6592</v>
      </c>
      <c r="AH576" s="399"/>
      <c r="AI576" s="400"/>
      <c r="AJ576" s="399" t="s">
        <v>1787</v>
      </c>
      <c r="AK576" s="399"/>
      <c r="AL576" s="399" t="s">
        <v>1787</v>
      </c>
      <c r="AM576" s="399"/>
      <c r="AN576" s="399" t="s">
        <v>1787</v>
      </c>
      <c r="AO576" s="399" t="s">
        <v>1787</v>
      </c>
      <c r="AP576" s="399"/>
      <c r="AQ576" s="409" t="s">
        <v>3130</v>
      </c>
      <c r="AR576" s="399"/>
      <c r="AS576" s="399"/>
      <c r="AT576" s="399"/>
      <c r="AU576" s="399"/>
      <c r="AV576" s="399" t="str">
        <f t="shared" si="107"/>
        <v/>
      </c>
      <c r="AW576" s="399"/>
      <c r="AX576" s="409" t="s">
        <v>5194</v>
      </c>
      <c r="AY576" s="399" t="e">
        <f t="shared" ca="1" si="108"/>
        <v>#NAME?</v>
      </c>
      <c r="AZ576" s="399"/>
      <c r="BA576" s="409" t="s">
        <v>3125</v>
      </c>
      <c r="BB576" s="399"/>
      <c r="BC576" s="399" t="s">
        <v>1787</v>
      </c>
      <c r="BD576" s="409" t="s">
        <v>3162</v>
      </c>
      <c r="BE576" s="411"/>
      <c r="BF576" s="411" t="s">
        <v>1787</v>
      </c>
      <c r="BG576" s="434" t="s">
        <v>6603</v>
      </c>
      <c r="BH576" s="411"/>
      <c r="BI576" s="411"/>
      <c r="BJ576" s="399" t="s">
        <v>1787</v>
      </c>
      <c r="BK576" s="399" t="s">
        <v>1787</v>
      </c>
      <c r="BL576" s="399"/>
      <c r="BM576" s="399" t="s">
        <v>1787</v>
      </c>
      <c r="BN576" s="399" t="s">
        <v>1787</v>
      </c>
      <c r="BO576" s="399" t="s">
        <v>1787</v>
      </c>
      <c r="BP576" s="399" t="s">
        <v>1787</v>
      </c>
      <c r="BQ576" s="399" t="s">
        <v>1787</v>
      </c>
      <c r="BR576" s="399" t="s">
        <v>1787</v>
      </c>
      <c r="BS576" s="407"/>
      <c r="BT576" s="407"/>
      <c r="BU576" s="412"/>
      <c r="BV576" s="46" t="str">
        <f t="shared" si="8"/>
        <v/>
      </c>
      <c r="BW576" s="46">
        <f t="shared" si="9"/>
        <v>0</v>
      </c>
      <c r="BX576" s="46">
        <f t="shared" si="10"/>
        <v>0</v>
      </c>
      <c r="BY576" s="43" t="str">
        <f t="shared" si="11"/>
        <v>WHO-STI Observation (Reported Symptoms)</v>
      </c>
      <c r="BZ576" s="46">
        <f t="shared" si="12"/>
        <v>1</v>
      </c>
      <c r="CA576" s="46" t="str">
        <f t="shared" si="13"/>
        <v/>
      </c>
      <c r="CB576" s="46">
        <f t="shared" si="14"/>
        <v>1</v>
      </c>
      <c r="CC576" s="46">
        <f t="shared" si="15"/>
        <v>1</v>
      </c>
      <c r="CD576" s="46">
        <f t="shared" si="16"/>
        <v>1</v>
      </c>
      <c r="CE576" s="46">
        <f t="shared" si="17"/>
        <v>0</v>
      </c>
      <c r="CF576" s="46">
        <f t="shared" si="18"/>
        <v>0</v>
      </c>
      <c r="CG576" s="46" t="str">
        <f ca="1">IFERROR(__xludf.DUMMYFUNCTION("if(OR(BH576="""",LEFT(BH576,2)=""LA""),"""",IMPORTXML(CONCATENATE(""https://loinc.org/"",BH576,""/""),""//span[@id='lcn']""))"),"")</f>
        <v/>
      </c>
      <c r="CH576" s="46"/>
      <c r="CI576" s="46"/>
      <c r="CJ576" s="46"/>
      <c r="CK576" s="46"/>
      <c r="CL576" s="46"/>
      <c r="CM576" s="46"/>
      <c r="CN576" s="46"/>
      <c r="CO576" s="46"/>
      <c r="CP576" s="46"/>
      <c r="CQ576" s="46"/>
      <c r="CR576" s="46"/>
      <c r="CS576" s="46"/>
      <c r="CT576" s="46"/>
      <c r="CU576" s="46"/>
    </row>
    <row r="577" spans="1:99" ht="12.75" customHeight="1">
      <c r="A577" s="409">
        <v>2008</v>
      </c>
      <c r="B577" s="399" t="s">
        <v>6606</v>
      </c>
      <c r="C577" s="399">
        <f t="shared" si="103"/>
        <v>2008</v>
      </c>
      <c r="D577" s="399" t="e">
        <f t="shared" ca="1" si="104"/>
        <v>#NAME?</v>
      </c>
      <c r="E577" s="399" t="str">
        <f t="shared" si="105"/>
        <v>Abdominal mass</v>
      </c>
      <c r="F577" s="399" t="str">
        <f t="shared" si="109"/>
        <v>Input Option</v>
      </c>
      <c r="G577" s="400">
        <f t="shared" si="106"/>
        <v>21</v>
      </c>
      <c r="H577" s="399" t="str">
        <f t="shared" si="110"/>
        <v>Reported symptoms</v>
      </c>
      <c r="I577" s="400"/>
      <c r="J577" s="400"/>
      <c r="K577" s="401" t="s">
        <v>5283</v>
      </c>
      <c r="L577" s="402" t="s">
        <v>5194</v>
      </c>
      <c r="M577" s="400"/>
      <c r="N577" s="639" t="s">
        <v>4853</v>
      </c>
      <c r="O577" s="431" t="s">
        <v>6608</v>
      </c>
      <c r="P577" s="431"/>
      <c r="Q577" s="404"/>
      <c r="R577" s="404"/>
      <c r="S577" s="404"/>
      <c r="T577" s="404"/>
      <c r="U577" s="404"/>
      <c r="V577" s="658" t="s">
        <v>6609</v>
      </c>
      <c r="W577" s="404"/>
      <c r="X577" s="404" t="s">
        <v>208</v>
      </c>
      <c r="Y577" s="404"/>
      <c r="Z577" s="404" t="s">
        <v>113</v>
      </c>
      <c r="AA577" s="404" t="s">
        <v>1889</v>
      </c>
      <c r="AB577" s="406"/>
      <c r="AC577" s="404"/>
      <c r="AD577" s="404"/>
      <c r="AE577" s="406"/>
      <c r="AF577" s="404"/>
      <c r="AG577" s="420" t="s">
        <v>6592</v>
      </c>
      <c r="AH577" s="399"/>
      <c r="AI577" s="400"/>
      <c r="AJ577" s="399" t="s">
        <v>1787</v>
      </c>
      <c r="AK577" s="399"/>
      <c r="AL577" s="399" t="s">
        <v>1787</v>
      </c>
      <c r="AM577" s="399"/>
      <c r="AN577" s="399" t="s">
        <v>1787</v>
      </c>
      <c r="AO577" s="399" t="s">
        <v>1787</v>
      </c>
      <c r="AP577" s="399"/>
      <c r="AQ577" s="409" t="s">
        <v>3130</v>
      </c>
      <c r="AR577" s="399"/>
      <c r="AS577" s="399"/>
      <c r="AT577" s="399"/>
      <c r="AU577" s="399"/>
      <c r="AV577" s="399" t="str">
        <f t="shared" si="107"/>
        <v/>
      </c>
      <c r="AW577" s="399"/>
      <c r="AX577" s="409" t="s">
        <v>5194</v>
      </c>
      <c r="AY577" s="399" t="e">
        <f t="shared" ca="1" si="108"/>
        <v>#NAME?</v>
      </c>
      <c r="AZ577" s="399"/>
      <c r="BA577" s="409" t="s">
        <v>3125</v>
      </c>
      <c r="BB577" s="399"/>
      <c r="BC577" s="399" t="s">
        <v>1787</v>
      </c>
      <c r="BD577" s="409" t="s">
        <v>3162</v>
      </c>
      <c r="BE577" s="411"/>
      <c r="BF577" s="411" t="s">
        <v>1787</v>
      </c>
      <c r="BG577" s="434" t="s">
        <v>6610</v>
      </c>
      <c r="BH577" s="411"/>
      <c r="BI577" s="411"/>
      <c r="BJ577" s="399" t="s">
        <v>1787</v>
      </c>
      <c r="BK577" s="399" t="s">
        <v>1787</v>
      </c>
      <c r="BL577" s="399"/>
      <c r="BM577" s="399" t="s">
        <v>1787</v>
      </c>
      <c r="BN577" s="399" t="s">
        <v>1787</v>
      </c>
      <c r="BO577" s="399" t="s">
        <v>1787</v>
      </c>
      <c r="BP577" s="399" t="s">
        <v>1787</v>
      </c>
      <c r="BQ577" s="399" t="s">
        <v>1787</v>
      </c>
      <c r="BR577" s="399" t="s">
        <v>1787</v>
      </c>
      <c r="BS577" s="407"/>
      <c r="BT577" s="407"/>
      <c r="BU577" s="412"/>
      <c r="BV577" s="46" t="str">
        <f t="shared" si="8"/>
        <v/>
      </c>
      <c r="BW577" s="46">
        <f t="shared" si="9"/>
        <v>0</v>
      </c>
      <c r="BX577" s="46">
        <f t="shared" si="10"/>
        <v>0</v>
      </c>
      <c r="BY577" s="43" t="str">
        <f t="shared" si="11"/>
        <v>WHO-STI Observation (Reported Symptoms)</v>
      </c>
      <c r="BZ577" s="46">
        <f t="shared" si="12"/>
        <v>1</v>
      </c>
      <c r="CA577" s="46" t="str">
        <f t="shared" si="13"/>
        <v/>
      </c>
      <c r="CB577" s="46">
        <f t="shared" si="14"/>
        <v>1</v>
      </c>
      <c r="CC577" s="46">
        <f t="shared" si="15"/>
        <v>1</v>
      </c>
      <c r="CD577" s="46">
        <f t="shared" si="16"/>
        <v>1</v>
      </c>
      <c r="CE577" s="46">
        <f t="shared" si="17"/>
        <v>0</v>
      </c>
      <c r="CF577" s="46">
        <f t="shared" si="18"/>
        <v>0</v>
      </c>
      <c r="CG577" s="46" t="str">
        <f ca="1">IFERROR(__xludf.DUMMYFUNCTION("if(OR(BH577="""",LEFT(BH577,2)=""LA""),"""",IMPORTXML(CONCATENATE(""https://loinc.org/"",BH577,""/""),""//span[@id='lcn']""))"),"")</f>
        <v/>
      </c>
      <c r="CH577" s="46"/>
      <c r="CI577" s="46"/>
      <c r="CJ577" s="46"/>
      <c r="CK577" s="46"/>
      <c r="CL577" s="46"/>
      <c r="CM577" s="46"/>
      <c r="CN577" s="46"/>
      <c r="CO577" s="46"/>
      <c r="CP577" s="46"/>
      <c r="CQ577" s="46"/>
      <c r="CR577" s="46"/>
      <c r="CS577" s="46"/>
      <c r="CT577" s="46"/>
      <c r="CU577" s="46"/>
    </row>
    <row r="578" spans="1:99" ht="12.75" customHeight="1">
      <c r="A578" s="409">
        <v>2009</v>
      </c>
      <c r="B578" s="399" t="s">
        <v>6613</v>
      </c>
      <c r="C578" s="399">
        <f t="shared" si="103"/>
        <v>2009</v>
      </c>
      <c r="D578" s="399" t="e">
        <f t="shared" ca="1" si="104"/>
        <v>#NAME?</v>
      </c>
      <c r="E578" s="399" t="str">
        <f t="shared" si="105"/>
        <v>Cervical motion tenderness</v>
      </c>
      <c r="F578" s="399" t="str">
        <f t="shared" si="109"/>
        <v>Input Option</v>
      </c>
      <c r="G578" s="400">
        <f t="shared" si="106"/>
        <v>33</v>
      </c>
      <c r="H578" s="399" t="str">
        <f t="shared" si="110"/>
        <v>Reported symptoms</v>
      </c>
      <c r="I578" s="400"/>
      <c r="J578" s="400"/>
      <c r="K578" s="401" t="s">
        <v>5283</v>
      </c>
      <c r="L578" s="402" t="s">
        <v>5194</v>
      </c>
      <c r="M578" s="400"/>
      <c r="N578" s="639" t="s">
        <v>4853</v>
      </c>
      <c r="O578" s="431" t="s">
        <v>6614</v>
      </c>
      <c r="P578" s="431"/>
      <c r="Q578" s="404"/>
      <c r="R578" s="404"/>
      <c r="S578" s="404"/>
      <c r="T578" s="404"/>
      <c r="U578" s="404"/>
      <c r="V578" s="658" t="s">
        <v>6615</v>
      </c>
      <c r="W578" s="404"/>
      <c r="X578" s="404" t="s">
        <v>208</v>
      </c>
      <c r="Y578" s="404"/>
      <c r="Z578" s="404" t="s">
        <v>113</v>
      </c>
      <c r="AA578" s="404" t="s">
        <v>1889</v>
      </c>
      <c r="AB578" s="420" t="s">
        <v>6573</v>
      </c>
      <c r="AC578" s="404"/>
      <c r="AD578" s="404"/>
      <c r="AE578" s="406"/>
      <c r="AF578" s="404"/>
      <c r="AG578" s="420" t="s">
        <v>6616</v>
      </c>
      <c r="AH578" s="399"/>
      <c r="AI578" s="400"/>
      <c r="AJ578" s="399" t="s">
        <v>1787</v>
      </c>
      <c r="AK578" s="399"/>
      <c r="AL578" s="399" t="s">
        <v>1787</v>
      </c>
      <c r="AM578" s="399"/>
      <c r="AN578" s="399" t="s">
        <v>1787</v>
      </c>
      <c r="AO578" s="399" t="s">
        <v>1787</v>
      </c>
      <c r="AP578" s="399"/>
      <c r="AQ578" s="660" t="s">
        <v>3130</v>
      </c>
      <c r="AR578" s="399"/>
      <c r="AS578" s="399"/>
      <c r="AT578" s="399"/>
      <c r="AU578" s="399"/>
      <c r="AV578" s="399" t="str">
        <f t="shared" si="107"/>
        <v/>
      </c>
      <c r="AW578" s="399"/>
      <c r="AX578" s="409" t="s">
        <v>5194</v>
      </c>
      <c r="AY578" s="399" t="e">
        <f t="shared" ca="1" si="108"/>
        <v>#NAME?</v>
      </c>
      <c r="AZ578" s="399"/>
      <c r="BA578" s="409" t="s">
        <v>3125</v>
      </c>
      <c r="BB578" s="399"/>
      <c r="BC578" s="399" t="s">
        <v>1787</v>
      </c>
      <c r="BD578" s="399" t="s">
        <v>1787</v>
      </c>
      <c r="BE578" s="411"/>
      <c r="BF578" s="411" t="s">
        <v>1787</v>
      </c>
      <c r="BG578" s="434" t="s">
        <v>6618</v>
      </c>
      <c r="BH578" s="411"/>
      <c r="BI578" s="411"/>
      <c r="BJ578" s="399" t="s">
        <v>1787</v>
      </c>
      <c r="BK578" s="399" t="s">
        <v>1787</v>
      </c>
      <c r="BL578" s="399"/>
      <c r="BM578" s="399" t="s">
        <v>1787</v>
      </c>
      <c r="BN578" s="399" t="s">
        <v>1787</v>
      </c>
      <c r="BO578" s="399" t="s">
        <v>1787</v>
      </c>
      <c r="BP578" s="399" t="s">
        <v>1787</v>
      </c>
      <c r="BQ578" s="399" t="s">
        <v>1787</v>
      </c>
      <c r="BR578" s="399" t="s">
        <v>1787</v>
      </c>
      <c r="BS578" s="407"/>
      <c r="BT578" s="407"/>
      <c r="BU578" s="412"/>
      <c r="BV578" s="46" t="str">
        <f t="shared" si="8"/>
        <v/>
      </c>
      <c r="BW578" s="46">
        <f t="shared" si="9"/>
        <v>0</v>
      </c>
      <c r="BX578" s="46">
        <f t="shared" si="10"/>
        <v>0</v>
      </c>
      <c r="BY578" s="43" t="str">
        <f t="shared" si="11"/>
        <v>WHO-STI Observation (Reported Symptoms)</v>
      </c>
      <c r="BZ578" s="46">
        <f t="shared" si="12"/>
        <v>1</v>
      </c>
      <c r="CA578" s="46" t="str">
        <f t="shared" si="13"/>
        <v/>
      </c>
      <c r="CB578" s="46">
        <f t="shared" si="14"/>
        <v>1</v>
      </c>
      <c r="CC578" s="46">
        <f t="shared" si="15"/>
        <v>1</v>
      </c>
      <c r="CD578" s="46">
        <f t="shared" si="16"/>
        <v>1</v>
      </c>
      <c r="CE578" s="46">
        <f t="shared" si="17"/>
        <v>0</v>
      </c>
      <c r="CF578" s="46">
        <f t="shared" si="18"/>
        <v>0</v>
      </c>
      <c r="CG578" s="46" t="str">
        <f ca="1">IFERROR(__xludf.DUMMYFUNCTION("if(OR(BH578="""",LEFT(BH578,2)=""LA""),"""",IMPORTXML(CONCATENATE(""https://loinc.org/"",BH578,""/""),""//span[@id='lcn']""))"),"")</f>
        <v/>
      </c>
      <c r="CH578" s="46"/>
      <c r="CI578" s="46"/>
      <c r="CJ578" s="46"/>
      <c r="CK578" s="46"/>
      <c r="CL578" s="46"/>
      <c r="CM578" s="46"/>
      <c r="CN578" s="46"/>
      <c r="CO578" s="46"/>
      <c r="CP578" s="46"/>
      <c r="CQ578" s="46"/>
      <c r="CR578" s="46"/>
      <c r="CS578" s="46"/>
      <c r="CT578" s="46"/>
      <c r="CU578" s="46"/>
    </row>
    <row r="579" spans="1:99" ht="12.75" customHeight="1">
      <c r="A579" s="409">
        <v>2010</v>
      </c>
      <c r="B579" s="399" t="s">
        <v>6620</v>
      </c>
      <c r="C579" s="399">
        <f t="shared" si="103"/>
        <v>2010</v>
      </c>
      <c r="D579" s="399" t="e">
        <f t="shared" ca="1" si="104"/>
        <v>#NAME?</v>
      </c>
      <c r="E579" s="399" t="str">
        <f t="shared" si="105"/>
        <v>Pain in lower abdomen during pelvic examination</v>
      </c>
      <c r="F579" s="399" t="str">
        <f t="shared" si="109"/>
        <v>Input Option</v>
      </c>
      <c r="G579" s="400">
        <f t="shared" si="106"/>
        <v>54</v>
      </c>
      <c r="H579" s="399" t="str">
        <f t="shared" si="110"/>
        <v>Reported symptoms</v>
      </c>
      <c r="I579" s="400"/>
      <c r="J579" s="400"/>
      <c r="K579" s="401" t="s">
        <v>5283</v>
      </c>
      <c r="L579" s="402" t="s">
        <v>5194</v>
      </c>
      <c r="M579" s="400"/>
      <c r="N579" s="639" t="s">
        <v>4853</v>
      </c>
      <c r="O579" s="431" t="s">
        <v>6621</v>
      </c>
      <c r="P579" s="431"/>
      <c r="Q579" s="404"/>
      <c r="R579" s="404"/>
      <c r="S579" s="404"/>
      <c r="T579" s="404"/>
      <c r="U579" s="404"/>
      <c r="V579" s="429" t="s">
        <v>6622</v>
      </c>
      <c r="W579" s="404"/>
      <c r="X579" s="404" t="s">
        <v>208</v>
      </c>
      <c r="Y579" s="404"/>
      <c r="Z579" s="404" t="s">
        <v>113</v>
      </c>
      <c r="AA579" s="404" t="s">
        <v>1889</v>
      </c>
      <c r="AB579" s="406"/>
      <c r="AC579" s="404"/>
      <c r="AD579" s="404"/>
      <c r="AE579" s="406"/>
      <c r="AF579" s="404"/>
      <c r="AG579" s="420" t="s">
        <v>6624</v>
      </c>
      <c r="AH579" s="399"/>
      <c r="AI579" s="400"/>
      <c r="AJ579" s="399" t="s">
        <v>1787</v>
      </c>
      <c r="AK579" s="399"/>
      <c r="AL579" s="399" t="s">
        <v>1787</v>
      </c>
      <c r="AM579" s="399"/>
      <c r="AN579" s="399" t="s">
        <v>1787</v>
      </c>
      <c r="AO579" s="399" t="s">
        <v>1787</v>
      </c>
      <c r="AP579" s="399"/>
      <c r="AQ579" s="660" t="s">
        <v>3130</v>
      </c>
      <c r="AR579" s="399"/>
      <c r="AS579" s="399"/>
      <c r="AT579" s="399"/>
      <c r="AU579" s="399"/>
      <c r="AV579" s="399" t="str">
        <f t="shared" si="107"/>
        <v/>
      </c>
      <c r="AW579" s="399"/>
      <c r="AX579" s="409" t="s">
        <v>5194</v>
      </c>
      <c r="AY579" s="399" t="e">
        <f t="shared" ca="1" si="108"/>
        <v>#NAME?</v>
      </c>
      <c r="AZ579" s="399"/>
      <c r="BA579" s="409" t="s">
        <v>3125</v>
      </c>
      <c r="BB579" s="399"/>
      <c r="BC579" s="399" t="s">
        <v>1787</v>
      </c>
      <c r="BD579" s="399" t="s">
        <v>1787</v>
      </c>
      <c r="BE579" s="411"/>
      <c r="BF579" s="411" t="s">
        <v>1787</v>
      </c>
      <c r="BG579" s="434" t="s">
        <v>6625</v>
      </c>
      <c r="BH579" s="411"/>
      <c r="BI579" s="411"/>
      <c r="BJ579" s="399" t="s">
        <v>1787</v>
      </c>
      <c r="BK579" s="399" t="s">
        <v>1787</v>
      </c>
      <c r="BL579" s="409" t="s">
        <v>3162</v>
      </c>
      <c r="BM579" s="399" t="s">
        <v>1787</v>
      </c>
      <c r="BN579" s="399" t="s">
        <v>1787</v>
      </c>
      <c r="BO579" s="399" t="s">
        <v>1787</v>
      </c>
      <c r="BP579" s="399" t="s">
        <v>1787</v>
      </c>
      <c r="BQ579" s="399" t="s">
        <v>1787</v>
      </c>
      <c r="BR579" s="399" t="s">
        <v>1787</v>
      </c>
      <c r="BS579" s="407"/>
      <c r="BT579" s="407"/>
      <c r="BU579" s="412"/>
      <c r="BV579" s="46" t="str">
        <f t="shared" si="8"/>
        <v/>
      </c>
      <c r="BW579" s="46">
        <f t="shared" si="9"/>
        <v>0</v>
      </c>
      <c r="BX579" s="46">
        <f t="shared" si="10"/>
        <v>0</v>
      </c>
      <c r="BY579" s="43" t="str">
        <f t="shared" si="11"/>
        <v>WHO-STI Observation (Reported Symptoms)</v>
      </c>
      <c r="BZ579" s="46">
        <f t="shared" si="12"/>
        <v>1</v>
      </c>
      <c r="CA579" s="46" t="str">
        <f t="shared" si="13"/>
        <v/>
      </c>
      <c r="CB579" s="46">
        <f t="shared" si="14"/>
        <v>1</v>
      </c>
      <c r="CC579" s="46">
        <f t="shared" si="15"/>
        <v>1</v>
      </c>
      <c r="CD579" s="46">
        <f t="shared" si="16"/>
        <v>1</v>
      </c>
      <c r="CE579" s="46">
        <f t="shared" si="17"/>
        <v>0</v>
      </c>
      <c r="CF579" s="46">
        <f t="shared" si="18"/>
        <v>0</v>
      </c>
      <c r="CG579" s="46" t="str">
        <f ca="1">IFERROR(__xludf.DUMMYFUNCTION("if(OR(BH579="""",LEFT(BH579,2)=""LA""),"""",IMPORTXML(CONCATENATE(""https://loinc.org/"",BH579,""/""),""//span[@id='lcn']""))"),"")</f>
        <v/>
      </c>
      <c r="CH579" s="46"/>
      <c r="CI579" s="46"/>
      <c r="CJ579" s="46"/>
      <c r="CK579" s="46"/>
      <c r="CL579" s="46"/>
      <c r="CM579" s="46"/>
      <c r="CN579" s="46"/>
      <c r="CO579" s="46"/>
      <c r="CP579" s="46"/>
      <c r="CQ579" s="46"/>
      <c r="CR579" s="46"/>
      <c r="CS579" s="46"/>
      <c r="CT579" s="46"/>
      <c r="CU579" s="46"/>
    </row>
    <row r="580" spans="1:99" ht="12.75" customHeight="1">
      <c r="A580" s="409">
        <v>2011</v>
      </c>
      <c r="B580" s="399" t="s">
        <v>6627</v>
      </c>
      <c r="C580" s="399">
        <f t="shared" si="103"/>
        <v>2011</v>
      </c>
      <c r="D580" s="399" t="e">
        <f t="shared" ca="1" si="104"/>
        <v>#NAME?</v>
      </c>
      <c r="E580" s="399" t="str">
        <f t="shared" si="105"/>
        <v>Ulcer(s) improving</v>
      </c>
      <c r="F580" s="399" t="str">
        <f t="shared" si="109"/>
        <v>Input Option</v>
      </c>
      <c r="G580" s="400">
        <f t="shared" si="106"/>
        <v>25</v>
      </c>
      <c r="H580" s="399" t="str">
        <f t="shared" si="110"/>
        <v>Reported symptoms</v>
      </c>
      <c r="I580" s="400"/>
      <c r="J580" s="400"/>
      <c r="K580" s="401" t="s">
        <v>5283</v>
      </c>
      <c r="L580" s="402" t="s">
        <v>5194</v>
      </c>
      <c r="M580" s="400"/>
      <c r="N580" s="639" t="s">
        <v>4853</v>
      </c>
      <c r="O580" s="431" t="s">
        <v>6628</v>
      </c>
      <c r="P580" s="431"/>
      <c r="Q580" s="404"/>
      <c r="R580" s="404"/>
      <c r="S580" s="404"/>
      <c r="T580" s="404"/>
      <c r="U580" s="404"/>
      <c r="V580" s="429" t="s">
        <v>6629</v>
      </c>
      <c r="W580" s="404"/>
      <c r="X580" s="404" t="s">
        <v>208</v>
      </c>
      <c r="Y580" s="404"/>
      <c r="Z580" s="404" t="s">
        <v>113</v>
      </c>
      <c r="AA580" s="404" t="s">
        <v>1889</v>
      </c>
      <c r="AB580" s="406"/>
      <c r="AC580" s="404"/>
      <c r="AD580" s="404"/>
      <c r="AE580" s="406"/>
      <c r="AF580" s="404"/>
      <c r="AG580" s="420" t="s">
        <v>6630</v>
      </c>
      <c r="AH580" s="399"/>
      <c r="AI580" s="400"/>
      <c r="AJ580" s="399" t="s">
        <v>1787</v>
      </c>
      <c r="AK580" s="399"/>
      <c r="AL580" s="399" t="s">
        <v>1787</v>
      </c>
      <c r="AM580" s="399"/>
      <c r="AN580" s="399" t="s">
        <v>1787</v>
      </c>
      <c r="AO580" s="399" t="s">
        <v>1787</v>
      </c>
      <c r="AP580" s="399"/>
      <c r="AQ580" s="660" t="s">
        <v>3130</v>
      </c>
      <c r="AR580" s="399"/>
      <c r="AS580" s="399"/>
      <c r="AT580" s="399"/>
      <c r="AU580" s="399"/>
      <c r="AV580" s="399" t="str">
        <f t="shared" si="107"/>
        <v/>
      </c>
      <c r="AW580" s="399"/>
      <c r="AX580" s="409" t="s">
        <v>5194</v>
      </c>
      <c r="AY580" s="399" t="e">
        <f t="shared" ca="1" si="108"/>
        <v>#NAME?</v>
      </c>
      <c r="AZ580" s="399"/>
      <c r="BA580" s="409" t="s">
        <v>3125</v>
      </c>
      <c r="BB580" s="399"/>
      <c r="BC580" s="399" t="s">
        <v>1787</v>
      </c>
      <c r="BD580" s="399" t="s">
        <v>1787</v>
      </c>
      <c r="BE580" s="411"/>
      <c r="BF580" s="411" t="s">
        <v>1787</v>
      </c>
      <c r="BG580" s="434" t="s">
        <v>6631</v>
      </c>
      <c r="BH580" s="411"/>
      <c r="BI580" s="411"/>
      <c r="BJ580" s="399" t="s">
        <v>1787</v>
      </c>
      <c r="BK580" s="399" t="s">
        <v>1787</v>
      </c>
      <c r="BL580" s="409" t="s">
        <v>3162</v>
      </c>
      <c r="BM580" s="409" t="s">
        <v>6632</v>
      </c>
      <c r="BN580" s="399" t="s">
        <v>1787</v>
      </c>
      <c r="BO580" s="399" t="s">
        <v>1787</v>
      </c>
      <c r="BP580" s="399" t="s">
        <v>1787</v>
      </c>
      <c r="BQ580" s="399" t="s">
        <v>1787</v>
      </c>
      <c r="BR580" s="399" t="s">
        <v>1787</v>
      </c>
      <c r="BS580" s="407"/>
      <c r="BT580" s="407"/>
      <c r="BU580" s="412"/>
      <c r="BV580" s="46" t="str">
        <f t="shared" si="8"/>
        <v/>
      </c>
      <c r="BW580" s="46">
        <f t="shared" si="9"/>
        <v>0</v>
      </c>
      <c r="BX580" s="46">
        <f t="shared" si="10"/>
        <v>0</v>
      </c>
      <c r="BY580" s="43" t="str">
        <f t="shared" si="11"/>
        <v>WHO-STI Observation (Reported Symptoms)</v>
      </c>
      <c r="BZ580" s="46">
        <f t="shared" si="12"/>
        <v>1</v>
      </c>
      <c r="CA580" s="46" t="str">
        <f t="shared" si="13"/>
        <v/>
      </c>
      <c r="CB580" s="46">
        <f t="shared" si="14"/>
        <v>1</v>
      </c>
      <c r="CC580" s="46">
        <f t="shared" si="15"/>
        <v>1</v>
      </c>
      <c r="CD580" s="46">
        <f t="shared" si="16"/>
        <v>1</v>
      </c>
      <c r="CE580" s="46">
        <f t="shared" si="17"/>
        <v>0</v>
      </c>
      <c r="CF580" s="46">
        <f t="shared" si="18"/>
        <v>0</v>
      </c>
      <c r="CG580" s="46" t="str">
        <f ca="1">IFERROR(__xludf.DUMMYFUNCTION("if(OR(BH580="""",LEFT(BH580,2)=""LA""),"""",IMPORTXML(CONCATENATE(""https://loinc.org/"",BH580,""/""),""//span[@id='lcn']""))"),"")</f>
        <v/>
      </c>
      <c r="CH580" s="46"/>
      <c r="CI580" s="46"/>
      <c r="CJ580" s="46"/>
      <c r="CK580" s="46"/>
      <c r="CL580" s="46"/>
      <c r="CM580" s="46"/>
      <c r="CN580" s="46"/>
      <c r="CO580" s="46"/>
      <c r="CP580" s="46"/>
      <c r="CQ580" s="46"/>
      <c r="CR580" s="46"/>
      <c r="CS580" s="46"/>
      <c r="CT580" s="46"/>
      <c r="CU580" s="46"/>
    </row>
    <row r="581" spans="1:99" ht="12.75" customHeight="1">
      <c r="A581" s="409">
        <v>2012</v>
      </c>
      <c r="B581" s="399" t="s">
        <v>6634</v>
      </c>
      <c r="C581" s="399">
        <f t="shared" si="103"/>
        <v>2012</v>
      </c>
      <c r="D581" s="399" t="e">
        <f t="shared" ca="1" si="104"/>
        <v>#NAME?</v>
      </c>
      <c r="E581" s="399" t="str">
        <f t="shared" si="105"/>
        <v>Ulcer(s) healed</v>
      </c>
      <c r="F581" s="399" t="str">
        <f t="shared" si="109"/>
        <v>Input Option</v>
      </c>
      <c r="G581" s="400">
        <f t="shared" si="106"/>
        <v>22</v>
      </c>
      <c r="H581" s="399" t="str">
        <f t="shared" si="110"/>
        <v>Reported symptoms</v>
      </c>
      <c r="I581" s="400"/>
      <c r="J581" s="400"/>
      <c r="K581" s="401" t="s">
        <v>5283</v>
      </c>
      <c r="L581" s="402" t="s">
        <v>5194</v>
      </c>
      <c r="M581" s="400"/>
      <c r="N581" s="639" t="s">
        <v>4853</v>
      </c>
      <c r="O581" s="431" t="s">
        <v>6636</v>
      </c>
      <c r="P581" s="431"/>
      <c r="Q581" s="404"/>
      <c r="R581" s="404"/>
      <c r="S581" s="404"/>
      <c r="T581" s="404"/>
      <c r="U581" s="404"/>
      <c r="V581" s="429" t="s">
        <v>6637</v>
      </c>
      <c r="W581" s="404"/>
      <c r="X581" s="404" t="s">
        <v>208</v>
      </c>
      <c r="Y581" s="404"/>
      <c r="Z581" s="404" t="s">
        <v>113</v>
      </c>
      <c r="AA581" s="404" t="s">
        <v>1889</v>
      </c>
      <c r="AB581" s="406"/>
      <c r="AC581" s="404"/>
      <c r="AD581" s="404"/>
      <c r="AE581" s="406"/>
      <c r="AF581" s="404"/>
      <c r="AG581" s="420" t="s">
        <v>6630</v>
      </c>
      <c r="AH581" s="399"/>
      <c r="AI581" s="400"/>
      <c r="AJ581" s="399" t="s">
        <v>1787</v>
      </c>
      <c r="AK581" s="399"/>
      <c r="AL581" s="399" t="s">
        <v>1787</v>
      </c>
      <c r="AM581" s="399"/>
      <c r="AN581" s="399" t="s">
        <v>1787</v>
      </c>
      <c r="AO581" s="399" t="s">
        <v>1787</v>
      </c>
      <c r="AP581" s="399"/>
      <c r="AQ581" s="409" t="s">
        <v>3130</v>
      </c>
      <c r="AR581" s="399"/>
      <c r="AS581" s="399"/>
      <c r="AT581" s="399"/>
      <c r="AU581" s="399"/>
      <c r="AV581" s="399" t="str">
        <f t="shared" si="107"/>
        <v/>
      </c>
      <c r="AW581" s="399"/>
      <c r="AX581" s="409" t="s">
        <v>5194</v>
      </c>
      <c r="AY581" s="399" t="e">
        <f t="shared" ca="1" si="108"/>
        <v>#NAME?</v>
      </c>
      <c r="AZ581" s="399"/>
      <c r="BA581" s="409" t="s">
        <v>3125</v>
      </c>
      <c r="BB581" s="399"/>
      <c r="BC581" s="399" t="s">
        <v>1787</v>
      </c>
      <c r="BD581" s="399" t="s">
        <v>1787</v>
      </c>
      <c r="BE581" s="411"/>
      <c r="BF581" s="411" t="s">
        <v>1787</v>
      </c>
      <c r="BG581" s="434" t="s">
        <v>6638</v>
      </c>
      <c r="BH581" s="411"/>
      <c r="BI581" s="411"/>
      <c r="BJ581" s="399" t="s">
        <v>1787</v>
      </c>
      <c r="BK581" s="399" t="s">
        <v>1787</v>
      </c>
      <c r="BL581" s="409" t="s">
        <v>3162</v>
      </c>
      <c r="BM581" s="409" t="s">
        <v>6639</v>
      </c>
      <c r="BN581" s="399" t="s">
        <v>1787</v>
      </c>
      <c r="BO581" s="399" t="s">
        <v>1787</v>
      </c>
      <c r="BP581" s="399" t="s">
        <v>1787</v>
      </c>
      <c r="BQ581" s="399" t="s">
        <v>1787</v>
      </c>
      <c r="BR581" s="399" t="s">
        <v>1787</v>
      </c>
      <c r="BS581" s="407"/>
      <c r="BT581" s="407"/>
      <c r="BU581" s="412"/>
      <c r="BV581" s="46" t="str">
        <f t="shared" si="8"/>
        <v/>
      </c>
      <c r="BW581" s="46">
        <f t="shared" si="9"/>
        <v>0</v>
      </c>
      <c r="BX581" s="46">
        <f t="shared" si="10"/>
        <v>0</v>
      </c>
      <c r="BY581" s="43" t="str">
        <f t="shared" si="11"/>
        <v>WHO-STI Observation (Reported Symptoms)</v>
      </c>
      <c r="BZ581" s="46">
        <f t="shared" si="12"/>
        <v>1</v>
      </c>
      <c r="CA581" s="46" t="str">
        <f t="shared" si="13"/>
        <v/>
      </c>
      <c r="CB581" s="46">
        <f t="shared" si="14"/>
        <v>1</v>
      </c>
      <c r="CC581" s="46">
        <f t="shared" si="15"/>
        <v>1</v>
      </c>
      <c r="CD581" s="46">
        <f t="shared" si="16"/>
        <v>1</v>
      </c>
      <c r="CE581" s="46">
        <f t="shared" si="17"/>
        <v>0</v>
      </c>
      <c r="CF581" s="46">
        <f t="shared" si="18"/>
        <v>0</v>
      </c>
      <c r="CG581" s="46" t="str">
        <f ca="1">IFERROR(__xludf.DUMMYFUNCTION("if(OR(BH581="""",LEFT(BH581,2)=""LA""),"""",IMPORTXML(CONCATENATE(""https://loinc.org/"",BH581,""/""),""//span[@id='lcn']""))"),"")</f>
        <v/>
      </c>
      <c r="CH581" s="46"/>
      <c r="CI581" s="46"/>
      <c r="CJ581" s="46"/>
      <c r="CK581" s="46"/>
      <c r="CL581" s="46"/>
      <c r="CM581" s="46"/>
      <c r="CN581" s="46"/>
      <c r="CO581" s="46"/>
      <c r="CP581" s="46"/>
      <c r="CQ581" s="46"/>
      <c r="CR581" s="46"/>
      <c r="CS581" s="46"/>
      <c r="CT581" s="46"/>
      <c r="CU581" s="46"/>
    </row>
    <row r="582" spans="1:99" ht="12.75" customHeight="1">
      <c r="A582" s="409">
        <v>2013</v>
      </c>
      <c r="B582" s="399" t="s">
        <v>6644</v>
      </c>
      <c r="C582" s="399">
        <f t="shared" si="103"/>
        <v>2013</v>
      </c>
      <c r="D582" s="399" t="e">
        <f t="shared" ca="1" si="104"/>
        <v>#NAME?</v>
      </c>
      <c r="E582" s="399" t="str">
        <f t="shared" si="105"/>
        <v>Adnexal tenderness</v>
      </c>
      <c r="F582" s="399" t="str">
        <f t="shared" si="109"/>
        <v>Input Option</v>
      </c>
      <c r="G582" s="400">
        <f t="shared" si="106"/>
        <v>25</v>
      </c>
      <c r="H582" s="399" t="str">
        <f t="shared" si="110"/>
        <v>Reported symptoms</v>
      </c>
      <c r="I582" s="400"/>
      <c r="J582" s="400"/>
      <c r="K582" s="401" t="s">
        <v>5283</v>
      </c>
      <c r="L582" s="402" t="s">
        <v>5194</v>
      </c>
      <c r="M582" s="400"/>
      <c r="N582" s="639" t="s">
        <v>4853</v>
      </c>
      <c r="O582" s="431" t="s">
        <v>6645</v>
      </c>
      <c r="P582" s="431"/>
      <c r="Q582" s="404"/>
      <c r="R582" s="404"/>
      <c r="S582" s="404"/>
      <c r="T582" s="404"/>
      <c r="U582" s="404"/>
      <c r="V582" s="429" t="s">
        <v>6646</v>
      </c>
      <c r="W582" s="404"/>
      <c r="X582" s="404" t="s">
        <v>208</v>
      </c>
      <c r="Y582" s="404"/>
      <c r="Z582" s="404" t="s">
        <v>113</v>
      </c>
      <c r="AA582" s="404" t="s">
        <v>1889</v>
      </c>
      <c r="AB582" s="406"/>
      <c r="AC582" s="404"/>
      <c r="AD582" s="404"/>
      <c r="AE582" s="406"/>
      <c r="AF582" s="404"/>
      <c r="AG582" s="404" t="s">
        <v>6647</v>
      </c>
      <c r="AH582" s="399"/>
      <c r="AI582" s="400"/>
      <c r="AJ582" s="399" t="s">
        <v>1787</v>
      </c>
      <c r="AK582" s="399"/>
      <c r="AL582" s="399" t="s">
        <v>1787</v>
      </c>
      <c r="AM582" s="399"/>
      <c r="AN582" s="399" t="s">
        <v>1787</v>
      </c>
      <c r="AO582" s="399" t="s">
        <v>1787</v>
      </c>
      <c r="AP582" s="399"/>
      <c r="AQ582" s="409" t="s">
        <v>3130</v>
      </c>
      <c r="AR582" s="399"/>
      <c r="AS582" s="399"/>
      <c r="AT582" s="399"/>
      <c r="AU582" s="399"/>
      <c r="AV582" s="399" t="str">
        <f t="shared" si="107"/>
        <v/>
      </c>
      <c r="AW582" s="399"/>
      <c r="AX582" s="409" t="s">
        <v>5194</v>
      </c>
      <c r="AY582" s="399" t="e">
        <f t="shared" ca="1" si="108"/>
        <v>#NAME?</v>
      </c>
      <c r="AZ582" s="399"/>
      <c r="BA582" s="409" t="s">
        <v>3125</v>
      </c>
      <c r="BB582" s="399"/>
      <c r="BC582" s="399" t="s">
        <v>1787</v>
      </c>
      <c r="BD582" s="409" t="s">
        <v>3162</v>
      </c>
      <c r="BE582" s="411"/>
      <c r="BF582" s="411" t="s">
        <v>1787</v>
      </c>
      <c r="BG582" s="434" t="s">
        <v>6648</v>
      </c>
      <c r="BH582" s="411"/>
      <c r="BI582" s="411"/>
      <c r="BJ582" s="399" t="s">
        <v>1787</v>
      </c>
      <c r="BK582" s="399" t="s">
        <v>1787</v>
      </c>
      <c r="BL582" s="399"/>
      <c r="BM582" s="399" t="s">
        <v>1787</v>
      </c>
      <c r="BN582" s="399" t="s">
        <v>1787</v>
      </c>
      <c r="BO582" s="399" t="s">
        <v>1787</v>
      </c>
      <c r="BP582" s="399" t="s">
        <v>1787</v>
      </c>
      <c r="BQ582" s="399" t="s">
        <v>1787</v>
      </c>
      <c r="BR582" s="399" t="s">
        <v>1787</v>
      </c>
      <c r="BS582" s="407"/>
      <c r="BT582" s="407"/>
      <c r="BU582" s="412"/>
      <c r="BV582" s="46" t="str">
        <f t="shared" si="8"/>
        <v/>
      </c>
      <c r="BW582" s="46">
        <f t="shared" si="9"/>
        <v>0</v>
      </c>
      <c r="BX582" s="46">
        <f t="shared" si="10"/>
        <v>0</v>
      </c>
      <c r="BY582" s="43" t="str">
        <f t="shared" si="11"/>
        <v>WHO-STI Observation (Reported Symptoms)</v>
      </c>
      <c r="BZ582" s="46">
        <f t="shared" si="12"/>
        <v>1</v>
      </c>
      <c r="CA582" s="46" t="str">
        <f t="shared" si="13"/>
        <v/>
      </c>
      <c r="CB582" s="46">
        <f t="shared" si="14"/>
        <v>1</v>
      </c>
      <c r="CC582" s="46">
        <f t="shared" si="15"/>
        <v>1</v>
      </c>
      <c r="CD582" s="46">
        <f t="shared" si="16"/>
        <v>1</v>
      </c>
      <c r="CE582" s="46">
        <f t="shared" si="17"/>
        <v>0</v>
      </c>
      <c r="CF582" s="46">
        <f t="shared" si="18"/>
        <v>0</v>
      </c>
      <c r="CG582" s="46" t="str">
        <f ca="1">IFERROR(__xludf.DUMMYFUNCTION("if(OR(BH582="""",LEFT(BH582,2)=""LA""),"""",IMPORTXML(CONCATENATE(""https://loinc.org/"",BH582,""/""),""//span[@id='lcn']""))"),"")</f>
        <v/>
      </c>
      <c r="CH582" s="46"/>
      <c r="CI582" s="46"/>
      <c r="CJ582" s="46"/>
      <c r="CK582" s="46"/>
      <c r="CL582" s="46"/>
      <c r="CM582" s="46"/>
      <c r="CN582" s="46"/>
      <c r="CO582" s="46"/>
      <c r="CP582" s="46"/>
      <c r="CQ582" s="46"/>
      <c r="CR582" s="46"/>
      <c r="CS582" s="46"/>
      <c r="CT582" s="46"/>
      <c r="CU582" s="46"/>
    </row>
    <row r="583" spans="1:99" ht="12.75" customHeight="1">
      <c r="A583" s="409">
        <v>2014</v>
      </c>
      <c r="B583" s="399" t="s">
        <v>6653</v>
      </c>
      <c r="C583" s="399">
        <f t="shared" si="103"/>
        <v>2014</v>
      </c>
      <c r="D583" s="399" t="e">
        <f t="shared" ca="1" si="104"/>
        <v>#NAME?</v>
      </c>
      <c r="E583" s="399" t="str">
        <f t="shared" si="105"/>
        <v>Uterine tenderness</v>
      </c>
      <c r="F583" s="399" t="str">
        <f t="shared" si="109"/>
        <v>Input Option</v>
      </c>
      <c r="G583" s="400">
        <f t="shared" si="106"/>
        <v>25</v>
      </c>
      <c r="H583" s="399" t="str">
        <f t="shared" si="110"/>
        <v>Reported symptoms</v>
      </c>
      <c r="I583" s="400"/>
      <c r="J583" s="400"/>
      <c r="K583" s="401" t="s">
        <v>5283</v>
      </c>
      <c r="L583" s="402" t="s">
        <v>5194</v>
      </c>
      <c r="M583" s="400"/>
      <c r="N583" s="639" t="s">
        <v>4853</v>
      </c>
      <c r="O583" s="404" t="s">
        <v>6654</v>
      </c>
      <c r="P583" s="404"/>
      <c r="Q583" s="404"/>
      <c r="R583" s="404"/>
      <c r="S583" s="404"/>
      <c r="T583" s="404"/>
      <c r="U583" s="404"/>
      <c r="V583" s="429" t="s">
        <v>6655</v>
      </c>
      <c r="W583" s="404"/>
      <c r="X583" s="404" t="s">
        <v>208</v>
      </c>
      <c r="Y583" s="404"/>
      <c r="Z583" s="404" t="s">
        <v>113</v>
      </c>
      <c r="AA583" s="404" t="s">
        <v>1889</v>
      </c>
      <c r="AB583" s="406"/>
      <c r="AC583" s="404"/>
      <c r="AD583" s="404"/>
      <c r="AE583" s="406"/>
      <c r="AF583" s="404"/>
      <c r="AG583" s="404" t="s">
        <v>6647</v>
      </c>
      <c r="AH583" s="399"/>
      <c r="AI583" s="400"/>
      <c r="AJ583" s="399" t="s">
        <v>1787</v>
      </c>
      <c r="AK583" s="399"/>
      <c r="AL583" s="399" t="s">
        <v>1787</v>
      </c>
      <c r="AM583" s="399"/>
      <c r="AN583" s="399" t="s">
        <v>1787</v>
      </c>
      <c r="AO583" s="399" t="s">
        <v>1787</v>
      </c>
      <c r="AP583" s="399"/>
      <c r="AQ583" s="409" t="s">
        <v>3130</v>
      </c>
      <c r="AR583" s="399"/>
      <c r="AS583" s="399"/>
      <c r="AT583" s="399"/>
      <c r="AU583" s="399"/>
      <c r="AV583" s="399" t="str">
        <f t="shared" si="107"/>
        <v/>
      </c>
      <c r="AW583" s="399"/>
      <c r="AX583" s="409" t="s">
        <v>5194</v>
      </c>
      <c r="AY583" s="399" t="e">
        <f t="shared" ca="1" si="108"/>
        <v>#NAME?</v>
      </c>
      <c r="AZ583" s="399"/>
      <c r="BA583" s="409" t="s">
        <v>3125</v>
      </c>
      <c r="BB583" s="399"/>
      <c r="BC583" s="399" t="s">
        <v>1787</v>
      </c>
      <c r="BD583" s="399" t="s">
        <v>1787</v>
      </c>
      <c r="BE583" s="434" t="s">
        <v>6657</v>
      </c>
      <c r="BF583" s="411" t="s">
        <v>1787</v>
      </c>
      <c r="BG583" s="434" t="s">
        <v>6658</v>
      </c>
      <c r="BH583" s="411"/>
      <c r="BI583" s="411"/>
      <c r="BJ583" s="399" t="s">
        <v>1787</v>
      </c>
      <c r="BK583" s="399" t="s">
        <v>1787</v>
      </c>
      <c r="BL583" s="399"/>
      <c r="BM583" s="409" t="s">
        <v>5262</v>
      </c>
      <c r="BN583" s="399" t="s">
        <v>1787</v>
      </c>
      <c r="BO583" s="399" t="s">
        <v>1787</v>
      </c>
      <c r="BP583" s="399" t="s">
        <v>1787</v>
      </c>
      <c r="BQ583" s="399" t="s">
        <v>1787</v>
      </c>
      <c r="BR583" s="399" t="s">
        <v>1787</v>
      </c>
      <c r="BS583" s="407"/>
      <c r="BT583" s="407"/>
      <c r="BU583" s="412"/>
      <c r="BV583" s="46" t="str">
        <f t="shared" si="8"/>
        <v/>
      </c>
      <c r="BW583" s="46">
        <f t="shared" si="9"/>
        <v>0</v>
      </c>
      <c r="BX583" s="46">
        <f t="shared" si="10"/>
        <v>0</v>
      </c>
      <c r="BY583" s="43" t="str">
        <f t="shared" si="11"/>
        <v>WHO-STI Observation (Reported Symptoms)</v>
      </c>
      <c r="BZ583" s="46">
        <f t="shared" si="12"/>
        <v>1</v>
      </c>
      <c r="CA583" s="46" t="str">
        <f t="shared" si="13"/>
        <v/>
      </c>
      <c r="CB583" s="46">
        <f t="shared" si="14"/>
        <v>1</v>
      </c>
      <c r="CC583" s="46">
        <f t="shared" si="15"/>
        <v>1</v>
      </c>
      <c r="CD583" s="46">
        <f t="shared" si="16"/>
        <v>1</v>
      </c>
      <c r="CE583" s="46">
        <f t="shared" si="17"/>
        <v>0</v>
      </c>
      <c r="CF583" s="46">
        <f t="shared" si="18"/>
        <v>0</v>
      </c>
      <c r="CG583" s="46" t="str">
        <f ca="1">IFERROR(__xludf.DUMMYFUNCTION("if(OR(BH583="""",LEFT(BH583,2)=""LA""),"""",IMPORTXML(CONCATENATE(""https://loinc.org/"",BH583,""/""),""//span[@id='lcn']""))"),"")</f>
        <v/>
      </c>
      <c r="CH583" s="46"/>
      <c r="CI583" s="46"/>
      <c r="CJ583" s="46"/>
      <c r="CK583" s="46"/>
      <c r="CL583" s="46"/>
      <c r="CM583" s="46"/>
      <c r="CN583" s="46"/>
      <c r="CO583" s="46"/>
      <c r="CP583" s="46"/>
      <c r="CQ583" s="46"/>
      <c r="CR583" s="46"/>
      <c r="CS583" s="46"/>
      <c r="CT583" s="46"/>
      <c r="CU583" s="46"/>
    </row>
    <row r="584" spans="1:99" ht="12.75" customHeight="1">
      <c r="A584" s="409">
        <v>2015</v>
      </c>
      <c r="B584" s="399" t="s">
        <v>6662</v>
      </c>
      <c r="C584" s="399">
        <f t="shared" si="103"/>
        <v>2015</v>
      </c>
      <c r="D584" s="399" t="e">
        <f t="shared" ca="1" si="104"/>
        <v>#NAME?</v>
      </c>
      <c r="E584" s="399" t="str">
        <f t="shared" si="105"/>
        <v>Ulcer in reproductive tract</v>
      </c>
      <c r="F584" s="399" t="str">
        <f t="shared" si="109"/>
        <v>Input Option</v>
      </c>
      <c r="G584" s="400">
        <f t="shared" si="106"/>
        <v>34</v>
      </c>
      <c r="H584" s="399" t="str">
        <f t="shared" si="110"/>
        <v>Reported symptoms</v>
      </c>
      <c r="I584" s="400"/>
      <c r="J584" s="400"/>
      <c r="K584" s="401" t="s">
        <v>5283</v>
      </c>
      <c r="L584" s="402" t="s">
        <v>5194</v>
      </c>
      <c r="M584" s="400"/>
      <c r="N584" s="639" t="s">
        <v>4853</v>
      </c>
      <c r="O584" s="404" t="s">
        <v>6663</v>
      </c>
      <c r="P584" s="404"/>
      <c r="Q584" s="404"/>
      <c r="R584" s="404"/>
      <c r="S584" s="404"/>
      <c r="T584" s="404"/>
      <c r="U584" s="404"/>
      <c r="V584" s="429" t="s">
        <v>6664</v>
      </c>
      <c r="W584" s="404"/>
      <c r="X584" s="404" t="s">
        <v>208</v>
      </c>
      <c r="Y584" s="404"/>
      <c r="Z584" s="404" t="s">
        <v>113</v>
      </c>
      <c r="AA584" s="404" t="s">
        <v>1889</v>
      </c>
      <c r="AB584" s="406"/>
      <c r="AC584" s="404"/>
      <c r="AD584" s="404"/>
      <c r="AE584" s="406"/>
      <c r="AF584" s="404"/>
      <c r="AG584" s="404"/>
      <c r="AH584" s="399"/>
      <c r="AI584" s="400"/>
      <c r="AJ584" s="399" t="s">
        <v>1787</v>
      </c>
      <c r="AK584" s="399"/>
      <c r="AL584" s="399" t="s">
        <v>1787</v>
      </c>
      <c r="AM584" s="399"/>
      <c r="AN584" s="399" t="s">
        <v>1787</v>
      </c>
      <c r="AO584" s="399" t="s">
        <v>1787</v>
      </c>
      <c r="AP584" s="399"/>
      <c r="AQ584" s="409" t="s">
        <v>3130</v>
      </c>
      <c r="AR584" s="399"/>
      <c r="AS584" s="399"/>
      <c r="AT584" s="399"/>
      <c r="AU584" s="399"/>
      <c r="AV584" s="399" t="str">
        <f t="shared" si="107"/>
        <v/>
      </c>
      <c r="AW584" s="399"/>
      <c r="AX584" s="409" t="s">
        <v>5194</v>
      </c>
      <c r="AY584" s="399" t="e">
        <f t="shared" ca="1" si="108"/>
        <v>#NAME?</v>
      </c>
      <c r="AZ584" s="399"/>
      <c r="BA584" s="409" t="s">
        <v>3125</v>
      </c>
      <c r="BB584" s="415" t="s">
        <v>3131</v>
      </c>
      <c r="BC584" s="399" t="s">
        <v>6664</v>
      </c>
      <c r="BD584" s="399" t="s">
        <v>1787</v>
      </c>
      <c r="BE584" s="411"/>
      <c r="BF584" s="411" t="s">
        <v>1787</v>
      </c>
      <c r="BG584" s="411"/>
      <c r="BH584" s="411"/>
      <c r="BI584" s="411"/>
      <c r="BJ584" s="409" t="s">
        <v>4282</v>
      </c>
      <c r="BK584" s="399" t="s">
        <v>1787</v>
      </c>
      <c r="BL584" s="409" t="s">
        <v>3162</v>
      </c>
      <c r="BM584" s="409" t="s">
        <v>6665</v>
      </c>
      <c r="BN584" s="399" t="s">
        <v>1787</v>
      </c>
      <c r="BO584" s="399" t="s">
        <v>1787</v>
      </c>
      <c r="BP584" s="399" t="s">
        <v>1787</v>
      </c>
      <c r="BQ584" s="399" t="s">
        <v>1787</v>
      </c>
      <c r="BR584" s="399" t="s">
        <v>1787</v>
      </c>
      <c r="BS584" s="407"/>
      <c r="BT584" s="407"/>
      <c r="BU584" s="412"/>
      <c r="BV584" s="46" t="str">
        <f t="shared" si="8"/>
        <v/>
      </c>
      <c r="BW584" s="46">
        <f t="shared" si="9"/>
        <v>0</v>
      </c>
      <c r="BX584" s="46">
        <f t="shared" si="10"/>
        <v>0</v>
      </c>
      <c r="BY584" s="43" t="str">
        <f t="shared" si="11"/>
        <v>WHO-STI Observation (Reported Symptoms)</v>
      </c>
      <c r="BZ584" s="46">
        <f t="shared" si="12"/>
        <v>1</v>
      </c>
      <c r="CA584" s="46" t="str">
        <f t="shared" si="13"/>
        <v/>
      </c>
      <c r="CB584" s="46">
        <f t="shared" si="14"/>
        <v>1</v>
      </c>
      <c r="CC584" s="46">
        <f t="shared" si="15"/>
        <v>1</v>
      </c>
      <c r="CD584" s="46">
        <f t="shared" si="16"/>
        <v>1</v>
      </c>
      <c r="CE584" s="46">
        <f t="shared" si="17"/>
        <v>0</v>
      </c>
      <c r="CF584" s="46">
        <f t="shared" si="18"/>
        <v>0</v>
      </c>
      <c r="CG584" s="46" t="str">
        <f ca="1">IFERROR(__xludf.DUMMYFUNCTION("if(OR(BH584="""",LEFT(BH584,2)=""LA""),"""",IMPORTXML(CONCATENATE(""https://loinc.org/"",BH584,""/""),""//span[@id='lcn']""))"),"")</f>
        <v/>
      </c>
      <c r="CH584" s="46"/>
      <c r="CI584" s="46"/>
      <c r="CJ584" s="46"/>
      <c r="CK584" s="46"/>
      <c r="CL584" s="46"/>
      <c r="CM584" s="46"/>
      <c r="CN584" s="46"/>
      <c r="CO584" s="46"/>
      <c r="CP584" s="46"/>
      <c r="CQ584" s="46"/>
      <c r="CR584" s="46"/>
      <c r="CS584" s="46"/>
      <c r="CT584" s="46"/>
      <c r="CU584" s="46"/>
    </row>
    <row r="585" spans="1:99" ht="12.75" customHeight="1">
      <c r="A585" s="409">
        <v>2016</v>
      </c>
      <c r="B585" s="399" t="s">
        <v>2478</v>
      </c>
      <c r="C585" s="399">
        <f t="shared" si="103"/>
        <v>2016</v>
      </c>
      <c r="D585" s="399" t="e">
        <f t="shared" ca="1" si="104"/>
        <v>#NAME?</v>
      </c>
      <c r="E585" s="399" t="str">
        <f t="shared" si="105"/>
        <v>Foul-smelling vaginal discharge</v>
      </c>
      <c r="F585" s="399" t="str">
        <f t="shared" si="109"/>
        <v>Input Option</v>
      </c>
      <c r="G585" s="400">
        <f t="shared" si="106"/>
        <v>38</v>
      </c>
      <c r="H585" s="399" t="str">
        <f t="shared" si="110"/>
        <v>Reported symptoms</v>
      </c>
      <c r="I585" s="400"/>
      <c r="J585" s="400"/>
      <c r="K585" s="401" t="s">
        <v>5283</v>
      </c>
      <c r="L585" s="402" t="s">
        <v>5194</v>
      </c>
      <c r="M585" s="400"/>
      <c r="N585" s="639" t="s">
        <v>4853</v>
      </c>
      <c r="O585" s="404" t="s">
        <v>6667</v>
      </c>
      <c r="P585" s="404"/>
      <c r="Q585" s="404"/>
      <c r="R585" s="404"/>
      <c r="S585" s="404"/>
      <c r="T585" s="404"/>
      <c r="U585" s="404"/>
      <c r="V585" s="658" t="s">
        <v>1631</v>
      </c>
      <c r="W585" s="404"/>
      <c r="X585" s="404" t="s">
        <v>208</v>
      </c>
      <c r="Y585" s="404"/>
      <c r="Z585" s="404" t="s">
        <v>113</v>
      </c>
      <c r="AA585" s="404" t="s">
        <v>1889</v>
      </c>
      <c r="AB585" s="420" t="s">
        <v>6573</v>
      </c>
      <c r="AC585" s="404"/>
      <c r="AD585" s="404"/>
      <c r="AE585" s="406"/>
      <c r="AF585" s="404"/>
      <c r="AG585" s="404"/>
      <c r="AH585" s="399"/>
      <c r="AI585" s="400"/>
      <c r="AJ585" s="399" t="s">
        <v>1787</v>
      </c>
      <c r="AK585" s="399"/>
      <c r="AL585" s="399" t="s">
        <v>1787</v>
      </c>
      <c r="AM585" s="399"/>
      <c r="AN585" s="399" t="s">
        <v>1787</v>
      </c>
      <c r="AO585" s="399" t="s">
        <v>1787</v>
      </c>
      <c r="AP585" s="399"/>
      <c r="AQ585" s="409" t="s">
        <v>3130</v>
      </c>
      <c r="AR585" s="399"/>
      <c r="AS585" s="399"/>
      <c r="AT585" s="399"/>
      <c r="AU585" s="399"/>
      <c r="AV585" s="399" t="str">
        <f t="shared" si="107"/>
        <v/>
      </c>
      <c r="AW585" s="399"/>
      <c r="AX585" s="409" t="s">
        <v>5194</v>
      </c>
      <c r="AY585" s="399" t="e">
        <f t="shared" ca="1" si="108"/>
        <v>#NAME?</v>
      </c>
      <c r="AZ585" s="399"/>
      <c r="BA585" s="409" t="s">
        <v>3125</v>
      </c>
      <c r="BB585" s="399"/>
      <c r="BC585" s="399" t="s">
        <v>1787</v>
      </c>
      <c r="BD585" s="409" t="s">
        <v>6668</v>
      </c>
      <c r="BE585" s="411"/>
      <c r="BF585" s="411" t="s">
        <v>1787</v>
      </c>
      <c r="BG585" s="434" t="s">
        <v>6669</v>
      </c>
      <c r="BH585" s="411"/>
      <c r="BI585" s="411"/>
      <c r="BJ585" s="399" t="s">
        <v>1787</v>
      </c>
      <c r="BK585" s="399" t="s">
        <v>1787</v>
      </c>
      <c r="BL585" s="399"/>
      <c r="BM585" s="410" t="s">
        <v>6670</v>
      </c>
      <c r="BN585" s="399" t="s">
        <v>1787</v>
      </c>
      <c r="BO585" s="399" t="s">
        <v>1787</v>
      </c>
      <c r="BP585" s="399" t="s">
        <v>1787</v>
      </c>
      <c r="BQ585" s="399" t="s">
        <v>1787</v>
      </c>
      <c r="BR585" s="399" t="s">
        <v>1787</v>
      </c>
      <c r="BS585" s="407"/>
      <c r="BT585" s="407"/>
      <c r="BU585" s="412"/>
      <c r="BV585" s="46" t="str">
        <f t="shared" si="8"/>
        <v/>
      </c>
      <c r="BW585" s="46">
        <f t="shared" si="9"/>
        <v>0</v>
      </c>
      <c r="BX585" s="46">
        <f t="shared" si="10"/>
        <v>0</v>
      </c>
      <c r="BY585" s="43" t="str">
        <f t="shared" si="11"/>
        <v>WHO-STI Observation (Reported Symptoms)</v>
      </c>
      <c r="BZ585" s="46">
        <f t="shared" si="12"/>
        <v>1</v>
      </c>
      <c r="CA585" s="46" t="str">
        <f t="shared" si="13"/>
        <v/>
      </c>
      <c r="CB585" s="46">
        <f t="shared" si="14"/>
        <v>1</v>
      </c>
      <c r="CC585" s="46">
        <f t="shared" si="15"/>
        <v>1</v>
      </c>
      <c r="CD585" s="46">
        <f t="shared" si="16"/>
        <v>1</v>
      </c>
      <c r="CE585" s="46">
        <f t="shared" si="17"/>
        <v>0</v>
      </c>
      <c r="CF585" s="46">
        <f t="shared" si="18"/>
        <v>0</v>
      </c>
      <c r="CG585" s="46" t="str">
        <f ca="1">IFERROR(__xludf.DUMMYFUNCTION("if(OR(BH585="""",LEFT(BH585,2)=""LA""),"""",IMPORTXML(CONCATENATE(""https://loinc.org/"",BH585,""/""),""//span[@id='lcn']""))"),"")</f>
        <v/>
      </c>
      <c r="CH585" s="46"/>
      <c r="CI585" s="46"/>
      <c r="CJ585" s="46"/>
      <c r="CK585" s="46"/>
      <c r="CL585" s="46"/>
      <c r="CM585" s="46"/>
      <c r="CN585" s="46"/>
      <c r="CO585" s="46"/>
      <c r="CP585" s="46"/>
      <c r="CQ585" s="46"/>
      <c r="CR585" s="46"/>
      <c r="CS585" s="46"/>
      <c r="CT585" s="46"/>
      <c r="CU585" s="46"/>
    </row>
    <row r="586" spans="1:99" ht="12.75" customHeight="1">
      <c r="A586" s="409">
        <v>2017</v>
      </c>
      <c r="B586" s="399" t="s">
        <v>2482</v>
      </c>
      <c r="C586" s="399">
        <f t="shared" si="103"/>
        <v>2017</v>
      </c>
      <c r="D586" s="399" t="e">
        <f t="shared" ca="1" si="104"/>
        <v>#NAME?</v>
      </c>
      <c r="E586" s="399" t="str">
        <f t="shared" si="105"/>
        <v>Clusters of erythematous papules</v>
      </c>
      <c r="F586" s="399" t="str">
        <f t="shared" si="109"/>
        <v>Input Option</v>
      </c>
      <c r="G586" s="400">
        <f t="shared" si="106"/>
        <v>39</v>
      </c>
      <c r="H586" s="399" t="str">
        <f t="shared" si="110"/>
        <v>Reported symptoms</v>
      </c>
      <c r="I586" s="400"/>
      <c r="J586" s="400"/>
      <c r="K586" s="401" t="s">
        <v>5283</v>
      </c>
      <c r="L586" s="402" t="s">
        <v>5194</v>
      </c>
      <c r="M586" s="400"/>
      <c r="N586" s="639" t="s">
        <v>4853</v>
      </c>
      <c r="O586" s="404" t="s">
        <v>6672</v>
      </c>
      <c r="P586" s="404"/>
      <c r="Q586" s="404"/>
      <c r="R586" s="404"/>
      <c r="S586" s="404"/>
      <c r="T586" s="404"/>
      <c r="U586" s="404"/>
      <c r="V586" s="658" t="s">
        <v>1635</v>
      </c>
      <c r="W586" s="404"/>
      <c r="X586" s="404" t="s">
        <v>208</v>
      </c>
      <c r="Y586" s="404"/>
      <c r="Z586" s="404" t="s">
        <v>113</v>
      </c>
      <c r="AA586" s="404" t="s">
        <v>1889</v>
      </c>
      <c r="AB586" s="406"/>
      <c r="AC586" s="404"/>
      <c r="AD586" s="404"/>
      <c r="AE586" s="406"/>
      <c r="AF586" s="404"/>
      <c r="AG586" s="404"/>
      <c r="AH586" s="399"/>
      <c r="AI586" s="400"/>
      <c r="AJ586" s="399" t="s">
        <v>1787</v>
      </c>
      <c r="AK586" s="399"/>
      <c r="AL586" s="399" t="s">
        <v>1787</v>
      </c>
      <c r="AM586" s="399"/>
      <c r="AN586" s="399" t="s">
        <v>1787</v>
      </c>
      <c r="AO586" s="399" t="s">
        <v>1787</v>
      </c>
      <c r="AP586" s="399"/>
      <c r="AQ586" s="409" t="s">
        <v>3130</v>
      </c>
      <c r="AR586" s="399"/>
      <c r="AS586" s="399"/>
      <c r="AT586" s="399"/>
      <c r="AU586" s="399"/>
      <c r="AV586" s="399" t="str">
        <f t="shared" si="107"/>
        <v/>
      </c>
      <c r="AW586" s="399"/>
      <c r="AX586" s="409" t="s">
        <v>5194</v>
      </c>
      <c r="AY586" s="399" t="e">
        <f t="shared" ca="1" si="108"/>
        <v>#NAME?</v>
      </c>
      <c r="AZ586" s="399"/>
      <c r="BA586" s="409" t="s">
        <v>3125</v>
      </c>
      <c r="BB586" s="415" t="s">
        <v>3131</v>
      </c>
      <c r="BC586" s="399" t="s">
        <v>1635</v>
      </c>
      <c r="BD586" s="399" t="s">
        <v>1787</v>
      </c>
      <c r="BE586" s="411"/>
      <c r="BF586" s="411" t="s">
        <v>1787</v>
      </c>
      <c r="BG586" s="411"/>
      <c r="BH586" s="411"/>
      <c r="BI586" s="411"/>
      <c r="BJ586" s="409" t="s">
        <v>4282</v>
      </c>
      <c r="BK586" s="399" t="s">
        <v>1787</v>
      </c>
      <c r="BL586" s="409" t="s">
        <v>3162</v>
      </c>
      <c r="BM586" s="409" t="s">
        <v>6673</v>
      </c>
      <c r="BN586" s="399" t="s">
        <v>1787</v>
      </c>
      <c r="BO586" s="399" t="s">
        <v>1787</v>
      </c>
      <c r="BP586" s="399" t="s">
        <v>1787</v>
      </c>
      <c r="BQ586" s="399" t="s">
        <v>1787</v>
      </c>
      <c r="BR586" s="399" t="s">
        <v>1787</v>
      </c>
      <c r="BS586" s="407"/>
      <c r="BT586" s="407"/>
      <c r="BU586" s="412"/>
      <c r="BV586" s="46" t="str">
        <f t="shared" si="8"/>
        <v/>
      </c>
      <c r="BW586" s="46">
        <f t="shared" si="9"/>
        <v>0</v>
      </c>
      <c r="BX586" s="46">
        <f t="shared" si="10"/>
        <v>0</v>
      </c>
      <c r="BY586" s="43" t="str">
        <f t="shared" si="11"/>
        <v>WHO-STI Observation (Reported Symptoms)</v>
      </c>
      <c r="BZ586" s="46">
        <f t="shared" si="12"/>
        <v>1</v>
      </c>
      <c r="CA586" s="46" t="str">
        <f t="shared" si="13"/>
        <v/>
      </c>
      <c r="CB586" s="46">
        <f t="shared" si="14"/>
        <v>1</v>
      </c>
      <c r="CC586" s="46">
        <f t="shared" si="15"/>
        <v>1</v>
      </c>
      <c r="CD586" s="46">
        <f t="shared" si="16"/>
        <v>1</v>
      </c>
      <c r="CE586" s="46">
        <f t="shared" si="17"/>
        <v>0</v>
      </c>
      <c r="CF586" s="46">
        <f t="shared" si="18"/>
        <v>0</v>
      </c>
      <c r="CG586" s="46" t="str">
        <f ca="1">IFERROR(__xludf.DUMMYFUNCTION("if(OR(BH586="""",LEFT(BH586,2)=""LA""),"""",IMPORTXML(CONCATENATE(""https://loinc.org/"",BH586,""/""),""//span[@id='lcn']""))"),"")</f>
        <v/>
      </c>
      <c r="CH586" s="46"/>
      <c r="CI586" s="46"/>
      <c r="CJ586" s="46"/>
      <c r="CK586" s="46"/>
      <c r="CL586" s="46"/>
      <c r="CM586" s="46"/>
      <c r="CN586" s="46"/>
      <c r="CO586" s="46"/>
      <c r="CP586" s="46"/>
      <c r="CQ586" s="46"/>
      <c r="CR586" s="46"/>
      <c r="CS586" s="46"/>
      <c r="CT586" s="46"/>
      <c r="CU586" s="46"/>
    </row>
    <row r="587" spans="1:99" ht="12.75" customHeight="1">
      <c r="A587" s="409">
        <v>2018</v>
      </c>
      <c r="B587" s="399" t="s">
        <v>2489</v>
      </c>
      <c r="C587" s="399">
        <f t="shared" si="103"/>
        <v>2018</v>
      </c>
      <c r="D587" s="399" t="e">
        <f t="shared" ca="1" si="104"/>
        <v>#NAME?</v>
      </c>
      <c r="E587" s="399" t="str">
        <f t="shared" si="105"/>
        <v>Vesicles</v>
      </c>
      <c r="F587" s="399" t="str">
        <f t="shared" si="109"/>
        <v>Input Option</v>
      </c>
      <c r="G587" s="400">
        <f t="shared" si="106"/>
        <v>15</v>
      </c>
      <c r="H587" s="399" t="str">
        <f t="shared" si="110"/>
        <v>Reported symptoms</v>
      </c>
      <c r="I587" s="400"/>
      <c r="J587" s="400"/>
      <c r="K587" s="401" t="s">
        <v>5283</v>
      </c>
      <c r="L587" s="402" t="s">
        <v>5194</v>
      </c>
      <c r="M587" s="400"/>
      <c r="N587" s="639" t="s">
        <v>4853</v>
      </c>
      <c r="O587" s="431" t="s">
        <v>6674</v>
      </c>
      <c r="P587" s="431"/>
      <c r="Q587" s="404"/>
      <c r="R587" s="404"/>
      <c r="S587" s="404"/>
      <c r="T587" s="404"/>
      <c r="U587" s="404"/>
      <c r="V587" s="659" t="s">
        <v>1638</v>
      </c>
      <c r="W587" s="404"/>
      <c r="X587" s="404" t="s">
        <v>208</v>
      </c>
      <c r="Y587" s="404"/>
      <c r="Z587" s="404" t="s">
        <v>113</v>
      </c>
      <c r="AA587" s="404" t="s">
        <v>1889</v>
      </c>
      <c r="AB587" s="406"/>
      <c r="AC587" s="404"/>
      <c r="AD587" s="404"/>
      <c r="AE587" s="406"/>
      <c r="AF587" s="404"/>
      <c r="AG587" s="420" t="s">
        <v>6676</v>
      </c>
      <c r="AH587" s="399"/>
      <c r="AI587" s="400"/>
      <c r="AJ587" s="399" t="s">
        <v>1787</v>
      </c>
      <c r="AK587" s="399"/>
      <c r="AL587" s="399" t="s">
        <v>1787</v>
      </c>
      <c r="AM587" s="399"/>
      <c r="AN587" s="399" t="s">
        <v>1787</v>
      </c>
      <c r="AO587" s="399" t="s">
        <v>1787</v>
      </c>
      <c r="AP587" s="399"/>
      <c r="AQ587" s="409" t="s">
        <v>3130</v>
      </c>
      <c r="AR587" s="399"/>
      <c r="AS587" s="399"/>
      <c r="AT587" s="399"/>
      <c r="AU587" s="399"/>
      <c r="AV587" s="399" t="str">
        <f t="shared" si="107"/>
        <v/>
      </c>
      <c r="AW587" s="399"/>
      <c r="AX587" s="409" t="s">
        <v>5194</v>
      </c>
      <c r="AY587" s="399" t="e">
        <f t="shared" ca="1" si="108"/>
        <v>#NAME?</v>
      </c>
      <c r="AZ587" s="399"/>
      <c r="BA587" s="409" t="s">
        <v>3125</v>
      </c>
      <c r="BB587" s="399"/>
      <c r="BC587" s="399" t="s">
        <v>1787</v>
      </c>
      <c r="BD587" s="399" t="s">
        <v>1787</v>
      </c>
      <c r="BE587" s="434" t="s">
        <v>6677</v>
      </c>
      <c r="BF587" s="411" t="s">
        <v>1787</v>
      </c>
      <c r="BG587" s="411"/>
      <c r="BH587" s="411"/>
      <c r="BI587" s="411"/>
      <c r="BJ587" s="399" t="s">
        <v>1787</v>
      </c>
      <c r="BK587" s="399" t="s">
        <v>1787</v>
      </c>
      <c r="BL587" s="399"/>
      <c r="BM587" s="409" t="s">
        <v>6678</v>
      </c>
      <c r="BN587" s="399" t="s">
        <v>1787</v>
      </c>
      <c r="BO587" s="399" t="s">
        <v>1787</v>
      </c>
      <c r="BP587" s="399" t="s">
        <v>1787</v>
      </c>
      <c r="BQ587" s="399" t="s">
        <v>1787</v>
      </c>
      <c r="BR587" s="399" t="s">
        <v>1787</v>
      </c>
      <c r="BS587" s="407"/>
      <c r="BT587" s="407"/>
      <c r="BU587" s="412"/>
      <c r="BV587" s="46" t="str">
        <f t="shared" si="8"/>
        <v/>
      </c>
      <c r="BW587" s="46">
        <f t="shared" si="9"/>
        <v>0</v>
      </c>
      <c r="BX587" s="46">
        <f t="shared" si="10"/>
        <v>0</v>
      </c>
      <c r="BY587" s="43" t="str">
        <f t="shared" si="11"/>
        <v>WHO-STI Observation (Reported Symptoms)</v>
      </c>
      <c r="BZ587" s="46">
        <f t="shared" si="12"/>
        <v>1</v>
      </c>
      <c r="CA587" s="46" t="str">
        <f t="shared" si="13"/>
        <v/>
      </c>
      <c r="CB587" s="46">
        <f t="shared" si="14"/>
        <v>1</v>
      </c>
      <c r="CC587" s="46">
        <f t="shared" si="15"/>
        <v>1</v>
      </c>
      <c r="CD587" s="46">
        <f t="shared" si="16"/>
        <v>1</v>
      </c>
      <c r="CE587" s="46">
        <f t="shared" si="17"/>
        <v>0</v>
      </c>
      <c r="CF587" s="46">
        <f t="shared" si="18"/>
        <v>0</v>
      </c>
      <c r="CG587" s="46" t="str">
        <f ca="1">IFERROR(__xludf.DUMMYFUNCTION("if(OR(BH587="""",LEFT(BH587,2)=""LA""),"""",IMPORTXML(CONCATENATE(""https://loinc.org/"",BH587,""/""),""//span[@id='lcn']""))"),"")</f>
        <v/>
      </c>
      <c r="CH587" s="46"/>
      <c r="CI587" s="46"/>
      <c r="CJ587" s="46"/>
      <c r="CK587" s="46"/>
      <c r="CL587" s="46"/>
      <c r="CM587" s="46"/>
      <c r="CN587" s="46"/>
      <c r="CO587" s="46"/>
      <c r="CP587" s="46"/>
      <c r="CQ587" s="46"/>
      <c r="CR587" s="46"/>
      <c r="CS587" s="46"/>
      <c r="CT587" s="46"/>
      <c r="CU587" s="46"/>
    </row>
    <row r="588" spans="1:99" ht="12.75" customHeight="1">
      <c r="A588" s="409">
        <v>2019</v>
      </c>
      <c r="B588" s="399" t="s">
        <v>6680</v>
      </c>
      <c r="C588" s="399">
        <f t="shared" si="103"/>
        <v>2019</v>
      </c>
      <c r="D588" s="399" t="e">
        <f t="shared" ca="1" si="104"/>
        <v>#NAME?</v>
      </c>
      <c r="E588" s="399" t="str">
        <f t="shared" si="105"/>
        <v>Vulval oedema</v>
      </c>
      <c r="F588" s="399" t="str">
        <f t="shared" si="109"/>
        <v>Input Option</v>
      </c>
      <c r="G588" s="400">
        <f t="shared" si="106"/>
        <v>20</v>
      </c>
      <c r="H588" s="399" t="str">
        <f t="shared" si="110"/>
        <v>Reported symptoms</v>
      </c>
      <c r="I588" s="400"/>
      <c r="J588" s="400"/>
      <c r="K588" s="401" t="s">
        <v>5283</v>
      </c>
      <c r="L588" s="402" t="s">
        <v>5194</v>
      </c>
      <c r="M588" s="400"/>
      <c r="N588" s="639" t="s">
        <v>4853</v>
      </c>
      <c r="O588" s="431" t="s">
        <v>6681</v>
      </c>
      <c r="P588" s="431"/>
      <c r="Q588" s="404"/>
      <c r="R588" s="404"/>
      <c r="S588" s="404"/>
      <c r="T588" s="404"/>
      <c r="U588" s="404"/>
      <c r="V588" s="659" t="s">
        <v>6682</v>
      </c>
      <c r="W588" s="404"/>
      <c r="X588" s="404" t="s">
        <v>208</v>
      </c>
      <c r="Y588" s="404"/>
      <c r="Z588" s="404" t="s">
        <v>113</v>
      </c>
      <c r="AA588" s="404" t="s">
        <v>1889</v>
      </c>
      <c r="AB588" s="420" t="s">
        <v>6573</v>
      </c>
      <c r="AC588" s="404"/>
      <c r="AD588" s="404"/>
      <c r="AE588" s="406"/>
      <c r="AF588" s="404"/>
      <c r="AG588" s="420" t="s">
        <v>6683</v>
      </c>
      <c r="AH588" s="399"/>
      <c r="AI588" s="400"/>
      <c r="AJ588" s="399" t="s">
        <v>1787</v>
      </c>
      <c r="AK588" s="399"/>
      <c r="AL588" s="399" t="s">
        <v>1787</v>
      </c>
      <c r="AM588" s="399"/>
      <c r="AN588" s="399" t="s">
        <v>1787</v>
      </c>
      <c r="AO588" s="399" t="s">
        <v>1787</v>
      </c>
      <c r="AP588" s="399"/>
      <c r="AQ588" s="409" t="s">
        <v>3130</v>
      </c>
      <c r="AR588" s="399"/>
      <c r="AS588" s="399"/>
      <c r="AT588" s="399"/>
      <c r="AU588" s="399"/>
      <c r="AV588" s="399" t="str">
        <f t="shared" si="107"/>
        <v/>
      </c>
      <c r="AW588" s="399"/>
      <c r="AX588" s="409" t="s">
        <v>5194</v>
      </c>
      <c r="AY588" s="399" t="e">
        <f t="shared" ca="1" si="108"/>
        <v>#NAME?</v>
      </c>
      <c r="AZ588" s="399"/>
      <c r="BA588" s="409" t="s">
        <v>3125</v>
      </c>
      <c r="BB588" s="399"/>
      <c r="BC588" s="399" t="s">
        <v>1787</v>
      </c>
      <c r="BD588" s="409" t="s">
        <v>3162</v>
      </c>
      <c r="BE588" s="411"/>
      <c r="BF588" s="411" t="s">
        <v>1787</v>
      </c>
      <c r="BG588" s="434" t="s">
        <v>6684</v>
      </c>
      <c r="BH588" s="411"/>
      <c r="BI588" s="411"/>
      <c r="BJ588" s="399" t="s">
        <v>1787</v>
      </c>
      <c r="BK588" s="399" t="s">
        <v>1787</v>
      </c>
      <c r="BL588" s="399"/>
      <c r="BM588" s="399" t="s">
        <v>1787</v>
      </c>
      <c r="BN588" s="399" t="s">
        <v>1787</v>
      </c>
      <c r="BO588" s="399" t="s">
        <v>1787</v>
      </c>
      <c r="BP588" s="399" t="s">
        <v>1787</v>
      </c>
      <c r="BQ588" s="399" t="s">
        <v>1787</v>
      </c>
      <c r="BR588" s="399" t="s">
        <v>1787</v>
      </c>
      <c r="BS588" s="407"/>
      <c r="BT588" s="407"/>
      <c r="BU588" s="412"/>
      <c r="BV588" s="46" t="str">
        <f t="shared" si="8"/>
        <v/>
      </c>
      <c r="BW588" s="46">
        <f t="shared" si="9"/>
        <v>0</v>
      </c>
      <c r="BX588" s="46">
        <f t="shared" si="10"/>
        <v>0</v>
      </c>
      <c r="BY588" s="43" t="str">
        <f t="shared" si="11"/>
        <v>WHO-STI Observation (Reported Symptoms)</v>
      </c>
      <c r="BZ588" s="46">
        <f t="shared" si="12"/>
        <v>1</v>
      </c>
      <c r="CA588" s="46" t="str">
        <f t="shared" si="13"/>
        <v/>
      </c>
      <c r="CB588" s="46">
        <f t="shared" si="14"/>
        <v>1</v>
      </c>
      <c r="CC588" s="46">
        <f t="shared" si="15"/>
        <v>1</v>
      </c>
      <c r="CD588" s="46">
        <f t="shared" si="16"/>
        <v>1</v>
      </c>
      <c r="CE588" s="46">
        <f t="shared" si="17"/>
        <v>0</v>
      </c>
      <c r="CF588" s="46">
        <f t="shared" si="18"/>
        <v>0</v>
      </c>
      <c r="CG588" s="46" t="str">
        <f ca="1">IFERROR(__xludf.DUMMYFUNCTION("if(OR(BH588="""",LEFT(BH588,2)=""LA""),"""",IMPORTXML(CONCATENATE(""https://loinc.org/"",BH588,""/""),""//span[@id='lcn']""))"),"")</f>
        <v/>
      </c>
      <c r="CH588" s="46"/>
      <c r="CI588" s="46"/>
      <c r="CJ588" s="46"/>
      <c r="CK588" s="46"/>
      <c r="CL588" s="46"/>
      <c r="CM588" s="46"/>
      <c r="CN588" s="46"/>
      <c r="CO588" s="46"/>
      <c r="CP588" s="46"/>
      <c r="CQ588" s="46"/>
      <c r="CR588" s="46"/>
      <c r="CS588" s="46"/>
      <c r="CT588" s="46"/>
      <c r="CU588" s="46"/>
    </row>
    <row r="589" spans="1:99" ht="12.75" customHeight="1">
      <c r="A589" s="409">
        <v>2020</v>
      </c>
      <c r="B589" s="399" t="s">
        <v>6690</v>
      </c>
      <c r="C589" s="399">
        <f t="shared" si="103"/>
        <v>2020</v>
      </c>
      <c r="D589" s="399" t="e">
        <f t="shared" ca="1" si="104"/>
        <v>#NAME?</v>
      </c>
      <c r="E589" s="399" t="str">
        <f t="shared" si="105"/>
        <v>Vulval erythema (redness)</v>
      </c>
      <c r="F589" s="399" t="str">
        <f t="shared" si="109"/>
        <v>Input Option</v>
      </c>
      <c r="G589" s="400">
        <f t="shared" si="106"/>
        <v>32</v>
      </c>
      <c r="H589" s="399" t="str">
        <f t="shared" si="110"/>
        <v>Reported symptoms</v>
      </c>
      <c r="I589" s="400"/>
      <c r="J589" s="400"/>
      <c r="K589" s="401" t="s">
        <v>5283</v>
      </c>
      <c r="L589" s="402" t="s">
        <v>5194</v>
      </c>
      <c r="M589" s="400"/>
      <c r="N589" s="639" t="s">
        <v>4853</v>
      </c>
      <c r="O589" s="431" t="s">
        <v>6691</v>
      </c>
      <c r="P589" s="431"/>
      <c r="Q589" s="404"/>
      <c r="R589" s="404"/>
      <c r="S589" s="404"/>
      <c r="T589" s="404"/>
      <c r="U589" s="404"/>
      <c r="V589" s="658" t="s">
        <v>6692</v>
      </c>
      <c r="W589" s="404"/>
      <c r="X589" s="404" t="s">
        <v>208</v>
      </c>
      <c r="Y589" s="404"/>
      <c r="Z589" s="404" t="s">
        <v>113</v>
      </c>
      <c r="AA589" s="404" t="s">
        <v>1889</v>
      </c>
      <c r="AB589" s="420" t="s">
        <v>6573</v>
      </c>
      <c r="AC589" s="404"/>
      <c r="AD589" s="404"/>
      <c r="AE589" s="406"/>
      <c r="AF589" s="404"/>
      <c r="AG589" s="420" t="s">
        <v>6694</v>
      </c>
      <c r="AH589" s="399"/>
      <c r="AI589" s="400"/>
      <c r="AJ589" s="399" t="s">
        <v>1787</v>
      </c>
      <c r="AK589" s="399"/>
      <c r="AL589" s="399" t="s">
        <v>1787</v>
      </c>
      <c r="AM589" s="399"/>
      <c r="AN589" s="399" t="s">
        <v>1787</v>
      </c>
      <c r="AO589" s="399" t="s">
        <v>1787</v>
      </c>
      <c r="AP589" s="399"/>
      <c r="AQ589" s="409" t="s">
        <v>3130</v>
      </c>
      <c r="AR589" s="399"/>
      <c r="AS589" s="399"/>
      <c r="AT589" s="399"/>
      <c r="AU589" s="399"/>
      <c r="AV589" s="399" t="str">
        <f t="shared" si="107"/>
        <v/>
      </c>
      <c r="AW589" s="399"/>
      <c r="AX589" s="409" t="s">
        <v>5194</v>
      </c>
      <c r="AY589" s="399" t="e">
        <f t="shared" ca="1" si="108"/>
        <v>#NAME?</v>
      </c>
      <c r="AZ589" s="399"/>
      <c r="BA589" s="409" t="s">
        <v>3125</v>
      </c>
      <c r="BB589" s="399"/>
      <c r="BC589" s="399" t="s">
        <v>1787</v>
      </c>
      <c r="BD589" s="409" t="s">
        <v>3162</v>
      </c>
      <c r="BE589" s="411"/>
      <c r="BF589" s="411" t="s">
        <v>1787</v>
      </c>
      <c r="BG589" s="434" t="s">
        <v>6696</v>
      </c>
      <c r="BH589" s="411"/>
      <c r="BI589" s="411"/>
      <c r="BJ589" s="399" t="s">
        <v>1787</v>
      </c>
      <c r="BK589" s="399" t="s">
        <v>1787</v>
      </c>
      <c r="BL589" s="399"/>
      <c r="BM589" s="399" t="s">
        <v>1787</v>
      </c>
      <c r="BN589" s="399" t="s">
        <v>1787</v>
      </c>
      <c r="BO589" s="399" t="s">
        <v>1787</v>
      </c>
      <c r="BP589" s="399" t="s">
        <v>1787</v>
      </c>
      <c r="BQ589" s="399" t="s">
        <v>1787</v>
      </c>
      <c r="BR589" s="399" t="s">
        <v>1787</v>
      </c>
      <c r="BS589" s="407"/>
      <c r="BT589" s="407"/>
      <c r="BU589" s="412"/>
      <c r="BV589" s="46" t="str">
        <f t="shared" si="8"/>
        <v/>
      </c>
      <c r="BW589" s="46">
        <f t="shared" si="9"/>
        <v>0</v>
      </c>
      <c r="BX589" s="46">
        <f t="shared" si="10"/>
        <v>0</v>
      </c>
      <c r="BY589" s="43" t="str">
        <f t="shared" si="11"/>
        <v>WHO-STI Observation (Reported Symptoms)</v>
      </c>
      <c r="BZ589" s="46">
        <f t="shared" si="12"/>
        <v>1</v>
      </c>
      <c r="CA589" s="46" t="str">
        <f t="shared" si="13"/>
        <v/>
      </c>
      <c r="CB589" s="46">
        <f t="shared" si="14"/>
        <v>1</v>
      </c>
      <c r="CC589" s="46">
        <f t="shared" si="15"/>
        <v>1</v>
      </c>
      <c r="CD589" s="46">
        <f t="shared" si="16"/>
        <v>1</v>
      </c>
      <c r="CE589" s="46">
        <f t="shared" si="17"/>
        <v>0</v>
      </c>
      <c r="CF589" s="46">
        <f t="shared" si="18"/>
        <v>0</v>
      </c>
      <c r="CG589" s="46" t="str">
        <f ca="1">IFERROR(__xludf.DUMMYFUNCTION("if(OR(BH589="""",LEFT(BH589,2)=""LA""),"""",IMPORTXML(CONCATENATE(""https://loinc.org/"",BH589,""/""),""//span[@id='lcn']""))"),"")</f>
        <v/>
      </c>
      <c r="CH589" s="46"/>
      <c r="CI589" s="46"/>
      <c r="CJ589" s="46"/>
      <c r="CK589" s="46"/>
      <c r="CL589" s="46"/>
      <c r="CM589" s="46"/>
      <c r="CN589" s="46"/>
      <c r="CO589" s="46"/>
      <c r="CP589" s="46"/>
      <c r="CQ589" s="46"/>
      <c r="CR589" s="46"/>
      <c r="CS589" s="46"/>
      <c r="CT589" s="46"/>
      <c r="CU589" s="46"/>
    </row>
    <row r="590" spans="1:99" ht="12.75" customHeight="1">
      <c r="A590" s="409">
        <v>2021</v>
      </c>
      <c r="B590" s="399" t="s">
        <v>6699</v>
      </c>
      <c r="C590" s="399">
        <f t="shared" si="103"/>
        <v>2021</v>
      </c>
      <c r="D590" s="399" t="e">
        <f t="shared" ca="1" si="104"/>
        <v>#NAME?</v>
      </c>
      <c r="E590" s="399" t="str">
        <f t="shared" si="105"/>
        <v>Testis rotated or elevated</v>
      </c>
      <c r="F590" s="399" t="str">
        <f t="shared" si="109"/>
        <v>Input Option</v>
      </c>
      <c r="G590" s="400">
        <f t="shared" si="106"/>
        <v>33</v>
      </c>
      <c r="H590" s="399" t="str">
        <f t="shared" si="110"/>
        <v>Reported symptoms</v>
      </c>
      <c r="I590" s="400"/>
      <c r="J590" s="400"/>
      <c r="K590" s="401" t="s">
        <v>5283</v>
      </c>
      <c r="L590" s="402" t="s">
        <v>5194</v>
      </c>
      <c r="M590" s="400"/>
      <c r="N590" s="639" t="s">
        <v>4853</v>
      </c>
      <c r="O590" s="431" t="s">
        <v>6706</v>
      </c>
      <c r="P590" s="431"/>
      <c r="Q590" s="404"/>
      <c r="R590" s="404"/>
      <c r="S590" s="404"/>
      <c r="T590" s="404"/>
      <c r="U590" s="404"/>
      <c r="V590" s="658" t="s">
        <v>6708</v>
      </c>
      <c r="W590" s="404"/>
      <c r="X590" s="404" t="s">
        <v>208</v>
      </c>
      <c r="Y590" s="404"/>
      <c r="Z590" s="404" t="s">
        <v>113</v>
      </c>
      <c r="AA590" s="404" t="s">
        <v>1889</v>
      </c>
      <c r="AB590" s="420" t="s">
        <v>6710</v>
      </c>
      <c r="AC590" s="404"/>
      <c r="AD590" s="404"/>
      <c r="AE590" s="406"/>
      <c r="AF590" s="404"/>
      <c r="AG590" s="420" t="s">
        <v>6712</v>
      </c>
      <c r="AH590" s="399"/>
      <c r="AI590" s="400"/>
      <c r="AJ590" s="399" t="s">
        <v>1787</v>
      </c>
      <c r="AK590" s="399"/>
      <c r="AL590" s="399" t="s">
        <v>1787</v>
      </c>
      <c r="AM590" s="399"/>
      <c r="AN590" s="399" t="s">
        <v>1787</v>
      </c>
      <c r="AO590" s="399" t="s">
        <v>1787</v>
      </c>
      <c r="AP590" s="399"/>
      <c r="AQ590" s="409" t="s">
        <v>3130</v>
      </c>
      <c r="AR590" s="399"/>
      <c r="AS590" s="399"/>
      <c r="AT590" s="399"/>
      <c r="AU590" s="399"/>
      <c r="AV590" s="399" t="str">
        <f t="shared" si="107"/>
        <v/>
      </c>
      <c r="AW590" s="399"/>
      <c r="AX590" s="409" t="s">
        <v>5194</v>
      </c>
      <c r="AY590" s="399" t="e">
        <f t="shared" ca="1" si="108"/>
        <v>#NAME?</v>
      </c>
      <c r="AZ590" s="399"/>
      <c r="BA590" s="409" t="s">
        <v>3125</v>
      </c>
      <c r="BB590" s="399"/>
      <c r="BC590" s="399" t="s">
        <v>1787</v>
      </c>
      <c r="BD590" s="399" t="s">
        <v>1787</v>
      </c>
      <c r="BE590" s="434" t="s">
        <v>6718</v>
      </c>
      <c r="BF590" s="411" t="s">
        <v>1787</v>
      </c>
      <c r="BG590" s="411"/>
      <c r="BH590" s="411"/>
      <c r="BI590" s="411"/>
      <c r="BJ590" s="399" t="s">
        <v>1787</v>
      </c>
      <c r="BK590" s="399" t="s">
        <v>1787</v>
      </c>
      <c r="BL590" s="399"/>
      <c r="BM590" s="409" t="s">
        <v>6720</v>
      </c>
      <c r="BN590" s="399" t="s">
        <v>1787</v>
      </c>
      <c r="BO590" s="399" t="s">
        <v>1787</v>
      </c>
      <c r="BP590" s="399" t="s">
        <v>1787</v>
      </c>
      <c r="BQ590" s="399" t="s">
        <v>1787</v>
      </c>
      <c r="BR590" s="399" t="s">
        <v>1787</v>
      </c>
      <c r="BS590" s="407"/>
      <c r="BT590" s="407"/>
      <c r="BU590" s="412"/>
      <c r="BV590" s="46" t="str">
        <f t="shared" si="8"/>
        <v/>
      </c>
      <c r="BW590" s="46">
        <f t="shared" si="9"/>
        <v>0</v>
      </c>
      <c r="BX590" s="46">
        <f t="shared" si="10"/>
        <v>0</v>
      </c>
      <c r="BY590" s="43" t="str">
        <f t="shared" si="11"/>
        <v>WHO-STI Observation (Reported Symptoms)</v>
      </c>
      <c r="BZ590" s="46">
        <f t="shared" si="12"/>
        <v>1</v>
      </c>
      <c r="CA590" s="46" t="str">
        <f t="shared" si="13"/>
        <v/>
      </c>
      <c r="CB590" s="46">
        <f t="shared" si="14"/>
        <v>1</v>
      </c>
      <c r="CC590" s="46">
        <f t="shared" si="15"/>
        <v>1</v>
      </c>
      <c r="CD590" s="46">
        <f t="shared" si="16"/>
        <v>1</v>
      </c>
      <c r="CE590" s="46">
        <f t="shared" si="17"/>
        <v>0</v>
      </c>
      <c r="CF590" s="46">
        <f t="shared" si="18"/>
        <v>0</v>
      </c>
      <c r="CG590" s="46" t="str">
        <f ca="1">IFERROR(__xludf.DUMMYFUNCTION("if(OR(BH590="""",LEFT(BH590,2)=""LA""),"""",IMPORTXML(CONCATENATE(""https://loinc.org/"",BH590,""/""),""//span[@id='lcn']""))"),"")</f>
        <v/>
      </c>
      <c r="CH590" s="46"/>
      <c r="CI590" s="46"/>
      <c r="CJ590" s="46"/>
      <c r="CK590" s="46"/>
      <c r="CL590" s="46"/>
      <c r="CM590" s="46"/>
      <c r="CN590" s="46"/>
      <c r="CO590" s="46"/>
      <c r="CP590" s="46"/>
      <c r="CQ590" s="46"/>
      <c r="CR590" s="46"/>
      <c r="CS590" s="46"/>
      <c r="CT590" s="46"/>
      <c r="CU590" s="46"/>
    </row>
    <row r="591" spans="1:99" ht="12.75" customHeight="1">
      <c r="A591" s="409">
        <v>2022</v>
      </c>
      <c r="B591" s="399" t="s">
        <v>6726</v>
      </c>
      <c r="C591" s="399">
        <f t="shared" si="103"/>
        <v>2022</v>
      </c>
      <c r="D591" s="399" t="e">
        <f t="shared" ca="1" si="104"/>
        <v>#NAME?</v>
      </c>
      <c r="E591" s="399" t="str">
        <f t="shared" si="105"/>
        <v>Mouth sores</v>
      </c>
      <c r="F591" s="399" t="str">
        <f t="shared" si="109"/>
        <v>Input Option</v>
      </c>
      <c r="G591" s="400">
        <f t="shared" si="106"/>
        <v>18</v>
      </c>
      <c r="H591" s="399" t="str">
        <f t="shared" si="110"/>
        <v>Reported symptoms</v>
      </c>
      <c r="I591" s="400"/>
      <c r="J591" s="400"/>
      <c r="K591" s="401" t="s">
        <v>5283</v>
      </c>
      <c r="L591" s="402" t="s">
        <v>5194</v>
      </c>
      <c r="M591" s="400"/>
      <c r="N591" s="639" t="s">
        <v>4853</v>
      </c>
      <c r="O591" s="431" t="s">
        <v>6730</v>
      </c>
      <c r="P591" s="431"/>
      <c r="Q591" s="404"/>
      <c r="R591" s="404"/>
      <c r="S591" s="404"/>
      <c r="T591" s="404"/>
      <c r="U591" s="404"/>
      <c r="V591" s="659" t="s">
        <v>6731</v>
      </c>
      <c r="W591" s="404"/>
      <c r="X591" s="404" t="s">
        <v>208</v>
      </c>
      <c r="Y591" s="404"/>
      <c r="Z591" s="404" t="s">
        <v>113</v>
      </c>
      <c r="AA591" s="404" t="s">
        <v>1889</v>
      </c>
      <c r="AB591" s="406"/>
      <c r="AC591" s="404"/>
      <c r="AD591" s="404"/>
      <c r="AE591" s="406"/>
      <c r="AF591" s="404"/>
      <c r="AG591" s="420" t="s">
        <v>6734</v>
      </c>
      <c r="AH591" s="399"/>
      <c r="AI591" s="400"/>
      <c r="AJ591" s="399" t="s">
        <v>1787</v>
      </c>
      <c r="AK591" s="399"/>
      <c r="AL591" s="399" t="s">
        <v>1787</v>
      </c>
      <c r="AM591" s="399"/>
      <c r="AN591" s="399" t="s">
        <v>1787</v>
      </c>
      <c r="AO591" s="399" t="s">
        <v>1787</v>
      </c>
      <c r="AP591" s="399"/>
      <c r="AQ591" s="409" t="s">
        <v>3130</v>
      </c>
      <c r="AR591" s="399"/>
      <c r="AS591" s="399"/>
      <c r="AT591" s="399"/>
      <c r="AU591" s="399"/>
      <c r="AV591" s="399" t="str">
        <f t="shared" si="107"/>
        <v/>
      </c>
      <c r="AW591" s="399"/>
      <c r="AX591" s="409" t="s">
        <v>5194</v>
      </c>
      <c r="AY591" s="399" t="e">
        <f t="shared" ca="1" si="108"/>
        <v>#NAME?</v>
      </c>
      <c r="AZ591" s="399"/>
      <c r="BA591" s="409" t="s">
        <v>3125</v>
      </c>
      <c r="BB591" s="399"/>
      <c r="BC591" s="399" t="s">
        <v>1787</v>
      </c>
      <c r="BD591" s="399" t="s">
        <v>1787</v>
      </c>
      <c r="BE591" s="411"/>
      <c r="BF591" s="411" t="s">
        <v>1787</v>
      </c>
      <c r="BG591" s="434" t="s">
        <v>6736</v>
      </c>
      <c r="BH591" s="411"/>
      <c r="BI591" s="411"/>
      <c r="BJ591" s="399" t="s">
        <v>1787</v>
      </c>
      <c r="BK591" s="399" t="s">
        <v>1787</v>
      </c>
      <c r="BL591" s="399"/>
      <c r="BM591" s="409" t="s">
        <v>6737</v>
      </c>
      <c r="BN591" s="399" t="s">
        <v>1787</v>
      </c>
      <c r="BO591" s="399" t="s">
        <v>1787</v>
      </c>
      <c r="BP591" s="399" t="s">
        <v>1787</v>
      </c>
      <c r="BQ591" s="399" t="s">
        <v>1787</v>
      </c>
      <c r="BR591" s="399" t="s">
        <v>1787</v>
      </c>
      <c r="BS591" s="407"/>
      <c r="BT591" s="407"/>
      <c r="BU591" s="412"/>
      <c r="BV591" s="46" t="str">
        <f t="shared" si="8"/>
        <v/>
      </c>
      <c r="BW591" s="46">
        <f t="shared" si="9"/>
        <v>0</v>
      </c>
      <c r="BX591" s="46">
        <f t="shared" si="10"/>
        <v>0</v>
      </c>
      <c r="BY591" s="43" t="str">
        <f t="shared" si="11"/>
        <v>WHO-STI Observation (Reported Symptoms)</v>
      </c>
      <c r="BZ591" s="46">
        <f t="shared" si="12"/>
        <v>1</v>
      </c>
      <c r="CA591" s="46" t="str">
        <f t="shared" si="13"/>
        <v/>
      </c>
      <c r="CB591" s="46">
        <f t="shared" si="14"/>
        <v>1</v>
      </c>
      <c r="CC591" s="46">
        <f t="shared" si="15"/>
        <v>1</v>
      </c>
      <c r="CD591" s="46">
        <f t="shared" si="16"/>
        <v>1</v>
      </c>
      <c r="CE591" s="46">
        <f t="shared" si="17"/>
        <v>0</v>
      </c>
      <c r="CF591" s="46">
        <f t="shared" si="18"/>
        <v>0</v>
      </c>
      <c r="CG591" s="46" t="str">
        <f ca="1">IFERROR(__xludf.DUMMYFUNCTION("if(OR(BH591="""",LEFT(BH591,2)=""LA""),"""",IMPORTXML(CONCATENATE(""https://loinc.org/"",BH591,""/""),""//span[@id='lcn']""))"),"")</f>
        <v/>
      </c>
      <c r="CH591" s="46"/>
      <c r="CI591" s="46"/>
      <c r="CJ591" s="46"/>
      <c r="CK591" s="46"/>
      <c r="CL591" s="46"/>
      <c r="CM591" s="46"/>
      <c r="CN591" s="46"/>
      <c r="CO591" s="46"/>
      <c r="CP591" s="46"/>
      <c r="CQ591" s="46"/>
      <c r="CR591" s="46"/>
      <c r="CS591" s="46"/>
      <c r="CT591" s="46"/>
      <c r="CU591" s="46"/>
    </row>
    <row r="592" spans="1:99" ht="12.75" customHeight="1">
      <c r="A592" s="409">
        <v>2023</v>
      </c>
      <c r="B592" s="399" t="s">
        <v>6748</v>
      </c>
      <c r="C592" s="399">
        <f t="shared" si="103"/>
        <v>2023</v>
      </c>
      <c r="D592" s="399" t="e">
        <f t="shared" ca="1" si="104"/>
        <v>#NAME?</v>
      </c>
      <c r="E592" s="399" t="str">
        <f t="shared" si="105"/>
        <v>Mouth ulcers</v>
      </c>
      <c r="F592" s="399" t="str">
        <f t="shared" si="109"/>
        <v>Input Option</v>
      </c>
      <c r="G592" s="400">
        <f t="shared" si="106"/>
        <v>19</v>
      </c>
      <c r="H592" s="399" t="str">
        <f t="shared" si="110"/>
        <v>Reported symptoms</v>
      </c>
      <c r="I592" s="400"/>
      <c r="J592" s="400"/>
      <c r="K592" s="401" t="s">
        <v>5283</v>
      </c>
      <c r="L592" s="402" t="s">
        <v>5194</v>
      </c>
      <c r="M592" s="400"/>
      <c r="N592" s="639" t="s">
        <v>4853</v>
      </c>
      <c r="O592" s="431" t="s">
        <v>6750</v>
      </c>
      <c r="P592" s="431"/>
      <c r="Q592" s="404"/>
      <c r="R592" s="404"/>
      <c r="S592" s="404"/>
      <c r="T592" s="404"/>
      <c r="U592" s="404"/>
      <c r="V592" s="659" t="s">
        <v>6752</v>
      </c>
      <c r="W592" s="404"/>
      <c r="X592" s="404" t="s">
        <v>208</v>
      </c>
      <c r="Y592" s="404"/>
      <c r="Z592" s="404" t="s">
        <v>113</v>
      </c>
      <c r="AA592" s="404" t="s">
        <v>1889</v>
      </c>
      <c r="AB592" s="406"/>
      <c r="AC592" s="404"/>
      <c r="AD592" s="404"/>
      <c r="AE592" s="406"/>
      <c r="AF592" s="404"/>
      <c r="AG592" s="420" t="s">
        <v>6734</v>
      </c>
      <c r="AH592" s="399"/>
      <c r="AI592" s="400"/>
      <c r="AJ592" s="399" t="s">
        <v>1787</v>
      </c>
      <c r="AK592" s="399"/>
      <c r="AL592" s="399" t="s">
        <v>1787</v>
      </c>
      <c r="AM592" s="399"/>
      <c r="AN592" s="399" t="s">
        <v>1787</v>
      </c>
      <c r="AO592" s="399" t="s">
        <v>1787</v>
      </c>
      <c r="AP592" s="399"/>
      <c r="AQ592" s="409" t="s">
        <v>3130</v>
      </c>
      <c r="AR592" s="399"/>
      <c r="AS592" s="399"/>
      <c r="AT592" s="399"/>
      <c r="AU592" s="399"/>
      <c r="AV592" s="399" t="str">
        <f t="shared" si="107"/>
        <v/>
      </c>
      <c r="AW592" s="399"/>
      <c r="AX592" s="409" t="s">
        <v>5194</v>
      </c>
      <c r="AY592" s="399" t="e">
        <f t="shared" ca="1" si="108"/>
        <v>#NAME?</v>
      </c>
      <c r="AZ592" s="399"/>
      <c r="BA592" s="409" t="s">
        <v>3125</v>
      </c>
      <c r="BB592" s="399"/>
      <c r="BC592" s="399" t="s">
        <v>1787</v>
      </c>
      <c r="BD592" s="409" t="s">
        <v>3162</v>
      </c>
      <c r="BE592" s="411"/>
      <c r="BF592" s="411" t="s">
        <v>1787</v>
      </c>
      <c r="BG592" s="434" t="s">
        <v>6736</v>
      </c>
      <c r="BH592" s="411"/>
      <c r="BI592" s="411"/>
      <c r="BJ592" s="399" t="s">
        <v>1787</v>
      </c>
      <c r="BK592" s="399" t="s">
        <v>1787</v>
      </c>
      <c r="BL592" s="399"/>
      <c r="BM592" s="399" t="s">
        <v>1787</v>
      </c>
      <c r="BN592" s="399" t="s">
        <v>1787</v>
      </c>
      <c r="BO592" s="399" t="s">
        <v>1787</v>
      </c>
      <c r="BP592" s="399" t="s">
        <v>1787</v>
      </c>
      <c r="BQ592" s="399" t="s">
        <v>1787</v>
      </c>
      <c r="BR592" s="399" t="s">
        <v>1787</v>
      </c>
      <c r="BS592" s="407"/>
      <c r="BT592" s="407"/>
      <c r="BU592" s="412"/>
      <c r="BV592" s="46" t="str">
        <f t="shared" si="8"/>
        <v/>
      </c>
      <c r="BW592" s="46">
        <f t="shared" si="9"/>
        <v>0</v>
      </c>
      <c r="BX592" s="46">
        <f t="shared" si="10"/>
        <v>0</v>
      </c>
      <c r="BY592" s="43" t="str">
        <f t="shared" si="11"/>
        <v>WHO-STI Observation (Reported Symptoms)</v>
      </c>
      <c r="BZ592" s="46">
        <f t="shared" si="12"/>
        <v>1</v>
      </c>
      <c r="CA592" s="46" t="str">
        <f t="shared" si="13"/>
        <v/>
      </c>
      <c r="CB592" s="46">
        <f t="shared" si="14"/>
        <v>1</v>
      </c>
      <c r="CC592" s="46">
        <f t="shared" si="15"/>
        <v>1</v>
      </c>
      <c r="CD592" s="46">
        <f t="shared" si="16"/>
        <v>1</v>
      </c>
      <c r="CE592" s="46">
        <f t="shared" si="17"/>
        <v>0</v>
      </c>
      <c r="CF592" s="46">
        <f t="shared" si="18"/>
        <v>0</v>
      </c>
      <c r="CG592" s="46" t="str">
        <f ca="1">IFERROR(__xludf.DUMMYFUNCTION("if(OR(BH592="""",LEFT(BH592,2)=""LA""),"""",IMPORTXML(CONCATENATE(""https://loinc.org/"",BH592,""/""),""//span[@id='lcn']""))"),"")</f>
        <v/>
      </c>
      <c r="CH592" s="46"/>
      <c r="CI592" s="46"/>
      <c r="CJ592" s="46"/>
      <c r="CK592" s="46"/>
      <c r="CL592" s="46"/>
      <c r="CM592" s="46"/>
      <c r="CN592" s="46"/>
      <c r="CO592" s="46"/>
      <c r="CP592" s="46"/>
      <c r="CQ592" s="46"/>
      <c r="CR592" s="46"/>
      <c r="CS592" s="46"/>
      <c r="CT592" s="46"/>
      <c r="CU592" s="46"/>
    </row>
    <row r="593" spans="1:99" ht="12.75" customHeight="1">
      <c r="A593" s="409">
        <v>2024</v>
      </c>
      <c r="B593" s="399" t="s">
        <v>6763</v>
      </c>
      <c r="C593" s="399">
        <f t="shared" si="103"/>
        <v>2024</v>
      </c>
      <c r="D593" s="399" t="e">
        <f t="shared" ca="1" si="104"/>
        <v>#NAME?</v>
      </c>
      <c r="E593" s="399" t="str">
        <f t="shared" si="105"/>
        <v>Painful urination</v>
      </c>
      <c r="F593" s="399" t="str">
        <f t="shared" si="109"/>
        <v>Input Option</v>
      </c>
      <c r="G593" s="400">
        <f t="shared" si="106"/>
        <v>24</v>
      </c>
      <c r="H593" s="399" t="str">
        <f t="shared" si="110"/>
        <v>Reported symptoms</v>
      </c>
      <c r="I593" s="400"/>
      <c r="J593" s="400"/>
      <c r="K593" s="401" t="s">
        <v>5283</v>
      </c>
      <c r="L593" s="402" t="s">
        <v>5194</v>
      </c>
      <c r="M593" s="400"/>
      <c r="N593" s="639" t="s">
        <v>4853</v>
      </c>
      <c r="O593" s="431" t="s">
        <v>6765</v>
      </c>
      <c r="P593" s="431"/>
      <c r="Q593" s="404"/>
      <c r="R593" s="404"/>
      <c r="S593" s="404"/>
      <c r="T593" s="404"/>
      <c r="U593" s="404"/>
      <c r="V593" s="658" t="s">
        <v>6766</v>
      </c>
      <c r="W593" s="404"/>
      <c r="X593" s="404" t="s">
        <v>208</v>
      </c>
      <c r="Y593" s="404"/>
      <c r="Z593" s="404" t="s">
        <v>113</v>
      </c>
      <c r="AA593" s="404" t="s">
        <v>1889</v>
      </c>
      <c r="AB593" s="406"/>
      <c r="AC593" s="404"/>
      <c r="AD593" s="404"/>
      <c r="AE593" s="406"/>
      <c r="AF593" s="404"/>
      <c r="AG593" s="420" t="s">
        <v>6734</v>
      </c>
      <c r="AH593" s="399"/>
      <c r="AI593" s="400"/>
      <c r="AJ593" s="399" t="s">
        <v>1787</v>
      </c>
      <c r="AK593" s="399"/>
      <c r="AL593" s="399" t="s">
        <v>1787</v>
      </c>
      <c r="AM593" s="399"/>
      <c r="AN593" s="399" t="s">
        <v>1787</v>
      </c>
      <c r="AO593" s="399" t="s">
        <v>1787</v>
      </c>
      <c r="AP593" s="399"/>
      <c r="AQ593" s="409" t="s">
        <v>3130</v>
      </c>
      <c r="AR593" s="399"/>
      <c r="AS593" s="399"/>
      <c r="AT593" s="399"/>
      <c r="AU593" s="399"/>
      <c r="AV593" s="399" t="str">
        <f t="shared" si="107"/>
        <v/>
      </c>
      <c r="AW593" s="399"/>
      <c r="AX593" s="409" t="s">
        <v>5194</v>
      </c>
      <c r="AY593" s="399" t="e">
        <f t="shared" ca="1" si="108"/>
        <v>#NAME?</v>
      </c>
      <c r="AZ593" s="399"/>
      <c r="BA593" s="409" t="s">
        <v>3125</v>
      </c>
      <c r="BB593" s="399"/>
      <c r="BC593" s="399" t="s">
        <v>1787</v>
      </c>
      <c r="BD593" s="409" t="s">
        <v>6769</v>
      </c>
      <c r="BE593" s="411"/>
      <c r="BF593" s="411" t="s">
        <v>1787</v>
      </c>
      <c r="BG593" s="434" t="s">
        <v>6770</v>
      </c>
      <c r="BH593" s="411"/>
      <c r="BI593" s="411"/>
      <c r="BJ593" s="399" t="s">
        <v>1787</v>
      </c>
      <c r="BK593" s="399" t="s">
        <v>1787</v>
      </c>
      <c r="BL593" s="399"/>
      <c r="BM593" s="399" t="s">
        <v>1787</v>
      </c>
      <c r="BN593" s="399" t="s">
        <v>1787</v>
      </c>
      <c r="BO593" s="399" t="s">
        <v>1787</v>
      </c>
      <c r="BP593" s="399" t="s">
        <v>1787</v>
      </c>
      <c r="BQ593" s="399" t="s">
        <v>1787</v>
      </c>
      <c r="BR593" s="399" t="s">
        <v>1787</v>
      </c>
      <c r="BS593" s="407"/>
      <c r="BT593" s="407"/>
      <c r="BU593" s="412"/>
      <c r="BV593" s="46" t="str">
        <f t="shared" si="8"/>
        <v/>
      </c>
      <c r="BW593" s="46">
        <f t="shared" si="9"/>
        <v>0</v>
      </c>
      <c r="BX593" s="46">
        <f t="shared" si="10"/>
        <v>0</v>
      </c>
      <c r="BY593" s="43" t="str">
        <f t="shared" si="11"/>
        <v>WHO-STI Observation (Reported Symptoms)</v>
      </c>
      <c r="BZ593" s="46">
        <f t="shared" si="12"/>
        <v>1</v>
      </c>
      <c r="CA593" s="46" t="str">
        <f t="shared" si="13"/>
        <v/>
      </c>
      <c r="CB593" s="46">
        <f t="shared" si="14"/>
        <v>1</v>
      </c>
      <c r="CC593" s="46">
        <f t="shared" si="15"/>
        <v>1</v>
      </c>
      <c r="CD593" s="46">
        <f t="shared" si="16"/>
        <v>1</v>
      </c>
      <c r="CE593" s="46">
        <f t="shared" si="17"/>
        <v>0</v>
      </c>
      <c r="CF593" s="46">
        <f t="shared" si="18"/>
        <v>0</v>
      </c>
      <c r="CG593" s="46" t="str">
        <f ca="1">IFERROR(__xludf.DUMMYFUNCTION("if(OR(BH593="""",LEFT(BH593,2)=""LA""),"""",IMPORTXML(CONCATENATE(""https://loinc.org/"",BH593,""/""),""//span[@id='lcn']""))"),"")</f>
        <v/>
      </c>
      <c r="CH593" s="46"/>
      <c r="CI593" s="46"/>
      <c r="CJ593" s="46"/>
      <c r="CK593" s="46"/>
      <c r="CL593" s="46"/>
      <c r="CM593" s="46"/>
      <c r="CN593" s="46"/>
      <c r="CO593" s="46"/>
      <c r="CP593" s="46"/>
      <c r="CQ593" s="46"/>
      <c r="CR593" s="46"/>
      <c r="CS593" s="46"/>
      <c r="CT593" s="46"/>
      <c r="CU593" s="46"/>
    </row>
    <row r="594" spans="1:99" ht="12.75" customHeight="1">
      <c r="A594" s="409">
        <v>2025</v>
      </c>
      <c r="B594" s="399" t="s">
        <v>6772</v>
      </c>
      <c r="C594" s="399">
        <f t="shared" si="103"/>
        <v>2025</v>
      </c>
      <c r="D594" s="399" t="e">
        <f t="shared" ca="1" si="104"/>
        <v>#NAME?</v>
      </c>
      <c r="E594" s="399" t="str">
        <f t="shared" si="105"/>
        <v>Urethral discharge</v>
      </c>
      <c r="F594" s="399" t="str">
        <f t="shared" si="109"/>
        <v>Input Option</v>
      </c>
      <c r="G594" s="400">
        <f t="shared" si="106"/>
        <v>25</v>
      </c>
      <c r="H594" s="399" t="str">
        <f t="shared" si="110"/>
        <v>Reported symptoms</v>
      </c>
      <c r="I594" s="400"/>
      <c r="J594" s="400"/>
      <c r="K594" s="401" t="s">
        <v>5283</v>
      </c>
      <c r="L594" s="402" t="s">
        <v>5194</v>
      </c>
      <c r="M594" s="400"/>
      <c r="N594" s="639" t="s">
        <v>4853</v>
      </c>
      <c r="O594" s="431" t="s">
        <v>6773</v>
      </c>
      <c r="P594" s="431"/>
      <c r="Q594" s="404"/>
      <c r="R594" s="404"/>
      <c r="S594" s="404"/>
      <c r="T594" s="404"/>
      <c r="U594" s="404"/>
      <c r="V594" s="658" t="s">
        <v>6774</v>
      </c>
      <c r="W594" s="404"/>
      <c r="X594" s="404" t="s">
        <v>208</v>
      </c>
      <c r="Y594" s="404"/>
      <c r="Z594" s="404" t="s">
        <v>113</v>
      </c>
      <c r="AA594" s="404" t="s">
        <v>1889</v>
      </c>
      <c r="AB594" s="420" t="s">
        <v>6710</v>
      </c>
      <c r="AC594" s="404"/>
      <c r="AD594" s="404" t="s">
        <v>3361</v>
      </c>
      <c r="AE594" s="406"/>
      <c r="AF594" s="404"/>
      <c r="AG594" s="420" t="s">
        <v>6777</v>
      </c>
      <c r="AH594" s="399"/>
      <c r="AI594" s="400"/>
      <c r="AJ594" s="399" t="s">
        <v>1787</v>
      </c>
      <c r="AK594" s="399"/>
      <c r="AL594" s="399" t="s">
        <v>1787</v>
      </c>
      <c r="AM594" s="399"/>
      <c r="AN594" s="399" t="s">
        <v>1787</v>
      </c>
      <c r="AO594" s="399" t="s">
        <v>1787</v>
      </c>
      <c r="AP594" s="399"/>
      <c r="AQ594" s="409" t="s">
        <v>3130</v>
      </c>
      <c r="AR594" s="399"/>
      <c r="AS594" s="399"/>
      <c r="AT594" s="399"/>
      <c r="AU594" s="399"/>
      <c r="AV594" s="399" t="str">
        <f t="shared" si="107"/>
        <v/>
      </c>
      <c r="AW594" s="399"/>
      <c r="AX594" s="409" t="s">
        <v>5194</v>
      </c>
      <c r="AY594" s="399" t="e">
        <f t="shared" ca="1" si="108"/>
        <v>#NAME?</v>
      </c>
      <c r="AZ594" s="399"/>
      <c r="BA594" s="409" t="s">
        <v>3125</v>
      </c>
      <c r="BB594" s="399"/>
      <c r="BC594" s="399" t="s">
        <v>1787</v>
      </c>
      <c r="BD594" s="399" t="s">
        <v>1787</v>
      </c>
      <c r="BE594" s="434" t="s">
        <v>6778</v>
      </c>
      <c r="BF594" s="411" t="s">
        <v>1787</v>
      </c>
      <c r="BG594" s="434" t="s">
        <v>6779</v>
      </c>
      <c r="BH594" s="411"/>
      <c r="BI594" s="411"/>
      <c r="BJ594" s="399" t="s">
        <v>1787</v>
      </c>
      <c r="BK594" s="399" t="s">
        <v>1787</v>
      </c>
      <c r="BL594" s="399"/>
      <c r="BM594" s="399" t="s">
        <v>1787</v>
      </c>
      <c r="BN594" s="399" t="s">
        <v>1787</v>
      </c>
      <c r="BO594" s="399" t="s">
        <v>1787</v>
      </c>
      <c r="BP594" s="399" t="s">
        <v>1787</v>
      </c>
      <c r="BQ594" s="399" t="s">
        <v>1787</v>
      </c>
      <c r="BR594" s="399" t="s">
        <v>1787</v>
      </c>
      <c r="BS594" s="407"/>
      <c r="BT594" s="407"/>
      <c r="BU594" s="412"/>
      <c r="BV594" s="46" t="str">
        <f t="shared" si="8"/>
        <v/>
      </c>
      <c r="BW594" s="46">
        <f t="shared" si="9"/>
        <v>0</v>
      </c>
      <c r="BX594" s="46">
        <f t="shared" si="10"/>
        <v>0</v>
      </c>
      <c r="BY594" s="43" t="str">
        <f t="shared" si="11"/>
        <v>WHO-STI Observation (Reported Symptoms)</v>
      </c>
      <c r="BZ594" s="46">
        <f t="shared" si="12"/>
        <v>1</v>
      </c>
      <c r="CA594" s="46" t="str">
        <f t="shared" si="13"/>
        <v/>
      </c>
      <c r="CB594" s="46">
        <f t="shared" si="14"/>
        <v>1</v>
      </c>
      <c r="CC594" s="46">
        <f t="shared" si="15"/>
        <v>1</v>
      </c>
      <c r="CD594" s="46">
        <f t="shared" si="16"/>
        <v>1</v>
      </c>
      <c r="CE594" s="46">
        <f t="shared" si="17"/>
        <v>0</v>
      </c>
      <c r="CF594" s="46">
        <f t="shared" si="18"/>
        <v>0</v>
      </c>
      <c r="CG594" s="46" t="str">
        <f ca="1">IFERROR(__xludf.DUMMYFUNCTION("if(OR(BH594="""",LEFT(BH594,2)=""LA""),"""",IMPORTXML(CONCATENATE(""https://loinc.org/"",BH594,""/""),""//span[@id='lcn']""))"),"")</f>
        <v/>
      </c>
      <c r="CH594" s="46"/>
      <c r="CI594" s="46"/>
      <c r="CJ594" s="46"/>
      <c r="CK594" s="46"/>
      <c r="CL594" s="46"/>
      <c r="CM594" s="46"/>
      <c r="CN594" s="46"/>
      <c r="CO594" s="46"/>
      <c r="CP594" s="46"/>
      <c r="CQ594" s="46"/>
      <c r="CR594" s="46"/>
      <c r="CS594" s="46"/>
      <c r="CT594" s="46"/>
      <c r="CU594" s="46"/>
    </row>
    <row r="595" spans="1:99" ht="12.75" customHeight="1">
      <c r="A595" s="409">
        <v>2026</v>
      </c>
      <c r="B595" s="399" t="s">
        <v>6783</v>
      </c>
      <c r="C595" s="399">
        <f t="shared" si="103"/>
        <v>2026</v>
      </c>
      <c r="D595" s="399" t="e">
        <f t="shared" ca="1" si="104"/>
        <v>#NAME?</v>
      </c>
      <c r="E595" s="399" t="str">
        <f t="shared" si="105"/>
        <v>Groin lumps</v>
      </c>
      <c r="F595" s="399" t="str">
        <f t="shared" si="109"/>
        <v>Input Option</v>
      </c>
      <c r="G595" s="400">
        <f t="shared" si="106"/>
        <v>18</v>
      </c>
      <c r="H595" s="399" t="str">
        <f t="shared" si="110"/>
        <v>Reported symptoms</v>
      </c>
      <c r="I595" s="400"/>
      <c r="J595" s="400"/>
      <c r="K595" s="401" t="s">
        <v>5283</v>
      </c>
      <c r="L595" s="402" t="s">
        <v>5194</v>
      </c>
      <c r="M595" s="400"/>
      <c r="N595" s="639" t="s">
        <v>4853</v>
      </c>
      <c r="O595" s="431" t="s">
        <v>6784</v>
      </c>
      <c r="P595" s="431"/>
      <c r="Q595" s="404"/>
      <c r="R595" s="404"/>
      <c r="S595" s="404"/>
      <c r="T595" s="404"/>
      <c r="U595" s="404"/>
      <c r="V595" s="659" t="s">
        <v>6785</v>
      </c>
      <c r="W595" s="404"/>
      <c r="X595" s="404" t="s">
        <v>208</v>
      </c>
      <c r="Y595" s="404"/>
      <c r="Z595" s="404" t="s">
        <v>113</v>
      </c>
      <c r="AA595" s="404" t="s">
        <v>1889</v>
      </c>
      <c r="AB595" s="406"/>
      <c r="AC595" s="404"/>
      <c r="AD595" s="404"/>
      <c r="AE595" s="406"/>
      <c r="AF595" s="404"/>
      <c r="AG595" s="420" t="s">
        <v>6787</v>
      </c>
      <c r="AH595" s="399"/>
      <c r="AI595" s="400"/>
      <c r="AJ595" s="399" t="s">
        <v>1787</v>
      </c>
      <c r="AK595" s="399"/>
      <c r="AL595" s="399" t="s">
        <v>1787</v>
      </c>
      <c r="AM595" s="399"/>
      <c r="AN595" s="399" t="s">
        <v>1787</v>
      </c>
      <c r="AO595" s="399" t="s">
        <v>1787</v>
      </c>
      <c r="AP595" s="399"/>
      <c r="AQ595" s="409" t="s">
        <v>3130</v>
      </c>
      <c r="AR595" s="399"/>
      <c r="AS595" s="399"/>
      <c r="AT595" s="399"/>
      <c r="AU595" s="399"/>
      <c r="AV595" s="399" t="str">
        <f t="shared" si="107"/>
        <v/>
      </c>
      <c r="AW595" s="399"/>
      <c r="AX595" s="409" t="s">
        <v>5194</v>
      </c>
      <c r="AY595" s="399" t="e">
        <f t="shared" ca="1" si="108"/>
        <v>#NAME?</v>
      </c>
      <c r="AZ595" s="399"/>
      <c r="BA595" s="409" t="s">
        <v>3125</v>
      </c>
      <c r="BB595" s="399"/>
      <c r="BC595" s="399" t="s">
        <v>1787</v>
      </c>
      <c r="BD595" s="399" t="s">
        <v>1787</v>
      </c>
      <c r="BE595" s="434" t="s">
        <v>6793</v>
      </c>
      <c r="BF595" s="411" t="s">
        <v>1787</v>
      </c>
      <c r="BG595" s="434" t="s">
        <v>6795</v>
      </c>
      <c r="BH595" s="411"/>
      <c r="BI595" s="411"/>
      <c r="BJ595" s="399" t="s">
        <v>1787</v>
      </c>
      <c r="BK595" s="399" t="s">
        <v>1787</v>
      </c>
      <c r="BL595" s="399"/>
      <c r="BM595" s="409" t="s">
        <v>6796</v>
      </c>
      <c r="BN595" s="399" t="s">
        <v>1787</v>
      </c>
      <c r="BO595" s="399" t="s">
        <v>1787</v>
      </c>
      <c r="BP595" s="399" t="s">
        <v>1787</v>
      </c>
      <c r="BQ595" s="399" t="s">
        <v>1787</v>
      </c>
      <c r="BR595" s="399" t="s">
        <v>1787</v>
      </c>
      <c r="BS595" s="407"/>
      <c r="BT595" s="407"/>
      <c r="BU595" s="412"/>
      <c r="BV595" s="46" t="str">
        <f t="shared" si="8"/>
        <v/>
      </c>
      <c r="BW595" s="46">
        <f t="shared" si="9"/>
        <v>0</v>
      </c>
      <c r="BX595" s="46">
        <f t="shared" si="10"/>
        <v>0</v>
      </c>
      <c r="BY595" s="43" t="str">
        <f t="shared" si="11"/>
        <v>WHO-STI Observation (Reported Symptoms)</v>
      </c>
      <c r="BZ595" s="46">
        <f t="shared" si="12"/>
        <v>1</v>
      </c>
      <c r="CA595" s="46" t="str">
        <f t="shared" si="13"/>
        <v/>
      </c>
      <c r="CB595" s="46">
        <f t="shared" si="14"/>
        <v>1</v>
      </c>
      <c r="CC595" s="46">
        <f t="shared" si="15"/>
        <v>1</v>
      </c>
      <c r="CD595" s="46">
        <f t="shared" si="16"/>
        <v>1</v>
      </c>
      <c r="CE595" s="46">
        <f t="shared" si="17"/>
        <v>0</v>
      </c>
      <c r="CF595" s="46">
        <f t="shared" si="18"/>
        <v>0</v>
      </c>
      <c r="CG595" s="46" t="str">
        <f ca="1">IFERROR(__xludf.DUMMYFUNCTION("if(OR(BH595="""",LEFT(BH595,2)=""LA""),"""",IMPORTXML(CONCATENATE(""https://loinc.org/"",BH595,""/""),""//span[@id='lcn']""))"),"")</f>
        <v/>
      </c>
      <c r="CH595" s="46"/>
      <c r="CI595" s="46"/>
      <c r="CJ595" s="46"/>
      <c r="CK595" s="46"/>
      <c r="CL595" s="46"/>
      <c r="CM595" s="46"/>
      <c r="CN595" s="46"/>
      <c r="CO595" s="46"/>
      <c r="CP595" s="46"/>
      <c r="CQ595" s="46"/>
      <c r="CR595" s="46"/>
      <c r="CS595" s="46"/>
      <c r="CT595" s="46"/>
      <c r="CU595" s="46"/>
    </row>
    <row r="596" spans="1:99" ht="12.75" customHeight="1">
      <c r="A596" s="409">
        <v>2027</v>
      </c>
      <c r="B596" s="399" t="s">
        <v>6799</v>
      </c>
      <c r="C596" s="399">
        <f t="shared" si="103"/>
        <v>2027</v>
      </c>
      <c r="D596" s="399" t="e">
        <f t="shared" ca="1" si="104"/>
        <v>#NAME?</v>
      </c>
      <c r="E596" s="399" t="str">
        <f t="shared" si="105"/>
        <v>Groin swelling</v>
      </c>
      <c r="F596" s="399" t="str">
        <f t="shared" si="109"/>
        <v>Input Option</v>
      </c>
      <c r="G596" s="400">
        <f t="shared" si="106"/>
        <v>21</v>
      </c>
      <c r="H596" s="399" t="str">
        <f t="shared" si="110"/>
        <v>Reported symptoms</v>
      </c>
      <c r="I596" s="400"/>
      <c r="J596" s="400"/>
      <c r="K596" s="401" t="s">
        <v>5283</v>
      </c>
      <c r="L596" s="402" t="s">
        <v>5194</v>
      </c>
      <c r="M596" s="400"/>
      <c r="N596" s="639" t="s">
        <v>4853</v>
      </c>
      <c r="O596" s="431" t="s">
        <v>6804</v>
      </c>
      <c r="P596" s="431"/>
      <c r="Q596" s="404"/>
      <c r="R596" s="404"/>
      <c r="S596" s="404"/>
      <c r="T596" s="404"/>
      <c r="U596" s="404"/>
      <c r="V596" s="659" t="s">
        <v>6807</v>
      </c>
      <c r="W596" s="404"/>
      <c r="X596" s="404" t="s">
        <v>208</v>
      </c>
      <c r="Y596" s="404"/>
      <c r="Z596" s="404" t="s">
        <v>113</v>
      </c>
      <c r="AA596" s="404" t="s">
        <v>1889</v>
      </c>
      <c r="AB596" s="406"/>
      <c r="AC596" s="404"/>
      <c r="AD596" s="404"/>
      <c r="AE596" s="406"/>
      <c r="AF596" s="404"/>
      <c r="AG596" s="420" t="s">
        <v>6811</v>
      </c>
      <c r="AH596" s="399"/>
      <c r="AI596" s="400"/>
      <c r="AJ596" s="399" t="s">
        <v>1787</v>
      </c>
      <c r="AK596" s="399"/>
      <c r="AL596" s="399" t="s">
        <v>1787</v>
      </c>
      <c r="AM596" s="399"/>
      <c r="AN596" s="399" t="s">
        <v>1787</v>
      </c>
      <c r="AO596" s="399" t="s">
        <v>1787</v>
      </c>
      <c r="AP596" s="399"/>
      <c r="AQ596" s="409" t="s">
        <v>3130</v>
      </c>
      <c r="AR596" s="399"/>
      <c r="AS596" s="399"/>
      <c r="AT596" s="399"/>
      <c r="AU596" s="399"/>
      <c r="AV596" s="399" t="str">
        <f t="shared" si="107"/>
        <v/>
      </c>
      <c r="AW596" s="399"/>
      <c r="AX596" s="409" t="s">
        <v>5194</v>
      </c>
      <c r="AY596" s="399" t="e">
        <f t="shared" ca="1" si="108"/>
        <v>#NAME?</v>
      </c>
      <c r="AZ596" s="399"/>
      <c r="BA596" s="409" t="s">
        <v>3125</v>
      </c>
      <c r="BB596" s="399"/>
      <c r="BC596" s="399" t="s">
        <v>1787</v>
      </c>
      <c r="BD596" s="399" t="s">
        <v>1787</v>
      </c>
      <c r="BE596" s="434" t="s">
        <v>6813</v>
      </c>
      <c r="BF596" s="411" t="s">
        <v>1787</v>
      </c>
      <c r="BG596" s="434" t="s">
        <v>6814</v>
      </c>
      <c r="BH596" s="411"/>
      <c r="BI596" s="411"/>
      <c r="BJ596" s="399" t="s">
        <v>1787</v>
      </c>
      <c r="BK596" s="399" t="s">
        <v>1787</v>
      </c>
      <c r="BL596" s="399"/>
      <c r="BM596" s="399" t="s">
        <v>1787</v>
      </c>
      <c r="BN596" s="399" t="s">
        <v>1787</v>
      </c>
      <c r="BO596" s="399" t="s">
        <v>1787</v>
      </c>
      <c r="BP596" s="399" t="s">
        <v>1787</v>
      </c>
      <c r="BQ596" s="399" t="s">
        <v>1787</v>
      </c>
      <c r="BR596" s="399" t="s">
        <v>1787</v>
      </c>
      <c r="BS596" s="407"/>
      <c r="BT596" s="407"/>
      <c r="BU596" s="412"/>
      <c r="BV596" s="46" t="str">
        <f t="shared" si="8"/>
        <v/>
      </c>
      <c r="BW596" s="46">
        <f t="shared" si="9"/>
        <v>0</v>
      </c>
      <c r="BX596" s="46">
        <f t="shared" si="10"/>
        <v>0</v>
      </c>
      <c r="BY596" s="43" t="str">
        <f t="shared" si="11"/>
        <v>WHO-STI Observation (Reported Symptoms)</v>
      </c>
      <c r="BZ596" s="46">
        <f t="shared" si="12"/>
        <v>1</v>
      </c>
      <c r="CA596" s="46" t="str">
        <f t="shared" si="13"/>
        <v/>
      </c>
      <c r="CB596" s="46">
        <f t="shared" si="14"/>
        <v>1</v>
      </c>
      <c r="CC596" s="46">
        <f t="shared" si="15"/>
        <v>1</v>
      </c>
      <c r="CD596" s="46">
        <f t="shared" si="16"/>
        <v>1</v>
      </c>
      <c r="CE596" s="46">
        <f t="shared" si="17"/>
        <v>0</v>
      </c>
      <c r="CF596" s="46">
        <f t="shared" si="18"/>
        <v>0</v>
      </c>
      <c r="CG596" s="46" t="str">
        <f ca="1">IFERROR(__xludf.DUMMYFUNCTION("if(OR(BH596="""",LEFT(BH596,2)=""LA""),"""",IMPORTXML(CONCATENATE(""https://loinc.org/"",BH596,""/""),""//span[@id='lcn']""))"),"")</f>
        <v/>
      </c>
      <c r="CH596" s="46"/>
      <c r="CI596" s="46"/>
      <c r="CJ596" s="46"/>
      <c r="CK596" s="46"/>
      <c r="CL596" s="46"/>
      <c r="CM596" s="46"/>
      <c r="CN596" s="46"/>
      <c r="CO596" s="46"/>
      <c r="CP596" s="46"/>
      <c r="CQ596" s="46"/>
      <c r="CR596" s="46"/>
      <c r="CS596" s="46"/>
      <c r="CT596" s="46"/>
      <c r="CU596" s="46"/>
    </row>
    <row r="597" spans="1:99" ht="12.75" customHeight="1">
      <c r="A597" s="409">
        <v>2028</v>
      </c>
      <c r="B597" s="399" t="s">
        <v>6826</v>
      </c>
      <c r="C597" s="399">
        <f t="shared" si="103"/>
        <v>2028</v>
      </c>
      <c r="D597" s="399" t="e">
        <f t="shared" ca="1" si="104"/>
        <v>#NAME?</v>
      </c>
      <c r="E597" s="399" t="str">
        <f t="shared" si="105"/>
        <v>Genital blisters</v>
      </c>
      <c r="F597" s="399" t="str">
        <f t="shared" si="109"/>
        <v>Input Option</v>
      </c>
      <c r="G597" s="400">
        <f t="shared" si="106"/>
        <v>23</v>
      </c>
      <c r="H597" s="399" t="str">
        <f t="shared" si="110"/>
        <v>Reported symptoms</v>
      </c>
      <c r="I597" s="400"/>
      <c r="J597" s="400"/>
      <c r="K597" s="401" t="s">
        <v>5283</v>
      </c>
      <c r="L597" s="402" t="s">
        <v>5194</v>
      </c>
      <c r="M597" s="400"/>
      <c r="N597" s="639" t="s">
        <v>4853</v>
      </c>
      <c r="O597" s="431" t="s">
        <v>6834</v>
      </c>
      <c r="P597" s="431"/>
      <c r="Q597" s="404"/>
      <c r="R597" s="404"/>
      <c r="S597" s="404"/>
      <c r="T597" s="404"/>
      <c r="U597" s="404"/>
      <c r="V597" s="659" t="s">
        <v>6837</v>
      </c>
      <c r="W597" s="404"/>
      <c r="X597" s="404" t="s">
        <v>208</v>
      </c>
      <c r="Y597" s="404"/>
      <c r="Z597" s="404" t="s">
        <v>113</v>
      </c>
      <c r="AA597" s="404" t="s">
        <v>1889</v>
      </c>
      <c r="AB597" s="406"/>
      <c r="AC597" s="404"/>
      <c r="AD597" s="404"/>
      <c r="AE597" s="406"/>
      <c r="AF597" s="404"/>
      <c r="AG597" s="420" t="s">
        <v>6787</v>
      </c>
      <c r="AH597" s="399"/>
      <c r="AI597" s="400"/>
      <c r="AJ597" s="399" t="s">
        <v>1787</v>
      </c>
      <c r="AK597" s="399"/>
      <c r="AL597" s="399" t="s">
        <v>1787</v>
      </c>
      <c r="AM597" s="399"/>
      <c r="AN597" s="399" t="s">
        <v>1787</v>
      </c>
      <c r="AO597" s="399" t="s">
        <v>1787</v>
      </c>
      <c r="AP597" s="399"/>
      <c r="AQ597" s="409" t="s">
        <v>3130</v>
      </c>
      <c r="AR597" s="399"/>
      <c r="AS597" s="399"/>
      <c r="AT597" s="399"/>
      <c r="AU597" s="399"/>
      <c r="AV597" s="399" t="str">
        <f t="shared" si="107"/>
        <v/>
      </c>
      <c r="AW597" s="399"/>
      <c r="AX597" s="409" t="s">
        <v>5194</v>
      </c>
      <c r="AY597" s="399" t="e">
        <f t="shared" ca="1" si="108"/>
        <v>#NAME?</v>
      </c>
      <c r="AZ597" s="399"/>
      <c r="BA597" s="409" t="s">
        <v>3125</v>
      </c>
      <c r="BB597" s="399"/>
      <c r="BC597" s="399" t="s">
        <v>1787</v>
      </c>
      <c r="BD597" s="409" t="s">
        <v>6839</v>
      </c>
      <c r="BE597" s="411"/>
      <c r="BF597" s="411" t="s">
        <v>1787</v>
      </c>
      <c r="BG597" s="434" t="s">
        <v>6841</v>
      </c>
      <c r="BH597" s="411"/>
      <c r="BI597" s="411"/>
      <c r="BJ597" s="399" t="s">
        <v>1787</v>
      </c>
      <c r="BK597" s="399" t="s">
        <v>1787</v>
      </c>
      <c r="BL597" s="399"/>
      <c r="BM597" s="399" t="s">
        <v>1787</v>
      </c>
      <c r="BN597" s="399" t="s">
        <v>1787</v>
      </c>
      <c r="BO597" s="399" t="s">
        <v>1787</v>
      </c>
      <c r="BP597" s="399" t="s">
        <v>1787</v>
      </c>
      <c r="BQ597" s="399" t="s">
        <v>1787</v>
      </c>
      <c r="BR597" s="399" t="s">
        <v>1787</v>
      </c>
      <c r="BS597" s="407"/>
      <c r="BT597" s="407"/>
      <c r="BU597" s="412"/>
      <c r="BV597" s="46" t="str">
        <f t="shared" si="8"/>
        <v/>
      </c>
      <c r="BW597" s="46">
        <f t="shared" si="9"/>
        <v>0</v>
      </c>
      <c r="BX597" s="46">
        <f t="shared" si="10"/>
        <v>0</v>
      </c>
      <c r="BY597" s="43" t="str">
        <f t="shared" si="11"/>
        <v>WHO-STI Observation (Reported Symptoms)</v>
      </c>
      <c r="BZ597" s="46">
        <f t="shared" si="12"/>
        <v>1</v>
      </c>
      <c r="CA597" s="46" t="str">
        <f t="shared" si="13"/>
        <v/>
      </c>
      <c r="CB597" s="46">
        <f t="shared" si="14"/>
        <v>1</v>
      </c>
      <c r="CC597" s="46">
        <f t="shared" si="15"/>
        <v>1</v>
      </c>
      <c r="CD597" s="46">
        <f t="shared" si="16"/>
        <v>1</v>
      </c>
      <c r="CE597" s="46">
        <f t="shared" si="17"/>
        <v>0</v>
      </c>
      <c r="CF597" s="46">
        <f t="shared" si="18"/>
        <v>0</v>
      </c>
      <c r="CG597" s="46" t="str">
        <f ca="1">IFERROR(__xludf.DUMMYFUNCTION("if(OR(BH597="""",LEFT(BH597,2)=""LA""),"""",IMPORTXML(CONCATENATE(""https://loinc.org/"",BH597,""/""),""//span[@id='lcn']""))"),"")</f>
        <v/>
      </c>
      <c r="CH597" s="46"/>
      <c r="CI597" s="46"/>
      <c r="CJ597" s="46"/>
      <c r="CK597" s="46"/>
      <c r="CL597" s="46"/>
      <c r="CM597" s="46"/>
      <c r="CN597" s="46"/>
      <c r="CO597" s="46"/>
      <c r="CP597" s="46"/>
      <c r="CQ597" s="46"/>
      <c r="CR597" s="46"/>
      <c r="CS597" s="46"/>
      <c r="CT597" s="46"/>
      <c r="CU597" s="46"/>
    </row>
    <row r="598" spans="1:99" ht="12.75" customHeight="1">
      <c r="A598" s="409">
        <v>2029</v>
      </c>
      <c r="B598" s="399" t="s">
        <v>6857</v>
      </c>
      <c r="C598" s="399">
        <f t="shared" si="103"/>
        <v>2029</v>
      </c>
      <c r="D598" s="399" t="e">
        <f t="shared" ca="1" si="104"/>
        <v>#NAME?</v>
      </c>
      <c r="E598" s="399" t="str">
        <f t="shared" si="105"/>
        <v>Anogenital sores</v>
      </c>
      <c r="F598" s="399" t="str">
        <f t="shared" si="109"/>
        <v>Input Option</v>
      </c>
      <c r="G598" s="400">
        <f t="shared" si="106"/>
        <v>23</v>
      </c>
      <c r="H598" s="399" t="str">
        <f t="shared" si="110"/>
        <v>Reported symptoms</v>
      </c>
      <c r="I598" s="400"/>
      <c r="J598" s="400"/>
      <c r="K598" s="401" t="s">
        <v>5283</v>
      </c>
      <c r="L598" s="402" t="s">
        <v>5194</v>
      </c>
      <c r="M598" s="400"/>
      <c r="N598" s="639" t="s">
        <v>4853</v>
      </c>
      <c r="O598" s="431" t="s">
        <v>6858</v>
      </c>
      <c r="P598" s="431"/>
      <c r="Q598" s="404"/>
      <c r="R598" s="404"/>
      <c r="S598" s="404"/>
      <c r="T598" s="404"/>
      <c r="U598" s="404"/>
      <c r="V598" s="658" t="s">
        <v>6860</v>
      </c>
      <c r="W598" s="404"/>
      <c r="X598" s="404" t="s">
        <v>208</v>
      </c>
      <c r="Y598" s="404"/>
      <c r="Z598" s="404" t="s">
        <v>113</v>
      </c>
      <c r="AA598" s="404" t="s">
        <v>1889</v>
      </c>
      <c r="AB598" s="406"/>
      <c r="AC598" s="404"/>
      <c r="AD598" s="404"/>
      <c r="AE598" s="406"/>
      <c r="AF598" s="404"/>
      <c r="AG598" s="420" t="s">
        <v>6787</v>
      </c>
      <c r="AH598" s="399"/>
      <c r="AI598" s="400"/>
      <c r="AJ598" s="399" t="s">
        <v>1787</v>
      </c>
      <c r="AK598" s="399"/>
      <c r="AL598" s="399" t="s">
        <v>1787</v>
      </c>
      <c r="AM598" s="399"/>
      <c r="AN598" s="399" t="s">
        <v>1787</v>
      </c>
      <c r="AO598" s="399" t="s">
        <v>1787</v>
      </c>
      <c r="AP598" s="399"/>
      <c r="AQ598" s="409" t="s">
        <v>3130</v>
      </c>
      <c r="AR598" s="399"/>
      <c r="AS598" s="399"/>
      <c r="AT598" s="399"/>
      <c r="AU598" s="399"/>
      <c r="AV598" s="399" t="str">
        <f t="shared" si="107"/>
        <v/>
      </c>
      <c r="AW598" s="399"/>
      <c r="AX598" s="409" t="s">
        <v>5194</v>
      </c>
      <c r="AY598" s="399" t="e">
        <f t="shared" ca="1" si="108"/>
        <v>#NAME?</v>
      </c>
      <c r="AZ598" s="399"/>
      <c r="BA598" s="409" t="s">
        <v>3125</v>
      </c>
      <c r="BB598" s="399"/>
      <c r="BC598" s="399" t="s">
        <v>1787</v>
      </c>
      <c r="BD598" s="399" t="s">
        <v>1787</v>
      </c>
      <c r="BE598" s="434" t="s">
        <v>6864</v>
      </c>
      <c r="BF598" s="411" t="s">
        <v>1787</v>
      </c>
      <c r="BG598" s="434" t="s">
        <v>6865</v>
      </c>
      <c r="BH598" s="411"/>
      <c r="BI598" s="411"/>
      <c r="BJ598" s="399" t="s">
        <v>1787</v>
      </c>
      <c r="BK598" s="399" t="s">
        <v>1787</v>
      </c>
      <c r="BL598" s="399"/>
      <c r="BM598" s="409" t="s">
        <v>6866</v>
      </c>
      <c r="BN598" s="399" t="s">
        <v>1787</v>
      </c>
      <c r="BO598" s="399" t="s">
        <v>1787</v>
      </c>
      <c r="BP598" s="399" t="s">
        <v>1787</v>
      </c>
      <c r="BQ598" s="399" t="s">
        <v>1787</v>
      </c>
      <c r="BR598" s="399" t="s">
        <v>1787</v>
      </c>
      <c r="BS598" s="407"/>
      <c r="BT598" s="407"/>
      <c r="BU598" s="412"/>
      <c r="BV598" s="46" t="str">
        <f t="shared" si="8"/>
        <v/>
      </c>
      <c r="BW598" s="46">
        <f t="shared" si="9"/>
        <v>0</v>
      </c>
      <c r="BX598" s="46">
        <f t="shared" si="10"/>
        <v>0</v>
      </c>
      <c r="BY598" s="43" t="str">
        <f t="shared" si="11"/>
        <v>WHO-STI Observation (Reported Symptoms)</v>
      </c>
      <c r="BZ598" s="46">
        <f t="shared" si="12"/>
        <v>1</v>
      </c>
      <c r="CA598" s="46" t="str">
        <f t="shared" si="13"/>
        <v/>
      </c>
      <c r="CB598" s="46">
        <f t="shared" si="14"/>
        <v>1</v>
      </c>
      <c r="CC598" s="46">
        <f t="shared" si="15"/>
        <v>1</v>
      </c>
      <c r="CD598" s="46">
        <f t="shared" si="16"/>
        <v>1</v>
      </c>
      <c r="CE598" s="46">
        <f t="shared" si="17"/>
        <v>0</v>
      </c>
      <c r="CF598" s="46">
        <f t="shared" si="18"/>
        <v>0</v>
      </c>
      <c r="CG598" s="46" t="str">
        <f ca="1">IFERROR(__xludf.DUMMYFUNCTION("if(OR(BH598="""",LEFT(BH598,2)=""LA""),"""",IMPORTXML(CONCATENATE(""https://loinc.org/"",BH598,""/""),""//span[@id='lcn']""))"),"")</f>
        <v/>
      </c>
      <c r="CH598" s="46"/>
      <c r="CI598" s="46"/>
      <c r="CJ598" s="46"/>
      <c r="CK598" s="46"/>
      <c r="CL598" s="46"/>
      <c r="CM598" s="46"/>
      <c r="CN598" s="46"/>
      <c r="CO598" s="46"/>
      <c r="CP598" s="46"/>
      <c r="CQ598" s="46"/>
      <c r="CR598" s="46"/>
      <c r="CS598" s="46"/>
      <c r="CT598" s="46"/>
      <c r="CU598" s="46"/>
    </row>
    <row r="599" spans="1:99" ht="12.75" customHeight="1">
      <c r="A599" s="409">
        <v>2030</v>
      </c>
      <c r="B599" s="399" t="s">
        <v>6872</v>
      </c>
      <c r="C599" s="399">
        <f t="shared" si="103"/>
        <v>2030</v>
      </c>
      <c r="D599" s="399" t="e">
        <f t="shared" ca="1" si="104"/>
        <v>#NAME?</v>
      </c>
      <c r="E599" s="399" t="str">
        <f t="shared" si="105"/>
        <v>Groin ulcer</v>
      </c>
      <c r="F599" s="399" t="str">
        <f t="shared" si="109"/>
        <v>Input Option</v>
      </c>
      <c r="G599" s="400">
        <f t="shared" si="106"/>
        <v>18</v>
      </c>
      <c r="H599" s="399" t="str">
        <f t="shared" si="110"/>
        <v>Reported symptoms</v>
      </c>
      <c r="I599" s="400"/>
      <c r="J599" s="400"/>
      <c r="K599" s="401" t="s">
        <v>5283</v>
      </c>
      <c r="L599" s="402" t="s">
        <v>5194</v>
      </c>
      <c r="M599" s="400"/>
      <c r="N599" s="639" t="s">
        <v>4853</v>
      </c>
      <c r="O599" s="431" t="s">
        <v>6873</v>
      </c>
      <c r="P599" s="431"/>
      <c r="Q599" s="404"/>
      <c r="R599" s="404"/>
      <c r="S599" s="404"/>
      <c r="T599" s="404"/>
      <c r="U599" s="404"/>
      <c r="V599" s="659" t="s">
        <v>6874</v>
      </c>
      <c r="W599" s="404"/>
      <c r="X599" s="404" t="s">
        <v>208</v>
      </c>
      <c r="Y599" s="404"/>
      <c r="Z599" s="404" t="s">
        <v>113</v>
      </c>
      <c r="AA599" s="404" t="s">
        <v>1889</v>
      </c>
      <c r="AB599" s="406"/>
      <c r="AC599" s="404"/>
      <c r="AD599" s="404"/>
      <c r="AE599" s="406"/>
      <c r="AF599" s="404"/>
      <c r="AG599" s="420" t="s">
        <v>6734</v>
      </c>
      <c r="AH599" s="399"/>
      <c r="AI599" s="400"/>
      <c r="AJ599" s="399" t="s">
        <v>1787</v>
      </c>
      <c r="AK599" s="399"/>
      <c r="AL599" s="399" t="s">
        <v>1787</v>
      </c>
      <c r="AM599" s="399"/>
      <c r="AN599" s="399" t="s">
        <v>1787</v>
      </c>
      <c r="AO599" s="399" t="s">
        <v>1787</v>
      </c>
      <c r="AP599" s="399"/>
      <c r="AQ599" s="409" t="s">
        <v>3130</v>
      </c>
      <c r="AR599" s="399"/>
      <c r="AS599" s="399"/>
      <c r="AT599" s="399"/>
      <c r="AU599" s="399"/>
      <c r="AV599" s="399" t="str">
        <f t="shared" si="107"/>
        <v/>
      </c>
      <c r="AW599" s="399"/>
      <c r="AX599" s="409" t="s">
        <v>5194</v>
      </c>
      <c r="AY599" s="399" t="e">
        <f t="shared" ca="1" si="108"/>
        <v>#NAME?</v>
      </c>
      <c r="AZ599" s="399"/>
      <c r="BA599" s="409" t="s">
        <v>3125</v>
      </c>
      <c r="BB599" s="415" t="s">
        <v>3131</v>
      </c>
      <c r="BC599" s="399" t="s">
        <v>6874</v>
      </c>
      <c r="BD599" s="399" t="s">
        <v>1787</v>
      </c>
      <c r="BE599" s="411"/>
      <c r="BF599" s="411" t="s">
        <v>1787</v>
      </c>
      <c r="BG599" s="411"/>
      <c r="BH599" s="411"/>
      <c r="BI599" s="411"/>
      <c r="BJ599" s="409" t="s">
        <v>4282</v>
      </c>
      <c r="BK599" s="399" t="s">
        <v>1787</v>
      </c>
      <c r="BL599" s="409" t="s">
        <v>3162</v>
      </c>
      <c r="BM599" s="409" t="s">
        <v>6880</v>
      </c>
      <c r="BN599" s="399" t="s">
        <v>1787</v>
      </c>
      <c r="BO599" s="399" t="s">
        <v>1787</v>
      </c>
      <c r="BP599" s="399" t="s">
        <v>1787</v>
      </c>
      <c r="BQ599" s="399" t="s">
        <v>1787</v>
      </c>
      <c r="BR599" s="399" t="s">
        <v>1787</v>
      </c>
      <c r="BS599" s="407"/>
      <c r="BT599" s="407"/>
      <c r="BU599" s="412"/>
      <c r="BV599" s="46" t="str">
        <f t="shared" si="8"/>
        <v/>
      </c>
      <c r="BW599" s="46">
        <f t="shared" si="9"/>
        <v>0</v>
      </c>
      <c r="BX599" s="46">
        <f t="shared" si="10"/>
        <v>0</v>
      </c>
      <c r="BY599" s="43" t="str">
        <f t="shared" si="11"/>
        <v>WHO-STI Observation (Reported Symptoms)</v>
      </c>
      <c r="BZ599" s="46">
        <f t="shared" si="12"/>
        <v>1</v>
      </c>
      <c r="CA599" s="46" t="str">
        <f t="shared" si="13"/>
        <v/>
      </c>
      <c r="CB599" s="46">
        <f t="shared" si="14"/>
        <v>1</v>
      </c>
      <c r="CC599" s="46">
        <f t="shared" si="15"/>
        <v>1</v>
      </c>
      <c r="CD599" s="46">
        <f t="shared" si="16"/>
        <v>1</v>
      </c>
      <c r="CE599" s="46">
        <f t="shared" si="17"/>
        <v>0</v>
      </c>
      <c r="CF599" s="46">
        <f t="shared" si="18"/>
        <v>0</v>
      </c>
      <c r="CG599" s="46" t="str">
        <f ca="1">IFERROR(__xludf.DUMMYFUNCTION("if(OR(BH599="""",LEFT(BH599,2)=""LA""),"""",IMPORTXML(CONCATENATE(""https://loinc.org/"",BH599,""/""),""//span[@id='lcn']""))"),"")</f>
        <v/>
      </c>
      <c r="CH599" s="46"/>
      <c r="CI599" s="46"/>
      <c r="CJ599" s="46"/>
      <c r="CK599" s="46"/>
      <c r="CL599" s="46"/>
      <c r="CM599" s="46"/>
      <c r="CN599" s="46"/>
      <c r="CO599" s="46"/>
      <c r="CP599" s="46"/>
      <c r="CQ599" s="46"/>
      <c r="CR599" s="46"/>
      <c r="CS599" s="46"/>
      <c r="CT599" s="46"/>
      <c r="CU599" s="46"/>
    </row>
    <row r="600" spans="1:99" ht="12.75" customHeight="1">
      <c r="A600" s="409">
        <v>2031</v>
      </c>
      <c r="B600" s="399" t="s">
        <v>2490</v>
      </c>
      <c r="C600" s="399">
        <f t="shared" si="103"/>
        <v>2031</v>
      </c>
      <c r="D600" s="399" t="e">
        <f t="shared" ca="1" si="104"/>
        <v>#NAME?</v>
      </c>
      <c r="E600" s="399" t="str">
        <f t="shared" si="105"/>
        <v>Genital ulcer</v>
      </c>
      <c r="F600" s="399" t="str">
        <f t="shared" si="109"/>
        <v>Input Option</v>
      </c>
      <c r="G600" s="400">
        <f t="shared" si="106"/>
        <v>20</v>
      </c>
      <c r="H600" s="399" t="str">
        <f t="shared" si="110"/>
        <v>Reported symptoms</v>
      </c>
      <c r="I600" s="400"/>
      <c r="J600" s="400"/>
      <c r="K600" s="401" t="s">
        <v>5283</v>
      </c>
      <c r="L600" s="402" t="s">
        <v>5194</v>
      </c>
      <c r="M600" s="400"/>
      <c r="N600" s="639" t="s">
        <v>4853</v>
      </c>
      <c r="O600" s="431" t="s">
        <v>6883</v>
      </c>
      <c r="P600" s="431"/>
      <c r="Q600" s="404"/>
      <c r="R600" s="404"/>
      <c r="S600" s="404"/>
      <c r="T600" s="404"/>
      <c r="U600" s="404"/>
      <c r="V600" s="659" t="s">
        <v>1642</v>
      </c>
      <c r="W600" s="404"/>
      <c r="X600" s="404" t="s">
        <v>208</v>
      </c>
      <c r="Y600" s="404"/>
      <c r="Z600" s="404" t="s">
        <v>113</v>
      </c>
      <c r="AA600" s="404" t="s">
        <v>1889</v>
      </c>
      <c r="AB600" s="406"/>
      <c r="AC600" s="404"/>
      <c r="AD600" s="404" t="s">
        <v>6884</v>
      </c>
      <c r="AE600" s="406"/>
      <c r="AF600" s="404"/>
      <c r="AG600" s="420" t="s">
        <v>6787</v>
      </c>
      <c r="AH600" s="399"/>
      <c r="AI600" s="400"/>
      <c r="AJ600" s="399" t="s">
        <v>1787</v>
      </c>
      <c r="AK600" s="399"/>
      <c r="AL600" s="399" t="s">
        <v>1787</v>
      </c>
      <c r="AM600" s="399"/>
      <c r="AN600" s="399" t="s">
        <v>1787</v>
      </c>
      <c r="AO600" s="399" t="s">
        <v>1787</v>
      </c>
      <c r="AP600" s="399"/>
      <c r="AQ600" s="409" t="s">
        <v>3130</v>
      </c>
      <c r="AR600" s="399"/>
      <c r="AS600" s="399"/>
      <c r="AT600" s="399"/>
      <c r="AU600" s="399"/>
      <c r="AV600" s="399" t="str">
        <f t="shared" si="107"/>
        <v/>
      </c>
      <c r="AW600" s="399"/>
      <c r="AX600" s="409" t="s">
        <v>5194</v>
      </c>
      <c r="AY600" s="399" t="e">
        <f t="shared" ca="1" si="108"/>
        <v>#NAME?</v>
      </c>
      <c r="AZ600" s="399"/>
      <c r="BA600" s="409" t="s">
        <v>3125</v>
      </c>
      <c r="BB600" s="399"/>
      <c r="BC600" s="399" t="s">
        <v>1787</v>
      </c>
      <c r="BD600" s="409" t="s">
        <v>6886</v>
      </c>
      <c r="BE600" s="411"/>
      <c r="BF600" s="411" t="s">
        <v>1787</v>
      </c>
      <c r="BG600" s="434" t="s">
        <v>6887</v>
      </c>
      <c r="BH600" s="411"/>
      <c r="BI600" s="411"/>
      <c r="BJ600" s="399" t="s">
        <v>1787</v>
      </c>
      <c r="BK600" s="399" t="s">
        <v>1787</v>
      </c>
      <c r="BL600" s="399"/>
      <c r="BM600" s="399" t="s">
        <v>1787</v>
      </c>
      <c r="BN600" s="399" t="s">
        <v>1787</v>
      </c>
      <c r="BO600" s="399" t="s">
        <v>1787</v>
      </c>
      <c r="BP600" s="399" t="s">
        <v>1787</v>
      </c>
      <c r="BQ600" s="399" t="s">
        <v>1787</v>
      </c>
      <c r="BR600" s="399" t="s">
        <v>1787</v>
      </c>
      <c r="BS600" s="407"/>
      <c r="BT600" s="407"/>
      <c r="BU600" s="412"/>
      <c r="BV600" s="46" t="str">
        <f t="shared" si="8"/>
        <v/>
      </c>
      <c r="BW600" s="46">
        <f t="shared" si="9"/>
        <v>0</v>
      </c>
      <c r="BX600" s="46">
        <f t="shared" si="10"/>
        <v>0</v>
      </c>
      <c r="BY600" s="43" t="str">
        <f t="shared" si="11"/>
        <v>WHO-STI Observation (Reported Symptoms)</v>
      </c>
      <c r="BZ600" s="46">
        <f t="shared" si="12"/>
        <v>1</v>
      </c>
      <c r="CA600" s="46" t="str">
        <f t="shared" si="13"/>
        <v/>
      </c>
      <c r="CB600" s="46">
        <f t="shared" si="14"/>
        <v>1</v>
      </c>
      <c r="CC600" s="46">
        <f t="shared" si="15"/>
        <v>1</v>
      </c>
      <c r="CD600" s="46">
        <f t="shared" si="16"/>
        <v>1</v>
      </c>
      <c r="CE600" s="46">
        <f t="shared" si="17"/>
        <v>0</v>
      </c>
      <c r="CF600" s="46">
        <f t="shared" si="18"/>
        <v>0</v>
      </c>
      <c r="CG600" s="46" t="str">
        <f ca="1">IFERROR(__xludf.DUMMYFUNCTION("if(OR(BH600="""",LEFT(BH600,2)=""LA""),"""",IMPORTXML(CONCATENATE(""https://loinc.org/"",BH600,""/""),""//span[@id='lcn']""))"),"")</f>
        <v/>
      </c>
      <c r="CH600" s="46"/>
      <c r="CI600" s="46"/>
      <c r="CJ600" s="46"/>
      <c r="CK600" s="46"/>
      <c r="CL600" s="46"/>
      <c r="CM600" s="46"/>
      <c r="CN600" s="46"/>
      <c r="CO600" s="46"/>
      <c r="CP600" s="46"/>
      <c r="CQ600" s="46"/>
      <c r="CR600" s="46"/>
      <c r="CS600" s="46"/>
      <c r="CT600" s="46"/>
      <c r="CU600" s="46"/>
    </row>
    <row r="601" spans="1:99" ht="12.75" customHeight="1">
      <c r="A601" s="409">
        <v>2032</v>
      </c>
      <c r="B601" s="399" t="s">
        <v>6889</v>
      </c>
      <c r="C601" s="399">
        <f t="shared" si="103"/>
        <v>2032</v>
      </c>
      <c r="D601" s="399" t="e">
        <f t="shared" ca="1" si="104"/>
        <v>#NAME?</v>
      </c>
      <c r="E601" s="399" t="str">
        <f t="shared" si="105"/>
        <v>Anogenital warts</v>
      </c>
      <c r="F601" s="399" t="str">
        <f t="shared" si="109"/>
        <v>Input Option</v>
      </c>
      <c r="G601" s="400">
        <f t="shared" si="106"/>
        <v>23</v>
      </c>
      <c r="H601" s="399" t="str">
        <f t="shared" si="110"/>
        <v>Reported symptoms</v>
      </c>
      <c r="I601" s="400"/>
      <c r="J601" s="400"/>
      <c r="K601" s="401" t="s">
        <v>5283</v>
      </c>
      <c r="L601" s="402" t="s">
        <v>5194</v>
      </c>
      <c r="M601" s="400"/>
      <c r="N601" s="639" t="s">
        <v>4853</v>
      </c>
      <c r="O601" s="431" t="s">
        <v>6326</v>
      </c>
      <c r="P601" s="431"/>
      <c r="Q601" s="404"/>
      <c r="R601" s="404"/>
      <c r="S601" s="404"/>
      <c r="T601" s="404"/>
      <c r="U601" s="404"/>
      <c r="V601" s="658" t="s">
        <v>6338</v>
      </c>
      <c r="W601" s="404"/>
      <c r="X601" s="404" t="s">
        <v>208</v>
      </c>
      <c r="Y601" s="404"/>
      <c r="Z601" s="404" t="s">
        <v>113</v>
      </c>
      <c r="AA601" s="404" t="s">
        <v>1889</v>
      </c>
      <c r="AB601" s="406"/>
      <c r="AC601" s="404"/>
      <c r="AD601" s="404" t="s">
        <v>6884</v>
      </c>
      <c r="AE601" s="406"/>
      <c r="AF601" s="404"/>
      <c r="AG601" s="404"/>
      <c r="AH601" s="399"/>
      <c r="AI601" s="400"/>
      <c r="AJ601" s="399" t="s">
        <v>1787</v>
      </c>
      <c r="AK601" s="399"/>
      <c r="AL601" s="399" t="s">
        <v>1787</v>
      </c>
      <c r="AM601" s="399"/>
      <c r="AN601" s="399" t="s">
        <v>1787</v>
      </c>
      <c r="AO601" s="399" t="s">
        <v>1787</v>
      </c>
      <c r="AP601" s="399"/>
      <c r="AQ601" s="409" t="s">
        <v>3130</v>
      </c>
      <c r="AR601" s="399"/>
      <c r="AS601" s="399"/>
      <c r="AT601" s="399"/>
      <c r="AU601" s="399"/>
      <c r="AV601" s="399" t="str">
        <f t="shared" si="107"/>
        <v/>
      </c>
      <c r="AW601" s="399"/>
      <c r="AX601" s="409" t="s">
        <v>5194</v>
      </c>
      <c r="AY601" s="399" t="e">
        <f t="shared" ca="1" si="108"/>
        <v>#NAME?</v>
      </c>
      <c r="AZ601" s="399"/>
      <c r="BA601" s="409" t="s">
        <v>3125</v>
      </c>
      <c r="BB601" s="399"/>
      <c r="BC601" s="399" t="s">
        <v>1787</v>
      </c>
      <c r="BD601" s="399" t="s">
        <v>1787</v>
      </c>
      <c r="BE601" s="434" t="s">
        <v>6340</v>
      </c>
      <c r="BF601" s="411" t="s">
        <v>1787</v>
      </c>
      <c r="BG601" s="434" t="s">
        <v>6341</v>
      </c>
      <c r="BH601" s="411"/>
      <c r="BI601" s="411"/>
      <c r="BJ601" s="399" t="s">
        <v>1787</v>
      </c>
      <c r="BK601" s="399" t="s">
        <v>1787</v>
      </c>
      <c r="BL601" s="399"/>
      <c r="BM601" s="409" t="s">
        <v>6894</v>
      </c>
      <c r="BN601" s="399" t="s">
        <v>1787</v>
      </c>
      <c r="BO601" s="399" t="s">
        <v>1787</v>
      </c>
      <c r="BP601" s="399" t="s">
        <v>1787</v>
      </c>
      <c r="BQ601" s="399" t="s">
        <v>1787</v>
      </c>
      <c r="BR601" s="399" t="s">
        <v>1787</v>
      </c>
      <c r="BS601" s="407"/>
      <c r="BT601" s="407"/>
      <c r="BU601" s="412"/>
      <c r="BV601" s="46" t="str">
        <f t="shared" si="8"/>
        <v/>
      </c>
      <c r="BW601" s="46">
        <f t="shared" si="9"/>
        <v>0</v>
      </c>
      <c r="BX601" s="46">
        <f t="shared" si="10"/>
        <v>0</v>
      </c>
      <c r="BY601" s="43" t="str">
        <f t="shared" si="11"/>
        <v>WHO-STI Observation (Reported Symptoms)</v>
      </c>
      <c r="BZ601" s="46">
        <f t="shared" si="12"/>
        <v>1</v>
      </c>
      <c r="CA601" s="46" t="str">
        <f t="shared" si="13"/>
        <v/>
      </c>
      <c r="CB601" s="46">
        <f t="shared" si="14"/>
        <v>1</v>
      </c>
      <c r="CC601" s="46">
        <f t="shared" si="15"/>
        <v>1</v>
      </c>
      <c r="CD601" s="46">
        <f t="shared" si="16"/>
        <v>1</v>
      </c>
      <c r="CE601" s="46">
        <f t="shared" si="17"/>
        <v>0</v>
      </c>
      <c r="CF601" s="46">
        <f t="shared" si="18"/>
        <v>0</v>
      </c>
      <c r="CG601" s="46" t="str">
        <f ca="1">IFERROR(__xludf.DUMMYFUNCTION("if(OR(BH601="""",LEFT(BH601,2)=""LA""),"""",IMPORTXML(CONCATENATE(""https://loinc.org/"",BH601,""/""),""//span[@id='lcn']""))"),"")</f>
        <v/>
      </c>
      <c r="CH601" s="46"/>
      <c r="CI601" s="46"/>
      <c r="CJ601" s="46"/>
      <c r="CK601" s="46"/>
      <c r="CL601" s="46"/>
      <c r="CM601" s="46"/>
      <c r="CN601" s="46"/>
      <c r="CO601" s="46"/>
      <c r="CP601" s="46"/>
      <c r="CQ601" s="46"/>
      <c r="CR601" s="46"/>
      <c r="CS601" s="46"/>
      <c r="CT601" s="46"/>
      <c r="CU601" s="46"/>
    </row>
    <row r="602" spans="1:99" ht="12.75" customHeight="1">
      <c r="A602" s="409">
        <v>2033</v>
      </c>
      <c r="B602" s="399" t="s">
        <v>6899</v>
      </c>
      <c r="C602" s="399">
        <f t="shared" si="103"/>
        <v>2033</v>
      </c>
      <c r="D602" s="399" t="e">
        <f t="shared" ca="1" si="104"/>
        <v>#NAME?</v>
      </c>
      <c r="E602" s="399" t="str">
        <f t="shared" si="105"/>
        <v>Cervical infection</v>
      </c>
      <c r="F602" s="399" t="str">
        <f t="shared" si="109"/>
        <v>Input Option</v>
      </c>
      <c r="G602" s="400">
        <f t="shared" si="106"/>
        <v>25</v>
      </c>
      <c r="H602" s="399" t="str">
        <f t="shared" si="110"/>
        <v>Reported symptoms</v>
      </c>
      <c r="I602" s="400"/>
      <c r="J602" s="400"/>
      <c r="K602" s="401" t="s">
        <v>5283</v>
      </c>
      <c r="L602" s="402" t="s">
        <v>5194</v>
      </c>
      <c r="M602" s="400"/>
      <c r="N602" s="639" t="s">
        <v>4853</v>
      </c>
      <c r="O602" s="431" t="s">
        <v>6339</v>
      </c>
      <c r="P602" s="431"/>
      <c r="Q602" s="404"/>
      <c r="R602" s="404"/>
      <c r="S602" s="404"/>
      <c r="T602" s="404"/>
      <c r="U602" s="404"/>
      <c r="V602" s="658" t="s">
        <v>6325</v>
      </c>
      <c r="W602" s="404"/>
      <c r="X602" s="404" t="s">
        <v>208</v>
      </c>
      <c r="Y602" s="404"/>
      <c r="Z602" s="404" t="s">
        <v>113</v>
      </c>
      <c r="AA602" s="404" t="s">
        <v>1889</v>
      </c>
      <c r="AB602" s="420" t="s">
        <v>6573</v>
      </c>
      <c r="AC602" s="404"/>
      <c r="AD602" s="404" t="s">
        <v>6574</v>
      </c>
      <c r="AE602" s="406"/>
      <c r="AF602" s="404"/>
      <c r="AG602" s="420" t="s">
        <v>6900</v>
      </c>
      <c r="AH602" s="399"/>
      <c r="AI602" s="400"/>
      <c r="AJ602" s="399" t="s">
        <v>1787</v>
      </c>
      <c r="AK602" s="399"/>
      <c r="AL602" s="399" t="s">
        <v>1787</v>
      </c>
      <c r="AM602" s="399"/>
      <c r="AN602" s="399" t="s">
        <v>1787</v>
      </c>
      <c r="AO602" s="399" t="s">
        <v>1787</v>
      </c>
      <c r="AP602" s="399"/>
      <c r="AQ602" s="409" t="s">
        <v>3130</v>
      </c>
      <c r="AR602" s="399"/>
      <c r="AS602" s="399"/>
      <c r="AT602" s="399"/>
      <c r="AU602" s="399"/>
      <c r="AV602" s="399" t="str">
        <f t="shared" si="107"/>
        <v/>
      </c>
      <c r="AW602" s="399"/>
      <c r="AX602" s="409" t="s">
        <v>5194</v>
      </c>
      <c r="AY602" s="399" t="e">
        <f t="shared" ca="1" si="108"/>
        <v>#NAME?</v>
      </c>
      <c r="AZ602" s="399"/>
      <c r="BA602" s="409" t="s">
        <v>3125</v>
      </c>
      <c r="BB602" s="415" t="s">
        <v>3131</v>
      </c>
      <c r="BC602" s="399" t="s">
        <v>6325</v>
      </c>
      <c r="BD602" s="399" t="s">
        <v>1787</v>
      </c>
      <c r="BE602" s="411"/>
      <c r="BF602" s="411" t="s">
        <v>1787</v>
      </c>
      <c r="BG602" s="411"/>
      <c r="BH602" s="411"/>
      <c r="BI602" s="411"/>
      <c r="BJ602" s="409" t="s">
        <v>4282</v>
      </c>
      <c r="BK602" s="399" t="s">
        <v>1787</v>
      </c>
      <c r="BL602" s="409" t="s">
        <v>3162</v>
      </c>
      <c r="BM602" s="409" t="s">
        <v>6901</v>
      </c>
      <c r="BN602" s="399" t="s">
        <v>1787</v>
      </c>
      <c r="BO602" s="399" t="s">
        <v>1787</v>
      </c>
      <c r="BP602" s="399" t="s">
        <v>1787</v>
      </c>
      <c r="BQ602" s="399" t="s">
        <v>1787</v>
      </c>
      <c r="BR602" s="399" t="s">
        <v>1787</v>
      </c>
      <c r="BS602" s="407"/>
      <c r="BT602" s="407"/>
      <c r="BU602" s="412"/>
      <c r="BV602" s="46" t="str">
        <f t="shared" si="8"/>
        <v/>
      </c>
      <c r="BW602" s="46">
        <f t="shared" si="9"/>
        <v>0</v>
      </c>
      <c r="BX602" s="46">
        <f t="shared" si="10"/>
        <v>0</v>
      </c>
      <c r="BY602" s="43" t="str">
        <f t="shared" si="11"/>
        <v>WHO-STI Observation (Reported Symptoms)</v>
      </c>
      <c r="BZ602" s="46">
        <f t="shared" si="12"/>
        <v>1</v>
      </c>
      <c r="CA602" s="46" t="str">
        <f t="shared" si="13"/>
        <v/>
      </c>
      <c r="CB602" s="46">
        <f t="shared" si="14"/>
        <v>1</v>
      </c>
      <c r="CC602" s="46">
        <f t="shared" si="15"/>
        <v>1</v>
      </c>
      <c r="CD602" s="46">
        <f t="shared" si="16"/>
        <v>1</v>
      </c>
      <c r="CE602" s="46">
        <f t="shared" si="17"/>
        <v>0</v>
      </c>
      <c r="CF602" s="46">
        <f t="shared" si="18"/>
        <v>0</v>
      </c>
      <c r="CG602" s="46" t="str">
        <f ca="1">IFERROR(__xludf.DUMMYFUNCTION("if(OR(BH602="""",LEFT(BH602,2)=""LA""),"""",IMPORTXML(CONCATENATE(""https://loinc.org/"",BH602,""/""),""//span[@id='lcn']""))"),"")</f>
        <v/>
      </c>
      <c r="CH602" s="46"/>
      <c r="CI602" s="46"/>
      <c r="CJ602" s="46"/>
      <c r="CK602" s="46"/>
      <c r="CL602" s="46"/>
      <c r="CM602" s="46"/>
      <c r="CN602" s="46"/>
      <c r="CO602" s="46"/>
      <c r="CP602" s="46"/>
      <c r="CQ602" s="46"/>
      <c r="CR602" s="46"/>
      <c r="CS602" s="46"/>
      <c r="CT602" s="46"/>
      <c r="CU602" s="46"/>
    </row>
    <row r="603" spans="1:99" ht="12.75" customHeight="1">
      <c r="A603" s="409">
        <v>2034</v>
      </c>
      <c r="B603" s="399" t="s">
        <v>6908</v>
      </c>
      <c r="C603" s="399">
        <f t="shared" si="103"/>
        <v>2034</v>
      </c>
      <c r="D603" s="399" t="e">
        <f t="shared" ca="1" si="104"/>
        <v>#NAME?</v>
      </c>
      <c r="E603" s="399" t="str">
        <f t="shared" si="105"/>
        <v>Genital pruritus (itching)</v>
      </c>
      <c r="F603" s="399" t="str">
        <f t="shared" si="109"/>
        <v>Input Option</v>
      </c>
      <c r="G603" s="400">
        <f t="shared" si="106"/>
        <v>33</v>
      </c>
      <c r="H603" s="399" t="str">
        <f t="shared" si="110"/>
        <v>Reported symptoms</v>
      </c>
      <c r="I603" s="400"/>
      <c r="J603" s="400"/>
      <c r="K603" s="401" t="s">
        <v>5283</v>
      </c>
      <c r="L603" s="402" t="s">
        <v>5194</v>
      </c>
      <c r="M603" s="400"/>
      <c r="N603" s="639" t="s">
        <v>4853</v>
      </c>
      <c r="O603" s="431" t="s">
        <v>6914</v>
      </c>
      <c r="P603" s="431"/>
      <c r="Q603" s="404"/>
      <c r="R603" s="404"/>
      <c r="S603" s="404"/>
      <c r="T603" s="404"/>
      <c r="U603" s="404"/>
      <c r="V603" s="658" t="s">
        <v>6915</v>
      </c>
      <c r="W603" s="404"/>
      <c r="X603" s="404" t="s">
        <v>208</v>
      </c>
      <c r="Y603" s="404"/>
      <c r="Z603" s="404" t="s">
        <v>113</v>
      </c>
      <c r="AA603" s="404" t="s">
        <v>1889</v>
      </c>
      <c r="AB603" s="406"/>
      <c r="AC603" s="404"/>
      <c r="AD603" s="404"/>
      <c r="AE603" s="406"/>
      <c r="AF603" s="404"/>
      <c r="AG603" s="420" t="s">
        <v>6916</v>
      </c>
      <c r="AH603" s="399"/>
      <c r="AI603" s="400"/>
      <c r="AJ603" s="399" t="s">
        <v>1787</v>
      </c>
      <c r="AK603" s="399"/>
      <c r="AL603" s="399" t="s">
        <v>1787</v>
      </c>
      <c r="AM603" s="399"/>
      <c r="AN603" s="399" t="s">
        <v>1787</v>
      </c>
      <c r="AO603" s="399" t="s">
        <v>1787</v>
      </c>
      <c r="AP603" s="399"/>
      <c r="AQ603" s="409" t="s">
        <v>3130</v>
      </c>
      <c r="AR603" s="399"/>
      <c r="AS603" s="399"/>
      <c r="AT603" s="399"/>
      <c r="AU603" s="399"/>
      <c r="AV603" s="399" t="str">
        <f t="shared" si="107"/>
        <v/>
      </c>
      <c r="AW603" s="399"/>
      <c r="AX603" s="409" t="s">
        <v>5194</v>
      </c>
      <c r="AY603" s="399" t="e">
        <f t="shared" ca="1" si="108"/>
        <v>#NAME?</v>
      </c>
      <c r="AZ603" s="399"/>
      <c r="BA603" s="409" t="s">
        <v>3125</v>
      </c>
      <c r="BB603" s="399"/>
      <c r="BC603" s="399" t="s">
        <v>1787</v>
      </c>
      <c r="BD603" s="409" t="s">
        <v>6917</v>
      </c>
      <c r="BE603" s="411"/>
      <c r="BF603" s="411" t="s">
        <v>1787</v>
      </c>
      <c r="BG603" s="434" t="s">
        <v>6918</v>
      </c>
      <c r="BH603" s="411"/>
      <c r="BI603" s="411"/>
      <c r="BJ603" s="399" t="s">
        <v>1787</v>
      </c>
      <c r="BK603" s="399" t="s">
        <v>1787</v>
      </c>
      <c r="BL603" s="399"/>
      <c r="BM603" s="399" t="s">
        <v>1787</v>
      </c>
      <c r="BN603" s="399" t="s">
        <v>1787</v>
      </c>
      <c r="BO603" s="399" t="s">
        <v>1787</v>
      </c>
      <c r="BP603" s="399" t="s">
        <v>1787</v>
      </c>
      <c r="BQ603" s="399" t="s">
        <v>1787</v>
      </c>
      <c r="BR603" s="399" t="s">
        <v>1787</v>
      </c>
      <c r="BS603" s="407"/>
      <c r="BT603" s="407"/>
      <c r="BU603" s="412"/>
      <c r="BV603" s="46" t="str">
        <f t="shared" si="8"/>
        <v/>
      </c>
      <c r="BW603" s="46">
        <f t="shared" si="9"/>
        <v>0</v>
      </c>
      <c r="BX603" s="46">
        <f t="shared" si="10"/>
        <v>0</v>
      </c>
      <c r="BY603" s="43" t="str">
        <f t="shared" si="11"/>
        <v>WHO-STI Observation (Reported Symptoms)</v>
      </c>
      <c r="BZ603" s="46">
        <f t="shared" si="12"/>
        <v>1</v>
      </c>
      <c r="CA603" s="46" t="str">
        <f t="shared" si="13"/>
        <v/>
      </c>
      <c r="CB603" s="46">
        <f t="shared" si="14"/>
        <v>1</v>
      </c>
      <c r="CC603" s="46">
        <f t="shared" si="15"/>
        <v>1</v>
      </c>
      <c r="CD603" s="46">
        <f t="shared" si="16"/>
        <v>1</v>
      </c>
      <c r="CE603" s="46">
        <f t="shared" si="17"/>
        <v>0</v>
      </c>
      <c r="CF603" s="46">
        <f t="shared" si="18"/>
        <v>0</v>
      </c>
      <c r="CG603" s="46" t="str">
        <f ca="1">IFERROR(__xludf.DUMMYFUNCTION("if(OR(BH603="""",LEFT(BH603,2)=""LA""),"""",IMPORTXML(CONCATENATE(""https://loinc.org/"",BH603,""/""),""//span[@id='lcn']""))"),"")</f>
        <v/>
      </c>
      <c r="CH603" s="46"/>
      <c r="CI603" s="46"/>
      <c r="CJ603" s="46"/>
      <c r="CK603" s="46"/>
      <c r="CL603" s="46"/>
      <c r="CM603" s="46"/>
      <c r="CN603" s="46"/>
      <c r="CO603" s="46"/>
      <c r="CP603" s="46"/>
      <c r="CQ603" s="46"/>
      <c r="CR603" s="46"/>
      <c r="CS603" s="46"/>
      <c r="CT603" s="46"/>
      <c r="CU603" s="46"/>
    </row>
    <row r="604" spans="1:99" ht="12.75" customHeight="1">
      <c r="A604" s="409">
        <v>2035</v>
      </c>
      <c r="B604" s="399" t="s">
        <v>2513</v>
      </c>
      <c r="C604" s="399">
        <f t="shared" si="103"/>
        <v>2035</v>
      </c>
      <c r="D604" s="399" t="e">
        <f t="shared" ca="1" si="104"/>
        <v>#NAME?</v>
      </c>
      <c r="E604" s="399" t="str">
        <f t="shared" si="105"/>
        <v>Curd-like vaginal discharge</v>
      </c>
      <c r="F604" s="399" t="str">
        <f t="shared" si="109"/>
        <v>Input Option</v>
      </c>
      <c r="G604" s="400">
        <f t="shared" si="106"/>
        <v>34</v>
      </c>
      <c r="H604" s="399" t="str">
        <f t="shared" si="110"/>
        <v>Reported symptoms</v>
      </c>
      <c r="I604" s="400"/>
      <c r="J604" s="400"/>
      <c r="K604" s="401" t="s">
        <v>5283</v>
      </c>
      <c r="L604" s="402" t="s">
        <v>5194</v>
      </c>
      <c r="M604" s="400"/>
      <c r="N604" s="639" t="s">
        <v>4853</v>
      </c>
      <c r="O604" s="431" t="s">
        <v>6924</v>
      </c>
      <c r="P604" s="431"/>
      <c r="Q604" s="404"/>
      <c r="R604" s="404"/>
      <c r="S604" s="404"/>
      <c r="T604" s="404"/>
      <c r="U604" s="404"/>
      <c r="V604" s="658" t="s">
        <v>1661</v>
      </c>
      <c r="W604" s="404"/>
      <c r="X604" s="404" t="s">
        <v>208</v>
      </c>
      <c r="Y604" s="404"/>
      <c r="Z604" s="404" t="s">
        <v>113</v>
      </c>
      <c r="AA604" s="404" t="s">
        <v>1889</v>
      </c>
      <c r="AB604" s="420" t="s">
        <v>6573</v>
      </c>
      <c r="AC604" s="404"/>
      <c r="AD604" s="404"/>
      <c r="AE604" s="406"/>
      <c r="AF604" s="404"/>
      <c r="AG604" s="420" t="s">
        <v>6929</v>
      </c>
      <c r="AH604" s="399"/>
      <c r="AI604" s="400"/>
      <c r="AJ604" s="399" t="s">
        <v>1787</v>
      </c>
      <c r="AK604" s="399"/>
      <c r="AL604" s="399" t="s">
        <v>1787</v>
      </c>
      <c r="AM604" s="399"/>
      <c r="AN604" s="399" t="s">
        <v>1787</v>
      </c>
      <c r="AO604" s="399" t="s">
        <v>1787</v>
      </c>
      <c r="AP604" s="399"/>
      <c r="AQ604" s="409" t="s">
        <v>3130</v>
      </c>
      <c r="AR604" s="399"/>
      <c r="AS604" s="399"/>
      <c r="AT604" s="399"/>
      <c r="AU604" s="399"/>
      <c r="AV604" s="399" t="str">
        <f t="shared" si="107"/>
        <v/>
      </c>
      <c r="AW604" s="399"/>
      <c r="AX604" s="409" t="s">
        <v>5194</v>
      </c>
      <c r="AY604" s="399" t="e">
        <f t="shared" ca="1" si="108"/>
        <v>#NAME?</v>
      </c>
      <c r="AZ604" s="399"/>
      <c r="BA604" s="409" t="s">
        <v>3125</v>
      </c>
      <c r="BB604" s="399"/>
      <c r="BC604" s="399" t="s">
        <v>1787</v>
      </c>
      <c r="BD604" s="409" t="s">
        <v>6933</v>
      </c>
      <c r="BE604" s="411"/>
      <c r="BF604" s="411" t="s">
        <v>1787</v>
      </c>
      <c r="BG604" s="434" t="s">
        <v>6934</v>
      </c>
      <c r="BH604" s="411"/>
      <c r="BI604" s="411"/>
      <c r="BJ604" s="399" t="s">
        <v>1787</v>
      </c>
      <c r="BK604" s="399" t="s">
        <v>1787</v>
      </c>
      <c r="BL604" s="399"/>
      <c r="BM604" s="399" t="s">
        <v>1787</v>
      </c>
      <c r="BN604" s="399" t="s">
        <v>1787</v>
      </c>
      <c r="BO604" s="399" t="s">
        <v>1787</v>
      </c>
      <c r="BP604" s="399" t="s">
        <v>1787</v>
      </c>
      <c r="BQ604" s="399" t="s">
        <v>1787</v>
      </c>
      <c r="BR604" s="399" t="s">
        <v>1787</v>
      </c>
      <c r="BS604" s="407"/>
      <c r="BT604" s="407"/>
      <c r="BU604" s="412"/>
      <c r="BV604" s="46" t="str">
        <f t="shared" si="8"/>
        <v/>
      </c>
      <c r="BW604" s="46">
        <f t="shared" si="9"/>
        <v>0</v>
      </c>
      <c r="BX604" s="46">
        <f t="shared" si="10"/>
        <v>0</v>
      </c>
      <c r="BY604" s="43" t="str">
        <f t="shared" si="11"/>
        <v>WHO-STI Observation (Reported Symptoms)</v>
      </c>
      <c r="BZ604" s="46">
        <f t="shared" si="12"/>
        <v>1</v>
      </c>
      <c r="CA604" s="46" t="str">
        <f t="shared" si="13"/>
        <v/>
      </c>
      <c r="CB604" s="46">
        <f t="shared" si="14"/>
        <v>1</v>
      </c>
      <c r="CC604" s="46">
        <f t="shared" si="15"/>
        <v>1</v>
      </c>
      <c r="CD604" s="46">
        <f t="shared" si="16"/>
        <v>1</v>
      </c>
      <c r="CE604" s="46">
        <f t="shared" si="17"/>
        <v>0</v>
      </c>
      <c r="CF604" s="46">
        <f t="shared" si="18"/>
        <v>0</v>
      </c>
      <c r="CG604" s="46" t="str">
        <f ca="1">IFERROR(__xludf.DUMMYFUNCTION("if(OR(BH604="""",LEFT(BH604,2)=""LA""),"""",IMPORTXML(CONCATENATE(""https://loinc.org/"",BH604,""/""),""//span[@id='lcn']""))"),"")</f>
        <v/>
      </c>
      <c r="CH604" s="46"/>
      <c r="CI604" s="46"/>
      <c r="CJ604" s="46"/>
      <c r="CK604" s="46"/>
      <c r="CL604" s="46"/>
      <c r="CM604" s="46"/>
      <c r="CN604" s="46"/>
      <c r="CO604" s="46"/>
      <c r="CP604" s="46"/>
      <c r="CQ604" s="46"/>
      <c r="CR604" s="46"/>
      <c r="CS604" s="46"/>
      <c r="CT604" s="46"/>
      <c r="CU604" s="46"/>
    </row>
    <row r="605" spans="1:99" ht="12.75" customHeight="1">
      <c r="A605" s="409">
        <v>2036</v>
      </c>
      <c r="B605" s="399" t="s">
        <v>6949</v>
      </c>
      <c r="C605" s="399">
        <f t="shared" si="103"/>
        <v>2036</v>
      </c>
      <c r="D605" s="399" t="e">
        <f t="shared" ca="1" si="104"/>
        <v>#NAME?</v>
      </c>
      <c r="E605" s="399" t="str">
        <f t="shared" si="105"/>
        <v>Irregular period without heavy bleeding</v>
      </c>
      <c r="F605" s="399" t="str">
        <f t="shared" si="109"/>
        <v>Input Option</v>
      </c>
      <c r="G605" s="400">
        <f t="shared" si="106"/>
        <v>46</v>
      </c>
      <c r="H605" s="399" t="str">
        <f t="shared" si="110"/>
        <v>Reported symptoms</v>
      </c>
      <c r="I605" s="400"/>
      <c r="J605" s="400"/>
      <c r="K605" s="401" t="s">
        <v>5283</v>
      </c>
      <c r="L605" s="402" t="s">
        <v>5194</v>
      </c>
      <c r="M605" s="400"/>
      <c r="N605" s="639" t="s">
        <v>4853</v>
      </c>
      <c r="O605" s="431" t="s">
        <v>6952</v>
      </c>
      <c r="P605" s="431"/>
      <c r="Q605" s="431"/>
      <c r="R605" s="404"/>
      <c r="S605" s="431"/>
      <c r="T605" s="404"/>
      <c r="U605" s="404"/>
      <c r="V605" s="429" t="s">
        <v>6953</v>
      </c>
      <c r="W605" s="404"/>
      <c r="X605" s="404" t="s">
        <v>208</v>
      </c>
      <c r="Y605" s="404"/>
      <c r="Z605" s="404" t="s">
        <v>113</v>
      </c>
      <c r="AA605" s="404" t="s">
        <v>1889</v>
      </c>
      <c r="AB605" s="420" t="s">
        <v>6573</v>
      </c>
      <c r="AC605" s="404"/>
      <c r="AD605" s="404"/>
      <c r="AE605" s="406"/>
      <c r="AF605" s="643"/>
      <c r="AG605" s="420" t="s">
        <v>6734</v>
      </c>
      <c r="AH605" s="399"/>
      <c r="AI605" s="400"/>
      <c r="AJ605" s="399" t="s">
        <v>1787</v>
      </c>
      <c r="AK605" s="399"/>
      <c r="AL605" s="399" t="s">
        <v>1787</v>
      </c>
      <c r="AM605" s="399"/>
      <c r="AN605" s="399" t="s">
        <v>1787</v>
      </c>
      <c r="AO605" s="399" t="s">
        <v>1787</v>
      </c>
      <c r="AP605" s="399"/>
      <c r="AQ605" s="409" t="s">
        <v>3130</v>
      </c>
      <c r="AR605" s="399"/>
      <c r="AS605" s="399"/>
      <c r="AT605" s="399"/>
      <c r="AU605" s="399"/>
      <c r="AV605" s="399" t="str">
        <f t="shared" si="107"/>
        <v/>
      </c>
      <c r="AW605" s="399"/>
      <c r="AX605" s="409" t="s">
        <v>5194</v>
      </c>
      <c r="AY605" s="399" t="e">
        <f t="shared" ca="1" si="108"/>
        <v>#NAME?</v>
      </c>
      <c r="AZ605" s="399"/>
      <c r="BA605" s="409" t="s">
        <v>3125</v>
      </c>
      <c r="BB605" s="399"/>
      <c r="BC605" s="399" t="s">
        <v>1787</v>
      </c>
      <c r="BD605" s="399" t="s">
        <v>1787</v>
      </c>
      <c r="BE605" s="411"/>
      <c r="BF605" s="411" t="s">
        <v>1787</v>
      </c>
      <c r="BG605" s="434" t="s">
        <v>5007</v>
      </c>
      <c r="BH605" s="411"/>
      <c r="BI605" s="411"/>
      <c r="BJ605" s="399" t="s">
        <v>1787</v>
      </c>
      <c r="BK605" s="399" t="s">
        <v>1787</v>
      </c>
      <c r="BL605" s="399"/>
      <c r="BM605" s="399" t="s">
        <v>1787</v>
      </c>
      <c r="BN605" s="399" t="s">
        <v>1787</v>
      </c>
      <c r="BO605" s="399" t="s">
        <v>1787</v>
      </c>
      <c r="BP605" s="399" t="s">
        <v>1787</v>
      </c>
      <c r="BQ605" s="399" t="s">
        <v>1787</v>
      </c>
      <c r="BR605" s="399" t="s">
        <v>1787</v>
      </c>
      <c r="BS605" s="407"/>
      <c r="BT605" s="407"/>
      <c r="BU605" s="412"/>
      <c r="BV605" s="46" t="str">
        <f t="shared" si="8"/>
        <v/>
      </c>
      <c r="BW605" s="46">
        <f t="shared" si="9"/>
        <v>0</v>
      </c>
      <c r="BX605" s="46">
        <f t="shared" si="10"/>
        <v>0</v>
      </c>
      <c r="BY605" s="43" t="str">
        <f t="shared" si="11"/>
        <v>WHO-STI Observation (Reported Symptoms)</v>
      </c>
      <c r="BZ605" s="46">
        <f t="shared" si="12"/>
        <v>1</v>
      </c>
      <c r="CA605" s="46" t="str">
        <f t="shared" si="13"/>
        <v/>
      </c>
      <c r="CB605" s="46">
        <f t="shared" si="14"/>
        <v>1</v>
      </c>
      <c r="CC605" s="46">
        <f t="shared" si="15"/>
        <v>1</v>
      </c>
      <c r="CD605" s="46">
        <f t="shared" si="16"/>
        <v>1</v>
      </c>
      <c r="CE605" s="46">
        <f t="shared" si="17"/>
        <v>0</v>
      </c>
      <c r="CF605" s="46">
        <f t="shared" si="18"/>
        <v>0</v>
      </c>
      <c r="CG605" s="46" t="str">
        <f ca="1">IFERROR(__xludf.DUMMYFUNCTION("if(OR(BH605="""",LEFT(BH605,2)=""LA""),"""",IMPORTXML(CONCATENATE(""https://loinc.org/"",BH605,""/""),""//span[@id='lcn']""))"),"")</f>
        <v/>
      </c>
      <c r="CH605" s="46"/>
      <c r="CI605" s="46"/>
      <c r="CJ605" s="46"/>
      <c r="CK605" s="46"/>
      <c r="CL605" s="46"/>
      <c r="CM605" s="46"/>
      <c r="CN605" s="46"/>
      <c r="CO605" s="46"/>
      <c r="CP605" s="46"/>
      <c r="CQ605" s="46"/>
      <c r="CR605" s="46"/>
      <c r="CS605" s="46"/>
      <c r="CT605" s="46"/>
      <c r="CU605" s="46"/>
    </row>
    <row r="606" spans="1:99" ht="12.75" customHeight="1">
      <c r="A606" s="409">
        <v>2037</v>
      </c>
      <c r="B606" s="409" t="s">
        <v>4183</v>
      </c>
      <c r="C606" s="399">
        <f t="shared" si="103"/>
        <v>2037</v>
      </c>
      <c r="D606" s="399" t="e">
        <f t="shared" ca="1" si="104"/>
        <v>#NAME?</v>
      </c>
      <c r="E606" s="399" t="str">
        <f t="shared" si="105"/>
        <v>Heavy or prolonged bleeding (including regular and irregular patterns)</v>
      </c>
      <c r="F606" s="399" t="str">
        <f t="shared" si="109"/>
        <v>Input Option</v>
      </c>
      <c r="G606" s="400">
        <f t="shared" si="106"/>
        <v>34</v>
      </c>
      <c r="H606" s="399" t="str">
        <f t="shared" si="110"/>
        <v>Reported symptoms</v>
      </c>
      <c r="I606" s="400"/>
      <c r="J606" s="400"/>
      <c r="K606" s="401" t="s">
        <v>5283</v>
      </c>
      <c r="L606" s="402" t="s">
        <v>5194</v>
      </c>
      <c r="M606" s="400"/>
      <c r="N606" s="639" t="s">
        <v>4853</v>
      </c>
      <c r="O606" s="404" t="s">
        <v>6959</v>
      </c>
      <c r="P606" s="404"/>
      <c r="Q606" s="431"/>
      <c r="R606" s="640" t="s">
        <v>6961</v>
      </c>
      <c r="S606" s="437"/>
      <c r="T606" s="643"/>
      <c r="U606" s="643"/>
      <c r="V606" s="429" t="s">
        <v>6961</v>
      </c>
      <c r="W606" s="404"/>
      <c r="X606" s="404" t="s">
        <v>208</v>
      </c>
      <c r="Y606" s="437"/>
      <c r="Z606" s="404" t="s">
        <v>113</v>
      </c>
      <c r="AA606" s="404" t="s">
        <v>1889</v>
      </c>
      <c r="AB606" s="420" t="s">
        <v>6573</v>
      </c>
      <c r="AC606" s="643"/>
      <c r="AD606" s="643"/>
      <c r="AE606" s="644"/>
      <c r="AF606" s="643"/>
      <c r="AG606" s="643"/>
      <c r="AH606" s="399"/>
      <c r="AI606" s="400"/>
      <c r="AJ606" s="399" t="s">
        <v>1787</v>
      </c>
      <c r="AK606" s="399"/>
      <c r="AL606" s="399" t="s">
        <v>1787</v>
      </c>
      <c r="AM606" s="399"/>
      <c r="AN606" s="399" t="s">
        <v>1787</v>
      </c>
      <c r="AO606" s="399" t="s">
        <v>1787</v>
      </c>
      <c r="AP606" s="399"/>
      <c r="AQ606" s="409" t="s">
        <v>3130</v>
      </c>
      <c r="AR606" s="399"/>
      <c r="AS606" s="399"/>
      <c r="AT606" s="399"/>
      <c r="AU606" s="399"/>
      <c r="AV606" s="399" t="str">
        <f t="shared" si="107"/>
        <v/>
      </c>
      <c r="AW606" s="399"/>
      <c r="AX606" s="409" t="s">
        <v>5194</v>
      </c>
      <c r="AY606" s="399" t="e">
        <f t="shared" ca="1" si="108"/>
        <v>#NAME?</v>
      </c>
      <c r="AZ606" s="399"/>
      <c r="BA606" s="409" t="s">
        <v>3125</v>
      </c>
      <c r="BB606" s="399"/>
      <c r="BC606" s="399" t="s">
        <v>1787</v>
      </c>
      <c r="BD606" s="409" t="s">
        <v>3162</v>
      </c>
      <c r="BE606" s="411"/>
      <c r="BF606" s="411" t="s">
        <v>1787</v>
      </c>
      <c r="BG606" s="434" t="s">
        <v>6972</v>
      </c>
      <c r="BH606" s="411"/>
      <c r="BI606" s="411"/>
      <c r="BJ606" s="399" t="s">
        <v>1787</v>
      </c>
      <c r="BK606" s="399" t="s">
        <v>1787</v>
      </c>
      <c r="BL606" s="399"/>
      <c r="BM606" s="409" t="s">
        <v>6974</v>
      </c>
      <c r="BN606" s="399" t="s">
        <v>1787</v>
      </c>
      <c r="BO606" s="399" t="s">
        <v>1787</v>
      </c>
      <c r="BP606" s="399" t="s">
        <v>1787</v>
      </c>
      <c r="BQ606" s="399" t="s">
        <v>1787</v>
      </c>
      <c r="BR606" s="399" t="s">
        <v>1787</v>
      </c>
      <c r="BS606" s="407"/>
      <c r="BT606" s="407"/>
      <c r="BU606" s="412"/>
      <c r="BV606" s="46" t="str">
        <f t="shared" si="8"/>
        <v/>
      </c>
      <c r="BW606" s="46">
        <f t="shared" si="9"/>
        <v>0</v>
      </c>
      <c r="BX606" s="46">
        <f t="shared" si="10"/>
        <v>0</v>
      </c>
      <c r="BY606" s="43" t="str">
        <f t="shared" si="11"/>
        <v>WHO-STI Observation (Reported Symptoms)</v>
      </c>
      <c r="BZ606" s="46">
        <f t="shared" si="12"/>
        <v>1</v>
      </c>
      <c r="CA606" s="46" t="str">
        <f t="shared" si="13"/>
        <v/>
      </c>
      <c r="CB606" s="46">
        <f t="shared" si="14"/>
        <v>1</v>
      </c>
      <c r="CC606" s="46">
        <f t="shared" si="15"/>
        <v>1</v>
      </c>
      <c r="CD606" s="46">
        <f t="shared" si="16"/>
        <v>1</v>
      </c>
      <c r="CE606" s="46">
        <f t="shared" si="17"/>
        <v>0</v>
      </c>
      <c r="CF606" s="46">
        <f t="shared" si="18"/>
        <v>0</v>
      </c>
      <c r="CG606" s="46" t="str">
        <f ca="1">IFERROR(__xludf.DUMMYFUNCTION("if(OR(BH606="""",LEFT(BH606,2)=""LA""),"""",IMPORTXML(CONCATENATE(""https://loinc.org/"",BH606,""/""),""//span[@id='lcn']""))"),"")</f>
        <v/>
      </c>
      <c r="CH606" s="46"/>
      <c r="CI606" s="46"/>
      <c r="CJ606" s="46"/>
      <c r="CK606" s="46"/>
      <c r="CL606" s="46"/>
      <c r="CM606" s="46"/>
      <c r="CN606" s="46"/>
      <c r="CO606" s="46"/>
      <c r="CP606" s="46"/>
      <c r="CQ606" s="46"/>
      <c r="CR606" s="46"/>
      <c r="CS606" s="46"/>
      <c r="CT606" s="46"/>
      <c r="CU606" s="46"/>
    </row>
    <row r="607" spans="1:99" ht="12.75" customHeight="1">
      <c r="A607" s="409">
        <v>2038</v>
      </c>
      <c r="B607" s="399" t="s">
        <v>6978</v>
      </c>
      <c r="C607" s="399">
        <f t="shared" si="103"/>
        <v>2038</v>
      </c>
      <c r="D607" s="399" t="e">
        <f t="shared" ca="1" si="104"/>
        <v>#NAME?</v>
      </c>
      <c r="E607" s="399" t="str">
        <f t="shared" si="105"/>
        <v>Amenorrhea</v>
      </c>
      <c r="F607" s="399" t="str">
        <f t="shared" si="109"/>
        <v>Input Option</v>
      </c>
      <c r="G607" s="400">
        <f t="shared" si="106"/>
        <v>17</v>
      </c>
      <c r="H607" s="399" t="str">
        <f t="shared" si="110"/>
        <v>Reported symptoms</v>
      </c>
      <c r="I607" s="400"/>
      <c r="J607" s="400"/>
      <c r="K607" s="401" t="s">
        <v>5283</v>
      </c>
      <c r="L607" s="402" t="s">
        <v>5194</v>
      </c>
      <c r="M607" s="400"/>
      <c r="N607" s="639" t="s">
        <v>4853</v>
      </c>
      <c r="O607" s="431" t="s">
        <v>6979</v>
      </c>
      <c r="P607" s="431"/>
      <c r="Q607" s="431"/>
      <c r="R607" s="404"/>
      <c r="S607" s="431"/>
      <c r="T607" s="643"/>
      <c r="U607" s="643"/>
      <c r="V607" s="431" t="s">
        <v>6981</v>
      </c>
      <c r="W607" s="404"/>
      <c r="X607" s="404" t="s">
        <v>208</v>
      </c>
      <c r="Y607" s="643"/>
      <c r="Z607" s="404" t="s">
        <v>113</v>
      </c>
      <c r="AA607" s="404" t="s">
        <v>1889</v>
      </c>
      <c r="AB607" s="420" t="s">
        <v>6573</v>
      </c>
      <c r="AC607" s="643"/>
      <c r="AD607" s="643"/>
      <c r="AE607" s="644"/>
      <c r="AF607" s="643"/>
      <c r="AG607" s="420" t="s">
        <v>6982</v>
      </c>
      <c r="AH607" s="399"/>
      <c r="AI607" s="400"/>
      <c r="AJ607" s="399" t="s">
        <v>1787</v>
      </c>
      <c r="AK607" s="399"/>
      <c r="AL607" s="399" t="s">
        <v>1787</v>
      </c>
      <c r="AM607" s="399"/>
      <c r="AN607" s="399" t="s">
        <v>1787</v>
      </c>
      <c r="AO607" s="399" t="s">
        <v>1787</v>
      </c>
      <c r="AP607" s="399"/>
      <c r="AQ607" s="409" t="s">
        <v>3130</v>
      </c>
      <c r="AR607" s="399"/>
      <c r="AS607" s="399"/>
      <c r="AT607" s="399"/>
      <c r="AU607" s="399"/>
      <c r="AV607" s="399" t="str">
        <f t="shared" si="107"/>
        <v/>
      </c>
      <c r="AW607" s="399"/>
      <c r="AX607" s="409" t="s">
        <v>5194</v>
      </c>
      <c r="AY607" s="399" t="e">
        <f t="shared" ca="1" si="108"/>
        <v>#NAME?</v>
      </c>
      <c r="AZ607" s="399"/>
      <c r="BA607" s="409">
        <v>1</v>
      </c>
      <c r="BB607" s="399"/>
      <c r="BC607" s="399" t="s">
        <v>1787</v>
      </c>
      <c r="BD607" s="409" t="s">
        <v>3162</v>
      </c>
      <c r="BE607" s="411"/>
      <c r="BF607" s="411" t="s">
        <v>1787</v>
      </c>
      <c r="BG607" s="434" t="s">
        <v>4157</v>
      </c>
      <c r="BH607" s="411"/>
      <c r="BI607" s="411"/>
      <c r="BJ607" s="399" t="s">
        <v>1787</v>
      </c>
      <c r="BK607" s="399" t="s">
        <v>1787</v>
      </c>
      <c r="BL607" s="399"/>
      <c r="BM607" s="399" t="s">
        <v>1787</v>
      </c>
      <c r="BN607" s="399" t="s">
        <v>1787</v>
      </c>
      <c r="BO607" s="399" t="s">
        <v>1787</v>
      </c>
      <c r="BP607" s="399" t="s">
        <v>1787</v>
      </c>
      <c r="BQ607" s="399" t="s">
        <v>1787</v>
      </c>
      <c r="BR607" s="399" t="s">
        <v>1787</v>
      </c>
      <c r="BS607" s="407"/>
      <c r="BT607" s="407"/>
      <c r="BU607" s="412"/>
      <c r="BV607" s="46" t="str">
        <f t="shared" si="8"/>
        <v/>
      </c>
      <c r="BW607" s="46">
        <f t="shared" si="9"/>
        <v>0</v>
      </c>
      <c r="BX607" s="46">
        <f t="shared" si="10"/>
        <v>0</v>
      </c>
      <c r="BY607" s="43" t="str">
        <f t="shared" si="11"/>
        <v>WHO-STI Observation (Reported Symptoms)</v>
      </c>
      <c r="BZ607" s="46">
        <f t="shared" si="12"/>
        <v>1</v>
      </c>
      <c r="CA607" s="46" t="str">
        <f t="shared" si="13"/>
        <v/>
      </c>
      <c r="CB607" s="46">
        <f t="shared" si="14"/>
        <v>1</v>
      </c>
      <c r="CC607" s="46">
        <f t="shared" si="15"/>
        <v>1</v>
      </c>
      <c r="CD607" s="46">
        <f t="shared" si="16"/>
        <v>1</v>
      </c>
      <c r="CE607" s="46">
        <f t="shared" si="17"/>
        <v>0</v>
      </c>
      <c r="CF607" s="46">
        <f t="shared" si="18"/>
        <v>0</v>
      </c>
      <c r="CG607" s="46" t="str">
        <f ca="1">IFERROR(__xludf.DUMMYFUNCTION("if(OR(BH607="""",LEFT(BH607,2)=""LA""),"""",IMPORTXML(CONCATENATE(""https://loinc.org/"",BH607,""/""),""//span[@id='lcn']""))"),"")</f>
        <v/>
      </c>
      <c r="CH607" s="46"/>
      <c r="CI607" s="46"/>
      <c r="CJ607" s="46"/>
      <c r="CK607" s="46"/>
      <c r="CL607" s="46"/>
      <c r="CM607" s="46"/>
      <c r="CN607" s="46"/>
      <c r="CO607" s="46"/>
      <c r="CP607" s="46"/>
      <c r="CQ607" s="46"/>
      <c r="CR607" s="46"/>
      <c r="CS607" s="46"/>
      <c r="CT607" s="46"/>
      <c r="CU607" s="46"/>
    </row>
    <row r="608" spans="1:99" ht="12.75" customHeight="1">
      <c r="A608" s="409">
        <v>2039</v>
      </c>
      <c r="B608" s="399" t="s">
        <v>535</v>
      </c>
      <c r="C608" s="399">
        <f t="shared" si="103"/>
        <v>2039</v>
      </c>
      <c r="D608" s="399" t="e">
        <f t="shared" ca="1" si="104"/>
        <v>#NAME?</v>
      </c>
      <c r="E608" s="399" t="str">
        <f t="shared" si="105"/>
        <v>Other (specify)</v>
      </c>
      <c r="F608" s="399" t="str">
        <f t="shared" si="109"/>
        <v>Input Option</v>
      </c>
      <c r="G608" s="400">
        <f t="shared" si="106"/>
        <v>22</v>
      </c>
      <c r="H608" s="399" t="str">
        <f t="shared" si="110"/>
        <v>Reported symptoms</v>
      </c>
      <c r="I608" s="400"/>
      <c r="J608" s="400"/>
      <c r="K608" s="401" t="s">
        <v>5283</v>
      </c>
      <c r="L608" s="402" t="s">
        <v>5194</v>
      </c>
      <c r="M608" s="400"/>
      <c r="N608" s="639" t="s">
        <v>4853</v>
      </c>
      <c r="O608" s="431" t="s">
        <v>6258</v>
      </c>
      <c r="P608" s="431"/>
      <c r="Q608" s="404"/>
      <c r="R608" s="404"/>
      <c r="S608" s="404"/>
      <c r="T608" s="431"/>
      <c r="U608" s="431"/>
      <c r="V608" s="671" t="s">
        <v>405</v>
      </c>
      <c r="W608" s="404"/>
      <c r="X608" s="404" t="s">
        <v>208</v>
      </c>
      <c r="Y608" s="404"/>
      <c r="Z608" s="404" t="s">
        <v>113</v>
      </c>
      <c r="AA608" s="404" t="s">
        <v>1889</v>
      </c>
      <c r="AB608" s="406"/>
      <c r="AC608" s="404"/>
      <c r="AD608" s="404"/>
      <c r="AE608" s="406"/>
      <c r="AF608" s="404"/>
      <c r="AG608" s="420" t="s">
        <v>7000</v>
      </c>
      <c r="AH608" s="399"/>
      <c r="AI608" s="400"/>
      <c r="AJ608" s="399" t="s">
        <v>1787</v>
      </c>
      <c r="AK608" s="399"/>
      <c r="AL608" s="399" t="s">
        <v>1787</v>
      </c>
      <c r="AM608" s="399"/>
      <c r="AN608" s="399" t="s">
        <v>1787</v>
      </c>
      <c r="AO608" s="399" t="s">
        <v>1787</v>
      </c>
      <c r="AP608" s="399"/>
      <c r="AQ608" s="409" t="s">
        <v>3130</v>
      </c>
      <c r="AR608" s="399"/>
      <c r="AS608" s="399"/>
      <c r="AT608" s="399"/>
      <c r="AU608" s="399"/>
      <c r="AV608" s="399" t="str">
        <f t="shared" si="107"/>
        <v/>
      </c>
      <c r="AW608" s="399"/>
      <c r="AX608" s="409" t="s">
        <v>5194</v>
      </c>
      <c r="AY608" s="399" t="e">
        <f t="shared" ca="1" si="108"/>
        <v>#NAME?</v>
      </c>
      <c r="AZ608" s="399"/>
      <c r="BA608" s="409">
        <v>1</v>
      </c>
      <c r="BB608" s="415" t="s">
        <v>3131</v>
      </c>
      <c r="BC608" s="403" t="s">
        <v>1387</v>
      </c>
      <c r="BD608" s="399" t="s">
        <v>1787</v>
      </c>
      <c r="BE608" s="411"/>
      <c r="BF608" s="411" t="s">
        <v>1787</v>
      </c>
      <c r="BG608" s="411"/>
      <c r="BH608" s="411"/>
      <c r="BI608" s="411"/>
      <c r="BJ608" s="399" t="s">
        <v>1787</v>
      </c>
      <c r="BK608" s="399" t="s">
        <v>1787</v>
      </c>
      <c r="BL608" s="399"/>
      <c r="BM608" s="399" t="s">
        <v>1787</v>
      </c>
      <c r="BN608" s="399" t="s">
        <v>1787</v>
      </c>
      <c r="BO608" s="399" t="s">
        <v>1787</v>
      </c>
      <c r="BP608" s="399" t="s">
        <v>1787</v>
      </c>
      <c r="BQ608" s="399" t="s">
        <v>1787</v>
      </c>
      <c r="BR608" s="399" t="s">
        <v>1787</v>
      </c>
      <c r="BS608" s="407"/>
      <c r="BT608" s="407"/>
      <c r="BU608" s="412"/>
      <c r="BV608" s="46" t="str">
        <f t="shared" si="8"/>
        <v/>
      </c>
      <c r="BW608" s="46">
        <f t="shared" si="9"/>
        <v>0</v>
      </c>
      <c r="BX608" s="46">
        <f t="shared" si="10"/>
        <v>0</v>
      </c>
      <c r="BY608" s="43" t="str">
        <f t="shared" si="11"/>
        <v>WHO-STI Observation (Reported Symptoms)</v>
      </c>
      <c r="BZ608" s="46">
        <f t="shared" si="12"/>
        <v>1</v>
      </c>
      <c r="CA608" s="46" t="str">
        <f t="shared" si="13"/>
        <v/>
      </c>
      <c r="CB608" s="46">
        <f t="shared" si="14"/>
        <v>1</v>
      </c>
      <c r="CC608" s="46">
        <f t="shared" si="15"/>
        <v>1</v>
      </c>
      <c r="CD608" s="46">
        <f t="shared" si="16"/>
        <v>1</v>
      </c>
      <c r="CE608" s="46">
        <f t="shared" si="17"/>
        <v>0</v>
      </c>
      <c r="CF608" s="46">
        <f t="shared" si="18"/>
        <v>0</v>
      </c>
      <c r="CG608" s="46" t="str">
        <f ca="1">IFERROR(__xludf.DUMMYFUNCTION("if(OR(BH608="""",LEFT(BH608,2)=""LA""),"""",IMPORTXML(CONCATENATE(""https://loinc.org/"",BH608,""/""),""//span[@id='lcn']""))"),"")</f>
        <v/>
      </c>
      <c r="CH608" s="46"/>
      <c r="CI608" s="46"/>
      <c r="CJ608" s="46"/>
      <c r="CK608" s="46"/>
      <c r="CL608" s="46"/>
      <c r="CM608" s="46"/>
      <c r="CN608" s="46"/>
      <c r="CO608" s="46"/>
      <c r="CP608" s="46"/>
      <c r="CQ608" s="46"/>
      <c r="CR608" s="46"/>
      <c r="CS608" s="46"/>
      <c r="CT608" s="46"/>
      <c r="CU608" s="46"/>
    </row>
    <row r="609" spans="1:99" ht="12.75" customHeight="1">
      <c r="A609" s="409">
        <v>2040</v>
      </c>
      <c r="B609" s="399" t="s">
        <v>7018</v>
      </c>
      <c r="C609" s="399">
        <f t="shared" si="103"/>
        <v>2040</v>
      </c>
      <c r="D609" s="399" t="str">
        <f t="shared" si="104"/>
        <v>Other (specify)</v>
      </c>
      <c r="E609" s="399" t="str">
        <f t="shared" si="105"/>
        <v>Other (specify)</v>
      </c>
      <c r="F609" s="399" t="str">
        <f t="shared" si="109"/>
        <v>Data Element</v>
      </c>
      <c r="G609" s="400">
        <f t="shared" si="106"/>
        <v>35</v>
      </c>
      <c r="H609" s="400" t="str">
        <f t="shared" si="110"/>
        <v/>
      </c>
      <c r="I609" s="400"/>
      <c r="J609" s="400"/>
      <c r="K609" s="401" t="s">
        <v>5283</v>
      </c>
      <c r="L609" s="402" t="s">
        <v>5194</v>
      </c>
      <c r="M609" s="400"/>
      <c r="N609" s="639" t="s">
        <v>4853</v>
      </c>
      <c r="O609" s="437" t="s">
        <v>6260</v>
      </c>
      <c r="P609" s="437"/>
      <c r="Q609" s="407" t="s">
        <v>405</v>
      </c>
      <c r="R609" s="407"/>
      <c r="S609" s="407" t="s">
        <v>7025</v>
      </c>
      <c r="T609" s="407" t="s">
        <v>111</v>
      </c>
      <c r="U609" s="407"/>
      <c r="V609" s="407"/>
      <c r="W609" s="404"/>
      <c r="X609" s="407" t="s">
        <v>208</v>
      </c>
      <c r="Y609" s="407"/>
      <c r="Z609" s="407" t="s">
        <v>113</v>
      </c>
      <c r="AA609" s="407" t="s">
        <v>3178</v>
      </c>
      <c r="AB609" s="432" t="s">
        <v>7027</v>
      </c>
      <c r="AC609" s="421"/>
      <c r="AD609" s="421"/>
      <c r="AE609" s="408"/>
      <c r="AF609" s="407"/>
      <c r="AG609" s="407"/>
      <c r="AH609" s="399"/>
      <c r="AI609" s="400"/>
      <c r="AJ609" s="399" t="s">
        <v>1787</v>
      </c>
      <c r="AK609" s="440" t="s">
        <v>3410</v>
      </c>
      <c r="AL609" s="409" t="s">
        <v>3423</v>
      </c>
      <c r="AM609" s="409" t="s">
        <v>3100</v>
      </c>
      <c r="AN609" s="409" t="s">
        <v>3101</v>
      </c>
      <c r="AO609" s="399" t="s">
        <v>1787</v>
      </c>
      <c r="AP609" s="409" t="s">
        <v>6571</v>
      </c>
      <c r="AQ609" s="409" t="s">
        <v>3424</v>
      </c>
      <c r="AR609" s="399"/>
      <c r="AS609" s="399"/>
      <c r="AT609" s="399"/>
      <c r="AU609" s="399"/>
      <c r="AV609" s="399" t="str">
        <f t="shared" si="107"/>
        <v/>
      </c>
      <c r="AW609" s="399"/>
      <c r="AX609" s="409" t="s">
        <v>5194</v>
      </c>
      <c r="AY609" s="399" t="str">
        <f t="shared" si="108"/>
        <v>"Other (specify)"-&gt;"Other (specify) - Reported symptoms"</v>
      </c>
      <c r="AZ609" s="399"/>
      <c r="BA609" s="409">
        <v>1</v>
      </c>
      <c r="BB609" s="399"/>
      <c r="BC609" s="399" t="s">
        <v>1787</v>
      </c>
      <c r="BD609" s="399" t="s">
        <v>1787</v>
      </c>
      <c r="BE609" s="411"/>
      <c r="BF609" s="411" t="s">
        <v>1787</v>
      </c>
      <c r="BG609" s="411"/>
      <c r="BH609" s="411"/>
      <c r="BI609" s="411"/>
      <c r="BJ609" s="409" t="s">
        <v>3106</v>
      </c>
      <c r="BK609" s="399" t="s">
        <v>1787</v>
      </c>
      <c r="BL609" s="399"/>
      <c r="BM609" s="399" t="s">
        <v>1787</v>
      </c>
      <c r="BN609" s="399" t="s">
        <v>1787</v>
      </c>
      <c r="BO609" s="399" t="s">
        <v>1787</v>
      </c>
      <c r="BP609" s="399" t="s">
        <v>1787</v>
      </c>
      <c r="BQ609" s="399" t="s">
        <v>1787</v>
      </c>
      <c r="BR609" s="399" t="s">
        <v>1787</v>
      </c>
      <c r="BS609" s="407"/>
      <c r="BT609" s="407"/>
      <c r="BU609" s="412"/>
      <c r="BV609" s="46" t="str">
        <f t="shared" si="8"/>
        <v>Observation</v>
      </c>
      <c r="BW609" s="46" t="str">
        <f t="shared" si="9"/>
        <v/>
      </c>
      <c r="BX609" s="46" t="str">
        <f t="shared" si="10"/>
        <v>Observation</v>
      </c>
      <c r="BY609" s="43" t="str">
        <f t="shared" si="11"/>
        <v>WHO-STI Observation (Reported Symptoms)</v>
      </c>
      <c r="BZ609" s="46">
        <f t="shared" si="12"/>
        <v>1</v>
      </c>
      <c r="CA609" s="46">
        <f t="shared" si="13"/>
        <v>0</v>
      </c>
      <c r="CB609" s="46">
        <f t="shared" si="14"/>
        <v>1</v>
      </c>
      <c r="CC609" s="46">
        <f t="shared" si="15"/>
        <v>1</v>
      </c>
      <c r="CD609" s="46">
        <f t="shared" si="16"/>
        <v>1</v>
      </c>
      <c r="CE609" s="46">
        <f t="shared" si="17"/>
        <v>0</v>
      </c>
      <c r="CF609" s="46">
        <f t="shared" si="18"/>
        <v>0</v>
      </c>
      <c r="CG609" s="46" t="str">
        <f ca="1">IFERROR(__xludf.DUMMYFUNCTION("if(OR(BH609="""",LEFT(BH609,2)=""LA""),"""",IMPORTXML(CONCATENATE(""https://loinc.org/"",BH609,""/""),""//span[@id='lcn']""))"),"")</f>
        <v/>
      </c>
      <c r="CH609" s="46"/>
      <c r="CI609" s="46"/>
      <c r="CJ609" s="46"/>
      <c r="CK609" s="46"/>
      <c r="CL609" s="46"/>
      <c r="CM609" s="46"/>
      <c r="CN609" s="46"/>
      <c r="CO609" s="46"/>
      <c r="CP609" s="46"/>
      <c r="CQ609" s="46"/>
      <c r="CR609" s="46"/>
      <c r="CS609" s="46"/>
      <c r="CT609" s="46"/>
      <c r="CU609" s="46"/>
    </row>
    <row r="610" spans="1:99" ht="12.75" customHeight="1">
      <c r="A610" s="409">
        <v>2041</v>
      </c>
      <c r="B610" s="399" t="s">
        <v>7032</v>
      </c>
      <c r="C610" s="399">
        <f t="shared" si="103"/>
        <v>2041</v>
      </c>
      <c r="D610" s="399" t="str">
        <f t="shared" si="104"/>
        <v>Partner has symptoms</v>
      </c>
      <c r="E610" s="399" t="str">
        <f t="shared" si="105"/>
        <v>Partner has symptoms</v>
      </c>
      <c r="F610" s="399" t="str">
        <f t="shared" si="109"/>
        <v>Data Element</v>
      </c>
      <c r="G610" s="400">
        <f t="shared" si="106"/>
        <v>20</v>
      </c>
      <c r="H610" s="400" t="str">
        <f t="shared" si="110"/>
        <v/>
      </c>
      <c r="I610" s="400"/>
      <c r="J610" s="400"/>
      <c r="K610" s="401" t="s">
        <v>5283</v>
      </c>
      <c r="L610" s="402" t="s">
        <v>5194</v>
      </c>
      <c r="M610" s="400"/>
      <c r="N610" s="639" t="s">
        <v>4853</v>
      </c>
      <c r="O610" s="437" t="s">
        <v>5279</v>
      </c>
      <c r="P610" s="437"/>
      <c r="Q610" s="432" t="s">
        <v>7032</v>
      </c>
      <c r="R610" s="407"/>
      <c r="S610" s="407" t="s">
        <v>7034</v>
      </c>
      <c r="T610" s="407" t="s">
        <v>3169</v>
      </c>
      <c r="U610" s="407" t="s">
        <v>3170</v>
      </c>
      <c r="V610" s="407"/>
      <c r="W610" s="404"/>
      <c r="X610" s="404" t="s">
        <v>208</v>
      </c>
      <c r="Y610" s="404"/>
      <c r="Z610" s="407" t="s">
        <v>113</v>
      </c>
      <c r="AA610" s="404" t="s">
        <v>1889</v>
      </c>
      <c r="AB610" s="432" t="s">
        <v>7035</v>
      </c>
      <c r="AC610" s="421"/>
      <c r="AD610" s="421"/>
      <c r="AE610" s="432"/>
      <c r="AF610" s="407"/>
      <c r="AG610" s="407"/>
      <c r="AH610" s="399"/>
      <c r="AI610" s="400"/>
      <c r="AJ610" s="399" t="s">
        <v>1787</v>
      </c>
      <c r="AK610" s="409" t="s">
        <v>3410</v>
      </c>
      <c r="AL610" s="440" t="s">
        <v>3313</v>
      </c>
      <c r="AM610" s="409" t="s">
        <v>3100</v>
      </c>
      <c r="AN610" s="409" t="s">
        <v>3101</v>
      </c>
      <c r="AO610" s="399" t="s">
        <v>1787</v>
      </c>
      <c r="AP610" s="409" t="s">
        <v>6794</v>
      </c>
      <c r="AQ610" s="409" t="s">
        <v>3130</v>
      </c>
      <c r="AR610" s="399"/>
      <c r="AS610" s="399"/>
      <c r="AT610" s="399"/>
      <c r="AU610" s="399"/>
      <c r="AV610" s="399" t="str">
        <f t="shared" si="107"/>
        <v/>
      </c>
      <c r="AW610" s="399"/>
      <c r="AX610" s="409" t="s">
        <v>5194</v>
      </c>
      <c r="AY610" s="399" t="str">
        <f t="shared" si="108"/>
        <v/>
      </c>
      <c r="AZ610" s="399"/>
      <c r="BA610" s="409" t="s">
        <v>3125</v>
      </c>
      <c r="BB610" s="415" t="s">
        <v>3131</v>
      </c>
      <c r="BC610" s="399" t="s">
        <v>7032</v>
      </c>
      <c r="BD610" s="399" t="s">
        <v>1787</v>
      </c>
      <c r="BE610" s="411"/>
      <c r="BF610" s="411" t="s">
        <v>1787</v>
      </c>
      <c r="BG610" s="411"/>
      <c r="BH610" s="411"/>
      <c r="BI610" s="411"/>
      <c r="BJ610" s="409" t="s">
        <v>4745</v>
      </c>
      <c r="BK610" s="399" t="s">
        <v>1787</v>
      </c>
      <c r="BL610" s="409" t="s">
        <v>3162</v>
      </c>
      <c r="BM610" s="409" t="s">
        <v>7037</v>
      </c>
      <c r="BN610" s="399" t="s">
        <v>1787</v>
      </c>
      <c r="BO610" s="399" t="s">
        <v>1787</v>
      </c>
      <c r="BP610" s="399" t="s">
        <v>1787</v>
      </c>
      <c r="BQ610" s="399" t="s">
        <v>1787</v>
      </c>
      <c r="BR610" s="399" t="s">
        <v>1787</v>
      </c>
      <c r="BS610" s="407"/>
      <c r="BT610" s="407"/>
      <c r="BU610" s="412"/>
      <c r="BV610" s="46" t="str">
        <f t="shared" si="8"/>
        <v>Observation</v>
      </c>
      <c r="BW610" s="46" t="str">
        <f t="shared" si="9"/>
        <v/>
      </c>
      <c r="BX610" s="46" t="str">
        <f t="shared" si="10"/>
        <v>Observation</v>
      </c>
      <c r="BY610" s="43" t="str">
        <f t="shared" si="11"/>
        <v>WHO-STI Observation (Partner Symptoms)</v>
      </c>
      <c r="BZ610" s="46">
        <f t="shared" si="12"/>
        <v>1</v>
      </c>
      <c r="CA610" s="46">
        <f t="shared" si="13"/>
        <v>0</v>
      </c>
      <c r="CB610" s="46">
        <f t="shared" si="14"/>
        <v>1</v>
      </c>
      <c r="CC610" s="46">
        <f t="shared" si="15"/>
        <v>1</v>
      </c>
      <c r="CD610" s="46">
        <f t="shared" si="16"/>
        <v>1</v>
      </c>
      <c r="CE610" s="46">
        <f t="shared" si="17"/>
        <v>0</v>
      </c>
      <c r="CF610" s="46">
        <f t="shared" si="18"/>
        <v>0</v>
      </c>
      <c r="CG610" s="46" t="str">
        <f ca="1">IFERROR(__xludf.DUMMYFUNCTION("if(OR(BH610="""",LEFT(BH610,2)=""LA""),"""",IMPORTXML(CONCATENATE(""https://loinc.org/"",BH610,""/""),""//span[@id='lcn']""))"),"")</f>
        <v/>
      </c>
      <c r="CH610" s="46"/>
      <c r="CI610" s="46"/>
      <c r="CJ610" s="46"/>
      <c r="CK610" s="46"/>
      <c r="CL610" s="46"/>
      <c r="CM610" s="46"/>
      <c r="CN610" s="46"/>
      <c r="CO610" s="46"/>
      <c r="CP610" s="46"/>
      <c r="CQ610" s="46"/>
      <c r="CR610" s="46"/>
      <c r="CS610" s="46"/>
      <c r="CT610" s="46"/>
      <c r="CU610" s="46"/>
    </row>
    <row r="611" spans="1:99" ht="12.75" customHeight="1">
      <c r="A611" s="409">
        <v>2042</v>
      </c>
      <c r="B611" s="399" t="s">
        <v>7040</v>
      </c>
      <c r="C611" s="399">
        <f t="shared" si="103"/>
        <v>2042</v>
      </c>
      <c r="D611" s="399" t="str">
        <f t="shared" si="104"/>
        <v>Exposed to a communicable disease</v>
      </c>
      <c r="E611" s="399" t="str">
        <f t="shared" si="105"/>
        <v>Exposed to a communicable disease</v>
      </c>
      <c r="F611" s="399" t="str">
        <f t="shared" si="109"/>
        <v>Data Element</v>
      </c>
      <c r="G611" s="400">
        <f t="shared" si="106"/>
        <v>33</v>
      </c>
      <c r="H611" s="400" t="str">
        <f t="shared" si="110"/>
        <v/>
      </c>
      <c r="I611" s="400"/>
      <c r="J611" s="400"/>
      <c r="K611" s="401" t="s">
        <v>5283</v>
      </c>
      <c r="L611" s="402" t="s">
        <v>5194</v>
      </c>
      <c r="M611" s="400"/>
      <c r="N611" s="639" t="s">
        <v>4853</v>
      </c>
      <c r="O611" s="437" t="s">
        <v>7043</v>
      </c>
      <c r="P611" s="437"/>
      <c r="Q611" s="432" t="s">
        <v>7040</v>
      </c>
      <c r="R611" s="421"/>
      <c r="S611" s="407"/>
      <c r="T611" s="407" t="s">
        <v>3169</v>
      </c>
      <c r="U611" s="407" t="s">
        <v>3170</v>
      </c>
      <c r="V611" s="407"/>
      <c r="W611" s="404"/>
      <c r="X611" s="404" t="s">
        <v>208</v>
      </c>
      <c r="Y611" s="404"/>
      <c r="Z611" s="407" t="s">
        <v>113</v>
      </c>
      <c r="AA611" s="404" t="s">
        <v>1889</v>
      </c>
      <c r="AB611" s="432" t="s">
        <v>7035</v>
      </c>
      <c r="AC611" s="421"/>
      <c r="AD611" s="421"/>
      <c r="AE611" s="432"/>
      <c r="AF611" s="407"/>
      <c r="AG611" s="407"/>
      <c r="AH611" s="399"/>
      <c r="AI611" s="400"/>
      <c r="AJ611" s="399" t="s">
        <v>1787</v>
      </c>
      <c r="AK611" s="409" t="s">
        <v>3410</v>
      </c>
      <c r="AL611" s="440" t="s">
        <v>3313</v>
      </c>
      <c r="AM611" s="409" t="s">
        <v>3100</v>
      </c>
      <c r="AN611" s="409" t="s">
        <v>3101</v>
      </c>
      <c r="AO611" s="399" t="s">
        <v>1787</v>
      </c>
      <c r="AP611" s="409" t="s">
        <v>6786</v>
      </c>
      <c r="AQ611" s="409" t="s">
        <v>3424</v>
      </c>
      <c r="AR611" s="399"/>
      <c r="AS611" s="399"/>
      <c r="AT611" s="399"/>
      <c r="AU611" s="399"/>
      <c r="AV611" s="399" t="str">
        <f t="shared" si="107"/>
        <v/>
      </c>
      <c r="AW611" s="399"/>
      <c r="AX611" s="409" t="s">
        <v>5194</v>
      </c>
      <c r="AY611" s="399" t="str">
        <f t="shared" si="108"/>
        <v/>
      </c>
      <c r="AZ611" s="399"/>
      <c r="BA611" s="409" t="s">
        <v>3125</v>
      </c>
      <c r="BB611" s="399"/>
      <c r="BC611" s="399" t="s">
        <v>1787</v>
      </c>
      <c r="BD611" s="409" t="s">
        <v>3162</v>
      </c>
      <c r="BE611" s="411"/>
      <c r="BF611" s="411" t="s">
        <v>1787</v>
      </c>
      <c r="BG611" s="434" t="s">
        <v>7050</v>
      </c>
      <c r="BH611" s="411"/>
      <c r="BI611" s="411"/>
      <c r="BJ611" s="399" t="s">
        <v>1787</v>
      </c>
      <c r="BK611" s="399" t="s">
        <v>1787</v>
      </c>
      <c r="BL611" s="399"/>
      <c r="BM611" s="409" t="s">
        <v>7053</v>
      </c>
      <c r="BN611" s="399" t="s">
        <v>1787</v>
      </c>
      <c r="BO611" s="399" t="s">
        <v>1787</v>
      </c>
      <c r="BP611" s="399" t="s">
        <v>1787</v>
      </c>
      <c r="BQ611" s="399" t="s">
        <v>1787</v>
      </c>
      <c r="BR611" s="399" t="s">
        <v>1787</v>
      </c>
      <c r="BS611" s="407"/>
      <c r="BT611" s="407"/>
      <c r="BU611" s="412"/>
      <c r="BV611" s="46" t="str">
        <f t="shared" si="8"/>
        <v>Observation</v>
      </c>
      <c r="BW611" s="46" t="str">
        <f t="shared" si="9"/>
        <v/>
      </c>
      <c r="BX611" s="46" t="str">
        <f t="shared" si="10"/>
        <v>Observation</v>
      </c>
      <c r="BY611" s="43" t="str">
        <f t="shared" si="11"/>
        <v>WHO-STI Observation (Disease Exposure)</v>
      </c>
      <c r="BZ611" s="46">
        <f t="shared" si="12"/>
        <v>1</v>
      </c>
      <c r="CA611" s="46">
        <f t="shared" si="13"/>
        <v>0</v>
      </c>
      <c r="CB611" s="46">
        <f t="shared" si="14"/>
        <v>1</v>
      </c>
      <c r="CC611" s="46">
        <f t="shared" si="15"/>
        <v>1</v>
      </c>
      <c r="CD611" s="46">
        <f t="shared" si="16"/>
        <v>1</v>
      </c>
      <c r="CE611" s="46">
        <f t="shared" si="17"/>
        <v>0</v>
      </c>
      <c r="CF611" s="46">
        <f t="shared" si="18"/>
        <v>0</v>
      </c>
      <c r="CG611" s="46" t="str">
        <f ca="1">IFERROR(__xludf.DUMMYFUNCTION("if(OR(BH611="""",LEFT(BH611,2)=""LA""),"""",IMPORTXML(CONCATENATE(""https://loinc.org/"",BH611,""/""),""//span[@id='lcn']""))"),"")</f>
        <v/>
      </c>
      <c r="CH611" s="46"/>
      <c r="CI611" s="46"/>
      <c r="CJ611" s="46"/>
      <c r="CK611" s="46"/>
      <c r="CL611" s="46"/>
      <c r="CM611" s="46"/>
      <c r="CN611" s="46"/>
      <c r="CO611" s="46"/>
      <c r="CP611" s="46"/>
      <c r="CQ611" s="46"/>
      <c r="CR611" s="46"/>
      <c r="CS611" s="46"/>
      <c r="CT611" s="46"/>
      <c r="CU611" s="46"/>
    </row>
    <row r="612" spans="1:99" ht="12.75" customHeight="1">
      <c r="A612" s="409">
        <v>2043</v>
      </c>
      <c r="B612" s="399" t="s">
        <v>7066</v>
      </c>
      <c r="C612" s="399">
        <f t="shared" si="103"/>
        <v>2043</v>
      </c>
      <c r="D612" s="399" t="str">
        <f t="shared" si="104"/>
        <v>LGV follow-up</v>
      </c>
      <c r="E612" s="399" t="str">
        <f t="shared" si="105"/>
        <v>LGV follow-up</v>
      </c>
      <c r="F612" s="399" t="str">
        <f t="shared" si="109"/>
        <v>Data Element</v>
      </c>
      <c r="G612" s="400">
        <f t="shared" si="106"/>
        <v>13</v>
      </c>
      <c r="H612" s="400" t="str">
        <f t="shared" si="110"/>
        <v/>
      </c>
      <c r="I612" s="400"/>
      <c r="J612" s="400"/>
      <c r="K612" s="401" t="s">
        <v>5283</v>
      </c>
      <c r="L612" s="402" t="s">
        <v>5194</v>
      </c>
      <c r="M612" s="400"/>
      <c r="N612" s="639" t="s">
        <v>4853</v>
      </c>
      <c r="O612" s="431" t="s">
        <v>7070</v>
      </c>
      <c r="P612" s="431"/>
      <c r="Q612" s="659" t="s">
        <v>7066</v>
      </c>
      <c r="R612" s="404"/>
      <c r="S612" s="404"/>
      <c r="T612" s="404"/>
      <c r="U612" s="404"/>
      <c r="V612" s="437"/>
      <c r="W612" s="404"/>
      <c r="X612" s="404" t="s">
        <v>208</v>
      </c>
      <c r="Y612" s="404"/>
      <c r="Z612" s="407" t="s">
        <v>113</v>
      </c>
      <c r="AA612" s="404" t="s">
        <v>1889</v>
      </c>
      <c r="AB612" s="406"/>
      <c r="AC612" s="404"/>
      <c r="AD612" s="404"/>
      <c r="AE612" s="406"/>
      <c r="AF612" s="404"/>
      <c r="AG612" s="404"/>
      <c r="AH612" s="399"/>
      <c r="AI612" s="400"/>
      <c r="AJ612" s="399" t="s">
        <v>1787</v>
      </c>
      <c r="AK612" s="409" t="s">
        <v>3410</v>
      </c>
      <c r="AL612" s="409" t="s">
        <v>3313</v>
      </c>
      <c r="AM612" s="409" t="s">
        <v>3100</v>
      </c>
      <c r="AN612" s="409" t="s">
        <v>3101</v>
      </c>
      <c r="AO612" s="399" t="s">
        <v>1787</v>
      </c>
      <c r="AP612" s="409" t="s">
        <v>6791</v>
      </c>
      <c r="AQ612" s="409" t="s">
        <v>3130</v>
      </c>
      <c r="AR612" s="399"/>
      <c r="AS612" s="399"/>
      <c r="AT612" s="399"/>
      <c r="AU612" s="399"/>
      <c r="AV612" s="399" t="str">
        <f t="shared" si="107"/>
        <v/>
      </c>
      <c r="AW612" s="399"/>
      <c r="AX612" s="409" t="s">
        <v>5194</v>
      </c>
      <c r="AY612" s="399" t="str">
        <f t="shared" si="108"/>
        <v/>
      </c>
      <c r="AZ612" s="399"/>
      <c r="BA612" s="409" t="s">
        <v>3125</v>
      </c>
      <c r="BB612" s="399"/>
      <c r="BC612" s="399" t="s">
        <v>1787</v>
      </c>
      <c r="BD612" s="409" t="s">
        <v>7078</v>
      </c>
      <c r="BE612" s="411"/>
      <c r="BF612" s="411" t="s">
        <v>1787</v>
      </c>
      <c r="BG612" s="434" t="s">
        <v>7080</v>
      </c>
      <c r="BH612" s="411"/>
      <c r="BI612" s="411"/>
      <c r="BJ612" s="399" t="s">
        <v>1787</v>
      </c>
      <c r="BK612" s="399" t="s">
        <v>1787</v>
      </c>
      <c r="BL612" s="399"/>
      <c r="BM612" s="399" t="s">
        <v>1787</v>
      </c>
      <c r="BN612" s="399" t="s">
        <v>1787</v>
      </c>
      <c r="BO612" s="399" t="s">
        <v>1787</v>
      </c>
      <c r="BP612" s="399" t="s">
        <v>1787</v>
      </c>
      <c r="BQ612" s="399" t="s">
        <v>1787</v>
      </c>
      <c r="BR612" s="399" t="s">
        <v>1787</v>
      </c>
      <c r="BS612" s="407"/>
      <c r="BT612" s="407"/>
      <c r="BU612" s="412"/>
      <c r="BV612" s="46" t="str">
        <f t="shared" si="8"/>
        <v>Observation</v>
      </c>
      <c r="BW612" s="46" t="str">
        <f t="shared" si="9"/>
        <v/>
      </c>
      <c r="BX612" s="46" t="str">
        <f t="shared" si="10"/>
        <v>Observation</v>
      </c>
      <c r="BY612" s="43" t="str">
        <f t="shared" si="11"/>
        <v>WHO-STI Observation (LGV Follow-up)</v>
      </c>
      <c r="BZ612" s="46">
        <f t="shared" si="12"/>
        <v>1</v>
      </c>
      <c r="CA612" s="46">
        <f t="shared" si="13"/>
        <v>0</v>
      </c>
      <c r="CB612" s="46">
        <f t="shared" si="14"/>
        <v>1</v>
      </c>
      <c r="CC612" s="46">
        <f t="shared" si="15"/>
        <v>1</v>
      </c>
      <c r="CD612" s="46">
        <f t="shared" si="16"/>
        <v>1</v>
      </c>
      <c r="CE612" s="46">
        <f t="shared" si="17"/>
        <v>0</v>
      </c>
      <c r="CF612" s="46">
        <f t="shared" si="18"/>
        <v>0</v>
      </c>
      <c r="CG612" s="46" t="str">
        <f ca="1">IFERROR(__xludf.DUMMYFUNCTION("if(OR(BH612="""",LEFT(BH612,2)=""LA""),"""",IMPORTXML(CONCATENATE(""https://loinc.org/"",BH612,""/""),""//span[@id='lcn']""))"),"")</f>
        <v/>
      </c>
      <c r="CH612" s="46"/>
      <c r="CI612" s="46"/>
      <c r="CJ612" s="46"/>
      <c r="CK612" s="46"/>
      <c r="CL612" s="46"/>
      <c r="CM612" s="46"/>
      <c r="CN612" s="46"/>
      <c r="CO612" s="46"/>
      <c r="CP612" s="46"/>
      <c r="CQ612" s="46"/>
      <c r="CR612" s="46"/>
      <c r="CS612" s="46"/>
      <c r="CT612" s="46"/>
      <c r="CU612" s="46"/>
    </row>
    <row r="613" spans="1:99" ht="12.75" customHeight="1">
      <c r="A613" s="409">
        <v>2045</v>
      </c>
      <c r="B613" s="399" t="s">
        <v>7092</v>
      </c>
      <c r="C613" s="399">
        <f t="shared" si="103"/>
        <v>2045</v>
      </c>
      <c r="D613" s="399" t="str">
        <f t="shared" si="104"/>
        <v>Clinical examination</v>
      </c>
      <c r="E613" s="399" t="str">
        <f t="shared" si="105"/>
        <v>Clinical examination</v>
      </c>
      <c r="F613" s="409" t="s">
        <v>3164</v>
      </c>
      <c r="G613" s="400">
        <f t="shared" si="106"/>
        <v>20</v>
      </c>
      <c r="H613" s="400" t="str">
        <f t="shared" si="110"/>
        <v/>
      </c>
      <c r="I613" s="400"/>
      <c r="J613" s="400"/>
      <c r="K613" s="401" t="s">
        <v>5283</v>
      </c>
      <c r="L613" s="402" t="s">
        <v>5194</v>
      </c>
      <c r="M613" s="400"/>
      <c r="N613" s="675" t="s">
        <v>7095</v>
      </c>
      <c r="O613" s="404" t="s">
        <v>7097</v>
      </c>
      <c r="P613" s="404"/>
      <c r="Q613" s="420" t="s">
        <v>7092</v>
      </c>
      <c r="R613" s="404"/>
      <c r="S613" s="404" t="s">
        <v>7099</v>
      </c>
      <c r="T613" s="404" t="s">
        <v>3169</v>
      </c>
      <c r="U613" s="404"/>
      <c r="V613" s="404" t="s">
        <v>3170</v>
      </c>
      <c r="W613" s="404"/>
      <c r="X613" s="404" t="s">
        <v>208</v>
      </c>
      <c r="Y613" s="404"/>
      <c r="Z613" s="407" t="s">
        <v>113</v>
      </c>
      <c r="AA613" s="404" t="s">
        <v>1889</v>
      </c>
      <c r="AB613" s="406"/>
      <c r="AC613" s="404"/>
      <c r="AD613" s="404"/>
      <c r="AE613" s="406"/>
      <c r="AF613" s="404"/>
      <c r="AG613" s="404"/>
      <c r="AH613" s="399"/>
      <c r="AI613" s="400"/>
      <c r="AJ613" s="399" t="s">
        <v>1787</v>
      </c>
      <c r="AK613" s="399"/>
      <c r="AL613" s="399" t="s">
        <v>1787</v>
      </c>
      <c r="AM613" s="399"/>
      <c r="AN613" s="399" t="s">
        <v>1787</v>
      </c>
      <c r="AO613" s="399" t="s">
        <v>1787</v>
      </c>
      <c r="AP613" s="399"/>
      <c r="AQ613" s="409" t="s">
        <v>115</v>
      </c>
      <c r="AR613" s="399"/>
      <c r="AS613" s="399"/>
      <c r="AT613" s="399"/>
      <c r="AU613" s="399"/>
      <c r="AV613" s="399" t="str">
        <f t="shared" si="107"/>
        <v/>
      </c>
      <c r="AW613" s="399"/>
      <c r="AX613" s="409" t="s">
        <v>5194</v>
      </c>
      <c r="AY613" s="399" t="str">
        <f t="shared" si="108"/>
        <v/>
      </c>
      <c r="AZ613" s="399"/>
      <c r="BA613" s="409" t="s">
        <v>3125</v>
      </c>
      <c r="BB613" s="399"/>
      <c r="BC613" s="399" t="s">
        <v>1787</v>
      </c>
      <c r="BD613" s="399" t="s">
        <v>1787</v>
      </c>
      <c r="BE613" s="411"/>
      <c r="BF613" s="411" t="s">
        <v>1787</v>
      </c>
      <c r="BG613" s="411"/>
      <c r="BH613" s="411"/>
      <c r="BI613" s="411"/>
      <c r="BJ613" s="409" t="s">
        <v>3106</v>
      </c>
      <c r="BK613" s="399" t="s">
        <v>1787</v>
      </c>
      <c r="BL613" s="399"/>
      <c r="BM613" s="399" t="s">
        <v>1787</v>
      </c>
      <c r="BN613" s="399" t="s">
        <v>1787</v>
      </c>
      <c r="BO613" s="399" t="s">
        <v>1787</v>
      </c>
      <c r="BP613" s="399" t="s">
        <v>1787</v>
      </c>
      <c r="BQ613" s="399" t="s">
        <v>1787</v>
      </c>
      <c r="BR613" s="399" t="s">
        <v>1787</v>
      </c>
      <c r="BS613" s="407"/>
      <c r="BT613" s="407"/>
      <c r="BU613" s="412"/>
      <c r="BV613" s="46" t="str">
        <f t="shared" si="8"/>
        <v/>
      </c>
      <c r="BW613" s="46" t="str">
        <f t="shared" si="9"/>
        <v/>
      </c>
      <c r="BX613" s="46" t="str">
        <f t="shared" si="10"/>
        <v/>
      </c>
      <c r="BY613" s="43" t="str">
        <f t="shared" si="11"/>
        <v/>
      </c>
      <c r="BZ613" s="46">
        <f t="shared" si="12"/>
        <v>1</v>
      </c>
      <c r="CA613" s="46" t="str">
        <f t="shared" si="13"/>
        <v/>
      </c>
      <c r="CB613" s="46">
        <f t="shared" si="14"/>
        <v>1</v>
      </c>
      <c r="CC613" s="46">
        <f t="shared" si="15"/>
        <v>1</v>
      </c>
      <c r="CD613" s="46">
        <f t="shared" si="16"/>
        <v>1</v>
      </c>
      <c r="CE613" s="46">
        <f t="shared" si="17"/>
        <v>0</v>
      </c>
      <c r="CF613" s="46">
        <f t="shared" si="18"/>
        <v>0</v>
      </c>
      <c r="CG613" s="46" t="str">
        <f ca="1">IFERROR(__xludf.DUMMYFUNCTION("if(OR(BH613="""",LEFT(BH613,2)=""LA""),"""",IMPORTXML(CONCATENATE(""https://loinc.org/"",BH613,""/""),""//span[@id='lcn']""))"),"")</f>
        <v/>
      </c>
      <c r="CH613" s="46"/>
      <c r="CI613" s="46"/>
      <c r="CJ613" s="46"/>
      <c r="CK613" s="46"/>
      <c r="CL613" s="46"/>
      <c r="CM613" s="46"/>
      <c r="CN613" s="46"/>
      <c r="CO613" s="46"/>
      <c r="CP613" s="46"/>
      <c r="CQ613" s="46"/>
      <c r="CR613" s="46"/>
      <c r="CS613" s="46"/>
      <c r="CT613" s="46"/>
      <c r="CU613" s="46"/>
    </row>
    <row r="614" spans="1:99" ht="12.75" customHeight="1">
      <c r="A614" s="409">
        <v>2046</v>
      </c>
      <c r="B614" s="399" t="s">
        <v>7113</v>
      </c>
      <c r="C614" s="399">
        <f t="shared" si="103"/>
        <v>2046</v>
      </c>
      <c r="D614" s="399" t="str">
        <f t="shared" si="104"/>
        <v xml:space="preserve">Clinical exam type </v>
      </c>
      <c r="E614" s="399" t="str">
        <f t="shared" si="105"/>
        <v xml:space="preserve">Clinical exam type </v>
      </c>
      <c r="F614" s="399" t="str">
        <f t="shared" ref="F614:F673" si="111">IF(AND(ISBLANK(V614)=FALSE,OR(T614="MC",T614="")),"Input Option","Data Element")</f>
        <v>Data Element</v>
      </c>
      <c r="G614" s="400">
        <f t="shared" si="106"/>
        <v>19</v>
      </c>
      <c r="H614" s="400" t="str">
        <f t="shared" si="110"/>
        <v/>
      </c>
      <c r="I614" s="400"/>
      <c r="J614" s="400"/>
      <c r="K614" s="401" t="s">
        <v>5283</v>
      </c>
      <c r="L614" s="402" t="s">
        <v>5194</v>
      </c>
      <c r="M614" s="400"/>
      <c r="N614" s="675" t="s">
        <v>7095</v>
      </c>
      <c r="O614" s="404" t="s">
        <v>7116</v>
      </c>
      <c r="P614" s="404"/>
      <c r="Q614" s="420" t="s">
        <v>7113</v>
      </c>
      <c r="R614" s="404"/>
      <c r="S614" s="404" t="s">
        <v>7117</v>
      </c>
      <c r="T614" s="404" t="s">
        <v>3121</v>
      </c>
      <c r="U614" s="420" t="s">
        <v>3326</v>
      </c>
      <c r="V614" s="404"/>
      <c r="W614" s="404"/>
      <c r="X614" s="404" t="s">
        <v>113</v>
      </c>
      <c r="Y614" s="404" t="s">
        <v>7118</v>
      </c>
      <c r="Z614" s="407" t="s">
        <v>113</v>
      </c>
      <c r="AA614" s="404" t="s">
        <v>3178</v>
      </c>
      <c r="AB614" s="420" t="s">
        <v>7121</v>
      </c>
      <c r="AC614" s="426"/>
      <c r="AD614" s="404"/>
      <c r="AE614" s="406"/>
      <c r="AF614" s="404"/>
      <c r="AG614" s="404"/>
      <c r="AH614" s="399"/>
      <c r="AI614" s="400"/>
      <c r="AJ614" s="399" t="s">
        <v>1787</v>
      </c>
      <c r="AK614" s="409" t="s">
        <v>3715</v>
      </c>
      <c r="AL614" s="409"/>
      <c r="AM614" s="409" t="s">
        <v>3100</v>
      </c>
      <c r="AN614" s="409" t="s">
        <v>3101</v>
      </c>
      <c r="AO614" s="399" t="s">
        <v>1787</v>
      </c>
      <c r="AP614" s="440" t="s">
        <v>6838</v>
      </c>
      <c r="AQ614" s="409" t="s">
        <v>3424</v>
      </c>
      <c r="AR614" s="399"/>
      <c r="AS614" s="409" t="s">
        <v>3413</v>
      </c>
      <c r="AT614" s="399"/>
      <c r="AU614" s="399"/>
      <c r="AV614" s="399" t="str">
        <f t="shared" si="107"/>
        <v/>
      </c>
      <c r="AW614" s="399"/>
      <c r="AX614" s="409" t="s">
        <v>5194</v>
      </c>
      <c r="AY614" s="399" t="str">
        <f t="shared" si="108"/>
        <v/>
      </c>
      <c r="AZ614" s="399"/>
      <c r="BA614" s="409" t="s">
        <v>3125</v>
      </c>
      <c r="BB614" s="399"/>
      <c r="BC614" s="399" t="s">
        <v>1787</v>
      </c>
      <c r="BD614" s="399" t="s">
        <v>1787</v>
      </c>
      <c r="BE614" s="411"/>
      <c r="BF614" s="411" t="s">
        <v>1787</v>
      </c>
      <c r="BG614" s="411"/>
      <c r="BH614" s="411"/>
      <c r="BI614" s="411"/>
      <c r="BJ614" s="409" t="s">
        <v>3106</v>
      </c>
      <c r="BK614" s="399" t="s">
        <v>1787</v>
      </c>
      <c r="BL614" s="399"/>
      <c r="BM614" s="399" t="s">
        <v>1787</v>
      </c>
      <c r="BN614" s="399" t="s">
        <v>1787</v>
      </c>
      <c r="BO614" s="399" t="s">
        <v>1787</v>
      </c>
      <c r="BP614" s="399" t="s">
        <v>1787</v>
      </c>
      <c r="BQ614" s="399" t="s">
        <v>1787</v>
      </c>
      <c r="BR614" s="399" t="s">
        <v>1787</v>
      </c>
      <c r="BS614" s="407"/>
      <c r="BT614" s="407"/>
      <c r="BU614" s="412"/>
      <c r="BV614" s="46" t="str">
        <f t="shared" si="8"/>
        <v>Procedure</v>
      </c>
      <c r="BW614" s="46" t="str">
        <f t="shared" si="9"/>
        <v/>
      </c>
      <c r="BX614" s="46" t="str">
        <f t="shared" si="10"/>
        <v>Procedure</v>
      </c>
      <c r="BY614" s="43" t="str">
        <f t="shared" si="11"/>
        <v>WHO-STI Procedure (Service Provided)</v>
      </c>
      <c r="BZ614" s="46">
        <f t="shared" si="12"/>
        <v>1</v>
      </c>
      <c r="CA614" s="46">
        <f t="shared" si="13"/>
        <v>1</v>
      </c>
      <c r="CB614" s="46">
        <f t="shared" si="14"/>
        <v>1</v>
      </c>
      <c r="CC614" s="46">
        <f t="shared" si="15"/>
        <v>1</v>
      </c>
      <c r="CD614" s="46">
        <f t="shared" si="16"/>
        <v>1</v>
      </c>
      <c r="CE614" s="46">
        <f t="shared" si="17"/>
        <v>0</v>
      </c>
      <c r="CF614" s="46">
        <f t="shared" si="18"/>
        <v>0</v>
      </c>
      <c r="CG614" s="46" t="str">
        <f ca="1">IFERROR(__xludf.DUMMYFUNCTION("if(OR(BH614="""",LEFT(BH614,2)=""LA""),"""",IMPORTXML(CONCATENATE(""https://loinc.org/"",BH614,""/""),""//span[@id='lcn']""))"),"")</f>
        <v/>
      </c>
      <c r="CH614" s="46"/>
      <c r="CI614" s="46"/>
      <c r="CJ614" s="46"/>
      <c r="CK614" s="46"/>
      <c r="CL614" s="46"/>
      <c r="CM614" s="46"/>
      <c r="CN614" s="46"/>
      <c r="CO614" s="46"/>
      <c r="CP614" s="46"/>
      <c r="CQ614" s="46"/>
      <c r="CR614" s="46"/>
      <c r="CS614" s="46"/>
      <c r="CT614" s="46"/>
      <c r="CU614" s="46"/>
    </row>
    <row r="615" spans="1:99" ht="12.75" customHeight="1">
      <c r="A615" s="409">
        <v>2047</v>
      </c>
      <c r="B615" s="399" t="s">
        <v>7126</v>
      </c>
      <c r="C615" s="399">
        <f t="shared" si="103"/>
        <v>2047</v>
      </c>
      <c r="D615" s="399" t="e">
        <f t="shared" ca="1" si="104"/>
        <v>#NAME?</v>
      </c>
      <c r="E615" s="399" t="str">
        <f t="shared" si="105"/>
        <v>External genital examination</v>
      </c>
      <c r="F615" s="399" t="str">
        <f t="shared" si="111"/>
        <v>Input Option</v>
      </c>
      <c r="G615" s="400">
        <f t="shared" si="106"/>
        <v>35</v>
      </c>
      <c r="H615" s="399" t="str">
        <f t="shared" si="110"/>
        <v xml:space="preserve">Clinical exam type </v>
      </c>
      <c r="I615" s="400"/>
      <c r="J615" s="400"/>
      <c r="K615" s="401" t="s">
        <v>5283</v>
      </c>
      <c r="L615" s="402" t="s">
        <v>5194</v>
      </c>
      <c r="M615" s="400"/>
      <c r="N615" s="675" t="s">
        <v>7095</v>
      </c>
      <c r="O615" s="404" t="s">
        <v>7127</v>
      </c>
      <c r="P615" s="404"/>
      <c r="Q615" s="404"/>
      <c r="R615" s="404"/>
      <c r="S615" s="404"/>
      <c r="T615" s="404"/>
      <c r="U615" s="404"/>
      <c r="V615" s="420" t="s">
        <v>7130</v>
      </c>
      <c r="W615" s="404"/>
      <c r="X615" s="404" t="s">
        <v>208</v>
      </c>
      <c r="Y615" s="404"/>
      <c r="Z615" s="407" t="s">
        <v>113</v>
      </c>
      <c r="AA615" s="404" t="s">
        <v>1889</v>
      </c>
      <c r="AB615" s="406"/>
      <c r="AC615" s="404"/>
      <c r="AD615" s="404"/>
      <c r="AE615" s="406"/>
      <c r="AF615" s="404"/>
      <c r="AG615" s="404"/>
      <c r="AH615" s="399"/>
      <c r="AI615" s="400"/>
      <c r="AJ615" s="399" t="s">
        <v>1787</v>
      </c>
      <c r="AK615" s="399"/>
      <c r="AL615" s="399" t="s">
        <v>1787</v>
      </c>
      <c r="AM615" s="399"/>
      <c r="AN615" s="399" t="s">
        <v>1787</v>
      </c>
      <c r="AO615" s="399" t="s">
        <v>1787</v>
      </c>
      <c r="AP615" s="399"/>
      <c r="AQ615" s="409" t="s">
        <v>3130</v>
      </c>
      <c r="AR615" s="399"/>
      <c r="AS615" s="399"/>
      <c r="AT615" s="399"/>
      <c r="AU615" s="399"/>
      <c r="AV615" s="399" t="str">
        <f t="shared" si="107"/>
        <v/>
      </c>
      <c r="AW615" s="399"/>
      <c r="AX615" s="409" t="s">
        <v>5194</v>
      </c>
      <c r="AY615" s="399" t="e">
        <f t="shared" ca="1" si="108"/>
        <v>#NAME?</v>
      </c>
      <c r="AZ615" s="399"/>
      <c r="BA615" s="409" t="s">
        <v>3125</v>
      </c>
      <c r="BB615" s="399"/>
      <c r="BC615" s="399" t="s">
        <v>1787</v>
      </c>
      <c r="BD615" s="409" t="s">
        <v>7132</v>
      </c>
      <c r="BE615" s="411"/>
      <c r="BF615" s="411" t="s">
        <v>1787</v>
      </c>
      <c r="BG615" s="434" t="s">
        <v>7133</v>
      </c>
      <c r="BH615" s="411"/>
      <c r="BI615" s="411"/>
      <c r="BJ615" s="399" t="s">
        <v>1787</v>
      </c>
      <c r="BK615" s="399" t="s">
        <v>1787</v>
      </c>
      <c r="BL615" s="399"/>
      <c r="BM615" s="399" t="s">
        <v>1787</v>
      </c>
      <c r="BN615" s="399" t="s">
        <v>1787</v>
      </c>
      <c r="BO615" s="399" t="s">
        <v>1787</v>
      </c>
      <c r="BP615" s="399" t="s">
        <v>1787</v>
      </c>
      <c r="BQ615" s="399" t="s">
        <v>1787</v>
      </c>
      <c r="BR615" s="399" t="s">
        <v>1787</v>
      </c>
      <c r="BS615" s="407"/>
      <c r="BT615" s="407"/>
      <c r="BU615" s="412"/>
      <c r="BV615" s="46" t="str">
        <f t="shared" si="8"/>
        <v/>
      </c>
      <c r="BW615" s="46">
        <f t="shared" si="9"/>
        <v>0</v>
      </c>
      <c r="BX615" s="46">
        <f t="shared" si="10"/>
        <v>0</v>
      </c>
      <c r="BY615" s="43" t="str">
        <f t="shared" si="11"/>
        <v>WHO-STI Procedure (Service Provided)</v>
      </c>
      <c r="BZ615" s="46">
        <f t="shared" si="12"/>
        <v>1</v>
      </c>
      <c r="CA615" s="46" t="str">
        <f t="shared" si="13"/>
        <v/>
      </c>
      <c r="CB615" s="46">
        <f t="shared" si="14"/>
        <v>1</v>
      </c>
      <c r="CC615" s="46">
        <f t="shared" si="15"/>
        <v>1</v>
      </c>
      <c r="CD615" s="46">
        <f t="shared" si="16"/>
        <v>1</v>
      </c>
      <c r="CE615" s="46">
        <f t="shared" si="17"/>
        <v>0</v>
      </c>
      <c r="CF615" s="46">
        <f t="shared" si="18"/>
        <v>0</v>
      </c>
      <c r="CG615" s="46" t="str">
        <f ca="1">IFERROR(__xludf.DUMMYFUNCTION("if(OR(BH615="""",LEFT(BH615,2)=""LA""),"""",IMPORTXML(CONCATENATE(""https://loinc.org/"",BH615,""/""),""//span[@id='lcn']""))"),"")</f>
        <v/>
      </c>
      <c r="CH615" s="46"/>
      <c r="CI615" s="46"/>
      <c r="CJ615" s="46"/>
      <c r="CK615" s="46"/>
      <c r="CL615" s="46"/>
      <c r="CM615" s="46"/>
      <c r="CN615" s="46"/>
      <c r="CO615" s="46"/>
      <c r="CP615" s="46"/>
      <c r="CQ615" s="46"/>
      <c r="CR615" s="46"/>
      <c r="CS615" s="46"/>
      <c r="CT615" s="46"/>
      <c r="CU615" s="46"/>
    </row>
    <row r="616" spans="1:99" ht="12.75" customHeight="1">
      <c r="A616" s="409">
        <v>2048</v>
      </c>
      <c r="B616" s="399" t="s">
        <v>7138</v>
      </c>
      <c r="C616" s="399">
        <f t="shared" si="103"/>
        <v>2048</v>
      </c>
      <c r="D616" s="399" t="e">
        <f t="shared" ca="1" si="104"/>
        <v>#NAME?</v>
      </c>
      <c r="E616" s="399" t="str">
        <f t="shared" si="105"/>
        <v>speculem evaluation</v>
      </c>
      <c r="F616" s="399" t="str">
        <f t="shared" si="111"/>
        <v>Input Option</v>
      </c>
      <c r="G616" s="400">
        <f t="shared" si="106"/>
        <v>26</v>
      </c>
      <c r="H616" s="399" t="str">
        <f t="shared" si="110"/>
        <v xml:space="preserve">Clinical exam type </v>
      </c>
      <c r="I616" s="400"/>
      <c r="J616" s="400"/>
      <c r="K616" s="401" t="s">
        <v>5283</v>
      </c>
      <c r="L616" s="402" t="s">
        <v>5194</v>
      </c>
      <c r="M616" s="400"/>
      <c r="N616" s="675" t="s">
        <v>7095</v>
      </c>
      <c r="O616" s="404" t="s">
        <v>7139</v>
      </c>
      <c r="P616" s="404"/>
      <c r="Q616" s="404"/>
      <c r="R616" s="404"/>
      <c r="S616" s="404"/>
      <c r="T616" s="404"/>
      <c r="U616" s="404"/>
      <c r="V616" s="420" t="s">
        <v>7140</v>
      </c>
      <c r="W616" s="404"/>
      <c r="X616" s="404" t="s">
        <v>208</v>
      </c>
      <c r="Y616" s="404"/>
      <c r="Z616" s="407" t="s">
        <v>113</v>
      </c>
      <c r="AA616" s="404" t="s">
        <v>1889</v>
      </c>
      <c r="AB616" s="406"/>
      <c r="AC616" s="404"/>
      <c r="AD616" s="404"/>
      <c r="AE616" s="406"/>
      <c r="AF616" s="404"/>
      <c r="AG616" s="404"/>
      <c r="AH616" s="399"/>
      <c r="AI616" s="400"/>
      <c r="AJ616" s="399" t="s">
        <v>1787</v>
      </c>
      <c r="AK616" s="399"/>
      <c r="AL616" s="399" t="s">
        <v>1787</v>
      </c>
      <c r="AM616" s="399"/>
      <c r="AN616" s="399" t="s">
        <v>1787</v>
      </c>
      <c r="AO616" s="399" t="s">
        <v>1787</v>
      </c>
      <c r="AP616" s="399"/>
      <c r="AQ616" s="409" t="s">
        <v>3130</v>
      </c>
      <c r="AR616" s="399"/>
      <c r="AS616" s="399"/>
      <c r="AT616" s="399"/>
      <c r="AU616" s="399"/>
      <c r="AV616" s="399" t="str">
        <f t="shared" si="107"/>
        <v/>
      </c>
      <c r="AW616" s="399"/>
      <c r="AX616" s="409" t="s">
        <v>5194</v>
      </c>
      <c r="AY616" s="399" t="e">
        <f t="shared" ca="1" si="108"/>
        <v>#NAME?</v>
      </c>
      <c r="AZ616" s="399"/>
      <c r="BA616" s="409" t="s">
        <v>3125</v>
      </c>
      <c r="BB616" s="399"/>
      <c r="BC616" s="399" t="s">
        <v>1787</v>
      </c>
      <c r="BD616" s="409" t="s">
        <v>3162</v>
      </c>
      <c r="BE616" s="411"/>
      <c r="BF616" s="411" t="s">
        <v>1787</v>
      </c>
      <c r="BG616" s="434" t="s">
        <v>7142</v>
      </c>
      <c r="BH616" s="411"/>
      <c r="BI616" s="411"/>
      <c r="BJ616" s="399" t="s">
        <v>1787</v>
      </c>
      <c r="BK616" s="399" t="s">
        <v>1787</v>
      </c>
      <c r="BL616" s="399"/>
      <c r="BM616" s="410" t="s">
        <v>7143</v>
      </c>
      <c r="BN616" s="399" t="s">
        <v>1787</v>
      </c>
      <c r="BO616" s="399" t="s">
        <v>1787</v>
      </c>
      <c r="BP616" s="399" t="s">
        <v>1787</v>
      </c>
      <c r="BQ616" s="399" t="s">
        <v>1787</v>
      </c>
      <c r="BR616" s="399" t="s">
        <v>1787</v>
      </c>
      <c r="BS616" s="407"/>
      <c r="BT616" s="407"/>
      <c r="BU616" s="412"/>
      <c r="BV616" s="46" t="str">
        <f t="shared" si="8"/>
        <v/>
      </c>
      <c r="BW616" s="46">
        <f t="shared" si="9"/>
        <v>0</v>
      </c>
      <c r="BX616" s="46">
        <f t="shared" si="10"/>
        <v>0</v>
      </c>
      <c r="BY616" s="43" t="str">
        <f t="shared" si="11"/>
        <v>WHO-STI Procedure (Service Provided)</v>
      </c>
      <c r="BZ616" s="46">
        <f t="shared" si="12"/>
        <v>1</v>
      </c>
      <c r="CA616" s="46" t="str">
        <f t="shared" si="13"/>
        <v/>
      </c>
      <c r="CB616" s="46">
        <f t="shared" si="14"/>
        <v>1</v>
      </c>
      <c r="CC616" s="46">
        <f t="shared" si="15"/>
        <v>1</v>
      </c>
      <c r="CD616" s="46">
        <f t="shared" si="16"/>
        <v>1</v>
      </c>
      <c r="CE616" s="46">
        <f t="shared" si="17"/>
        <v>0</v>
      </c>
      <c r="CF616" s="46">
        <f t="shared" si="18"/>
        <v>0</v>
      </c>
      <c r="CG616" s="46" t="str">
        <f ca="1">IFERROR(__xludf.DUMMYFUNCTION("if(OR(BH616="""",LEFT(BH616,2)=""LA""),"""",IMPORTXML(CONCATENATE(""https://loinc.org/"",BH616,""/""),""//span[@id='lcn']""))"),"")</f>
        <v/>
      </c>
      <c r="CH616" s="46"/>
      <c r="CI616" s="46"/>
      <c r="CJ616" s="46"/>
      <c r="CK616" s="46"/>
      <c r="CL616" s="46"/>
      <c r="CM616" s="46"/>
      <c r="CN616" s="46"/>
      <c r="CO616" s="46"/>
      <c r="CP616" s="46"/>
      <c r="CQ616" s="46"/>
      <c r="CR616" s="46"/>
      <c r="CS616" s="46"/>
      <c r="CT616" s="46"/>
      <c r="CU616" s="46"/>
    </row>
    <row r="617" spans="1:99" ht="12.75" customHeight="1">
      <c r="A617" s="409">
        <v>2049</v>
      </c>
      <c r="B617" s="399" t="s">
        <v>7155</v>
      </c>
      <c r="C617" s="399">
        <f t="shared" si="103"/>
        <v>2049</v>
      </c>
      <c r="D617" s="399" t="e">
        <f t="shared" ca="1" si="104"/>
        <v>#NAME?</v>
      </c>
      <c r="E617" s="399" t="str">
        <f t="shared" si="105"/>
        <v>bimanual evaluation</v>
      </c>
      <c r="F617" s="399" t="str">
        <f t="shared" si="111"/>
        <v>Input Option</v>
      </c>
      <c r="G617" s="400">
        <f t="shared" si="106"/>
        <v>26</v>
      </c>
      <c r="H617" s="399" t="str">
        <f t="shared" si="110"/>
        <v xml:space="preserve">Clinical exam type </v>
      </c>
      <c r="I617" s="400"/>
      <c r="J617" s="400"/>
      <c r="K617" s="401" t="s">
        <v>5283</v>
      </c>
      <c r="L617" s="402" t="s">
        <v>5194</v>
      </c>
      <c r="M617" s="400"/>
      <c r="N617" s="675" t="s">
        <v>7095</v>
      </c>
      <c r="O617" s="404" t="s">
        <v>7158</v>
      </c>
      <c r="P617" s="404"/>
      <c r="Q617" s="404"/>
      <c r="R617" s="404"/>
      <c r="S617" s="404"/>
      <c r="T617" s="404"/>
      <c r="U617" s="404"/>
      <c r="V617" s="420" t="s">
        <v>7160</v>
      </c>
      <c r="W617" s="404"/>
      <c r="X617" s="404" t="s">
        <v>208</v>
      </c>
      <c r="Y617" s="404"/>
      <c r="Z617" s="407" t="s">
        <v>113</v>
      </c>
      <c r="AA617" s="404" t="s">
        <v>1889</v>
      </c>
      <c r="AB617" s="406"/>
      <c r="AC617" s="404"/>
      <c r="AD617" s="404"/>
      <c r="AE617" s="406"/>
      <c r="AF617" s="404"/>
      <c r="AG617" s="404"/>
      <c r="AH617" s="399"/>
      <c r="AI617" s="400"/>
      <c r="AJ617" s="399" t="s">
        <v>1787</v>
      </c>
      <c r="AK617" s="399"/>
      <c r="AL617" s="399" t="s">
        <v>1787</v>
      </c>
      <c r="AM617" s="399"/>
      <c r="AN617" s="399" t="s">
        <v>1787</v>
      </c>
      <c r="AO617" s="399" t="s">
        <v>1787</v>
      </c>
      <c r="AP617" s="399"/>
      <c r="AQ617" s="409" t="s">
        <v>3130</v>
      </c>
      <c r="AR617" s="399"/>
      <c r="AS617" s="399"/>
      <c r="AT617" s="399"/>
      <c r="AU617" s="399"/>
      <c r="AV617" s="399" t="str">
        <f t="shared" si="107"/>
        <v/>
      </c>
      <c r="AW617" s="399"/>
      <c r="AX617" s="409" t="s">
        <v>5194</v>
      </c>
      <c r="AY617" s="399" t="e">
        <f t="shared" ca="1" si="108"/>
        <v>#NAME?</v>
      </c>
      <c r="AZ617" s="399"/>
      <c r="BA617" s="409" t="s">
        <v>3125</v>
      </c>
      <c r="BB617" s="399"/>
      <c r="BC617" s="399" t="s">
        <v>1787</v>
      </c>
      <c r="BD617" s="409" t="s">
        <v>3162</v>
      </c>
      <c r="BE617" s="411"/>
      <c r="BF617" s="411" t="s">
        <v>1787</v>
      </c>
      <c r="BG617" s="434" t="s">
        <v>7163</v>
      </c>
      <c r="BH617" s="411"/>
      <c r="BI617" s="411"/>
      <c r="BJ617" s="399" t="s">
        <v>1787</v>
      </c>
      <c r="BK617" s="399" t="s">
        <v>1787</v>
      </c>
      <c r="BL617" s="399"/>
      <c r="BM617" s="399" t="s">
        <v>1787</v>
      </c>
      <c r="BN617" s="399" t="s">
        <v>1787</v>
      </c>
      <c r="BO617" s="399" t="s">
        <v>1787</v>
      </c>
      <c r="BP617" s="399" t="s">
        <v>1787</v>
      </c>
      <c r="BQ617" s="399" t="s">
        <v>1787</v>
      </c>
      <c r="BR617" s="399" t="s">
        <v>1787</v>
      </c>
      <c r="BS617" s="407"/>
      <c r="BT617" s="407"/>
      <c r="BU617" s="412"/>
      <c r="BV617" s="46" t="str">
        <f t="shared" si="8"/>
        <v/>
      </c>
      <c r="BW617" s="46">
        <f t="shared" si="9"/>
        <v>0</v>
      </c>
      <c r="BX617" s="46">
        <f t="shared" si="10"/>
        <v>0</v>
      </c>
      <c r="BY617" s="43" t="str">
        <f t="shared" si="11"/>
        <v>WHO-STI Procedure (Service Provided)</v>
      </c>
      <c r="BZ617" s="46">
        <f t="shared" si="12"/>
        <v>1</v>
      </c>
      <c r="CA617" s="46" t="str">
        <f t="shared" si="13"/>
        <v/>
      </c>
      <c r="CB617" s="46">
        <f t="shared" si="14"/>
        <v>1</v>
      </c>
      <c r="CC617" s="46">
        <f t="shared" si="15"/>
        <v>1</v>
      </c>
      <c r="CD617" s="46">
        <f t="shared" si="16"/>
        <v>1</v>
      </c>
      <c r="CE617" s="46">
        <f t="shared" si="17"/>
        <v>0</v>
      </c>
      <c r="CF617" s="46">
        <f t="shared" si="18"/>
        <v>0</v>
      </c>
      <c r="CG617" s="46" t="str">
        <f ca="1">IFERROR(__xludf.DUMMYFUNCTION("if(OR(BH617="""",LEFT(BH617,2)=""LA""),"""",IMPORTXML(CONCATENATE(""https://loinc.org/"",BH617,""/""),""//span[@id='lcn']""))"),"")</f>
        <v/>
      </c>
      <c r="CH617" s="46"/>
      <c r="CI617" s="46"/>
      <c r="CJ617" s="46"/>
      <c r="CK617" s="46"/>
      <c r="CL617" s="46"/>
      <c r="CM617" s="46"/>
      <c r="CN617" s="46"/>
      <c r="CO617" s="46"/>
      <c r="CP617" s="46"/>
      <c r="CQ617" s="46"/>
      <c r="CR617" s="46"/>
      <c r="CS617" s="46"/>
      <c r="CT617" s="46"/>
      <c r="CU617" s="46"/>
    </row>
    <row r="618" spans="1:99" ht="12.75" customHeight="1">
      <c r="A618" s="409">
        <v>2050</v>
      </c>
      <c r="B618" s="399" t="s">
        <v>535</v>
      </c>
      <c r="C618" s="399">
        <f t="shared" si="103"/>
        <v>2050</v>
      </c>
      <c r="D618" s="399" t="e">
        <f t="shared" ca="1" si="104"/>
        <v>#NAME?</v>
      </c>
      <c r="E618" s="399" t="str">
        <f t="shared" si="105"/>
        <v>Other (specify)</v>
      </c>
      <c r="F618" s="399" t="str">
        <f t="shared" si="111"/>
        <v>Input Option</v>
      </c>
      <c r="G618" s="400">
        <f t="shared" si="106"/>
        <v>22</v>
      </c>
      <c r="H618" s="399" t="str">
        <f t="shared" si="110"/>
        <v xml:space="preserve">Clinical exam type </v>
      </c>
      <c r="I618" s="400"/>
      <c r="J618" s="400"/>
      <c r="K618" s="401" t="s">
        <v>5283</v>
      </c>
      <c r="L618" s="402" t="s">
        <v>5194</v>
      </c>
      <c r="M618" s="400"/>
      <c r="N618" s="675" t="s">
        <v>7095</v>
      </c>
      <c r="O618" s="431" t="s">
        <v>6258</v>
      </c>
      <c r="P618" s="431"/>
      <c r="Q618" s="404"/>
      <c r="R618" s="404"/>
      <c r="S618" s="404"/>
      <c r="T618" s="431"/>
      <c r="U618" s="431"/>
      <c r="V618" s="671" t="s">
        <v>405</v>
      </c>
      <c r="W618" s="404"/>
      <c r="X618" s="404" t="s">
        <v>208</v>
      </c>
      <c r="Y618" s="404"/>
      <c r="Z618" s="404" t="s">
        <v>113</v>
      </c>
      <c r="AA618" s="404" t="s">
        <v>1889</v>
      </c>
      <c r="AB618" s="406"/>
      <c r="AC618" s="404"/>
      <c r="AD618" s="404"/>
      <c r="AE618" s="406"/>
      <c r="AF618" s="404"/>
      <c r="AG618" s="420" t="s">
        <v>7000</v>
      </c>
      <c r="AH618" s="399"/>
      <c r="AI618" s="400"/>
      <c r="AJ618" s="399" t="s">
        <v>1787</v>
      </c>
      <c r="AK618" s="399"/>
      <c r="AL618" s="399" t="s">
        <v>1787</v>
      </c>
      <c r="AM618" s="399"/>
      <c r="AN618" s="399" t="s">
        <v>1787</v>
      </c>
      <c r="AO618" s="399" t="s">
        <v>1787</v>
      </c>
      <c r="AP618" s="399"/>
      <c r="AQ618" s="409" t="s">
        <v>3130</v>
      </c>
      <c r="AR618" s="399"/>
      <c r="AS618" s="399"/>
      <c r="AT618" s="399"/>
      <c r="AU618" s="399"/>
      <c r="AV618" s="399" t="str">
        <f t="shared" si="107"/>
        <v/>
      </c>
      <c r="AW618" s="399"/>
      <c r="AX618" s="409" t="s">
        <v>5194</v>
      </c>
      <c r="AY618" s="399" t="e">
        <f t="shared" ca="1" si="108"/>
        <v>#NAME?</v>
      </c>
      <c r="AZ618" s="399"/>
      <c r="BA618" s="409">
        <v>1</v>
      </c>
      <c r="BB618" s="415" t="s">
        <v>3131</v>
      </c>
      <c r="BC618" s="403" t="s">
        <v>1387</v>
      </c>
      <c r="BD618" s="399" t="s">
        <v>1787</v>
      </c>
      <c r="BE618" s="411"/>
      <c r="BF618" s="411" t="s">
        <v>1787</v>
      </c>
      <c r="BG618" s="411"/>
      <c r="BH618" s="411"/>
      <c r="BI618" s="411"/>
      <c r="BJ618" s="399" t="s">
        <v>1787</v>
      </c>
      <c r="BK618" s="399" t="s">
        <v>1787</v>
      </c>
      <c r="BL618" s="399"/>
      <c r="BM618" s="399" t="s">
        <v>1787</v>
      </c>
      <c r="BN618" s="399" t="s">
        <v>1787</v>
      </c>
      <c r="BO618" s="399" t="s">
        <v>1787</v>
      </c>
      <c r="BP618" s="399" t="s">
        <v>1787</v>
      </c>
      <c r="BQ618" s="399" t="s">
        <v>1787</v>
      </c>
      <c r="BR618" s="399" t="s">
        <v>1787</v>
      </c>
      <c r="BS618" s="407"/>
      <c r="BT618" s="407"/>
      <c r="BU618" s="412"/>
      <c r="BV618" s="46" t="str">
        <f t="shared" si="8"/>
        <v/>
      </c>
      <c r="BW618" s="46">
        <f t="shared" si="9"/>
        <v>0</v>
      </c>
      <c r="BX618" s="46">
        <f t="shared" si="10"/>
        <v>0</v>
      </c>
      <c r="BY618" s="43" t="str">
        <f t="shared" si="11"/>
        <v>WHO-STI Procedure (Service Provided)</v>
      </c>
      <c r="BZ618" s="46">
        <f t="shared" si="12"/>
        <v>1</v>
      </c>
      <c r="CA618" s="46" t="str">
        <f t="shared" si="13"/>
        <v/>
      </c>
      <c r="CB618" s="46">
        <f t="shared" si="14"/>
        <v>1</v>
      </c>
      <c r="CC618" s="46">
        <f t="shared" si="15"/>
        <v>1</v>
      </c>
      <c r="CD618" s="46">
        <f t="shared" si="16"/>
        <v>1</v>
      </c>
      <c r="CE618" s="46">
        <f t="shared" si="17"/>
        <v>0</v>
      </c>
      <c r="CF618" s="46">
        <f t="shared" si="18"/>
        <v>0</v>
      </c>
      <c r="CG618" s="46" t="str">
        <f ca="1">IFERROR(__xludf.DUMMYFUNCTION("if(OR(BH618="""",LEFT(BH618,2)=""LA""),"""",IMPORTXML(CONCATENATE(""https://loinc.org/"",BH618,""/""),""//span[@id='lcn']""))"),"")</f>
        <v/>
      </c>
      <c r="CH618" s="46"/>
      <c r="CI618" s="46"/>
      <c r="CJ618" s="46"/>
      <c r="CK618" s="46"/>
      <c r="CL618" s="46"/>
      <c r="CM618" s="46"/>
      <c r="CN618" s="46"/>
      <c r="CO618" s="46"/>
      <c r="CP618" s="46"/>
      <c r="CQ618" s="46"/>
      <c r="CR618" s="46"/>
      <c r="CS618" s="46"/>
      <c r="CT618" s="46"/>
      <c r="CU618" s="46"/>
    </row>
    <row r="619" spans="1:99" ht="12.75" customHeight="1">
      <c r="A619" s="409">
        <v>2051</v>
      </c>
      <c r="B619" s="399" t="s">
        <v>7170</v>
      </c>
      <c r="C619" s="399">
        <f t="shared" si="103"/>
        <v>2051</v>
      </c>
      <c r="D619" s="399" t="str">
        <f t="shared" si="104"/>
        <v>Other (specify)</v>
      </c>
      <c r="E619" s="399" t="str">
        <f t="shared" si="105"/>
        <v>Other (specify)</v>
      </c>
      <c r="F619" s="399" t="str">
        <f t="shared" si="111"/>
        <v>Data Element</v>
      </c>
      <c r="G619" s="400">
        <f t="shared" si="106"/>
        <v>37</v>
      </c>
      <c r="H619" s="400" t="str">
        <f t="shared" si="110"/>
        <v/>
      </c>
      <c r="I619" s="400"/>
      <c r="J619" s="400"/>
      <c r="K619" s="401" t="s">
        <v>5283</v>
      </c>
      <c r="L619" s="402" t="s">
        <v>5194</v>
      </c>
      <c r="M619" s="400"/>
      <c r="N619" s="675" t="s">
        <v>7095</v>
      </c>
      <c r="O619" s="437" t="s">
        <v>6260</v>
      </c>
      <c r="P619" s="437"/>
      <c r="Q619" s="407" t="s">
        <v>405</v>
      </c>
      <c r="R619" s="407"/>
      <c r="S619" s="407" t="s">
        <v>7025</v>
      </c>
      <c r="T619" s="407" t="s">
        <v>111</v>
      </c>
      <c r="U619" s="407"/>
      <c r="V619" s="407"/>
      <c r="W619" s="404"/>
      <c r="X619" s="407" t="s">
        <v>208</v>
      </c>
      <c r="Y619" s="407"/>
      <c r="Z619" s="407" t="s">
        <v>113</v>
      </c>
      <c r="AA619" s="407" t="s">
        <v>1889</v>
      </c>
      <c r="AB619" s="432" t="s">
        <v>7027</v>
      </c>
      <c r="AC619" s="421"/>
      <c r="AD619" s="421"/>
      <c r="AE619" s="408"/>
      <c r="AF619" s="407"/>
      <c r="AG619" s="407"/>
      <c r="AH619" s="399"/>
      <c r="AI619" s="400"/>
      <c r="AJ619" s="399" t="s">
        <v>1787</v>
      </c>
      <c r="AK619" s="409" t="s">
        <v>6840</v>
      </c>
      <c r="AL619" s="409"/>
      <c r="AM619" s="409" t="s">
        <v>3100</v>
      </c>
      <c r="AN619" s="409" t="s">
        <v>3101</v>
      </c>
      <c r="AO619" s="399" t="s">
        <v>1787</v>
      </c>
      <c r="AP619" s="440" t="s">
        <v>6838</v>
      </c>
      <c r="AQ619" s="409" t="s">
        <v>3424</v>
      </c>
      <c r="AR619" s="399"/>
      <c r="AS619" s="399"/>
      <c r="AT619" s="399"/>
      <c r="AU619" s="399"/>
      <c r="AV619" s="399" t="str">
        <f t="shared" si="107"/>
        <v/>
      </c>
      <c r="AW619" s="399"/>
      <c r="AX619" s="409" t="s">
        <v>5194</v>
      </c>
      <c r="AY619" s="399" t="str">
        <f t="shared" si="108"/>
        <v>"Other (specify)"-&gt;"Other (specify) - Clinical exam type "</v>
      </c>
      <c r="AZ619" s="399"/>
      <c r="BA619" s="409">
        <v>1</v>
      </c>
      <c r="BB619" s="399"/>
      <c r="BC619" s="399" t="s">
        <v>1787</v>
      </c>
      <c r="BD619" s="399" t="s">
        <v>1787</v>
      </c>
      <c r="BE619" s="411"/>
      <c r="BF619" s="411" t="s">
        <v>1787</v>
      </c>
      <c r="BG619" s="411"/>
      <c r="BH619" s="411"/>
      <c r="BI619" s="411"/>
      <c r="BJ619" s="409" t="s">
        <v>3106</v>
      </c>
      <c r="BK619" s="399" t="s">
        <v>1787</v>
      </c>
      <c r="BL619" s="399"/>
      <c r="BM619" s="399" t="s">
        <v>1787</v>
      </c>
      <c r="BN619" s="399" t="s">
        <v>1787</v>
      </c>
      <c r="BO619" s="399" t="s">
        <v>1787</v>
      </c>
      <c r="BP619" s="399" t="s">
        <v>1787</v>
      </c>
      <c r="BQ619" s="399" t="s">
        <v>1787</v>
      </c>
      <c r="BR619" s="399" t="s">
        <v>1787</v>
      </c>
      <c r="BS619" s="407"/>
      <c r="BT619" s="407"/>
      <c r="BU619" s="412"/>
      <c r="BV619" s="46" t="str">
        <f t="shared" si="8"/>
        <v>Procedure</v>
      </c>
      <c r="BW619" s="46" t="str">
        <f t="shared" si="9"/>
        <v/>
      </c>
      <c r="BX619" s="46" t="str">
        <f t="shared" si="10"/>
        <v>Procedure</v>
      </c>
      <c r="BY619" s="43" t="str">
        <f t="shared" si="11"/>
        <v>WHO-STI Procedure (Service Provided)</v>
      </c>
      <c r="BZ619" s="46">
        <f t="shared" si="12"/>
        <v>1</v>
      </c>
      <c r="CA619" s="46">
        <f t="shared" si="13"/>
        <v>0</v>
      </c>
      <c r="CB619" s="46">
        <f t="shared" si="14"/>
        <v>1</v>
      </c>
      <c r="CC619" s="46">
        <f t="shared" si="15"/>
        <v>1</v>
      </c>
      <c r="CD619" s="46">
        <f t="shared" si="16"/>
        <v>1</v>
      </c>
      <c r="CE619" s="46">
        <f t="shared" si="17"/>
        <v>0</v>
      </c>
      <c r="CF619" s="46">
        <f t="shared" si="18"/>
        <v>0</v>
      </c>
      <c r="CG619" s="46" t="str">
        <f ca="1">IFERROR(__xludf.DUMMYFUNCTION("if(OR(BH619="""",LEFT(BH619,2)=""LA""),"""",IMPORTXML(CONCATENATE(""https://loinc.org/"",BH619,""/""),""//span[@id='lcn']""))"),"")</f>
        <v/>
      </c>
      <c r="CH619" s="46"/>
      <c r="CI619" s="46"/>
      <c r="CJ619" s="46"/>
      <c r="CK619" s="46"/>
      <c r="CL619" s="46"/>
      <c r="CM619" s="46"/>
      <c r="CN619" s="46"/>
      <c r="CO619" s="46"/>
      <c r="CP619" s="46"/>
      <c r="CQ619" s="46"/>
      <c r="CR619" s="46"/>
      <c r="CS619" s="46"/>
      <c r="CT619" s="46"/>
      <c r="CU619" s="46"/>
    </row>
    <row r="620" spans="1:99" ht="12.75" customHeight="1">
      <c r="A620" s="409">
        <v>2052</v>
      </c>
      <c r="B620" s="399" t="s">
        <v>7173</v>
      </c>
      <c r="C620" s="399">
        <f t="shared" si="103"/>
        <v>2052</v>
      </c>
      <c r="D620" s="399" t="str">
        <f t="shared" si="104"/>
        <v>External genital</v>
      </c>
      <c r="E620" s="399" t="str">
        <f t="shared" si="105"/>
        <v>External genital</v>
      </c>
      <c r="F620" s="399" t="str">
        <f t="shared" si="111"/>
        <v>Data Element</v>
      </c>
      <c r="G620" s="400">
        <f t="shared" si="106"/>
        <v>21</v>
      </c>
      <c r="H620" s="400" t="str">
        <f t="shared" si="110"/>
        <v/>
      </c>
      <c r="I620" s="400"/>
      <c r="J620" s="400"/>
      <c r="K620" s="401" t="s">
        <v>5283</v>
      </c>
      <c r="L620" s="402" t="s">
        <v>5194</v>
      </c>
      <c r="M620" s="400"/>
      <c r="N620" s="675" t="s">
        <v>7175</v>
      </c>
      <c r="O620" s="404" t="s">
        <v>7127</v>
      </c>
      <c r="P620" s="404"/>
      <c r="Q620" s="404" t="s">
        <v>7176</v>
      </c>
      <c r="R620" s="404" t="s">
        <v>7177</v>
      </c>
      <c r="S620" s="437"/>
      <c r="T620" s="404" t="s">
        <v>3121</v>
      </c>
      <c r="U620" s="420" t="s">
        <v>3326</v>
      </c>
      <c r="V620" s="404"/>
      <c r="W620" s="404"/>
      <c r="X620" s="437" t="s">
        <v>113</v>
      </c>
      <c r="Y620" s="437" t="s">
        <v>7178</v>
      </c>
      <c r="Z620" s="404" t="s">
        <v>113</v>
      </c>
      <c r="AA620" s="437" t="s">
        <v>3178</v>
      </c>
      <c r="AB620" s="420" t="s">
        <v>7179</v>
      </c>
      <c r="AC620" s="426"/>
      <c r="AD620" s="426"/>
      <c r="AE620" s="420"/>
      <c r="AF620" s="404"/>
      <c r="AG620" s="404"/>
      <c r="AH620" s="399"/>
      <c r="AI620" s="400"/>
      <c r="AJ620" s="399" t="s">
        <v>1787</v>
      </c>
      <c r="AK620" s="440" t="s">
        <v>3410</v>
      </c>
      <c r="AL620" s="409" t="s">
        <v>3181</v>
      </c>
      <c r="AM620" s="409" t="s">
        <v>3100</v>
      </c>
      <c r="AN620" s="409" t="s">
        <v>3101</v>
      </c>
      <c r="AO620" s="399" t="s">
        <v>1787</v>
      </c>
      <c r="AP620" s="409" t="s">
        <v>6788</v>
      </c>
      <c r="AQ620" s="409" t="s">
        <v>3130</v>
      </c>
      <c r="AR620" s="399"/>
      <c r="AS620" s="409" t="s">
        <v>3413</v>
      </c>
      <c r="AT620" s="399"/>
      <c r="AU620" s="399"/>
      <c r="AV620" s="399" t="str">
        <f t="shared" si="107"/>
        <v/>
      </c>
      <c r="AW620" s="399"/>
      <c r="AX620" s="409" t="s">
        <v>5194</v>
      </c>
      <c r="AY620" s="399" t="str">
        <f t="shared" si="108"/>
        <v>"External genital"-&gt;"External genital exam"</v>
      </c>
      <c r="AZ620" s="399"/>
      <c r="BA620" s="409" t="s">
        <v>3125</v>
      </c>
      <c r="BB620" s="399"/>
      <c r="BC620" s="399" t="s">
        <v>1787</v>
      </c>
      <c r="BD620" s="409" t="s">
        <v>7182</v>
      </c>
      <c r="BE620" s="411"/>
      <c r="BF620" s="411" t="s">
        <v>1787</v>
      </c>
      <c r="BG620" s="434" t="s">
        <v>7133</v>
      </c>
      <c r="BH620" s="411"/>
      <c r="BI620" s="411"/>
      <c r="BJ620" s="399" t="s">
        <v>1787</v>
      </c>
      <c r="BK620" s="399" t="s">
        <v>1787</v>
      </c>
      <c r="BL620" s="399"/>
      <c r="BM620" s="399" t="s">
        <v>1787</v>
      </c>
      <c r="BN620" s="399" t="s">
        <v>1787</v>
      </c>
      <c r="BO620" s="399" t="s">
        <v>1787</v>
      </c>
      <c r="BP620" s="399" t="s">
        <v>1787</v>
      </c>
      <c r="BQ620" s="399" t="s">
        <v>1787</v>
      </c>
      <c r="BR620" s="399" t="s">
        <v>1787</v>
      </c>
      <c r="BS620" s="407"/>
      <c r="BT620" s="407"/>
      <c r="BU620" s="412"/>
      <c r="BV620" s="46" t="str">
        <f t="shared" si="8"/>
        <v>Observation</v>
      </c>
      <c r="BW620" s="46" t="str">
        <f t="shared" si="9"/>
        <v/>
      </c>
      <c r="BX620" s="46" t="str">
        <f t="shared" si="10"/>
        <v>Observation</v>
      </c>
      <c r="BY620" s="43" t="str">
        <f t="shared" si="11"/>
        <v>WHO-STI Observation (External Genital Examination)</v>
      </c>
      <c r="BZ620" s="46">
        <f t="shared" si="12"/>
        <v>1</v>
      </c>
      <c r="CA620" s="46">
        <f t="shared" si="13"/>
        <v>1</v>
      </c>
      <c r="CB620" s="46">
        <f t="shared" si="14"/>
        <v>1</v>
      </c>
      <c r="CC620" s="46">
        <f t="shared" si="15"/>
        <v>1</v>
      </c>
      <c r="CD620" s="46">
        <f t="shared" si="16"/>
        <v>1</v>
      </c>
      <c r="CE620" s="46">
        <f t="shared" si="17"/>
        <v>0</v>
      </c>
      <c r="CF620" s="46">
        <f t="shared" si="18"/>
        <v>0</v>
      </c>
      <c r="CG620" s="46" t="str">
        <f ca="1">IFERROR(__xludf.DUMMYFUNCTION("if(OR(BH620="""",LEFT(BH620,2)=""LA""),"""",IMPORTXML(CONCATENATE(""https://loinc.org/"",BH620,""/""),""//span[@id='lcn']""))"),"")</f>
        <v/>
      </c>
      <c r="CH620" s="46"/>
      <c r="CI620" s="46"/>
      <c r="CJ620" s="46"/>
      <c r="CK620" s="46"/>
      <c r="CL620" s="46"/>
      <c r="CM620" s="46"/>
      <c r="CN620" s="46"/>
      <c r="CO620" s="46"/>
      <c r="CP620" s="46"/>
      <c r="CQ620" s="46"/>
      <c r="CR620" s="46"/>
      <c r="CS620" s="46"/>
      <c r="CT620" s="46"/>
      <c r="CU620" s="46"/>
    </row>
    <row r="621" spans="1:99" ht="12.75" customHeight="1">
      <c r="A621" s="409">
        <v>2053</v>
      </c>
      <c r="B621" s="399" t="s">
        <v>2130</v>
      </c>
      <c r="C621" s="399">
        <f t="shared" si="103"/>
        <v>2053</v>
      </c>
      <c r="D621" s="399" t="e">
        <f t="shared" ca="1" si="104"/>
        <v>#NAME?</v>
      </c>
      <c r="E621" s="399" t="str">
        <f t="shared" si="105"/>
        <v>Normal</v>
      </c>
      <c r="F621" s="399" t="str">
        <f t="shared" si="111"/>
        <v>Input Option</v>
      </c>
      <c r="G621" s="400">
        <f t="shared" si="106"/>
        <v>13</v>
      </c>
      <c r="H621" s="399" t="str">
        <f t="shared" si="110"/>
        <v>External genital exam</v>
      </c>
      <c r="I621" s="400"/>
      <c r="J621" s="400"/>
      <c r="K621" s="401" t="s">
        <v>5283</v>
      </c>
      <c r="L621" s="402" t="s">
        <v>5194</v>
      </c>
      <c r="M621" s="400"/>
      <c r="N621" s="675" t="s">
        <v>7175</v>
      </c>
      <c r="O621" s="404" t="s">
        <v>7190</v>
      </c>
      <c r="P621" s="404"/>
      <c r="Q621" s="404"/>
      <c r="R621" s="404"/>
      <c r="S621" s="404"/>
      <c r="T621" s="404"/>
      <c r="U621" s="404"/>
      <c r="V621" s="659" t="s">
        <v>1471</v>
      </c>
      <c r="W621" s="404"/>
      <c r="X621" s="437"/>
      <c r="Y621" s="437"/>
      <c r="Z621" s="404" t="s">
        <v>113</v>
      </c>
      <c r="AA621" s="404" t="s">
        <v>1889</v>
      </c>
      <c r="AB621" s="406"/>
      <c r="AC621" s="404"/>
      <c r="AD621" s="404"/>
      <c r="AE621" s="406"/>
      <c r="AF621" s="404"/>
      <c r="AG621" s="404"/>
      <c r="AH621" s="399"/>
      <c r="AI621" s="400"/>
      <c r="AJ621" s="399" t="s">
        <v>1787</v>
      </c>
      <c r="AK621" s="399"/>
      <c r="AL621" s="399" t="s">
        <v>1787</v>
      </c>
      <c r="AM621" s="399"/>
      <c r="AN621" s="399" t="s">
        <v>1787</v>
      </c>
      <c r="AO621" s="399" t="s">
        <v>1787</v>
      </c>
      <c r="AP621" s="399"/>
      <c r="AQ621" s="409" t="s">
        <v>3130</v>
      </c>
      <c r="AR621" s="399"/>
      <c r="AS621" s="399"/>
      <c r="AT621" s="399"/>
      <c r="AU621" s="399"/>
      <c r="AV621" s="399" t="str">
        <f t="shared" si="107"/>
        <v/>
      </c>
      <c r="AW621" s="399"/>
      <c r="AX621" s="409" t="s">
        <v>5194</v>
      </c>
      <c r="AY621" s="399" t="e">
        <f t="shared" ca="1" si="108"/>
        <v>#NAME?</v>
      </c>
      <c r="AZ621" s="399"/>
      <c r="BA621" s="409" t="s">
        <v>3125</v>
      </c>
      <c r="BB621" s="399"/>
      <c r="BC621" s="399" t="s">
        <v>1787</v>
      </c>
      <c r="BD621" s="399" t="s">
        <v>1787</v>
      </c>
      <c r="BE621" s="411"/>
      <c r="BF621" s="411" t="s">
        <v>1787</v>
      </c>
      <c r="BG621" s="434" t="s">
        <v>7195</v>
      </c>
      <c r="BH621" s="411"/>
      <c r="BI621" s="411"/>
      <c r="BJ621" s="399" t="s">
        <v>1787</v>
      </c>
      <c r="BK621" s="399" t="s">
        <v>1787</v>
      </c>
      <c r="BL621" s="409" t="s">
        <v>3162</v>
      </c>
      <c r="BM621" s="399" t="s">
        <v>1787</v>
      </c>
      <c r="BN621" s="399" t="s">
        <v>1787</v>
      </c>
      <c r="BO621" s="399" t="s">
        <v>1787</v>
      </c>
      <c r="BP621" s="399" t="s">
        <v>1787</v>
      </c>
      <c r="BQ621" s="399" t="s">
        <v>1787</v>
      </c>
      <c r="BR621" s="399" t="s">
        <v>1787</v>
      </c>
      <c r="BS621" s="407"/>
      <c r="BT621" s="407"/>
      <c r="BU621" s="412"/>
      <c r="BV621" s="46" t="str">
        <f t="shared" si="8"/>
        <v/>
      </c>
      <c r="BW621" s="46">
        <f t="shared" si="9"/>
        <v>0</v>
      </c>
      <c r="BX621" s="46">
        <f t="shared" si="10"/>
        <v>0</v>
      </c>
      <c r="BY621" s="43" t="str">
        <f t="shared" si="11"/>
        <v>WHO-STI Observation (External Genital Examination)</v>
      </c>
      <c r="BZ621" s="46">
        <f t="shared" si="12"/>
        <v>1</v>
      </c>
      <c r="CA621" s="46" t="str">
        <f t="shared" si="13"/>
        <v/>
      </c>
      <c r="CB621" s="46">
        <f t="shared" si="14"/>
        <v>1</v>
      </c>
      <c r="CC621" s="46">
        <f t="shared" si="15"/>
        <v>1</v>
      </c>
      <c r="CD621" s="46">
        <f t="shared" si="16"/>
        <v>1</v>
      </c>
      <c r="CE621" s="46">
        <f t="shared" si="17"/>
        <v>0</v>
      </c>
      <c r="CF621" s="46">
        <f t="shared" si="18"/>
        <v>0</v>
      </c>
      <c r="CG621" s="46" t="str">
        <f ca="1">IFERROR(__xludf.DUMMYFUNCTION("if(OR(BH621="""",LEFT(BH621,2)=""LA""),"""",IMPORTXML(CONCATENATE(""https://loinc.org/"",BH621,""/""),""//span[@id='lcn']""))"),"")</f>
        <v/>
      </c>
      <c r="CH621" s="46"/>
      <c r="CI621" s="46"/>
      <c r="CJ621" s="46"/>
      <c r="CK621" s="46"/>
      <c r="CL621" s="46"/>
      <c r="CM621" s="46"/>
      <c r="CN621" s="46"/>
      <c r="CO621" s="46"/>
      <c r="CP621" s="46"/>
      <c r="CQ621" s="46"/>
      <c r="CR621" s="46"/>
      <c r="CS621" s="46"/>
      <c r="CT621" s="46"/>
      <c r="CU621" s="46"/>
    </row>
    <row r="622" spans="1:99" ht="12.75" customHeight="1">
      <c r="A622" s="409">
        <v>2054</v>
      </c>
      <c r="B622" s="399" t="s">
        <v>7201</v>
      </c>
      <c r="C622" s="399">
        <f t="shared" si="103"/>
        <v>2054</v>
      </c>
      <c r="D622" s="399" t="e">
        <f t="shared" ca="1" si="104"/>
        <v>#NAME?</v>
      </c>
      <c r="E622" s="399" t="str">
        <f t="shared" si="105"/>
        <v>Vulval discharge</v>
      </c>
      <c r="F622" s="399" t="str">
        <f t="shared" si="111"/>
        <v>Input Option</v>
      </c>
      <c r="G622" s="400">
        <f t="shared" si="106"/>
        <v>23</v>
      </c>
      <c r="H622" s="399" t="str">
        <f t="shared" si="110"/>
        <v>External genital exam</v>
      </c>
      <c r="I622" s="400"/>
      <c r="J622" s="400"/>
      <c r="K622" s="401" t="s">
        <v>5283</v>
      </c>
      <c r="L622" s="402" t="s">
        <v>5194</v>
      </c>
      <c r="M622" s="400"/>
      <c r="N622" s="675" t="s">
        <v>7175</v>
      </c>
      <c r="O622" s="404" t="s">
        <v>7202</v>
      </c>
      <c r="P622" s="404"/>
      <c r="Q622" s="404"/>
      <c r="R622" s="404"/>
      <c r="S622" s="437"/>
      <c r="T622" s="437"/>
      <c r="U622" s="437"/>
      <c r="V622" s="420" t="s">
        <v>7203</v>
      </c>
      <c r="W622" s="404"/>
      <c r="X622" s="404"/>
      <c r="Y622" s="437"/>
      <c r="Z622" s="404" t="s">
        <v>113</v>
      </c>
      <c r="AA622" s="437" t="s">
        <v>1889</v>
      </c>
      <c r="AB622" s="420" t="s">
        <v>7204</v>
      </c>
      <c r="AC622" s="404"/>
      <c r="AD622" s="404"/>
      <c r="AE622" s="406"/>
      <c r="AF622" s="404"/>
      <c r="AG622" s="404"/>
      <c r="AH622" s="399"/>
      <c r="AI622" s="400"/>
      <c r="AJ622" s="399" t="s">
        <v>1787</v>
      </c>
      <c r="AK622" s="399"/>
      <c r="AL622" s="399" t="s">
        <v>1787</v>
      </c>
      <c r="AM622" s="399"/>
      <c r="AN622" s="399" t="s">
        <v>1787</v>
      </c>
      <c r="AO622" s="399" t="s">
        <v>1787</v>
      </c>
      <c r="AP622" s="399"/>
      <c r="AQ622" s="409" t="s">
        <v>3130</v>
      </c>
      <c r="AR622" s="399"/>
      <c r="AS622" s="399"/>
      <c r="AT622" s="399"/>
      <c r="AU622" s="399"/>
      <c r="AV622" s="399" t="str">
        <f t="shared" si="107"/>
        <v/>
      </c>
      <c r="AW622" s="399"/>
      <c r="AX622" s="409" t="s">
        <v>5194</v>
      </c>
      <c r="AY622" s="399" t="e">
        <f t="shared" ca="1" si="108"/>
        <v>#NAME?</v>
      </c>
      <c r="AZ622" s="399"/>
      <c r="BA622" s="409" t="s">
        <v>3125</v>
      </c>
      <c r="BB622" s="399"/>
      <c r="BC622" s="399" t="s">
        <v>1787</v>
      </c>
      <c r="BD622" s="399" t="s">
        <v>1787</v>
      </c>
      <c r="BE622" s="434" t="s">
        <v>7205</v>
      </c>
      <c r="BF622" s="411" t="s">
        <v>1787</v>
      </c>
      <c r="BG622" s="434" t="s">
        <v>7206</v>
      </c>
      <c r="BH622" s="411"/>
      <c r="BI622" s="411"/>
      <c r="BJ622" s="399" t="s">
        <v>1787</v>
      </c>
      <c r="BK622" s="399" t="s">
        <v>1787</v>
      </c>
      <c r="BL622" s="399"/>
      <c r="BM622" s="409" t="s">
        <v>7207</v>
      </c>
      <c r="BN622" s="399" t="s">
        <v>1787</v>
      </c>
      <c r="BO622" s="399" t="s">
        <v>1787</v>
      </c>
      <c r="BP622" s="399" t="s">
        <v>1787</v>
      </c>
      <c r="BQ622" s="399" t="s">
        <v>1787</v>
      </c>
      <c r="BR622" s="399" t="s">
        <v>1787</v>
      </c>
      <c r="BS622" s="407"/>
      <c r="BT622" s="407"/>
      <c r="BU622" s="412"/>
      <c r="BV622" s="46" t="str">
        <f t="shared" si="8"/>
        <v/>
      </c>
      <c r="BW622" s="46">
        <f t="shared" si="9"/>
        <v>0</v>
      </c>
      <c r="BX622" s="46">
        <f t="shared" si="10"/>
        <v>0</v>
      </c>
      <c r="BY622" s="43" t="str">
        <f t="shared" si="11"/>
        <v>WHO-STI Observation (External Genital Examination)</v>
      </c>
      <c r="BZ622" s="46">
        <f t="shared" si="12"/>
        <v>1</v>
      </c>
      <c r="CA622" s="46" t="str">
        <f t="shared" si="13"/>
        <v/>
      </c>
      <c r="CB622" s="46">
        <f t="shared" si="14"/>
        <v>1</v>
      </c>
      <c r="CC622" s="46">
        <f t="shared" si="15"/>
        <v>1</v>
      </c>
      <c r="CD622" s="46">
        <f t="shared" si="16"/>
        <v>1</v>
      </c>
      <c r="CE622" s="46">
        <f t="shared" si="17"/>
        <v>0</v>
      </c>
      <c r="CF622" s="46">
        <f t="shared" si="18"/>
        <v>0</v>
      </c>
      <c r="CG622" s="46" t="str">
        <f ca="1">IFERROR(__xludf.DUMMYFUNCTION("if(OR(BH622="""",LEFT(BH622,2)=""LA""),"""",IMPORTXML(CONCATENATE(""https://loinc.org/"",BH622,""/""),""//span[@id='lcn']""))"),"")</f>
        <v/>
      </c>
      <c r="CH622" s="46"/>
      <c r="CI622" s="46"/>
      <c r="CJ622" s="46"/>
      <c r="CK622" s="46"/>
      <c r="CL622" s="46"/>
      <c r="CM622" s="46"/>
      <c r="CN622" s="46"/>
      <c r="CO622" s="46"/>
      <c r="CP622" s="46"/>
      <c r="CQ622" s="46"/>
      <c r="CR622" s="46"/>
      <c r="CS622" s="46"/>
      <c r="CT622" s="46"/>
      <c r="CU622" s="46"/>
    </row>
    <row r="623" spans="1:99" ht="12.75" customHeight="1">
      <c r="A623" s="409">
        <v>2055</v>
      </c>
      <c r="B623" s="399" t="s">
        <v>6772</v>
      </c>
      <c r="C623" s="399">
        <f t="shared" si="103"/>
        <v>2055</v>
      </c>
      <c r="D623" s="399" t="e">
        <f t="shared" ca="1" si="104"/>
        <v>#NAME?</v>
      </c>
      <c r="E623" s="399" t="str">
        <f t="shared" si="105"/>
        <v>Urethral discharge</v>
      </c>
      <c r="F623" s="399" t="str">
        <f t="shared" si="111"/>
        <v>Input Option</v>
      </c>
      <c r="G623" s="400">
        <f t="shared" si="106"/>
        <v>25</v>
      </c>
      <c r="H623" s="399" t="str">
        <f t="shared" si="110"/>
        <v>External genital exam</v>
      </c>
      <c r="I623" s="400"/>
      <c r="J623" s="400"/>
      <c r="K623" s="401" t="s">
        <v>5283</v>
      </c>
      <c r="L623" s="402" t="s">
        <v>5194</v>
      </c>
      <c r="M623" s="400"/>
      <c r="N623" s="675" t="s">
        <v>7175</v>
      </c>
      <c r="O623" s="404" t="s">
        <v>6773</v>
      </c>
      <c r="P623" s="404"/>
      <c r="Q623" s="404"/>
      <c r="R623" s="404"/>
      <c r="S623" s="437"/>
      <c r="T623" s="437"/>
      <c r="U623" s="437"/>
      <c r="V623" s="420" t="s">
        <v>6774</v>
      </c>
      <c r="W623" s="404"/>
      <c r="X623" s="404"/>
      <c r="Y623" s="437"/>
      <c r="Z623" s="404" t="s">
        <v>113</v>
      </c>
      <c r="AA623" s="437" t="s">
        <v>1889</v>
      </c>
      <c r="AB623" s="420" t="s">
        <v>7208</v>
      </c>
      <c r="AC623" s="404"/>
      <c r="AD623" s="404"/>
      <c r="AE623" s="406"/>
      <c r="AF623" s="404"/>
      <c r="AG623" s="404"/>
      <c r="AH623" s="399"/>
      <c r="AI623" s="400"/>
      <c r="AJ623" s="399" t="s">
        <v>1787</v>
      </c>
      <c r="AK623" s="399"/>
      <c r="AL623" s="399" t="s">
        <v>1787</v>
      </c>
      <c r="AM623" s="399"/>
      <c r="AN623" s="399" t="s">
        <v>1787</v>
      </c>
      <c r="AO623" s="399" t="s">
        <v>1787</v>
      </c>
      <c r="AP623" s="399"/>
      <c r="AQ623" s="409" t="s">
        <v>3130</v>
      </c>
      <c r="AR623" s="399"/>
      <c r="AS623" s="399"/>
      <c r="AT623" s="399"/>
      <c r="AU623" s="399"/>
      <c r="AV623" s="399" t="str">
        <f t="shared" si="107"/>
        <v/>
      </c>
      <c r="AW623" s="399"/>
      <c r="AX623" s="409" t="s">
        <v>5194</v>
      </c>
      <c r="AY623" s="399" t="e">
        <f t="shared" ca="1" si="108"/>
        <v>#NAME?</v>
      </c>
      <c r="AZ623" s="399"/>
      <c r="BA623" s="409" t="s">
        <v>3125</v>
      </c>
      <c r="BB623" s="399"/>
      <c r="BC623" s="399" t="s">
        <v>1787</v>
      </c>
      <c r="BD623" s="399" t="s">
        <v>1787</v>
      </c>
      <c r="BE623" s="411"/>
      <c r="BF623" s="411" t="s">
        <v>1787</v>
      </c>
      <c r="BG623" s="434" t="s">
        <v>6779</v>
      </c>
      <c r="BH623" s="411"/>
      <c r="BI623" s="411"/>
      <c r="BJ623" s="399" t="s">
        <v>1787</v>
      </c>
      <c r="BK623" s="399" t="s">
        <v>1787</v>
      </c>
      <c r="BL623" s="409" t="s">
        <v>3162</v>
      </c>
      <c r="BM623" s="399" t="s">
        <v>1787</v>
      </c>
      <c r="BN623" s="399" t="s">
        <v>1787</v>
      </c>
      <c r="BO623" s="399" t="s">
        <v>1787</v>
      </c>
      <c r="BP623" s="399" t="s">
        <v>1787</v>
      </c>
      <c r="BQ623" s="399" t="s">
        <v>1787</v>
      </c>
      <c r="BR623" s="399" t="s">
        <v>1787</v>
      </c>
      <c r="BS623" s="407"/>
      <c r="BT623" s="407"/>
      <c r="BU623" s="412"/>
      <c r="BV623" s="46" t="str">
        <f t="shared" si="8"/>
        <v/>
      </c>
      <c r="BW623" s="46">
        <f t="shared" si="9"/>
        <v>0</v>
      </c>
      <c r="BX623" s="46">
        <f t="shared" si="10"/>
        <v>0</v>
      </c>
      <c r="BY623" s="43" t="str">
        <f t="shared" si="11"/>
        <v>WHO-STI Observation (External Genital Examination)</v>
      </c>
      <c r="BZ623" s="46">
        <f t="shared" si="12"/>
        <v>1</v>
      </c>
      <c r="CA623" s="46" t="str">
        <f t="shared" si="13"/>
        <v/>
      </c>
      <c r="CB623" s="46">
        <f t="shared" si="14"/>
        <v>1</v>
      </c>
      <c r="CC623" s="46">
        <f t="shared" si="15"/>
        <v>1</v>
      </c>
      <c r="CD623" s="46">
        <f t="shared" si="16"/>
        <v>1</v>
      </c>
      <c r="CE623" s="46">
        <f t="shared" si="17"/>
        <v>0</v>
      </c>
      <c r="CF623" s="46">
        <f t="shared" si="18"/>
        <v>0</v>
      </c>
      <c r="CG623" s="46" t="str">
        <f ca="1">IFERROR(__xludf.DUMMYFUNCTION("if(OR(BH623="""",LEFT(BH623,2)=""LA""),"""",IMPORTXML(CONCATENATE(""https://loinc.org/"",BH623,""/""),""//span[@id='lcn']""))"),"")</f>
        <v/>
      </c>
      <c r="CH623" s="46"/>
      <c r="CI623" s="46"/>
      <c r="CJ623" s="46"/>
      <c r="CK623" s="46"/>
      <c r="CL623" s="46"/>
      <c r="CM623" s="46"/>
      <c r="CN623" s="46"/>
      <c r="CO623" s="46"/>
      <c r="CP623" s="46"/>
      <c r="CQ623" s="46"/>
      <c r="CR623" s="46"/>
      <c r="CS623" s="46"/>
      <c r="CT623" s="46"/>
      <c r="CU623" s="46"/>
    </row>
    <row r="624" spans="1:99" ht="12.75" customHeight="1">
      <c r="A624" s="409">
        <v>2056</v>
      </c>
      <c r="B624" s="399" t="s">
        <v>7209</v>
      </c>
      <c r="C624" s="399">
        <f t="shared" si="103"/>
        <v>2056</v>
      </c>
      <c r="D624" s="399" t="e">
        <f t="shared" ca="1" si="104"/>
        <v>#NAME?</v>
      </c>
      <c r="E624" s="399" t="str">
        <f t="shared" si="105"/>
        <v>Testicle swelling</v>
      </c>
      <c r="F624" s="399" t="str">
        <f t="shared" si="111"/>
        <v>Input Option</v>
      </c>
      <c r="G624" s="400">
        <f t="shared" si="106"/>
        <v>24</v>
      </c>
      <c r="H624" s="399" t="str">
        <f t="shared" si="110"/>
        <v>External genital exam</v>
      </c>
      <c r="I624" s="400"/>
      <c r="J624" s="400"/>
      <c r="K624" s="401" t="s">
        <v>5283</v>
      </c>
      <c r="L624" s="402" t="s">
        <v>5194</v>
      </c>
      <c r="M624" s="400"/>
      <c r="N624" s="675" t="s">
        <v>7175</v>
      </c>
      <c r="O624" s="404" t="s">
        <v>7210</v>
      </c>
      <c r="P624" s="404"/>
      <c r="Q624" s="404"/>
      <c r="R624" s="404"/>
      <c r="S624" s="437"/>
      <c r="T624" s="437"/>
      <c r="U624" s="437"/>
      <c r="V624" s="420" t="s">
        <v>7211</v>
      </c>
      <c r="W624" s="404"/>
      <c r="X624" s="404"/>
      <c r="Y624" s="437"/>
      <c r="Z624" s="404" t="s">
        <v>113</v>
      </c>
      <c r="AA624" s="437" t="s">
        <v>1889</v>
      </c>
      <c r="AB624" s="420" t="s">
        <v>7208</v>
      </c>
      <c r="AC624" s="404"/>
      <c r="AD624" s="404"/>
      <c r="AE624" s="406"/>
      <c r="AF624" s="404"/>
      <c r="AG624" s="404"/>
      <c r="AH624" s="399"/>
      <c r="AI624" s="400"/>
      <c r="AJ624" s="399" t="s">
        <v>1787</v>
      </c>
      <c r="AK624" s="399"/>
      <c r="AL624" s="399" t="s">
        <v>1787</v>
      </c>
      <c r="AM624" s="399"/>
      <c r="AN624" s="399" t="s">
        <v>1787</v>
      </c>
      <c r="AO624" s="399" t="s">
        <v>1787</v>
      </c>
      <c r="AP624" s="399"/>
      <c r="AQ624" s="409" t="s">
        <v>3130</v>
      </c>
      <c r="AR624" s="399"/>
      <c r="AS624" s="399"/>
      <c r="AT624" s="399"/>
      <c r="AU624" s="399"/>
      <c r="AV624" s="399" t="str">
        <f t="shared" si="107"/>
        <v/>
      </c>
      <c r="AW624" s="399"/>
      <c r="AX624" s="409" t="s">
        <v>5194</v>
      </c>
      <c r="AY624" s="399" t="e">
        <f t="shared" ca="1" si="108"/>
        <v>#NAME?</v>
      </c>
      <c r="AZ624" s="399"/>
      <c r="BA624" s="409" t="s">
        <v>3125</v>
      </c>
      <c r="BB624" s="399"/>
      <c r="BC624" s="399" t="s">
        <v>1787</v>
      </c>
      <c r="BD624" s="409" t="s">
        <v>3162</v>
      </c>
      <c r="BE624" s="411"/>
      <c r="BF624" s="411" t="s">
        <v>1787</v>
      </c>
      <c r="BG624" s="434" t="s">
        <v>7212</v>
      </c>
      <c r="BH624" s="411"/>
      <c r="BI624" s="411"/>
      <c r="BJ624" s="399" t="s">
        <v>1787</v>
      </c>
      <c r="BK624" s="399" t="s">
        <v>1787</v>
      </c>
      <c r="BL624" s="399"/>
      <c r="BM624" s="399" t="s">
        <v>1787</v>
      </c>
      <c r="BN624" s="399" t="s">
        <v>1787</v>
      </c>
      <c r="BO624" s="399" t="s">
        <v>1787</v>
      </c>
      <c r="BP624" s="399" t="s">
        <v>1787</v>
      </c>
      <c r="BQ624" s="399" t="s">
        <v>1787</v>
      </c>
      <c r="BR624" s="399" t="s">
        <v>1787</v>
      </c>
      <c r="BS624" s="407"/>
      <c r="BT624" s="407"/>
      <c r="BU624" s="412"/>
      <c r="BV624" s="46" t="str">
        <f t="shared" si="8"/>
        <v/>
      </c>
      <c r="BW624" s="46">
        <f t="shared" si="9"/>
        <v>0</v>
      </c>
      <c r="BX624" s="46">
        <f t="shared" si="10"/>
        <v>0</v>
      </c>
      <c r="BY624" s="43" t="str">
        <f t="shared" si="11"/>
        <v>WHO-STI Observation (External Genital Examination)</v>
      </c>
      <c r="BZ624" s="46">
        <f t="shared" si="12"/>
        <v>1</v>
      </c>
      <c r="CA624" s="46" t="str">
        <f t="shared" si="13"/>
        <v/>
      </c>
      <c r="CB624" s="46">
        <f t="shared" si="14"/>
        <v>1</v>
      </c>
      <c r="CC624" s="46">
        <f t="shared" si="15"/>
        <v>1</v>
      </c>
      <c r="CD624" s="46">
        <f t="shared" si="16"/>
        <v>1</v>
      </c>
      <c r="CE624" s="46">
        <f t="shared" si="17"/>
        <v>0</v>
      </c>
      <c r="CF624" s="46">
        <f t="shared" si="18"/>
        <v>0</v>
      </c>
      <c r="CG624" s="46" t="str">
        <f ca="1">IFERROR(__xludf.DUMMYFUNCTION("if(OR(BH624="""",LEFT(BH624,2)=""LA""),"""",IMPORTXML(CONCATENATE(""https://loinc.org/"",BH624,""/""),""//span[@id='lcn']""))"),"")</f>
        <v/>
      </c>
      <c r="CH624" s="46"/>
      <c r="CI624" s="46"/>
      <c r="CJ624" s="46"/>
      <c r="CK624" s="46"/>
      <c r="CL624" s="46"/>
      <c r="CM624" s="46"/>
      <c r="CN624" s="46"/>
      <c r="CO624" s="46"/>
      <c r="CP624" s="46"/>
      <c r="CQ624" s="46"/>
      <c r="CR624" s="46"/>
      <c r="CS624" s="46"/>
      <c r="CT624" s="46"/>
      <c r="CU624" s="46"/>
    </row>
    <row r="625" spans="1:99" ht="12.75" customHeight="1">
      <c r="A625" s="409">
        <v>2057</v>
      </c>
      <c r="B625" s="399" t="s">
        <v>7213</v>
      </c>
      <c r="C625" s="399">
        <f t="shared" si="103"/>
        <v>2057</v>
      </c>
      <c r="D625" s="399" t="e">
        <f t="shared" ca="1" si="104"/>
        <v>#NAME?</v>
      </c>
      <c r="E625" s="399" t="str">
        <f t="shared" si="105"/>
        <v>Vulval Redness (erythema)</v>
      </c>
      <c r="F625" s="399" t="str">
        <f t="shared" si="111"/>
        <v>Input Option</v>
      </c>
      <c r="G625" s="400">
        <f t="shared" si="106"/>
        <v>32</v>
      </c>
      <c r="H625" s="399" t="str">
        <f t="shared" si="110"/>
        <v>External genital exam</v>
      </c>
      <c r="I625" s="400"/>
      <c r="J625" s="400"/>
      <c r="K625" s="401" t="s">
        <v>5283</v>
      </c>
      <c r="L625" s="402" t="s">
        <v>5194</v>
      </c>
      <c r="M625" s="400"/>
      <c r="N625" s="675" t="s">
        <v>7175</v>
      </c>
      <c r="O625" s="404" t="s">
        <v>6691</v>
      </c>
      <c r="P625" s="404"/>
      <c r="Q625" s="404"/>
      <c r="R625" s="404"/>
      <c r="S625" s="437"/>
      <c r="T625" s="437"/>
      <c r="U625" s="437"/>
      <c r="V625" s="420" t="s">
        <v>7214</v>
      </c>
      <c r="W625" s="404"/>
      <c r="X625" s="404"/>
      <c r="Y625" s="437"/>
      <c r="Z625" s="404" t="s">
        <v>113</v>
      </c>
      <c r="AA625" s="437" t="s">
        <v>1889</v>
      </c>
      <c r="AB625" s="420" t="s">
        <v>7204</v>
      </c>
      <c r="AC625" s="404"/>
      <c r="AD625" s="404"/>
      <c r="AE625" s="406"/>
      <c r="AF625" s="404"/>
      <c r="AG625" s="404"/>
      <c r="AH625" s="399"/>
      <c r="AI625" s="400"/>
      <c r="AJ625" s="399" t="s">
        <v>1787</v>
      </c>
      <c r="AK625" s="399"/>
      <c r="AL625" s="399" t="s">
        <v>1787</v>
      </c>
      <c r="AM625" s="399"/>
      <c r="AN625" s="399" t="s">
        <v>1787</v>
      </c>
      <c r="AO625" s="399" t="s">
        <v>1787</v>
      </c>
      <c r="AP625" s="399"/>
      <c r="AQ625" s="409" t="s">
        <v>3130</v>
      </c>
      <c r="AR625" s="399"/>
      <c r="AS625" s="399"/>
      <c r="AT625" s="399"/>
      <c r="AU625" s="399"/>
      <c r="AV625" s="399" t="str">
        <f t="shared" si="107"/>
        <v/>
      </c>
      <c r="AW625" s="399"/>
      <c r="AX625" s="409" t="s">
        <v>5194</v>
      </c>
      <c r="AY625" s="399" t="e">
        <f t="shared" ca="1" si="108"/>
        <v>#NAME?</v>
      </c>
      <c r="AZ625" s="399"/>
      <c r="BA625" s="409" t="s">
        <v>3125</v>
      </c>
      <c r="BB625" s="399"/>
      <c r="BC625" s="399" t="s">
        <v>1787</v>
      </c>
      <c r="BD625" s="409" t="s">
        <v>3162</v>
      </c>
      <c r="BE625" s="411"/>
      <c r="BF625" s="411" t="s">
        <v>1787</v>
      </c>
      <c r="BG625" s="418" t="s">
        <v>6696</v>
      </c>
      <c r="BH625" s="411"/>
      <c r="BI625" s="411"/>
      <c r="BJ625" s="399" t="s">
        <v>1787</v>
      </c>
      <c r="BK625" s="399" t="s">
        <v>1787</v>
      </c>
      <c r="BL625" s="399"/>
      <c r="BM625" s="399" t="s">
        <v>1787</v>
      </c>
      <c r="BN625" s="399" t="s">
        <v>1787</v>
      </c>
      <c r="BO625" s="399" t="s">
        <v>1787</v>
      </c>
      <c r="BP625" s="399" t="s">
        <v>1787</v>
      </c>
      <c r="BQ625" s="399" t="s">
        <v>1787</v>
      </c>
      <c r="BR625" s="399" t="s">
        <v>1787</v>
      </c>
      <c r="BS625" s="407"/>
      <c r="BT625" s="407"/>
      <c r="BU625" s="412"/>
      <c r="BV625" s="46" t="str">
        <f t="shared" si="8"/>
        <v/>
      </c>
      <c r="BW625" s="46">
        <f t="shared" si="9"/>
        <v>0</v>
      </c>
      <c r="BX625" s="46">
        <f t="shared" si="10"/>
        <v>0</v>
      </c>
      <c r="BY625" s="43" t="str">
        <f t="shared" si="11"/>
        <v>WHO-STI Observation (External Genital Examination)</v>
      </c>
      <c r="BZ625" s="46">
        <f t="shared" si="12"/>
        <v>1</v>
      </c>
      <c r="CA625" s="46" t="str">
        <f t="shared" si="13"/>
        <v/>
      </c>
      <c r="CB625" s="46">
        <f t="shared" si="14"/>
        <v>1</v>
      </c>
      <c r="CC625" s="46">
        <f t="shared" si="15"/>
        <v>1</v>
      </c>
      <c r="CD625" s="46">
        <f t="shared" si="16"/>
        <v>1</v>
      </c>
      <c r="CE625" s="46">
        <f t="shared" si="17"/>
        <v>0</v>
      </c>
      <c r="CF625" s="46">
        <f t="shared" si="18"/>
        <v>0</v>
      </c>
      <c r="CG625" s="46" t="str">
        <f ca="1">IFERROR(__xludf.DUMMYFUNCTION("if(OR(BH625="""",LEFT(BH625,2)=""LA""),"""",IMPORTXML(CONCATENATE(""https://loinc.org/"",BH625,""/""),""//span[@id='lcn']""))"),"")</f>
        <v/>
      </c>
      <c r="CH625" s="46"/>
      <c r="CI625" s="46"/>
      <c r="CJ625" s="46"/>
      <c r="CK625" s="46"/>
      <c r="CL625" s="46"/>
      <c r="CM625" s="46"/>
      <c r="CN625" s="46"/>
      <c r="CO625" s="46"/>
      <c r="CP625" s="46"/>
      <c r="CQ625" s="46"/>
      <c r="CR625" s="46"/>
      <c r="CS625" s="46"/>
      <c r="CT625" s="46"/>
      <c r="CU625" s="46"/>
    </row>
    <row r="626" spans="1:99" ht="12.75" customHeight="1">
      <c r="A626" s="409">
        <v>2058</v>
      </c>
      <c r="B626" s="399" t="s">
        <v>7215</v>
      </c>
      <c r="C626" s="399">
        <f t="shared" si="103"/>
        <v>2058</v>
      </c>
      <c r="D626" s="399" t="e">
        <f t="shared" ca="1" si="104"/>
        <v>#NAME?</v>
      </c>
      <c r="E626" s="399" t="str">
        <f t="shared" si="105"/>
        <v>Ulcers</v>
      </c>
      <c r="F626" s="399" t="str">
        <f t="shared" si="111"/>
        <v>Input Option</v>
      </c>
      <c r="G626" s="400">
        <f t="shared" si="106"/>
        <v>13</v>
      </c>
      <c r="H626" s="399" t="str">
        <f t="shared" si="110"/>
        <v>External genital exam</v>
      </c>
      <c r="I626" s="400"/>
      <c r="J626" s="400"/>
      <c r="K626" s="401" t="s">
        <v>5283</v>
      </c>
      <c r="L626" s="402" t="s">
        <v>5194</v>
      </c>
      <c r="M626" s="400"/>
      <c r="N626" s="675" t="s">
        <v>7175</v>
      </c>
      <c r="O626" s="404" t="s">
        <v>6883</v>
      </c>
      <c r="P626" s="404"/>
      <c r="Q626" s="404"/>
      <c r="R626" s="404"/>
      <c r="S626" s="437"/>
      <c r="T626" s="437"/>
      <c r="U626" s="437"/>
      <c r="V626" s="404" t="s">
        <v>7216</v>
      </c>
      <c r="W626" s="404"/>
      <c r="X626" s="404"/>
      <c r="Y626" s="437"/>
      <c r="Z626" s="404" t="s">
        <v>113</v>
      </c>
      <c r="AA626" s="437" t="s">
        <v>1889</v>
      </c>
      <c r="AB626" s="406"/>
      <c r="AC626" s="404"/>
      <c r="AD626" s="404"/>
      <c r="AE626" s="406"/>
      <c r="AF626" s="404"/>
      <c r="AG626" s="404"/>
      <c r="AH626" s="399"/>
      <c r="AI626" s="400"/>
      <c r="AJ626" s="399" t="s">
        <v>1787</v>
      </c>
      <c r="AK626" s="399"/>
      <c r="AL626" s="399" t="s">
        <v>1787</v>
      </c>
      <c r="AM626" s="399"/>
      <c r="AN626" s="399" t="s">
        <v>1787</v>
      </c>
      <c r="AO626" s="399" t="s">
        <v>1787</v>
      </c>
      <c r="AP626" s="399"/>
      <c r="AQ626" s="409" t="s">
        <v>3130</v>
      </c>
      <c r="AR626" s="399"/>
      <c r="AS626" s="399"/>
      <c r="AT626" s="399"/>
      <c r="AU626" s="399"/>
      <c r="AV626" s="399" t="str">
        <f t="shared" si="107"/>
        <v/>
      </c>
      <c r="AW626" s="399"/>
      <c r="AX626" s="409" t="s">
        <v>5194</v>
      </c>
      <c r="AY626" s="399" t="e">
        <f t="shared" ca="1" si="108"/>
        <v>#NAME?</v>
      </c>
      <c r="AZ626" s="399"/>
      <c r="BA626" s="409" t="s">
        <v>3125</v>
      </c>
      <c r="BB626" s="415" t="s">
        <v>3131</v>
      </c>
      <c r="BC626" s="399" t="s">
        <v>7216</v>
      </c>
      <c r="BD626" s="399" t="s">
        <v>1787</v>
      </c>
      <c r="BE626" s="411"/>
      <c r="BF626" s="411" t="s">
        <v>1787</v>
      </c>
      <c r="BG626" s="411"/>
      <c r="BH626" s="411"/>
      <c r="BI626" s="411"/>
      <c r="BJ626" s="409" t="s">
        <v>4282</v>
      </c>
      <c r="BK626" s="399" t="s">
        <v>1787</v>
      </c>
      <c r="BL626" s="409" t="s">
        <v>3162</v>
      </c>
      <c r="BM626" s="409" t="s">
        <v>7217</v>
      </c>
      <c r="BN626" s="399" t="s">
        <v>1787</v>
      </c>
      <c r="BO626" s="399" t="s">
        <v>1787</v>
      </c>
      <c r="BP626" s="399" t="s">
        <v>1787</v>
      </c>
      <c r="BQ626" s="399" t="s">
        <v>1787</v>
      </c>
      <c r="BR626" s="399" t="s">
        <v>1787</v>
      </c>
      <c r="BS626" s="407"/>
      <c r="BT626" s="407"/>
      <c r="BU626" s="412"/>
      <c r="BV626" s="46" t="str">
        <f t="shared" si="8"/>
        <v/>
      </c>
      <c r="BW626" s="46">
        <f t="shared" si="9"/>
        <v>0</v>
      </c>
      <c r="BX626" s="46">
        <f t="shared" si="10"/>
        <v>0</v>
      </c>
      <c r="BY626" s="43" t="str">
        <f t="shared" si="11"/>
        <v>WHO-STI Observation (External Genital Examination)</v>
      </c>
      <c r="BZ626" s="46">
        <f t="shared" si="12"/>
        <v>1</v>
      </c>
      <c r="CA626" s="46" t="str">
        <f t="shared" si="13"/>
        <v/>
      </c>
      <c r="CB626" s="46">
        <f t="shared" si="14"/>
        <v>1</v>
      </c>
      <c r="CC626" s="46">
        <f t="shared" si="15"/>
        <v>1</v>
      </c>
      <c r="CD626" s="46">
        <f t="shared" si="16"/>
        <v>1</v>
      </c>
      <c r="CE626" s="46">
        <f t="shared" si="17"/>
        <v>0</v>
      </c>
      <c r="CF626" s="46">
        <f t="shared" si="18"/>
        <v>0</v>
      </c>
      <c r="CG626" s="46" t="str">
        <f ca="1">IFERROR(__xludf.DUMMYFUNCTION("if(OR(BH626="""",LEFT(BH626,2)=""LA""),"""",IMPORTXML(CONCATENATE(""https://loinc.org/"",BH626,""/""),""//span[@id='lcn']""))"),"")</f>
        <v/>
      </c>
      <c r="CH626" s="46"/>
      <c r="CI626" s="46"/>
      <c r="CJ626" s="46"/>
      <c r="CK626" s="46"/>
      <c r="CL626" s="46"/>
      <c r="CM626" s="46"/>
      <c r="CN626" s="46"/>
      <c r="CO626" s="46"/>
      <c r="CP626" s="46"/>
      <c r="CQ626" s="46"/>
      <c r="CR626" s="46"/>
      <c r="CS626" s="46"/>
      <c r="CT626" s="46"/>
      <c r="CU626" s="46"/>
    </row>
    <row r="627" spans="1:99" ht="12.75" customHeight="1">
      <c r="A627" s="409">
        <v>2059</v>
      </c>
      <c r="B627" s="399" t="s">
        <v>7218</v>
      </c>
      <c r="C627" s="399">
        <f t="shared" si="103"/>
        <v>2059</v>
      </c>
      <c r="D627" s="399" t="e">
        <f t="shared" ca="1" si="104"/>
        <v>#NAME?</v>
      </c>
      <c r="E627" s="399" t="str">
        <f t="shared" si="105"/>
        <v>Sores</v>
      </c>
      <c r="F627" s="399" t="str">
        <f t="shared" si="111"/>
        <v>Input Option</v>
      </c>
      <c r="G627" s="400">
        <f t="shared" si="106"/>
        <v>12</v>
      </c>
      <c r="H627" s="399" t="str">
        <f t="shared" si="110"/>
        <v>External genital exam</v>
      </c>
      <c r="I627" s="400"/>
      <c r="J627" s="400"/>
      <c r="K627" s="401" t="s">
        <v>5283</v>
      </c>
      <c r="L627" s="402" t="s">
        <v>5194</v>
      </c>
      <c r="M627" s="400"/>
      <c r="N627" s="675" t="s">
        <v>7175</v>
      </c>
      <c r="O627" s="404" t="s">
        <v>6858</v>
      </c>
      <c r="P627" s="404"/>
      <c r="Q627" s="404"/>
      <c r="R627" s="404"/>
      <c r="S627" s="437"/>
      <c r="T627" s="437"/>
      <c r="U627" s="437"/>
      <c r="V627" s="404" t="s">
        <v>7219</v>
      </c>
      <c r="W627" s="404"/>
      <c r="X627" s="404"/>
      <c r="Y627" s="437"/>
      <c r="Z627" s="404" t="s">
        <v>113</v>
      </c>
      <c r="AA627" s="437" t="s">
        <v>1889</v>
      </c>
      <c r="AB627" s="406"/>
      <c r="AC627" s="404"/>
      <c r="AD627" s="404"/>
      <c r="AE627" s="406"/>
      <c r="AF627" s="404"/>
      <c r="AG627" s="404"/>
      <c r="AH627" s="399"/>
      <c r="AI627" s="400"/>
      <c r="AJ627" s="399" t="s">
        <v>1787</v>
      </c>
      <c r="AK627" s="399"/>
      <c r="AL627" s="399" t="s">
        <v>1787</v>
      </c>
      <c r="AM627" s="399"/>
      <c r="AN627" s="399" t="s">
        <v>1787</v>
      </c>
      <c r="AO627" s="399" t="s">
        <v>1787</v>
      </c>
      <c r="AP627" s="399"/>
      <c r="AQ627" s="409" t="s">
        <v>3130</v>
      </c>
      <c r="AR627" s="399"/>
      <c r="AS627" s="399"/>
      <c r="AT627" s="399"/>
      <c r="AU627" s="399"/>
      <c r="AV627" s="399" t="str">
        <f t="shared" si="107"/>
        <v/>
      </c>
      <c r="AW627" s="399"/>
      <c r="AX627" s="409" t="s">
        <v>5194</v>
      </c>
      <c r="AY627" s="399" t="e">
        <f t="shared" ca="1" si="108"/>
        <v>#NAME?</v>
      </c>
      <c r="AZ627" s="399"/>
      <c r="BA627" s="409" t="s">
        <v>3125</v>
      </c>
      <c r="BB627" s="415" t="s">
        <v>3131</v>
      </c>
      <c r="BC627" s="399" t="s">
        <v>7219</v>
      </c>
      <c r="BD627" s="399" t="s">
        <v>1787</v>
      </c>
      <c r="BE627" s="411"/>
      <c r="BF627" s="411" t="s">
        <v>1787</v>
      </c>
      <c r="BG627" s="411"/>
      <c r="BH627" s="411"/>
      <c r="BI627" s="411"/>
      <c r="BJ627" s="409" t="s">
        <v>4282</v>
      </c>
      <c r="BK627" s="399" t="s">
        <v>1787</v>
      </c>
      <c r="BL627" s="409" t="s">
        <v>3162</v>
      </c>
      <c r="BM627" s="409" t="s">
        <v>7217</v>
      </c>
      <c r="BN627" s="399" t="s">
        <v>1787</v>
      </c>
      <c r="BO627" s="399" t="s">
        <v>1787</v>
      </c>
      <c r="BP627" s="399" t="s">
        <v>1787</v>
      </c>
      <c r="BQ627" s="399" t="s">
        <v>1787</v>
      </c>
      <c r="BR627" s="399" t="s">
        <v>1787</v>
      </c>
      <c r="BS627" s="407"/>
      <c r="BT627" s="407"/>
      <c r="BU627" s="412"/>
      <c r="BV627" s="46" t="str">
        <f t="shared" si="8"/>
        <v/>
      </c>
      <c r="BW627" s="46">
        <f t="shared" si="9"/>
        <v>0</v>
      </c>
      <c r="BX627" s="46">
        <f t="shared" si="10"/>
        <v>0</v>
      </c>
      <c r="BY627" s="43" t="str">
        <f t="shared" si="11"/>
        <v>WHO-STI Observation (External Genital Examination)</v>
      </c>
      <c r="BZ627" s="46">
        <f t="shared" si="12"/>
        <v>1</v>
      </c>
      <c r="CA627" s="46" t="str">
        <f t="shared" si="13"/>
        <v/>
      </c>
      <c r="CB627" s="46">
        <f t="shared" si="14"/>
        <v>1</v>
      </c>
      <c r="CC627" s="46">
        <f t="shared" si="15"/>
        <v>1</v>
      </c>
      <c r="CD627" s="46">
        <f t="shared" si="16"/>
        <v>1</v>
      </c>
      <c r="CE627" s="46">
        <f t="shared" si="17"/>
        <v>0</v>
      </c>
      <c r="CF627" s="46">
        <f t="shared" si="18"/>
        <v>0</v>
      </c>
      <c r="CG627" s="46" t="str">
        <f ca="1">IFERROR(__xludf.DUMMYFUNCTION("if(OR(BH627="""",LEFT(BH627,2)=""LA""),"""",IMPORTXML(CONCATENATE(""https://loinc.org/"",BH627,""/""),""//span[@id='lcn']""))"),"")</f>
        <v/>
      </c>
      <c r="CH627" s="46"/>
      <c r="CI627" s="46"/>
      <c r="CJ627" s="46"/>
      <c r="CK627" s="46"/>
      <c r="CL627" s="46"/>
      <c r="CM627" s="46"/>
      <c r="CN627" s="46"/>
      <c r="CO627" s="46"/>
      <c r="CP627" s="46"/>
      <c r="CQ627" s="46"/>
      <c r="CR627" s="46"/>
      <c r="CS627" s="46"/>
      <c r="CT627" s="46"/>
      <c r="CU627" s="46"/>
    </row>
    <row r="628" spans="1:99" ht="12.75" customHeight="1">
      <c r="A628" s="409">
        <v>2060</v>
      </c>
      <c r="B628" s="399" t="s">
        <v>7220</v>
      </c>
      <c r="C628" s="399">
        <f t="shared" si="103"/>
        <v>2060</v>
      </c>
      <c r="D628" s="399" t="e">
        <f t="shared" ca="1" si="104"/>
        <v>#NAME?</v>
      </c>
      <c r="E628" s="399" t="str">
        <f t="shared" si="105"/>
        <v>Blisters</v>
      </c>
      <c r="F628" s="399" t="str">
        <f t="shared" si="111"/>
        <v>Input Option</v>
      </c>
      <c r="G628" s="400">
        <f t="shared" si="106"/>
        <v>15</v>
      </c>
      <c r="H628" s="399" t="str">
        <f t="shared" si="110"/>
        <v>External genital exam</v>
      </c>
      <c r="I628" s="400"/>
      <c r="J628" s="400"/>
      <c r="K628" s="401" t="s">
        <v>5283</v>
      </c>
      <c r="L628" s="402" t="s">
        <v>5194</v>
      </c>
      <c r="M628" s="400"/>
      <c r="N628" s="675" t="s">
        <v>7175</v>
      </c>
      <c r="O628" s="404" t="s">
        <v>6834</v>
      </c>
      <c r="P628" s="404"/>
      <c r="Q628" s="404"/>
      <c r="R628" s="404"/>
      <c r="S628" s="437"/>
      <c r="T628" s="437"/>
      <c r="U628" s="437"/>
      <c r="V628" s="404" t="s">
        <v>7221</v>
      </c>
      <c r="W628" s="404"/>
      <c r="X628" s="404"/>
      <c r="Y628" s="437"/>
      <c r="Z628" s="404" t="s">
        <v>113</v>
      </c>
      <c r="AA628" s="437" t="s">
        <v>1889</v>
      </c>
      <c r="AB628" s="406"/>
      <c r="AC628" s="404"/>
      <c r="AD628" s="404"/>
      <c r="AE628" s="406"/>
      <c r="AF628" s="404"/>
      <c r="AG628" s="404"/>
      <c r="AH628" s="399"/>
      <c r="AI628" s="400"/>
      <c r="AJ628" s="399" t="s">
        <v>1787</v>
      </c>
      <c r="AK628" s="399"/>
      <c r="AL628" s="399" t="s">
        <v>1787</v>
      </c>
      <c r="AM628" s="399"/>
      <c r="AN628" s="399" t="s">
        <v>1787</v>
      </c>
      <c r="AO628" s="399" t="s">
        <v>1787</v>
      </c>
      <c r="AP628" s="399"/>
      <c r="AQ628" s="409" t="s">
        <v>3130</v>
      </c>
      <c r="AR628" s="399"/>
      <c r="AS628" s="399"/>
      <c r="AT628" s="399"/>
      <c r="AU628" s="399"/>
      <c r="AV628" s="399" t="str">
        <f t="shared" si="107"/>
        <v/>
      </c>
      <c r="AW628" s="399"/>
      <c r="AX628" s="409" t="s">
        <v>5194</v>
      </c>
      <c r="AY628" s="399" t="e">
        <f t="shared" ca="1" si="108"/>
        <v>#NAME?</v>
      </c>
      <c r="AZ628" s="399"/>
      <c r="BA628" s="409" t="s">
        <v>3125</v>
      </c>
      <c r="BB628" s="399"/>
      <c r="BC628" s="399" t="s">
        <v>1787</v>
      </c>
      <c r="BD628" s="409" t="s">
        <v>3162</v>
      </c>
      <c r="BE628" s="411" t="s">
        <v>7222</v>
      </c>
      <c r="BF628" s="411" t="s">
        <v>1787</v>
      </c>
      <c r="BG628" s="411"/>
      <c r="BH628" s="411"/>
      <c r="BI628" s="411"/>
      <c r="BJ628" s="399" t="s">
        <v>1787</v>
      </c>
      <c r="BK628" s="399" t="s">
        <v>1787</v>
      </c>
      <c r="BL628" s="399"/>
      <c r="BM628" s="399" t="s">
        <v>1787</v>
      </c>
      <c r="BN628" s="399" t="s">
        <v>1787</v>
      </c>
      <c r="BO628" s="399" t="s">
        <v>1787</v>
      </c>
      <c r="BP628" s="399" t="s">
        <v>1787</v>
      </c>
      <c r="BQ628" s="399" t="s">
        <v>1787</v>
      </c>
      <c r="BR628" s="399" t="s">
        <v>1787</v>
      </c>
      <c r="BS628" s="407"/>
      <c r="BT628" s="407"/>
      <c r="BU628" s="412"/>
      <c r="BV628" s="46" t="str">
        <f t="shared" si="8"/>
        <v/>
      </c>
      <c r="BW628" s="46">
        <f t="shared" si="9"/>
        <v>0</v>
      </c>
      <c r="BX628" s="46">
        <f t="shared" si="10"/>
        <v>0</v>
      </c>
      <c r="BY628" s="43" t="str">
        <f t="shared" si="11"/>
        <v>WHO-STI Observation (External Genital Examination)</v>
      </c>
      <c r="BZ628" s="46">
        <f t="shared" si="12"/>
        <v>1</v>
      </c>
      <c r="CA628" s="46" t="str">
        <f t="shared" si="13"/>
        <v/>
      </c>
      <c r="CB628" s="46">
        <f t="shared" si="14"/>
        <v>1</v>
      </c>
      <c r="CC628" s="46">
        <f t="shared" si="15"/>
        <v>1</v>
      </c>
      <c r="CD628" s="46">
        <f t="shared" si="16"/>
        <v>1</v>
      </c>
      <c r="CE628" s="46">
        <f t="shared" si="17"/>
        <v>0</v>
      </c>
      <c r="CF628" s="46">
        <f t="shared" si="18"/>
        <v>0</v>
      </c>
      <c r="CG628" s="46" t="str">
        <f ca="1">IFERROR(__xludf.DUMMYFUNCTION("if(OR(BH628="""",LEFT(BH628,2)=""LA""),"""",IMPORTXML(CONCATENATE(""https://loinc.org/"",BH628,""/""),""//span[@id='lcn']""))"),"")</f>
        <v/>
      </c>
      <c r="CH628" s="46"/>
      <c r="CI628" s="46"/>
      <c r="CJ628" s="46"/>
      <c r="CK628" s="46"/>
      <c r="CL628" s="46"/>
      <c r="CM628" s="46"/>
      <c r="CN628" s="46"/>
      <c r="CO628" s="46"/>
      <c r="CP628" s="46"/>
      <c r="CQ628" s="46"/>
      <c r="CR628" s="46"/>
      <c r="CS628" s="46"/>
      <c r="CT628" s="46"/>
      <c r="CU628" s="46"/>
    </row>
    <row r="629" spans="1:99" ht="12.75" customHeight="1">
      <c r="A629" s="409">
        <v>2061</v>
      </c>
      <c r="B629" s="399" t="s">
        <v>6799</v>
      </c>
      <c r="C629" s="399">
        <f t="shared" si="103"/>
        <v>2061</v>
      </c>
      <c r="D629" s="399" t="e">
        <f t="shared" ca="1" si="104"/>
        <v>#NAME?</v>
      </c>
      <c r="E629" s="399" t="str">
        <f t="shared" si="105"/>
        <v>Groin swelling</v>
      </c>
      <c r="F629" s="399" t="str">
        <f t="shared" si="111"/>
        <v>Input Option</v>
      </c>
      <c r="G629" s="400">
        <f t="shared" si="106"/>
        <v>21</v>
      </c>
      <c r="H629" s="399" t="str">
        <f t="shared" si="110"/>
        <v>External genital exam</v>
      </c>
      <c r="I629" s="400"/>
      <c r="J629" s="400"/>
      <c r="K629" s="401" t="s">
        <v>5283</v>
      </c>
      <c r="L629" s="402" t="s">
        <v>5194</v>
      </c>
      <c r="M629" s="400"/>
      <c r="N629" s="675" t="s">
        <v>7175</v>
      </c>
      <c r="O629" s="404" t="s">
        <v>6804</v>
      </c>
      <c r="P629" s="404"/>
      <c r="Q629" s="404"/>
      <c r="R629" s="404"/>
      <c r="S629" s="437"/>
      <c r="T629" s="437"/>
      <c r="U629" s="437"/>
      <c r="V629" s="404" t="s">
        <v>6807</v>
      </c>
      <c r="W629" s="404"/>
      <c r="X629" s="404"/>
      <c r="Y629" s="437"/>
      <c r="Z629" s="404" t="s">
        <v>113</v>
      </c>
      <c r="AA629" s="437" t="s">
        <v>1889</v>
      </c>
      <c r="AB629" s="406"/>
      <c r="AC629" s="404"/>
      <c r="AD629" s="404"/>
      <c r="AE629" s="406"/>
      <c r="AF629" s="404"/>
      <c r="AG629" s="404"/>
      <c r="AH629" s="399"/>
      <c r="AI629" s="400"/>
      <c r="AJ629" s="399" t="s">
        <v>1787</v>
      </c>
      <c r="AK629" s="399"/>
      <c r="AL629" s="399" t="s">
        <v>1787</v>
      </c>
      <c r="AM629" s="399"/>
      <c r="AN629" s="399" t="s">
        <v>1787</v>
      </c>
      <c r="AO629" s="399" t="s">
        <v>1787</v>
      </c>
      <c r="AP629" s="399"/>
      <c r="AQ629" s="409" t="s">
        <v>3130</v>
      </c>
      <c r="AR629" s="399"/>
      <c r="AS629" s="399"/>
      <c r="AT629" s="399"/>
      <c r="AU629" s="399"/>
      <c r="AV629" s="399" t="str">
        <f t="shared" si="107"/>
        <v/>
      </c>
      <c r="AW629" s="399"/>
      <c r="AX629" s="409" t="s">
        <v>5194</v>
      </c>
      <c r="AY629" s="399" t="e">
        <f t="shared" ca="1" si="108"/>
        <v>#NAME?</v>
      </c>
      <c r="AZ629" s="399"/>
      <c r="BA629" s="409" t="s">
        <v>3125</v>
      </c>
      <c r="BB629" s="399"/>
      <c r="BC629" s="399" t="s">
        <v>1787</v>
      </c>
      <c r="BD629" s="409" t="s">
        <v>7223</v>
      </c>
      <c r="BE629" s="411"/>
      <c r="BF629" s="411" t="s">
        <v>1787</v>
      </c>
      <c r="BG629" s="418" t="s">
        <v>6814</v>
      </c>
      <c r="BH629" s="411"/>
      <c r="BI629" s="411"/>
      <c r="BJ629" s="399" t="s">
        <v>1787</v>
      </c>
      <c r="BK629" s="399" t="s">
        <v>1787</v>
      </c>
      <c r="BL629" s="399"/>
      <c r="BM629" s="399" t="s">
        <v>1787</v>
      </c>
      <c r="BN629" s="399" t="s">
        <v>1787</v>
      </c>
      <c r="BO629" s="399" t="s">
        <v>1787</v>
      </c>
      <c r="BP629" s="399" t="s">
        <v>1787</v>
      </c>
      <c r="BQ629" s="399" t="s">
        <v>1787</v>
      </c>
      <c r="BR629" s="399" t="s">
        <v>1787</v>
      </c>
      <c r="BS629" s="407"/>
      <c r="BT629" s="407"/>
      <c r="BU629" s="412"/>
      <c r="BV629" s="46" t="str">
        <f t="shared" si="8"/>
        <v/>
      </c>
      <c r="BW629" s="46">
        <f t="shared" si="9"/>
        <v>0</v>
      </c>
      <c r="BX629" s="46">
        <f t="shared" si="10"/>
        <v>0</v>
      </c>
      <c r="BY629" s="43" t="str">
        <f t="shared" si="11"/>
        <v>WHO-STI Observation (External Genital Examination)</v>
      </c>
      <c r="BZ629" s="46">
        <f t="shared" si="12"/>
        <v>1</v>
      </c>
      <c r="CA629" s="46" t="str">
        <f t="shared" si="13"/>
        <v/>
      </c>
      <c r="CB629" s="46">
        <f t="shared" si="14"/>
        <v>1</v>
      </c>
      <c r="CC629" s="46">
        <f t="shared" si="15"/>
        <v>1</v>
      </c>
      <c r="CD629" s="46">
        <f t="shared" si="16"/>
        <v>1</v>
      </c>
      <c r="CE629" s="46">
        <f t="shared" si="17"/>
        <v>0</v>
      </c>
      <c r="CF629" s="46">
        <f t="shared" si="18"/>
        <v>0</v>
      </c>
      <c r="CG629" s="46" t="str">
        <f ca="1">IFERROR(__xludf.DUMMYFUNCTION("if(OR(BH629="""",LEFT(BH629,2)=""LA""),"""",IMPORTXML(CONCATENATE(""https://loinc.org/"",BH629,""/""),""//span[@id='lcn']""))"),"")</f>
        <v/>
      </c>
      <c r="CH629" s="46"/>
      <c r="CI629" s="46"/>
      <c r="CJ629" s="46"/>
      <c r="CK629" s="46"/>
      <c r="CL629" s="46"/>
      <c r="CM629" s="46"/>
      <c r="CN629" s="46"/>
      <c r="CO629" s="46"/>
      <c r="CP629" s="46"/>
      <c r="CQ629" s="46"/>
      <c r="CR629" s="46"/>
      <c r="CS629" s="46"/>
      <c r="CT629" s="46"/>
      <c r="CU629" s="46"/>
    </row>
    <row r="630" spans="1:99" ht="12.75" customHeight="1">
      <c r="A630" s="409">
        <v>2062</v>
      </c>
      <c r="B630" s="399" t="s">
        <v>6783</v>
      </c>
      <c r="C630" s="399">
        <f t="shared" si="103"/>
        <v>2062</v>
      </c>
      <c r="D630" s="399" t="e">
        <f t="shared" ca="1" si="104"/>
        <v>#NAME?</v>
      </c>
      <c r="E630" s="399" t="str">
        <f t="shared" si="105"/>
        <v>Groin lumps</v>
      </c>
      <c r="F630" s="399" t="str">
        <f t="shared" si="111"/>
        <v>Input Option</v>
      </c>
      <c r="G630" s="400">
        <f t="shared" si="106"/>
        <v>18</v>
      </c>
      <c r="H630" s="399" t="str">
        <f t="shared" si="110"/>
        <v>External genital exam</v>
      </c>
      <c r="I630" s="400"/>
      <c r="J630" s="400"/>
      <c r="K630" s="401" t="s">
        <v>5283</v>
      </c>
      <c r="L630" s="402" t="s">
        <v>5194</v>
      </c>
      <c r="M630" s="400"/>
      <c r="N630" s="675" t="s">
        <v>7175</v>
      </c>
      <c r="O630" s="404" t="s">
        <v>6784</v>
      </c>
      <c r="P630" s="404"/>
      <c r="Q630" s="404"/>
      <c r="R630" s="404"/>
      <c r="S630" s="437"/>
      <c r="T630" s="437"/>
      <c r="U630" s="437"/>
      <c r="V630" s="404" t="s">
        <v>6785</v>
      </c>
      <c r="W630" s="404"/>
      <c r="X630" s="404"/>
      <c r="Y630" s="437"/>
      <c r="Z630" s="404" t="s">
        <v>113</v>
      </c>
      <c r="AA630" s="437" t="s">
        <v>1889</v>
      </c>
      <c r="AB630" s="406"/>
      <c r="AC630" s="404"/>
      <c r="AD630" s="404"/>
      <c r="AE630" s="406"/>
      <c r="AF630" s="404"/>
      <c r="AG630" s="404"/>
      <c r="AH630" s="399"/>
      <c r="AI630" s="400"/>
      <c r="AJ630" s="399" t="s">
        <v>1787</v>
      </c>
      <c r="AK630" s="399"/>
      <c r="AL630" s="399" t="s">
        <v>1787</v>
      </c>
      <c r="AM630" s="399"/>
      <c r="AN630" s="399" t="s">
        <v>1787</v>
      </c>
      <c r="AO630" s="399" t="s">
        <v>1787</v>
      </c>
      <c r="AP630" s="399"/>
      <c r="AQ630" s="409" t="s">
        <v>3130</v>
      </c>
      <c r="AR630" s="399"/>
      <c r="AS630" s="399"/>
      <c r="AT630" s="399"/>
      <c r="AU630" s="399"/>
      <c r="AV630" s="399" t="str">
        <f t="shared" si="107"/>
        <v/>
      </c>
      <c r="AW630" s="399"/>
      <c r="AX630" s="409" t="s">
        <v>5194</v>
      </c>
      <c r="AY630" s="399" t="e">
        <f t="shared" ca="1" si="108"/>
        <v>#NAME?</v>
      </c>
      <c r="AZ630" s="399"/>
      <c r="BA630" s="409" t="s">
        <v>3125</v>
      </c>
      <c r="BB630" s="399"/>
      <c r="BC630" s="399" t="s">
        <v>1787</v>
      </c>
      <c r="BD630" s="399" t="s">
        <v>1787</v>
      </c>
      <c r="BE630" s="411"/>
      <c r="BF630" s="411" t="s">
        <v>1787</v>
      </c>
      <c r="BG630" s="434" t="s">
        <v>6795</v>
      </c>
      <c r="BH630" s="411"/>
      <c r="BI630" s="411"/>
      <c r="BJ630" s="399" t="s">
        <v>1787</v>
      </c>
      <c r="BK630" s="399" t="s">
        <v>1787</v>
      </c>
      <c r="BL630" s="409" t="s">
        <v>3162</v>
      </c>
      <c r="BM630" s="399" t="s">
        <v>1787</v>
      </c>
      <c r="BN630" s="399" t="s">
        <v>1787</v>
      </c>
      <c r="BO630" s="399" t="s">
        <v>1787</v>
      </c>
      <c r="BP630" s="399" t="s">
        <v>1787</v>
      </c>
      <c r="BQ630" s="399" t="s">
        <v>1787</v>
      </c>
      <c r="BR630" s="399" t="s">
        <v>1787</v>
      </c>
      <c r="BS630" s="407"/>
      <c r="BT630" s="407"/>
      <c r="BU630" s="412"/>
      <c r="BV630" s="46" t="str">
        <f t="shared" si="8"/>
        <v/>
      </c>
      <c r="BW630" s="46">
        <f t="shared" si="9"/>
        <v>0</v>
      </c>
      <c r="BX630" s="46">
        <f t="shared" si="10"/>
        <v>0</v>
      </c>
      <c r="BY630" s="43" t="str">
        <f t="shared" si="11"/>
        <v>WHO-STI Observation (External Genital Examination)</v>
      </c>
      <c r="BZ630" s="46">
        <f t="shared" si="12"/>
        <v>1</v>
      </c>
      <c r="CA630" s="46" t="str">
        <f t="shared" si="13"/>
        <v/>
      </c>
      <c r="CB630" s="46">
        <f t="shared" si="14"/>
        <v>1</v>
      </c>
      <c r="CC630" s="46">
        <f t="shared" si="15"/>
        <v>1</v>
      </c>
      <c r="CD630" s="46">
        <f t="shared" si="16"/>
        <v>1</v>
      </c>
      <c r="CE630" s="46">
        <f t="shared" si="17"/>
        <v>0</v>
      </c>
      <c r="CF630" s="46">
        <f t="shared" si="18"/>
        <v>0</v>
      </c>
      <c r="CG630" s="46" t="str">
        <f ca="1">IFERROR(__xludf.DUMMYFUNCTION("if(OR(BH630="""",LEFT(BH630,2)=""LA""),"""",IMPORTXML(CONCATENATE(""https://loinc.org/"",BH630,""/""),""//span[@id='lcn']""))"),"")</f>
        <v/>
      </c>
      <c r="CH630" s="46"/>
      <c r="CI630" s="46"/>
      <c r="CJ630" s="46"/>
      <c r="CK630" s="46"/>
      <c r="CL630" s="46"/>
      <c r="CM630" s="46"/>
      <c r="CN630" s="46"/>
      <c r="CO630" s="46"/>
      <c r="CP630" s="46"/>
      <c r="CQ630" s="46"/>
      <c r="CR630" s="46"/>
      <c r="CS630" s="46"/>
      <c r="CT630" s="46"/>
      <c r="CU630" s="46"/>
    </row>
    <row r="631" spans="1:99" ht="12.75" customHeight="1">
      <c r="A631" s="409">
        <v>2063</v>
      </c>
      <c r="B631" s="399" t="s">
        <v>535</v>
      </c>
      <c r="C631" s="399">
        <f t="shared" si="103"/>
        <v>2063</v>
      </c>
      <c r="D631" s="399" t="e">
        <f t="shared" ca="1" si="104"/>
        <v>#NAME?</v>
      </c>
      <c r="E631" s="399" t="str">
        <f t="shared" si="105"/>
        <v>Other (specify)</v>
      </c>
      <c r="F631" s="399" t="str">
        <f t="shared" si="111"/>
        <v>Input Option</v>
      </c>
      <c r="G631" s="400">
        <f t="shared" si="106"/>
        <v>22</v>
      </c>
      <c r="H631" s="399" t="str">
        <f t="shared" si="110"/>
        <v>External genital exam</v>
      </c>
      <c r="I631" s="400"/>
      <c r="J631" s="400"/>
      <c r="K631" s="401" t="s">
        <v>5283</v>
      </c>
      <c r="L631" s="402" t="s">
        <v>5194</v>
      </c>
      <c r="M631" s="400"/>
      <c r="N631" s="675" t="s">
        <v>7175</v>
      </c>
      <c r="O631" s="404" t="s">
        <v>6258</v>
      </c>
      <c r="P631" s="404"/>
      <c r="Q631" s="404"/>
      <c r="R631" s="404"/>
      <c r="S631" s="437"/>
      <c r="T631" s="437"/>
      <c r="U631" s="437"/>
      <c r="V631" s="420" t="s">
        <v>405</v>
      </c>
      <c r="W631" s="404"/>
      <c r="X631" s="404"/>
      <c r="Y631" s="437"/>
      <c r="Z631" s="404" t="s">
        <v>113</v>
      </c>
      <c r="AA631" s="404" t="s">
        <v>1889</v>
      </c>
      <c r="AB631" s="406"/>
      <c r="AC631" s="404"/>
      <c r="AD631" s="404"/>
      <c r="AE631" s="406"/>
      <c r="AF631" s="404"/>
      <c r="AG631" s="404"/>
      <c r="AH631" s="399"/>
      <c r="AI631" s="400"/>
      <c r="AJ631" s="399" t="s">
        <v>1787</v>
      </c>
      <c r="AK631" s="399"/>
      <c r="AL631" s="399" t="s">
        <v>1787</v>
      </c>
      <c r="AM631" s="399"/>
      <c r="AN631" s="399" t="s">
        <v>1787</v>
      </c>
      <c r="AO631" s="399" t="s">
        <v>1787</v>
      </c>
      <c r="AP631" s="399"/>
      <c r="AQ631" s="409" t="s">
        <v>3130</v>
      </c>
      <c r="AR631" s="399"/>
      <c r="AS631" s="399"/>
      <c r="AT631" s="399"/>
      <c r="AU631" s="399"/>
      <c r="AV631" s="399" t="str">
        <f t="shared" si="107"/>
        <v/>
      </c>
      <c r="AW631" s="399"/>
      <c r="AX631" s="409" t="s">
        <v>5194</v>
      </c>
      <c r="AY631" s="399" t="e">
        <f t="shared" ca="1" si="108"/>
        <v>#NAME?</v>
      </c>
      <c r="AZ631" s="399"/>
      <c r="BA631" s="409">
        <v>1</v>
      </c>
      <c r="BB631" s="415" t="s">
        <v>3131</v>
      </c>
      <c r="BC631" s="403" t="s">
        <v>1387</v>
      </c>
      <c r="BD631" s="399" t="s">
        <v>1787</v>
      </c>
      <c r="BE631" s="411"/>
      <c r="BF631" s="411" t="s">
        <v>1787</v>
      </c>
      <c r="BG631" s="411"/>
      <c r="BH631" s="411"/>
      <c r="BI631" s="411"/>
      <c r="BJ631" s="399" t="s">
        <v>1787</v>
      </c>
      <c r="BK631" s="399" t="s">
        <v>1787</v>
      </c>
      <c r="BL631" s="399"/>
      <c r="BM631" s="399" t="s">
        <v>1787</v>
      </c>
      <c r="BN631" s="399" t="s">
        <v>1787</v>
      </c>
      <c r="BO631" s="399" t="s">
        <v>1787</v>
      </c>
      <c r="BP631" s="399" t="s">
        <v>1787</v>
      </c>
      <c r="BQ631" s="399" t="s">
        <v>1787</v>
      </c>
      <c r="BR631" s="399" t="s">
        <v>1787</v>
      </c>
      <c r="BS631" s="407"/>
      <c r="BT631" s="407"/>
      <c r="BU631" s="412"/>
      <c r="BV631" s="46" t="str">
        <f t="shared" si="8"/>
        <v/>
      </c>
      <c r="BW631" s="46">
        <f t="shared" si="9"/>
        <v>0</v>
      </c>
      <c r="BX631" s="46">
        <f t="shared" si="10"/>
        <v>0</v>
      </c>
      <c r="BY631" s="43" t="str">
        <f t="shared" si="11"/>
        <v>WHO-STI Observation (External Genital Examination)</v>
      </c>
      <c r="BZ631" s="46">
        <f t="shared" si="12"/>
        <v>1</v>
      </c>
      <c r="CA631" s="46" t="str">
        <f t="shared" si="13"/>
        <v/>
      </c>
      <c r="CB631" s="46">
        <f t="shared" si="14"/>
        <v>1</v>
      </c>
      <c r="CC631" s="46">
        <f t="shared" si="15"/>
        <v>1</v>
      </c>
      <c r="CD631" s="46">
        <f t="shared" si="16"/>
        <v>1</v>
      </c>
      <c r="CE631" s="46">
        <f t="shared" si="17"/>
        <v>0</v>
      </c>
      <c r="CF631" s="46">
        <f t="shared" si="18"/>
        <v>0</v>
      </c>
      <c r="CG631" s="46" t="str">
        <f ca="1">IFERROR(__xludf.DUMMYFUNCTION("if(OR(BH631="""",LEFT(BH631,2)=""LA""),"""",IMPORTXML(CONCATENATE(""https://loinc.org/"",BH631,""/""),""//span[@id='lcn']""))"),"")</f>
        <v/>
      </c>
      <c r="CH631" s="46"/>
      <c r="CI631" s="46"/>
      <c r="CJ631" s="46"/>
      <c r="CK631" s="46"/>
      <c r="CL631" s="46"/>
      <c r="CM631" s="46"/>
      <c r="CN631" s="46"/>
      <c r="CO631" s="46"/>
      <c r="CP631" s="46"/>
      <c r="CQ631" s="46"/>
      <c r="CR631" s="46"/>
      <c r="CS631" s="46"/>
      <c r="CT631" s="46"/>
      <c r="CU631" s="46"/>
    </row>
    <row r="632" spans="1:99" ht="12.75" customHeight="1">
      <c r="A632" s="409">
        <v>2064</v>
      </c>
      <c r="B632" s="399" t="s">
        <v>7224</v>
      </c>
      <c r="C632" s="399">
        <f t="shared" si="103"/>
        <v>2064</v>
      </c>
      <c r="D632" s="399" t="str">
        <f t="shared" si="104"/>
        <v>Other (specify)</v>
      </c>
      <c r="E632" s="399" t="str">
        <f t="shared" si="105"/>
        <v>Other (specify)</v>
      </c>
      <c r="F632" s="399" t="str">
        <f t="shared" si="111"/>
        <v>Data Element</v>
      </c>
      <c r="G632" s="400">
        <f t="shared" si="106"/>
        <v>34</v>
      </c>
      <c r="H632" s="400" t="str">
        <f t="shared" si="110"/>
        <v/>
      </c>
      <c r="I632" s="400"/>
      <c r="J632" s="400"/>
      <c r="K632" s="401" t="s">
        <v>5283</v>
      </c>
      <c r="L632" s="402" t="s">
        <v>5194</v>
      </c>
      <c r="M632" s="400"/>
      <c r="N632" s="675" t="s">
        <v>7175</v>
      </c>
      <c r="O632" s="437" t="s">
        <v>6260</v>
      </c>
      <c r="P632" s="437"/>
      <c r="Q632" s="407" t="s">
        <v>405</v>
      </c>
      <c r="R632" s="407"/>
      <c r="S632" s="407" t="s">
        <v>3421</v>
      </c>
      <c r="T632" s="407" t="s">
        <v>111</v>
      </c>
      <c r="U632" s="407"/>
      <c r="V632" s="407"/>
      <c r="W632" s="404"/>
      <c r="X632" s="407" t="s">
        <v>208</v>
      </c>
      <c r="Y632" s="407"/>
      <c r="Z632" s="407" t="s">
        <v>113</v>
      </c>
      <c r="AA632" s="407" t="s">
        <v>3178</v>
      </c>
      <c r="AB632" s="432" t="s">
        <v>7225</v>
      </c>
      <c r="AC632" s="421"/>
      <c r="AD632" s="421"/>
      <c r="AE632" s="408"/>
      <c r="AF632" s="407"/>
      <c r="AG632" s="407"/>
      <c r="AH632" s="399"/>
      <c r="AI632" s="400"/>
      <c r="AJ632" s="399" t="s">
        <v>1787</v>
      </c>
      <c r="AK632" s="440" t="s">
        <v>3410</v>
      </c>
      <c r="AL632" s="409" t="s">
        <v>3423</v>
      </c>
      <c r="AM632" s="409" t="s">
        <v>3100</v>
      </c>
      <c r="AN632" s="409" t="s">
        <v>3101</v>
      </c>
      <c r="AO632" s="399" t="s">
        <v>1787</v>
      </c>
      <c r="AP632" s="409" t="s">
        <v>6788</v>
      </c>
      <c r="AQ632" s="409" t="s">
        <v>3424</v>
      </c>
      <c r="AR632" s="399"/>
      <c r="AS632" s="399"/>
      <c r="AT632" s="399"/>
      <c r="AU632" s="399"/>
      <c r="AV632" s="399" t="str">
        <f t="shared" si="107"/>
        <v/>
      </c>
      <c r="AW632" s="399"/>
      <c r="AX632" s="409" t="s">
        <v>5194</v>
      </c>
      <c r="AY632" s="399" t="str">
        <f t="shared" si="108"/>
        <v>"Other (specify)"-&gt;"Other (specify) - External genital"</v>
      </c>
      <c r="AZ632" s="399"/>
      <c r="BA632" s="409">
        <v>1</v>
      </c>
      <c r="BB632" s="399"/>
      <c r="BC632" s="399" t="s">
        <v>1787</v>
      </c>
      <c r="BD632" s="399" t="s">
        <v>1787</v>
      </c>
      <c r="BE632" s="411"/>
      <c r="BF632" s="411" t="s">
        <v>1787</v>
      </c>
      <c r="BG632" s="411"/>
      <c r="BH632" s="411"/>
      <c r="BI632" s="411"/>
      <c r="BJ632" s="409" t="s">
        <v>3106</v>
      </c>
      <c r="BK632" s="399" t="s">
        <v>1787</v>
      </c>
      <c r="BL632" s="399"/>
      <c r="BM632" s="399" t="s">
        <v>1787</v>
      </c>
      <c r="BN632" s="399" t="s">
        <v>1787</v>
      </c>
      <c r="BO632" s="399" t="s">
        <v>1787</v>
      </c>
      <c r="BP632" s="399" t="s">
        <v>1787</v>
      </c>
      <c r="BQ632" s="399" t="s">
        <v>1787</v>
      </c>
      <c r="BR632" s="399" t="s">
        <v>1787</v>
      </c>
      <c r="BS632" s="407"/>
      <c r="BT632" s="407"/>
      <c r="BU632" s="412"/>
      <c r="BV632" s="46" t="str">
        <f t="shared" si="8"/>
        <v>Observation</v>
      </c>
      <c r="BW632" s="46" t="str">
        <f t="shared" si="9"/>
        <v/>
      </c>
      <c r="BX632" s="46" t="str">
        <f t="shared" si="10"/>
        <v>Observation</v>
      </c>
      <c r="BY632" s="43" t="str">
        <f t="shared" si="11"/>
        <v>WHO-STI Observation (External Genital Examination)</v>
      </c>
      <c r="BZ632" s="46">
        <f t="shared" si="12"/>
        <v>1</v>
      </c>
      <c r="CA632" s="46">
        <f t="shared" si="13"/>
        <v>0</v>
      </c>
      <c r="CB632" s="46">
        <f t="shared" si="14"/>
        <v>1</v>
      </c>
      <c r="CC632" s="46">
        <f t="shared" si="15"/>
        <v>1</v>
      </c>
      <c r="CD632" s="46">
        <f t="shared" si="16"/>
        <v>1</v>
      </c>
      <c r="CE632" s="46">
        <f t="shared" si="17"/>
        <v>0</v>
      </c>
      <c r="CF632" s="46">
        <f t="shared" si="18"/>
        <v>0</v>
      </c>
      <c r="CG632" s="46" t="str">
        <f ca="1">IFERROR(__xludf.DUMMYFUNCTION("if(OR(BH632="""",LEFT(BH632,2)=""LA""),"""",IMPORTXML(CONCATENATE(""https://loinc.org/"",BH632,""/""),""//span[@id='lcn']""))"),"")</f>
        <v/>
      </c>
      <c r="CH632" s="46"/>
      <c r="CI632" s="46"/>
      <c r="CJ632" s="46"/>
      <c r="CK632" s="46"/>
      <c r="CL632" s="46"/>
      <c r="CM632" s="46"/>
      <c r="CN632" s="46"/>
      <c r="CO632" s="46"/>
      <c r="CP632" s="46"/>
      <c r="CQ632" s="46"/>
      <c r="CR632" s="46"/>
      <c r="CS632" s="46"/>
      <c r="CT632" s="46"/>
      <c r="CU632" s="46"/>
    </row>
    <row r="633" spans="1:99" ht="12.75" customHeight="1">
      <c r="A633" s="409">
        <v>2065</v>
      </c>
      <c r="B633" s="399" t="s">
        <v>7226</v>
      </c>
      <c r="C633" s="399">
        <f t="shared" si="103"/>
        <v>2065</v>
      </c>
      <c r="D633" s="399" t="str">
        <f t="shared" si="104"/>
        <v>Speculum</v>
      </c>
      <c r="E633" s="399" t="str">
        <f t="shared" si="105"/>
        <v>Speculum</v>
      </c>
      <c r="F633" s="399" t="str">
        <f t="shared" si="111"/>
        <v>Data Element</v>
      </c>
      <c r="G633" s="400">
        <f t="shared" si="106"/>
        <v>21</v>
      </c>
      <c r="H633" s="400" t="str">
        <f t="shared" si="110"/>
        <v/>
      </c>
      <c r="I633" s="400"/>
      <c r="J633" s="400"/>
      <c r="K633" s="410" t="s">
        <v>5283</v>
      </c>
      <c r="L633" s="402" t="s">
        <v>7227</v>
      </c>
      <c r="M633" s="400"/>
      <c r="N633" s="675" t="s">
        <v>7175</v>
      </c>
      <c r="O633" s="404" t="s">
        <v>7139</v>
      </c>
      <c r="P633" s="404"/>
      <c r="Q633" s="404" t="s">
        <v>7228</v>
      </c>
      <c r="R633" s="404" t="s">
        <v>7229</v>
      </c>
      <c r="S633" s="437"/>
      <c r="T633" s="404" t="s">
        <v>3121</v>
      </c>
      <c r="U633" s="420" t="s">
        <v>3326</v>
      </c>
      <c r="V633" s="404"/>
      <c r="W633" s="404"/>
      <c r="X633" s="437" t="s">
        <v>113</v>
      </c>
      <c r="Y633" s="437" t="s">
        <v>7178</v>
      </c>
      <c r="Z633" s="404" t="s">
        <v>113</v>
      </c>
      <c r="AA633" s="437" t="s">
        <v>3178</v>
      </c>
      <c r="AB633" s="420" t="s">
        <v>7230</v>
      </c>
      <c r="AC633" s="426"/>
      <c r="AD633" s="426"/>
      <c r="AE633" s="420"/>
      <c r="AF633" s="404"/>
      <c r="AG633" s="404"/>
      <c r="AH633" s="399"/>
      <c r="AI633" s="400"/>
      <c r="AJ633" s="399" t="s">
        <v>1787</v>
      </c>
      <c r="AK633" s="440" t="s">
        <v>3410</v>
      </c>
      <c r="AL633" s="409" t="s">
        <v>3181</v>
      </c>
      <c r="AM633" s="409" t="s">
        <v>3100</v>
      </c>
      <c r="AN633" s="409" t="s">
        <v>3101</v>
      </c>
      <c r="AO633" s="399" t="s">
        <v>1787</v>
      </c>
      <c r="AP633" s="409" t="s">
        <v>6798</v>
      </c>
      <c r="AQ633" s="409" t="s">
        <v>3130</v>
      </c>
      <c r="AR633" s="399"/>
      <c r="AS633" s="409" t="s">
        <v>3413</v>
      </c>
      <c r="AT633" s="399"/>
      <c r="AU633" s="399"/>
      <c r="AV633" s="399" t="str">
        <f t="shared" si="107"/>
        <v/>
      </c>
      <c r="AW633" s="399"/>
      <c r="AX633" s="409" t="s">
        <v>5194</v>
      </c>
      <c r="AY633" s="399" t="str">
        <f t="shared" si="108"/>
        <v>"Speculum"-&gt;"Speculum Exam Results"</v>
      </c>
      <c r="AZ633" s="399"/>
      <c r="BA633" s="409" t="s">
        <v>3125</v>
      </c>
      <c r="BB633" s="415" t="s">
        <v>3131</v>
      </c>
      <c r="BC633" s="399" t="s">
        <v>7226</v>
      </c>
      <c r="BD633" s="399" t="s">
        <v>1787</v>
      </c>
      <c r="BE633" s="411"/>
      <c r="BF633" s="411" t="s">
        <v>1787</v>
      </c>
      <c r="BG633" s="411"/>
      <c r="BH633" s="411"/>
      <c r="BI633" s="411"/>
      <c r="BJ633" s="409" t="s">
        <v>4745</v>
      </c>
      <c r="BK633" s="399" t="s">
        <v>1787</v>
      </c>
      <c r="BL633" s="409" t="s">
        <v>3162</v>
      </c>
      <c r="BM633" s="409" t="s">
        <v>7231</v>
      </c>
      <c r="BN633" s="399" t="s">
        <v>1787</v>
      </c>
      <c r="BO633" s="399" t="s">
        <v>1787</v>
      </c>
      <c r="BP633" s="399" t="s">
        <v>1787</v>
      </c>
      <c r="BQ633" s="399" t="s">
        <v>1787</v>
      </c>
      <c r="BR633" s="399" t="s">
        <v>1787</v>
      </c>
      <c r="BS633" s="407"/>
      <c r="BT633" s="407"/>
      <c r="BU633" s="412"/>
      <c r="BV633" s="46" t="str">
        <f t="shared" si="8"/>
        <v>Observation</v>
      </c>
      <c r="BW633" s="46" t="str">
        <f t="shared" si="9"/>
        <v/>
      </c>
      <c r="BX633" s="46" t="str">
        <f t="shared" si="10"/>
        <v>Observation</v>
      </c>
      <c r="BY633" s="43" t="str">
        <f t="shared" si="11"/>
        <v>WHO-STI Observation (Speculum Examination)</v>
      </c>
      <c r="BZ633" s="46">
        <f t="shared" si="12"/>
        <v>1</v>
      </c>
      <c r="CA633" s="46">
        <f t="shared" si="13"/>
        <v>1</v>
      </c>
      <c r="CB633" s="46">
        <f t="shared" si="14"/>
        <v>1</v>
      </c>
      <c r="CC633" s="46">
        <f t="shared" si="15"/>
        <v>1</v>
      </c>
      <c r="CD633" s="46">
        <f t="shared" si="16"/>
        <v>1</v>
      </c>
      <c r="CE633" s="46">
        <f t="shared" si="17"/>
        <v>0</v>
      </c>
      <c r="CF633" s="46">
        <f t="shared" si="18"/>
        <v>0</v>
      </c>
      <c r="CG633" s="46" t="str">
        <f ca="1">IFERROR(__xludf.DUMMYFUNCTION("if(OR(BH633="""",LEFT(BH633,2)=""LA""),"""",IMPORTXML(CONCATENATE(""https://loinc.org/"",BH633,""/""),""//span[@id='lcn']""))"),"")</f>
        <v/>
      </c>
      <c r="CH633" s="46"/>
      <c r="CI633" s="46"/>
      <c r="CJ633" s="46"/>
      <c r="CK633" s="46"/>
      <c r="CL633" s="46"/>
      <c r="CM633" s="46"/>
      <c r="CN633" s="46"/>
      <c r="CO633" s="46"/>
      <c r="CP633" s="46"/>
      <c r="CQ633" s="46"/>
      <c r="CR633" s="46"/>
      <c r="CS633" s="46"/>
      <c r="CT633" s="46"/>
      <c r="CU633" s="46"/>
    </row>
    <row r="634" spans="1:99" ht="12.75" customHeight="1">
      <c r="A634" s="409">
        <v>2066</v>
      </c>
      <c r="B634" s="399" t="s">
        <v>2130</v>
      </c>
      <c r="C634" s="399">
        <f t="shared" si="103"/>
        <v>2066</v>
      </c>
      <c r="D634" s="399" t="e">
        <f t="shared" ca="1" si="104"/>
        <v>#NAME?</v>
      </c>
      <c r="E634" s="399" t="str">
        <f t="shared" si="105"/>
        <v>Normal</v>
      </c>
      <c r="F634" s="399" t="str">
        <f t="shared" si="111"/>
        <v>Input Option</v>
      </c>
      <c r="G634" s="400">
        <f t="shared" si="106"/>
        <v>13</v>
      </c>
      <c r="H634" s="399" t="str">
        <f t="shared" si="110"/>
        <v>Speculum Exam Results</v>
      </c>
      <c r="I634" s="400"/>
      <c r="J634" s="400"/>
      <c r="K634" s="401" t="s">
        <v>5283</v>
      </c>
      <c r="L634" s="402" t="s">
        <v>7227</v>
      </c>
      <c r="M634" s="400"/>
      <c r="N634" s="675" t="s">
        <v>7175</v>
      </c>
      <c r="O634" s="404" t="s">
        <v>7190</v>
      </c>
      <c r="P634" s="404"/>
      <c r="Q634" s="404"/>
      <c r="R634" s="404"/>
      <c r="S634" s="404"/>
      <c r="T634" s="404"/>
      <c r="U634" s="404"/>
      <c r="V634" s="659" t="s">
        <v>1471</v>
      </c>
      <c r="W634" s="404"/>
      <c r="X634" s="437"/>
      <c r="Y634" s="437"/>
      <c r="Z634" s="404" t="s">
        <v>113</v>
      </c>
      <c r="AA634" s="404" t="s">
        <v>1889</v>
      </c>
      <c r="AB634" s="406"/>
      <c r="AC634" s="404"/>
      <c r="AD634" s="404"/>
      <c r="AE634" s="406"/>
      <c r="AF634" s="404"/>
      <c r="AG634" s="404"/>
      <c r="AH634" s="399"/>
      <c r="AI634" s="400"/>
      <c r="AJ634" s="399" t="s">
        <v>1787</v>
      </c>
      <c r="AK634" s="399"/>
      <c r="AL634" s="399" t="s">
        <v>1787</v>
      </c>
      <c r="AM634" s="399"/>
      <c r="AN634" s="399" t="s">
        <v>1787</v>
      </c>
      <c r="AO634" s="399" t="s">
        <v>1787</v>
      </c>
      <c r="AP634" s="399"/>
      <c r="AQ634" s="409" t="s">
        <v>3130</v>
      </c>
      <c r="AR634" s="399"/>
      <c r="AS634" s="399"/>
      <c r="AT634" s="399"/>
      <c r="AU634" s="399"/>
      <c r="AV634" s="399" t="str">
        <f t="shared" si="107"/>
        <v/>
      </c>
      <c r="AW634" s="399"/>
      <c r="AX634" s="409" t="s">
        <v>5194</v>
      </c>
      <c r="AY634" s="399" t="e">
        <f t="shared" ca="1" si="108"/>
        <v>#NAME?</v>
      </c>
      <c r="AZ634" s="399"/>
      <c r="BA634" s="409" t="s">
        <v>3125</v>
      </c>
      <c r="BB634" s="399"/>
      <c r="BC634" s="399" t="s">
        <v>1787</v>
      </c>
      <c r="BD634" s="399" t="s">
        <v>1787</v>
      </c>
      <c r="BE634" s="434" t="s">
        <v>7237</v>
      </c>
      <c r="BF634" s="411" t="s">
        <v>1787</v>
      </c>
      <c r="BG634" s="411"/>
      <c r="BH634" s="411"/>
      <c r="BI634" s="411"/>
      <c r="BJ634" s="399" t="s">
        <v>1787</v>
      </c>
      <c r="BK634" s="399" t="s">
        <v>1787</v>
      </c>
      <c r="BL634" s="399"/>
      <c r="BM634" s="409" t="s">
        <v>7238</v>
      </c>
      <c r="BN634" s="399" t="s">
        <v>1787</v>
      </c>
      <c r="BO634" s="399" t="s">
        <v>1787</v>
      </c>
      <c r="BP634" s="399" t="s">
        <v>1787</v>
      </c>
      <c r="BQ634" s="399" t="s">
        <v>1787</v>
      </c>
      <c r="BR634" s="399" t="s">
        <v>1787</v>
      </c>
      <c r="BS634" s="407"/>
      <c r="BT634" s="407"/>
      <c r="BU634" s="412"/>
      <c r="BV634" s="46" t="str">
        <f t="shared" si="8"/>
        <v/>
      </c>
      <c r="BW634" s="46">
        <f t="shared" si="9"/>
        <v>0</v>
      </c>
      <c r="BX634" s="46">
        <f t="shared" si="10"/>
        <v>0</v>
      </c>
      <c r="BY634" s="43" t="str">
        <f t="shared" si="11"/>
        <v>WHO-STI Observation (Speculum Examination)</v>
      </c>
      <c r="BZ634" s="46">
        <f t="shared" si="12"/>
        <v>1</v>
      </c>
      <c r="CA634" s="46" t="str">
        <f t="shared" si="13"/>
        <v/>
      </c>
      <c r="CB634" s="46">
        <f t="shared" si="14"/>
        <v>1</v>
      </c>
      <c r="CC634" s="46">
        <f t="shared" si="15"/>
        <v>1</v>
      </c>
      <c r="CD634" s="46">
        <f t="shared" si="16"/>
        <v>1</v>
      </c>
      <c r="CE634" s="46">
        <f t="shared" si="17"/>
        <v>0</v>
      </c>
      <c r="CF634" s="46">
        <f t="shared" si="18"/>
        <v>0</v>
      </c>
      <c r="CG634" s="46" t="str">
        <f ca="1">IFERROR(__xludf.DUMMYFUNCTION("if(OR(BH634="""",LEFT(BH634,2)=""LA""),"""",IMPORTXML(CONCATENATE(""https://loinc.org/"",BH634,""/""),""//span[@id='lcn']""))"),"")</f>
        <v/>
      </c>
      <c r="CH634" s="46"/>
      <c r="CI634" s="46"/>
      <c r="CJ634" s="46"/>
      <c r="CK634" s="46"/>
      <c r="CL634" s="46"/>
      <c r="CM634" s="46"/>
      <c r="CN634" s="46"/>
      <c r="CO634" s="46"/>
      <c r="CP634" s="46"/>
      <c r="CQ634" s="46"/>
      <c r="CR634" s="46"/>
      <c r="CS634" s="46"/>
      <c r="CT634" s="46"/>
      <c r="CU634" s="46"/>
    </row>
    <row r="635" spans="1:99" ht="12.75" customHeight="1">
      <c r="A635" s="409">
        <v>2067</v>
      </c>
      <c r="B635" s="399" t="s">
        <v>7215</v>
      </c>
      <c r="C635" s="399">
        <f t="shared" si="103"/>
        <v>2067</v>
      </c>
      <c r="D635" s="399" t="e">
        <f t="shared" ca="1" si="104"/>
        <v>#NAME?</v>
      </c>
      <c r="E635" s="399" t="str">
        <f t="shared" si="105"/>
        <v>Ulcers</v>
      </c>
      <c r="F635" s="399" t="str">
        <f t="shared" si="111"/>
        <v>Input Option</v>
      </c>
      <c r="G635" s="400">
        <f t="shared" si="106"/>
        <v>13</v>
      </c>
      <c r="H635" s="399" t="str">
        <f t="shared" si="110"/>
        <v>Speculum Exam Results</v>
      </c>
      <c r="I635" s="400"/>
      <c r="J635" s="400"/>
      <c r="K635" s="401" t="s">
        <v>5283</v>
      </c>
      <c r="L635" s="402" t="s">
        <v>7227</v>
      </c>
      <c r="M635" s="400"/>
      <c r="N635" s="675" t="s">
        <v>7175</v>
      </c>
      <c r="O635" s="404" t="s">
        <v>6883</v>
      </c>
      <c r="P635" s="404"/>
      <c r="Q635" s="437"/>
      <c r="R635" s="404"/>
      <c r="S635" s="437"/>
      <c r="T635" s="437"/>
      <c r="U635" s="437"/>
      <c r="V635" s="404" t="s">
        <v>7216</v>
      </c>
      <c r="W635" s="404"/>
      <c r="X635" s="404"/>
      <c r="Y635" s="437"/>
      <c r="Z635" s="404" t="s">
        <v>113</v>
      </c>
      <c r="AA635" s="437" t="s">
        <v>1889</v>
      </c>
      <c r="AB635" s="406"/>
      <c r="AC635" s="404"/>
      <c r="AD635" s="404"/>
      <c r="AE635" s="406"/>
      <c r="AF635" s="404"/>
      <c r="AG635" s="404"/>
      <c r="AH635" s="399"/>
      <c r="AI635" s="400"/>
      <c r="AJ635" s="399" t="s">
        <v>1787</v>
      </c>
      <c r="AK635" s="399"/>
      <c r="AL635" s="399" t="s">
        <v>1787</v>
      </c>
      <c r="AM635" s="399"/>
      <c r="AN635" s="399" t="s">
        <v>1787</v>
      </c>
      <c r="AO635" s="399" t="s">
        <v>1787</v>
      </c>
      <c r="AP635" s="399"/>
      <c r="AQ635" s="409" t="s">
        <v>3130</v>
      </c>
      <c r="AR635" s="399"/>
      <c r="AS635" s="399"/>
      <c r="AT635" s="399"/>
      <c r="AU635" s="399"/>
      <c r="AV635" s="399" t="str">
        <f t="shared" si="107"/>
        <v/>
      </c>
      <c r="AW635" s="399"/>
      <c r="AX635" s="409" t="s">
        <v>5194</v>
      </c>
      <c r="AY635" s="399" t="e">
        <f t="shared" ca="1" si="108"/>
        <v>#NAME?</v>
      </c>
      <c r="AZ635" s="399"/>
      <c r="BA635" s="409" t="s">
        <v>3125</v>
      </c>
      <c r="BB635" s="399"/>
      <c r="BC635" s="399" t="s">
        <v>1787</v>
      </c>
      <c r="BD635" s="409" t="s">
        <v>7246</v>
      </c>
      <c r="BE635" s="411" t="s">
        <v>7247</v>
      </c>
      <c r="BF635" s="411" t="s">
        <v>1787</v>
      </c>
      <c r="BG635" s="411"/>
      <c r="BH635" s="411"/>
      <c r="BI635" s="411"/>
      <c r="BJ635" s="399" t="s">
        <v>1787</v>
      </c>
      <c r="BK635" s="399" t="s">
        <v>1787</v>
      </c>
      <c r="BL635" s="399"/>
      <c r="BM635" s="399" t="s">
        <v>1787</v>
      </c>
      <c r="BN635" s="399" t="s">
        <v>1787</v>
      </c>
      <c r="BO635" s="399" t="s">
        <v>1787</v>
      </c>
      <c r="BP635" s="399" t="s">
        <v>1787</v>
      </c>
      <c r="BQ635" s="399" t="s">
        <v>1787</v>
      </c>
      <c r="BR635" s="399" t="s">
        <v>1787</v>
      </c>
      <c r="BS635" s="407"/>
      <c r="BT635" s="407"/>
      <c r="BU635" s="412"/>
      <c r="BV635" s="46" t="str">
        <f t="shared" si="8"/>
        <v/>
      </c>
      <c r="BW635" s="46">
        <f t="shared" si="9"/>
        <v>0</v>
      </c>
      <c r="BX635" s="46">
        <f t="shared" si="10"/>
        <v>0</v>
      </c>
      <c r="BY635" s="43" t="str">
        <f t="shared" si="11"/>
        <v>WHO-STI Observation (Speculum Examination)</v>
      </c>
      <c r="BZ635" s="46">
        <f t="shared" si="12"/>
        <v>1</v>
      </c>
      <c r="CA635" s="46" t="str">
        <f t="shared" si="13"/>
        <v/>
      </c>
      <c r="CB635" s="46">
        <f t="shared" si="14"/>
        <v>1</v>
      </c>
      <c r="CC635" s="46">
        <f t="shared" si="15"/>
        <v>1</v>
      </c>
      <c r="CD635" s="46">
        <f t="shared" si="16"/>
        <v>1</v>
      </c>
      <c r="CE635" s="46">
        <f t="shared" si="17"/>
        <v>0</v>
      </c>
      <c r="CF635" s="46">
        <f t="shared" si="18"/>
        <v>0</v>
      </c>
      <c r="CG635" s="46" t="str">
        <f ca="1">IFERROR(__xludf.DUMMYFUNCTION("if(OR(BH635="""",LEFT(BH635,2)=""LA""),"""",IMPORTXML(CONCATENATE(""https://loinc.org/"",BH635,""/""),""//span[@id='lcn']""))"),"")</f>
        <v/>
      </c>
      <c r="CH635" s="46"/>
      <c r="CI635" s="46"/>
      <c r="CJ635" s="46"/>
      <c r="CK635" s="46"/>
      <c r="CL635" s="46"/>
      <c r="CM635" s="46"/>
      <c r="CN635" s="46"/>
      <c r="CO635" s="46"/>
      <c r="CP635" s="46"/>
      <c r="CQ635" s="46"/>
      <c r="CR635" s="46"/>
      <c r="CS635" s="46"/>
      <c r="CT635" s="46"/>
      <c r="CU635" s="46"/>
    </row>
    <row r="636" spans="1:99" ht="12.75" customHeight="1">
      <c r="A636" s="409">
        <v>2068</v>
      </c>
      <c r="B636" s="399" t="s">
        <v>7218</v>
      </c>
      <c r="C636" s="399">
        <f t="shared" si="103"/>
        <v>2068</v>
      </c>
      <c r="D636" s="399" t="e">
        <f t="shared" ca="1" si="104"/>
        <v>#NAME?</v>
      </c>
      <c r="E636" s="399" t="str">
        <f t="shared" si="105"/>
        <v>Sores</v>
      </c>
      <c r="F636" s="399" t="str">
        <f t="shared" si="111"/>
        <v>Input Option</v>
      </c>
      <c r="G636" s="400">
        <f t="shared" si="106"/>
        <v>12</v>
      </c>
      <c r="H636" s="399" t="str">
        <f t="shared" si="110"/>
        <v>Speculum Exam Results</v>
      </c>
      <c r="I636" s="400"/>
      <c r="J636" s="400"/>
      <c r="K636" s="401" t="s">
        <v>5283</v>
      </c>
      <c r="L636" s="402" t="s">
        <v>7227</v>
      </c>
      <c r="M636" s="400"/>
      <c r="N636" s="675" t="s">
        <v>7175</v>
      </c>
      <c r="O636" s="404" t="s">
        <v>6858</v>
      </c>
      <c r="P636" s="404"/>
      <c r="Q636" s="437"/>
      <c r="R636" s="404"/>
      <c r="S636" s="437"/>
      <c r="T636" s="437"/>
      <c r="U636" s="437"/>
      <c r="V636" s="404" t="s">
        <v>7219</v>
      </c>
      <c r="W636" s="404"/>
      <c r="X636" s="404"/>
      <c r="Y636" s="437"/>
      <c r="Z636" s="404" t="s">
        <v>113</v>
      </c>
      <c r="AA636" s="437" t="s">
        <v>1889</v>
      </c>
      <c r="AB636" s="406"/>
      <c r="AC636" s="404"/>
      <c r="AD636" s="404"/>
      <c r="AE636" s="406"/>
      <c r="AF636" s="404"/>
      <c r="AG636" s="404"/>
      <c r="AH636" s="399"/>
      <c r="AI636" s="400"/>
      <c r="AJ636" s="399" t="s">
        <v>1787</v>
      </c>
      <c r="AK636" s="399"/>
      <c r="AL636" s="399" t="s">
        <v>1787</v>
      </c>
      <c r="AM636" s="399"/>
      <c r="AN636" s="399" t="s">
        <v>1787</v>
      </c>
      <c r="AO636" s="399" t="s">
        <v>1787</v>
      </c>
      <c r="AP636" s="399"/>
      <c r="AQ636" s="409" t="s">
        <v>3130</v>
      </c>
      <c r="AR636" s="399"/>
      <c r="AS636" s="399"/>
      <c r="AT636" s="399"/>
      <c r="AU636" s="399"/>
      <c r="AV636" s="399" t="str">
        <f t="shared" si="107"/>
        <v/>
      </c>
      <c r="AW636" s="399"/>
      <c r="AX636" s="409" t="s">
        <v>5194</v>
      </c>
      <c r="AY636" s="399" t="e">
        <f t="shared" ca="1" si="108"/>
        <v>#NAME?</v>
      </c>
      <c r="AZ636" s="399"/>
      <c r="BA636" s="409" t="s">
        <v>3125</v>
      </c>
      <c r="BB636" s="415" t="s">
        <v>3131</v>
      </c>
      <c r="BC636" s="399" t="s">
        <v>7219</v>
      </c>
      <c r="BD636" s="399" t="s">
        <v>1787</v>
      </c>
      <c r="BE636" s="411"/>
      <c r="BF636" s="411" t="s">
        <v>1787</v>
      </c>
      <c r="BG636" s="411"/>
      <c r="BH636" s="411"/>
      <c r="BI636" s="411"/>
      <c r="BJ636" s="409" t="s">
        <v>4282</v>
      </c>
      <c r="BK636" s="399" t="s">
        <v>1787</v>
      </c>
      <c r="BL636" s="409" t="s">
        <v>3162</v>
      </c>
      <c r="BM636" s="409" t="s">
        <v>7250</v>
      </c>
      <c r="BN636" s="399" t="s">
        <v>1787</v>
      </c>
      <c r="BO636" s="399" t="s">
        <v>1787</v>
      </c>
      <c r="BP636" s="399" t="s">
        <v>1787</v>
      </c>
      <c r="BQ636" s="399" t="s">
        <v>1787</v>
      </c>
      <c r="BR636" s="399" t="s">
        <v>1787</v>
      </c>
      <c r="BS636" s="407"/>
      <c r="BT636" s="407"/>
      <c r="BU636" s="412"/>
      <c r="BV636" s="46" t="str">
        <f t="shared" si="8"/>
        <v/>
      </c>
      <c r="BW636" s="46">
        <f t="shared" si="9"/>
        <v>0</v>
      </c>
      <c r="BX636" s="46">
        <f t="shared" si="10"/>
        <v>0</v>
      </c>
      <c r="BY636" s="43" t="str">
        <f t="shared" si="11"/>
        <v>WHO-STI Observation (Speculum Examination)</v>
      </c>
      <c r="BZ636" s="46">
        <f t="shared" si="12"/>
        <v>1</v>
      </c>
      <c r="CA636" s="46" t="str">
        <f t="shared" si="13"/>
        <v/>
      </c>
      <c r="CB636" s="46">
        <f t="shared" si="14"/>
        <v>1</v>
      </c>
      <c r="CC636" s="46">
        <f t="shared" si="15"/>
        <v>1</v>
      </c>
      <c r="CD636" s="46">
        <f t="shared" si="16"/>
        <v>1</v>
      </c>
      <c r="CE636" s="46">
        <f t="shared" si="17"/>
        <v>0</v>
      </c>
      <c r="CF636" s="46">
        <f t="shared" si="18"/>
        <v>0</v>
      </c>
      <c r="CG636" s="46" t="str">
        <f ca="1">IFERROR(__xludf.DUMMYFUNCTION("if(OR(BH636="""",LEFT(BH636,2)=""LA""),"""",IMPORTXML(CONCATENATE(""https://loinc.org/"",BH636,""/""),""//span[@id='lcn']""))"),"")</f>
        <v/>
      </c>
      <c r="CH636" s="46"/>
      <c r="CI636" s="46"/>
      <c r="CJ636" s="46"/>
      <c r="CK636" s="46"/>
      <c r="CL636" s="46"/>
      <c r="CM636" s="46"/>
      <c r="CN636" s="46"/>
      <c r="CO636" s="46"/>
      <c r="CP636" s="46"/>
      <c r="CQ636" s="46"/>
      <c r="CR636" s="46"/>
      <c r="CS636" s="46"/>
      <c r="CT636" s="46"/>
      <c r="CU636" s="46"/>
    </row>
    <row r="637" spans="1:99" ht="12.75" customHeight="1">
      <c r="A637" s="409">
        <v>2069</v>
      </c>
      <c r="B637" s="399" t="s">
        <v>7220</v>
      </c>
      <c r="C637" s="399">
        <f t="shared" si="103"/>
        <v>2069</v>
      </c>
      <c r="D637" s="399" t="e">
        <f t="shared" ca="1" si="104"/>
        <v>#NAME?</v>
      </c>
      <c r="E637" s="399" t="str">
        <f t="shared" si="105"/>
        <v>Blisters</v>
      </c>
      <c r="F637" s="399" t="str">
        <f t="shared" si="111"/>
        <v>Input Option</v>
      </c>
      <c r="G637" s="400">
        <f t="shared" si="106"/>
        <v>15</v>
      </c>
      <c r="H637" s="399" t="str">
        <f t="shared" si="110"/>
        <v>Speculum Exam Results</v>
      </c>
      <c r="I637" s="400"/>
      <c r="J637" s="400"/>
      <c r="K637" s="401" t="s">
        <v>5283</v>
      </c>
      <c r="L637" s="402" t="s">
        <v>7227</v>
      </c>
      <c r="M637" s="400"/>
      <c r="N637" s="675" t="s">
        <v>7175</v>
      </c>
      <c r="O637" s="404" t="s">
        <v>6834</v>
      </c>
      <c r="P637" s="404"/>
      <c r="Q637" s="437"/>
      <c r="R637" s="404"/>
      <c r="S637" s="437"/>
      <c r="T637" s="437"/>
      <c r="U637" s="437"/>
      <c r="V637" s="404" t="s">
        <v>7221</v>
      </c>
      <c r="W637" s="404"/>
      <c r="X637" s="404"/>
      <c r="Y637" s="437"/>
      <c r="Z637" s="404" t="s">
        <v>113</v>
      </c>
      <c r="AA637" s="437" t="s">
        <v>1889</v>
      </c>
      <c r="AB637" s="406"/>
      <c r="AC637" s="404"/>
      <c r="AD637" s="404"/>
      <c r="AE637" s="406"/>
      <c r="AF637" s="404"/>
      <c r="AG637" s="404"/>
      <c r="AH637" s="399"/>
      <c r="AI637" s="400"/>
      <c r="AJ637" s="399" t="s">
        <v>1787</v>
      </c>
      <c r="AK637" s="399"/>
      <c r="AL637" s="399" t="s">
        <v>1787</v>
      </c>
      <c r="AM637" s="399"/>
      <c r="AN637" s="399" t="s">
        <v>1787</v>
      </c>
      <c r="AO637" s="399" t="s">
        <v>1787</v>
      </c>
      <c r="AP637" s="399"/>
      <c r="AQ637" s="409" t="s">
        <v>3130</v>
      </c>
      <c r="AR637" s="399"/>
      <c r="AS637" s="399"/>
      <c r="AT637" s="399"/>
      <c r="AU637" s="399"/>
      <c r="AV637" s="399" t="str">
        <f t="shared" si="107"/>
        <v/>
      </c>
      <c r="AW637" s="399"/>
      <c r="AX637" s="409" t="s">
        <v>5194</v>
      </c>
      <c r="AY637" s="399" t="e">
        <f t="shared" ca="1" si="108"/>
        <v>#NAME?</v>
      </c>
      <c r="AZ637" s="399"/>
      <c r="BA637" s="409" t="s">
        <v>3125</v>
      </c>
      <c r="BB637" s="399"/>
      <c r="BC637" s="399" t="s">
        <v>1787</v>
      </c>
      <c r="BE637" s="411"/>
      <c r="BF637" s="411" t="s">
        <v>1787</v>
      </c>
      <c r="BG637" s="434" t="s">
        <v>7253</v>
      </c>
      <c r="BH637" s="411"/>
      <c r="BI637" s="411"/>
      <c r="BJ637" s="399" t="s">
        <v>1787</v>
      </c>
      <c r="BK637" s="399" t="s">
        <v>1787</v>
      </c>
      <c r="BL637" s="409" t="s">
        <v>3162</v>
      </c>
      <c r="BM637" s="399" t="s">
        <v>1787</v>
      </c>
      <c r="BN637" s="399" t="s">
        <v>1787</v>
      </c>
      <c r="BO637" s="399" t="s">
        <v>1787</v>
      </c>
      <c r="BP637" s="399" t="s">
        <v>1787</v>
      </c>
      <c r="BQ637" s="399" t="s">
        <v>1787</v>
      </c>
      <c r="BR637" s="399" t="s">
        <v>1787</v>
      </c>
      <c r="BS637" s="407"/>
      <c r="BT637" s="407"/>
      <c r="BU637" s="412"/>
      <c r="BV637" s="46" t="str">
        <f t="shared" si="8"/>
        <v/>
      </c>
      <c r="BW637" s="46">
        <f t="shared" si="9"/>
        <v>0</v>
      </c>
      <c r="BX637" s="46">
        <f t="shared" si="10"/>
        <v>0</v>
      </c>
      <c r="BY637" s="43" t="str">
        <f t="shared" si="11"/>
        <v>WHO-STI Observation (Speculum Examination)</v>
      </c>
      <c r="BZ637" s="46">
        <f t="shared" si="12"/>
        <v>1</v>
      </c>
      <c r="CA637" s="46" t="str">
        <f t="shared" si="13"/>
        <v/>
      </c>
      <c r="CB637" s="46">
        <f t="shared" si="14"/>
        <v>1</v>
      </c>
      <c r="CC637" s="46">
        <f t="shared" si="15"/>
        <v>1</v>
      </c>
      <c r="CD637" s="46">
        <f t="shared" si="16"/>
        <v>1</v>
      </c>
      <c r="CE637" s="46">
        <f t="shared" si="17"/>
        <v>0</v>
      </c>
      <c r="CF637" s="46">
        <f t="shared" si="18"/>
        <v>0</v>
      </c>
      <c r="CG637" s="46" t="str">
        <f ca="1">IFERROR(__xludf.DUMMYFUNCTION("if(OR(BH637="""",LEFT(BH637,2)=""LA""),"""",IMPORTXML(CONCATENATE(""https://loinc.org/"",BH637,""/""),""//span[@id='lcn']""))"),"")</f>
        <v/>
      </c>
      <c r="CH637" s="46"/>
      <c r="CI637" s="46"/>
      <c r="CJ637" s="46"/>
      <c r="CK637" s="46"/>
      <c r="CL637" s="46"/>
      <c r="CM637" s="46"/>
      <c r="CN637" s="46"/>
      <c r="CO637" s="46"/>
      <c r="CP637" s="46"/>
      <c r="CQ637" s="46"/>
      <c r="CR637" s="46"/>
      <c r="CS637" s="46"/>
      <c r="CT637" s="46"/>
      <c r="CU637" s="46"/>
    </row>
    <row r="638" spans="1:99" ht="12.75" customHeight="1">
      <c r="A638" s="409">
        <v>2070</v>
      </c>
      <c r="B638" s="399" t="s">
        <v>304</v>
      </c>
      <c r="C638" s="399">
        <f t="shared" si="103"/>
        <v>2070</v>
      </c>
      <c r="D638" s="399" t="e">
        <f t="shared" ca="1" si="104"/>
        <v>#NAME?</v>
      </c>
      <c r="E638" s="399" t="str">
        <f t="shared" si="105"/>
        <v>Abnormal vaginal discharge</v>
      </c>
      <c r="F638" s="399" t="str">
        <f t="shared" si="111"/>
        <v>Input Option</v>
      </c>
      <c r="G638" s="400">
        <f t="shared" si="106"/>
        <v>33</v>
      </c>
      <c r="H638" s="399" t="str">
        <f t="shared" si="110"/>
        <v>Speculum Exam Results</v>
      </c>
      <c r="I638" s="400"/>
      <c r="J638" s="400"/>
      <c r="K638" s="401" t="s">
        <v>5283</v>
      </c>
      <c r="L638" s="402" t="s">
        <v>7227</v>
      </c>
      <c r="M638" s="400"/>
      <c r="N638" s="675" t="s">
        <v>7175</v>
      </c>
      <c r="O638" s="404" t="s">
        <v>6572</v>
      </c>
      <c r="P638" s="404"/>
      <c r="Q638" s="437"/>
      <c r="R638" s="404"/>
      <c r="S638" s="437"/>
      <c r="T638" s="437"/>
      <c r="U638" s="437"/>
      <c r="V638" s="420" t="s">
        <v>239</v>
      </c>
      <c r="W638" s="404"/>
      <c r="X638" s="404"/>
      <c r="Y638" s="437"/>
      <c r="Z638" s="404" t="s">
        <v>113</v>
      </c>
      <c r="AA638" s="437" t="s">
        <v>1889</v>
      </c>
      <c r="AB638" s="406"/>
      <c r="AC638" s="404"/>
      <c r="AD638" s="404"/>
      <c r="AE638" s="406"/>
      <c r="AF638" s="404"/>
      <c r="AG638" s="404"/>
      <c r="AH638" s="399"/>
      <c r="AI638" s="400"/>
      <c r="AJ638" s="399" t="s">
        <v>1787</v>
      </c>
      <c r="AK638" s="399"/>
      <c r="AL638" s="399" t="s">
        <v>1787</v>
      </c>
      <c r="AM638" s="399"/>
      <c r="AN638" s="399" t="s">
        <v>1787</v>
      </c>
      <c r="AO638" s="399" t="s">
        <v>1787</v>
      </c>
      <c r="AP638" s="399"/>
      <c r="AQ638" s="409" t="s">
        <v>3130</v>
      </c>
      <c r="AR638" s="399"/>
      <c r="AS638" s="399"/>
      <c r="AT638" s="399"/>
      <c r="AU638" s="399"/>
      <c r="AV638" s="399" t="str">
        <f t="shared" si="107"/>
        <v/>
      </c>
      <c r="AW638" s="399"/>
      <c r="AX638" s="409" t="s">
        <v>5194</v>
      </c>
      <c r="AY638" s="399" t="e">
        <f t="shared" ca="1" si="108"/>
        <v>#NAME?</v>
      </c>
      <c r="AZ638" s="399"/>
      <c r="BA638" s="409" t="s">
        <v>3125</v>
      </c>
      <c r="BB638" s="399"/>
      <c r="BC638" s="399" t="s">
        <v>1787</v>
      </c>
      <c r="BD638" s="399" t="s">
        <v>1787</v>
      </c>
      <c r="BE638" s="691" t="s">
        <v>7254</v>
      </c>
      <c r="BF638" s="411" t="s">
        <v>1787</v>
      </c>
      <c r="BG638" s="434" t="s">
        <v>6577</v>
      </c>
      <c r="BH638" s="411"/>
      <c r="BI638" s="411"/>
      <c r="BJ638" s="399" t="s">
        <v>1787</v>
      </c>
      <c r="BK638" s="399" t="s">
        <v>1787</v>
      </c>
      <c r="BL638" s="399"/>
      <c r="BM638" s="399" t="s">
        <v>1787</v>
      </c>
      <c r="BN638" s="399" t="s">
        <v>1787</v>
      </c>
      <c r="BO638" s="399" t="s">
        <v>1787</v>
      </c>
      <c r="BP638" s="399" t="s">
        <v>1787</v>
      </c>
      <c r="BQ638" s="399" t="s">
        <v>1787</v>
      </c>
      <c r="BR638" s="399" t="s">
        <v>1787</v>
      </c>
      <c r="BS638" s="407"/>
      <c r="BT638" s="407"/>
      <c r="BU638" s="412"/>
      <c r="BV638" s="46" t="str">
        <f t="shared" si="8"/>
        <v/>
      </c>
      <c r="BW638" s="46">
        <f t="shared" si="9"/>
        <v>0</v>
      </c>
      <c r="BX638" s="46">
        <f t="shared" si="10"/>
        <v>0</v>
      </c>
      <c r="BY638" s="43" t="str">
        <f t="shared" si="11"/>
        <v>WHO-STI Observation (Speculum Examination)</v>
      </c>
      <c r="BZ638" s="46">
        <f t="shared" si="12"/>
        <v>1</v>
      </c>
      <c r="CA638" s="46" t="str">
        <f t="shared" si="13"/>
        <v/>
      </c>
      <c r="CB638" s="46">
        <f t="shared" si="14"/>
        <v>1</v>
      </c>
      <c r="CC638" s="46">
        <f t="shared" si="15"/>
        <v>1</v>
      </c>
      <c r="CD638" s="46">
        <f t="shared" si="16"/>
        <v>1</v>
      </c>
      <c r="CE638" s="46">
        <f t="shared" si="17"/>
        <v>0</v>
      </c>
      <c r="CF638" s="46">
        <f t="shared" si="18"/>
        <v>0</v>
      </c>
      <c r="CG638" s="46" t="str">
        <f ca="1">IFERROR(__xludf.DUMMYFUNCTION("if(OR(BH638="""",LEFT(BH638,2)=""LA""),"""",IMPORTXML(CONCATENATE(""https://loinc.org/"",BH638,""/""),""//span[@id='lcn']""))"),"")</f>
        <v/>
      </c>
      <c r="CH638" s="46"/>
      <c r="CI638" s="46"/>
      <c r="CJ638" s="46"/>
      <c r="CK638" s="46"/>
      <c r="CL638" s="46"/>
      <c r="CM638" s="46"/>
      <c r="CN638" s="46"/>
      <c r="CO638" s="46"/>
      <c r="CP638" s="46"/>
      <c r="CQ638" s="46"/>
      <c r="CR638" s="46"/>
      <c r="CS638" s="46"/>
      <c r="CT638" s="46"/>
      <c r="CU638" s="46"/>
    </row>
    <row r="639" spans="1:99" ht="12.75" customHeight="1">
      <c r="A639" s="409">
        <v>2071</v>
      </c>
      <c r="B639" s="399" t="s">
        <v>7255</v>
      </c>
      <c r="C639" s="399">
        <f t="shared" si="103"/>
        <v>2071</v>
      </c>
      <c r="D639" s="399" t="e">
        <f t="shared" ca="1" si="104"/>
        <v>#NAME?</v>
      </c>
      <c r="E639" s="399" t="str">
        <f t="shared" si="105"/>
        <v>Redness of vaginal walls</v>
      </c>
      <c r="F639" s="399" t="str">
        <f t="shared" si="111"/>
        <v>Input Option</v>
      </c>
      <c r="G639" s="400">
        <f t="shared" si="106"/>
        <v>31</v>
      </c>
      <c r="H639" s="399" t="str">
        <f t="shared" si="110"/>
        <v>Speculum Exam Results</v>
      </c>
      <c r="I639" s="400"/>
      <c r="J639" s="400"/>
      <c r="K639" s="401" t="s">
        <v>5283</v>
      </c>
      <c r="L639" s="402" t="s">
        <v>7227</v>
      </c>
      <c r="M639" s="400"/>
      <c r="N639" s="675" t="s">
        <v>7175</v>
      </c>
      <c r="O639" s="404" t="s">
        <v>6258</v>
      </c>
      <c r="P639" s="404"/>
      <c r="Q639" s="437"/>
      <c r="R639" s="404"/>
      <c r="S639" s="437"/>
      <c r="T639" s="437"/>
      <c r="U639" s="437"/>
      <c r="V639" s="420" t="s">
        <v>7256</v>
      </c>
      <c r="W639" s="404"/>
      <c r="X639" s="404"/>
      <c r="Y639" s="437"/>
      <c r="Z639" s="404" t="s">
        <v>113</v>
      </c>
      <c r="AA639" s="437" t="s">
        <v>1889</v>
      </c>
      <c r="AB639" s="406"/>
      <c r="AC639" s="404"/>
      <c r="AD639" s="404"/>
      <c r="AE639" s="406"/>
      <c r="AF639" s="404"/>
      <c r="AG639" s="404"/>
      <c r="AH639" s="399"/>
      <c r="AI639" s="400"/>
      <c r="AJ639" s="399" t="s">
        <v>1787</v>
      </c>
      <c r="AK639" s="399"/>
      <c r="AL639" s="399" t="s">
        <v>1787</v>
      </c>
      <c r="AM639" s="399"/>
      <c r="AN639" s="399" t="s">
        <v>1787</v>
      </c>
      <c r="AO639" s="399" t="s">
        <v>1787</v>
      </c>
      <c r="AP639" s="399"/>
      <c r="AQ639" s="409" t="s">
        <v>3130</v>
      </c>
      <c r="AR639" s="399"/>
      <c r="AS639" s="399"/>
      <c r="AT639" s="399"/>
      <c r="AU639" s="399"/>
      <c r="AV639" s="399" t="str">
        <f t="shared" si="107"/>
        <v/>
      </c>
      <c r="AW639" s="399"/>
      <c r="AX639" s="409" t="s">
        <v>5194</v>
      </c>
      <c r="AY639" s="399" t="e">
        <f t="shared" ca="1" si="108"/>
        <v>#NAME?</v>
      </c>
      <c r="AZ639" s="399"/>
      <c r="BA639" s="409" t="s">
        <v>3125</v>
      </c>
      <c r="BB639" s="399"/>
      <c r="BC639" s="399" t="s">
        <v>1787</v>
      </c>
      <c r="BD639" s="399" t="s">
        <v>1787</v>
      </c>
      <c r="BE639" s="411"/>
      <c r="BF639" s="411" t="s">
        <v>1787</v>
      </c>
      <c r="BG639" s="434" t="s">
        <v>7257</v>
      </c>
      <c r="BH639" s="411"/>
      <c r="BI639" s="411"/>
      <c r="BJ639" s="399" t="s">
        <v>1787</v>
      </c>
      <c r="BK639" s="409" t="s">
        <v>7258</v>
      </c>
      <c r="BL639" s="409" t="s">
        <v>3162</v>
      </c>
      <c r="BM639" s="399" t="s">
        <v>1787</v>
      </c>
      <c r="BN639" s="399" t="s">
        <v>1787</v>
      </c>
      <c r="BO639" s="399" t="s">
        <v>1787</v>
      </c>
      <c r="BP639" s="399" t="s">
        <v>1787</v>
      </c>
      <c r="BQ639" s="399" t="s">
        <v>1787</v>
      </c>
      <c r="BR639" s="399" t="s">
        <v>1787</v>
      </c>
      <c r="BS639" s="407"/>
      <c r="BT639" s="407"/>
      <c r="BU639" s="412"/>
      <c r="BV639" s="46" t="str">
        <f t="shared" si="8"/>
        <v/>
      </c>
      <c r="BW639" s="46">
        <f t="shared" si="9"/>
        <v>0</v>
      </c>
      <c r="BX639" s="46">
        <f t="shared" si="10"/>
        <v>0</v>
      </c>
      <c r="BY639" s="43" t="str">
        <f t="shared" si="11"/>
        <v>WHO-STI Observation (Speculum Examination)</v>
      </c>
      <c r="BZ639" s="46">
        <f t="shared" si="12"/>
        <v>1</v>
      </c>
      <c r="CA639" s="46" t="str">
        <f t="shared" si="13"/>
        <v/>
      </c>
      <c r="CB639" s="46">
        <f t="shared" si="14"/>
        <v>1</v>
      </c>
      <c r="CC639" s="46">
        <f t="shared" si="15"/>
        <v>1</v>
      </c>
      <c r="CD639" s="46">
        <f t="shared" si="16"/>
        <v>1</v>
      </c>
      <c r="CE639" s="46">
        <f t="shared" si="17"/>
        <v>0</v>
      </c>
      <c r="CF639" s="46">
        <f t="shared" si="18"/>
        <v>0</v>
      </c>
      <c r="CG639" s="46" t="str">
        <f ca="1">IFERROR(__xludf.DUMMYFUNCTION("if(OR(BH639="""",LEFT(BH639,2)=""LA""),"""",IMPORTXML(CONCATENATE(""https://loinc.org/"",BH639,""/""),""//span[@id='lcn']""))"),"")</f>
        <v/>
      </c>
      <c r="CH639" s="46"/>
      <c r="CI639" s="46"/>
      <c r="CJ639" s="46"/>
      <c r="CK639" s="46"/>
      <c r="CL639" s="46"/>
      <c r="CM639" s="46"/>
      <c r="CN639" s="46"/>
      <c r="CO639" s="46"/>
      <c r="CP639" s="46"/>
      <c r="CQ639" s="46"/>
      <c r="CR639" s="46"/>
      <c r="CS639" s="46"/>
      <c r="CT639" s="46"/>
      <c r="CU639" s="46"/>
    </row>
    <row r="640" spans="1:99" ht="12.75" customHeight="1">
      <c r="A640" s="409">
        <v>2072</v>
      </c>
      <c r="B640" s="399" t="s">
        <v>7259</v>
      </c>
      <c r="C640" s="399">
        <f t="shared" si="103"/>
        <v>2072</v>
      </c>
      <c r="D640" s="399" t="e">
        <f t="shared" ca="1" si="104"/>
        <v>#NAME?</v>
      </c>
      <c r="E640" s="399" t="str">
        <f t="shared" si="105"/>
        <v>Cervix bleeds easily when touched</v>
      </c>
      <c r="F640" s="399" t="str">
        <f t="shared" si="111"/>
        <v>Input Option</v>
      </c>
      <c r="G640" s="400">
        <f t="shared" si="106"/>
        <v>40</v>
      </c>
      <c r="H640" s="399" t="str">
        <f t="shared" si="110"/>
        <v>Speculum Exam Results</v>
      </c>
      <c r="I640" s="400"/>
      <c r="J640" s="400"/>
      <c r="K640" s="401" t="s">
        <v>5283</v>
      </c>
      <c r="L640" s="402" t="s">
        <v>7227</v>
      </c>
      <c r="M640" s="400"/>
      <c r="N640" s="675" t="s">
        <v>7175</v>
      </c>
      <c r="O640" s="404" t="s">
        <v>7260</v>
      </c>
      <c r="P640" s="404"/>
      <c r="Q640" s="437"/>
      <c r="R640" s="404"/>
      <c r="S640" s="437"/>
      <c r="T640" s="437"/>
      <c r="U640" s="437"/>
      <c r="V640" s="420" t="s">
        <v>7261</v>
      </c>
      <c r="W640" s="426"/>
      <c r="X640" s="404"/>
      <c r="Y640" s="437"/>
      <c r="Z640" s="404" t="s">
        <v>113</v>
      </c>
      <c r="AA640" s="437" t="s">
        <v>1889</v>
      </c>
      <c r="AB640" s="406"/>
      <c r="AC640" s="404"/>
      <c r="AD640" s="404"/>
      <c r="AE640" s="406"/>
      <c r="AF640" s="404"/>
      <c r="AG640" s="404"/>
      <c r="AH640" s="399"/>
      <c r="AI640" s="400"/>
      <c r="AJ640" s="399" t="s">
        <v>1787</v>
      </c>
      <c r="AK640" s="399"/>
      <c r="AL640" s="399" t="s">
        <v>1787</v>
      </c>
      <c r="AM640" s="399"/>
      <c r="AN640" s="399" t="s">
        <v>1787</v>
      </c>
      <c r="AO640" s="399" t="s">
        <v>1787</v>
      </c>
      <c r="AP640" s="399"/>
      <c r="AQ640" s="409" t="s">
        <v>3130</v>
      </c>
      <c r="AR640" s="399"/>
      <c r="AS640" s="399"/>
      <c r="AT640" s="399"/>
      <c r="AU640" s="399"/>
      <c r="AV640" s="399" t="str">
        <f t="shared" si="107"/>
        <v/>
      </c>
      <c r="AW640" s="399"/>
      <c r="AX640" s="409" t="s">
        <v>5194</v>
      </c>
      <c r="AY640" s="399" t="e">
        <f t="shared" ca="1" si="108"/>
        <v>#NAME?</v>
      </c>
      <c r="AZ640" s="399"/>
      <c r="BA640" s="409" t="s">
        <v>3125</v>
      </c>
      <c r="BB640" s="415" t="s">
        <v>3131</v>
      </c>
      <c r="BC640" s="399" t="s">
        <v>7261</v>
      </c>
      <c r="BD640" s="399" t="s">
        <v>1787</v>
      </c>
      <c r="BE640" s="411"/>
      <c r="BF640" s="411" t="s">
        <v>1787</v>
      </c>
      <c r="BG640" s="411"/>
      <c r="BH640" s="411"/>
      <c r="BI640" s="411"/>
      <c r="BJ640" s="409" t="s">
        <v>4282</v>
      </c>
      <c r="BK640" s="399" t="s">
        <v>1787</v>
      </c>
      <c r="BL640" s="409" t="s">
        <v>3162</v>
      </c>
      <c r="BM640" s="409" t="s">
        <v>7262</v>
      </c>
      <c r="BN640" s="399" t="s">
        <v>1787</v>
      </c>
      <c r="BO640" s="399" t="s">
        <v>1787</v>
      </c>
      <c r="BP640" s="399" t="s">
        <v>1787</v>
      </c>
      <c r="BQ640" s="399" t="s">
        <v>1787</v>
      </c>
      <c r="BR640" s="399" t="s">
        <v>1787</v>
      </c>
      <c r="BS640" s="407"/>
      <c r="BT640" s="407"/>
      <c r="BU640" s="412"/>
      <c r="BV640" s="46" t="str">
        <f t="shared" si="8"/>
        <v/>
      </c>
      <c r="BW640" s="46">
        <f t="shared" si="9"/>
        <v>0</v>
      </c>
      <c r="BX640" s="46">
        <f t="shared" si="10"/>
        <v>0</v>
      </c>
      <c r="BY640" s="43" t="str">
        <f t="shared" si="11"/>
        <v>WHO-STI Observation (Speculum Examination)</v>
      </c>
      <c r="BZ640" s="46">
        <f t="shared" si="12"/>
        <v>1</v>
      </c>
      <c r="CA640" s="46" t="str">
        <f t="shared" si="13"/>
        <v/>
      </c>
      <c r="CB640" s="46">
        <f t="shared" si="14"/>
        <v>1</v>
      </c>
      <c r="CC640" s="46">
        <f t="shared" si="15"/>
        <v>1</v>
      </c>
      <c r="CD640" s="46">
        <f t="shared" si="16"/>
        <v>1</v>
      </c>
      <c r="CE640" s="46">
        <f t="shared" si="17"/>
        <v>0</v>
      </c>
      <c r="CF640" s="46">
        <f t="shared" si="18"/>
        <v>0</v>
      </c>
      <c r="CG640" s="46" t="str">
        <f ca="1">IFERROR(__xludf.DUMMYFUNCTION("if(OR(BH640="""",LEFT(BH640,2)=""LA""),"""",IMPORTXML(CONCATENATE(""https://loinc.org/"",BH640,""/""),""//span[@id='lcn']""))"),"")</f>
        <v/>
      </c>
      <c r="CH640" s="46"/>
      <c r="CI640" s="46"/>
      <c r="CJ640" s="46"/>
      <c r="CK640" s="46"/>
      <c r="CL640" s="46"/>
      <c r="CM640" s="46"/>
      <c r="CN640" s="46"/>
      <c r="CO640" s="46"/>
      <c r="CP640" s="46"/>
      <c r="CQ640" s="46"/>
      <c r="CR640" s="46"/>
      <c r="CS640" s="46"/>
      <c r="CT640" s="46"/>
      <c r="CU640" s="46"/>
    </row>
    <row r="641" spans="1:99" ht="12.75" customHeight="1">
      <c r="A641" s="409">
        <v>2073</v>
      </c>
      <c r="B641" s="399" t="s">
        <v>7263</v>
      </c>
      <c r="C641" s="399">
        <f t="shared" si="103"/>
        <v>2073</v>
      </c>
      <c r="D641" s="399" t="e">
        <f t="shared" ca="1" si="104"/>
        <v>#NAME?</v>
      </c>
      <c r="E641" s="399" t="str">
        <f t="shared" si="105"/>
        <v>Discharge appears mucopurulent with discoloration</v>
      </c>
      <c r="F641" s="399" t="str">
        <f t="shared" si="111"/>
        <v>Input Option</v>
      </c>
      <c r="G641" s="400">
        <f t="shared" si="106"/>
        <v>56</v>
      </c>
      <c r="H641" s="399" t="str">
        <f t="shared" si="110"/>
        <v>Speculum Exam Results</v>
      </c>
      <c r="I641" s="400"/>
      <c r="J641" s="400"/>
      <c r="K641" s="401" t="s">
        <v>5283</v>
      </c>
      <c r="L641" s="402" t="s">
        <v>7227</v>
      </c>
      <c r="M641" s="400"/>
      <c r="N641" s="675" t="s">
        <v>7175</v>
      </c>
      <c r="O641" s="404" t="s">
        <v>7265</v>
      </c>
      <c r="P641" s="404"/>
      <c r="Q641" s="437"/>
      <c r="R641" s="404"/>
      <c r="S641" s="437"/>
      <c r="T641" s="437"/>
      <c r="U641" s="437"/>
      <c r="V641" s="420" t="s">
        <v>7266</v>
      </c>
      <c r="W641" s="426"/>
      <c r="X641" s="426"/>
      <c r="Y641" s="437"/>
      <c r="Z641" s="404" t="s">
        <v>113</v>
      </c>
      <c r="AA641" s="437" t="s">
        <v>1889</v>
      </c>
      <c r="AB641" s="420" t="s">
        <v>7267</v>
      </c>
      <c r="AC641" s="426"/>
      <c r="AD641" s="426"/>
      <c r="AE641" s="420"/>
      <c r="AF641" s="426"/>
      <c r="AG641" s="426"/>
      <c r="AH641" s="399"/>
      <c r="AI641" s="400"/>
      <c r="AJ641" s="399" t="s">
        <v>1787</v>
      </c>
      <c r="AK641" s="399"/>
      <c r="AL641" s="399" t="s">
        <v>1787</v>
      </c>
      <c r="AM641" s="399"/>
      <c r="AN641" s="399" t="s">
        <v>1787</v>
      </c>
      <c r="AO641" s="399" t="s">
        <v>1787</v>
      </c>
      <c r="AP641" s="399"/>
      <c r="AQ641" s="409" t="s">
        <v>3130</v>
      </c>
      <c r="AR641" s="399"/>
      <c r="AS641" s="399"/>
      <c r="AT641" s="399"/>
      <c r="AU641" s="399"/>
      <c r="AV641" s="399" t="str">
        <f t="shared" si="107"/>
        <v/>
      </c>
      <c r="AW641" s="399"/>
      <c r="AX641" s="409" t="s">
        <v>5194</v>
      </c>
      <c r="AY641" s="399" t="e">
        <f t="shared" ca="1" si="108"/>
        <v>#NAME?</v>
      </c>
      <c r="AZ641" s="399"/>
      <c r="BA641" s="409" t="s">
        <v>3125</v>
      </c>
      <c r="BB641" s="399"/>
      <c r="BC641" s="399" t="s">
        <v>1787</v>
      </c>
      <c r="BD641" s="399" t="s">
        <v>1787</v>
      </c>
      <c r="BE641" s="411"/>
      <c r="BF641" s="411" t="s">
        <v>1787</v>
      </c>
      <c r="BG641" s="434" t="s">
        <v>7275</v>
      </c>
      <c r="BH641" s="411"/>
      <c r="BI641" s="411"/>
      <c r="BJ641" s="399" t="s">
        <v>1787</v>
      </c>
      <c r="BK641" s="399" t="s">
        <v>1787</v>
      </c>
      <c r="BL641" s="409" t="s">
        <v>3162</v>
      </c>
      <c r="BM641" s="399" t="s">
        <v>1787</v>
      </c>
      <c r="BN641" s="399" t="s">
        <v>1787</v>
      </c>
      <c r="BO641" s="399" t="s">
        <v>1787</v>
      </c>
      <c r="BP641" s="399" t="s">
        <v>1787</v>
      </c>
      <c r="BQ641" s="399" t="s">
        <v>1787</v>
      </c>
      <c r="BR641" s="399" t="s">
        <v>1787</v>
      </c>
      <c r="BS641" s="407"/>
      <c r="BT641" s="407"/>
      <c r="BU641" s="412"/>
      <c r="BV641" s="46" t="str">
        <f t="shared" si="8"/>
        <v/>
      </c>
      <c r="BW641" s="46">
        <f t="shared" si="9"/>
        <v>0</v>
      </c>
      <c r="BX641" s="46">
        <f t="shared" si="10"/>
        <v>0</v>
      </c>
      <c r="BY641" s="43" t="str">
        <f t="shared" si="11"/>
        <v>WHO-STI Observation (Speculum Examination)</v>
      </c>
      <c r="BZ641" s="46">
        <f t="shared" si="12"/>
        <v>1</v>
      </c>
      <c r="CA641" s="46" t="str">
        <f t="shared" si="13"/>
        <v/>
      </c>
      <c r="CB641" s="46">
        <f t="shared" si="14"/>
        <v>1</v>
      </c>
      <c r="CC641" s="46">
        <f t="shared" si="15"/>
        <v>1</v>
      </c>
      <c r="CD641" s="46">
        <f t="shared" si="16"/>
        <v>1</v>
      </c>
      <c r="CE641" s="46">
        <f t="shared" si="17"/>
        <v>0</v>
      </c>
      <c r="CF641" s="46">
        <f t="shared" si="18"/>
        <v>0</v>
      </c>
      <c r="CG641" s="46" t="str">
        <f ca="1">IFERROR(__xludf.DUMMYFUNCTION("if(OR(BH641="""",LEFT(BH641,2)=""LA""),"""",IMPORTXML(CONCATENATE(""https://loinc.org/"",BH641,""/""),""//span[@id='lcn']""))"),"")</f>
        <v/>
      </c>
      <c r="CH641" s="46"/>
      <c r="CI641" s="46"/>
      <c r="CJ641" s="46"/>
      <c r="CK641" s="46"/>
      <c r="CL641" s="46"/>
      <c r="CM641" s="46"/>
      <c r="CN641" s="46"/>
      <c r="CO641" s="46"/>
      <c r="CP641" s="46"/>
      <c r="CQ641" s="46"/>
      <c r="CR641" s="46"/>
      <c r="CS641" s="46"/>
      <c r="CT641" s="46"/>
      <c r="CU641" s="46"/>
    </row>
    <row r="642" spans="1:99" ht="12.75" customHeight="1">
      <c r="A642" s="409">
        <v>2074</v>
      </c>
      <c r="B642" s="399" t="s">
        <v>7281</v>
      </c>
      <c r="C642" s="399">
        <f t="shared" si="103"/>
        <v>2074</v>
      </c>
      <c r="D642" s="399" t="e">
        <f t="shared" ca="1" si="104"/>
        <v>#NAME?</v>
      </c>
      <c r="E642" s="399" t="str">
        <f t="shared" si="105"/>
        <v>Purulent discharge</v>
      </c>
      <c r="F642" s="399" t="str">
        <f t="shared" si="111"/>
        <v>Input Option</v>
      </c>
      <c r="G642" s="400">
        <f t="shared" si="106"/>
        <v>25</v>
      </c>
      <c r="H642" s="399" t="str">
        <f t="shared" si="110"/>
        <v>Speculum Exam Results</v>
      </c>
      <c r="I642" s="400"/>
      <c r="J642" s="400"/>
      <c r="K642" s="401" t="s">
        <v>5283</v>
      </c>
      <c r="L642" s="402" t="s">
        <v>7227</v>
      </c>
      <c r="M642" s="400"/>
      <c r="N642" s="675" t="s">
        <v>7175</v>
      </c>
      <c r="O642" s="404" t="s">
        <v>7282</v>
      </c>
      <c r="P642" s="404"/>
      <c r="Q642" s="437"/>
      <c r="R642" s="404"/>
      <c r="S642" s="437"/>
      <c r="T642" s="437"/>
      <c r="U642" s="437"/>
      <c r="V642" s="420" t="s">
        <v>7283</v>
      </c>
      <c r="W642" s="404"/>
      <c r="X642" s="404"/>
      <c r="Y642" s="437"/>
      <c r="Z642" s="404" t="s">
        <v>113</v>
      </c>
      <c r="AA642" s="437" t="s">
        <v>1889</v>
      </c>
      <c r="AB642" s="420" t="s">
        <v>7284</v>
      </c>
      <c r="AC642" s="426"/>
      <c r="AD642" s="426"/>
      <c r="AE642" s="420"/>
      <c r="AF642" s="426"/>
      <c r="AG642" s="426"/>
      <c r="AH642" s="399"/>
      <c r="AI642" s="400"/>
      <c r="AJ642" s="399" t="s">
        <v>1787</v>
      </c>
      <c r="AK642" s="399"/>
      <c r="AL642" s="399" t="s">
        <v>1787</v>
      </c>
      <c r="AM642" s="399"/>
      <c r="AN642" s="399" t="s">
        <v>1787</v>
      </c>
      <c r="AO642" s="399" t="s">
        <v>1787</v>
      </c>
      <c r="AP642" s="399"/>
      <c r="AQ642" s="409" t="s">
        <v>3130</v>
      </c>
      <c r="AR642" s="399"/>
      <c r="AS642" s="399"/>
      <c r="AT642" s="399"/>
      <c r="AU642" s="399"/>
      <c r="AV642" s="399" t="str">
        <f t="shared" si="107"/>
        <v/>
      </c>
      <c r="AW642" s="399"/>
      <c r="AX642" s="409" t="s">
        <v>5194</v>
      </c>
      <c r="AY642" s="399" t="e">
        <f t="shared" ca="1" si="108"/>
        <v>#NAME?</v>
      </c>
      <c r="AZ642" s="399"/>
      <c r="BA642" s="409" t="s">
        <v>3125</v>
      </c>
      <c r="BB642" s="399"/>
      <c r="BC642" s="399" t="s">
        <v>1787</v>
      </c>
      <c r="BD642" s="409" t="s">
        <v>7285</v>
      </c>
      <c r="BE642" s="411"/>
      <c r="BF642" s="411" t="s">
        <v>1787</v>
      </c>
      <c r="BG642" s="418" t="s">
        <v>7286</v>
      </c>
      <c r="BH642" s="411"/>
      <c r="BI642" s="411"/>
      <c r="BJ642" s="399" t="s">
        <v>1787</v>
      </c>
      <c r="BK642" s="399" t="s">
        <v>1787</v>
      </c>
      <c r="BL642" s="399"/>
      <c r="BM642" s="399" t="s">
        <v>1787</v>
      </c>
      <c r="BN642" s="399" t="s">
        <v>1787</v>
      </c>
      <c r="BO642" s="399" t="s">
        <v>1787</v>
      </c>
      <c r="BP642" s="399" t="s">
        <v>1787</v>
      </c>
      <c r="BQ642" s="399" t="s">
        <v>1787</v>
      </c>
      <c r="BR642" s="399" t="s">
        <v>1787</v>
      </c>
      <c r="BS642" s="407"/>
      <c r="BT642" s="407"/>
      <c r="BU642" s="412"/>
      <c r="BV642" s="46" t="str">
        <f t="shared" si="8"/>
        <v/>
      </c>
      <c r="BW642" s="46">
        <f t="shared" si="9"/>
        <v>0</v>
      </c>
      <c r="BX642" s="46">
        <f t="shared" si="10"/>
        <v>0</v>
      </c>
      <c r="BY642" s="43" t="str">
        <f t="shared" si="11"/>
        <v>WHO-STI Observation (Speculum Examination)</v>
      </c>
      <c r="BZ642" s="46">
        <f t="shared" si="12"/>
        <v>1</v>
      </c>
      <c r="CA642" s="46" t="str">
        <f t="shared" si="13"/>
        <v/>
      </c>
      <c r="CB642" s="46">
        <f t="shared" si="14"/>
        <v>1</v>
      </c>
      <c r="CC642" s="46">
        <f t="shared" si="15"/>
        <v>1</v>
      </c>
      <c r="CD642" s="46">
        <f t="shared" si="16"/>
        <v>1</v>
      </c>
      <c r="CE642" s="46">
        <f t="shared" si="17"/>
        <v>0</v>
      </c>
      <c r="CF642" s="46">
        <f t="shared" si="18"/>
        <v>0</v>
      </c>
      <c r="CG642" s="46" t="str">
        <f ca="1">IFERROR(__xludf.DUMMYFUNCTION("if(OR(BH642="""",LEFT(BH642,2)=""LA""),"""",IMPORTXML(CONCATENATE(""https://loinc.org/"",BH642,""/""),""//span[@id='lcn']""))"),"")</f>
        <v/>
      </c>
      <c r="CH642" s="46"/>
      <c r="CI642" s="46"/>
      <c r="CJ642" s="46"/>
      <c r="CK642" s="46"/>
      <c r="CL642" s="46"/>
      <c r="CM642" s="46"/>
      <c r="CN642" s="46"/>
      <c r="CO642" s="46"/>
      <c r="CP642" s="46"/>
      <c r="CQ642" s="46"/>
      <c r="CR642" s="46"/>
      <c r="CS642" s="46"/>
      <c r="CT642" s="46"/>
      <c r="CU642" s="46"/>
    </row>
    <row r="643" spans="1:99" ht="12.75" customHeight="1">
      <c r="A643" s="409">
        <v>2075</v>
      </c>
      <c r="B643" s="399" t="s">
        <v>7287</v>
      </c>
      <c r="C643" s="399">
        <f t="shared" si="103"/>
        <v>2075</v>
      </c>
      <c r="D643" s="399" t="e">
        <f t="shared" ca="1" si="104"/>
        <v>#NAME?</v>
      </c>
      <c r="E643" s="399" t="str">
        <f t="shared" si="105"/>
        <v>Cervical tumors</v>
      </c>
      <c r="F643" s="399" t="str">
        <f t="shared" si="111"/>
        <v>Input Option</v>
      </c>
      <c r="G643" s="400">
        <f t="shared" si="106"/>
        <v>22</v>
      </c>
      <c r="H643" s="399" t="str">
        <f t="shared" si="110"/>
        <v>Speculum Exam Results</v>
      </c>
      <c r="I643" s="400"/>
      <c r="J643" s="400"/>
      <c r="K643" s="401" t="s">
        <v>5283</v>
      </c>
      <c r="L643" s="402" t="s">
        <v>7227</v>
      </c>
      <c r="M643" s="400"/>
      <c r="N643" s="675" t="s">
        <v>7175</v>
      </c>
      <c r="O643" s="404" t="s">
        <v>7288</v>
      </c>
      <c r="P643" s="404"/>
      <c r="Q643" s="437"/>
      <c r="R643" s="404"/>
      <c r="S643" s="437"/>
      <c r="T643" s="437"/>
      <c r="U643" s="437"/>
      <c r="V643" s="420" t="s">
        <v>7289</v>
      </c>
      <c r="W643" s="404"/>
      <c r="X643" s="404"/>
      <c r="Y643" s="437"/>
      <c r="Z643" s="404" t="s">
        <v>113</v>
      </c>
      <c r="AA643" s="437" t="s">
        <v>1889</v>
      </c>
      <c r="AB643" s="406"/>
      <c r="AC643" s="404"/>
      <c r="AD643" s="404"/>
      <c r="AE643" s="406"/>
      <c r="AF643" s="404"/>
      <c r="AG643" s="404"/>
      <c r="AH643" s="399"/>
      <c r="AI643" s="400"/>
      <c r="AJ643" s="399" t="s">
        <v>1787</v>
      </c>
      <c r="AK643" s="399"/>
      <c r="AL643" s="399" t="s">
        <v>1787</v>
      </c>
      <c r="AM643" s="399"/>
      <c r="AN643" s="399" t="s">
        <v>1787</v>
      </c>
      <c r="AO643" s="399" t="s">
        <v>1787</v>
      </c>
      <c r="AP643" s="399"/>
      <c r="AQ643" s="409" t="s">
        <v>3130</v>
      </c>
      <c r="AR643" s="399"/>
      <c r="AS643" s="399"/>
      <c r="AT643" s="399"/>
      <c r="AU643" s="399"/>
      <c r="AV643" s="399" t="str">
        <f t="shared" si="107"/>
        <v/>
      </c>
      <c r="AW643" s="399"/>
      <c r="AX643" s="409" t="s">
        <v>5194</v>
      </c>
      <c r="AY643" s="399" t="e">
        <f t="shared" ca="1" si="108"/>
        <v>#NAME?</v>
      </c>
      <c r="AZ643" s="399"/>
      <c r="BA643" s="409" t="s">
        <v>3125</v>
      </c>
      <c r="BB643" s="399"/>
      <c r="BC643" s="399" t="s">
        <v>1787</v>
      </c>
      <c r="BD643" s="409" t="s">
        <v>7290</v>
      </c>
      <c r="BE643" s="411"/>
      <c r="BF643" s="411" t="s">
        <v>1787</v>
      </c>
      <c r="BG643" s="434" t="s">
        <v>7291</v>
      </c>
      <c r="BH643" s="411"/>
      <c r="BI643" s="411"/>
      <c r="BJ643" s="399" t="s">
        <v>1787</v>
      </c>
      <c r="BK643" s="399" t="s">
        <v>1787</v>
      </c>
      <c r="BL643" s="399"/>
      <c r="BM643" s="409" t="s">
        <v>7292</v>
      </c>
      <c r="BN643" s="438" t="str">
        <f>HYPERLINK("https://github.com/who-int/Data-Dictionary-Mapping/issues/39","39")</f>
        <v>39</v>
      </c>
      <c r="BO643" s="399" t="s">
        <v>1787</v>
      </c>
      <c r="BP643" s="399" t="s">
        <v>1787</v>
      </c>
      <c r="BQ643" s="399" t="s">
        <v>1787</v>
      </c>
      <c r="BR643" s="399" t="s">
        <v>1787</v>
      </c>
      <c r="BS643" s="407"/>
      <c r="BT643" s="407"/>
      <c r="BU643" s="412"/>
      <c r="BV643" s="46" t="str">
        <f t="shared" si="8"/>
        <v/>
      </c>
      <c r="BW643" s="46">
        <f t="shared" si="9"/>
        <v>0</v>
      </c>
      <c r="BX643" s="46">
        <f t="shared" si="10"/>
        <v>0</v>
      </c>
      <c r="BY643" s="43" t="str">
        <f t="shared" si="11"/>
        <v>WHO-STI Observation (Speculum Examination)</v>
      </c>
      <c r="BZ643" s="46">
        <f t="shared" si="12"/>
        <v>1</v>
      </c>
      <c r="CA643" s="46" t="str">
        <f t="shared" si="13"/>
        <v/>
      </c>
      <c r="CB643" s="46">
        <f t="shared" si="14"/>
        <v>1</v>
      </c>
      <c r="CC643" s="46">
        <f t="shared" si="15"/>
        <v>1</v>
      </c>
      <c r="CD643" s="46">
        <f t="shared" si="16"/>
        <v>1</v>
      </c>
      <c r="CE643" s="46">
        <f t="shared" si="17"/>
        <v>0</v>
      </c>
      <c r="CF643" s="46">
        <f t="shared" si="18"/>
        <v>0</v>
      </c>
      <c r="CG643" s="46" t="str">
        <f ca="1">IFERROR(__xludf.DUMMYFUNCTION("if(OR(BH643="""",LEFT(BH643,2)=""LA""),"""",IMPORTXML(CONCATENATE(""https://loinc.org/"",BH643,""/""),""//span[@id='lcn']""))"),"")</f>
        <v/>
      </c>
      <c r="CH643" s="46"/>
      <c r="CI643" s="46"/>
      <c r="CJ643" s="46"/>
      <c r="CK643" s="46"/>
      <c r="CL643" s="46"/>
      <c r="CM643" s="46"/>
      <c r="CN643" s="46"/>
      <c r="CO643" s="46"/>
      <c r="CP643" s="46"/>
      <c r="CQ643" s="46"/>
      <c r="CR643" s="46"/>
      <c r="CS643" s="46"/>
      <c r="CT643" s="46"/>
      <c r="CU643" s="46"/>
    </row>
    <row r="644" spans="1:99" ht="12.75" customHeight="1">
      <c r="A644" s="409">
        <v>2076</v>
      </c>
      <c r="B644" s="399" t="s">
        <v>7294</v>
      </c>
      <c r="C644" s="399">
        <f t="shared" si="103"/>
        <v>2076</v>
      </c>
      <c r="D644" s="399" t="e">
        <f t="shared" ca="1" si="104"/>
        <v>#NAME?</v>
      </c>
      <c r="E644" s="399" t="str">
        <f t="shared" si="105"/>
        <v>Abnormal cervical tissue</v>
      </c>
      <c r="F644" s="399" t="str">
        <f t="shared" si="111"/>
        <v>Input Option</v>
      </c>
      <c r="G644" s="400">
        <f t="shared" si="106"/>
        <v>31</v>
      </c>
      <c r="H644" s="399" t="str">
        <f t="shared" si="110"/>
        <v>Speculum Exam Results</v>
      </c>
      <c r="I644" s="400"/>
      <c r="J644" s="400"/>
      <c r="K644" s="401" t="s">
        <v>5283</v>
      </c>
      <c r="L644" s="402" t="s">
        <v>7227</v>
      </c>
      <c r="M644" s="400"/>
      <c r="N644" s="675" t="s">
        <v>7175</v>
      </c>
      <c r="O644" s="404" t="s">
        <v>7298</v>
      </c>
      <c r="P644" s="404"/>
      <c r="Q644" s="437"/>
      <c r="R644" s="404"/>
      <c r="S644" s="437"/>
      <c r="T644" s="437"/>
      <c r="U644" s="437"/>
      <c r="V644" s="420" t="s">
        <v>7300</v>
      </c>
      <c r="W644" s="404"/>
      <c r="X644" s="404"/>
      <c r="Y644" s="437"/>
      <c r="Z644" s="404" t="s">
        <v>113</v>
      </c>
      <c r="AA644" s="437" t="s">
        <v>1889</v>
      </c>
      <c r="AB644" s="406"/>
      <c r="AC644" s="404"/>
      <c r="AD644" s="404"/>
      <c r="AE644" s="406"/>
      <c r="AF644" s="404"/>
      <c r="AG644" s="404"/>
      <c r="AH644" s="399"/>
      <c r="AI644" s="400"/>
      <c r="AJ644" s="399" t="s">
        <v>1787</v>
      </c>
      <c r="AK644" s="399"/>
      <c r="AL644" s="399" t="s">
        <v>1787</v>
      </c>
      <c r="AM644" s="399"/>
      <c r="AN644" s="399" t="s">
        <v>1787</v>
      </c>
      <c r="AO644" s="399" t="s">
        <v>1787</v>
      </c>
      <c r="AP644" s="399"/>
      <c r="AQ644" s="409" t="s">
        <v>3130</v>
      </c>
      <c r="AR644" s="399"/>
      <c r="AS644" s="399"/>
      <c r="AT644" s="399"/>
      <c r="AU644" s="399"/>
      <c r="AV644" s="399" t="str">
        <f t="shared" si="107"/>
        <v/>
      </c>
      <c r="AW644" s="399"/>
      <c r="AX644" s="409" t="s">
        <v>5194</v>
      </c>
      <c r="AY644" s="399" t="e">
        <f t="shared" ca="1" si="108"/>
        <v>#NAME?</v>
      </c>
      <c r="AZ644" s="399"/>
      <c r="BA644" s="409" t="s">
        <v>3125</v>
      </c>
      <c r="BB644" s="415" t="s">
        <v>3131</v>
      </c>
      <c r="BC644" s="399" t="s">
        <v>7300</v>
      </c>
      <c r="BD644" s="399" t="s">
        <v>1787</v>
      </c>
      <c r="BE644" s="411"/>
      <c r="BF644" s="411" t="s">
        <v>1787</v>
      </c>
      <c r="BG644" s="411"/>
      <c r="BH644" s="411"/>
      <c r="BI644" s="411"/>
      <c r="BJ644" s="409" t="s">
        <v>4282</v>
      </c>
      <c r="BK644" s="399" t="s">
        <v>1787</v>
      </c>
      <c r="BL644" s="409" t="s">
        <v>3162</v>
      </c>
      <c r="BM644" s="409" t="s">
        <v>7308</v>
      </c>
      <c r="BN644" s="399" t="s">
        <v>1787</v>
      </c>
      <c r="BO644" s="399" t="s">
        <v>1787</v>
      </c>
      <c r="BP644" s="399" t="s">
        <v>1787</v>
      </c>
      <c r="BQ644" s="399" t="s">
        <v>1787</v>
      </c>
      <c r="BR644" s="399" t="s">
        <v>1787</v>
      </c>
      <c r="BS644" s="407"/>
      <c r="BT644" s="407"/>
      <c r="BU644" s="412"/>
      <c r="BV644" s="46" t="str">
        <f t="shared" si="8"/>
        <v/>
      </c>
      <c r="BW644" s="46">
        <f t="shared" si="9"/>
        <v>0</v>
      </c>
      <c r="BX644" s="46">
        <f t="shared" si="10"/>
        <v>0</v>
      </c>
      <c r="BY644" s="43" t="str">
        <f t="shared" si="11"/>
        <v>WHO-STI Observation (Speculum Examination)</v>
      </c>
      <c r="BZ644" s="46">
        <f t="shared" si="12"/>
        <v>1</v>
      </c>
      <c r="CA644" s="46" t="str">
        <f t="shared" si="13"/>
        <v/>
      </c>
      <c r="CB644" s="46">
        <f t="shared" si="14"/>
        <v>1</v>
      </c>
      <c r="CC644" s="46">
        <f t="shared" si="15"/>
        <v>1</v>
      </c>
      <c r="CD644" s="46">
        <f t="shared" si="16"/>
        <v>1</v>
      </c>
      <c r="CE644" s="46">
        <f t="shared" si="17"/>
        <v>0</v>
      </c>
      <c r="CF644" s="46">
        <f t="shared" si="18"/>
        <v>0</v>
      </c>
      <c r="CG644" s="46" t="str">
        <f ca="1">IFERROR(__xludf.DUMMYFUNCTION("if(OR(BH644="""",LEFT(BH644,2)=""LA""),"""",IMPORTXML(CONCATENATE(""https://loinc.org/"",BH644,""/""),""//span[@id='lcn']""))"),"")</f>
        <v/>
      </c>
      <c r="CH644" s="46"/>
      <c r="CI644" s="46"/>
      <c r="CJ644" s="46"/>
      <c r="CK644" s="46"/>
      <c r="CL644" s="46"/>
      <c r="CM644" s="46"/>
      <c r="CN644" s="46"/>
      <c r="CO644" s="46"/>
      <c r="CP644" s="46"/>
      <c r="CQ644" s="46"/>
      <c r="CR644" s="46"/>
      <c r="CS644" s="46"/>
      <c r="CT644" s="46"/>
      <c r="CU644" s="46"/>
    </row>
    <row r="645" spans="1:99" ht="12.75" customHeight="1">
      <c r="A645" s="409">
        <v>2077</v>
      </c>
      <c r="B645" s="399" t="s">
        <v>535</v>
      </c>
      <c r="C645" s="399">
        <f t="shared" si="103"/>
        <v>2077</v>
      </c>
      <c r="D645" s="399" t="e">
        <f t="shared" ca="1" si="104"/>
        <v>#NAME?</v>
      </c>
      <c r="E645" s="399" t="str">
        <f t="shared" si="105"/>
        <v>Other (specify)</v>
      </c>
      <c r="F645" s="399" t="str">
        <f t="shared" si="111"/>
        <v>Input Option</v>
      </c>
      <c r="G645" s="400">
        <f t="shared" si="106"/>
        <v>22</v>
      </c>
      <c r="H645" s="399" t="str">
        <f t="shared" si="110"/>
        <v>Speculum Exam Results</v>
      </c>
      <c r="I645" s="400"/>
      <c r="J645" s="400"/>
      <c r="K645" s="401" t="s">
        <v>5283</v>
      </c>
      <c r="L645" s="402" t="s">
        <v>7227</v>
      </c>
      <c r="M645" s="400"/>
      <c r="N645" s="675" t="s">
        <v>7175</v>
      </c>
      <c r="O645" s="404" t="s">
        <v>6258</v>
      </c>
      <c r="P645" s="404"/>
      <c r="Q645" s="437"/>
      <c r="R645" s="404"/>
      <c r="S645" s="437"/>
      <c r="T645" s="437"/>
      <c r="U645" s="437"/>
      <c r="V645" s="420" t="s">
        <v>405</v>
      </c>
      <c r="W645" s="404"/>
      <c r="X645" s="404"/>
      <c r="Y645" s="437"/>
      <c r="Z645" s="404" t="s">
        <v>113</v>
      </c>
      <c r="AA645" s="437"/>
      <c r="AB645" s="406"/>
      <c r="AC645" s="404"/>
      <c r="AD645" s="404"/>
      <c r="AE645" s="406"/>
      <c r="AF645" s="404"/>
      <c r="AG645" s="404"/>
      <c r="AH645" s="399"/>
      <c r="AI645" s="400"/>
      <c r="AJ645" s="399" t="s">
        <v>1787</v>
      </c>
      <c r="AK645" s="399"/>
      <c r="AL645" s="399" t="s">
        <v>1787</v>
      </c>
      <c r="AM645" s="399"/>
      <c r="AN645" s="399" t="s">
        <v>1787</v>
      </c>
      <c r="AO645" s="399" t="s">
        <v>1787</v>
      </c>
      <c r="AP645" s="399"/>
      <c r="AQ645" s="409" t="s">
        <v>3130</v>
      </c>
      <c r="AR645" s="399"/>
      <c r="AS645" s="399"/>
      <c r="AT645" s="399"/>
      <c r="AU645" s="399"/>
      <c r="AV645" s="399" t="str">
        <f t="shared" si="107"/>
        <v/>
      </c>
      <c r="AW645" s="399"/>
      <c r="AX645" s="409" t="s">
        <v>5194</v>
      </c>
      <c r="AY645" s="399" t="e">
        <f t="shared" ca="1" si="108"/>
        <v>#NAME?</v>
      </c>
      <c r="AZ645" s="399"/>
      <c r="BA645" s="409">
        <v>1</v>
      </c>
      <c r="BB645" s="415" t="s">
        <v>3131</v>
      </c>
      <c r="BC645" s="403" t="s">
        <v>1387</v>
      </c>
      <c r="BD645" s="399" t="s">
        <v>1787</v>
      </c>
      <c r="BE645" s="411"/>
      <c r="BF645" s="411" t="s">
        <v>1787</v>
      </c>
      <c r="BG645" s="411"/>
      <c r="BH645" s="411"/>
      <c r="BI645" s="411"/>
      <c r="BJ645" s="399" t="s">
        <v>1787</v>
      </c>
      <c r="BK645" s="399" t="s">
        <v>1787</v>
      </c>
      <c r="BL645" s="399"/>
      <c r="BM645" s="399" t="s">
        <v>1787</v>
      </c>
      <c r="BN645" s="399" t="s">
        <v>1787</v>
      </c>
      <c r="BO645" s="399" t="s">
        <v>1787</v>
      </c>
      <c r="BP645" s="399" t="s">
        <v>1787</v>
      </c>
      <c r="BQ645" s="399" t="s">
        <v>1787</v>
      </c>
      <c r="BR645" s="399" t="s">
        <v>1787</v>
      </c>
      <c r="BS645" s="407"/>
      <c r="BT645" s="407"/>
      <c r="BU645" s="412"/>
      <c r="BV645" s="46" t="str">
        <f t="shared" si="8"/>
        <v/>
      </c>
      <c r="BW645" s="46">
        <f t="shared" si="9"/>
        <v>0</v>
      </c>
      <c r="BX645" s="46">
        <f t="shared" si="10"/>
        <v>0</v>
      </c>
      <c r="BY645" s="43" t="str">
        <f t="shared" si="11"/>
        <v>WHO-STI Observation (Speculum Examination)</v>
      </c>
      <c r="BZ645" s="46">
        <f t="shared" si="12"/>
        <v>1</v>
      </c>
      <c r="CA645" s="46" t="str">
        <f t="shared" si="13"/>
        <v/>
      </c>
      <c r="CB645" s="46">
        <f t="shared" si="14"/>
        <v>1</v>
      </c>
      <c r="CC645" s="46">
        <f t="shared" si="15"/>
        <v>1</v>
      </c>
      <c r="CD645" s="46">
        <f t="shared" si="16"/>
        <v>1</v>
      </c>
      <c r="CE645" s="46">
        <f t="shared" si="17"/>
        <v>0</v>
      </c>
      <c r="CF645" s="46">
        <f t="shared" si="18"/>
        <v>0</v>
      </c>
      <c r="CG645" s="46" t="str">
        <f ca="1">IFERROR(__xludf.DUMMYFUNCTION("if(OR(BH645="""",LEFT(BH645,2)=""LA""),"""",IMPORTXML(CONCATENATE(""https://loinc.org/"",BH645,""/""),""//span[@id='lcn']""))"),"")</f>
        <v/>
      </c>
      <c r="CH645" s="46"/>
      <c r="CI645" s="46"/>
      <c r="CJ645" s="46"/>
      <c r="CK645" s="46"/>
      <c r="CL645" s="46"/>
      <c r="CM645" s="46"/>
      <c r="CN645" s="46"/>
      <c r="CO645" s="46"/>
      <c r="CP645" s="46"/>
      <c r="CQ645" s="46"/>
      <c r="CR645" s="46"/>
      <c r="CS645" s="46"/>
      <c r="CT645" s="46"/>
      <c r="CU645" s="46"/>
    </row>
    <row r="646" spans="1:99" ht="12.75" customHeight="1">
      <c r="A646" s="409">
        <v>2078</v>
      </c>
      <c r="B646" s="399" t="s">
        <v>7345</v>
      </c>
      <c r="C646" s="399">
        <f t="shared" si="103"/>
        <v>2078</v>
      </c>
      <c r="D646" s="399" t="e">
        <f t="shared" ca="1" si="104"/>
        <v>#NAME?</v>
      </c>
      <c r="E646" s="399" t="str">
        <f t="shared" si="105"/>
        <v>Foul-smelling lochia</v>
      </c>
      <c r="F646" s="399" t="str">
        <f t="shared" si="111"/>
        <v>Input Option</v>
      </c>
      <c r="G646" s="400">
        <f t="shared" si="106"/>
        <v>27</v>
      </c>
      <c r="H646" s="399" t="str">
        <f t="shared" si="110"/>
        <v>Speculum Exam Results</v>
      </c>
      <c r="I646" s="400"/>
      <c r="J646" s="400"/>
      <c r="K646" s="401" t="s">
        <v>5283</v>
      </c>
      <c r="L646" s="402" t="s">
        <v>7227</v>
      </c>
      <c r="M646" s="400"/>
      <c r="N646" s="675" t="s">
        <v>7175</v>
      </c>
      <c r="O646" s="431" t="s">
        <v>7348</v>
      </c>
      <c r="P646" s="431"/>
      <c r="Q646" s="437"/>
      <c r="R646" s="437"/>
      <c r="S646" s="414" t="s">
        <v>7349</v>
      </c>
      <c r="T646" s="437"/>
      <c r="U646" s="437"/>
      <c r="V646" s="420" t="s">
        <v>7351</v>
      </c>
      <c r="W646" s="437"/>
      <c r="X646" s="437"/>
      <c r="Y646" s="437" t="s">
        <v>7352</v>
      </c>
      <c r="Z646" s="437" t="s">
        <v>113</v>
      </c>
      <c r="AA646" s="437" t="s">
        <v>3178</v>
      </c>
      <c r="AB646" s="444" t="s">
        <v>7353</v>
      </c>
      <c r="AC646" s="651"/>
      <c r="AD646" s="651"/>
      <c r="AE646" s="444"/>
      <c r="AF646" s="437"/>
      <c r="AG646" s="444" t="s">
        <v>6164</v>
      </c>
      <c r="AH646" s="399"/>
      <c r="AI646" s="400"/>
      <c r="AJ646" s="399" t="s">
        <v>1787</v>
      </c>
      <c r="AK646" s="399"/>
      <c r="AL646" s="399" t="s">
        <v>1787</v>
      </c>
      <c r="AM646" s="399"/>
      <c r="AN646" s="399" t="s">
        <v>1787</v>
      </c>
      <c r="AO646" s="399" t="s">
        <v>1787</v>
      </c>
      <c r="AP646" s="399"/>
      <c r="AQ646" s="409" t="s">
        <v>3130</v>
      </c>
      <c r="AR646" s="399"/>
      <c r="AS646" s="399"/>
      <c r="AT646" s="399"/>
      <c r="AU646" s="399"/>
      <c r="AV646" s="399" t="str">
        <f t="shared" si="107"/>
        <v/>
      </c>
      <c r="AW646" s="399"/>
      <c r="AX646" s="409" t="s">
        <v>5194</v>
      </c>
      <c r="AY646" s="399" t="e">
        <f t="shared" ca="1" si="108"/>
        <v>#NAME?</v>
      </c>
      <c r="AZ646" s="399"/>
      <c r="BA646" s="409" t="s">
        <v>3125</v>
      </c>
      <c r="BB646" s="399"/>
      <c r="BC646" s="399" t="s">
        <v>1787</v>
      </c>
      <c r="BD646" s="409" t="s">
        <v>7359</v>
      </c>
      <c r="BE646" s="411"/>
      <c r="BF646" s="411" t="s">
        <v>1787</v>
      </c>
      <c r="BG646" s="434" t="s">
        <v>7360</v>
      </c>
      <c r="BH646" s="411"/>
      <c r="BI646" s="411"/>
      <c r="BJ646" s="399" t="s">
        <v>1787</v>
      </c>
      <c r="BK646" s="399" t="s">
        <v>1787</v>
      </c>
      <c r="BL646" s="399"/>
      <c r="BM646" s="409" t="s">
        <v>7361</v>
      </c>
      <c r="BN646" s="409">
        <v>40</v>
      </c>
      <c r="BO646" s="399" t="s">
        <v>1787</v>
      </c>
      <c r="BP646" s="399" t="s">
        <v>1787</v>
      </c>
      <c r="BQ646" s="399" t="s">
        <v>1787</v>
      </c>
      <c r="BR646" s="399" t="s">
        <v>1787</v>
      </c>
      <c r="BS646" s="407"/>
      <c r="BT646" s="407"/>
      <c r="BU646" s="412"/>
      <c r="BV646" s="46" t="str">
        <f t="shared" si="8"/>
        <v/>
      </c>
      <c r="BW646" s="46">
        <f t="shared" si="9"/>
        <v>0</v>
      </c>
      <c r="BX646" s="46">
        <f t="shared" si="10"/>
        <v>0</v>
      </c>
      <c r="BY646" s="43" t="str">
        <f t="shared" si="11"/>
        <v>WHO-STI Observation (Speculum Examination)</v>
      </c>
      <c r="BZ646" s="46">
        <f t="shared" si="12"/>
        <v>1</v>
      </c>
      <c r="CA646" s="46" t="str">
        <f t="shared" si="13"/>
        <v/>
      </c>
      <c r="CB646" s="46">
        <f t="shared" si="14"/>
        <v>1</v>
      </c>
      <c r="CC646" s="46">
        <f t="shared" si="15"/>
        <v>1</v>
      </c>
      <c r="CD646" s="46">
        <f t="shared" si="16"/>
        <v>1</v>
      </c>
      <c r="CE646" s="46">
        <f t="shared" si="17"/>
        <v>0</v>
      </c>
      <c r="CF646" s="46">
        <f t="shared" si="18"/>
        <v>0</v>
      </c>
      <c r="CG646" s="46" t="str">
        <f ca="1">IFERROR(__xludf.DUMMYFUNCTION("if(OR(BH646="""",LEFT(BH646,2)=""LA""),"""",IMPORTXML(CONCATENATE(""https://loinc.org/"",BH646,""/""),""//span[@id='lcn']""))"),"")</f>
        <v/>
      </c>
      <c r="CH646" s="46"/>
      <c r="CI646" s="46"/>
      <c r="CJ646" s="46"/>
      <c r="CK646" s="46"/>
      <c r="CL646" s="46"/>
      <c r="CM646" s="46"/>
      <c r="CN646" s="46"/>
      <c r="CO646" s="46"/>
      <c r="CP646" s="46"/>
      <c r="CQ646" s="46"/>
      <c r="CR646" s="46"/>
      <c r="CS646" s="46"/>
      <c r="CT646" s="46"/>
      <c r="CU646" s="46"/>
    </row>
    <row r="647" spans="1:99" ht="12.75" customHeight="1">
      <c r="A647" s="409">
        <v>2079</v>
      </c>
      <c r="B647" s="399" t="s">
        <v>7368</v>
      </c>
      <c r="C647" s="399">
        <f t="shared" si="103"/>
        <v>2079</v>
      </c>
      <c r="D647" s="399" t="e">
        <f t="shared" ca="1" si="104"/>
        <v>#NAME?</v>
      </c>
      <c r="E647" s="399" t="str">
        <f t="shared" si="105"/>
        <v>Profuse lochia</v>
      </c>
      <c r="F647" s="399" t="str">
        <f t="shared" si="111"/>
        <v>Input Option</v>
      </c>
      <c r="G647" s="400">
        <f t="shared" si="106"/>
        <v>21</v>
      </c>
      <c r="H647" s="399" t="str">
        <f t="shared" si="110"/>
        <v>Speculum Exam Results</v>
      </c>
      <c r="I647" s="400"/>
      <c r="J647" s="400"/>
      <c r="K647" s="401" t="s">
        <v>5283</v>
      </c>
      <c r="L647" s="402" t="s">
        <v>7227</v>
      </c>
      <c r="M647" s="400"/>
      <c r="N647" s="675" t="s">
        <v>7175</v>
      </c>
      <c r="O647" s="431" t="s">
        <v>7371</v>
      </c>
      <c r="P647" s="431"/>
      <c r="Q647" s="437"/>
      <c r="R647" s="437"/>
      <c r="S647" s="444" t="s">
        <v>7372</v>
      </c>
      <c r="T647" s="651"/>
      <c r="U647" s="437"/>
      <c r="V647" s="437" t="s">
        <v>7373</v>
      </c>
      <c r="W647" s="437"/>
      <c r="X647" s="437"/>
      <c r="Y647" s="437" t="s">
        <v>7352</v>
      </c>
      <c r="Z647" s="437" t="s">
        <v>113</v>
      </c>
      <c r="AA647" s="437" t="s">
        <v>3178</v>
      </c>
      <c r="AB647" s="444" t="s">
        <v>7353</v>
      </c>
      <c r="AC647" s="651"/>
      <c r="AD647" s="651"/>
      <c r="AE647" s="444"/>
      <c r="AF647" s="437"/>
      <c r="AG647" s="444" t="s">
        <v>6164</v>
      </c>
      <c r="AH647" s="399"/>
      <c r="AI647" s="400"/>
      <c r="AJ647" s="399" t="s">
        <v>1787</v>
      </c>
      <c r="AK647" s="399"/>
      <c r="AL647" s="399" t="s">
        <v>1787</v>
      </c>
      <c r="AM647" s="399"/>
      <c r="AN647" s="399" t="s">
        <v>1787</v>
      </c>
      <c r="AO647" s="399" t="s">
        <v>1787</v>
      </c>
      <c r="AP647" s="399"/>
      <c r="AQ647" s="409" t="s">
        <v>3130</v>
      </c>
      <c r="AR647" s="399"/>
      <c r="AS647" s="399"/>
      <c r="AT647" s="399"/>
      <c r="AU647" s="399"/>
      <c r="AV647" s="399" t="str">
        <f t="shared" si="107"/>
        <v/>
      </c>
      <c r="AW647" s="399"/>
      <c r="AX647" s="409" t="s">
        <v>5194</v>
      </c>
      <c r="AY647" s="399" t="e">
        <f t="shared" ca="1" si="108"/>
        <v>#NAME?</v>
      </c>
      <c r="AZ647" s="399"/>
      <c r="BA647" s="409" t="s">
        <v>3125</v>
      </c>
      <c r="BB647" s="399"/>
      <c r="BC647" s="399" t="s">
        <v>1787</v>
      </c>
      <c r="BD647" s="399" t="s">
        <v>1787</v>
      </c>
      <c r="BE647" s="411"/>
      <c r="BF647" s="411" t="s">
        <v>1787</v>
      </c>
      <c r="BG647" s="434" t="s">
        <v>7379</v>
      </c>
      <c r="BH647" s="411"/>
      <c r="BI647" s="411"/>
      <c r="BJ647" s="399" t="s">
        <v>1787</v>
      </c>
      <c r="BK647" s="399" t="s">
        <v>1787</v>
      </c>
      <c r="BL647" s="399"/>
      <c r="BM647" s="409" t="s">
        <v>7383</v>
      </c>
      <c r="BN647" s="399" t="s">
        <v>1787</v>
      </c>
      <c r="BO647" s="399" t="s">
        <v>1787</v>
      </c>
      <c r="BP647" s="399" t="s">
        <v>1787</v>
      </c>
      <c r="BQ647" s="399" t="s">
        <v>1787</v>
      </c>
      <c r="BR647" s="399" t="s">
        <v>1787</v>
      </c>
      <c r="BS647" s="407"/>
      <c r="BT647" s="407"/>
      <c r="BU647" s="412"/>
      <c r="BV647" s="46" t="str">
        <f t="shared" si="8"/>
        <v/>
      </c>
      <c r="BW647" s="46">
        <f t="shared" si="9"/>
        <v>0</v>
      </c>
      <c r="BX647" s="46">
        <f t="shared" si="10"/>
        <v>0</v>
      </c>
      <c r="BY647" s="43" t="str">
        <f t="shared" si="11"/>
        <v>WHO-STI Observation (Speculum Examination)</v>
      </c>
      <c r="BZ647" s="46">
        <f t="shared" si="12"/>
        <v>1</v>
      </c>
      <c r="CA647" s="46" t="str">
        <f t="shared" si="13"/>
        <v/>
      </c>
      <c r="CB647" s="46">
        <f t="shared" si="14"/>
        <v>1</v>
      </c>
      <c r="CC647" s="46">
        <f t="shared" si="15"/>
        <v>1</v>
      </c>
      <c r="CD647" s="46">
        <f t="shared" si="16"/>
        <v>1</v>
      </c>
      <c r="CE647" s="46">
        <f t="shared" si="17"/>
        <v>0</v>
      </c>
      <c r="CF647" s="46">
        <f t="shared" si="18"/>
        <v>0</v>
      </c>
      <c r="CG647" s="46" t="str">
        <f ca="1">IFERROR(__xludf.DUMMYFUNCTION("if(OR(BH647="""",LEFT(BH647,2)=""LA""),"""",IMPORTXML(CONCATENATE(""https://loinc.org/"",BH647,""/""),""//span[@id='lcn']""))"),"")</f>
        <v/>
      </c>
      <c r="CH647" s="46"/>
      <c r="CI647" s="46"/>
      <c r="CJ647" s="46"/>
      <c r="CK647" s="46"/>
      <c r="CL647" s="46"/>
      <c r="CM647" s="46"/>
      <c r="CN647" s="46"/>
      <c r="CO647" s="46"/>
      <c r="CP647" s="46"/>
      <c r="CQ647" s="46"/>
      <c r="CR647" s="46"/>
      <c r="CS647" s="46"/>
      <c r="CT647" s="46"/>
      <c r="CU647" s="46"/>
    </row>
    <row r="648" spans="1:99" ht="12.75" customHeight="1">
      <c r="A648" s="409">
        <v>2080</v>
      </c>
      <c r="B648" s="399" t="s">
        <v>7395</v>
      </c>
      <c r="C648" s="399">
        <f t="shared" si="103"/>
        <v>2080</v>
      </c>
      <c r="D648" s="399" t="e">
        <f t="shared" ca="1" si="104"/>
        <v>#NAME?</v>
      </c>
      <c r="E648" s="399" t="str">
        <f t="shared" si="105"/>
        <v>Amniotic fluid</v>
      </c>
      <c r="F648" s="399" t="str">
        <f t="shared" si="111"/>
        <v>Input Option</v>
      </c>
      <c r="G648" s="400">
        <f t="shared" si="106"/>
        <v>21</v>
      </c>
      <c r="H648" s="399" t="str">
        <f t="shared" si="110"/>
        <v>Speculum Exam Results</v>
      </c>
      <c r="I648" s="400"/>
      <c r="J648" s="400"/>
      <c r="K648" s="401" t="s">
        <v>5283</v>
      </c>
      <c r="L648" s="402" t="s">
        <v>7227</v>
      </c>
      <c r="M648" s="400"/>
      <c r="N648" s="675" t="s">
        <v>7175</v>
      </c>
      <c r="O648" s="431" t="s">
        <v>7403</v>
      </c>
      <c r="P648" s="431"/>
      <c r="Q648" s="437"/>
      <c r="R648" s="437"/>
      <c r="S648" s="444" t="s">
        <v>7404</v>
      </c>
      <c r="T648" s="437"/>
      <c r="U648" s="437"/>
      <c r="V648" s="437" t="s">
        <v>1819</v>
      </c>
      <c r="W648" s="437"/>
      <c r="X648" s="437" t="s">
        <v>208</v>
      </c>
      <c r="Y648" s="437" t="s">
        <v>7352</v>
      </c>
      <c r="Z648" s="437" t="s">
        <v>113</v>
      </c>
      <c r="AA648" s="437" t="s">
        <v>3178</v>
      </c>
      <c r="AB648" s="444" t="s">
        <v>7353</v>
      </c>
      <c r="AC648" s="651"/>
      <c r="AD648" s="651"/>
      <c r="AE648" s="444"/>
      <c r="AF648" s="437"/>
      <c r="AG648" s="444" t="s">
        <v>6164</v>
      </c>
      <c r="AH648" s="399"/>
      <c r="AI648" s="400"/>
      <c r="AJ648" s="399" t="s">
        <v>1787</v>
      </c>
      <c r="AK648" s="399"/>
      <c r="AL648" s="399" t="s">
        <v>1787</v>
      </c>
      <c r="AM648" s="399"/>
      <c r="AN648" s="399" t="s">
        <v>1787</v>
      </c>
      <c r="AO648" s="399" t="s">
        <v>1787</v>
      </c>
      <c r="AP648" s="399"/>
      <c r="AQ648" s="409" t="s">
        <v>3130</v>
      </c>
      <c r="AR648" s="399"/>
      <c r="AS648" s="399"/>
      <c r="AT648" s="399"/>
      <c r="AU648" s="399"/>
      <c r="AV648" s="399" t="str">
        <f t="shared" si="107"/>
        <v/>
      </c>
      <c r="AW648" s="399"/>
      <c r="AX648" s="409" t="s">
        <v>5194</v>
      </c>
      <c r="AY648" s="399" t="e">
        <f t="shared" ca="1" si="108"/>
        <v>#NAME?</v>
      </c>
      <c r="AZ648" s="399"/>
      <c r="BA648" s="409" t="s">
        <v>3125</v>
      </c>
      <c r="BB648" s="399"/>
      <c r="BC648" s="399" t="s">
        <v>1787</v>
      </c>
      <c r="BD648" s="399" t="s">
        <v>1787</v>
      </c>
      <c r="BE648" s="411"/>
      <c r="BF648" s="411" t="s">
        <v>1787</v>
      </c>
      <c r="BG648" s="434" t="s">
        <v>7408</v>
      </c>
      <c r="BH648" s="411"/>
      <c r="BI648" s="411"/>
      <c r="BJ648" s="399" t="s">
        <v>1787</v>
      </c>
      <c r="BK648" s="399" t="s">
        <v>1787</v>
      </c>
      <c r="BL648" s="399"/>
      <c r="BM648" s="399" t="s">
        <v>1787</v>
      </c>
      <c r="BN648" s="399" t="s">
        <v>1787</v>
      </c>
      <c r="BO648" s="399" t="s">
        <v>1787</v>
      </c>
      <c r="BP648" s="399" t="s">
        <v>1787</v>
      </c>
      <c r="BQ648" s="399" t="s">
        <v>1787</v>
      </c>
      <c r="BR648" s="399" t="s">
        <v>1787</v>
      </c>
      <c r="BS648" s="407"/>
      <c r="BT648" s="407"/>
      <c r="BU648" s="412"/>
      <c r="BV648" s="46" t="str">
        <f t="shared" si="8"/>
        <v/>
      </c>
      <c r="BW648" s="46">
        <f t="shared" si="9"/>
        <v>0</v>
      </c>
      <c r="BX648" s="46">
        <f t="shared" si="10"/>
        <v>0</v>
      </c>
      <c r="BY648" s="43" t="str">
        <f t="shared" si="11"/>
        <v>WHO-STI Observation (Speculum Examination)</v>
      </c>
      <c r="BZ648" s="46">
        <f t="shared" si="12"/>
        <v>1</v>
      </c>
      <c r="CA648" s="46" t="str">
        <f t="shared" si="13"/>
        <v/>
      </c>
      <c r="CB648" s="46">
        <f t="shared" si="14"/>
        <v>1</v>
      </c>
      <c r="CC648" s="46">
        <f t="shared" si="15"/>
        <v>1</v>
      </c>
      <c r="CD648" s="46">
        <f t="shared" si="16"/>
        <v>1</v>
      </c>
      <c r="CE648" s="46">
        <f t="shared" si="17"/>
        <v>0</v>
      </c>
      <c r="CF648" s="46">
        <f t="shared" si="18"/>
        <v>0</v>
      </c>
      <c r="CG648" s="46" t="str">
        <f ca="1">IFERROR(__xludf.DUMMYFUNCTION("if(OR(BH648="""",LEFT(BH648,2)=""LA""),"""",IMPORTXML(CONCATENATE(""https://loinc.org/"",BH648,""/""),""//span[@id='lcn']""))"),"")</f>
        <v/>
      </c>
      <c r="CH648" s="46"/>
      <c r="CI648" s="46"/>
      <c r="CJ648" s="46"/>
      <c r="CK648" s="46"/>
      <c r="CL648" s="46"/>
      <c r="CM648" s="46"/>
      <c r="CN648" s="46"/>
      <c r="CO648" s="46"/>
      <c r="CP648" s="46"/>
      <c r="CQ648" s="46"/>
      <c r="CR648" s="46"/>
      <c r="CS648" s="46"/>
      <c r="CT648" s="46"/>
      <c r="CU648" s="46"/>
    </row>
    <row r="649" spans="1:99" ht="12.75" customHeight="1">
      <c r="A649" s="409">
        <v>2081</v>
      </c>
      <c r="B649" s="399" t="s">
        <v>7423</v>
      </c>
      <c r="C649" s="399">
        <f t="shared" si="103"/>
        <v>2081</v>
      </c>
      <c r="D649" s="399" t="e">
        <f t="shared" ca="1" si="104"/>
        <v>#NAME?</v>
      </c>
      <c r="E649" s="399" t="str">
        <f t="shared" si="105"/>
        <v>Abdominal tenderness</v>
      </c>
      <c r="F649" s="399" t="str">
        <f t="shared" si="111"/>
        <v>Input Option</v>
      </c>
      <c r="G649" s="400">
        <f t="shared" si="106"/>
        <v>27</v>
      </c>
      <c r="H649" s="399" t="str">
        <f t="shared" si="110"/>
        <v>Speculum Exam Results</v>
      </c>
      <c r="I649" s="400"/>
      <c r="J649" s="400"/>
      <c r="K649" s="401" t="s">
        <v>5283</v>
      </c>
      <c r="L649" s="402" t="s">
        <v>7227</v>
      </c>
      <c r="M649" s="400"/>
      <c r="N649" s="675" t="s">
        <v>7175</v>
      </c>
      <c r="O649" s="404" t="s">
        <v>7428</v>
      </c>
      <c r="P649" s="404"/>
      <c r="Q649" s="404"/>
      <c r="R649" s="700" t="s">
        <v>7430</v>
      </c>
      <c r="S649" s="404"/>
      <c r="T649" s="404"/>
      <c r="U649" s="404"/>
      <c r="V649" s="658" t="s">
        <v>7435</v>
      </c>
      <c r="W649" s="404"/>
      <c r="X649" s="404" t="s">
        <v>208</v>
      </c>
      <c r="Y649" s="404"/>
      <c r="Z649" s="404" t="s">
        <v>113</v>
      </c>
      <c r="AA649" s="404" t="s">
        <v>1889</v>
      </c>
      <c r="AB649" s="406"/>
      <c r="AC649" s="404"/>
      <c r="AD649" s="404"/>
      <c r="AE649" s="406"/>
      <c r="AF649" s="404"/>
      <c r="AG649" s="404" t="s">
        <v>6929</v>
      </c>
      <c r="AH649" s="399"/>
      <c r="AI649" s="400"/>
      <c r="AJ649" s="399" t="s">
        <v>1787</v>
      </c>
      <c r="AK649" s="399"/>
      <c r="AL649" s="399" t="s">
        <v>1787</v>
      </c>
      <c r="AM649" s="399"/>
      <c r="AN649" s="399" t="s">
        <v>1787</v>
      </c>
      <c r="AO649" s="399" t="s">
        <v>1787</v>
      </c>
      <c r="AP649" s="399"/>
      <c r="AQ649" s="409" t="s">
        <v>3130</v>
      </c>
      <c r="AR649" s="399"/>
      <c r="AS649" s="399"/>
      <c r="AT649" s="399"/>
      <c r="AU649" s="399"/>
      <c r="AV649" s="399" t="str">
        <f t="shared" si="107"/>
        <v/>
      </c>
      <c r="AW649" s="399"/>
      <c r="AX649" s="409" t="s">
        <v>5194</v>
      </c>
      <c r="AY649" s="399" t="e">
        <f t="shared" ca="1" si="108"/>
        <v>#NAME?</v>
      </c>
      <c r="AZ649" s="399"/>
      <c r="BA649" s="409" t="s">
        <v>3125</v>
      </c>
      <c r="BB649" s="399"/>
      <c r="BC649" s="399" t="s">
        <v>1787</v>
      </c>
      <c r="BD649" s="399" t="s">
        <v>1787</v>
      </c>
      <c r="BE649" s="411" t="s">
        <v>7442</v>
      </c>
      <c r="BF649" s="411" t="s">
        <v>1787</v>
      </c>
      <c r="BG649" s="434" t="s">
        <v>7443</v>
      </c>
      <c r="BH649" s="411"/>
      <c r="BI649" s="411"/>
      <c r="BJ649" s="399" t="s">
        <v>1787</v>
      </c>
      <c r="BK649" s="399" t="s">
        <v>1787</v>
      </c>
      <c r="BL649" s="399"/>
      <c r="BM649" s="399" t="s">
        <v>1787</v>
      </c>
      <c r="BN649" s="399" t="s">
        <v>1787</v>
      </c>
      <c r="BO649" s="399" t="s">
        <v>1787</v>
      </c>
      <c r="BP649" s="399" t="s">
        <v>1787</v>
      </c>
      <c r="BQ649" s="399" t="s">
        <v>1787</v>
      </c>
      <c r="BR649" s="399" t="s">
        <v>1787</v>
      </c>
      <c r="BS649" s="407"/>
      <c r="BT649" s="407"/>
      <c r="BU649" s="412"/>
      <c r="BV649" s="46" t="str">
        <f t="shared" si="8"/>
        <v/>
      </c>
      <c r="BW649" s="46">
        <f t="shared" si="9"/>
        <v>0</v>
      </c>
      <c r="BX649" s="46">
        <f t="shared" si="10"/>
        <v>0</v>
      </c>
      <c r="BY649" s="43" t="str">
        <f t="shared" si="11"/>
        <v>WHO-STI Observation (Speculum Examination)</v>
      </c>
      <c r="BZ649" s="46">
        <f t="shared" si="12"/>
        <v>1</v>
      </c>
      <c r="CA649" s="46" t="str">
        <f t="shared" si="13"/>
        <v/>
      </c>
      <c r="CB649" s="46">
        <f t="shared" si="14"/>
        <v>1</v>
      </c>
      <c r="CC649" s="46">
        <f t="shared" si="15"/>
        <v>1</v>
      </c>
      <c r="CD649" s="46">
        <f t="shared" si="16"/>
        <v>1</v>
      </c>
      <c r="CE649" s="46">
        <f t="shared" si="17"/>
        <v>0</v>
      </c>
      <c r="CF649" s="46">
        <f t="shared" si="18"/>
        <v>0</v>
      </c>
      <c r="CG649" s="46" t="str">
        <f ca="1">IFERROR(__xludf.DUMMYFUNCTION("if(OR(BH649="""",LEFT(BH649,2)=""LA""),"""",IMPORTXML(CONCATENATE(""https://loinc.org/"",BH649,""/""),""//span[@id='lcn']""))"),"")</f>
        <v/>
      </c>
      <c r="CH649" s="46"/>
      <c r="CI649" s="46"/>
      <c r="CJ649" s="46"/>
      <c r="CK649" s="46"/>
      <c r="CL649" s="46"/>
      <c r="CM649" s="46"/>
      <c r="CN649" s="46"/>
      <c r="CO649" s="46"/>
      <c r="CP649" s="46"/>
      <c r="CQ649" s="46"/>
      <c r="CR649" s="46"/>
      <c r="CS649" s="46"/>
      <c r="CT649" s="46"/>
      <c r="CU649" s="46"/>
    </row>
    <row r="650" spans="1:99" ht="12.75" customHeight="1">
      <c r="A650" s="409">
        <v>2082</v>
      </c>
      <c r="B650" s="399" t="s">
        <v>4190</v>
      </c>
      <c r="C650" s="399">
        <f t="shared" si="103"/>
        <v>2082</v>
      </c>
      <c r="D650" s="399" t="e">
        <f t="shared" ca="1" si="104"/>
        <v>#NAME?</v>
      </c>
      <c r="E650" s="399" t="str">
        <f t="shared" si="105"/>
        <v>Unexplained vaginal bleeding</v>
      </c>
      <c r="F650" s="399" t="str">
        <f t="shared" si="111"/>
        <v>Input Option</v>
      </c>
      <c r="G650" s="400">
        <f t="shared" si="106"/>
        <v>35</v>
      </c>
      <c r="H650" s="399" t="str">
        <f t="shared" si="110"/>
        <v>Speculum Exam Results</v>
      </c>
      <c r="I650" s="400"/>
      <c r="J650" s="400"/>
      <c r="K650" s="401" t="s">
        <v>5283</v>
      </c>
      <c r="L650" s="402" t="s">
        <v>7227</v>
      </c>
      <c r="M650" s="400"/>
      <c r="N650" s="675" t="s">
        <v>7175</v>
      </c>
      <c r="O650" s="404" t="s">
        <v>7458</v>
      </c>
      <c r="P650" s="404"/>
      <c r="Q650" s="437"/>
      <c r="R650" s="431"/>
      <c r="S650" s="437"/>
      <c r="T650" s="437"/>
      <c r="U650" s="437"/>
      <c r="V650" s="429" t="s">
        <v>7459</v>
      </c>
      <c r="W650" s="404"/>
      <c r="X650" s="404" t="s">
        <v>208</v>
      </c>
      <c r="Y650" s="437"/>
      <c r="Z650" s="404" t="s">
        <v>113</v>
      </c>
      <c r="AA650" s="404" t="s">
        <v>1889</v>
      </c>
      <c r="AB650" s="420" t="s">
        <v>6573</v>
      </c>
      <c r="AC650" s="643"/>
      <c r="AD650" s="643"/>
      <c r="AE650" s="644"/>
      <c r="AF650" s="643"/>
      <c r="AG650" s="643"/>
      <c r="AH650" s="399"/>
      <c r="AI650" s="400"/>
      <c r="AJ650" s="399" t="s">
        <v>1787</v>
      </c>
      <c r="AK650" s="399"/>
      <c r="AL650" s="399" t="s">
        <v>1787</v>
      </c>
      <c r="AM650" s="399"/>
      <c r="AN650" s="399" t="s">
        <v>1787</v>
      </c>
      <c r="AO650" s="399" t="s">
        <v>1787</v>
      </c>
      <c r="AP650" s="399"/>
      <c r="AQ650" s="409" t="s">
        <v>3130</v>
      </c>
      <c r="AR650" s="399"/>
      <c r="AS650" s="399"/>
      <c r="AT650" s="399"/>
      <c r="AU650" s="399"/>
      <c r="AV650" s="399" t="str">
        <f t="shared" si="107"/>
        <v/>
      </c>
      <c r="AW650" s="399"/>
      <c r="AX650" s="409" t="s">
        <v>5194</v>
      </c>
      <c r="AY650" s="399" t="e">
        <f t="shared" ca="1" si="108"/>
        <v>#NAME?</v>
      </c>
      <c r="AZ650" s="399"/>
      <c r="BA650" s="409">
        <v>1</v>
      </c>
      <c r="BB650" s="399"/>
      <c r="BC650" s="399" t="s">
        <v>1787</v>
      </c>
      <c r="BD650" s="409" t="s">
        <v>7466</v>
      </c>
      <c r="BE650" s="411" t="s">
        <v>428</v>
      </c>
      <c r="BF650" s="411" t="s">
        <v>1787</v>
      </c>
      <c r="BG650" s="411"/>
      <c r="BH650" s="411"/>
      <c r="BI650" s="411"/>
      <c r="BJ650" s="399" t="s">
        <v>1787</v>
      </c>
      <c r="BK650" s="399" t="s">
        <v>1787</v>
      </c>
      <c r="BL650" s="399"/>
      <c r="BM650" s="409" t="s">
        <v>7469</v>
      </c>
      <c r="BN650" s="399" t="s">
        <v>1787</v>
      </c>
      <c r="BO650" s="399" t="s">
        <v>1787</v>
      </c>
      <c r="BP650" s="399" t="s">
        <v>1787</v>
      </c>
      <c r="BQ650" s="399" t="s">
        <v>1787</v>
      </c>
      <c r="BR650" s="399" t="s">
        <v>1787</v>
      </c>
      <c r="BS650" s="407"/>
      <c r="BT650" s="407"/>
      <c r="BU650" s="412"/>
      <c r="BV650" s="46" t="str">
        <f t="shared" si="8"/>
        <v/>
      </c>
      <c r="BW650" s="46">
        <f t="shared" si="9"/>
        <v>0</v>
      </c>
      <c r="BX650" s="46">
        <f t="shared" si="10"/>
        <v>0</v>
      </c>
      <c r="BY650" s="43" t="str">
        <f t="shared" si="11"/>
        <v>WHO-STI Observation (Speculum Examination)</v>
      </c>
      <c r="BZ650" s="46">
        <f t="shared" si="12"/>
        <v>1</v>
      </c>
      <c r="CA650" s="46" t="str">
        <f t="shared" si="13"/>
        <v/>
      </c>
      <c r="CB650" s="46">
        <f t="shared" si="14"/>
        <v>1</v>
      </c>
      <c r="CC650" s="46">
        <f t="shared" si="15"/>
        <v>1</v>
      </c>
      <c r="CD650" s="46">
        <f t="shared" si="16"/>
        <v>1</v>
      </c>
      <c r="CE650" s="46">
        <f t="shared" si="17"/>
        <v>0</v>
      </c>
      <c r="CF650" s="46">
        <f t="shared" si="18"/>
        <v>0</v>
      </c>
      <c r="CG650" s="46" t="str">
        <f ca="1">IFERROR(__xludf.DUMMYFUNCTION("if(OR(BH650="""",LEFT(BH650,2)=""LA""),"""",IMPORTXML(CONCATENATE(""https://loinc.org/"",BH650,""/""),""//span[@id='lcn']""))"),"")</f>
        <v/>
      </c>
      <c r="CH650" s="46"/>
      <c r="CI650" s="46"/>
      <c r="CJ650" s="46"/>
      <c r="CK650" s="46"/>
      <c r="CL650" s="46"/>
      <c r="CM650" s="46"/>
      <c r="CN650" s="46"/>
      <c r="CO650" s="46"/>
      <c r="CP650" s="46"/>
      <c r="CQ650" s="46"/>
      <c r="CR650" s="46"/>
      <c r="CS650" s="46"/>
      <c r="CT650" s="46"/>
      <c r="CU650" s="46"/>
    </row>
    <row r="651" spans="1:99" ht="12.75" customHeight="1">
      <c r="A651" s="409">
        <v>2083</v>
      </c>
      <c r="B651" s="399" t="s">
        <v>7482</v>
      </c>
      <c r="C651" s="399">
        <f t="shared" si="103"/>
        <v>2083</v>
      </c>
      <c r="D651" s="399" t="str">
        <f t="shared" si="104"/>
        <v>Other (specify)</v>
      </c>
      <c r="E651" s="399" t="str">
        <f t="shared" si="105"/>
        <v>Other (specify)</v>
      </c>
      <c r="F651" s="399" t="str">
        <f t="shared" si="111"/>
        <v>Data Element</v>
      </c>
      <c r="G651" s="400">
        <f t="shared" si="106"/>
        <v>26</v>
      </c>
      <c r="H651" s="400" t="str">
        <f t="shared" si="110"/>
        <v/>
      </c>
      <c r="I651" s="400"/>
      <c r="J651" s="400"/>
      <c r="K651" s="401" t="s">
        <v>5283</v>
      </c>
      <c r="L651" s="402" t="s">
        <v>7227</v>
      </c>
      <c r="M651" s="400"/>
      <c r="N651" s="675" t="s">
        <v>7175</v>
      </c>
      <c r="O651" s="437" t="s">
        <v>6260</v>
      </c>
      <c r="P651" s="437"/>
      <c r="Q651" s="407" t="s">
        <v>405</v>
      </c>
      <c r="R651" s="407"/>
      <c r="S651" s="407" t="s">
        <v>3421</v>
      </c>
      <c r="T651" s="407" t="s">
        <v>111</v>
      </c>
      <c r="U651" s="407"/>
      <c r="V651" s="407"/>
      <c r="W651" s="404"/>
      <c r="X651" s="407" t="s">
        <v>208</v>
      </c>
      <c r="Y651" s="407"/>
      <c r="Z651" s="407" t="s">
        <v>113</v>
      </c>
      <c r="AA651" s="407" t="s">
        <v>3178</v>
      </c>
      <c r="AB651" s="432" t="s">
        <v>7485</v>
      </c>
      <c r="AC651" s="421"/>
      <c r="AD651" s="407"/>
      <c r="AE651" s="408"/>
      <c r="AF651" s="407"/>
      <c r="AG651" s="407"/>
      <c r="AH651" s="399"/>
      <c r="AI651" s="400"/>
      <c r="AJ651" s="399" t="s">
        <v>1787</v>
      </c>
      <c r="AK651" s="440" t="s">
        <v>3410</v>
      </c>
      <c r="AL651" s="409" t="s">
        <v>3423</v>
      </c>
      <c r="AM651" s="409" t="s">
        <v>3100</v>
      </c>
      <c r="AN651" s="409" t="s">
        <v>3101</v>
      </c>
      <c r="AO651" s="399" t="s">
        <v>1787</v>
      </c>
      <c r="AP651" s="409" t="s">
        <v>6798</v>
      </c>
      <c r="AQ651" s="409" t="s">
        <v>3424</v>
      </c>
      <c r="AR651" s="399"/>
      <c r="AS651" s="399"/>
      <c r="AT651" s="399"/>
      <c r="AU651" s="399"/>
      <c r="AV651" s="399" t="str">
        <f t="shared" si="107"/>
        <v/>
      </c>
      <c r="AW651" s="399"/>
      <c r="AX651" s="409" t="s">
        <v>5194</v>
      </c>
      <c r="AY651" s="399" t="str">
        <f t="shared" si="108"/>
        <v>"Other (specify)"-&gt;"Other (specify) - Speculum"</v>
      </c>
      <c r="AZ651" s="399"/>
      <c r="BA651" s="409">
        <v>1</v>
      </c>
      <c r="BB651" s="399"/>
      <c r="BC651" s="399" t="s">
        <v>1787</v>
      </c>
      <c r="BD651" s="399" t="s">
        <v>1787</v>
      </c>
      <c r="BE651" s="411"/>
      <c r="BF651" s="411" t="s">
        <v>1787</v>
      </c>
      <c r="BG651" s="411"/>
      <c r="BH651" s="411"/>
      <c r="BI651" s="411"/>
      <c r="BJ651" s="409" t="s">
        <v>3106</v>
      </c>
      <c r="BK651" s="399" t="s">
        <v>1787</v>
      </c>
      <c r="BL651" s="399"/>
      <c r="BM651" s="399" t="s">
        <v>1787</v>
      </c>
      <c r="BN651" s="399" t="s">
        <v>1787</v>
      </c>
      <c r="BO651" s="399" t="s">
        <v>1787</v>
      </c>
      <c r="BP651" s="399" t="s">
        <v>1787</v>
      </c>
      <c r="BQ651" s="399" t="s">
        <v>1787</v>
      </c>
      <c r="BR651" s="399" t="s">
        <v>1787</v>
      </c>
      <c r="BS651" s="407"/>
      <c r="BT651" s="407"/>
      <c r="BU651" s="412"/>
      <c r="BV651" s="46" t="str">
        <f t="shared" si="8"/>
        <v>Observation</v>
      </c>
      <c r="BW651" s="46" t="str">
        <f t="shared" si="9"/>
        <v/>
      </c>
      <c r="BX651" s="46" t="str">
        <f t="shared" si="10"/>
        <v>Observation</v>
      </c>
      <c r="BY651" s="43" t="str">
        <f t="shared" si="11"/>
        <v>WHO-STI Observation (Speculum Examination)</v>
      </c>
      <c r="BZ651" s="46">
        <f t="shared" si="12"/>
        <v>1</v>
      </c>
      <c r="CA651" s="46">
        <f t="shared" si="13"/>
        <v>0</v>
      </c>
      <c r="CB651" s="46">
        <f t="shared" si="14"/>
        <v>1</v>
      </c>
      <c r="CC651" s="46">
        <f t="shared" si="15"/>
        <v>1</v>
      </c>
      <c r="CD651" s="46">
        <f t="shared" si="16"/>
        <v>1</v>
      </c>
      <c r="CE651" s="46">
        <f t="shared" si="17"/>
        <v>0</v>
      </c>
      <c r="CF651" s="46">
        <f t="shared" si="18"/>
        <v>0</v>
      </c>
      <c r="CG651" s="46" t="str">
        <f ca="1">IFERROR(__xludf.DUMMYFUNCTION("if(OR(BH651="""",LEFT(BH651,2)=""LA""),"""",IMPORTXML(CONCATENATE(""https://loinc.org/"",BH651,""/""),""//span[@id='lcn']""))"),"")</f>
        <v/>
      </c>
      <c r="CH651" s="46"/>
      <c r="CI651" s="46"/>
      <c r="CJ651" s="46"/>
      <c r="CK651" s="46"/>
      <c r="CL651" s="46"/>
      <c r="CM651" s="46"/>
      <c r="CN651" s="46"/>
      <c r="CO651" s="46"/>
      <c r="CP651" s="46"/>
      <c r="CQ651" s="46"/>
      <c r="CR651" s="46"/>
      <c r="CS651" s="46"/>
      <c r="CT651" s="46"/>
      <c r="CU651" s="46"/>
    </row>
    <row r="652" spans="1:99" ht="12.75" customHeight="1">
      <c r="A652" s="409">
        <v>2084</v>
      </c>
      <c r="B652" s="399" t="s">
        <v>7494</v>
      </c>
      <c r="C652" s="399">
        <f t="shared" si="103"/>
        <v>2084</v>
      </c>
      <c r="D652" s="399" t="str">
        <f t="shared" si="104"/>
        <v>Bimanual exam</v>
      </c>
      <c r="E652" s="399" t="str">
        <f t="shared" si="105"/>
        <v>Bimanual exam</v>
      </c>
      <c r="F652" s="399" t="str">
        <f t="shared" si="111"/>
        <v>Data Element</v>
      </c>
      <c r="G652" s="400">
        <f t="shared" si="106"/>
        <v>13</v>
      </c>
      <c r="H652" s="400" t="str">
        <f t="shared" si="110"/>
        <v/>
      </c>
      <c r="I652" s="400"/>
      <c r="J652" s="400"/>
      <c r="K652" s="401" t="s">
        <v>5283</v>
      </c>
      <c r="L652" s="402" t="s">
        <v>7227</v>
      </c>
      <c r="M652" s="400"/>
      <c r="N652" s="675" t="s">
        <v>7175</v>
      </c>
      <c r="O652" s="404" t="s">
        <v>7158</v>
      </c>
      <c r="P652" s="404"/>
      <c r="Q652" s="404" t="s">
        <v>7494</v>
      </c>
      <c r="R652" s="404" t="s">
        <v>7500</v>
      </c>
      <c r="S652" s="437"/>
      <c r="T652" s="404" t="s">
        <v>3121</v>
      </c>
      <c r="U652" s="420" t="s">
        <v>3326</v>
      </c>
      <c r="V652" s="404"/>
      <c r="W652" s="404"/>
      <c r="X652" s="437" t="s">
        <v>113</v>
      </c>
      <c r="Y652" s="437" t="s">
        <v>7178</v>
      </c>
      <c r="Z652" s="404" t="s">
        <v>113</v>
      </c>
      <c r="AA652" s="437" t="s">
        <v>3178</v>
      </c>
      <c r="AB652" s="420" t="s">
        <v>7502</v>
      </c>
      <c r="AC652" s="426"/>
      <c r="AD652" s="426"/>
      <c r="AE652" s="420"/>
      <c r="AF652" s="404"/>
      <c r="AG652" s="404"/>
      <c r="AH652" s="399"/>
      <c r="AI652" s="400"/>
      <c r="AJ652" s="399" t="s">
        <v>1787</v>
      </c>
      <c r="AK652" s="403" t="s">
        <v>5893</v>
      </c>
      <c r="AL652" s="403"/>
      <c r="AM652" s="403" t="s">
        <v>3100</v>
      </c>
      <c r="AN652" s="403" t="s">
        <v>3101</v>
      </c>
      <c r="AO652" s="399" t="s">
        <v>1787</v>
      </c>
      <c r="AP652" s="440" t="s">
        <v>6838</v>
      </c>
      <c r="AQ652" s="409" t="s">
        <v>3424</v>
      </c>
      <c r="AR652" s="399"/>
      <c r="AS652" s="409" t="s">
        <v>3413</v>
      </c>
      <c r="AT652" s="399"/>
      <c r="AU652" s="399"/>
      <c r="AV652" s="399" t="str">
        <f t="shared" si="107"/>
        <v/>
      </c>
      <c r="AW652" s="399"/>
      <c r="AX652" s="409" t="s">
        <v>5194</v>
      </c>
      <c r="AY652" s="399" t="str">
        <f t="shared" si="108"/>
        <v/>
      </c>
      <c r="AZ652" s="399"/>
      <c r="BA652" s="409" t="s">
        <v>3125</v>
      </c>
      <c r="BB652" s="399"/>
      <c r="BC652" s="399" t="s">
        <v>1787</v>
      </c>
      <c r="BD652" s="409" t="s">
        <v>7509</v>
      </c>
      <c r="BE652" s="411"/>
      <c r="BF652" s="411" t="s">
        <v>1787</v>
      </c>
      <c r="BG652" s="411"/>
      <c r="BH652" s="434" t="s">
        <v>7513</v>
      </c>
      <c r="BI652" s="411"/>
      <c r="BJ652" s="399" t="s">
        <v>1787</v>
      </c>
      <c r="BK652" s="399" t="s">
        <v>1787</v>
      </c>
      <c r="BL652" s="399"/>
      <c r="BM652" s="399" t="s">
        <v>1787</v>
      </c>
      <c r="BN652" s="399" t="s">
        <v>1787</v>
      </c>
      <c r="BO652" s="399" t="s">
        <v>1787</v>
      </c>
      <c r="BP652" s="399" t="s">
        <v>1787</v>
      </c>
      <c r="BQ652" s="399" t="s">
        <v>1787</v>
      </c>
      <c r="BR652" s="399" t="s">
        <v>1787</v>
      </c>
      <c r="BS652" s="407"/>
      <c r="BT652" s="407"/>
      <c r="BU652" s="412"/>
      <c r="BV652" s="46" t="str">
        <f t="shared" si="8"/>
        <v>Procedure</v>
      </c>
      <c r="BW652" s="46" t="str">
        <f t="shared" si="9"/>
        <v/>
      </c>
      <c r="BX652" s="46" t="str">
        <f t="shared" si="10"/>
        <v>Procedure</v>
      </c>
      <c r="BY652" s="43" t="str">
        <f t="shared" si="11"/>
        <v>WHO-STI Procedure (Service Provided)</v>
      </c>
      <c r="BZ652" s="46">
        <f t="shared" si="12"/>
        <v>1</v>
      </c>
      <c r="CA652" s="46">
        <f t="shared" si="13"/>
        <v>1</v>
      </c>
      <c r="CB652" s="46">
        <f t="shared" si="14"/>
        <v>1</v>
      </c>
      <c r="CC652" s="46">
        <f t="shared" si="15"/>
        <v>1</v>
      </c>
      <c r="CD652" s="46">
        <f t="shared" si="16"/>
        <v>1</v>
      </c>
      <c r="CE652" s="46">
        <f t="shared" si="17"/>
        <v>0</v>
      </c>
      <c r="CF652" s="46">
        <f t="shared" si="18"/>
        <v>0</v>
      </c>
      <c r="CG652" s="46" t="str">
        <f ca="1">IFERROR(__xludf.DUMMYFUNCTION("if(OR(BH652="""",LEFT(BH652,2)=""LA""),"""",IMPORTXML(CONCATENATE(""https://loinc.org/"",BH652,""/""),""//span[@id='lcn']""))"),"Physical findings of Pelvis+Genitourinary NEMSIS")</f>
        <v>Physical findings of Pelvis+Genitourinary NEMSIS</v>
      </c>
      <c r="CH652" s="46"/>
      <c r="CI652" s="46"/>
      <c r="CJ652" s="46"/>
      <c r="CK652" s="46"/>
      <c r="CL652" s="46"/>
      <c r="CM652" s="46"/>
      <c r="CN652" s="46"/>
      <c r="CO652" s="46"/>
      <c r="CP652" s="46"/>
      <c r="CQ652" s="46"/>
      <c r="CR652" s="46"/>
      <c r="CS652" s="46"/>
      <c r="CT652" s="46"/>
      <c r="CU652" s="46"/>
    </row>
    <row r="653" spans="1:99" ht="12.75" customHeight="1">
      <c r="A653" s="409">
        <v>2085</v>
      </c>
      <c r="B653" s="399" t="s">
        <v>2130</v>
      </c>
      <c r="C653" s="399">
        <f t="shared" si="103"/>
        <v>2085</v>
      </c>
      <c r="D653" s="399" t="e">
        <f t="shared" ca="1" si="104"/>
        <v>#NAME?</v>
      </c>
      <c r="E653" s="399" t="str">
        <f t="shared" si="105"/>
        <v>Normal</v>
      </c>
      <c r="F653" s="399" t="str">
        <f t="shared" si="111"/>
        <v>Input Option</v>
      </c>
      <c r="G653" s="400">
        <f t="shared" si="106"/>
        <v>13</v>
      </c>
      <c r="H653" s="399" t="str">
        <f t="shared" si="110"/>
        <v>Bimanual exam</v>
      </c>
      <c r="I653" s="400"/>
      <c r="J653" s="400"/>
      <c r="K653" s="401" t="s">
        <v>5283</v>
      </c>
      <c r="L653" s="402" t="s">
        <v>7227</v>
      </c>
      <c r="M653" s="400"/>
      <c r="N653" s="675" t="s">
        <v>7175</v>
      </c>
      <c r="O653" s="404" t="s">
        <v>7190</v>
      </c>
      <c r="P653" s="404"/>
      <c r="Q653" s="404"/>
      <c r="R653" s="404"/>
      <c r="S653" s="404"/>
      <c r="T653" s="404"/>
      <c r="U653" s="404"/>
      <c r="V653" s="659" t="s">
        <v>1471</v>
      </c>
      <c r="W653" s="404"/>
      <c r="X653" s="437" t="s">
        <v>113</v>
      </c>
      <c r="Y653" s="437" t="s">
        <v>7178</v>
      </c>
      <c r="Z653" s="404" t="s">
        <v>113</v>
      </c>
      <c r="AA653" s="437" t="s">
        <v>3178</v>
      </c>
      <c r="AB653" s="406"/>
      <c r="AC653" s="404"/>
      <c r="AD653" s="404"/>
      <c r="AE653" s="406"/>
      <c r="AF653" s="404"/>
      <c r="AG653" s="404"/>
      <c r="AH653" s="399"/>
      <c r="AI653" s="400"/>
      <c r="AJ653" s="399" t="s">
        <v>1787</v>
      </c>
      <c r="AK653" s="399"/>
      <c r="AL653" s="403"/>
      <c r="AM653" s="403"/>
      <c r="AN653" s="403"/>
      <c r="AO653" s="399" t="s">
        <v>1787</v>
      </c>
      <c r="AP653" s="399"/>
      <c r="AQ653" s="409" t="s">
        <v>3130</v>
      </c>
      <c r="AR653" s="399"/>
      <c r="AS653" s="399"/>
      <c r="AT653" s="399"/>
      <c r="AU653" s="399"/>
      <c r="AV653" s="399" t="str">
        <f t="shared" si="107"/>
        <v/>
      </c>
      <c r="AW653" s="399"/>
      <c r="AX653" s="409" t="s">
        <v>5194</v>
      </c>
      <c r="AY653" s="399" t="e">
        <f t="shared" ca="1" si="108"/>
        <v>#NAME?</v>
      </c>
      <c r="AZ653" s="399"/>
      <c r="BA653" s="409" t="s">
        <v>3125</v>
      </c>
      <c r="BB653" s="399"/>
      <c r="BC653" s="399" t="s">
        <v>1787</v>
      </c>
      <c r="BD653" s="399" t="s">
        <v>1787</v>
      </c>
      <c r="BE653" s="411"/>
      <c r="BF653" s="411" t="s">
        <v>1787</v>
      </c>
      <c r="BG653" s="434" t="s">
        <v>5509</v>
      </c>
      <c r="BH653" s="434" t="s">
        <v>7541</v>
      </c>
      <c r="BI653" s="411"/>
      <c r="BJ653" s="399" t="s">
        <v>1787</v>
      </c>
      <c r="BK653" s="399" t="s">
        <v>1787</v>
      </c>
      <c r="BL653" s="399"/>
      <c r="BM653" s="399" t="s">
        <v>1787</v>
      </c>
      <c r="BN653" s="399" t="s">
        <v>1787</v>
      </c>
      <c r="BO653" s="399" t="s">
        <v>1787</v>
      </c>
      <c r="BP653" s="399" t="s">
        <v>1787</v>
      </c>
      <c r="BQ653" s="399" t="s">
        <v>1787</v>
      </c>
      <c r="BR653" s="399" t="s">
        <v>1787</v>
      </c>
      <c r="BS653" s="407"/>
      <c r="BT653" s="407"/>
      <c r="BU653" s="412"/>
      <c r="BV653" s="46" t="str">
        <f t="shared" si="8"/>
        <v/>
      </c>
      <c r="BW653" s="46">
        <f t="shared" si="9"/>
        <v>0</v>
      </c>
      <c r="BX653" s="46">
        <f t="shared" si="10"/>
        <v>0</v>
      </c>
      <c r="BY653" s="43" t="str">
        <f t="shared" si="11"/>
        <v>WHO-STI Procedure (Service Provided)</v>
      </c>
      <c r="BZ653" s="46">
        <f t="shared" si="12"/>
        <v>1</v>
      </c>
      <c r="CA653" s="46" t="str">
        <f t="shared" si="13"/>
        <v/>
      </c>
      <c r="CB653" s="46">
        <f t="shared" si="14"/>
        <v>1</v>
      </c>
      <c r="CC653" s="46">
        <f t="shared" si="15"/>
        <v>1</v>
      </c>
      <c r="CD653" s="46">
        <f t="shared" si="16"/>
        <v>1</v>
      </c>
      <c r="CE653" s="46">
        <f t="shared" si="17"/>
        <v>0</v>
      </c>
      <c r="CF653" s="46">
        <f t="shared" si="18"/>
        <v>0</v>
      </c>
      <c r="CG653" s="46" t="str">
        <f ca="1">IFERROR(__xludf.DUMMYFUNCTION("if(OR(BH653="""",LEFT(BH653,2)=""LA""),"""",IMPORTXML(CONCATENATE(""https://loinc.org/"",BH653,""/""),""//span[@id='lcn']""))"),"")</f>
        <v/>
      </c>
      <c r="CH653" s="46"/>
      <c r="CI653" s="46"/>
      <c r="CJ653" s="46"/>
      <c r="CK653" s="46"/>
      <c r="CL653" s="46"/>
      <c r="CM653" s="46"/>
      <c r="CN653" s="46"/>
      <c r="CO653" s="46"/>
      <c r="CP653" s="46"/>
      <c r="CQ653" s="46"/>
      <c r="CR653" s="46"/>
      <c r="CS653" s="46"/>
      <c r="CT653" s="46"/>
      <c r="CU653" s="46"/>
    </row>
    <row r="654" spans="1:99" ht="12.75" customHeight="1">
      <c r="A654" s="409">
        <v>2086</v>
      </c>
      <c r="B654" s="399" t="s">
        <v>7554</v>
      </c>
      <c r="C654" s="399">
        <f t="shared" si="103"/>
        <v>2086</v>
      </c>
      <c r="D654" s="399" t="e">
        <f t="shared" ca="1" si="104"/>
        <v>#NAME?</v>
      </c>
      <c r="E654" s="399" t="str">
        <f t="shared" si="105"/>
        <v xml:space="preserve">Lower abdominal tenderness </v>
      </c>
      <c r="F654" s="399" t="str">
        <f t="shared" si="111"/>
        <v>Input Option</v>
      </c>
      <c r="G654" s="400">
        <f t="shared" si="106"/>
        <v>34</v>
      </c>
      <c r="H654" s="399" t="str">
        <f t="shared" si="110"/>
        <v>Bimanual exam</v>
      </c>
      <c r="I654" s="400"/>
      <c r="J654" s="400"/>
      <c r="K654" s="401" t="s">
        <v>5283</v>
      </c>
      <c r="L654" s="402" t="s">
        <v>7227</v>
      </c>
      <c r="M654" s="400"/>
      <c r="N654" s="675" t="s">
        <v>7175</v>
      </c>
      <c r="O654" s="404" t="s">
        <v>6621</v>
      </c>
      <c r="P654" s="404"/>
      <c r="Q654" s="437"/>
      <c r="R654" s="404"/>
      <c r="S654" s="437"/>
      <c r="T654" s="437"/>
      <c r="U654" s="437"/>
      <c r="V654" s="420" t="s">
        <v>7558</v>
      </c>
      <c r="W654" s="404"/>
      <c r="X654" s="404"/>
      <c r="Y654" s="437"/>
      <c r="Z654" s="404" t="s">
        <v>113</v>
      </c>
      <c r="AA654" s="437" t="s">
        <v>1889</v>
      </c>
      <c r="AB654" s="406"/>
      <c r="AC654" s="404"/>
      <c r="AD654" s="404"/>
      <c r="AE654" s="406"/>
      <c r="AF654" s="404"/>
      <c r="AG654" s="404"/>
      <c r="AH654" s="399"/>
      <c r="AI654" s="400"/>
      <c r="AJ654" s="399" t="s">
        <v>1787</v>
      </c>
      <c r="AK654" s="399"/>
      <c r="AL654" s="403"/>
      <c r="AM654" s="403"/>
      <c r="AN654" s="403"/>
      <c r="AO654" s="399" t="s">
        <v>1787</v>
      </c>
      <c r="AP654" s="399"/>
      <c r="AQ654" s="409" t="s">
        <v>3130</v>
      </c>
      <c r="AR654" s="399"/>
      <c r="AS654" s="399"/>
      <c r="AT654" s="399"/>
      <c r="AU654" s="399"/>
      <c r="AV654" s="399" t="str">
        <f t="shared" si="107"/>
        <v/>
      </c>
      <c r="AW654" s="399"/>
      <c r="AX654" s="409" t="s">
        <v>5194</v>
      </c>
      <c r="AY654" s="399" t="e">
        <f t="shared" ca="1" si="108"/>
        <v>#NAME?</v>
      </c>
      <c r="AZ654" s="399"/>
      <c r="BA654" s="409" t="s">
        <v>3125</v>
      </c>
      <c r="BB654" s="399"/>
      <c r="BC654" s="399" t="s">
        <v>1787</v>
      </c>
      <c r="BD654" s="409" t="s">
        <v>3162</v>
      </c>
      <c r="BE654" s="411" t="s">
        <v>7564</v>
      </c>
      <c r="BF654" s="411" t="s">
        <v>1787</v>
      </c>
      <c r="BG654" s="411"/>
      <c r="BH654" s="411"/>
      <c r="BI654" s="411"/>
      <c r="BJ654" s="399" t="s">
        <v>1787</v>
      </c>
      <c r="BK654" s="399" t="s">
        <v>1787</v>
      </c>
      <c r="BL654" s="399"/>
      <c r="BM654" s="399" t="s">
        <v>1787</v>
      </c>
      <c r="BN654" s="399" t="s">
        <v>1787</v>
      </c>
      <c r="BO654" s="399" t="s">
        <v>1787</v>
      </c>
      <c r="BP654" s="399" t="s">
        <v>1787</v>
      </c>
      <c r="BQ654" s="399" t="s">
        <v>1787</v>
      </c>
      <c r="BR654" s="399" t="s">
        <v>1787</v>
      </c>
      <c r="BS654" s="407"/>
      <c r="BT654" s="407"/>
      <c r="BU654" s="412"/>
      <c r="BV654" s="46" t="str">
        <f t="shared" si="8"/>
        <v/>
      </c>
      <c r="BW654" s="46">
        <f t="shared" si="9"/>
        <v>0</v>
      </c>
      <c r="BX654" s="46">
        <f t="shared" si="10"/>
        <v>0</v>
      </c>
      <c r="BY654" s="43" t="str">
        <f t="shared" si="11"/>
        <v>WHO-STI Procedure (Service Provided)</v>
      </c>
      <c r="BZ654" s="46">
        <f t="shared" si="12"/>
        <v>1</v>
      </c>
      <c r="CA654" s="46" t="str">
        <f t="shared" si="13"/>
        <v/>
      </c>
      <c r="CB654" s="46">
        <f t="shared" si="14"/>
        <v>1</v>
      </c>
      <c r="CC654" s="46">
        <f t="shared" si="15"/>
        <v>1</v>
      </c>
      <c r="CD654" s="46">
        <f t="shared" si="16"/>
        <v>1</v>
      </c>
      <c r="CE654" s="46">
        <f t="shared" si="17"/>
        <v>0</v>
      </c>
      <c r="CF654" s="46">
        <f t="shared" si="18"/>
        <v>0</v>
      </c>
      <c r="CG654" s="46" t="str">
        <f ca="1">IFERROR(__xludf.DUMMYFUNCTION("if(OR(BH654="""",LEFT(BH654,2)=""LA""),"""",IMPORTXML(CONCATENATE(""https://loinc.org/"",BH654,""/""),""//span[@id='lcn']""))"),"")</f>
        <v/>
      </c>
      <c r="CH654" s="46"/>
      <c r="CI654" s="46"/>
      <c r="CJ654" s="46"/>
      <c r="CK654" s="46"/>
      <c r="CL654" s="46"/>
      <c r="CM654" s="46"/>
      <c r="CN654" s="46"/>
      <c r="CO654" s="46"/>
      <c r="CP654" s="46"/>
      <c r="CQ654" s="46"/>
      <c r="CR654" s="46"/>
      <c r="CS654" s="46"/>
      <c r="CT654" s="46"/>
      <c r="CU654" s="46"/>
    </row>
    <row r="655" spans="1:99" ht="12.75" customHeight="1">
      <c r="A655" s="409">
        <v>2087</v>
      </c>
      <c r="B655" s="399" t="s">
        <v>6613</v>
      </c>
      <c r="C655" s="399">
        <f t="shared" si="103"/>
        <v>2087</v>
      </c>
      <c r="D655" s="399" t="e">
        <f t="shared" ca="1" si="104"/>
        <v>#NAME?</v>
      </c>
      <c r="E655" s="399" t="str">
        <f t="shared" si="105"/>
        <v>Cervical motion tenderness</v>
      </c>
      <c r="F655" s="399" t="str">
        <f t="shared" si="111"/>
        <v>Input Option</v>
      </c>
      <c r="G655" s="400">
        <f t="shared" si="106"/>
        <v>33</v>
      </c>
      <c r="H655" s="399" t="str">
        <f t="shared" si="110"/>
        <v>Bimanual exam</v>
      </c>
      <c r="I655" s="400"/>
      <c r="J655" s="400"/>
      <c r="K655" s="401" t="s">
        <v>5283</v>
      </c>
      <c r="L655" s="402" t="s">
        <v>7227</v>
      </c>
      <c r="M655" s="400"/>
      <c r="N655" s="675" t="s">
        <v>7175</v>
      </c>
      <c r="O655" s="404" t="s">
        <v>6614</v>
      </c>
      <c r="P655" s="404"/>
      <c r="Q655" s="437"/>
      <c r="R655" s="404"/>
      <c r="S655" s="437"/>
      <c r="T655" s="437"/>
      <c r="U655" s="437"/>
      <c r="V655" s="420" t="s">
        <v>6615</v>
      </c>
      <c r="W655" s="404"/>
      <c r="X655" s="404"/>
      <c r="Y655" s="437"/>
      <c r="Z655" s="404" t="s">
        <v>113</v>
      </c>
      <c r="AA655" s="437" t="s">
        <v>1889</v>
      </c>
      <c r="AB655" s="406"/>
      <c r="AC655" s="404"/>
      <c r="AD655" s="404"/>
      <c r="AE655" s="406"/>
      <c r="AF655" s="404"/>
      <c r="AG655" s="404"/>
      <c r="AH655" s="399"/>
      <c r="AI655" s="400"/>
      <c r="AJ655" s="399" t="s">
        <v>1787</v>
      </c>
      <c r="AK655" s="399"/>
      <c r="AL655" s="403"/>
      <c r="AM655" s="403"/>
      <c r="AN655" s="403"/>
      <c r="AO655" s="399" t="s">
        <v>1787</v>
      </c>
      <c r="AP655" s="399"/>
      <c r="AQ655" s="409" t="s">
        <v>3130</v>
      </c>
      <c r="AR655" s="399"/>
      <c r="AS655" s="399"/>
      <c r="AT655" s="399"/>
      <c r="AU655" s="399"/>
      <c r="AV655" s="399" t="str">
        <f t="shared" si="107"/>
        <v/>
      </c>
      <c r="AW655" s="399"/>
      <c r="AX655" s="409" t="s">
        <v>5194</v>
      </c>
      <c r="AY655" s="399" t="e">
        <f t="shared" ca="1" si="108"/>
        <v>#NAME?</v>
      </c>
      <c r="AZ655" s="399"/>
      <c r="BA655" s="409" t="s">
        <v>3125</v>
      </c>
      <c r="BB655" s="399"/>
      <c r="BC655" s="399" t="s">
        <v>1787</v>
      </c>
      <c r="BD655" s="399" t="s">
        <v>1787</v>
      </c>
      <c r="BE655" s="411"/>
      <c r="BF655" s="411" t="s">
        <v>1787</v>
      </c>
      <c r="BG655" s="434" t="s">
        <v>6618</v>
      </c>
      <c r="BH655" s="411"/>
      <c r="BI655" s="411"/>
      <c r="BJ655" s="399" t="s">
        <v>1787</v>
      </c>
      <c r="BK655" s="399" t="s">
        <v>1787</v>
      </c>
      <c r="BL655" s="409" t="s">
        <v>3162</v>
      </c>
      <c r="BM655" s="399" t="s">
        <v>1787</v>
      </c>
      <c r="BN655" s="399" t="s">
        <v>1787</v>
      </c>
      <c r="BO655" s="399" t="s">
        <v>1787</v>
      </c>
      <c r="BP655" s="399" t="s">
        <v>1787</v>
      </c>
      <c r="BQ655" s="399" t="s">
        <v>1787</v>
      </c>
      <c r="BR655" s="399" t="s">
        <v>1787</v>
      </c>
      <c r="BS655" s="407"/>
      <c r="BT655" s="407"/>
      <c r="BU655" s="412"/>
      <c r="BV655" s="46" t="str">
        <f t="shared" si="8"/>
        <v/>
      </c>
      <c r="BW655" s="46">
        <f t="shared" si="9"/>
        <v>0</v>
      </c>
      <c r="BX655" s="46">
        <f t="shared" si="10"/>
        <v>0</v>
      </c>
      <c r="BY655" s="43" t="str">
        <f t="shared" si="11"/>
        <v>WHO-STI Procedure (Service Provided)</v>
      </c>
      <c r="BZ655" s="46">
        <f t="shared" si="12"/>
        <v>1</v>
      </c>
      <c r="CA655" s="46" t="str">
        <f t="shared" si="13"/>
        <v/>
      </c>
      <c r="CB655" s="46">
        <f t="shared" si="14"/>
        <v>1</v>
      </c>
      <c r="CC655" s="46">
        <f t="shared" si="15"/>
        <v>1</v>
      </c>
      <c r="CD655" s="46">
        <f t="shared" si="16"/>
        <v>1</v>
      </c>
      <c r="CE655" s="46">
        <f t="shared" si="17"/>
        <v>0</v>
      </c>
      <c r="CF655" s="46">
        <f t="shared" si="18"/>
        <v>0</v>
      </c>
      <c r="CG655" s="46" t="str">
        <f ca="1">IFERROR(__xludf.DUMMYFUNCTION("if(OR(BH655="""",LEFT(BH655,2)=""LA""),"""",IMPORTXML(CONCATENATE(""https://loinc.org/"",BH655,""/""),""//span[@id='lcn']""))"),"")</f>
        <v/>
      </c>
      <c r="CH655" s="46"/>
      <c r="CI655" s="46"/>
      <c r="CJ655" s="46"/>
      <c r="CK655" s="46"/>
      <c r="CL655" s="46"/>
      <c r="CM655" s="46"/>
      <c r="CN655" s="46"/>
      <c r="CO655" s="46"/>
      <c r="CP655" s="46"/>
      <c r="CQ655" s="46"/>
      <c r="CR655" s="46"/>
      <c r="CS655" s="46"/>
      <c r="CT655" s="46"/>
      <c r="CU655" s="46"/>
    </row>
    <row r="656" spans="1:99" ht="12.75" customHeight="1">
      <c r="A656" s="409">
        <v>2088</v>
      </c>
      <c r="B656" s="399" t="s">
        <v>6653</v>
      </c>
      <c r="C656" s="399">
        <f t="shared" si="103"/>
        <v>2088</v>
      </c>
      <c r="D656" s="399" t="e">
        <f t="shared" ca="1" si="104"/>
        <v>#NAME?</v>
      </c>
      <c r="E656" s="399" t="str">
        <f t="shared" si="105"/>
        <v>Uterine tenderness</v>
      </c>
      <c r="F656" s="399" t="str">
        <f t="shared" si="111"/>
        <v>Input Option</v>
      </c>
      <c r="G656" s="400">
        <f t="shared" si="106"/>
        <v>25</v>
      </c>
      <c r="H656" s="399" t="str">
        <f t="shared" si="110"/>
        <v>Bimanual exam</v>
      </c>
      <c r="I656" s="400"/>
      <c r="J656" s="400"/>
      <c r="K656" s="401" t="s">
        <v>5283</v>
      </c>
      <c r="L656" s="402" t="s">
        <v>7227</v>
      </c>
      <c r="M656" s="400"/>
      <c r="N656" s="675" t="s">
        <v>7175</v>
      </c>
      <c r="O656" s="404" t="s">
        <v>7603</v>
      </c>
      <c r="P656" s="404"/>
      <c r="Q656" s="437"/>
      <c r="R656" s="404"/>
      <c r="S656" s="437"/>
      <c r="T656" s="437"/>
      <c r="U656" s="437"/>
      <c r="V656" s="420" t="s">
        <v>6655</v>
      </c>
      <c r="W656" s="404"/>
      <c r="X656" s="404"/>
      <c r="Y656" s="437"/>
      <c r="Z656" s="404" t="s">
        <v>113</v>
      </c>
      <c r="AA656" s="437" t="s">
        <v>1889</v>
      </c>
      <c r="AB656" s="406"/>
      <c r="AC656" s="404"/>
      <c r="AD656" s="404"/>
      <c r="AE656" s="406"/>
      <c r="AF656" s="404"/>
      <c r="AG656" s="404"/>
      <c r="AH656" s="399"/>
      <c r="AI656" s="400"/>
      <c r="AJ656" s="399" t="s">
        <v>1787</v>
      </c>
      <c r="AK656" s="399"/>
      <c r="AL656" s="403"/>
      <c r="AM656" s="403"/>
      <c r="AN656" s="403"/>
      <c r="AO656" s="399" t="s">
        <v>1787</v>
      </c>
      <c r="AP656" s="399"/>
      <c r="AQ656" s="409" t="s">
        <v>3130</v>
      </c>
      <c r="AR656" s="399"/>
      <c r="AS656" s="399"/>
      <c r="AT656" s="399"/>
      <c r="AU656" s="399"/>
      <c r="AV656" s="399" t="str">
        <f t="shared" si="107"/>
        <v/>
      </c>
      <c r="AW656" s="399"/>
      <c r="AX656" s="409" t="s">
        <v>5194</v>
      </c>
      <c r="AY656" s="399" t="e">
        <f t="shared" ca="1" si="108"/>
        <v>#NAME?</v>
      </c>
      <c r="AZ656" s="399"/>
      <c r="BA656" s="409" t="s">
        <v>3125</v>
      </c>
      <c r="BB656" s="399"/>
      <c r="BC656" s="399" t="s">
        <v>1787</v>
      </c>
      <c r="BD656" s="399" t="s">
        <v>1787</v>
      </c>
      <c r="BE656" s="411"/>
      <c r="BF656" s="411" t="s">
        <v>1787</v>
      </c>
      <c r="BG656" s="434" t="s">
        <v>6658</v>
      </c>
      <c r="BH656" s="411"/>
      <c r="BI656" s="411"/>
      <c r="BJ656" s="399" t="s">
        <v>1787</v>
      </c>
      <c r="BK656" s="399" t="s">
        <v>1787</v>
      </c>
      <c r="BL656" s="399"/>
      <c r="BM656" s="399" t="s">
        <v>1787</v>
      </c>
      <c r="BN656" s="399" t="s">
        <v>1787</v>
      </c>
      <c r="BO656" s="399" t="s">
        <v>1787</v>
      </c>
      <c r="BP656" s="399" t="s">
        <v>1787</v>
      </c>
      <c r="BQ656" s="399" t="s">
        <v>1787</v>
      </c>
      <c r="BR656" s="399" t="s">
        <v>1787</v>
      </c>
      <c r="BS656" s="407"/>
      <c r="BT656" s="407"/>
      <c r="BU656" s="412"/>
      <c r="BV656" s="46" t="str">
        <f t="shared" si="8"/>
        <v/>
      </c>
      <c r="BW656" s="46">
        <f t="shared" si="9"/>
        <v>0</v>
      </c>
      <c r="BX656" s="46">
        <f t="shared" si="10"/>
        <v>0</v>
      </c>
      <c r="BY656" s="43" t="str">
        <f t="shared" si="11"/>
        <v>WHO-STI Procedure (Service Provided)</v>
      </c>
      <c r="BZ656" s="46">
        <f t="shared" si="12"/>
        <v>1</v>
      </c>
      <c r="CA656" s="46" t="str">
        <f t="shared" si="13"/>
        <v/>
      </c>
      <c r="CB656" s="46">
        <f t="shared" si="14"/>
        <v>1</v>
      </c>
      <c r="CC656" s="46">
        <f t="shared" si="15"/>
        <v>1</v>
      </c>
      <c r="CD656" s="46">
        <f t="shared" si="16"/>
        <v>1</v>
      </c>
      <c r="CE656" s="46">
        <f t="shared" si="17"/>
        <v>0</v>
      </c>
      <c r="CF656" s="46">
        <f t="shared" si="18"/>
        <v>0</v>
      </c>
      <c r="CG656" s="46" t="str">
        <f ca="1">IFERROR(__xludf.DUMMYFUNCTION("if(OR(BH656="""",LEFT(BH656,2)=""LA""),"""",IMPORTXML(CONCATENATE(""https://loinc.org/"",BH656,""/""),""//span[@id='lcn']""))"),"")</f>
        <v/>
      </c>
      <c r="CH656" s="46"/>
      <c r="CI656" s="46"/>
      <c r="CJ656" s="46"/>
      <c r="CK656" s="46"/>
      <c r="CL656" s="46"/>
      <c r="CM656" s="46"/>
      <c r="CN656" s="46"/>
      <c r="CO656" s="46"/>
      <c r="CP656" s="46"/>
      <c r="CQ656" s="46"/>
      <c r="CR656" s="46"/>
      <c r="CS656" s="46"/>
      <c r="CT656" s="46"/>
      <c r="CU656" s="46"/>
    </row>
    <row r="657" spans="1:99" ht="12.75" customHeight="1">
      <c r="A657" s="409">
        <v>2089</v>
      </c>
      <c r="B657" s="399" t="s">
        <v>7616</v>
      </c>
      <c r="C657" s="399">
        <f t="shared" si="103"/>
        <v>2089</v>
      </c>
      <c r="D657" s="399" t="e">
        <f t="shared" ca="1" si="104"/>
        <v>#NAME?</v>
      </c>
      <c r="E657" s="399" t="str">
        <f t="shared" si="105"/>
        <v>Adnexa tenderness</v>
      </c>
      <c r="F657" s="399" t="str">
        <f t="shared" si="111"/>
        <v>Input Option</v>
      </c>
      <c r="G657" s="400">
        <f t="shared" si="106"/>
        <v>24</v>
      </c>
      <c r="H657" s="399" t="str">
        <f t="shared" si="110"/>
        <v>Bimanual exam</v>
      </c>
      <c r="I657" s="400"/>
      <c r="J657" s="400"/>
      <c r="K657" s="401" t="s">
        <v>5283</v>
      </c>
      <c r="L657" s="402" t="s">
        <v>7227</v>
      </c>
      <c r="M657" s="400"/>
      <c r="N657" s="675" t="s">
        <v>7175</v>
      </c>
      <c r="O657" s="404" t="s">
        <v>6645</v>
      </c>
      <c r="P657" s="404"/>
      <c r="Q657" s="437"/>
      <c r="R657" s="404"/>
      <c r="S657" s="437"/>
      <c r="T657" s="437"/>
      <c r="U657" s="437"/>
      <c r="V657" s="420" t="s">
        <v>7620</v>
      </c>
      <c r="W657" s="404"/>
      <c r="X657" s="404"/>
      <c r="Y657" s="437"/>
      <c r="Z657" s="404" t="s">
        <v>113</v>
      </c>
      <c r="AA657" s="437" t="s">
        <v>1889</v>
      </c>
      <c r="AB657" s="406"/>
      <c r="AC657" s="404"/>
      <c r="AD657" s="404"/>
      <c r="AE657" s="406"/>
      <c r="AF657" s="404"/>
      <c r="AG657" s="404"/>
      <c r="AH657" s="399"/>
      <c r="AI657" s="400"/>
      <c r="AJ657" s="399" t="s">
        <v>1787</v>
      </c>
      <c r="AK657" s="399"/>
      <c r="AL657" s="403"/>
      <c r="AM657" s="403"/>
      <c r="AN657" s="403"/>
      <c r="AO657" s="399" t="s">
        <v>1787</v>
      </c>
      <c r="AP657" s="399"/>
      <c r="AQ657" s="409" t="s">
        <v>3130</v>
      </c>
      <c r="AR657" s="399"/>
      <c r="AS657" s="399"/>
      <c r="AT657" s="399"/>
      <c r="AU657" s="399"/>
      <c r="AV657" s="399" t="str">
        <f t="shared" si="107"/>
        <v/>
      </c>
      <c r="AW657" s="399"/>
      <c r="AX657" s="409" t="s">
        <v>5194</v>
      </c>
      <c r="AY657" s="399" t="e">
        <f t="shared" ca="1" si="108"/>
        <v>#NAME?</v>
      </c>
      <c r="AZ657" s="399"/>
      <c r="BA657" s="409" t="s">
        <v>3125</v>
      </c>
      <c r="BB657" s="399"/>
      <c r="BC657" s="399" t="s">
        <v>1787</v>
      </c>
      <c r="BD657" s="409" t="s">
        <v>7626</v>
      </c>
      <c r="BE657" s="411" t="s">
        <v>326</v>
      </c>
      <c r="BF657" s="411" t="s">
        <v>1787</v>
      </c>
      <c r="BG657" s="411"/>
      <c r="BH657" s="411"/>
      <c r="BI657" s="411"/>
      <c r="BJ657" s="399" t="s">
        <v>1787</v>
      </c>
      <c r="BK657" s="399" t="s">
        <v>1787</v>
      </c>
      <c r="BL657" s="399"/>
      <c r="BM657" s="399" t="s">
        <v>1787</v>
      </c>
      <c r="BN657" s="399" t="s">
        <v>1787</v>
      </c>
      <c r="BO657" s="399" t="s">
        <v>1787</v>
      </c>
      <c r="BP657" s="399" t="s">
        <v>1787</v>
      </c>
      <c r="BQ657" s="399" t="s">
        <v>1787</v>
      </c>
      <c r="BR657" s="399" t="s">
        <v>1787</v>
      </c>
      <c r="BS657" s="407"/>
      <c r="BT657" s="407"/>
      <c r="BU657" s="412"/>
      <c r="BV657" s="46" t="str">
        <f t="shared" si="8"/>
        <v/>
      </c>
      <c r="BW657" s="46">
        <f t="shared" si="9"/>
        <v>0</v>
      </c>
      <c r="BX657" s="46">
        <f t="shared" si="10"/>
        <v>0</v>
      </c>
      <c r="BY657" s="43" t="str">
        <f t="shared" si="11"/>
        <v>WHO-STI Procedure (Service Provided)</v>
      </c>
      <c r="BZ657" s="46">
        <f t="shared" si="12"/>
        <v>1</v>
      </c>
      <c r="CA657" s="46" t="str">
        <f t="shared" si="13"/>
        <v/>
      </c>
      <c r="CB657" s="46">
        <f t="shared" si="14"/>
        <v>1</v>
      </c>
      <c r="CC657" s="46">
        <f t="shared" si="15"/>
        <v>1</v>
      </c>
      <c r="CD657" s="46">
        <f t="shared" si="16"/>
        <v>1</v>
      </c>
      <c r="CE657" s="46">
        <f t="shared" si="17"/>
        <v>0</v>
      </c>
      <c r="CF657" s="46">
        <f t="shared" si="18"/>
        <v>0</v>
      </c>
      <c r="CG657" s="46" t="str">
        <f ca="1">IFERROR(__xludf.DUMMYFUNCTION("if(OR(BH657="""",LEFT(BH657,2)=""LA""),"""",IMPORTXML(CONCATENATE(""https://loinc.org/"",BH657,""/""),""//span[@id='lcn']""))"),"")</f>
        <v/>
      </c>
      <c r="CH657" s="46"/>
      <c r="CI657" s="46"/>
      <c r="CJ657" s="46"/>
      <c r="CK657" s="46"/>
      <c r="CL657" s="46"/>
      <c r="CM657" s="46"/>
      <c r="CN657" s="46"/>
      <c r="CO657" s="46"/>
      <c r="CP657" s="46"/>
      <c r="CQ657" s="46"/>
      <c r="CR657" s="46"/>
      <c r="CS657" s="46"/>
      <c r="CT657" s="46"/>
      <c r="CU657" s="46"/>
    </row>
    <row r="658" spans="1:99" ht="12.75" customHeight="1">
      <c r="A658" s="409">
        <v>2090</v>
      </c>
      <c r="B658" s="399" t="s">
        <v>7637</v>
      </c>
      <c r="C658" s="399">
        <f t="shared" si="103"/>
        <v>2090</v>
      </c>
      <c r="D658" s="399" t="e">
        <f t="shared" ca="1" si="104"/>
        <v>#NAME?</v>
      </c>
      <c r="E658" s="399" t="str">
        <f t="shared" si="105"/>
        <v>Abnormal growth</v>
      </c>
      <c r="F658" s="399" t="str">
        <f t="shared" si="111"/>
        <v>Input Option</v>
      </c>
      <c r="G658" s="400">
        <f t="shared" si="106"/>
        <v>22</v>
      </c>
      <c r="H658" s="399" t="str">
        <f t="shared" si="110"/>
        <v>Bimanual exam</v>
      </c>
      <c r="I658" s="400"/>
      <c r="J658" s="400"/>
      <c r="K658" s="401" t="s">
        <v>5283</v>
      </c>
      <c r="L658" s="402" t="s">
        <v>7227</v>
      </c>
      <c r="M658" s="400"/>
      <c r="N658" s="675" t="s">
        <v>7175</v>
      </c>
      <c r="O658" s="404" t="s">
        <v>7644</v>
      </c>
      <c r="P658" s="404"/>
      <c r="Q658" s="437"/>
      <c r="R658" s="404"/>
      <c r="S658" s="437"/>
      <c r="T658" s="437"/>
      <c r="U658" s="437"/>
      <c r="V658" s="420" t="s">
        <v>7645</v>
      </c>
      <c r="W658" s="404"/>
      <c r="X658" s="404"/>
      <c r="Y658" s="437"/>
      <c r="Z658" s="404" t="s">
        <v>113</v>
      </c>
      <c r="AA658" s="437" t="s">
        <v>1889</v>
      </c>
      <c r="AB658" s="406"/>
      <c r="AC658" s="404"/>
      <c r="AD658" s="404"/>
      <c r="AE658" s="406"/>
      <c r="AF658" s="404"/>
      <c r="AG658" s="404"/>
      <c r="AH658" s="399"/>
      <c r="AI658" s="400"/>
      <c r="AJ658" s="399" t="s">
        <v>1787</v>
      </c>
      <c r="AK658" s="399"/>
      <c r="AL658" s="403"/>
      <c r="AM658" s="403"/>
      <c r="AN658" s="403"/>
      <c r="AO658" s="399" t="s">
        <v>1787</v>
      </c>
      <c r="AP658" s="399"/>
      <c r="AQ658" s="409" t="s">
        <v>3130</v>
      </c>
      <c r="AR658" s="399"/>
      <c r="AS658" s="399"/>
      <c r="AT658" s="399"/>
      <c r="AU658" s="399"/>
      <c r="AV658" s="399" t="str">
        <f t="shared" si="107"/>
        <v/>
      </c>
      <c r="AW658" s="399"/>
      <c r="AX658" s="409" t="s">
        <v>5194</v>
      </c>
      <c r="AY658" s="399" t="e">
        <f t="shared" ca="1" si="108"/>
        <v>#NAME?</v>
      </c>
      <c r="AZ658" s="399"/>
      <c r="BA658" s="409" t="s">
        <v>3125</v>
      </c>
      <c r="BB658" s="399"/>
      <c r="BC658" s="399" t="s">
        <v>1787</v>
      </c>
      <c r="BD658" s="409" t="s">
        <v>7655</v>
      </c>
      <c r="BE658" s="411"/>
      <c r="BF658" s="411" t="s">
        <v>1787</v>
      </c>
      <c r="BG658" s="434" t="s">
        <v>7656</v>
      </c>
      <c r="BH658" s="411"/>
      <c r="BI658" s="411"/>
      <c r="BJ658" s="399" t="s">
        <v>1787</v>
      </c>
      <c r="BK658" s="399" t="s">
        <v>1787</v>
      </c>
      <c r="BL658" s="409" t="s">
        <v>3162</v>
      </c>
      <c r="BM658" s="399" t="s">
        <v>1787</v>
      </c>
      <c r="BN658" s="438" t="str">
        <f t="shared" ref="BN658:BN659" si="112">HYPERLINK("https://github.com/who-int/Data-Dictionary-Mapping/issues/41","41")</f>
        <v>41</v>
      </c>
      <c r="BO658" s="399" t="s">
        <v>1787</v>
      </c>
      <c r="BP658" s="399" t="s">
        <v>1787</v>
      </c>
      <c r="BQ658" s="399" t="s">
        <v>1787</v>
      </c>
      <c r="BR658" s="399" t="s">
        <v>1787</v>
      </c>
      <c r="BS658" s="407"/>
      <c r="BT658" s="407"/>
      <c r="BU658" s="412"/>
      <c r="BV658" s="46" t="str">
        <f t="shared" si="8"/>
        <v/>
      </c>
      <c r="BW658" s="46">
        <f t="shared" si="9"/>
        <v>0</v>
      </c>
      <c r="BX658" s="46">
        <f t="shared" si="10"/>
        <v>0</v>
      </c>
      <c r="BY658" s="43" t="str">
        <f t="shared" si="11"/>
        <v>WHO-STI Procedure (Service Provided)</v>
      </c>
      <c r="BZ658" s="46">
        <f t="shared" si="12"/>
        <v>1</v>
      </c>
      <c r="CA658" s="46" t="str">
        <f t="shared" si="13"/>
        <v/>
      </c>
      <c r="CB658" s="46">
        <f t="shared" si="14"/>
        <v>1</v>
      </c>
      <c r="CC658" s="46">
        <f t="shared" si="15"/>
        <v>1</v>
      </c>
      <c r="CD658" s="46">
        <f t="shared" si="16"/>
        <v>1</v>
      </c>
      <c r="CE658" s="46">
        <f t="shared" si="17"/>
        <v>0</v>
      </c>
      <c r="CF658" s="46">
        <f t="shared" si="18"/>
        <v>0</v>
      </c>
      <c r="CG658" s="46" t="str">
        <f ca="1">IFERROR(__xludf.DUMMYFUNCTION("if(OR(BH658="""",LEFT(BH658,2)=""LA""),"""",IMPORTXML(CONCATENATE(""https://loinc.org/"",BH658,""/""),""//span[@id='lcn']""))"),"")</f>
        <v/>
      </c>
      <c r="CH658" s="46"/>
      <c r="CI658" s="46"/>
      <c r="CJ658" s="46"/>
      <c r="CK658" s="46"/>
      <c r="CL658" s="46"/>
      <c r="CM658" s="46"/>
      <c r="CN658" s="46"/>
      <c r="CO658" s="46"/>
      <c r="CP658" s="46"/>
      <c r="CQ658" s="46"/>
      <c r="CR658" s="46"/>
      <c r="CS658" s="46"/>
      <c r="CT658" s="46"/>
      <c r="CU658" s="46"/>
    </row>
    <row r="659" spans="1:99" ht="12.75" customHeight="1">
      <c r="A659" s="409">
        <v>2091</v>
      </c>
      <c r="B659" s="399" t="s">
        <v>7669</v>
      </c>
      <c r="C659" s="399">
        <f t="shared" si="103"/>
        <v>2091</v>
      </c>
      <c r="D659" s="399" t="e">
        <f t="shared" ca="1" si="104"/>
        <v>#NAME?</v>
      </c>
      <c r="E659" s="399" t="str">
        <f t="shared" si="105"/>
        <v>Hardness to the touch</v>
      </c>
      <c r="F659" s="399" t="str">
        <f t="shared" si="111"/>
        <v>Input Option</v>
      </c>
      <c r="G659" s="400">
        <f t="shared" si="106"/>
        <v>28</v>
      </c>
      <c r="H659" s="399" t="str">
        <f t="shared" si="110"/>
        <v>Bimanual exam</v>
      </c>
      <c r="I659" s="400"/>
      <c r="J659" s="400"/>
      <c r="K659" s="401" t="s">
        <v>5283</v>
      </c>
      <c r="L659" s="402" t="s">
        <v>7227</v>
      </c>
      <c r="M659" s="400"/>
      <c r="N659" s="675" t="s">
        <v>7175</v>
      </c>
      <c r="O659" s="404" t="s">
        <v>7674</v>
      </c>
      <c r="P659" s="404"/>
      <c r="Q659" s="404"/>
      <c r="R659" s="404"/>
      <c r="S659" s="437"/>
      <c r="T659" s="437"/>
      <c r="U659" s="437"/>
      <c r="V659" s="420" t="s">
        <v>7677</v>
      </c>
      <c r="W659" s="404"/>
      <c r="X659" s="404"/>
      <c r="Y659" s="437"/>
      <c r="Z659" s="404" t="s">
        <v>113</v>
      </c>
      <c r="AA659" s="437" t="s">
        <v>1889</v>
      </c>
      <c r="AB659" s="406"/>
      <c r="AC659" s="404"/>
      <c r="AD659" s="404"/>
      <c r="AE659" s="406"/>
      <c r="AF659" s="404"/>
      <c r="AG659" s="404"/>
      <c r="AH659" s="399"/>
      <c r="AI659" s="400"/>
      <c r="AJ659" s="399" t="s">
        <v>1787</v>
      </c>
      <c r="AK659" s="399"/>
      <c r="AL659" s="403"/>
      <c r="AM659" s="403"/>
      <c r="AN659" s="403"/>
      <c r="AO659" s="399" t="s">
        <v>1787</v>
      </c>
      <c r="AP659" s="399"/>
      <c r="AQ659" s="409" t="s">
        <v>3130</v>
      </c>
      <c r="AR659" s="399"/>
      <c r="AS659" s="399"/>
      <c r="AT659" s="399"/>
      <c r="AU659" s="399"/>
      <c r="AV659" s="399" t="str">
        <f t="shared" si="107"/>
        <v/>
      </c>
      <c r="AW659" s="399"/>
      <c r="AX659" s="409" t="s">
        <v>5194</v>
      </c>
      <c r="AY659" s="399" t="e">
        <f t="shared" ca="1" si="108"/>
        <v>#NAME?</v>
      </c>
      <c r="AZ659" s="399"/>
      <c r="BA659" s="409" t="s">
        <v>3125</v>
      </c>
      <c r="BB659" s="399"/>
      <c r="BC659" s="399" t="s">
        <v>1787</v>
      </c>
      <c r="BD659" s="409" t="s">
        <v>7655</v>
      </c>
      <c r="BE659" s="411"/>
      <c r="BF659" s="411" t="s">
        <v>1787</v>
      </c>
      <c r="BG659" s="434" t="s">
        <v>7684</v>
      </c>
      <c r="BH659" s="411"/>
      <c r="BI659" s="411"/>
      <c r="BJ659" s="399" t="s">
        <v>1787</v>
      </c>
      <c r="BK659" s="399" t="s">
        <v>1787</v>
      </c>
      <c r="BL659" s="409" t="s">
        <v>3162</v>
      </c>
      <c r="BM659" s="399" t="s">
        <v>1787</v>
      </c>
      <c r="BN659" s="466" t="str">
        <f t="shared" si="112"/>
        <v>41</v>
      </c>
      <c r="BO659" s="399" t="s">
        <v>1787</v>
      </c>
      <c r="BP659" s="399" t="s">
        <v>1787</v>
      </c>
      <c r="BQ659" s="399" t="s">
        <v>1787</v>
      </c>
      <c r="BR659" s="399" t="s">
        <v>1787</v>
      </c>
      <c r="BS659" s="407"/>
      <c r="BT659" s="407"/>
      <c r="BU659" s="412"/>
      <c r="BV659" s="46" t="str">
        <f t="shared" si="8"/>
        <v/>
      </c>
      <c r="BW659" s="46">
        <f t="shared" si="9"/>
        <v>0</v>
      </c>
      <c r="BX659" s="46">
        <f t="shared" si="10"/>
        <v>0</v>
      </c>
      <c r="BY659" s="43" t="str">
        <f t="shared" si="11"/>
        <v>WHO-STI Procedure (Service Provided)</v>
      </c>
      <c r="BZ659" s="46">
        <f t="shared" si="12"/>
        <v>1</v>
      </c>
      <c r="CA659" s="46" t="str">
        <f t="shared" si="13"/>
        <v/>
      </c>
      <c r="CB659" s="46">
        <f t="shared" si="14"/>
        <v>1</v>
      </c>
      <c r="CC659" s="46">
        <f t="shared" si="15"/>
        <v>1</v>
      </c>
      <c r="CD659" s="46">
        <f t="shared" si="16"/>
        <v>1</v>
      </c>
      <c r="CE659" s="46">
        <f t="shared" si="17"/>
        <v>0</v>
      </c>
      <c r="CF659" s="46">
        <f t="shared" si="18"/>
        <v>0</v>
      </c>
      <c r="CG659" s="46" t="str">
        <f ca="1">IFERROR(__xludf.DUMMYFUNCTION("if(OR(BH659="""",LEFT(BH659,2)=""LA""),"""",IMPORTXML(CONCATENATE(""https://loinc.org/"",BH659,""/""),""//span[@id='lcn']""))"),"")</f>
        <v/>
      </c>
      <c r="CH659" s="46"/>
      <c r="CI659" s="46"/>
      <c r="CJ659" s="46"/>
      <c r="CK659" s="46"/>
      <c r="CL659" s="46"/>
      <c r="CM659" s="46"/>
      <c r="CN659" s="46"/>
      <c r="CO659" s="46"/>
      <c r="CP659" s="46"/>
      <c r="CQ659" s="46"/>
      <c r="CR659" s="46"/>
      <c r="CS659" s="46"/>
      <c r="CT659" s="46"/>
      <c r="CU659" s="46"/>
    </row>
    <row r="660" spans="1:99" ht="12.75" customHeight="1">
      <c r="A660" s="409">
        <v>2092</v>
      </c>
      <c r="B660" s="399" t="s">
        <v>535</v>
      </c>
      <c r="C660" s="399">
        <f t="shared" si="103"/>
        <v>2092</v>
      </c>
      <c r="D660" s="399" t="e">
        <f t="shared" ca="1" si="104"/>
        <v>#NAME?</v>
      </c>
      <c r="E660" s="399" t="str">
        <f t="shared" si="105"/>
        <v>Other (specify)</v>
      </c>
      <c r="F660" s="399" t="str">
        <f t="shared" si="111"/>
        <v>Input Option</v>
      </c>
      <c r="G660" s="400">
        <f t="shared" si="106"/>
        <v>22</v>
      </c>
      <c r="H660" s="399" t="str">
        <f t="shared" si="110"/>
        <v>Bimanual exam</v>
      </c>
      <c r="I660" s="400"/>
      <c r="J660" s="400"/>
      <c r="K660" s="401" t="s">
        <v>5283</v>
      </c>
      <c r="L660" s="402" t="s">
        <v>7227</v>
      </c>
      <c r="M660" s="400"/>
      <c r="N660" s="675" t="s">
        <v>7175</v>
      </c>
      <c r="O660" s="404" t="s">
        <v>6258</v>
      </c>
      <c r="P660" s="404"/>
      <c r="Q660" s="404"/>
      <c r="R660" s="404"/>
      <c r="S660" s="437"/>
      <c r="T660" s="437"/>
      <c r="U660" s="437"/>
      <c r="V660" s="420" t="s">
        <v>405</v>
      </c>
      <c r="W660" s="404"/>
      <c r="X660" s="404"/>
      <c r="Y660" s="437"/>
      <c r="Z660" s="404" t="s">
        <v>113</v>
      </c>
      <c r="AA660" s="404" t="s">
        <v>1889</v>
      </c>
      <c r="AB660" s="406"/>
      <c r="AC660" s="404"/>
      <c r="AD660" s="404"/>
      <c r="AE660" s="406"/>
      <c r="AF660" s="404"/>
      <c r="AG660" s="404"/>
      <c r="AH660" s="399"/>
      <c r="AI660" s="400"/>
      <c r="AJ660" s="399" t="s">
        <v>1787</v>
      </c>
      <c r="AK660" s="399"/>
      <c r="AL660" s="403"/>
      <c r="AM660" s="403"/>
      <c r="AN660" s="403"/>
      <c r="AO660" s="399" t="s">
        <v>1787</v>
      </c>
      <c r="AP660" s="399"/>
      <c r="AQ660" s="409" t="s">
        <v>3130</v>
      </c>
      <c r="AR660" s="399"/>
      <c r="AS660" s="399"/>
      <c r="AT660" s="399"/>
      <c r="AU660" s="399"/>
      <c r="AV660" s="399" t="str">
        <f t="shared" si="107"/>
        <v/>
      </c>
      <c r="AW660" s="399"/>
      <c r="AX660" s="409" t="s">
        <v>5194</v>
      </c>
      <c r="AY660" s="399" t="e">
        <f t="shared" ca="1" si="108"/>
        <v>#NAME?</v>
      </c>
      <c r="AZ660" s="399"/>
      <c r="BA660" s="409">
        <v>1</v>
      </c>
      <c r="BB660" s="415" t="s">
        <v>3131</v>
      </c>
      <c r="BC660" s="403" t="s">
        <v>1387</v>
      </c>
      <c r="BD660" s="399" t="s">
        <v>1787</v>
      </c>
      <c r="BE660" s="411"/>
      <c r="BF660" s="411" t="s">
        <v>1787</v>
      </c>
      <c r="BG660" s="411"/>
      <c r="BH660" s="411"/>
      <c r="BI660" s="411"/>
      <c r="BJ660" s="399" t="s">
        <v>1787</v>
      </c>
      <c r="BK660" s="399" t="s">
        <v>1787</v>
      </c>
      <c r="BL660" s="399"/>
      <c r="BM660" s="399" t="s">
        <v>1787</v>
      </c>
      <c r="BN660" s="399" t="s">
        <v>1787</v>
      </c>
      <c r="BO660" s="399" t="s">
        <v>1787</v>
      </c>
      <c r="BP660" s="399" t="s">
        <v>1787</v>
      </c>
      <c r="BQ660" s="399" t="s">
        <v>1787</v>
      </c>
      <c r="BR660" s="399" t="s">
        <v>1787</v>
      </c>
      <c r="BS660" s="407"/>
      <c r="BT660" s="407"/>
      <c r="BU660" s="412"/>
      <c r="BV660" s="46" t="str">
        <f t="shared" si="8"/>
        <v/>
      </c>
      <c r="BW660" s="46">
        <f t="shared" si="9"/>
        <v>0</v>
      </c>
      <c r="BX660" s="46">
        <f t="shared" si="10"/>
        <v>0</v>
      </c>
      <c r="BY660" s="43" t="str">
        <f t="shared" si="11"/>
        <v>WHO-STI Procedure (Service Provided)</v>
      </c>
      <c r="BZ660" s="46">
        <f t="shared" si="12"/>
        <v>1</v>
      </c>
      <c r="CA660" s="46" t="str">
        <f t="shared" si="13"/>
        <v/>
      </c>
      <c r="CB660" s="46">
        <f t="shared" si="14"/>
        <v>1</v>
      </c>
      <c r="CC660" s="46">
        <f t="shared" si="15"/>
        <v>1</v>
      </c>
      <c r="CD660" s="46">
        <f t="shared" si="16"/>
        <v>1</v>
      </c>
      <c r="CE660" s="46">
        <f t="shared" si="17"/>
        <v>0</v>
      </c>
      <c r="CF660" s="46">
        <f t="shared" si="18"/>
        <v>0</v>
      </c>
      <c r="CG660" s="46" t="str">
        <f ca="1">IFERROR(__xludf.DUMMYFUNCTION("if(OR(BH660="""",LEFT(BH660,2)=""LA""),"""",IMPORTXML(CONCATENATE(""https://loinc.org/"",BH660,""/""),""//span[@id='lcn']""))"),"")</f>
        <v/>
      </c>
      <c r="CH660" s="46"/>
      <c r="CI660" s="46"/>
      <c r="CJ660" s="46"/>
      <c r="CK660" s="46"/>
      <c r="CL660" s="46"/>
      <c r="CM660" s="46"/>
      <c r="CN660" s="46"/>
      <c r="CO660" s="46"/>
      <c r="CP660" s="46"/>
      <c r="CQ660" s="46"/>
      <c r="CR660" s="46"/>
      <c r="CS660" s="46"/>
      <c r="CT660" s="46"/>
      <c r="CU660" s="46"/>
    </row>
    <row r="661" spans="1:99" ht="12.75" customHeight="1">
      <c r="A661" s="409">
        <v>2094</v>
      </c>
      <c r="B661" s="399" t="s">
        <v>7727</v>
      </c>
      <c r="C661" s="399">
        <f t="shared" si="103"/>
        <v>2094</v>
      </c>
      <c r="D661" s="399" t="e">
        <f t="shared" ca="1" si="104"/>
        <v>#NAME?</v>
      </c>
      <c r="E661" s="399" t="str">
        <f t="shared" si="105"/>
        <v>vaginal bleeding</v>
      </c>
      <c r="F661" s="399" t="str">
        <f t="shared" si="111"/>
        <v>Input Option</v>
      </c>
      <c r="G661" s="400">
        <f t="shared" si="106"/>
        <v>23</v>
      </c>
      <c r="H661" s="399" t="str">
        <f t="shared" si="110"/>
        <v>Bimanual exam</v>
      </c>
      <c r="I661" s="400"/>
      <c r="J661" s="400"/>
      <c r="K661" s="401" t="s">
        <v>5283</v>
      </c>
      <c r="L661" s="402" t="s">
        <v>7227</v>
      </c>
      <c r="M661" s="402" t="s">
        <v>6789</v>
      </c>
      <c r="N661" s="675" t="s">
        <v>7175</v>
      </c>
      <c r="O661" s="437" t="s">
        <v>7730</v>
      </c>
      <c r="P661" s="437"/>
      <c r="Q661" s="407"/>
      <c r="R661" s="407"/>
      <c r="S661" s="407"/>
      <c r="T661" s="407"/>
      <c r="U661" s="407"/>
      <c r="V661" s="432" t="s">
        <v>7732</v>
      </c>
      <c r="W661" s="404"/>
      <c r="X661" s="407"/>
      <c r="Y661" s="407"/>
      <c r="Z661" s="407"/>
      <c r="AA661" s="407"/>
      <c r="AB661" s="408"/>
      <c r="AC661" s="407"/>
      <c r="AD661" s="407"/>
      <c r="AE661" s="408"/>
      <c r="AF661" s="407"/>
      <c r="AG661" s="407"/>
      <c r="AH661" s="399"/>
      <c r="AI661" s="400"/>
      <c r="AJ661" s="399" t="s">
        <v>1787</v>
      </c>
      <c r="AK661" s="399"/>
      <c r="AL661" s="399" t="s">
        <v>1787</v>
      </c>
      <c r="AM661" s="399"/>
      <c r="AN661" s="399" t="s">
        <v>1787</v>
      </c>
      <c r="AO661" s="399" t="s">
        <v>1787</v>
      </c>
      <c r="AP661" s="399"/>
      <c r="AQ661" s="409" t="s">
        <v>3130</v>
      </c>
      <c r="AR661" s="399"/>
      <c r="AS661" s="399"/>
      <c r="AT661" s="399"/>
      <c r="AU661" s="399"/>
      <c r="AV661" s="399" t="str">
        <f t="shared" si="107"/>
        <v/>
      </c>
      <c r="AW661" s="399"/>
      <c r="AX661" s="409" t="s">
        <v>5194</v>
      </c>
      <c r="AY661" s="399" t="e">
        <f t="shared" ca="1" si="108"/>
        <v>#NAME?</v>
      </c>
      <c r="AZ661" s="399"/>
      <c r="BA661" s="409" t="s">
        <v>3125</v>
      </c>
      <c r="BB661" s="399"/>
      <c r="BC661" s="399" t="s">
        <v>1787</v>
      </c>
      <c r="BD661" s="409" t="s">
        <v>7739</v>
      </c>
      <c r="BE661" s="411"/>
      <c r="BF661" s="411" t="s">
        <v>1787</v>
      </c>
      <c r="BG661" s="411"/>
      <c r="BH661" s="434" t="s">
        <v>7740</v>
      </c>
      <c r="BI661" s="411"/>
      <c r="BJ661" s="399" t="s">
        <v>1787</v>
      </c>
      <c r="BK661" s="399" t="s">
        <v>1787</v>
      </c>
      <c r="BL661" s="399"/>
      <c r="BM661" s="399" t="s">
        <v>1787</v>
      </c>
      <c r="BN661" s="399" t="s">
        <v>1787</v>
      </c>
      <c r="BO661" s="399" t="s">
        <v>1787</v>
      </c>
      <c r="BP661" s="399" t="s">
        <v>1787</v>
      </c>
      <c r="BQ661" s="399" t="s">
        <v>1787</v>
      </c>
      <c r="BR661" s="399" t="s">
        <v>1787</v>
      </c>
      <c r="BS661" s="407"/>
      <c r="BT661" s="407"/>
      <c r="BU661" s="412"/>
      <c r="BV661" s="46" t="str">
        <f t="shared" si="8"/>
        <v/>
      </c>
      <c r="BW661" s="46">
        <f t="shared" si="9"/>
        <v>0</v>
      </c>
      <c r="BX661" s="46">
        <f t="shared" si="10"/>
        <v>0</v>
      </c>
      <c r="BY661" s="43" t="str">
        <f t="shared" si="11"/>
        <v>WHO-STI Procedure (Service Provided)</v>
      </c>
      <c r="BZ661" s="46">
        <f t="shared" si="12"/>
        <v>1</v>
      </c>
      <c r="CA661" s="46" t="str">
        <f t="shared" si="13"/>
        <v/>
      </c>
      <c r="CB661" s="46">
        <f t="shared" si="14"/>
        <v>1</v>
      </c>
      <c r="CC661" s="46">
        <f t="shared" si="15"/>
        <v>1</v>
      </c>
      <c r="CD661" s="46">
        <f t="shared" si="16"/>
        <v>1</v>
      </c>
      <c r="CE661" s="46">
        <f t="shared" si="17"/>
        <v>0</v>
      </c>
      <c r="CF661" s="46">
        <f t="shared" si="18"/>
        <v>0</v>
      </c>
      <c r="CG661" s="46" t="str">
        <f ca="1">IFERROR(__xludf.DUMMYFUNCTION("if(OR(BH661="""",LEFT(BH661,2)=""LA""),"""",IMPORTXML(CONCATENATE(""https://loinc.org/"",BH661,""/""),""//span[@id='lcn']""))"),"")</f>
        <v/>
      </c>
      <c r="CH661" s="46"/>
      <c r="CI661" s="46"/>
      <c r="CJ661" s="46"/>
      <c r="CK661" s="46"/>
      <c r="CL661" s="46"/>
      <c r="CM661" s="46"/>
      <c r="CN661" s="46"/>
      <c r="CO661" s="46"/>
      <c r="CP661" s="46"/>
      <c r="CQ661" s="46"/>
      <c r="CR661" s="46"/>
      <c r="CS661" s="46"/>
      <c r="CT661" s="46"/>
      <c r="CU661" s="46"/>
    </row>
    <row r="662" spans="1:99" ht="12.75" customHeight="1">
      <c r="A662" s="409">
        <v>2093</v>
      </c>
      <c r="B662" s="399" t="s">
        <v>7746</v>
      </c>
      <c r="C662" s="399">
        <f t="shared" si="103"/>
        <v>2093</v>
      </c>
      <c r="D662" s="399" t="str">
        <f t="shared" si="104"/>
        <v>Other (specify)</v>
      </c>
      <c r="E662" s="399" t="str">
        <f t="shared" si="105"/>
        <v>Other (specify)</v>
      </c>
      <c r="F662" s="399" t="str">
        <f t="shared" si="111"/>
        <v>Data Element</v>
      </c>
      <c r="G662" s="400">
        <f t="shared" si="106"/>
        <v>31</v>
      </c>
      <c r="H662" s="400" t="str">
        <f t="shared" si="110"/>
        <v/>
      </c>
      <c r="I662" s="400"/>
      <c r="J662" s="400"/>
      <c r="K662" s="401" t="s">
        <v>5283</v>
      </c>
      <c r="L662" s="402" t="s">
        <v>7227</v>
      </c>
      <c r="M662" s="400"/>
      <c r="N662" s="675" t="s">
        <v>7175</v>
      </c>
      <c r="O662" s="437" t="s">
        <v>6260</v>
      </c>
      <c r="P662" s="437"/>
      <c r="Q662" s="407" t="s">
        <v>405</v>
      </c>
      <c r="R662" s="407"/>
      <c r="S662" s="407" t="s">
        <v>3421</v>
      </c>
      <c r="T662" s="407" t="s">
        <v>111</v>
      </c>
      <c r="U662" s="407"/>
      <c r="V662" s="407"/>
      <c r="W662" s="404"/>
      <c r="X662" s="407" t="s">
        <v>208</v>
      </c>
      <c r="Y662" s="407"/>
      <c r="Z662" s="407" t="s">
        <v>113</v>
      </c>
      <c r="AA662" s="407" t="s">
        <v>3178</v>
      </c>
      <c r="AB662" s="432" t="s">
        <v>7751</v>
      </c>
      <c r="AC662" s="421"/>
      <c r="AD662" s="407"/>
      <c r="AE662" s="408"/>
      <c r="AF662" s="407"/>
      <c r="AG662" s="407"/>
      <c r="AH662" s="399"/>
      <c r="AI662" s="400"/>
      <c r="AJ662" s="399" t="s">
        <v>1787</v>
      </c>
      <c r="AK662" s="440" t="s">
        <v>6842</v>
      </c>
      <c r="AL662" s="403"/>
      <c r="AM662" s="403" t="s">
        <v>3100</v>
      </c>
      <c r="AN662" s="403" t="s">
        <v>3101</v>
      </c>
      <c r="AO662" s="399" t="s">
        <v>1787</v>
      </c>
      <c r="AP662" s="440" t="s">
        <v>6838</v>
      </c>
      <c r="AQ662" s="409" t="s">
        <v>3424</v>
      </c>
      <c r="AR662" s="399"/>
      <c r="AS662" s="399"/>
      <c r="AT662" s="399"/>
      <c r="AU662" s="399"/>
      <c r="AV662" s="399" t="str">
        <f t="shared" si="107"/>
        <v/>
      </c>
      <c r="AW662" s="399"/>
      <c r="AX662" s="409" t="s">
        <v>5194</v>
      </c>
      <c r="AY662" s="399" t="str">
        <f t="shared" si="108"/>
        <v>"Other (specify)"-&gt;"Other (specify) - Bimanual exam"</v>
      </c>
      <c r="AZ662" s="399"/>
      <c r="BA662" s="409">
        <v>1</v>
      </c>
      <c r="BB662" s="399"/>
      <c r="BC662" s="399" t="s">
        <v>1787</v>
      </c>
      <c r="BD662" s="399" t="s">
        <v>1787</v>
      </c>
      <c r="BE662" s="411"/>
      <c r="BF662" s="411" t="s">
        <v>1787</v>
      </c>
      <c r="BG662" s="411"/>
      <c r="BH662" s="411"/>
      <c r="BI662" s="411"/>
      <c r="BJ662" s="409" t="s">
        <v>3106</v>
      </c>
      <c r="BK662" s="399" t="s">
        <v>1787</v>
      </c>
      <c r="BL662" s="399"/>
      <c r="BM662" s="399" t="s">
        <v>1787</v>
      </c>
      <c r="BN662" s="399" t="s">
        <v>1787</v>
      </c>
      <c r="BO662" s="399" t="s">
        <v>1787</v>
      </c>
      <c r="BP662" s="399" t="s">
        <v>1787</v>
      </c>
      <c r="BQ662" s="399" t="s">
        <v>1787</v>
      </c>
      <c r="BR662" s="399" t="s">
        <v>1787</v>
      </c>
      <c r="BS662" s="407"/>
      <c r="BT662" s="407"/>
      <c r="BU662" s="412"/>
      <c r="BV662" s="46" t="str">
        <f t="shared" si="8"/>
        <v>Procedure</v>
      </c>
      <c r="BW662" s="46" t="str">
        <f t="shared" si="9"/>
        <v/>
      </c>
      <c r="BX662" s="46" t="str">
        <f t="shared" si="10"/>
        <v>Procedure</v>
      </c>
      <c r="BY662" s="43" t="str">
        <f t="shared" si="11"/>
        <v>WHO-STI Procedure (Service Provided)</v>
      </c>
      <c r="BZ662" s="46">
        <f t="shared" si="12"/>
        <v>1</v>
      </c>
      <c r="CA662" s="46">
        <f t="shared" si="13"/>
        <v>0</v>
      </c>
      <c r="CB662" s="46">
        <f t="shared" si="14"/>
        <v>1</v>
      </c>
      <c r="CC662" s="46">
        <f t="shared" si="15"/>
        <v>1</v>
      </c>
      <c r="CD662" s="46">
        <f t="shared" si="16"/>
        <v>1</v>
      </c>
      <c r="CE662" s="46">
        <f t="shared" si="17"/>
        <v>0</v>
      </c>
      <c r="CF662" s="46">
        <f t="shared" si="18"/>
        <v>0</v>
      </c>
      <c r="CG662" s="46" t="str">
        <f ca="1">IFERROR(__xludf.DUMMYFUNCTION("if(OR(BH662="""",LEFT(BH662,2)=""LA""),"""",IMPORTXML(CONCATENATE(""https://loinc.org/"",BH662,""/""),""//span[@id='lcn']""))"),"")</f>
        <v/>
      </c>
      <c r="CH662" s="46"/>
      <c r="CI662" s="46"/>
      <c r="CJ662" s="46"/>
      <c r="CK662" s="46"/>
      <c r="CL662" s="46"/>
      <c r="CM662" s="46"/>
      <c r="CN662" s="46"/>
      <c r="CO662" s="46"/>
      <c r="CP662" s="46"/>
      <c r="CQ662" s="46"/>
      <c r="CR662" s="46"/>
      <c r="CS662" s="46"/>
      <c r="CT662" s="46"/>
      <c r="CU662" s="46"/>
    </row>
    <row r="663" spans="1:99" ht="12.75" customHeight="1">
      <c r="A663" s="409">
        <v>2095</v>
      </c>
      <c r="B663" s="409" t="s">
        <v>7756</v>
      </c>
      <c r="C663" s="399">
        <f t="shared" si="103"/>
        <v>2095</v>
      </c>
      <c r="D663" s="399" t="str">
        <f t="shared" si="104"/>
        <v>Condition type</v>
      </c>
      <c r="E663" s="399" t="str">
        <f t="shared" si="105"/>
        <v>Condition type</v>
      </c>
      <c r="F663" s="399" t="str">
        <f t="shared" si="111"/>
        <v>Data Element</v>
      </c>
      <c r="G663" s="400">
        <f t="shared" si="106"/>
        <v>18</v>
      </c>
      <c r="H663" s="400" t="str">
        <f>IF(F663="Input Option",IF(H661="",B661,H661),"")</f>
        <v/>
      </c>
      <c r="I663" s="400"/>
      <c r="J663" s="400"/>
      <c r="K663" s="401" t="s">
        <v>5283</v>
      </c>
      <c r="L663" s="402" t="s">
        <v>7227</v>
      </c>
      <c r="M663" s="400"/>
      <c r="N663" s="675" t="s">
        <v>7175</v>
      </c>
      <c r="O663" s="437" t="s">
        <v>7759</v>
      </c>
      <c r="P663" s="437"/>
      <c r="Q663" s="437" t="s">
        <v>7760</v>
      </c>
      <c r="R663" s="437" t="s">
        <v>7761</v>
      </c>
      <c r="S663" s="437"/>
      <c r="T663" s="437" t="s">
        <v>3121</v>
      </c>
      <c r="U663" s="437"/>
      <c r="V663" s="437"/>
      <c r="W663" s="404"/>
      <c r="X663" s="437"/>
      <c r="Y663" s="437"/>
      <c r="Z663" s="437" t="s">
        <v>113</v>
      </c>
      <c r="AA663" s="437" t="s">
        <v>3178</v>
      </c>
      <c r="AB663" s="629"/>
      <c r="AC663" s="437"/>
      <c r="AD663" s="437"/>
      <c r="AE663" s="629"/>
      <c r="AF663" s="437"/>
      <c r="AG663" s="437"/>
      <c r="AH663" s="399"/>
      <c r="AI663" s="400"/>
      <c r="AJ663" s="399" t="s">
        <v>1787</v>
      </c>
      <c r="AK663" s="409" t="s">
        <v>6724</v>
      </c>
      <c r="AL663" s="409" t="s">
        <v>3328</v>
      </c>
      <c r="AM663" s="409" t="s">
        <v>155</v>
      </c>
      <c r="AN663" s="409" t="s">
        <v>3101</v>
      </c>
      <c r="AO663" s="399" t="s">
        <v>1787</v>
      </c>
      <c r="AP663" s="409" t="s">
        <v>6290</v>
      </c>
      <c r="AQ663" s="440" t="s">
        <v>3424</v>
      </c>
      <c r="AR663" s="399"/>
      <c r="AS663" s="399"/>
      <c r="AT663" s="399"/>
      <c r="AU663" s="399"/>
      <c r="AV663" s="399" t="str">
        <f t="shared" si="107"/>
        <v/>
      </c>
      <c r="AW663" s="399"/>
      <c r="AX663" s="409" t="s">
        <v>5194</v>
      </c>
      <c r="AY663" s="399" t="str">
        <f t="shared" si="108"/>
        <v>"Condition type"-&gt;"STI Condition type"</v>
      </c>
      <c r="AZ663" s="399"/>
      <c r="BA663" s="409" t="s">
        <v>3125</v>
      </c>
      <c r="BB663" s="415" t="s">
        <v>3131</v>
      </c>
      <c r="BC663" s="399" t="s">
        <v>7756</v>
      </c>
      <c r="BD663" s="409" t="s">
        <v>7766</v>
      </c>
      <c r="BE663" s="411"/>
      <c r="BF663" s="411" t="s">
        <v>1787</v>
      </c>
      <c r="BG663" s="411"/>
      <c r="BH663" s="411"/>
      <c r="BI663" s="411"/>
      <c r="BJ663" s="409" t="s">
        <v>4745</v>
      </c>
      <c r="BK663" s="399" t="s">
        <v>1787</v>
      </c>
      <c r="BL663" s="409" t="s">
        <v>3162</v>
      </c>
      <c r="BM663" s="409" t="s">
        <v>7768</v>
      </c>
      <c r="BN663" s="438" t="str">
        <f>HYPERLINK("https://github.com/who-int/Data-Dictionary-Mapping/issues/42","42")</f>
        <v>42</v>
      </c>
      <c r="BO663" s="399" t="s">
        <v>1787</v>
      </c>
      <c r="BP663" s="399" t="s">
        <v>1787</v>
      </c>
      <c r="BQ663" s="399" t="s">
        <v>1787</v>
      </c>
      <c r="BR663" s="399" t="s">
        <v>1787</v>
      </c>
      <c r="BS663" s="407"/>
      <c r="BT663" s="407"/>
      <c r="BU663" s="412"/>
      <c r="BV663" s="46" t="str">
        <f t="shared" si="8"/>
        <v>Condition</v>
      </c>
      <c r="BW663" s="46" t="str">
        <f t="shared" si="9"/>
        <v/>
      </c>
      <c r="BX663" s="46" t="str">
        <f t="shared" si="10"/>
        <v>Condition</v>
      </c>
      <c r="BY663" s="43" t="str">
        <f t="shared" si="11"/>
        <v>WHO-STI Condition (STI History)</v>
      </c>
      <c r="BZ663" s="46">
        <f t="shared" si="12"/>
        <v>1</v>
      </c>
      <c r="CA663" s="46">
        <f t="shared" si="13"/>
        <v>1</v>
      </c>
      <c r="CB663" s="46">
        <f t="shared" si="14"/>
        <v>0</v>
      </c>
      <c r="CC663" s="46">
        <f t="shared" si="15"/>
        <v>0</v>
      </c>
      <c r="CD663" s="46">
        <f t="shared" si="16"/>
        <v>0</v>
      </c>
      <c r="CE663" s="46">
        <f t="shared" si="17"/>
        <v>0</v>
      </c>
      <c r="CF663" s="46">
        <f t="shared" si="18"/>
        <v>1</v>
      </c>
      <c r="CG663" s="46" t="str">
        <f ca="1">IFERROR(__xludf.DUMMYFUNCTION("if(OR(BH663="""",LEFT(BH663,2)=""LA""),"""",IMPORTXML(CONCATENATE(""https://loinc.org/"",BH663,""/""),""//span[@id='lcn']""))"),"")</f>
        <v/>
      </c>
      <c r="CH663" s="46"/>
      <c r="CI663" s="46"/>
      <c r="CJ663" s="46"/>
      <c r="CK663" s="46"/>
      <c r="CL663" s="46"/>
      <c r="CM663" s="46"/>
      <c r="CN663" s="46"/>
      <c r="CO663" s="46"/>
      <c r="CP663" s="46"/>
      <c r="CQ663" s="46"/>
      <c r="CR663" s="46"/>
      <c r="CS663" s="46"/>
      <c r="CT663" s="46"/>
      <c r="CU663" s="46"/>
    </row>
    <row r="664" spans="1:99" ht="12.75" customHeight="1">
      <c r="A664" s="409">
        <v>2096</v>
      </c>
      <c r="B664" s="399" t="s">
        <v>7773</v>
      </c>
      <c r="C664" s="399">
        <f t="shared" si="103"/>
        <v>2096</v>
      </c>
      <c r="D664" s="399" t="e">
        <f t="shared" ca="1" si="104"/>
        <v>#NAME?</v>
      </c>
      <c r="E664" s="399" t="str">
        <f t="shared" si="105"/>
        <v>genital</v>
      </c>
      <c r="F664" s="399" t="str">
        <f t="shared" si="111"/>
        <v>Input Option</v>
      </c>
      <c r="G664" s="400">
        <f t="shared" si="106"/>
        <v>14</v>
      </c>
      <c r="H664" s="399" t="str">
        <f t="shared" ref="H664:H684" si="113">IF(F664="Input Option",IF(H663="",B663,H663),"")</f>
        <v>STI Condition type</v>
      </c>
      <c r="I664" s="400"/>
      <c r="J664" s="400"/>
      <c r="K664" s="401" t="s">
        <v>5283</v>
      </c>
      <c r="L664" s="402" t="s">
        <v>7227</v>
      </c>
      <c r="M664" s="400"/>
      <c r="N664" s="675" t="s">
        <v>7175</v>
      </c>
      <c r="O664" s="437" t="s">
        <v>7775</v>
      </c>
      <c r="P664" s="437"/>
      <c r="Q664" s="437"/>
      <c r="R664" s="437"/>
      <c r="S664" s="437"/>
      <c r="T664" s="437"/>
      <c r="U664" s="437"/>
      <c r="V664" s="437" t="s">
        <v>7776</v>
      </c>
      <c r="W664" s="404"/>
      <c r="X664" s="437" t="s">
        <v>208</v>
      </c>
      <c r="Y664" s="437"/>
      <c r="Z664" s="437" t="s">
        <v>113</v>
      </c>
      <c r="AA664" s="437" t="s">
        <v>3178</v>
      </c>
      <c r="AB664" s="444" t="s">
        <v>7778</v>
      </c>
      <c r="AC664" s="651"/>
      <c r="AD664" s="651"/>
      <c r="AE664" s="444"/>
      <c r="AF664" s="437"/>
      <c r="AG664" s="444" t="s">
        <v>7779</v>
      </c>
      <c r="AH664" s="399"/>
      <c r="AI664" s="400"/>
      <c r="AJ664" s="399" t="s">
        <v>1787</v>
      </c>
      <c r="AK664" s="399"/>
      <c r="AL664" s="399" t="s">
        <v>1787</v>
      </c>
      <c r="AM664" s="399"/>
      <c r="AN664" s="399" t="s">
        <v>1787</v>
      </c>
      <c r="AO664" s="399" t="s">
        <v>1787</v>
      </c>
      <c r="AP664" s="399"/>
      <c r="AQ664" s="409" t="s">
        <v>3130</v>
      </c>
      <c r="AR664" s="399"/>
      <c r="AS664" s="399"/>
      <c r="AT664" s="399"/>
      <c r="AU664" s="399"/>
      <c r="AV664" s="399" t="str">
        <f t="shared" si="107"/>
        <v/>
      </c>
      <c r="AW664" s="399"/>
      <c r="AX664" s="409" t="s">
        <v>5194</v>
      </c>
      <c r="AY664" s="399" t="e">
        <f t="shared" ca="1" si="108"/>
        <v>#NAME?</v>
      </c>
      <c r="AZ664" s="399"/>
      <c r="BA664" s="409" t="s">
        <v>3125</v>
      </c>
      <c r="BB664" s="399"/>
      <c r="BC664" s="399" t="s">
        <v>1787</v>
      </c>
      <c r="BD664" s="409" t="s">
        <v>7781</v>
      </c>
      <c r="BE664" s="411"/>
      <c r="BF664" s="411" t="s">
        <v>1787</v>
      </c>
      <c r="BG664" s="434" t="s">
        <v>7782</v>
      </c>
      <c r="BH664" s="411"/>
      <c r="BI664" s="411"/>
      <c r="BJ664" s="409"/>
      <c r="BK664" s="399" t="s">
        <v>1787</v>
      </c>
      <c r="BL664" s="409" t="s">
        <v>3162</v>
      </c>
      <c r="BM664" s="409" t="s">
        <v>7768</v>
      </c>
      <c r="BN664" s="399" t="s">
        <v>1787</v>
      </c>
      <c r="BO664" s="399" t="s">
        <v>1787</v>
      </c>
      <c r="BP664" s="399" t="s">
        <v>1787</v>
      </c>
      <c r="BQ664" s="399" t="s">
        <v>1787</v>
      </c>
      <c r="BR664" s="399" t="s">
        <v>1787</v>
      </c>
      <c r="BS664" s="407"/>
      <c r="BT664" s="407"/>
      <c r="BU664" s="412"/>
      <c r="BV664" s="46" t="str">
        <f t="shared" si="8"/>
        <v/>
      </c>
      <c r="BW664" s="46">
        <f t="shared" si="9"/>
        <v>0</v>
      </c>
      <c r="BX664" s="46">
        <f t="shared" si="10"/>
        <v>0</v>
      </c>
      <c r="BY664" s="43" t="str">
        <f t="shared" si="11"/>
        <v>WHO-STI Condition (STI History)</v>
      </c>
      <c r="BZ664" s="46">
        <f t="shared" si="12"/>
        <v>1</v>
      </c>
      <c r="CA664" s="46" t="str">
        <f t="shared" si="13"/>
        <v/>
      </c>
      <c r="CB664" s="46">
        <f t="shared" si="14"/>
        <v>1</v>
      </c>
      <c r="CC664" s="46">
        <f t="shared" si="15"/>
        <v>1</v>
      </c>
      <c r="CD664" s="46">
        <f t="shared" si="16"/>
        <v>1</v>
      </c>
      <c r="CE664" s="46">
        <f t="shared" si="17"/>
        <v>0</v>
      </c>
      <c r="CF664" s="46">
        <f t="shared" si="18"/>
        <v>0</v>
      </c>
      <c r="CG664" s="46" t="str">
        <f ca="1">IFERROR(__xludf.DUMMYFUNCTION("if(OR(BH664="""",LEFT(BH664,2)=""LA""),"""",IMPORTXML(CONCATENATE(""https://loinc.org/"",BH664,""/""),""//span[@id='lcn']""))"),"")</f>
        <v/>
      </c>
      <c r="CH664" s="46"/>
      <c r="CI664" s="46"/>
      <c r="CJ664" s="46"/>
      <c r="CK664" s="46"/>
      <c r="CL664" s="46"/>
      <c r="CM664" s="46"/>
      <c r="CN664" s="46"/>
      <c r="CO664" s="46"/>
      <c r="CP664" s="46"/>
      <c r="CQ664" s="46"/>
      <c r="CR664" s="46"/>
      <c r="CS664" s="46"/>
      <c r="CT664" s="46"/>
      <c r="CU664" s="46"/>
    </row>
    <row r="665" spans="1:99" ht="12.75" customHeight="1">
      <c r="A665" s="409">
        <v>2097</v>
      </c>
      <c r="B665" s="399" t="s">
        <v>7787</v>
      </c>
      <c r="C665" s="399">
        <f t="shared" si="103"/>
        <v>2097</v>
      </c>
      <c r="D665" s="399" t="e">
        <f t="shared" ca="1" si="104"/>
        <v>#NAME?</v>
      </c>
      <c r="E665" s="399" t="str">
        <f t="shared" si="105"/>
        <v>anorectal</v>
      </c>
      <c r="F665" s="399" t="str">
        <f t="shared" si="111"/>
        <v>Input Option</v>
      </c>
      <c r="G665" s="400">
        <f t="shared" si="106"/>
        <v>16</v>
      </c>
      <c r="H665" s="399" t="str">
        <f t="shared" si="113"/>
        <v>STI Condition type</v>
      </c>
      <c r="I665" s="400"/>
      <c r="J665" s="400"/>
      <c r="K665" s="401" t="s">
        <v>5283</v>
      </c>
      <c r="L665" s="402" t="s">
        <v>7227</v>
      </c>
      <c r="M665" s="400"/>
      <c r="N665" s="675" t="s">
        <v>7175</v>
      </c>
      <c r="O665" s="437" t="s">
        <v>7789</v>
      </c>
      <c r="P665" s="437"/>
      <c r="Q665" s="437"/>
      <c r="R665" s="437"/>
      <c r="S665" s="437"/>
      <c r="T665" s="437"/>
      <c r="U665" s="437"/>
      <c r="V665" s="437" t="s">
        <v>7790</v>
      </c>
      <c r="W665" s="404"/>
      <c r="X665" s="437" t="s">
        <v>208</v>
      </c>
      <c r="Y665" s="437"/>
      <c r="Z665" s="437" t="s">
        <v>113</v>
      </c>
      <c r="AA665" s="437" t="s">
        <v>3178</v>
      </c>
      <c r="AB665" s="444" t="s">
        <v>7791</v>
      </c>
      <c r="AC665" s="651"/>
      <c r="AD665" s="651"/>
      <c r="AE665" s="629"/>
      <c r="AF665" s="437"/>
      <c r="AG665" s="444" t="s">
        <v>7779</v>
      </c>
      <c r="AH665" s="399"/>
      <c r="AI665" s="400"/>
      <c r="AJ665" s="399" t="s">
        <v>1787</v>
      </c>
      <c r="AK665" s="399"/>
      <c r="AL665" s="399" t="s">
        <v>1787</v>
      </c>
      <c r="AM665" s="399"/>
      <c r="AN665" s="399" t="s">
        <v>1787</v>
      </c>
      <c r="AO665" s="399" t="s">
        <v>1787</v>
      </c>
      <c r="AP665" s="399"/>
      <c r="AQ665" s="409" t="s">
        <v>3130</v>
      </c>
      <c r="AR665" s="399"/>
      <c r="AS665" s="399"/>
      <c r="AT665" s="399"/>
      <c r="AU665" s="399"/>
      <c r="AV665" s="399" t="str">
        <f t="shared" si="107"/>
        <v/>
      </c>
      <c r="AW665" s="399"/>
      <c r="AX665" s="409" t="s">
        <v>5194</v>
      </c>
      <c r="AY665" s="399" t="e">
        <f t="shared" ca="1" si="108"/>
        <v>#NAME?</v>
      </c>
      <c r="AZ665" s="399"/>
      <c r="BA665" s="409" t="s">
        <v>3125</v>
      </c>
      <c r="BB665" s="399"/>
      <c r="BC665" s="399" t="s">
        <v>1787</v>
      </c>
      <c r="BD665" s="409" t="s">
        <v>7794</v>
      </c>
      <c r="BE665" s="411"/>
      <c r="BF665" s="411" t="s">
        <v>1787</v>
      </c>
      <c r="BG665" s="434" t="s">
        <v>7795</v>
      </c>
      <c r="BH665" s="411"/>
      <c r="BI665" s="411"/>
      <c r="BJ665" s="409"/>
      <c r="BK665" s="399" t="s">
        <v>1787</v>
      </c>
      <c r="BL665" s="409" t="s">
        <v>3162</v>
      </c>
      <c r="BM665" s="409" t="s">
        <v>7768</v>
      </c>
      <c r="BN665" s="399" t="s">
        <v>1787</v>
      </c>
      <c r="BO665" s="399" t="s">
        <v>1787</v>
      </c>
      <c r="BP665" s="399" t="s">
        <v>1787</v>
      </c>
      <c r="BQ665" s="399" t="s">
        <v>1787</v>
      </c>
      <c r="BR665" s="399" t="s">
        <v>1787</v>
      </c>
      <c r="BS665" s="407"/>
      <c r="BT665" s="407"/>
      <c r="BU665" s="412"/>
      <c r="BV665" s="46" t="str">
        <f t="shared" si="8"/>
        <v/>
      </c>
      <c r="BW665" s="46">
        <f t="shared" si="9"/>
        <v>0</v>
      </c>
      <c r="BX665" s="46">
        <f t="shared" si="10"/>
        <v>0</v>
      </c>
      <c r="BY665" s="43" t="str">
        <f t="shared" si="11"/>
        <v>WHO-STI Condition (STI History)</v>
      </c>
      <c r="BZ665" s="46">
        <f t="shared" si="12"/>
        <v>1</v>
      </c>
      <c r="CA665" s="46" t="str">
        <f t="shared" si="13"/>
        <v/>
      </c>
      <c r="CB665" s="46">
        <f t="shared" si="14"/>
        <v>1</v>
      </c>
      <c r="CC665" s="46">
        <f t="shared" si="15"/>
        <v>1</v>
      </c>
      <c r="CD665" s="46">
        <f t="shared" si="16"/>
        <v>1</v>
      </c>
      <c r="CE665" s="46">
        <f t="shared" si="17"/>
        <v>0</v>
      </c>
      <c r="CF665" s="46">
        <f t="shared" si="18"/>
        <v>0</v>
      </c>
      <c r="CG665" s="46" t="str">
        <f ca="1">IFERROR(__xludf.DUMMYFUNCTION("if(OR(BH665="""",LEFT(BH665,2)=""LA""),"""",IMPORTXML(CONCATENATE(""https://loinc.org/"",BH665,""/""),""//span[@id='lcn']""))"),"")</f>
        <v/>
      </c>
      <c r="CH665" s="46"/>
      <c r="CI665" s="46"/>
      <c r="CJ665" s="46"/>
      <c r="CK665" s="46"/>
      <c r="CL665" s="46"/>
      <c r="CM665" s="46"/>
      <c r="CN665" s="46"/>
      <c r="CO665" s="46"/>
      <c r="CP665" s="46"/>
      <c r="CQ665" s="46"/>
      <c r="CR665" s="46"/>
      <c r="CS665" s="46"/>
      <c r="CT665" s="46"/>
      <c r="CU665" s="46"/>
    </row>
    <row r="666" spans="1:99" ht="12.75" customHeight="1">
      <c r="A666" s="409">
        <v>2098</v>
      </c>
      <c r="B666" s="399" t="s">
        <v>7802</v>
      </c>
      <c r="C666" s="399">
        <f t="shared" si="103"/>
        <v>2098</v>
      </c>
      <c r="D666" s="399" t="e">
        <f t="shared" ca="1" si="104"/>
        <v>#NAME?</v>
      </c>
      <c r="E666" s="399" t="str">
        <f t="shared" si="105"/>
        <v xml:space="preserve">Lymphogranuloma venereum (LGV) </v>
      </c>
      <c r="F666" s="399" t="str">
        <f t="shared" si="111"/>
        <v>Input Option</v>
      </c>
      <c r="G666" s="400">
        <f t="shared" si="106"/>
        <v>38</v>
      </c>
      <c r="H666" s="399" t="str">
        <f t="shared" si="113"/>
        <v>STI Condition type</v>
      </c>
      <c r="I666" s="400"/>
      <c r="J666" s="400"/>
      <c r="K666" s="401" t="s">
        <v>5283</v>
      </c>
      <c r="L666" s="402" t="s">
        <v>7227</v>
      </c>
      <c r="M666" s="400"/>
      <c r="N666" s="675" t="s">
        <v>7175</v>
      </c>
      <c r="O666" s="437" t="s">
        <v>7804</v>
      </c>
      <c r="P666" s="437"/>
      <c r="Q666" s="437"/>
      <c r="R666" s="437"/>
      <c r="S666" s="437" t="s">
        <v>7805</v>
      </c>
      <c r="T666" s="437"/>
      <c r="U666" s="437"/>
      <c r="V666" s="444" t="s">
        <v>7806</v>
      </c>
      <c r="W666" s="404"/>
      <c r="X666" s="437" t="s">
        <v>208</v>
      </c>
      <c r="Y666" s="437"/>
      <c r="Z666" s="437" t="s">
        <v>113</v>
      </c>
      <c r="AA666" s="437" t="s">
        <v>3178</v>
      </c>
      <c r="AB666" s="444" t="s">
        <v>7807</v>
      </c>
      <c r="AC666" s="651"/>
      <c r="AD666" s="437"/>
      <c r="AE666" s="629"/>
      <c r="AF666" s="437"/>
      <c r="AG666" s="444" t="s">
        <v>7779</v>
      </c>
      <c r="AH666" s="399"/>
      <c r="AI666" s="400"/>
      <c r="AJ666" s="399" t="s">
        <v>1787</v>
      </c>
      <c r="AK666" s="399"/>
      <c r="AL666" s="399" t="s">
        <v>1787</v>
      </c>
      <c r="AM666" s="399"/>
      <c r="AN666" s="399" t="s">
        <v>1787</v>
      </c>
      <c r="AO666" s="399" t="s">
        <v>1787</v>
      </c>
      <c r="AP666" s="399"/>
      <c r="AQ666" s="409" t="s">
        <v>3130</v>
      </c>
      <c r="AR666" s="399"/>
      <c r="AS666" s="399"/>
      <c r="AT666" s="399"/>
      <c r="AU666" s="399"/>
      <c r="AV666" s="399" t="str">
        <f t="shared" si="107"/>
        <v/>
      </c>
      <c r="AW666" s="399"/>
      <c r="AX666" s="409" t="s">
        <v>5194</v>
      </c>
      <c r="AY666" s="399" t="e">
        <f t="shared" ca="1" si="108"/>
        <v>#NAME?</v>
      </c>
      <c r="AZ666" s="399"/>
      <c r="BA666" s="409" t="s">
        <v>3125</v>
      </c>
      <c r="BB666" s="399"/>
      <c r="BC666" s="399" t="s">
        <v>1787</v>
      </c>
      <c r="BD666" s="409" t="s">
        <v>7809</v>
      </c>
      <c r="BE666" s="411" t="s">
        <v>7810</v>
      </c>
      <c r="BF666" s="411" t="s">
        <v>1787</v>
      </c>
      <c r="BG666" s="411"/>
      <c r="BH666" s="411"/>
      <c r="BI666" s="411"/>
      <c r="BJ666" s="399" t="s">
        <v>1787</v>
      </c>
      <c r="BK666" s="399" t="s">
        <v>1787</v>
      </c>
      <c r="BL666" s="399"/>
      <c r="BM666" s="399" t="s">
        <v>1787</v>
      </c>
      <c r="BN666" s="399" t="s">
        <v>1787</v>
      </c>
      <c r="BO666" s="399" t="s">
        <v>1787</v>
      </c>
      <c r="BP666" s="399" t="s">
        <v>1787</v>
      </c>
      <c r="BQ666" s="399" t="s">
        <v>1787</v>
      </c>
      <c r="BR666" s="399" t="s">
        <v>1787</v>
      </c>
      <c r="BS666" s="407"/>
      <c r="BT666" s="407"/>
      <c r="BU666" s="412"/>
      <c r="BV666" s="46" t="str">
        <f t="shared" si="8"/>
        <v/>
      </c>
      <c r="BW666" s="46">
        <f t="shared" si="9"/>
        <v>0</v>
      </c>
      <c r="BX666" s="46">
        <f t="shared" si="10"/>
        <v>0</v>
      </c>
      <c r="BY666" s="43" t="str">
        <f t="shared" si="11"/>
        <v>WHO-STI Condition (STI History)</v>
      </c>
      <c r="BZ666" s="46">
        <f t="shared" si="12"/>
        <v>1</v>
      </c>
      <c r="CA666" s="46" t="str">
        <f t="shared" si="13"/>
        <v/>
      </c>
      <c r="CB666" s="46">
        <f t="shared" si="14"/>
        <v>1</v>
      </c>
      <c r="CC666" s="46">
        <f t="shared" si="15"/>
        <v>1</v>
      </c>
      <c r="CD666" s="46">
        <f t="shared" si="16"/>
        <v>1</v>
      </c>
      <c r="CE666" s="46">
        <f t="shared" si="17"/>
        <v>0</v>
      </c>
      <c r="CF666" s="46">
        <f t="shared" si="18"/>
        <v>0</v>
      </c>
      <c r="CG666" s="46" t="str">
        <f ca="1">IFERROR(__xludf.DUMMYFUNCTION("if(OR(BH666="""",LEFT(BH666,2)=""LA""),"""",IMPORTXML(CONCATENATE(""https://loinc.org/"",BH666,""/""),""//span[@id='lcn']""))"),"")</f>
        <v/>
      </c>
      <c r="CH666" s="46"/>
      <c r="CI666" s="46"/>
      <c r="CJ666" s="46"/>
      <c r="CK666" s="46"/>
      <c r="CL666" s="46"/>
      <c r="CM666" s="46"/>
      <c r="CN666" s="46"/>
      <c r="CO666" s="46"/>
      <c r="CP666" s="46"/>
      <c r="CQ666" s="46"/>
      <c r="CR666" s="46"/>
      <c r="CS666" s="46"/>
      <c r="CT666" s="46"/>
      <c r="CU666" s="46"/>
    </row>
    <row r="667" spans="1:99" ht="12.75" customHeight="1">
      <c r="A667" s="409">
        <v>2099</v>
      </c>
      <c r="B667" s="399" t="s">
        <v>7815</v>
      </c>
      <c r="C667" s="399">
        <f t="shared" si="103"/>
        <v>2099</v>
      </c>
      <c r="D667" s="399" t="e">
        <f t="shared" ca="1" si="104"/>
        <v>#NAME?</v>
      </c>
      <c r="E667" s="399" t="str">
        <f t="shared" si="105"/>
        <v>conjunctivitis</v>
      </c>
      <c r="F667" s="399" t="str">
        <f t="shared" si="111"/>
        <v>Input Option</v>
      </c>
      <c r="G667" s="400">
        <f t="shared" si="106"/>
        <v>21</v>
      </c>
      <c r="H667" s="399" t="str">
        <f t="shared" si="113"/>
        <v>STI Condition type</v>
      </c>
      <c r="I667" s="400"/>
      <c r="J667" s="400"/>
      <c r="K667" s="401" t="s">
        <v>5283</v>
      </c>
      <c r="L667" s="402" t="s">
        <v>7227</v>
      </c>
      <c r="M667" s="400"/>
      <c r="N667" s="675" t="s">
        <v>7175</v>
      </c>
      <c r="O667" s="437" t="s">
        <v>7817</v>
      </c>
      <c r="P667" s="437"/>
      <c r="Q667" s="437"/>
      <c r="R667" s="437"/>
      <c r="S667" s="437"/>
      <c r="T667" s="437"/>
      <c r="U667" s="437"/>
      <c r="V667" s="437" t="s">
        <v>7818</v>
      </c>
      <c r="W667" s="404"/>
      <c r="X667" s="437" t="s">
        <v>208</v>
      </c>
      <c r="Y667" s="437"/>
      <c r="Z667" s="437" t="s">
        <v>113</v>
      </c>
      <c r="AA667" s="437" t="s">
        <v>3178</v>
      </c>
      <c r="AB667" s="444" t="s">
        <v>7807</v>
      </c>
      <c r="AC667" s="651"/>
      <c r="AD667" s="437"/>
      <c r="AE667" s="629"/>
      <c r="AF667" s="437"/>
      <c r="AG667" s="444" t="s">
        <v>7779</v>
      </c>
      <c r="AH667" s="399"/>
      <c r="AI667" s="400"/>
      <c r="AJ667" s="399" t="s">
        <v>1787</v>
      </c>
      <c r="AK667" s="399"/>
      <c r="AL667" s="399" t="s">
        <v>1787</v>
      </c>
      <c r="AM667" s="399"/>
      <c r="AN667" s="399" t="s">
        <v>1787</v>
      </c>
      <c r="AO667" s="399" t="s">
        <v>1787</v>
      </c>
      <c r="AP667" s="399"/>
      <c r="AQ667" s="409" t="s">
        <v>3130</v>
      </c>
      <c r="AR667" s="399"/>
      <c r="AS667" s="399"/>
      <c r="AT667" s="399"/>
      <c r="AU667" s="399"/>
      <c r="AV667" s="399" t="str">
        <f t="shared" si="107"/>
        <v/>
      </c>
      <c r="AW667" s="399"/>
      <c r="AX667" s="409" t="s">
        <v>5194</v>
      </c>
      <c r="AY667" s="399" t="e">
        <f t="shared" ca="1" si="108"/>
        <v>#NAME?</v>
      </c>
      <c r="AZ667" s="399"/>
      <c r="BA667" s="409" t="s">
        <v>3125</v>
      </c>
      <c r="BB667" s="399"/>
      <c r="BC667" s="399" t="s">
        <v>1787</v>
      </c>
      <c r="BD667" s="409" t="s">
        <v>7822</v>
      </c>
      <c r="BE667" s="411" t="s">
        <v>7823</v>
      </c>
      <c r="BF667" s="411" t="s">
        <v>1787</v>
      </c>
      <c r="BG667" s="411"/>
      <c r="BH667" s="411"/>
      <c r="BI667" s="411"/>
      <c r="BJ667" s="399" t="s">
        <v>1787</v>
      </c>
      <c r="BK667" s="399" t="s">
        <v>1787</v>
      </c>
      <c r="BL667" s="399"/>
      <c r="BM667" s="399" t="s">
        <v>1787</v>
      </c>
      <c r="BN667" s="466" t="str">
        <f>HYPERLINK("https://github.com/who-int/Data-Dictionary-Mapping/issues/43","43")</f>
        <v>43</v>
      </c>
      <c r="BO667" s="399" t="s">
        <v>1787</v>
      </c>
      <c r="BP667" s="399" t="s">
        <v>1787</v>
      </c>
      <c r="BQ667" s="399" t="s">
        <v>1787</v>
      </c>
      <c r="BR667" s="399" t="s">
        <v>1787</v>
      </c>
      <c r="BS667" s="407"/>
      <c r="BT667" s="407"/>
      <c r="BU667" s="412"/>
      <c r="BV667" s="46" t="str">
        <f t="shared" si="8"/>
        <v/>
      </c>
      <c r="BW667" s="46">
        <f t="shared" si="9"/>
        <v>0</v>
      </c>
      <c r="BX667" s="46">
        <f t="shared" si="10"/>
        <v>0</v>
      </c>
      <c r="BY667" s="43" t="str">
        <f t="shared" si="11"/>
        <v>WHO-STI Condition (STI History)</v>
      </c>
      <c r="BZ667" s="46">
        <f t="shared" si="12"/>
        <v>1</v>
      </c>
      <c r="CA667" s="46" t="str">
        <f t="shared" si="13"/>
        <v/>
      </c>
      <c r="CB667" s="46">
        <f t="shared" si="14"/>
        <v>1</v>
      </c>
      <c r="CC667" s="46">
        <f t="shared" si="15"/>
        <v>1</v>
      </c>
      <c r="CD667" s="46">
        <f t="shared" si="16"/>
        <v>1</v>
      </c>
      <c r="CE667" s="46">
        <f t="shared" si="17"/>
        <v>0</v>
      </c>
      <c r="CF667" s="46">
        <f t="shared" si="18"/>
        <v>0</v>
      </c>
      <c r="CG667" s="46" t="str">
        <f ca="1">IFERROR(__xludf.DUMMYFUNCTION("if(OR(BH667="""",LEFT(BH667,2)=""LA""),"""",IMPORTXML(CONCATENATE(""https://loinc.org/"",BH667,""/""),""//span[@id='lcn']""))"),"")</f>
        <v/>
      </c>
      <c r="CH667" s="46"/>
      <c r="CI667" s="46"/>
      <c r="CJ667" s="46"/>
      <c r="CK667" s="46"/>
      <c r="CL667" s="46"/>
      <c r="CM667" s="46"/>
      <c r="CN667" s="46"/>
      <c r="CO667" s="46"/>
      <c r="CP667" s="46"/>
      <c r="CQ667" s="46"/>
      <c r="CR667" s="46"/>
      <c r="CS667" s="46"/>
      <c r="CT667" s="46"/>
      <c r="CU667" s="46"/>
    </row>
    <row r="668" spans="1:99" ht="12.75" customHeight="1">
      <c r="A668" s="409">
        <v>2100</v>
      </c>
      <c r="B668" s="399" t="s">
        <v>7830</v>
      </c>
      <c r="C668" s="399">
        <f t="shared" si="103"/>
        <v>2100</v>
      </c>
      <c r="D668" s="399" t="e">
        <f t="shared" ca="1" si="104"/>
        <v>#NAME?</v>
      </c>
      <c r="E668" s="399" t="str">
        <f t="shared" si="105"/>
        <v>oropharyngeal infection</v>
      </c>
      <c r="F668" s="399" t="str">
        <f t="shared" si="111"/>
        <v>Input Option</v>
      </c>
      <c r="G668" s="400">
        <f t="shared" si="106"/>
        <v>30</v>
      </c>
      <c r="H668" s="399" t="str">
        <f t="shared" si="113"/>
        <v>STI Condition type</v>
      </c>
      <c r="I668" s="400"/>
      <c r="J668" s="400"/>
      <c r="K668" s="401" t="s">
        <v>5283</v>
      </c>
      <c r="L668" s="402" t="s">
        <v>7227</v>
      </c>
      <c r="M668" s="400"/>
      <c r="N668" s="675" t="s">
        <v>7175</v>
      </c>
      <c r="O668" s="437" t="s">
        <v>7833</v>
      </c>
      <c r="P668" s="437"/>
      <c r="Q668" s="437"/>
      <c r="R668" s="437"/>
      <c r="S668" s="437"/>
      <c r="T668" s="437"/>
      <c r="U668" s="437"/>
      <c r="V668" s="444" t="s">
        <v>7834</v>
      </c>
      <c r="W668" s="404"/>
      <c r="X668" s="437" t="s">
        <v>208</v>
      </c>
      <c r="Y668" s="437"/>
      <c r="Z668" s="437" t="s">
        <v>113</v>
      </c>
      <c r="AA668" s="437" t="s">
        <v>3178</v>
      </c>
      <c r="AB668" s="444" t="s">
        <v>7835</v>
      </c>
      <c r="AC668" s="651"/>
      <c r="AD668" s="437"/>
      <c r="AE668" s="629"/>
      <c r="AF668" s="437"/>
      <c r="AG668" s="444" t="s">
        <v>7779</v>
      </c>
      <c r="AH668" s="399"/>
      <c r="AI668" s="400"/>
      <c r="AJ668" s="399" t="s">
        <v>1787</v>
      </c>
      <c r="AK668" s="399"/>
      <c r="AL668" s="399" t="s">
        <v>1787</v>
      </c>
      <c r="AM668" s="399"/>
      <c r="AN668" s="399" t="s">
        <v>1787</v>
      </c>
      <c r="AO668" s="399" t="s">
        <v>1787</v>
      </c>
      <c r="AP668" s="399"/>
      <c r="AQ668" s="409" t="s">
        <v>3130</v>
      </c>
      <c r="AR668" s="399"/>
      <c r="AS668" s="399"/>
      <c r="AT668" s="399"/>
      <c r="AU668" s="399"/>
      <c r="AV668" s="399" t="str">
        <f t="shared" si="107"/>
        <v/>
      </c>
      <c r="AW668" s="399"/>
      <c r="AX668" s="409" t="s">
        <v>5194</v>
      </c>
      <c r="AY668" s="399" t="e">
        <f t="shared" ca="1" si="108"/>
        <v>#NAME?</v>
      </c>
      <c r="AZ668" s="399"/>
      <c r="BA668" s="409" t="s">
        <v>3125</v>
      </c>
      <c r="BB668" s="399"/>
      <c r="BC668" s="399" t="s">
        <v>1787</v>
      </c>
      <c r="BD668" s="409" t="s">
        <v>3162</v>
      </c>
      <c r="BE668" s="411" t="s">
        <v>7843</v>
      </c>
      <c r="BF668" s="411" t="s">
        <v>1787</v>
      </c>
      <c r="BG668" s="411"/>
      <c r="BH668" s="411"/>
      <c r="BI668" s="411"/>
      <c r="BJ668" s="399" t="s">
        <v>1787</v>
      </c>
      <c r="BK668" s="399" t="s">
        <v>1787</v>
      </c>
      <c r="BL668" s="399"/>
      <c r="BM668" s="399" t="s">
        <v>1787</v>
      </c>
      <c r="BN668" s="399" t="s">
        <v>1787</v>
      </c>
      <c r="BO668" s="399" t="s">
        <v>1787</v>
      </c>
      <c r="BP668" s="399" t="s">
        <v>1787</v>
      </c>
      <c r="BQ668" s="399" t="s">
        <v>1787</v>
      </c>
      <c r="BR668" s="399" t="s">
        <v>1787</v>
      </c>
      <c r="BS668" s="407"/>
      <c r="BT668" s="407"/>
      <c r="BU668" s="412"/>
      <c r="BV668" s="46" t="str">
        <f t="shared" si="8"/>
        <v/>
      </c>
      <c r="BW668" s="46">
        <f t="shared" si="9"/>
        <v>0</v>
      </c>
      <c r="BX668" s="46">
        <f t="shared" si="10"/>
        <v>0</v>
      </c>
      <c r="BY668" s="43" t="str">
        <f t="shared" si="11"/>
        <v>WHO-STI Condition (STI History)</v>
      </c>
      <c r="BZ668" s="46">
        <f t="shared" si="12"/>
        <v>1</v>
      </c>
      <c r="CA668" s="46" t="str">
        <f t="shared" si="13"/>
        <v/>
      </c>
      <c r="CB668" s="46">
        <f t="shared" si="14"/>
        <v>1</v>
      </c>
      <c r="CC668" s="46">
        <f t="shared" si="15"/>
        <v>1</v>
      </c>
      <c r="CD668" s="46">
        <f t="shared" si="16"/>
        <v>1</v>
      </c>
      <c r="CE668" s="46">
        <f t="shared" si="17"/>
        <v>0</v>
      </c>
      <c r="CF668" s="46">
        <f t="shared" si="18"/>
        <v>0</v>
      </c>
      <c r="CG668" s="46" t="str">
        <f ca="1">IFERROR(__xludf.DUMMYFUNCTION("if(OR(BH668="""",LEFT(BH668,2)=""LA""),"""",IMPORTXML(CONCATENATE(""https://loinc.org/"",BH668,""/""),""//span[@id='lcn']""))"),"")</f>
        <v/>
      </c>
      <c r="CH668" s="46"/>
      <c r="CI668" s="46"/>
      <c r="CJ668" s="46"/>
      <c r="CK668" s="46"/>
      <c r="CL668" s="46"/>
      <c r="CM668" s="46"/>
      <c r="CN668" s="46"/>
      <c r="CO668" s="46"/>
      <c r="CP668" s="46"/>
      <c r="CQ668" s="46"/>
      <c r="CR668" s="46"/>
      <c r="CS668" s="46"/>
      <c r="CT668" s="46"/>
      <c r="CU668" s="46"/>
    </row>
    <row r="669" spans="1:99" ht="12.75" customHeight="1">
      <c r="A669" s="409">
        <v>2101</v>
      </c>
      <c r="B669" s="399" t="s">
        <v>7856</v>
      </c>
      <c r="C669" s="399">
        <f t="shared" si="103"/>
        <v>2101</v>
      </c>
      <c r="D669" s="399" t="e">
        <f t="shared" ca="1" si="104"/>
        <v>#NAME?</v>
      </c>
      <c r="E669" s="399" t="str">
        <f t="shared" si="105"/>
        <v>Conjunctivitis</v>
      </c>
      <c r="F669" s="399" t="str">
        <f t="shared" si="111"/>
        <v>Input Option</v>
      </c>
      <c r="G669" s="400">
        <f t="shared" si="106"/>
        <v>21</v>
      </c>
      <c r="H669" s="399" t="str">
        <f t="shared" si="113"/>
        <v>STI Condition type</v>
      </c>
      <c r="I669" s="400"/>
      <c r="J669" s="400"/>
      <c r="K669" s="401" t="s">
        <v>5283</v>
      </c>
      <c r="L669" s="402" t="s">
        <v>7227</v>
      </c>
      <c r="M669" s="400"/>
      <c r="N669" s="675" t="s">
        <v>7175</v>
      </c>
      <c r="O669" s="437" t="s">
        <v>7860</v>
      </c>
      <c r="P669" s="437"/>
      <c r="Q669" s="437"/>
      <c r="R669" s="437"/>
      <c r="S669" s="437"/>
      <c r="T669" s="437"/>
      <c r="U669" s="437"/>
      <c r="V669" s="437" t="s">
        <v>7861</v>
      </c>
      <c r="W669" s="404"/>
      <c r="X669" s="437" t="s">
        <v>208</v>
      </c>
      <c r="Y669" s="437"/>
      <c r="Z669" s="437" t="s">
        <v>113</v>
      </c>
      <c r="AA669" s="437" t="s">
        <v>3178</v>
      </c>
      <c r="AB669" s="444" t="s">
        <v>7862</v>
      </c>
      <c r="AC669" s="651"/>
      <c r="AD669" s="651"/>
      <c r="AE669" s="444"/>
      <c r="AF669" s="437"/>
      <c r="AG669" s="444" t="s">
        <v>7779</v>
      </c>
      <c r="AH669" s="399"/>
      <c r="AI669" s="400"/>
      <c r="AJ669" s="399" t="s">
        <v>1787</v>
      </c>
      <c r="AK669" s="399"/>
      <c r="AL669" s="399" t="s">
        <v>1787</v>
      </c>
      <c r="AM669" s="399"/>
      <c r="AN669" s="399" t="s">
        <v>1787</v>
      </c>
      <c r="AO669" s="399" t="s">
        <v>1787</v>
      </c>
      <c r="AP669" s="399"/>
      <c r="AQ669" s="409" t="s">
        <v>3130</v>
      </c>
      <c r="AR669" s="399"/>
      <c r="AS669" s="399"/>
      <c r="AT669" s="399"/>
      <c r="AU669" s="399"/>
      <c r="AV669" s="399" t="str">
        <f t="shared" si="107"/>
        <v/>
      </c>
      <c r="AW669" s="399"/>
      <c r="AX669" s="409" t="s">
        <v>5194</v>
      </c>
      <c r="AY669" s="399" t="e">
        <f t="shared" ca="1" si="108"/>
        <v>#NAME?</v>
      </c>
      <c r="AZ669" s="399"/>
      <c r="BA669" s="409" t="s">
        <v>3125</v>
      </c>
      <c r="BB669" s="399"/>
      <c r="BC669" s="399" t="s">
        <v>1787</v>
      </c>
      <c r="BD669" s="409" t="s">
        <v>3162</v>
      </c>
      <c r="BE669" s="411" t="s">
        <v>7866</v>
      </c>
      <c r="BF669" s="411" t="s">
        <v>1787</v>
      </c>
      <c r="BG669" s="411"/>
      <c r="BH669" s="411"/>
      <c r="BI669" s="411"/>
      <c r="BJ669" s="399" t="s">
        <v>1787</v>
      </c>
      <c r="BK669" s="399" t="s">
        <v>1787</v>
      </c>
      <c r="BL669" s="399"/>
      <c r="BM669" s="399" t="s">
        <v>1787</v>
      </c>
      <c r="BN669" s="399" t="s">
        <v>1787</v>
      </c>
      <c r="BO669" s="399" t="s">
        <v>1787</v>
      </c>
      <c r="BP669" s="399" t="s">
        <v>1787</v>
      </c>
      <c r="BQ669" s="399" t="s">
        <v>1787</v>
      </c>
      <c r="BR669" s="399" t="s">
        <v>1787</v>
      </c>
      <c r="BS669" s="407"/>
      <c r="BT669" s="407"/>
      <c r="BU669" s="412"/>
      <c r="BV669" s="46" t="str">
        <f t="shared" si="8"/>
        <v/>
      </c>
      <c r="BW669" s="46">
        <f t="shared" si="9"/>
        <v>0</v>
      </c>
      <c r="BX669" s="46">
        <f t="shared" si="10"/>
        <v>0</v>
      </c>
      <c r="BY669" s="43" t="str">
        <f t="shared" si="11"/>
        <v>WHO-STI Condition (STI History)</v>
      </c>
      <c r="BZ669" s="46">
        <f t="shared" si="12"/>
        <v>1</v>
      </c>
      <c r="CA669" s="46" t="str">
        <f t="shared" si="13"/>
        <v/>
      </c>
      <c r="CB669" s="46">
        <f t="shared" si="14"/>
        <v>1</v>
      </c>
      <c r="CC669" s="46">
        <f t="shared" si="15"/>
        <v>1</v>
      </c>
      <c r="CD669" s="46">
        <f t="shared" si="16"/>
        <v>1</v>
      </c>
      <c r="CE669" s="46">
        <f t="shared" si="17"/>
        <v>0</v>
      </c>
      <c r="CF669" s="46">
        <f t="shared" si="18"/>
        <v>0</v>
      </c>
      <c r="CG669" s="46" t="str">
        <f ca="1">IFERROR(__xludf.DUMMYFUNCTION("if(OR(BH669="""",LEFT(BH669,2)=""LA""),"""",IMPORTXML(CONCATENATE(""https://loinc.org/"",BH669,""/""),""//span[@id='lcn']""))"),"")</f>
        <v/>
      </c>
      <c r="CH669" s="46"/>
      <c r="CI669" s="46"/>
      <c r="CJ669" s="46"/>
      <c r="CK669" s="46"/>
      <c r="CL669" s="46"/>
      <c r="CM669" s="46"/>
      <c r="CN669" s="46"/>
      <c r="CO669" s="46"/>
      <c r="CP669" s="46"/>
      <c r="CQ669" s="46"/>
      <c r="CR669" s="46"/>
      <c r="CS669" s="46"/>
      <c r="CT669" s="46"/>
      <c r="CU669" s="46"/>
    </row>
    <row r="670" spans="1:99" ht="12.75" customHeight="1">
      <c r="A670" s="409">
        <v>2102</v>
      </c>
      <c r="B670" s="399" t="s">
        <v>7875</v>
      </c>
      <c r="C670" s="399">
        <f t="shared" si="103"/>
        <v>2102</v>
      </c>
      <c r="D670" s="399" t="e">
        <f t="shared" ca="1" si="104"/>
        <v>#NAME?</v>
      </c>
      <c r="E670" s="399" t="str">
        <f t="shared" si="105"/>
        <v>infection</v>
      </c>
      <c r="F670" s="399" t="str">
        <f t="shared" si="111"/>
        <v>Input Option</v>
      </c>
      <c r="G670" s="400">
        <f t="shared" si="106"/>
        <v>16</v>
      </c>
      <c r="H670" s="399" t="str">
        <f t="shared" si="113"/>
        <v>STI Condition type</v>
      </c>
      <c r="I670" s="400"/>
      <c r="J670" s="400"/>
      <c r="K670" s="401" t="s">
        <v>5283</v>
      </c>
      <c r="L670" s="402" t="s">
        <v>7227</v>
      </c>
      <c r="M670" s="400"/>
      <c r="N670" s="675" t="s">
        <v>7175</v>
      </c>
      <c r="O670" s="437" t="s">
        <v>7877</v>
      </c>
      <c r="P670" s="437"/>
      <c r="Q670" s="437"/>
      <c r="R670" s="437"/>
      <c r="S670" s="437"/>
      <c r="T670" s="437"/>
      <c r="U670" s="437"/>
      <c r="V670" s="437" t="s">
        <v>7878</v>
      </c>
      <c r="W670" s="404"/>
      <c r="X670" s="437" t="s">
        <v>208</v>
      </c>
      <c r="Y670" s="437"/>
      <c r="Z670" s="437" t="s">
        <v>113</v>
      </c>
      <c r="AA670" s="437" t="s">
        <v>3178</v>
      </c>
      <c r="AB670" s="444" t="s">
        <v>7835</v>
      </c>
      <c r="AC670" s="651"/>
      <c r="AD670" s="437"/>
      <c r="AE670" s="629"/>
      <c r="AF670" s="437"/>
      <c r="AG670" s="444" t="s">
        <v>7779</v>
      </c>
      <c r="AH670" s="399"/>
      <c r="AI670" s="400"/>
      <c r="AJ670" s="399" t="s">
        <v>1787</v>
      </c>
      <c r="AK670" s="399"/>
      <c r="AL670" s="399" t="s">
        <v>1787</v>
      </c>
      <c r="AM670" s="399"/>
      <c r="AN670" s="399" t="s">
        <v>1787</v>
      </c>
      <c r="AO670" s="399" t="s">
        <v>1787</v>
      </c>
      <c r="AP670" s="399"/>
      <c r="AQ670" s="409" t="s">
        <v>3130</v>
      </c>
      <c r="AR670" s="399"/>
      <c r="AS670" s="399"/>
      <c r="AT670" s="399"/>
      <c r="AU670" s="399"/>
      <c r="AV670" s="399" t="str">
        <f t="shared" si="107"/>
        <v/>
      </c>
      <c r="AW670" s="399"/>
      <c r="AX670" s="409" t="s">
        <v>5194</v>
      </c>
      <c r="AY670" s="399" t="e">
        <f t="shared" ca="1" si="108"/>
        <v>#NAME?</v>
      </c>
      <c r="AZ670" s="399"/>
      <c r="BA670" s="409" t="s">
        <v>3125</v>
      </c>
      <c r="BB670" s="415" t="s">
        <v>3131</v>
      </c>
      <c r="BC670" s="399" t="s">
        <v>7878</v>
      </c>
      <c r="BD670" s="409" t="s">
        <v>7885</v>
      </c>
      <c r="BE670" s="411"/>
      <c r="BF670" s="411" t="s">
        <v>1787</v>
      </c>
      <c r="BG670" s="411"/>
      <c r="BH670" s="411"/>
      <c r="BI670" s="411"/>
      <c r="BJ670" s="409" t="s">
        <v>4282</v>
      </c>
      <c r="BK670" s="399" t="s">
        <v>1787</v>
      </c>
      <c r="BL670" s="409" t="s">
        <v>3162</v>
      </c>
      <c r="BM670" s="409" t="s">
        <v>7768</v>
      </c>
      <c r="BN670" s="399" t="s">
        <v>1787</v>
      </c>
      <c r="BO670" s="399" t="s">
        <v>1787</v>
      </c>
      <c r="BP670" s="399" t="s">
        <v>1787</v>
      </c>
      <c r="BQ670" s="399" t="s">
        <v>1787</v>
      </c>
      <c r="BR670" s="399" t="s">
        <v>1787</v>
      </c>
      <c r="BS670" s="407"/>
      <c r="BT670" s="407"/>
      <c r="BU670" s="412"/>
      <c r="BV670" s="46" t="str">
        <f t="shared" si="8"/>
        <v/>
      </c>
      <c r="BW670" s="46">
        <f t="shared" si="9"/>
        <v>0</v>
      </c>
      <c r="BX670" s="46">
        <f t="shared" si="10"/>
        <v>0</v>
      </c>
      <c r="BY670" s="43" t="str">
        <f t="shared" si="11"/>
        <v>WHO-STI Condition (STI History)</v>
      </c>
      <c r="BZ670" s="46">
        <f t="shared" si="12"/>
        <v>1</v>
      </c>
      <c r="CA670" s="46" t="str">
        <f t="shared" si="13"/>
        <v/>
      </c>
      <c r="CB670" s="46">
        <f t="shared" si="14"/>
        <v>1</v>
      </c>
      <c r="CC670" s="46">
        <f t="shared" si="15"/>
        <v>1</v>
      </c>
      <c r="CD670" s="46">
        <f t="shared" si="16"/>
        <v>1</v>
      </c>
      <c r="CE670" s="46">
        <f t="shared" si="17"/>
        <v>0</v>
      </c>
      <c r="CF670" s="46">
        <f t="shared" si="18"/>
        <v>0</v>
      </c>
      <c r="CG670" s="46" t="str">
        <f ca="1">IFERROR(__xludf.DUMMYFUNCTION("if(OR(BH670="""",LEFT(BH670,2)=""LA""),"""",IMPORTXML(CONCATENATE(""https://loinc.org/"",BH670,""/""),""//span[@id='lcn']""))"),"")</f>
        <v/>
      </c>
      <c r="CH670" s="46"/>
      <c r="CI670" s="46"/>
      <c r="CJ670" s="46"/>
      <c r="CK670" s="46"/>
      <c r="CL670" s="46"/>
      <c r="CM670" s="46"/>
      <c r="CN670" s="46"/>
      <c r="CO670" s="46"/>
      <c r="CP670" s="46"/>
      <c r="CQ670" s="46"/>
      <c r="CR670" s="46"/>
      <c r="CS670" s="46"/>
      <c r="CT670" s="46"/>
      <c r="CU670" s="46"/>
    </row>
    <row r="671" spans="1:99" ht="12.75" customHeight="1">
      <c r="A671" s="409">
        <v>2103</v>
      </c>
      <c r="B671" s="399" t="s">
        <v>7889</v>
      </c>
      <c r="C671" s="399">
        <f t="shared" si="103"/>
        <v>2103</v>
      </c>
      <c r="D671" s="399" t="e">
        <f t="shared" ca="1" si="104"/>
        <v>#NAME?</v>
      </c>
      <c r="E671" s="399" t="str">
        <f t="shared" si="105"/>
        <v>Herpes simplex virus type 1 (HSV-1)</v>
      </c>
      <c r="F671" s="399" t="str">
        <f t="shared" si="111"/>
        <v>Input Option</v>
      </c>
      <c r="G671" s="400">
        <f t="shared" si="106"/>
        <v>42</v>
      </c>
      <c r="H671" s="399" t="str">
        <f t="shared" si="113"/>
        <v>STI Condition type</v>
      </c>
      <c r="I671" s="400"/>
      <c r="J671" s="400"/>
      <c r="K671" s="401" t="s">
        <v>5283</v>
      </c>
      <c r="L671" s="402" t="s">
        <v>7227</v>
      </c>
      <c r="M671" s="400"/>
      <c r="N671" s="675" t="s">
        <v>7175</v>
      </c>
      <c r="O671" s="428"/>
      <c r="P671" s="437"/>
      <c r="Q671" s="437"/>
      <c r="R671" s="437"/>
      <c r="S671" s="437"/>
      <c r="T671" s="437"/>
      <c r="U671" s="437"/>
      <c r="V671" s="444" t="s">
        <v>7892</v>
      </c>
      <c r="W671" s="426"/>
      <c r="X671" s="437"/>
      <c r="Y671" s="437"/>
      <c r="Z671" s="437"/>
      <c r="AA671" s="437"/>
      <c r="AB671" s="629"/>
      <c r="AC671" s="437"/>
      <c r="AD671" s="437"/>
      <c r="AE671" s="629"/>
      <c r="AF671" s="437"/>
      <c r="AG671" s="437"/>
      <c r="AH671" s="399"/>
      <c r="AI671" s="400"/>
      <c r="AJ671" s="399" t="s">
        <v>1787</v>
      </c>
      <c r="AK671" s="399"/>
      <c r="AL671" s="399" t="s">
        <v>1787</v>
      </c>
      <c r="AM671" s="399"/>
      <c r="AN671" s="399" t="s">
        <v>1787</v>
      </c>
      <c r="AO671" s="399" t="s">
        <v>1787</v>
      </c>
      <c r="AP671" s="399"/>
      <c r="AQ671" s="409" t="s">
        <v>3130</v>
      </c>
      <c r="AR671" s="399"/>
      <c r="AS671" s="399"/>
      <c r="AT671" s="399"/>
      <c r="AU671" s="399"/>
      <c r="AV671" s="399" t="str">
        <f t="shared" si="107"/>
        <v/>
      </c>
      <c r="AW671" s="399"/>
      <c r="AX671" s="409" t="s">
        <v>5194</v>
      </c>
      <c r="AY671" s="399" t="e">
        <f t="shared" ca="1" si="108"/>
        <v>#NAME?</v>
      </c>
      <c r="AZ671" s="399"/>
      <c r="BA671" s="409" t="s">
        <v>3125</v>
      </c>
      <c r="BB671" s="399"/>
      <c r="BC671" s="399" t="s">
        <v>1787</v>
      </c>
      <c r="BD671" s="399" t="s">
        <v>1787</v>
      </c>
      <c r="BE671" s="434" t="s">
        <v>7895</v>
      </c>
      <c r="BF671" s="411" t="s">
        <v>1787</v>
      </c>
      <c r="BG671" s="434" t="s">
        <v>7896</v>
      </c>
      <c r="BH671" s="411"/>
      <c r="BI671" s="411"/>
      <c r="BJ671" s="399" t="s">
        <v>1787</v>
      </c>
      <c r="BK671" s="399" t="s">
        <v>1787</v>
      </c>
      <c r="BL671" s="399"/>
      <c r="BM671" s="399" t="s">
        <v>1787</v>
      </c>
      <c r="BN671" s="399" t="s">
        <v>1787</v>
      </c>
      <c r="BO671" s="399" t="s">
        <v>1787</v>
      </c>
      <c r="BP671" s="399" t="s">
        <v>1787</v>
      </c>
      <c r="BQ671" s="399" t="s">
        <v>1787</v>
      </c>
      <c r="BR671" s="399" t="s">
        <v>1787</v>
      </c>
      <c r="BS671" s="407"/>
      <c r="BT671" s="407"/>
      <c r="BU671" s="412"/>
      <c r="BV671" s="46" t="str">
        <f t="shared" si="8"/>
        <v/>
      </c>
      <c r="BW671" s="46">
        <f t="shared" si="9"/>
        <v>0</v>
      </c>
      <c r="BX671" s="46">
        <f t="shared" si="10"/>
        <v>0</v>
      </c>
      <c r="BY671" s="43" t="str">
        <f t="shared" si="11"/>
        <v>WHO-STI Condition (STI History)</v>
      </c>
      <c r="BZ671" s="46">
        <f t="shared" si="12"/>
        <v>1</v>
      </c>
      <c r="CA671" s="46" t="str">
        <f t="shared" si="13"/>
        <v/>
      </c>
      <c r="CB671" s="46">
        <f t="shared" si="14"/>
        <v>1</v>
      </c>
      <c r="CC671" s="46">
        <f t="shared" si="15"/>
        <v>1</v>
      </c>
      <c r="CD671" s="46">
        <f t="shared" si="16"/>
        <v>1</v>
      </c>
      <c r="CE671" s="46">
        <f t="shared" si="17"/>
        <v>0</v>
      </c>
      <c r="CF671" s="46">
        <f t="shared" si="18"/>
        <v>0</v>
      </c>
      <c r="CG671" s="46" t="str">
        <f ca="1">IFERROR(__xludf.DUMMYFUNCTION("if(OR(BH671="""",LEFT(BH671,2)=""LA""),"""",IMPORTXML(CONCATENATE(""https://loinc.org/"",BH671,""/""),""//span[@id='lcn']""))"),"")</f>
        <v/>
      </c>
      <c r="CH671" s="46"/>
      <c r="CI671" s="46"/>
      <c r="CJ671" s="46"/>
      <c r="CK671" s="46"/>
      <c r="CL671" s="46"/>
      <c r="CM671" s="46"/>
      <c r="CN671" s="46"/>
      <c r="CO671" s="46"/>
      <c r="CP671" s="46"/>
      <c r="CQ671" s="46"/>
      <c r="CR671" s="46"/>
      <c r="CS671" s="46"/>
      <c r="CT671" s="46"/>
      <c r="CU671" s="46"/>
    </row>
    <row r="672" spans="1:99" ht="12.75" customHeight="1">
      <c r="A672" s="409">
        <v>2104</v>
      </c>
      <c r="B672" s="399" t="s">
        <v>7901</v>
      </c>
      <c r="C672" s="399">
        <f t="shared" si="103"/>
        <v>2104</v>
      </c>
      <c r="D672" s="399" t="e">
        <f t="shared" ca="1" si="104"/>
        <v>#NAME?</v>
      </c>
      <c r="E672" s="399" t="str">
        <f t="shared" si="105"/>
        <v>Herpes simplex virus type 2 (HSV-2)</v>
      </c>
      <c r="F672" s="399" t="str">
        <f t="shared" si="111"/>
        <v>Input Option</v>
      </c>
      <c r="G672" s="400">
        <f t="shared" si="106"/>
        <v>42</v>
      </c>
      <c r="H672" s="399" t="str">
        <f t="shared" si="113"/>
        <v>STI Condition type</v>
      </c>
      <c r="I672" s="400"/>
      <c r="J672" s="400"/>
      <c r="K672" s="401" t="s">
        <v>5283</v>
      </c>
      <c r="L672" s="402" t="s">
        <v>7227</v>
      </c>
      <c r="M672" s="400"/>
      <c r="N672" s="675" t="s">
        <v>7175</v>
      </c>
      <c r="O672" s="428"/>
      <c r="P672" s="437"/>
      <c r="Q672" s="437"/>
      <c r="R672" s="437"/>
      <c r="S672" s="437"/>
      <c r="T672" s="437"/>
      <c r="U672" s="437"/>
      <c r="V672" s="444" t="s">
        <v>7905</v>
      </c>
      <c r="W672" s="426"/>
      <c r="X672" s="437"/>
      <c r="Y672" s="437"/>
      <c r="Z672" s="437"/>
      <c r="AA672" s="437"/>
      <c r="AB672" s="629"/>
      <c r="AC672" s="437"/>
      <c r="AD672" s="437"/>
      <c r="AE672" s="629"/>
      <c r="AF672" s="437"/>
      <c r="AG672" s="437"/>
      <c r="AH672" s="399"/>
      <c r="AI672" s="400"/>
      <c r="AJ672" s="399" t="s">
        <v>1787</v>
      </c>
      <c r="AK672" s="399"/>
      <c r="AL672" s="399" t="s">
        <v>1787</v>
      </c>
      <c r="AM672" s="399"/>
      <c r="AN672" s="399" t="s">
        <v>1787</v>
      </c>
      <c r="AO672" s="399" t="s">
        <v>1787</v>
      </c>
      <c r="AP672" s="399"/>
      <c r="AQ672" s="409" t="s">
        <v>3130</v>
      </c>
      <c r="AR672" s="399"/>
      <c r="AS672" s="399"/>
      <c r="AT672" s="399"/>
      <c r="AU672" s="399"/>
      <c r="AV672" s="399" t="str">
        <f t="shared" si="107"/>
        <v/>
      </c>
      <c r="AW672" s="399"/>
      <c r="AX672" s="409" t="s">
        <v>5194</v>
      </c>
      <c r="AY672" s="399" t="e">
        <f t="shared" ca="1" si="108"/>
        <v>#NAME?</v>
      </c>
      <c r="AZ672" s="399"/>
      <c r="BA672" s="409" t="s">
        <v>3125</v>
      </c>
      <c r="BB672" s="399"/>
      <c r="BC672" s="399" t="s">
        <v>1787</v>
      </c>
      <c r="BD672" s="409" t="s">
        <v>7908</v>
      </c>
      <c r="BE672" s="411" t="s">
        <v>7909</v>
      </c>
      <c r="BF672" s="411" t="s">
        <v>1787</v>
      </c>
      <c r="BG672" s="411"/>
      <c r="BH672" s="411"/>
      <c r="BI672" s="411"/>
      <c r="BJ672" s="399" t="s">
        <v>1787</v>
      </c>
      <c r="BK672" s="399" t="s">
        <v>1787</v>
      </c>
      <c r="BL672" s="399"/>
      <c r="BM672" s="399" t="s">
        <v>1787</v>
      </c>
      <c r="BN672" s="399" t="s">
        <v>1787</v>
      </c>
      <c r="BO672" s="399" t="s">
        <v>1787</v>
      </c>
      <c r="BP672" s="399" t="s">
        <v>1787</v>
      </c>
      <c r="BQ672" s="399" t="s">
        <v>1787</v>
      </c>
      <c r="BR672" s="399" t="s">
        <v>1787</v>
      </c>
      <c r="BS672" s="407"/>
      <c r="BT672" s="407"/>
      <c r="BU672" s="412"/>
      <c r="BV672" s="46" t="str">
        <f t="shared" si="8"/>
        <v/>
      </c>
      <c r="BW672" s="46">
        <f t="shared" si="9"/>
        <v>0</v>
      </c>
      <c r="BX672" s="46">
        <f t="shared" si="10"/>
        <v>0</v>
      </c>
      <c r="BY672" s="43" t="str">
        <f t="shared" si="11"/>
        <v>WHO-STI Condition (STI History)</v>
      </c>
      <c r="BZ672" s="46">
        <f t="shared" si="12"/>
        <v>1</v>
      </c>
      <c r="CA672" s="46" t="str">
        <f t="shared" si="13"/>
        <v/>
      </c>
      <c r="CB672" s="46">
        <f t="shared" si="14"/>
        <v>1</v>
      </c>
      <c r="CC672" s="46">
        <f t="shared" si="15"/>
        <v>1</v>
      </c>
      <c r="CD672" s="46">
        <f t="shared" si="16"/>
        <v>1</v>
      </c>
      <c r="CE672" s="46">
        <f t="shared" si="17"/>
        <v>0</v>
      </c>
      <c r="CF672" s="46">
        <f t="shared" si="18"/>
        <v>0</v>
      </c>
      <c r="CG672" s="46" t="str">
        <f ca="1">IFERROR(__xludf.DUMMYFUNCTION("if(OR(BH672="""",LEFT(BH672,2)=""LA""),"""",IMPORTXML(CONCATENATE(""https://loinc.org/"",BH672,""/""),""//span[@id='lcn']""))"),"")</f>
        <v/>
      </c>
      <c r="CH672" s="46"/>
      <c r="CI672" s="46"/>
      <c r="CJ672" s="46"/>
      <c r="CK672" s="46"/>
      <c r="CL672" s="46"/>
      <c r="CM672" s="46"/>
      <c r="CN672" s="46"/>
      <c r="CO672" s="46"/>
      <c r="CP672" s="46"/>
      <c r="CQ672" s="46"/>
      <c r="CR672" s="46"/>
      <c r="CS672" s="46"/>
      <c r="CT672" s="46"/>
      <c r="CU672" s="46"/>
    </row>
    <row r="673" spans="1:99" ht="12.75" customHeight="1">
      <c r="A673" s="409">
        <v>2105</v>
      </c>
      <c r="B673" s="399" t="s">
        <v>7915</v>
      </c>
      <c r="C673" s="399">
        <f t="shared" si="103"/>
        <v>2105</v>
      </c>
      <c r="D673" s="399" t="str">
        <f t="shared" si="104"/>
        <v>History of trauma</v>
      </c>
      <c r="E673" s="399" t="str">
        <f t="shared" si="105"/>
        <v>History of trauma</v>
      </c>
      <c r="F673" s="399" t="str">
        <f t="shared" si="111"/>
        <v>Data Element</v>
      </c>
      <c r="G673" s="400">
        <f t="shared" si="106"/>
        <v>17</v>
      </c>
      <c r="H673" s="400" t="str">
        <f t="shared" si="113"/>
        <v/>
      </c>
      <c r="I673" s="400"/>
      <c r="J673" s="400"/>
      <c r="K673" s="401" t="s">
        <v>5283</v>
      </c>
      <c r="L673" s="402" t="s">
        <v>7227</v>
      </c>
      <c r="M673" s="400"/>
      <c r="N673" s="675" t="s">
        <v>7175</v>
      </c>
      <c r="O673" s="431" t="s">
        <v>7919</v>
      </c>
      <c r="P673" s="431"/>
      <c r="Q673" s="420" t="s">
        <v>7915</v>
      </c>
      <c r="R673" s="643"/>
      <c r="S673" s="643"/>
      <c r="T673" s="643"/>
      <c r="U673" s="643"/>
      <c r="V673" s="437"/>
      <c r="W673" s="404"/>
      <c r="X673" s="437" t="s">
        <v>208</v>
      </c>
      <c r="Y673" s="437"/>
      <c r="Z673" s="437" t="s">
        <v>113</v>
      </c>
      <c r="AA673" s="437" t="s">
        <v>3178</v>
      </c>
      <c r="AB673" s="444" t="s">
        <v>7920</v>
      </c>
      <c r="AC673" s="426"/>
      <c r="AD673" s="426"/>
      <c r="AE673" s="406"/>
      <c r="AF673" s="404"/>
      <c r="AG673" s="420" t="s">
        <v>6712</v>
      </c>
      <c r="AH673" s="399"/>
      <c r="AI673" s="400"/>
      <c r="AJ673" s="399" t="s">
        <v>1787</v>
      </c>
      <c r="AK673" s="409" t="s">
        <v>3410</v>
      </c>
      <c r="AL673" s="409" t="s">
        <v>3313</v>
      </c>
      <c r="AM673" s="409" t="s">
        <v>3100</v>
      </c>
      <c r="AN673" s="409" t="s">
        <v>3101</v>
      </c>
      <c r="AO673" s="399" t="s">
        <v>1787</v>
      </c>
      <c r="AP673" s="409" t="s">
        <v>6810</v>
      </c>
      <c r="AQ673" s="409" t="s">
        <v>3130</v>
      </c>
      <c r="AR673" s="399"/>
      <c r="AS673" s="399"/>
      <c r="AT673" s="399"/>
      <c r="AU673" s="399"/>
      <c r="AV673" s="399" t="str">
        <f t="shared" si="107"/>
        <v/>
      </c>
      <c r="AW673" s="399"/>
      <c r="AX673" s="409" t="s">
        <v>5194</v>
      </c>
      <c r="AY673" s="399" t="str">
        <f t="shared" si="108"/>
        <v/>
      </c>
      <c r="AZ673" s="399"/>
      <c r="BA673" s="409" t="s">
        <v>3125</v>
      </c>
      <c r="BB673" s="415" t="s">
        <v>3131</v>
      </c>
      <c r="BC673" s="399" t="s">
        <v>7915</v>
      </c>
      <c r="BD673" s="399" t="s">
        <v>1787</v>
      </c>
      <c r="BE673" s="411"/>
      <c r="BF673" s="411" t="s">
        <v>1787</v>
      </c>
      <c r="BG673" s="411"/>
      <c r="BH673" s="411"/>
      <c r="BI673" s="411"/>
      <c r="BJ673" s="409" t="s">
        <v>4745</v>
      </c>
      <c r="BK673" s="399" t="s">
        <v>1787</v>
      </c>
      <c r="BL673" s="409" t="s">
        <v>3162</v>
      </c>
      <c r="BM673" s="409" t="s">
        <v>7926</v>
      </c>
      <c r="BN673" s="399" t="s">
        <v>1787</v>
      </c>
      <c r="BO673" s="399" t="s">
        <v>1787</v>
      </c>
      <c r="BP673" s="399" t="s">
        <v>1787</v>
      </c>
      <c r="BQ673" s="399" t="s">
        <v>1787</v>
      </c>
      <c r="BR673" s="399" t="s">
        <v>1787</v>
      </c>
      <c r="BS673" s="407"/>
      <c r="BT673" s="407"/>
      <c r="BU673" s="412"/>
      <c r="BV673" s="46" t="str">
        <f t="shared" si="8"/>
        <v>Observation</v>
      </c>
      <c r="BW673" s="46" t="str">
        <f t="shared" si="9"/>
        <v/>
      </c>
      <c r="BX673" s="46" t="str">
        <f t="shared" si="10"/>
        <v>Observation</v>
      </c>
      <c r="BY673" s="43" t="str">
        <f t="shared" si="11"/>
        <v>WHO-STI Observation (Trauma History)</v>
      </c>
      <c r="BZ673" s="46">
        <f t="shared" si="12"/>
        <v>1</v>
      </c>
      <c r="CA673" s="46">
        <f t="shared" si="13"/>
        <v>0</v>
      </c>
      <c r="CB673" s="46">
        <f t="shared" si="14"/>
        <v>1</v>
      </c>
      <c r="CC673" s="46">
        <f t="shared" si="15"/>
        <v>1</v>
      </c>
      <c r="CD673" s="46">
        <f t="shared" si="16"/>
        <v>1</v>
      </c>
      <c r="CE673" s="46">
        <f t="shared" si="17"/>
        <v>0</v>
      </c>
      <c r="CF673" s="46">
        <f t="shared" si="18"/>
        <v>0</v>
      </c>
      <c r="CG673" s="46" t="str">
        <f ca="1">IFERROR(__xludf.DUMMYFUNCTION("if(OR(BH673="""",LEFT(BH673,2)=""LA""),"""",IMPORTXML(CONCATENATE(""https://loinc.org/"",BH673,""/""),""//span[@id='lcn']""))"),"")</f>
        <v/>
      </c>
      <c r="CH673" s="46"/>
      <c r="CI673" s="46"/>
      <c r="CJ673" s="46"/>
      <c r="CK673" s="46"/>
      <c r="CL673" s="46"/>
      <c r="CM673" s="46"/>
      <c r="CN673" s="46"/>
      <c r="CO673" s="46"/>
      <c r="CP673" s="46"/>
      <c r="CQ673" s="46"/>
      <c r="CR673" s="46"/>
      <c r="CS673" s="46"/>
      <c r="CT673" s="46"/>
      <c r="CU673" s="46"/>
    </row>
    <row r="674" spans="1:99" ht="12.75" customHeight="1">
      <c r="A674" s="409">
        <v>2106</v>
      </c>
      <c r="B674" s="399" t="s">
        <v>7933</v>
      </c>
      <c r="C674" s="399">
        <f t="shared" si="103"/>
        <v>2106</v>
      </c>
      <c r="D674" s="399" t="str">
        <f t="shared" si="104"/>
        <v>Screening</v>
      </c>
      <c r="E674" s="399" t="str">
        <f t="shared" si="105"/>
        <v>Screening</v>
      </c>
      <c r="F674" s="409" t="s">
        <v>3164</v>
      </c>
      <c r="G674" s="400">
        <f t="shared" si="106"/>
        <v>9</v>
      </c>
      <c r="H674" s="400" t="str">
        <f t="shared" si="113"/>
        <v/>
      </c>
      <c r="I674" s="400"/>
      <c r="J674" s="400"/>
      <c r="K674" s="401" t="s">
        <v>5283</v>
      </c>
      <c r="L674" s="402" t="s">
        <v>7227</v>
      </c>
      <c r="M674" s="400"/>
      <c r="N674" s="675" t="s">
        <v>7175</v>
      </c>
      <c r="O674" s="404" t="s">
        <v>7937</v>
      </c>
      <c r="P674" s="404"/>
      <c r="Q674" s="404" t="s">
        <v>7933</v>
      </c>
      <c r="R674" s="404"/>
      <c r="S674" s="420" t="s">
        <v>7938</v>
      </c>
      <c r="T674" s="426"/>
      <c r="U674" s="404"/>
      <c r="V674" s="404"/>
      <c r="W674" s="404"/>
      <c r="X674" s="404"/>
      <c r="Y674" s="404"/>
      <c r="Z674" s="404"/>
      <c r="AA674" s="404"/>
      <c r="AB674" s="406"/>
      <c r="AC674" s="404"/>
      <c r="AD674" s="404"/>
      <c r="AE674" s="406"/>
      <c r="AF674" s="404"/>
      <c r="AG674" s="404"/>
      <c r="AH674" s="399"/>
      <c r="AI674" s="400"/>
      <c r="AJ674" s="399" t="s">
        <v>1787</v>
      </c>
      <c r="AK674" s="399"/>
      <c r="AL674" s="399" t="s">
        <v>1787</v>
      </c>
      <c r="AM674" s="399"/>
      <c r="AN674" s="399" t="s">
        <v>1787</v>
      </c>
      <c r="AO674" s="399" t="s">
        <v>1787</v>
      </c>
      <c r="AP674" s="399"/>
      <c r="AQ674" s="409" t="s">
        <v>115</v>
      </c>
      <c r="AR674" s="399"/>
      <c r="AS674" s="399"/>
      <c r="AT674" s="399"/>
      <c r="AU674" s="399"/>
      <c r="AV674" s="399" t="str">
        <f t="shared" si="107"/>
        <v/>
      </c>
      <c r="AW674" s="399"/>
      <c r="AX674" s="409" t="s">
        <v>5194</v>
      </c>
      <c r="AY674" s="399" t="str">
        <f t="shared" si="108"/>
        <v/>
      </c>
      <c r="AZ674" s="399"/>
      <c r="BA674" s="409" t="s">
        <v>3125</v>
      </c>
      <c r="BB674" s="399"/>
      <c r="BC674" s="399" t="s">
        <v>1787</v>
      </c>
      <c r="BD674" s="409" t="s">
        <v>7943</v>
      </c>
      <c r="BE674" s="411"/>
      <c r="BF674" s="411" t="s">
        <v>1787</v>
      </c>
      <c r="BG674" s="411"/>
      <c r="BH674" s="411"/>
      <c r="BI674" s="411"/>
      <c r="BJ674" s="409" t="s">
        <v>3106</v>
      </c>
      <c r="BK674" s="399" t="s">
        <v>1787</v>
      </c>
      <c r="BL674" s="399"/>
      <c r="BM674" s="399" t="s">
        <v>1787</v>
      </c>
      <c r="BN674" s="438" t="str">
        <f>HYPERLINK("https://github.com/who-int/Data-Dictionary-Mapping/issues/44","44")</f>
        <v>44</v>
      </c>
      <c r="BO674" s="399" t="s">
        <v>1787</v>
      </c>
      <c r="BP674" s="399" t="s">
        <v>1787</v>
      </c>
      <c r="BQ674" s="399" t="s">
        <v>1787</v>
      </c>
      <c r="BR674" s="399" t="s">
        <v>1787</v>
      </c>
      <c r="BS674" s="407"/>
      <c r="BT674" s="407"/>
      <c r="BU674" s="412"/>
      <c r="BV674" s="46" t="str">
        <f t="shared" si="8"/>
        <v/>
      </c>
      <c r="BW674" s="46" t="str">
        <f t="shared" si="9"/>
        <v/>
      </c>
      <c r="BX674" s="46" t="str">
        <f t="shared" si="10"/>
        <v/>
      </c>
      <c r="BY674" s="43" t="str">
        <f t="shared" si="11"/>
        <v/>
      </c>
      <c r="BZ674" s="46">
        <f t="shared" si="12"/>
        <v>1</v>
      </c>
      <c r="CA674" s="46" t="str">
        <f t="shared" si="13"/>
        <v/>
      </c>
      <c r="CB674" s="46">
        <f t="shared" si="14"/>
        <v>1</v>
      </c>
      <c r="CC674" s="46">
        <f t="shared" si="15"/>
        <v>1</v>
      </c>
      <c r="CD674" s="46">
        <f t="shared" si="16"/>
        <v>1</v>
      </c>
      <c r="CE674" s="46">
        <f t="shared" si="17"/>
        <v>0</v>
      </c>
      <c r="CF674" s="46">
        <f t="shared" si="18"/>
        <v>0</v>
      </c>
      <c r="CG674" s="46" t="str">
        <f ca="1">IFERROR(__xludf.DUMMYFUNCTION("if(OR(BH674="""",LEFT(BH674,2)=""LA""),"""",IMPORTXML(CONCATENATE(""https://loinc.org/"",BH674,""/""),""//span[@id='lcn']""))"),"")</f>
        <v/>
      </c>
      <c r="CH674" s="46"/>
      <c r="CI674" s="46"/>
      <c r="CJ674" s="46"/>
      <c r="CK674" s="46"/>
      <c r="CL674" s="46"/>
      <c r="CM674" s="46"/>
      <c r="CN674" s="46"/>
      <c r="CO674" s="46"/>
      <c r="CP674" s="46"/>
      <c r="CQ674" s="46"/>
      <c r="CR674" s="46"/>
      <c r="CS674" s="46"/>
      <c r="CT674" s="46"/>
      <c r="CU674" s="46"/>
    </row>
    <row r="675" spans="1:99" ht="12.75" customHeight="1">
      <c r="A675" s="409">
        <v>2107</v>
      </c>
      <c r="B675" s="399" t="s">
        <v>7951</v>
      </c>
      <c r="C675" s="399">
        <f t="shared" si="103"/>
        <v>2107</v>
      </c>
      <c r="D675" s="399" t="str">
        <f t="shared" si="104"/>
        <v>Screening type</v>
      </c>
      <c r="E675" s="399" t="str">
        <f t="shared" si="105"/>
        <v>Screening type</v>
      </c>
      <c r="F675" s="399" t="str">
        <f t="shared" ref="F675:F684" si="114">IF(AND(ISBLANK(V675)=FALSE,OR(T675="MC",T675="")),"Input Option","Data Element")</f>
        <v>Data Element</v>
      </c>
      <c r="G675" s="400">
        <f t="shared" si="106"/>
        <v>14</v>
      </c>
      <c r="H675" s="400" t="str">
        <f t="shared" si="113"/>
        <v/>
      </c>
      <c r="I675" s="400"/>
      <c r="J675" s="400"/>
      <c r="K675" s="401" t="s">
        <v>5283</v>
      </c>
      <c r="L675" s="402" t="s">
        <v>7227</v>
      </c>
      <c r="M675" s="400"/>
      <c r="N675" s="675" t="s">
        <v>7175</v>
      </c>
      <c r="O675" s="404" t="s">
        <v>7958</v>
      </c>
      <c r="P675" s="404"/>
      <c r="Q675" s="404" t="s">
        <v>7951</v>
      </c>
      <c r="R675" s="404"/>
      <c r="S675" s="420" t="s">
        <v>7959</v>
      </c>
      <c r="T675" s="426"/>
      <c r="U675" s="426"/>
      <c r="V675" s="404"/>
      <c r="W675" s="404"/>
      <c r="X675" s="404"/>
      <c r="Y675" s="404"/>
      <c r="Z675" s="404"/>
      <c r="AA675" s="404"/>
      <c r="AB675" s="406"/>
      <c r="AC675" s="404"/>
      <c r="AD675" s="404"/>
      <c r="AE675" s="406"/>
      <c r="AF675" s="404"/>
      <c r="AG675" s="404"/>
      <c r="AH675" s="399"/>
      <c r="AI675" s="400"/>
      <c r="AJ675" s="399" t="s">
        <v>1787</v>
      </c>
      <c r="AK675" s="409" t="s">
        <v>3916</v>
      </c>
      <c r="AL675" s="409"/>
      <c r="AM675" s="409" t="s">
        <v>3100</v>
      </c>
      <c r="AN675" s="409" t="s">
        <v>3101</v>
      </c>
      <c r="AO675" s="399" t="s">
        <v>1787</v>
      </c>
      <c r="AP675" s="409" t="s">
        <v>6800</v>
      </c>
      <c r="AQ675" s="409" t="s">
        <v>3130</v>
      </c>
      <c r="AR675" s="399"/>
      <c r="AS675" s="409" t="s">
        <v>3413</v>
      </c>
      <c r="AT675" s="399"/>
      <c r="AU675" s="399"/>
      <c r="AV675" s="399" t="str">
        <f t="shared" si="107"/>
        <v/>
      </c>
      <c r="AW675" s="399"/>
      <c r="AX675" s="409" t="s">
        <v>5194</v>
      </c>
      <c r="AY675" s="399" t="str">
        <f t="shared" si="108"/>
        <v/>
      </c>
      <c r="AZ675" s="399"/>
      <c r="BA675" s="409" t="s">
        <v>3125</v>
      </c>
      <c r="BB675" s="399"/>
      <c r="BC675" s="399" t="s">
        <v>1787</v>
      </c>
      <c r="BD675" s="409" t="s">
        <v>7966</v>
      </c>
      <c r="BE675" s="411"/>
      <c r="BF675" s="411" t="s">
        <v>1787</v>
      </c>
      <c r="BG675" s="411"/>
      <c r="BH675" s="411"/>
      <c r="BI675" s="411"/>
      <c r="BJ675" s="409" t="s">
        <v>3106</v>
      </c>
      <c r="BK675" s="399" t="s">
        <v>1787</v>
      </c>
      <c r="BL675" s="399"/>
      <c r="BM675" s="399" t="s">
        <v>1787</v>
      </c>
      <c r="BN675" s="399" t="s">
        <v>1787</v>
      </c>
      <c r="BO675" s="399" t="s">
        <v>1787</v>
      </c>
      <c r="BP675" s="399" t="s">
        <v>1787</v>
      </c>
      <c r="BQ675" s="399" t="s">
        <v>1787</v>
      </c>
      <c r="BR675" s="399" t="s">
        <v>1787</v>
      </c>
      <c r="BS675" s="407"/>
      <c r="BT675" s="407"/>
      <c r="BU675" s="412"/>
      <c r="BV675" s="46" t="str">
        <f t="shared" si="8"/>
        <v>Observation</v>
      </c>
      <c r="BW675" s="46" t="str">
        <f t="shared" si="9"/>
        <v/>
      </c>
      <c r="BX675" s="46" t="str">
        <f t="shared" si="10"/>
        <v>Observation</v>
      </c>
      <c r="BY675" s="43" t="str">
        <f t="shared" si="11"/>
        <v>WHO-STI Observation (STI Screening)</v>
      </c>
      <c r="BZ675" s="46">
        <f t="shared" si="12"/>
        <v>1</v>
      </c>
      <c r="CA675" s="46">
        <f t="shared" si="13"/>
        <v>1</v>
      </c>
      <c r="CB675" s="46">
        <f t="shared" si="14"/>
        <v>1</v>
      </c>
      <c r="CC675" s="46">
        <f t="shared" si="15"/>
        <v>1</v>
      </c>
      <c r="CD675" s="46">
        <f t="shared" si="16"/>
        <v>1</v>
      </c>
      <c r="CE675" s="46">
        <f t="shared" si="17"/>
        <v>0</v>
      </c>
      <c r="CF675" s="46">
        <f t="shared" si="18"/>
        <v>0</v>
      </c>
      <c r="CG675" s="46" t="str">
        <f ca="1">IFERROR(__xludf.DUMMYFUNCTION("if(OR(BH675="""",LEFT(BH675,2)=""LA""),"""",IMPORTXML(CONCATENATE(""https://loinc.org/"",BH675,""/""),""//span[@id='lcn']""))"),"")</f>
        <v/>
      </c>
      <c r="CH675" s="46"/>
      <c r="CI675" s="46"/>
      <c r="CJ675" s="46"/>
      <c r="CK675" s="46"/>
      <c r="CL675" s="46"/>
      <c r="CM675" s="46"/>
      <c r="CN675" s="46"/>
      <c r="CO675" s="46"/>
      <c r="CP675" s="46"/>
      <c r="CQ675" s="46"/>
      <c r="CR675" s="46"/>
      <c r="CS675" s="46"/>
      <c r="CT675" s="46"/>
      <c r="CU675" s="46"/>
    </row>
    <row r="676" spans="1:99" ht="12.75" customHeight="1">
      <c r="A676" s="409">
        <v>2156</v>
      </c>
      <c r="B676" s="399" t="s">
        <v>7976</v>
      </c>
      <c r="C676" s="399">
        <f t="shared" si="103"/>
        <v>2156</v>
      </c>
      <c r="D676" s="399" t="e">
        <f t="shared" ca="1" si="104"/>
        <v>#NAME?</v>
      </c>
      <c r="E676" s="399" t="str">
        <f t="shared" si="105"/>
        <v>Herpes simplex viruses screen</v>
      </c>
      <c r="F676" s="399" t="str">
        <f t="shared" si="114"/>
        <v>Input Option</v>
      </c>
      <c r="G676" s="400">
        <f t="shared" si="106"/>
        <v>36</v>
      </c>
      <c r="H676" s="399" t="str">
        <f t="shared" si="113"/>
        <v>Screening type</v>
      </c>
      <c r="I676" s="400"/>
      <c r="J676" s="400"/>
      <c r="K676" s="401" t="s">
        <v>5283</v>
      </c>
      <c r="L676" s="402" t="s">
        <v>7249</v>
      </c>
      <c r="M676" s="400"/>
      <c r="N676" s="675" t="s">
        <v>7980</v>
      </c>
      <c r="O676" s="431" t="s">
        <v>7981</v>
      </c>
      <c r="P676" s="431"/>
      <c r="Q676" s="404"/>
      <c r="R676" s="437"/>
      <c r="S676" s="404"/>
      <c r="T676" s="431"/>
      <c r="U676" s="431"/>
      <c r="V676" s="420" t="s">
        <v>7982</v>
      </c>
      <c r="W676" s="404"/>
      <c r="X676" s="407" t="s">
        <v>208</v>
      </c>
      <c r="Y676" s="404"/>
      <c r="Z676" s="437" t="s">
        <v>113</v>
      </c>
      <c r="AA676" s="404"/>
      <c r="AB676" s="406"/>
      <c r="AC676" s="404"/>
      <c r="AD676" s="404" t="s">
        <v>3215</v>
      </c>
      <c r="AE676" s="406"/>
      <c r="AF676" s="404"/>
      <c r="AG676" s="404"/>
      <c r="AH676" s="399"/>
      <c r="AI676" s="400"/>
      <c r="AJ676" s="399" t="s">
        <v>1787</v>
      </c>
      <c r="AK676" s="399"/>
      <c r="AL676" s="399" t="s">
        <v>1787</v>
      </c>
      <c r="AM676" s="399"/>
      <c r="AN676" s="399" t="s">
        <v>1787</v>
      </c>
      <c r="AO676" s="399" t="s">
        <v>1787</v>
      </c>
      <c r="AP676" s="399"/>
      <c r="AQ676" s="409" t="s">
        <v>3130</v>
      </c>
      <c r="AR676" s="399"/>
      <c r="AS676" s="399"/>
      <c r="AT676" s="399"/>
      <c r="AU676" s="399"/>
      <c r="AV676" s="399" t="str">
        <f t="shared" si="107"/>
        <v/>
      </c>
      <c r="AW676" s="399"/>
      <c r="AX676" s="409" t="s">
        <v>5194</v>
      </c>
      <c r="AY676" s="399" t="e">
        <f t="shared" ca="1" si="108"/>
        <v>#NAME?</v>
      </c>
      <c r="AZ676" s="399"/>
      <c r="BA676" s="409" t="s">
        <v>3125</v>
      </c>
      <c r="BB676" s="399"/>
      <c r="BC676" s="399" t="s">
        <v>1787</v>
      </c>
      <c r="BD676" s="409" t="s">
        <v>7986</v>
      </c>
      <c r="BE676" s="411"/>
      <c r="BF676" s="411" t="s">
        <v>1787</v>
      </c>
      <c r="BG676" s="411"/>
      <c r="BH676" s="434" t="s">
        <v>7987</v>
      </c>
      <c r="BI676" s="411"/>
      <c r="BJ676" s="399" t="s">
        <v>1787</v>
      </c>
      <c r="BK676" s="399" t="s">
        <v>1787</v>
      </c>
      <c r="BL676" s="399"/>
      <c r="BM676" s="399" t="s">
        <v>1787</v>
      </c>
      <c r="BN676" s="438" t="str">
        <f t="shared" ref="BN676:BN680" si="115">HYPERLINK("https://github.com/who-int/Data-Dictionary-Mapping/issues/50","50")</f>
        <v>50</v>
      </c>
      <c r="BO676" s="399" t="s">
        <v>1787</v>
      </c>
      <c r="BP676" s="399" t="s">
        <v>1787</v>
      </c>
      <c r="BQ676" s="399" t="s">
        <v>1787</v>
      </c>
      <c r="BR676" s="399" t="s">
        <v>1787</v>
      </c>
      <c r="BS676" s="407"/>
      <c r="BT676" s="407"/>
      <c r="BU676" s="412"/>
      <c r="BV676" s="46" t="str">
        <f t="shared" si="8"/>
        <v/>
      </c>
      <c r="BW676" s="46">
        <f t="shared" si="9"/>
        <v>0</v>
      </c>
      <c r="BX676" s="46">
        <f t="shared" si="10"/>
        <v>0</v>
      </c>
      <c r="BY676" s="43" t="str">
        <f t="shared" si="11"/>
        <v>WHO-STI Observation (STI Screening)</v>
      </c>
      <c r="BZ676" s="46">
        <f t="shared" si="12"/>
        <v>1</v>
      </c>
      <c r="CA676" s="46" t="str">
        <f t="shared" si="13"/>
        <v/>
      </c>
      <c r="CB676" s="46">
        <f t="shared" si="14"/>
        <v>1</v>
      </c>
      <c r="CC676" s="46">
        <f t="shared" si="15"/>
        <v>1</v>
      </c>
      <c r="CD676" s="46">
        <f t="shared" si="16"/>
        <v>1</v>
      </c>
      <c r="CE676" s="46">
        <f t="shared" si="17"/>
        <v>0</v>
      </c>
      <c r="CF676" s="46">
        <f t="shared" si="18"/>
        <v>0</v>
      </c>
      <c r="CG676" s="46" t="str">
        <f ca="1">IFERROR(__xludf.DUMMYFUNCTION("if(OR(BH676="""",LEFT(BH676,2)=""LA""),"""",IMPORTXML(CONCATENATE(""https://loinc.org/"",BH676,""/""),""//span[@id='lcn']""))"),"HEDIS 2014-2019 Value Set - Herpes Simplex Antibody")</f>
        <v>HEDIS 2014-2019 Value Set - Herpes Simplex Antibody</v>
      </c>
      <c r="CH676" s="46"/>
      <c r="CI676" s="46"/>
      <c r="CJ676" s="46"/>
      <c r="CK676" s="46"/>
      <c r="CL676" s="46"/>
      <c r="CM676" s="46"/>
      <c r="CN676" s="46"/>
      <c r="CO676" s="46"/>
      <c r="CP676" s="46"/>
      <c r="CQ676" s="46"/>
      <c r="CR676" s="46"/>
      <c r="CS676" s="46"/>
      <c r="CT676" s="46"/>
      <c r="CU676" s="46"/>
    </row>
    <row r="677" spans="1:99" ht="12.75" customHeight="1">
      <c r="A677" s="409">
        <v>2157</v>
      </c>
      <c r="B677" s="399" t="s">
        <v>7996</v>
      </c>
      <c r="C677" s="399">
        <f t="shared" si="103"/>
        <v>2157</v>
      </c>
      <c r="D677" s="399" t="e">
        <f t="shared" ca="1" si="104"/>
        <v>#NAME?</v>
      </c>
      <c r="E677" s="399" t="str">
        <f t="shared" si="105"/>
        <v>Human papillomavirus screen</v>
      </c>
      <c r="F677" s="399" t="str">
        <f t="shared" si="114"/>
        <v>Input Option</v>
      </c>
      <c r="G677" s="400">
        <f t="shared" si="106"/>
        <v>34</v>
      </c>
      <c r="H677" s="399" t="str">
        <f t="shared" si="113"/>
        <v>Screening type</v>
      </c>
      <c r="I677" s="400"/>
      <c r="J677" s="400"/>
      <c r="K677" s="401" t="s">
        <v>5283</v>
      </c>
      <c r="L677" s="402" t="s">
        <v>7249</v>
      </c>
      <c r="M677" s="400"/>
      <c r="N677" s="675" t="s">
        <v>7980</v>
      </c>
      <c r="O677" s="431" t="s">
        <v>8002</v>
      </c>
      <c r="P677" s="431"/>
      <c r="Q677" s="404"/>
      <c r="R677" s="437"/>
      <c r="S677" s="404"/>
      <c r="T677" s="431"/>
      <c r="U677" s="431"/>
      <c r="V677" s="420" t="s">
        <v>8004</v>
      </c>
      <c r="W677" s="404"/>
      <c r="X677" s="407" t="s">
        <v>208</v>
      </c>
      <c r="Y677" s="404"/>
      <c r="Z677" s="437" t="s">
        <v>113</v>
      </c>
      <c r="AA677" s="404"/>
      <c r="AB677" s="406"/>
      <c r="AC677" s="404"/>
      <c r="AD677" s="404" t="s">
        <v>3215</v>
      </c>
      <c r="AE677" s="406"/>
      <c r="AF677" s="404"/>
      <c r="AG677" s="404"/>
      <c r="AH677" s="399"/>
      <c r="AI677" s="400"/>
      <c r="AJ677" s="399" t="s">
        <v>1787</v>
      </c>
      <c r="AK677" s="399"/>
      <c r="AL677" s="399" t="s">
        <v>1787</v>
      </c>
      <c r="AM677" s="399"/>
      <c r="AN677" s="399" t="s">
        <v>1787</v>
      </c>
      <c r="AO677" s="399" t="s">
        <v>1787</v>
      </c>
      <c r="AP677" s="399"/>
      <c r="AQ677" s="721" t="s">
        <v>3130</v>
      </c>
      <c r="AR677" s="399"/>
      <c r="AS677" s="399"/>
      <c r="AT677" s="399"/>
      <c r="AU677" s="399"/>
      <c r="AV677" s="399" t="str">
        <f t="shared" si="107"/>
        <v/>
      </c>
      <c r="AW677" s="399"/>
      <c r="AX677" s="409" t="s">
        <v>5194</v>
      </c>
      <c r="AY677" s="399" t="e">
        <f t="shared" ca="1" si="108"/>
        <v>#NAME?</v>
      </c>
      <c r="AZ677" s="399"/>
      <c r="BA677" s="409" t="s">
        <v>3125</v>
      </c>
      <c r="BB677" s="399"/>
      <c r="BC677" s="399" t="s">
        <v>1787</v>
      </c>
      <c r="BD677" s="409" t="s">
        <v>8005</v>
      </c>
      <c r="BE677" s="411" t="s">
        <v>8006</v>
      </c>
      <c r="BF677" s="411" t="s">
        <v>1787</v>
      </c>
      <c r="BG677" s="411"/>
      <c r="BH677" s="434" t="s">
        <v>8007</v>
      </c>
      <c r="BI677" s="411"/>
      <c r="BJ677" s="399" t="s">
        <v>1787</v>
      </c>
      <c r="BK677" s="399" t="s">
        <v>1787</v>
      </c>
      <c r="BL677" s="399"/>
      <c r="BM677" s="399" t="s">
        <v>1787</v>
      </c>
      <c r="BN677" s="438" t="str">
        <f t="shared" si="115"/>
        <v>50</v>
      </c>
      <c r="BO677" s="399" t="s">
        <v>1787</v>
      </c>
      <c r="BP677" s="399" t="s">
        <v>1787</v>
      </c>
      <c r="BQ677" s="399" t="s">
        <v>1787</v>
      </c>
      <c r="BR677" s="399" t="s">
        <v>1787</v>
      </c>
      <c r="BS677" s="407"/>
      <c r="BT677" s="407"/>
      <c r="BU677" s="412"/>
      <c r="BV677" s="46" t="str">
        <f t="shared" si="8"/>
        <v/>
      </c>
      <c r="BW677" s="46">
        <f t="shared" si="9"/>
        <v>0</v>
      </c>
      <c r="BX677" s="46">
        <f t="shared" si="10"/>
        <v>0</v>
      </c>
      <c r="BY677" s="43" t="str">
        <f t="shared" si="11"/>
        <v>WHO-STI Observation (STI Screening)</v>
      </c>
      <c r="BZ677" s="46">
        <f t="shared" si="12"/>
        <v>1</v>
      </c>
      <c r="CA677" s="46" t="str">
        <f t="shared" si="13"/>
        <v/>
      </c>
      <c r="CB677" s="46">
        <f t="shared" si="14"/>
        <v>1</v>
      </c>
      <c r="CC677" s="46">
        <f t="shared" si="15"/>
        <v>1</v>
      </c>
      <c r="CD677" s="46">
        <f t="shared" si="16"/>
        <v>1</v>
      </c>
      <c r="CE677" s="46">
        <f t="shared" si="17"/>
        <v>0</v>
      </c>
      <c r="CF677" s="46">
        <f t="shared" si="18"/>
        <v>0</v>
      </c>
      <c r="CG677" s="46" t="str">
        <f ca="1">IFERROR(__xludf.DUMMYFUNCTION("if(OR(BH677="""",LEFT(BH677,2)=""LA""),"""",IMPORTXML(CONCATENATE(""https://loinc.org/"",BH677,""/""),""//span[@id='lcn']""))"),"HPV tests - FPAR 2.0 set")</f>
        <v>HPV tests - FPAR 2.0 set</v>
      </c>
      <c r="CH677" s="46"/>
      <c r="CI677" s="46"/>
      <c r="CJ677" s="46"/>
      <c r="CK677" s="46"/>
      <c r="CL677" s="46"/>
      <c r="CM677" s="46"/>
      <c r="CN677" s="46"/>
      <c r="CO677" s="46"/>
      <c r="CP677" s="46"/>
      <c r="CQ677" s="46"/>
      <c r="CR677" s="46"/>
      <c r="CS677" s="46"/>
      <c r="CT677" s="46"/>
      <c r="CU677" s="46"/>
    </row>
    <row r="678" spans="1:99" ht="12.75" customHeight="1">
      <c r="A678" s="409">
        <v>2158</v>
      </c>
      <c r="B678" s="399" t="s">
        <v>8016</v>
      </c>
      <c r="C678" s="399">
        <f t="shared" si="103"/>
        <v>2158</v>
      </c>
      <c r="D678" s="399" t="e">
        <f t="shared" ca="1" si="104"/>
        <v>#NAME?</v>
      </c>
      <c r="E678" s="399" t="str">
        <f t="shared" si="105"/>
        <v>Trichomoniasis screen</v>
      </c>
      <c r="F678" s="399" t="str">
        <f t="shared" si="114"/>
        <v>Input Option</v>
      </c>
      <c r="G678" s="400">
        <f t="shared" si="106"/>
        <v>28</v>
      </c>
      <c r="H678" s="399" t="str">
        <f t="shared" si="113"/>
        <v>Screening type</v>
      </c>
      <c r="I678" s="400"/>
      <c r="J678" s="400"/>
      <c r="K678" s="401" t="s">
        <v>5283</v>
      </c>
      <c r="L678" s="402" t="s">
        <v>7249</v>
      </c>
      <c r="M678" s="400"/>
      <c r="N678" s="675" t="s">
        <v>7980</v>
      </c>
      <c r="O678" s="431" t="s">
        <v>8020</v>
      </c>
      <c r="P678" s="431"/>
      <c r="Q678" s="404"/>
      <c r="R678" s="437"/>
      <c r="S678" s="404"/>
      <c r="T678" s="431"/>
      <c r="U678" s="431"/>
      <c r="V678" s="420" t="s">
        <v>8021</v>
      </c>
      <c r="W678" s="404"/>
      <c r="X678" s="407" t="s">
        <v>208</v>
      </c>
      <c r="Y678" s="404"/>
      <c r="Z678" s="437" t="s">
        <v>113</v>
      </c>
      <c r="AA678" s="404"/>
      <c r="AB678" s="406"/>
      <c r="AC678" s="404"/>
      <c r="AD678" s="404" t="s">
        <v>3215</v>
      </c>
      <c r="AE678" s="406"/>
      <c r="AF678" s="404"/>
      <c r="AG678" s="404"/>
      <c r="AH678" s="399"/>
      <c r="AI678" s="400"/>
      <c r="AJ678" s="399" t="s">
        <v>1787</v>
      </c>
      <c r="AK678" s="399"/>
      <c r="AL678" s="399" t="s">
        <v>1787</v>
      </c>
      <c r="AM678" s="399"/>
      <c r="AN678" s="399" t="s">
        <v>1787</v>
      </c>
      <c r="AO678" s="399" t="s">
        <v>1787</v>
      </c>
      <c r="AP678" s="399"/>
      <c r="AQ678" s="409" t="s">
        <v>3130</v>
      </c>
      <c r="AR678" s="399"/>
      <c r="AS678" s="399"/>
      <c r="AT678" s="399"/>
      <c r="AU678" s="399"/>
      <c r="AV678" s="399" t="str">
        <f t="shared" si="107"/>
        <v/>
      </c>
      <c r="AW678" s="399"/>
      <c r="AX678" s="409" t="s">
        <v>5194</v>
      </c>
      <c r="AY678" s="399" t="e">
        <f t="shared" ca="1" si="108"/>
        <v>#NAME?</v>
      </c>
      <c r="AZ678" s="399"/>
      <c r="BA678" s="409" t="s">
        <v>3125</v>
      </c>
      <c r="BB678" s="399"/>
      <c r="BC678" s="399" t="s">
        <v>1787</v>
      </c>
      <c r="BD678" s="409" t="s">
        <v>8027</v>
      </c>
      <c r="BE678" s="411"/>
      <c r="BF678" s="411" t="s">
        <v>1787</v>
      </c>
      <c r="BG678" s="411"/>
      <c r="BH678" s="434" t="s">
        <v>8028</v>
      </c>
      <c r="BI678" s="411"/>
      <c r="BJ678" s="399" t="s">
        <v>1787</v>
      </c>
      <c r="BK678" s="399" t="s">
        <v>1787</v>
      </c>
      <c r="BL678" s="399"/>
      <c r="BM678" s="410" t="s">
        <v>8031</v>
      </c>
      <c r="BN678" s="438" t="str">
        <f t="shared" si="115"/>
        <v>50</v>
      </c>
      <c r="BO678" s="399" t="s">
        <v>1787</v>
      </c>
      <c r="BP678" s="399" t="s">
        <v>1787</v>
      </c>
      <c r="BQ678" s="399" t="s">
        <v>1787</v>
      </c>
      <c r="BR678" s="399" t="s">
        <v>1787</v>
      </c>
      <c r="BS678" s="407"/>
      <c r="BT678" s="407"/>
      <c r="BU678" s="412"/>
      <c r="BV678" s="46" t="str">
        <f t="shared" si="8"/>
        <v/>
      </c>
      <c r="BW678" s="46">
        <f t="shared" si="9"/>
        <v>0</v>
      </c>
      <c r="BX678" s="46">
        <f t="shared" si="10"/>
        <v>0</v>
      </c>
      <c r="BY678" s="43" t="str">
        <f t="shared" si="11"/>
        <v>WHO-STI Observation (STI Screening)</v>
      </c>
      <c r="BZ678" s="46">
        <f t="shared" si="12"/>
        <v>1</v>
      </c>
      <c r="CA678" s="46" t="str">
        <f t="shared" si="13"/>
        <v/>
      </c>
      <c r="CB678" s="46">
        <f t="shared" si="14"/>
        <v>1</v>
      </c>
      <c r="CC678" s="46">
        <f t="shared" si="15"/>
        <v>1</v>
      </c>
      <c r="CD678" s="46">
        <f t="shared" si="16"/>
        <v>1</v>
      </c>
      <c r="CE678" s="46">
        <f t="shared" si="17"/>
        <v>0</v>
      </c>
      <c r="CF678" s="46">
        <f t="shared" si="18"/>
        <v>0</v>
      </c>
      <c r="CG678" s="46" t="str">
        <f ca="1">IFERROR(__xludf.DUMMYFUNCTION("if(OR(BH678="""",LEFT(BH678,2)=""LA""),"""",IMPORTXML(CONCATENATE(""https://loinc.org/"",BH678,""/""),""//span[@id='lcn']""))"),"#N/A")</f>
        <v>#N/A</v>
      </c>
      <c r="CH678" s="46"/>
      <c r="CI678" s="46"/>
      <c r="CJ678" s="46"/>
      <c r="CK678" s="46"/>
      <c r="CL678" s="46"/>
      <c r="CM678" s="46"/>
      <c r="CN678" s="46"/>
      <c r="CO678" s="46"/>
      <c r="CP678" s="46"/>
      <c r="CQ678" s="46"/>
      <c r="CR678" s="46"/>
      <c r="CS678" s="46"/>
      <c r="CT678" s="46"/>
      <c r="CU678" s="46"/>
    </row>
    <row r="679" spans="1:99" ht="12.75" customHeight="1">
      <c r="A679" s="409">
        <v>2159</v>
      </c>
      <c r="B679" s="399" t="s">
        <v>8041</v>
      </c>
      <c r="C679" s="399">
        <f t="shared" si="103"/>
        <v>2159</v>
      </c>
      <c r="D679" s="399" t="e">
        <f t="shared" ca="1" si="104"/>
        <v>#NAME?</v>
      </c>
      <c r="E679" s="399" t="str">
        <f t="shared" si="105"/>
        <v>Chlamydia screen</v>
      </c>
      <c r="F679" s="399" t="str">
        <f t="shared" si="114"/>
        <v>Input Option</v>
      </c>
      <c r="G679" s="400">
        <f t="shared" si="106"/>
        <v>23</v>
      </c>
      <c r="H679" s="399" t="str">
        <f t="shared" si="113"/>
        <v>Screening type</v>
      </c>
      <c r="I679" s="400"/>
      <c r="J679" s="400"/>
      <c r="K679" s="401" t="s">
        <v>5283</v>
      </c>
      <c r="L679" s="402" t="s">
        <v>7249</v>
      </c>
      <c r="M679" s="400"/>
      <c r="N679" s="675" t="s">
        <v>7980</v>
      </c>
      <c r="O679" s="431" t="s">
        <v>8045</v>
      </c>
      <c r="P679" s="431"/>
      <c r="Q679" s="404"/>
      <c r="R679" s="437"/>
      <c r="S679" s="404"/>
      <c r="T679" s="431"/>
      <c r="U679" s="431"/>
      <c r="V679" s="420" t="s">
        <v>8046</v>
      </c>
      <c r="W679" s="404"/>
      <c r="X679" s="407" t="s">
        <v>208</v>
      </c>
      <c r="Y679" s="404"/>
      <c r="Z679" s="437" t="s">
        <v>113</v>
      </c>
      <c r="AA679" s="404"/>
      <c r="AB679" s="406"/>
      <c r="AC679" s="404"/>
      <c r="AD679" s="404" t="s">
        <v>3215</v>
      </c>
      <c r="AE679" s="406"/>
      <c r="AF679" s="404"/>
      <c r="AG679" s="404"/>
      <c r="AH679" s="399"/>
      <c r="AI679" s="400"/>
      <c r="AJ679" s="399" t="s">
        <v>1787</v>
      </c>
      <c r="AK679" s="399"/>
      <c r="AL679" s="399" t="s">
        <v>1787</v>
      </c>
      <c r="AM679" s="399"/>
      <c r="AN679" s="399" t="s">
        <v>1787</v>
      </c>
      <c r="AO679" s="399" t="s">
        <v>1787</v>
      </c>
      <c r="AP679" s="399"/>
      <c r="AQ679" s="721" t="s">
        <v>3130</v>
      </c>
      <c r="AR679" s="399"/>
      <c r="AS679" s="399"/>
      <c r="AT679" s="399"/>
      <c r="AU679" s="399"/>
      <c r="AV679" s="399" t="str">
        <f t="shared" si="107"/>
        <v/>
      </c>
      <c r="AW679" s="399"/>
      <c r="AX679" s="409" t="s">
        <v>5194</v>
      </c>
      <c r="AY679" s="399" t="e">
        <f t="shared" ca="1" si="108"/>
        <v>#NAME?</v>
      </c>
      <c r="AZ679" s="399"/>
      <c r="BA679" s="409" t="s">
        <v>3125</v>
      </c>
      <c r="BB679" s="399"/>
      <c r="BC679" s="399" t="s">
        <v>1787</v>
      </c>
      <c r="BD679" s="409" t="s">
        <v>8052</v>
      </c>
      <c r="BE679" s="411" t="s">
        <v>8053</v>
      </c>
      <c r="BF679" s="411" t="s">
        <v>1787</v>
      </c>
      <c r="BG679" s="411"/>
      <c r="BH679" s="434" t="s">
        <v>8054</v>
      </c>
      <c r="BI679" s="411"/>
      <c r="BJ679" s="399" t="s">
        <v>1787</v>
      </c>
      <c r="BK679" s="399" t="s">
        <v>1787</v>
      </c>
      <c r="BL679" s="399"/>
      <c r="BM679" s="410" t="s">
        <v>8055</v>
      </c>
      <c r="BN679" s="438" t="str">
        <f t="shared" si="115"/>
        <v>50</v>
      </c>
      <c r="BO679" s="399" t="s">
        <v>1787</v>
      </c>
      <c r="BP679" s="399" t="s">
        <v>1787</v>
      </c>
      <c r="BQ679" s="399" t="s">
        <v>1787</v>
      </c>
      <c r="BR679" s="399" t="s">
        <v>1787</v>
      </c>
      <c r="BS679" s="407"/>
      <c r="BT679" s="407"/>
      <c r="BU679" s="412"/>
      <c r="BV679" s="46" t="str">
        <f t="shared" si="8"/>
        <v/>
      </c>
      <c r="BW679" s="46">
        <f t="shared" si="9"/>
        <v>0</v>
      </c>
      <c r="BX679" s="46">
        <f t="shared" si="10"/>
        <v>0</v>
      </c>
      <c r="BY679" s="43" t="str">
        <f t="shared" si="11"/>
        <v>WHO-STI Observation (STI Screening)</v>
      </c>
      <c r="BZ679" s="46">
        <f t="shared" si="12"/>
        <v>1</v>
      </c>
      <c r="CA679" s="46" t="str">
        <f t="shared" si="13"/>
        <v/>
      </c>
      <c r="CB679" s="46">
        <f t="shared" si="14"/>
        <v>1</v>
      </c>
      <c r="CC679" s="46">
        <f t="shared" si="15"/>
        <v>1</v>
      </c>
      <c r="CD679" s="46">
        <f t="shared" si="16"/>
        <v>1</v>
      </c>
      <c r="CE679" s="46">
        <f t="shared" si="17"/>
        <v>0</v>
      </c>
      <c r="CF679" s="46">
        <f t="shared" si="18"/>
        <v>0</v>
      </c>
      <c r="CG679" s="46" t="str">
        <f ca="1">IFERROR(__xludf.DUMMYFUNCTION("if(OR(BH679="""",LEFT(BH679,2)=""LA""),"""",IMPORTXML(CONCATENATE(""https://loinc.org/"",BH679,""/""),""//span[@id='lcn']""))"),"Chlamydia sp tests - FPAR 2.0 set")</f>
        <v>Chlamydia sp tests - FPAR 2.0 set</v>
      </c>
      <c r="CH679" s="46"/>
      <c r="CI679" s="46"/>
      <c r="CJ679" s="46"/>
      <c r="CK679" s="46"/>
      <c r="CL679" s="46"/>
      <c r="CM679" s="46"/>
      <c r="CN679" s="46"/>
      <c r="CO679" s="46"/>
      <c r="CP679" s="46"/>
      <c r="CQ679" s="46"/>
      <c r="CR679" s="46"/>
      <c r="CS679" s="46"/>
      <c r="CT679" s="46"/>
      <c r="CU679" s="46"/>
    </row>
    <row r="680" spans="1:99" ht="12.75" customHeight="1">
      <c r="A680" s="409">
        <v>2160</v>
      </c>
      <c r="B680" s="399" t="s">
        <v>8070</v>
      </c>
      <c r="C680" s="399">
        <f t="shared" si="103"/>
        <v>2160</v>
      </c>
      <c r="D680" s="399" t="e">
        <f t="shared" ca="1" si="104"/>
        <v>#NAME?</v>
      </c>
      <c r="E680" s="399" t="str">
        <f t="shared" si="105"/>
        <v>Gonorrhoea screen</v>
      </c>
      <c r="F680" s="399" t="str">
        <f t="shared" si="114"/>
        <v>Input Option</v>
      </c>
      <c r="G680" s="400">
        <f t="shared" si="106"/>
        <v>24</v>
      </c>
      <c r="H680" s="399" t="str">
        <f t="shared" si="113"/>
        <v>Screening type</v>
      </c>
      <c r="I680" s="400"/>
      <c r="J680" s="400"/>
      <c r="K680" s="401" t="s">
        <v>5283</v>
      </c>
      <c r="L680" s="402" t="s">
        <v>7249</v>
      </c>
      <c r="M680" s="400"/>
      <c r="N680" s="675" t="s">
        <v>7980</v>
      </c>
      <c r="O680" s="431" t="s">
        <v>8075</v>
      </c>
      <c r="P680" s="431"/>
      <c r="Q680" s="404"/>
      <c r="R680" s="437"/>
      <c r="S680" s="404"/>
      <c r="T680" s="431"/>
      <c r="U680" s="431"/>
      <c r="V680" s="420" t="s">
        <v>8077</v>
      </c>
      <c r="W680" s="404"/>
      <c r="X680" s="407" t="s">
        <v>208</v>
      </c>
      <c r="Y680" s="404"/>
      <c r="Z680" s="437" t="s">
        <v>113</v>
      </c>
      <c r="AA680" s="404"/>
      <c r="AB680" s="406"/>
      <c r="AC680" s="404"/>
      <c r="AD680" s="404" t="s">
        <v>3215</v>
      </c>
      <c r="AE680" s="406"/>
      <c r="AF680" s="404"/>
      <c r="AG680" s="404"/>
      <c r="AH680" s="399"/>
      <c r="AI680" s="400"/>
      <c r="AJ680" s="399" t="s">
        <v>1787</v>
      </c>
      <c r="AK680" s="399"/>
      <c r="AL680" s="399" t="s">
        <v>1787</v>
      </c>
      <c r="AM680" s="399"/>
      <c r="AN680" s="399" t="s">
        <v>1787</v>
      </c>
      <c r="AO680" s="399" t="s">
        <v>1787</v>
      </c>
      <c r="AP680" s="399"/>
      <c r="AQ680" s="409" t="s">
        <v>3130</v>
      </c>
      <c r="AR680" s="399"/>
      <c r="AS680" s="399"/>
      <c r="AT680" s="399"/>
      <c r="AU680" s="399"/>
      <c r="AV680" s="399" t="str">
        <f t="shared" si="107"/>
        <v/>
      </c>
      <c r="AW680" s="399"/>
      <c r="AX680" s="409" t="s">
        <v>5194</v>
      </c>
      <c r="AY680" s="399" t="e">
        <f t="shared" ca="1" si="108"/>
        <v>#NAME?</v>
      </c>
      <c r="AZ680" s="399"/>
      <c r="BA680" s="409" t="s">
        <v>3125</v>
      </c>
      <c r="BB680" s="399"/>
      <c r="BC680" s="399" t="s">
        <v>1787</v>
      </c>
      <c r="BD680" s="409" t="s">
        <v>3162</v>
      </c>
      <c r="BE680" s="411" t="s">
        <v>8084</v>
      </c>
      <c r="BF680" s="411" t="s">
        <v>1787</v>
      </c>
      <c r="BG680" s="411"/>
      <c r="BH680" s="434" t="s">
        <v>8085</v>
      </c>
      <c r="BI680" s="411"/>
      <c r="BJ680" s="399" t="s">
        <v>1787</v>
      </c>
      <c r="BK680" s="399" t="s">
        <v>1787</v>
      </c>
      <c r="BL680" s="399"/>
      <c r="BM680" s="410" t="s">
        <v>8086</v>
      </c>
      <c r="BN680" s="438" t="str">
        <f t="shared" si="115"/>
        <v>50</v>
      </c>
      <c r="BO680" s="399" t="s">
        <v>1787</v>
      </c>
      <c r="BP680" s="399" t="s">
        <v>1787</v>
      </c>
      <c r="BQ680" s="399" t="s">
        <v>1787</v>
      </c>
      <c r="BR680" s="399" t="s">
        <v>1787</v>
      </c>
      <c r="BS680" s="407"/>
      <c r="BT680" s="407"/>
      <c r="BU680" s="412"/>
      <c r="BV680" s="46" t="str">
        <f t="shared" si="8"/>
        <v/>
      </c>
      <c r="BW680" s="46">
        <f t="shared" si="9"/>
        <v>0</v>
      </c>
      <c r="BX680" s="46">
        <f t="shared" si="10"/>
        <v>0</v>
      </c>
      <c r="BY680" s="43" t="str">
        <f t="shared" si="11"/>
        <v>WHO-STI Observation (STI Screening)</v>
      </c>
      <c r="BZ680" s="46">
        <f t="shared" si="12"/>
        <v>1</v>
      </c>
      <c r="CA680" s="46" t="str">
        <f t="shared" si="13"/>
        <v/>
      </c>
      <c r="CB680" s="46">
        <f t="shared" si="14"/>
        <v>1</v>
      </c>
      <c r="CC680" s="46">
        <f t="shared" si="15"/>
        <v>1</v>
      </c>
      <c r="CD680" s="46">
        <f t="shared" si="16"/>
        <v>1</v>
      </c>
      <c r="CE680" s="46">
        <f t="shared" si="17"/>
        <v>0</v>
      </c>
      <c r="CF680" s="46">
        <f t="shared" si="18"/>
        <v>0</v>
      </c>
      <c r="CG680" s="46" t="str">
        <f ca="1">IFERROR(__xludf.DUMMYFUNCTION("if(OR(BH680="""",LEFT(BH680,2)=""LA""),"""",IMPORTXML(CONCATENATE(""https://loinc.org/"",BH680,""/""),""//span[@id='lcn']""))"),"Neisseria gonorrhoeae tests - FPAR 2.0 set")</f>
        <v>Neisseria gonorrhoeae tests - FPAR 2.0 set</v>
      </c>
      <c r="CH680" s="46"/>
      <c r="CI680" s="46"/>
      <c r="CJ680" s="46"/>
      <c r="CK680" s="46"/>
      <c r="CL680" s="46"/>
      <c r="CM680" s="46"/>
      <c r="CN680" s="46"/>
      <c r="CO680" s="46"/>
      <c r="CP680" s="46"/>
      <c r="CQ680" s="46"/>
      <c r="CR680" s="46"/>
      <c r="CS680" s="46"/>
      <c r="CT680" s="46"/>
      <c r="CU680" s="46"/>
    </row>
    <row r="681" spans="1:99" ht="12.75" customHeight="1">
      <c r="A681" s="409">
        <v>2161</v>
      </c>
      <c r="B681" s="399" t="s">
        <v>8103</v>
      </c>
      <c r="C681" s="399">
        <f t="shared" si="103"/>
        <v>2161</v>
      </c>
      <c r="D681" s="399" t="e">
        <f t="shared" ca="1" si="104"/>
        <v>#NAME?</v>
      </c>
      <c r="E681" s="399" t="str">
        <f t="shared" si="105"/>
        <v xml:space="preserve">HIV test </v>
      </c>
      <c r="F681" s="399" t="str">
        <f t="shared" si="114"/>
        <v>Input Option</v>
      </c>
      <c r="G681" s="400">
        <f t="shared" si="106"/>
        <v>16</v>
      </c>
      <c r="H681" s="399" t="str">
        <f t="shared" si="113"/>
        <v>Screening type</v>
      </c>
      <c r="I681" s="400"/>
      <c r="J681" s="400"/>
      <c r="K681" s="401" t="s">
        <v>5283</v>
      </c>
      <c r="L681" s="402" t="s">
        <v>7249</v>
      </c>
      <c r="M681" s="400"/>
      <c r="N681" s="675" t="s">
        <v>7980</v>
      </c>
      <c r="O681" s="431" t="s">
        <v>8105</v>
      </c>
      <c r="P681" s="431"/>
      <c r="Q681" s="431"/>
      <c r="R681" s="437"/>
      <c r="S681" s="437"/>
      <c r="T681" s="431"/>
      <c r="U681" s="431"/>
      <c r="V681" s="404" t="s">
        <v>8108</v>
      </c>
      <c r="W681" s="404"/>
      <c r="X681" s="407" t="s">
        <v>208</v>
      </c>
      <c r="Y681" s="404"/>
      <c r="Z681" s="437" t="s">
        <v>113</v>
      </c>
      <c r="AA681" s="404"/>
      <c r="AB681" s="406"/>
      <c r="AC681" s="404"/>
      <c r="AD681" s="404"/>
      <c r="AE681" s="406"/>
      <c r="AF681" s="404"/>
      <c r="AG681" s="404"/>
      <c r="AH681" s="399"/>
      <c r="AI681" s="400"/>
      <c r="AJ681" s="399" t="s">
        <v>1787</v>
      </c>
      <c r="AK681" s="399"/>
      <c r="AL681" s="399" t="s">
        <v>1787</v>
      </c>
      <c r="AM681" s="399"/>
      <c r="AN681" s="399" t="s">
        <v>1787</v>
      </c>
      <c r="AO681" s="399" t="s">
        <v>1787</v>
      </c>
      <c r="AP681" s="399"/>
      <c r="AQ681" s="721" t="s">
        <v>3130</v>
      </c>
      <c r="AR681" s="399"/>
      <c r="AS681" s="399"/>
      <c r="AT681" s="399"/>
      <c r="AU681" s="399"/>
      <c r="AV681" s="399" t="str">
        <f t="shared" si="107"/>
        <v/>
      </c>
      <c r="AW681" s="399"/>
      <c r="AX681" s="409" t="s">
        <v>5194</v>
      </c>
      <c r="AY681" s="399" t="e">
        <f t="shared" ca="1" si="108"/>
        <v>#NAME?</v>
      </c>
      <c r="AZ681" s="399"/>
      <c r="BA681" s="409" t="s">
        <v>3125</v>
      </c>
      <c r="BB681" s="399"/>
      <c r="BC681" s="399" t="s">
        <v>1787</v>
      </c>
      <c r="BD681" s="409" t="s">
        <v>8113</v>
      </c>
      <c r="BE681" s="411" t="s">
        <v>5936</v>
      </c>
      <c r="BF681" s="411" t="s">
        <v>1787</v>
      </c>
      <c r="BG681" s="411"/>
      <c r="BH681" s="411"/>
      <c r="BI681" s="411"/>
      <c r="BJ681" s="399" t="s">
        <v>1787</v>
      </c>
      <c r="BK681" s="399" t="s">
        <v>1787</v>
      </c>
      <c r="BL681" s="399"/>
      <c r="BM681" s="399" t="s">
        <v>1787</v>
      </c>
      <c r="BN681" s="438" t="str">
        <f>HYPERLINK("https://github.com/who-int/Data-Dictionary-Mapping/issues/49","49")</f>
        <v>49</v>
      </c>
      <c r="BO681" s="399" t="s">
        <v>1787</v>
      </c>
      <c r="BP681" s="399" t="s">
        <v>1787</v>
      </c>
      <c r="BQ681" s="399" t="s">
        <v>1787</v>
      </c>
      <c r="BR681" s="399" t="s">
        <v>1787</v>
      </c>
      <c r="BS681" s="407"/>
      <c r="BT681" s="407"/>
      <c r="BU681" s="412"/>
      <c r="BV681" s="46" t="str">
        <f t="shared" si="8"/>
        <v/>
      </c>
      <c r="BW681" s="46">
        <f t="shared" si="9"/>
        <v>0</v>
      </c>
      <c r="BX681" s="46">
        <f t="shared" si="10"/>
        <v>0</v>
      </c>
      <c r="BY681" s="43" t="str">
        <f t="shared" si="11"/>
        <v>WHO-STI Observation (STI Screening)</v>
      </c>
      <c r="BZ681" s="46">
        <f t="shared" si="12"/>
        <v>1</v>
      </c>
      <c r="CA681" s="46" t="str">
        <f t="shared" si="13"/>
        <v/>
      </c>
      <c r="CB681" s="46">
        <f t="shared" si="14"/>
        <v>1</v>
      </c>
      <c r="CC681" s="46">
        <f t="shared" si="15"/>
        <v>1</v>
      </c>
      <c r="CD681" s="46">
        <f t="shared" si="16"/>
        <v>1</v>
      </c>
      <c r="CE681" s="46">
        <f t="shared" si="17"/>
        <v>0</v>
      </c>
      <c r="CF681" s="46">
        <f t="shared" si="18"/>
        <v>0</v>
      </c>
      <c r="CG681" s="46" t="str">
        <f ca="1">IFERROR(__xludf.DUMMYFUNCTION("if(OR(BH681="""",LEFT(BH681,2)=""LA""),"""",IMPORTXML(CONCATENATE(""https://loinc.org/"",BH681,""/""),""//span[@id='lcn']""))"),"")</f>
        <v/>
      </c>
      <c r="CH681" s="46"/>
      <c r="CI681" s="46"/>
      <c r="CJ681" s="46"/>
      <c r="CK681" s="46"/>
      <c r="CL681" s="46"/>
      <c r="CM681" s="46"/>
      <c r="CN681" s="46"/>
      <c r="CO681" s="46"/>
      <c r="CP681" s="46"/>
      <c r="CQ681" s="46"/>
      <c r="CR681" s="46"/>
      <c r="CS681" s="46"/>
      <c r="CT681" s="46"/>
      <c r="CU681" s="46"/>
    </row>
    <row r="682" spans="1:99" ht="12.75" customHeight="1">
      <c r="A682" s="409">
        <v>2162</v>
      </c>
      <c r="B682" s="399" t="s">
        <v>8128</v>
      </c>
      <c r="C682" s="399">
        <f t="shared" si="103"/>
        <v>2162</v>
      </c>
      <c r="D682" s="399" t="e">
        <f t="shared" ca="1" si="104"/>
        <v>#NAME?</v>
      </c>
      <c r="E682" s="399" t="str">
        <f t="shared" si="105"/>
        <v>Syphilis screen</v>
      </c>
      <c r="F682" s="399" t="str">
        <f t="shared" si="114"/>
        <v>Input Option</v>
      </c>
      <c r="G682" s="400">
        <f t="shared" si="106"/>
        <v>22</v>
      </c>
      <c r="H682" s="399" t="str">
        <f t="shared" si="113"/>
        <v>Screening type</v>
      </c>
      <c r="I682" s="400"/>
      <c r="J682" s="400"/>
      <c r="K682" s="401" t="s">
        <v>5283</v>
      </c>
      <c r="L682" s="402" t="s">
        <v>7249</v>
      </c>
      <c r="M682" s="400"/>
      <c r="N682" s="675" t="s">
        <v>7980</v>
      </c>
      <c r="O682" s="431" t="s">
        <v>8132</v>
      </c>
      <c r="P682" s="431"/>
      <c r="Q682" s="404"/>
      <c r="R682" s="437"/>
      <c r="S682" s="431"/>
      <c r="T682" s="437"/>
      <c r="U682" s="437"/>
      <c r="V682" s="429" t="s">
        <v>8133</v>
      </c>
      <c r="W682" s="404"/>
      <c r="X682" s="407" t="s">
        <v>208</v>
      </c>
      <c r="Y682" s="404"/>
      <c r="Z682" s="437" t="s">
        <v>113</v>
      </c>
      <c r="AA682" s="404"/>
      <c r="AB682" s="406"/>
      <c r="AC682" s="404"/>
      <c r="AD682" s="404" t="s">
        <v>3215</v>
      </c>
      <c r="AE682" s="406"/>
      <c r="AF682" s="404"/>
      <c r="AG682" s="404"/>
      <c r="AH682" s="399"/>
      <c r="AI682" s="400"/>
      <c r="AJ682" s="399" t="s">
        <v>1787</v>
      </c>
      <c r="AK682" s="399"/>
      <c r="AL682" s="399" t="s">
        <v>1787</v>
      </c>
      <c r="AM682" s="399"/>
      <c r="AN682" s="399" t="s">
        <v>1787</v>
      </c>
      <c r="AO682" s="399" t="s">
        <v>1787</v>
      </c>
      <c r="AP682" s="399"/>
      <c r="AQ682" s="409" t="s">
        <v>3130</v>
      </c>
      <c r="AR682" s="399"/>
      <c r="AS682" s="399"/>
      <c r="AT682" s="399"/>
      <c r="AU682" s="399"/>
      <c r="AV682" s="399" t="str">
        <f t="shared" si="107"/>
        <v/>
      </c>
      <c r="AW682" s="399"/>
      <c r="AX682" s="409" t="s">
        <v>5194</v>
      </c>
      <c r="AY682" s="399" t="e">
        <f t="shared" ca="1" si="108"/>
        <v>#NAME?</v>
      </c>
      <c r="AZ682" s="399"/>
      <c r="BA682" s="409" t="s">
        <v>3125</v>
      </c>
      <c r="BB682" s="399"/>
      <c r="BC682" s="399" t="s">
        <v>1787</v>
      </c>
      <c r="BD682" s="409" t="s">
        <v>8137</v>
      </c>
      <c r="BE682" s="411" t="s">
        <v>8138</v>
      </c>
      <c r="BF682" s="411" t="s">
        <v>1787</v>
      </c>
      <c r="BG682" s="411"/>
      <c r="BH682" s="434" t="s">
        <v>8139</v>
      </c>
      <c r="BI682" s="411"/>
      <c r="BJ682" s="399" t="s">
        <v>1787</v>
      </c>
      <c r="BK682" s="399" t="s">
        <v>1787</v>
      </c>
      <c r="BL682" s="399"/>
      <c r="BM682" s="409" t="s">
        <v>8142</v>
      </c>
      <c r="BN682" s="438" t="str">
        <f t="shared" ref="BN682:BN684" si="116">HYPERLINK("https://github.com/who-int/Data-Dictionary-Mapping/issues/50","50")</f>
        <v>50</v>
      </c>
      <c r="BO682" s="399" t="s">
        <v>1787</v>
      </c>
      <c r="BP682" s="399" t="s">
        <v>1787</v>
      </c>
      <c r="BQ682" s="399" t="s">
        <v>1787</v>
      </c>
      <c r="BR682" s="399" t="s">
        <v>1787</v>
      </c>
      <c r="BS682" s="407"/>
      <c r="BT682" s="407"/>
      <c r="BU682" s="412"/>
      <c r="BV682" s="46" t="str">
        <f t="shared" si="8"/>
        <v/>
      </c>
      <c r="BW682" s="46">
        <f t="shared" si="9"/>
        <v>0</v>
      </c>
      <c r="BX682" s="46">
        <f t="shared" si="10"/>
        <v>0</v>
      </c>
      <c r="BY682" s="43" t="str">
        <f t="shared" si="11"/>
        <v>WHO-STI Observation (STI Screening)</v>
      </c>
      <c r="BZ682" s="46">
        <f t="shared" si="12"/>
        <v>1</v>
      </c>
      <c r="CA682" s="46" t="str">
        <f t="shared" si="13"/>
        <v/>
      </c>
      <c r="CB682" s="46">
        <f t="shared" si="14"/>
        <v>1</v>
      </c>
      <c r="CC682" s="46">
        <f t="shared" si="15"/>
        <v>1</v>
      </c>
      <c r="CD682" s="46">
        <f t="shared" si="16"/>
        <v>1</v>
      </c>
      <c r="CE682" s="46">
        <f t="shared" si="17"/>
        <v>0</v>
      </c>
      <c r="CF682" s="46">
        <f t="shared" si="18"/>
        <v>0</v>
      </c>
      <c r="CG682" s="46" t="str">
        <f ca="1">IFERROR(__xludf.DUMMYFUNCTION("if(OR(BH682="""",LEFT(BH682,2)=""LA""),"""",IMPORTXML(CONCATENATE(""https://loinc.org/"",BH682,""/""),""//span[@id='lcn']""))"),"Reagin Ab [Presence] in Serum by RPR")</f>
        <v>Reagin Ab [Presence] in Serum by RPR</v>
      </c>
      <c r="CH682" s="46"/>
      <c r="CI682" s="46"/>
      <c r="CJ682" s="46"/>
      <c r="CK682" s="46"/>
      <c r="CL682" s="46"/>
      <c r="CM682" s="46"/>
      <c r="CN682" s="46"/>
      <c r="CO682" s="46"/>
      <c r="CP682" s="46"/>
      <c r="CQ682" s="46"/>
      <c r="CR682" s="46"/>
      <c r="CS682" s="46"/>
      <c r="CT682" s="46"/>
      <c r="CU682" s="46"/>
    </row>
    <row r="683" spans="1:99" ht="12.75" customHeight="1">
      <c r="A683" s="409">
        <v>2163</v>
      </c>
      <c r="B683" s="399" t="s">
        <v>535</v>
      </c>
      <c r="C683" s="399">
        <f t="shared" si="103"/>
        <v>2163</v>
      </c>
      <c r="D683" s="399" t="e">
        <f t="shared" ca="1" si="104"/>
        <v>#NAME?</v>
      </c>
      <c r="E683" s="399" t="str">
        <f t="shared" si="105"/>
        <v>Other (specify)</v>
      </c>
      <c r="F683" s="399" t="str">
        <f t="shared" si="114"/>
        <v>Input Option</v>
      </c>
      <c r="G683" s="400">
        <f t="shared" si="106"/>
        <v>22</v>
      </c>
      <c r="H683" s="399" t="str">
        <f t="shared" si="113"/>
        <v>Screening type</v>
      </c>
      <c r="I683" s="400"/>
      <c r="J683" s="400"/>
      <c r="K683" s="401" t="s">
        <v>5283</v>
      </c>
      <c r="L683" s="402" t="s">
        <v>7249</v>
      </c>
      <c r="M683" s="400"/>
      <c r="N683" s="675" t="s">
        <v>7980</v>
      </c>
      <c r="O683" s="404" t="s">
        <v>6258</v>
      </c>
      <c r="P683" s="404"/>
      <c r="Q683" s="437"/>
      <c r="R683" s="404"/>
      <c r="S683" s="437"/>
      <c r="T683" s="437"/>
      <c r="U683" s="437"/>
      <c r="V683" s="420" t="s">
        <v>405</v>
      </c>
      <c r="W683" s="404"/>
      <c r="X683" s="407" t="s">
        <v>208</v>
      </c>
      <c r="Y683" s="437"/>
      <c r="Z683" s="437" t="s">
        <v>113</v>
      </c>
      <c r="AA683" s="437"/>
      <c r="AB683" s="406"/>
      <c r="AC683" s="404"/>
      <c r="AD683" s="404"/>
      <c r="AE683" s="406"/>
      <c r="AF683" s="404"/>
      <c r="AG683" s="404"/>
      <c r="AH683" s="399"/>
      <c r="AI683" s="400"/>
      <c r="AJ683" s="399" t="s">
        <v>1787</v>
      </c>
      <c r="AK683" s="399"/>
      <c r="AL683" s="399" t="s">
        <v>1787</v>
      </c>
      <c r="AM683" s="399"/>
      <c r="AN683" s="399" t="s">
        <v>1787</v>
      </c>
      <c r="AO683" s="399" t="s">
        <v>1787</v>
      </c>
      <c r="AP683" s="399"/>
      <c r="AQ683" s="409" t="s">
        <v>3130</v>
      </c>
      <c r="AR683" s="399"/>
      <c r="AS683" s="399"/>
      <c r="AT683" s="399"/>
      <c r="AU683" s="399"/>
      <c r="AV683" s="399" t="str">
        <f t="shared" si="107"/>
        <v/>
      </c>
      <c r="AW683" s="399"/>
      <c r="AX683" s="409" t="s">
        <v>5194</v>
      </c>
      <c r="AY683" s="399" t="e">
        <f t="shared" ca="1" si="108"/>
        <v>#NAME?</v>
      </c>
      <c r="AZ683" s="399"/>
      <c r="BA683" s="409">
        <v>1</v>
      </c>
      <c r="BB683" s="415" t="s">
        <v>3131</v>
      </c>
      <c r="BC683" s="403" t="s">
        <v>1387</v>
      </c>
      <c r="BD683" s="399" t="s">
        <v>1787</v>
      </c>
      <c r="BE683" s="411"/>
      <c r="BF683" s="411" t="s">
        <v>1787</v>
      </c>
      <c r="BG683" s="411"/>
      <c r="BH683" s="411"/>
      <c r="BI683" s="411"/>
      <c r="BJ683" s="399" t="s">
        <v>1787</v>
      </c>
      <c r="BK683" s="399" t="s">
        <v>1787</v>
      </c>
      <c r="BL683" s="399"/>
      <c r="BM683" s="399" t="s">
        <v>1787</v>
      </c>
      <c r="BN683" s="438" t="str">
        <f t="shared" si="116"/>
        <v>50</v>
      </c>
      <c r="BO683" s="399" t="s">
        <v>1787</v>
      </c>
      <c r="BP683" s="399" t="s">
        <v>1787</v>
      </c>
      <c r="BQ683" s="399" t="s">
        <v>1787</v>
      </c>
      <c r="BR683" s="399" t="s">
        <v>1787</v>
      </c>
      <c r="BS683" s="407"/>
      <c r="BT683" s="407"/>
      <c r="BU683" s="412"/>
      <c r="BV683" s="46" t="str">
        <f t="shared" si="8"/>
        <v/>
      </c>
      <c r="BW683" s="46">
        <f t="shared" si="9"/>
        <v>0</v>
      </c>
      <c r="BX683" s="46">
        <f t="shared" si="10"/>
        <v>0</v>
      </c>
      <c r="BY683" s="43" t="str">
        <f t="shared" si="11"/>
        <v>WHO-STI Observation (STI Screening)</v>
      </c>
      <c r="BZ683" s="46">
        <f t="shared" si="12"/>
        <v>1</v>
      </c>
      <c r="CA683" s="46" t="str">
        <f t="shared" si="13"/>
        <v/>
      </c>
      <c r="CB683" s="46">
        <f t="shared" si="14"/>
        <v>1</v>
      </c>
      <c r="CC683" s="46">
        <f t="shared" si="15"/>
        <v>1</v>
      </c>
      <c r="CD683" s="46">
        <f t="shared" si="16"/>
        <v>1</v>
      </c>
      <c r="CE683" s="46">
        <f t="shared" si="17"/>
        <v>0</v>
      </c>
      <c r="CF683" s="46">
        <f t="shared" si="18"/>
        <v>0</v>
      </c>
      <c r="CG683" s="46" t="str">
        <f ca="1">IFERROR(__xludf.DUMMYFUNCTION("if(OR(BH683="""",LEFT(BH683,2)=""LA""),"""",IMPORTXML(CONCATENATE(""https://loinc.org/"",BH683,""/""),""//span[@id='lcn']""))"),"")</f>
        <v/>
      </c>
      <c r="CH683" s="46"/>
      <c r="CI683" s="46"/>
      <c r="CJ683" s="46"/>
      <c r="CK683" s="46"/>
      <c r="CL683" s="46"/>
      <c r="CM683" s="46"/>
      <c r="CN683" s="46"/>
      <c r="CO683" s="46"/>
      <c r="CP683" s="46"/>
      <c r="CQ683" s="46"/>
      <c r="CR683" s="46"/>
      <c r="CS683" s="46"/>
      <c r="CT683" s="46"/>
      <c r="CU683" s="46"/>
    </row>
    <row r="684" spans="1:99" ht="12.75" customHeight="1">
      <c r="A684" s="409">
        <v>2164</v>
      </c>
      <c r="B684" s="399" t="s">
        <v>8162</v>
      </c>
      <c r="C684" s="399">
        <f t="shared" si="103"/>
        <v>2164</v>
      </c>
      <c r="D684" s="399" t="str">
        <f t="shared" si="104"/>
        <v>Other (specify)</v>
      </c>
      <c r="E684" s="399" t="str">
        <f t="shared" si="105"/>
        <v>Other (specify)</v>
      </c>
      <c r="F684" s="399" t="str">
        <f t="shared" si="114"/>
        <v>Data Element</v>
      </c>
      <c r="G684" s="400">
        <f t="shared" si="106"/>
        <v>38</v>
      </c>
      <c r="H684" s="400" t="str">
        <f t="shared" si="113"/>
        <v/>
      </c>
      <c r="I684" s="400"/>
      <c r="J684" s="400"/>
      <c r="K684" s="401" t="s">
        <v>5283</v>
      </c>
      <c r="L684" s="402" t="s">
        <v>7249</v>
      </c>
      <c r="M684" s="400"/>
      <c r="N684" s="675" t="s">
        <v>7980</v>
      </c>
      <c r="O684" s="437" t="s">
        <v>6260</v>
      </c>
      <c r="P684" s="437"/>
      <c r="Q684" s="407" t="s">
        <v>405</v>
      </c>
      <c r="R684" s="407"/>
      <c r="S684" s="407" t="s">
        <v>8165</v>
      </c>
      <c r="T684" s="407" t="s">
        <v>111</v>
      </c>
      <c r="U684" s="407"/>
      <c r="V684" s="407"/>
      <c r="W684" s="404"/>
      <c r="X684" s="407" t="s">
        <v>208</v>
      </c>
      <c r="Y684" s="407"/>
      <c r="Z684" s="437" t="s">
        <v>113</v>
      </c>
      <c r="AA684" s="407" t="s">
        <v>3178</v>
      </c>
      <c r="AB684" s="432" t="s">
        <v>7485</v>
      </c>
      <c r="AC684" s="421"/>
      <c r="AD684" s="407"/>
      <c r="AE684" s="408"/>
      <c r="AF684" s="407"/>
      <c r="AG684" s="407"/>
      <c r="AH684" s="399"/>
      <c r="AI684" s="400"/>
      <c r="AJ684" s="399" t="s">
        <v>1787</v>
      </c>
      <c r="AK684" s="440" t="s">
        <v>6802</v>
      </c>
      <c r="AL684" s="409"/>
      <c r="AM684" s="409" t="s">
        <v>3100</v>
      </c>
      <c r="AN684" s="409" t="s">
        <v>3101</v>
      </c>
      <c r="AO684" s="399" t="s">
        <v>1787</v>
      </c>
      <c r="AP684" s="409" t="s">
        <v>6800</v>
      </c>
      <c r="AQ684" s="409" t="s">
        <v>3424</v>
      </c>
      <c r="AR684" s="399"/>
      <c r="AS684" s="399"/>
      <c r="AT684" s="399"/>
      <c r="AU684" s="399"/>
      <c r="AV684" s="399" t="str">
        <f t="shared" si="107"/>
        <v/>
      </c>
      <c r="AW684" s="399"/>
      <c r="AX684" s="409" t="s">
        <v>5194</v>
      </c>
      <c r="AY684" s="399" t="str">
        <f t="shared" si="108"/>
        <v>"Other (specify)"-&gt;"Other (specify) - Screenings performed"</v>
      </c>
      <c r="AZ684" s="399"/>
      <c r="BA684" s="409">
        <v>1</v>
      </c>
      <c r="BB684" s="399"/>
      <c r="BC684" s="399" t="s">
        <v>1787</v>
      </c>
      <c r="BD684" s="409"/>
      <c r="BE684" s="411"/>
      <c r="BF684" s="411" t="s">
        <v>1787</v>
      </c>
      <c r="BG684" s="411"/>
      <c r="BH684" s="411"/>
      <c r="BI684" s="411"/>
      <c r="BJ684" s="409" t="s">
        <v>3106</v>
      </c>
      <c r="BK684" s="399" t="s">
        <v>1787</v>
      </c>
      <c r="BL684" s="399"/>
      <c r="BM684" s="399" t="s">
        <v>1787</v>
      </c>
      <c r="BN684" s="438" t="str">
        <f t="shared" si="116"/>
        <v>50</v>
      </c>
      <c r="BO684" s="399" t="s">
        <v>1787</v>
      </c>
      <c r="BP684" s="399" t="s">
        <v>1787</v>
      </c>
      <c r="BQ684" s="399" t="s">
        <v>1787</v>
      </c>
      <c r="BR684" s="399" t="s">
        <v>1787</v>
      </c>
      <c r="BS684" s="407"/>
      <c r="BT684" s="407"/>
      <c r="BU684" s="412"/>
      <c r="BV684" s="46" t="str">
        <f t="shared" si="8"/>
        <v>Observation</v>
      </c>
      <c r="BW684" s="46" t="str">
        <f t="shared" si="9"/>
        <v/>
      </c>
      <c r="BX684" s="46" t="str">
        <f t="shared" si="10"/>
        <v>Observation</v>
      </c>
      <c r="BY684" s="43" t="str">
        <f t="shared" si="11"/>
        <v>WHO-STI Observation (STI Screening)</v>
      </c>
      <c r="BZ684" s="46">
        <f t="shared" si="12"/>
        <v>1</v>
      </c>
      <c r="CA684" s="46">
        <f t="shared" si="13"/>
        <v>0</v>
      </c>
      <c r="CB684" s="46">
        <f t="shared" si="14"/>
        <v>1</v>
      </c>
      <c r="CC684" s="46">
        <f t="shared" si="15"/>
        <v>1</v>
      </c>
      <c r="CD684" s="46">
        <f t="shared" si="16"/>
        <v>1</v>
      </c>
      <c r="CE684" s="46">
        <f t="shared" si="17"/>
        <v>0</v>
      </c>
      <c r="CF684" s="46">
        <f t="shared" si="18"/>
        <v>0</v>
      </c>
      <c r="CG684" s="46" t="str">
        <f ca="1">IFERROR(__xludf.DUMMYFUNCTION("if(OR(BH684="""",LEFT(BH684,2)=""LA""),"""",IMPORTXML(CONCATENATE(""https://loinc.org/"",BH684,""/""),""//span[@id='lcn']""))"),"")</f>
        <v/>
      </c>
      <c r="CH684" s="46"/>
      <c r="CI684" s="46"/>
      <c r="CJ684" s="46"/>
      <c r="CK684" s="46"/>
      <c r="CL684" s="46"/>
      <c r="CM684" s="46"/>
      <c r="CN684" s="46"/>
      <c r="CO684" s="46"/>
      <c r="CP684" s="46"/>
      <c r="CQ684" s="46"/>
      <c r="CR684" s="46"/>
      <c r="CS684" s="46"/>
      <c r="CT684" s="46"/>
      <c r="CU684" s="46"/>
    </row>
    <row r="685" spans="1:99" ht="12.75" customHeight="1">
      <c r="A685" s="409">
        <v>2380</v>
      </c>
      <c r="B685" s="409" t="s">
        <v>8176</v>
      </c>
      <c r="C685" s="399"/>
      <c r="D685" s="399"/>
      <c r="E685" s="399"/>
      <c r="F685" s="409" t="s">
        <v>96</v>
      </c>
      <c r="G685" s="400"/>
      <c r="H685" s="400"/>
      <c r="I685" s="400"/>
      <c r="J685" s="400"/>
      <c r="K685" s="401"/>
      <c r="L685" s="402"/>
      <c r="M685" s="400"/>
      <c r="N685" s="675"/>
      <c r="O685" s="404"/>
      <c r="P685" s="404"/>
      <c r="Q685" s="406"/>
      <c r="R685" s="404"/>
      <c r="S685" s="404"/>
      <c r="T685" s="404"/>
      <c r="U685" s="404"/>
      <c r="V685" s="404"/>
      <c r="W685" s="404"/>
      <c r="X685" s="404"/>
      <c r="Y685" s="404"/>
      <c r="Z685" s="404"/>
      <c r="AA685" s="404"/>
      <c r="AB685" s="406"/>
      <c r="AC685" s="404"/>
      <c r="AD685" s="404"/>
      <c r="AE685" s="406"/>
      <c r="AF685" s="404"/>
      <c r="AG685" s="404"/>
      <c r="AH685" s="399"/>
      <c r="AI685" s="400"/>
      <c r="AJ685" s="399"/>
      <c r="AK685" s="409" t="s">
        <v>4471</v>
      </c>
      <c r="AL685" s="409" t="s">
        <v>3513</v>
      </c>
      <c r="AM685" s="409" t="s">
        <v>3100</v>
      </c>
      <c r="AN685" s="409" t="s">
        <v>3101</v>
      </c>
      <c r="AO685" s="399" t="s">
        <v>1787</v>
      </c>
      <c r="AP685" s="409" t="s">
        <v>6800</v>
      </c>
      <c r="AQ685" s="409" t="s">
        <v>3424</v>
      </c>
      <c r="AR685" s="399"/>
      <c r="AS685" s="399"/>
      <c r="AT685" s="399"/>
      <c r="AU685" s="399"/>
      <c r="AV685" s="399"/>
      <c r="AW685" s="399"/>
      <c r="AX685" s="409" t="s">
        <v>5194</v>
      </c>
      <c r="AY685" s="399"/>
      <c r="AZ685" s="399"/>
      <c r="BA685" s="409" t="s">
        <v>3125</v>
      </c>
      <c r="BB685" s="415" t="s">
        <v>3131</v>
      </c>
      <c r="BC685" s="410" t="s">
        <v>8176</v>
      </c>
      <c r="BD685" s="409"/>
      <c r="BE685" s="411"/>
      <c r="BF685" s="411"/>
      <c r="BG685" s="411"/>
      <c r="BH685" s="411"/>
      <c r="BI685" s="411"/>
      <c r="BJ685" s="409"/>
      <c r="BK685" s="399"/>
      <c r="BL685" s="409"/>
      <c r="BM685" s="399"/>
      <c r="BN685" s="458"/>
      <c r="BO685" s="399"/>
      <c r="BP685" s="399"/>
      <c r="BQ685" s="399"/>
      <c r="BR685" s="399"/>
      <c r="BS685" s="407"/>
      <c r="BT685" s="407"/>
      <c r="BU685" s="412"/>
      <c r="BV685" s="46" t="str">
        <f t="shared" si="8"/>
        <v>Observation</v>
      </c>
      <c r="BW685" s="46" t="str">
        <f t="shared" si="9"/>
        <v/>
      </c>
      <c r="BX685" s="46" t="str">
        <f t="shared" si="10"/>
        <v>Observation</v>
      </c>
      <c r="BY685" s="43" t="str">
        <f t="shared" si="11"/>
        <v>WHO-STI Observation (STI Screening)</v>
      </c>
      <c r="BZ685" s="46">
        <f t="shared" si="12"/>
        <v>1</v>
      </c>
      <c r="CA685" s="46">
        <f t="shared" si="13"/>
        <v>0</v>
      </c>
      <c r="CB685" s="46">
        <f t="shared" si="14"/>
        <v>0</v>
      </c>
      <c r="CC685" s="46">
        <f t="shared" si="15"/>
        <v>1</v>
      </c>
      <c r="CD685" s="46">
        <f t="shared" si="16"/>
        <v>0</v>
      </c>
      <c r="CE685" s="46">
        <f t="shared" si="17"/>
        <v>1</v>
      </c>
      <c r="CF685" s="46">
        <f t="shared" si="18"/>
        <v>0</v>
      </c>
      <c r="CG685" s="46"/>
      <c r="CH685" s="46"/>
      <c r="CI685" s="46"/>
      <c r="CJ685" s="46"/>
      <c r="CK685" s="46"/>
      <c r="CL685" s="46"/>
      <c r="CM685" s="46"/>
      <c r="CN685" s="46"/>
      <c r="CO685" s="46"/>
      <c r="CP685" s="46"/>
      <c r="CQ685" s="46"/>
      <c r="CR685" s="46"/>
      <c r="CS685" s="46"/>
      <c r="CT685" s="46"/>
      <c r="CU685" s="46"/>
    </row>
    <row r="686" spans="1:99" ht="12.75" customHeight="1">
      <c r="A686" s="409">
        <v>2381</v>
      </c>
      <c r="B686" s="409" t="s">
        <v>8188</v>
      </c>
      <c r="C686" s="399"/>
      <c r="D686" s="399"/>
      <c r="E686" s="399"/>
      <c r="F686" s="409" t="s">
        <v>96</v>
      </c>
      <c r="G686" s="400"/>
      <c r="H686" s="400"/>
      <c r="I686" s="400"/>
      <c r="J686" s="400"/>
      <c r="K686" s="401"/>
      <c r="L686" s="402"/>
      <c r="M686" s="400"/>
      <c r="N686" s="675"/>
      <c r="O686" s="404"/>
      <c r="P686" s="404"/>
      <c r="Q686" s="406"/>
      <c r="R686" s="404"/>
      <c r="S686" s="404"/>
      <c r="T686" s="404"/>
      <c r="U686" s="404"/>
      <c r="V686" s="404"/>
      <c r="W686" s="404"/>
      <c r="X686" s="404"/>
      <c r="Y686" s="404"/>
      <c r="Z686" s="404"/>
      <c r="AA686" s="404"/>
      <c r="AB686" s="406"/>
      <c r="AC686" s="404"/>
      <c r="AD686" s="404"/>
      <c r="AE686" s="406"/>
      <c r="AF686" s="404"/>
      <c r="AG686" s="404"/>
      <c r="AH686" s="399"/>
      <c r="AI686" s="400"/>
      <c r="AJ686" s="399"/>
      <c r="AK686" s="409" t="s">
        <v>3410</v>
      </c>
      <c r="AL686" s="409" t="s">
        <v>3181</v>
      </c>
      <c r="AM686" s="409" t="s">
        <v>3100</v>
      </c>
      <c r="AN686" s="409" t="s">
        <v>3101</v>
      </c>
      <c r="AO686" s="399" t="s">
        <v>1787</v>
      </c>
      <c r="AP686" s="409" t="s">
        <v>6800</v>
      </c>
      <c r="AQ686" s="409" t="s">
        <v>3424</v>
      </c>
      <c r="AR686" s="399"/>
      <c r="AS686" s="399"/>
      <c r="AT686" s="399"/>
      <c r="AU686" s="399"/>
      <c r="AV686" s="399"/>
      <c r="AW686" s="399"/>
      <c r="AX686" s="409" t="s">
        <v>5194</v>
      </c>
      <c r="AY686" s="399"/>
      <c r="AZ686" s="399"/>
      <c r="BA686" s="409" t="s">
        <v>3125</v>
      </c>
      <c r="BB686" s="415" t="s">
        <v>3131</v>
      </c>
      <c r="BC686" s="409" t="s">
        <v>8188</v>
      </c>
      <c r="BD686" s="409"/>
      <c r="BE686" s="411"/>
      <c r="BF686" s="411"/>
      <c r="BG686" s="411"/>
      <c r="BH686" s="411"/>
      <c r="BI686" s="411"/>
      <c r="BJ686" s="409"/>
      <c r="BK686" s="399"/>
      <c r="BL686" s="409"/>
      <c r="BM686" s="399"/>
      <c r="BN686" s="458"/>
      <c r="BO686" s="399"/>
      <c r="BP686" s="399"/>
      <c r="BQ686" s="399"/>
      <c r="BR686" s="399"/>
      <c r="BS686" s="407"/>
      <c r="BT686" s="407"/>
      <c r="BU686" s="412"/>
      <c r="BV686" s="46" t="str">
        <f t="shared" si="8"/>
        <v>Observation</v>
      </c>
      <c r="BW686" s="46" t="str">
        <f t="shared" si="9"/>
        <v/>
      </c>
      <c r="BX686" s="46" t="str">
        <f t="shared" si="10"/>
        <v>Observation</v>
      </c>
      <c r="BY686" s="43" t="str">
        <f t="shared" si="11"/>
        <v>WHO-STI Observation (STI Screening)</v>
      </c>
      <c r="BZ686" s="46">
        <f t="shared" si="12"/>
        <v>1</v>
      </c>
      <c r="CA686" s="46">
        <f t="shared" si="13"/>
        <v>0</v>
      </c>
      <c r="CB686" s="46">
        <f t="shared" si="14"/>
        <v>0</v>
      </c>
      <c r="CC686" s="46">
        <f t="shared" si="15"/>
        <v>1</v>
      </c>
      <c r="CD686" s="46">
        <f t="shared" si="16"/>
        <v>0</v>
      </c>
      <c r="CE686" s="46">
        <f t="shared" si="17"/>
        <v>1</v>
      </c>
      <c r="CF686" s="46">
        <f t="shared" si="18"/>
        <v>0</v>
      </c>
      <c r="CG686" s="46"/>
      <c r="CH686" s="46"/>
      <c r="CI686" s="46"/>
      <c r="CJ686" s="46"/>
      <c r="CK686" s="46"/>
      <c r="CL686" s="46"/>
      <c r="CM686" s="46"/>
      <c r="CN686" s="46"/>
      <c r="CO686" s="46"/>
      <c r="CP686" s="46"/>
      <c r="CQ686" s="46"/>
      <c r="CR686" s="46"/>
      <c r="CS686" s="46"/>
      <c r="CT686" s="46"/>
      <c r="CU686" s="46"/>
    </row>
    <row r="687" spans="1:99" ht="12.75" customHeight="1">
      <c r="A687" s="409">
        <v>2108</v>
      </c>
      <c r="B687" s="399" t="s">
        <v>8199</v>
      </c>
      <c r="C687" s="399">
        <f t="shared" ref="C687:C946" si="117">A687</f>
        <v>2108</v>
      </c>
      <c r="D687" s="399" t="str">
        <f t="shared" ref="D687:D919" si="118">IF(F687="Input Option",CONCAT("       ",E687),E687)</f>
        <v>Specimen collection</v>
      </c>
      <c r="E687" s="399" t="str">
        <f t="shared" ref="E687:E919" si="119">IF(Q687="",IF(V687="",Q687,V687),Q687)</f>
        <v>Specimen collection</v>
      </c>
      <c r="F687" s="399" t="str">
        <f t="shared" ref="F687:F689" si="120">IF(AND(ISBLANK(V687)=FALSE,OR(T687="MC",T687="")),"Input Option","Data Element")</f>
        <v>Data Element</v>
      </c>
      <c r="G687" s="400">
        <f t="shared" ref="G687:G731" si="121">LEN(B687)</f>
        <v>19</v>
      </c>
      <c r="H687" s="400" t="str">
        <f t="shared" ref="H687:H688" si="122">IF(F687="Input Option",IF(#REF!="",#REF!,#REF!),"")</f>
        <v/>
      </c>
      <c r="I687" s="400"/>
      <c r="J687" s="400"/>
      <c r="K687" s="401" t="s">
        <v>5283</v>
      </c>
      <c r="L687" s="402" t="s">
        <v>7227</v>
      </c>
      <c r="M687" s="400"/>
      <c r="N687" s="675" t="s">
        <v>7175</v>
      </c>
      <c r="O687" s="404" t="s">
        <v>8211</v>
      </c>
      <c r="P687" s="404"/>
      <c r="Q687" s="420" t="s">
        <v>8199</v>
      </c>
      <c r="R687" s="426"/>
      <c r="S687" s="404"/>
      <c r="T687" s="404"/>
      <c r="U687" s="404"/>
      <c r="V687" s="404"/>
      <c r="W687" s="404"/>
      <c r="X687" s="404"/>
      <c r="Y687" s="404"/>
      <c r="Z687" s="404"/>
      <c r="AA687" s="404"/>
      <c r="AB687" s="406"/>
      <c r="AC687" s="404"/>
      <c r="AD687" s="404"/>
      <c r="AE687" s="406"/>
      <c r="AF687" s="404"/>
      <c r="AG687" s="404"/>
      <c r="AH687" s="399"/>
      <c r="AI687" s="400"/>
      <c r="AJ687" s="399" t="s">
        <v>1787</v>
      </c>
      <c r="AK687" s="409" t="s">
        <v>6855</v>
      </c>
      <c r="AL687" s="409"/>
      <c r="AM687" s="409" t="s">
        <v>3100</v>
      </c>
      <c r="AN687" s="409" t="s">
        <v>3101</v>
      </c>
      <c r="AO687" s="399" t="s">
        <v>1787</v>
      </c>
      <c r="AP687" s="409" t="s">
        <v>6854</v>
      </c>
      <c r="AQ687" s="409" t="s">
        <v>3424</v>
      </c>
      <c r="AR687" s="399"/>
      <c r="AS687" s="399"/>
      <c r="AT687" s="399"/>
      <c r="AU687" s="399"/>
      <c r="AV687" s="399" t="str">
        <f t="shared" ref="AV687:AV946" si="123">IF(AU687="","", IF(AND(B687=AU687),"Same","Changed"))</f>
        <v/>
      </c>
      <c r="AW687" s="399"/>
      <c r="AX687" s="409" t="s">
        <v>5194</v>
      </c>
      <c r="AY687" s="399" t="str">
        <f t="shared" ref="AY687:AY919" si="124">IF(B687=D687,"",CONCATENATE(CHAR(34), D687,CHAR(34), "-&gt;", CHAR(34), B687,CHAR(34)))</f>
        <v/>
      </c>
      <c r="AZ687" s="399"/>
      <c r="BA687" s="409" t="s">
        <v>3125</v>
      </c>
      <c r="BB687" s="415" t="s">
        <v>3131</v>
      </c>
      <c r="BC687" s="399" t="s">
        <v>8199</v>
      </c>
      <c r="BD687" s="409" t="s">
        <v>8219</v>
      </c>
      <c r="BE687" s="411"/>
      <c r="BF687" s="411" t="s">
        <v>1787</v>
      </c>
      <c r="BG687" s="411"/>
      <c r="BH687" s="411"/>
      <c r="BI687" s="411"/>
      <c r="BJ687" s="409" t="s">
        <v>4745</v>
      </c>
      <c r="BK687" s="399" t="s">
        <v>1787</v>
      </c>
      <c r="BL687" s="409" t="s">
        <v>3162</v>
      </c>
      <c r="BM687" s="399" t="s">
        <v>1787</v>
      </c>
      <c r="BN687" s="438" t="str">
        <f>HYPERLINK("https://github.com/who-int/Data-Dictionary-Mapping/issues/45","45")</f>
        <v>45</v>
      </c>
      <c r="BO687" s="399" t="s">
        <v>1787</v>
      </c>
      <c r="BP687" s="399" t="s">
        <v>1787</v>
      </c>
      <c r="BQ687" s="399" t="s">
        <v>1787</v>
      </c>
      <c r="BR687" s="399" t="s">
        <v>1787</v>
      </c>
      <c r="BS687" s="407"/>
      <c r="BT687" s="407"/>
      <c r="BU687" s="412"/>
      <c r="BV687" s="46" t="str">
        <f t="shared" si="8"/>
        <v>Specimen</v>
      </c>
      <c r="BW687" s="46" t="str">
        <f t="shared" si="9"/>
        <v/>
      </c>
      <c r="BX687" s="46" t="str">
        <f t="shared" si="10"/>
        <v>Specimen</v>
      </c>
      <c r="BY687" s="43" t="str">
        <f t="shared" si="11"/>
        <v>WHO-STI Specimen</v>
      </c>
      <c r="BZ687" s="46">
        <f t="shared" si="12"/>
        <v>1</v>
      </c>
      <c r="CA687" s="46">
        <f t="shared" si="13"/>
        <v>0</v>
      </c>
      <c r="CB687" s="46">
        <f t="shared" si="14"/>
        <v>1</v>
      </c>
      <c r="CC687" s="46">
        <f t="shared" si="15"/>
        <v>1</v>
      </c>
      <c r="CD687" s="46">
        <f t="shared" si="16"/>
        <v>1</v>
      </c>
      <c r="CE687" s="46">
        <f t="shared" si="17"/>
        <v>0</v>
      </c>
      <c r="CF687" s="46">
        <f t="shared" si="18"/>
        <v>0</v>
      </c>
      <c r="CG687" s="46" t="str">
        <f ca="1">IFERROR(__xludf.DUMMYFUNCTION("if(OR(BH687="""",LEFT(BH687,2)=""LA""),"""",IMPORTXML(CONCATENATE(""https://loinc.org/"",BH687,""/""),""//span[@id='lcn']""))"),"")</f>
        <v/>
      </c>
      <c r="CH687" s="46"/>
      <c r="CI687" s="46"/>
      <c r="CJ687" s="46"/>
      <c r="CK687" s="46"/>
      <c r="CL687" s="46"/>
      <c r="CM687" s="46"/>
      <c r="CN687" s="46"/>
      <c r="CO687" s="46"/>
      <c r="CP687" s="46"/>
      <c r="CQ687" s="46"/>
      <c r="CR687" s="46"/>
      <c r="CS687" s="46"/>
      <c r="CT687" s="46"/>
      <c r="CU687" s="46"/>
    </row>
    <row r="688" spans="1:99" ht="12.75" customHeight="1">
      <c r="A688" s="409">
        <v>2120</v>
      </c>
      <c r="B688" s="399" t="s">
        <v>8225</v>
      </c>
      <c r="C688" s="399">
        <f t="shared" si="117"/>
        <v>2120</v>
      </c>
      <c r="D688" s="399" t="str">
        <f t="shared" si="118"/>
        <v>Complicated condition</v>
      </c>
      <c r="E688" s="399" t="str">
        <f t="shared" si="119"/>
        <v>Complicated condition</v>
      </c>
      <c r="F688" s="399" t="str">
        <f t="shared" si="120"/>
        <v>Data Element</v>
      </c>
      <c r="G688" s="400">
        <f t="shared" si="121"/>
        <v>21</v>
      </c>
      <c r="H688" s="400" t="str">
        <f t="shared" si="122"/>
        <v/>
      </c>
      <c r="I688" s="400"/>
      <c r="J688" s="400"/>
      <c r="K688" s="401" t="s">
        <v>5283</v>
      </c>
      <c r="L688" s="402" t="s">
        <v>887</v>
      </c>
      <c r="M688" s="400"/>
      <c r="N688" s="675" t="s">
        <v>7980</v>
      </c>
      <c r="O688" s="404" t="s">
        <v>8229</v>
      </c>
      <c r="P688" s="404"/>
      <c r="Q688" s="420" t="s">
        <v>8225</v>
      </c>
      <c r="R688" s="437"/>
      <c r="S688" s="403" t="s">
        <v>8230</v>
      </c>
      <c r="T688" s="404" t="s">
        <v>3169</v>
      </c>
      <c r="U688" s="404"/>
      <c r="V688" s="437" t="s">
        <v>3170</v>
      </c>
      <c r="W688" s="404"/>
      <c r="X688" s="404" t="s">
        <v>113</v>
      </c>
      <c r="Y688" s="404" t="s">
        <v>8233</v>
      </c>
      <c r="Z688" s="404" t="s">
        <v>113</v>
      </c>
      <c r="AA688" s="404" t="s">
        <v>1889</v>
      </c>
      <c r="AB688" s="420" t="s">
        <v>8235</v>
      </c>
      <c r="AC688" s="426"/>
      <c r="AD688" s="404"/>
      <c r="AE688" s="406"/>
      <c r="AF688" s="404"/>
      <c r="AG688" s="420" t="s">
        <v>8236</v>
      </c>
      <c r="AH688" s="399"/>
      <c r="AI688" s="400"/>
      <c r="AJ688" s="399" t="s">
        <v>1787</v>
      </c>
      <c r="AK688" s="409" t="s">
        <v>6803</v>
      </c>
      <c r="AL688" s="399" t="s">
        <v>1787</v>
      </c>
      <c r="AM688" s="409" t="s">
        <v>3100</v>
      </c>
      <c r="AN688" s="409" t="s">
        <v>3101</v>
      </c>
      <c r="AO688" s="399" t="s">
        <v>1787</v>
      </c>
      <c r="AP688" s="409" t="s">
        <v>6800</v>
      </c>
      <c r="AQ688" s="440" t="s">
        <v>3424</v>
      </c>
      <c r="AR688" s="399"/>
      <c r="AS688" s="399"/>
      <c r="AT688" s="399"/>
      <c r="AU688" s="399"/>
      <c r="AV688" s="399" t="str">
        <f t="shared" si="123"/>
        <v/>
      </c>
      <c r="AW688" s="399"/>
      <c r="AX688" s="409" t="s">
        <v>5194</v>
      </c>
      <c r="AY688" s="399" t="str">
        <f t="shared" si="124"/>
        <v/>
      </c>
      <c r="AZ688" s="399"/>
      <c r="BA688" s="409" t="s">
        <v>3125</v>
      </c>
      <c r="BB688" s="399"/>
      <c r="BC688" s="399" t="s">
        <v>1787</v>
      </c>
      <c r="BD688" s="399" t="s">
        <v>1787</v>
      </c>
      <c r="BE688" s="411"/>
      <c r="BF688" s="411" t="s">
        <v>1787</v>
      </c>
      <c r="BG688" s="434" t="s">
        <v>8238</v>
      </c>
      <c r="BH688" s="411"/>
      <c r="BI688" s="411"/>
      <c r="BJ688" s="399" t="s">
        <v>1787</v>
      </c>
      <c r="BK688" s="399" t="s">
        <v>1787</v>
      </c>
      <c r="BL688" s="409" t="s">
        <v>3162</v>
      </c>
      <c r="BM688" s="409" t="s">
        <v>8239</v>
      </c>
      <c r="BN688" s="399" t="s">
        <v>1787</v>
      </c>
      <c r="BO688" s="399" t="s">
        <v>1787</v>
      </c>
      <c r="BP688" s="399" t="s">
        <v>1787</v>
      </c>
      <c r="BQ688" s="399" t="s">
        <v>1787</v>
      </c>
      <c r="BR688" s="399" t="s">
        <v>1787</v>
      </c>
      <c r="BS688" s="407"/>
      <c r="BT688" s="407"/>
      <c r="BU688" s="412"/>
      <c r="BV688" s="46" t="str">
        <f t="shared" si="8"/>
        <v>Observation</v>
      </c>
      <c r="BW688" s="46" t="str">
        <f t="shared" si="9"/>
        <v/>
      </c>
      <c r="BX688" s="46" t="str">
        <f t="shared" si="10"/>
        <v>Observation</v>
      </c>
      <c r="BY688" s="43" t="str">
        <f t="shared" si="11"/>
        <v>WHO-STI Observation (STI Screening)</v>
      </c>
      <c r="BZ688" s="46">
        <f t="shared" si="12"/>
        <v>1</v>
      </c>
      <c r="CA688" s="46">
        <f t="shared" si="13"/>
        <v>0</v>
      </c>
      <c r="CB688" s="46">
        <f t="shared" si="14"/>
        <v>1</v>
      </c>
      <c r="CC688" s="46">
        <f t="shared" si="15"/>
        <v>1</v>
      </c>
      <c r="CD688" s="46">
        <f t="shared" si="16"/>
        <v>1</v>
      </c>
      <c r="CE688" s="46">
        <f t="shared" si="17"/>
        <v>0</v>
      </c>
      <c r="CF688" s="46">
        <f t="shared" si="18"/>
        <v>0</v>
      </c>
      <c r="CG688" s="46" t="str">
        <f ca="1">IFERROR(__xludf.DUMMYFUNCTION("if(OR(BH688="""",LEFT(BH688,2)=""LA""),"""",IMPORTXML(CONCATENATE(""https://loinc.org/"",BH688,""/""),""//span[@id='lcn']""))"),"")</f>
        <v/>
      </c>
      <c r="CH688" s="46"/>
      <c r="CI688" s="46"/>
      <c r="CJ688" s="46"/>
      <c r="CK688" s="46"/>
      <c r="CL688" s="46"/>
      <c r="CM688" s="46"/>
      <c r="CN688" s="46"/>
      <c r="CO688" s="46"/>
      <c r="CP688" s="46"/>
      <c r="CQ688" s="46"/>
      <c r="CR688" s="46"/>
      <c r="CS688" s="46"/>
      <c r="CT688" s="46"/>
      <c r="CU688" s="46"/>
    </row>
    <row r="689" spans="1:99" ht="12.75" customHeight="1">
      <c r="A689" s="409">
        <v>2121</v>
      </c>
      <c r="B689" s="399" t="s">
        <v>901</v>
      </c>
      <c r="C689" s="399">
        <f t="shared" si="117"/>
        <v>2121</v>
      </c>
      <c r="D689" s="399" t="str">
        <f t="shared" si="118"/>
        <v>HIV diagnosis date</v>
      </c>
      <c r="E689" s="399" t="str">
        <f t="shared" si="119"/>
        <v>HIV diagnosis date</v>
      </c>
      <c r="F689" s="399" t="str">
        <f t="shared" si="120"/>
        <v>Data Element</v>
      </c>
      <c r="G689" s="400">
        <f t="shared" si="121"/>
        <v>18</v>
      </c>
      <c r="H689" s="400" t="str">
        <f t="shared" ref="H689:H722" si="125">IF(F689="Input Option",IF(H688="",B688,H688),"")</f>
        <v/>
      </c>
      <c r="I689" s="400"/>
      <c r="J689" s="400"/>
      <c r="K689" s="401" t="s">
        <v>5283</v>
      </c>
      <c r="L689" s="402" t="s">
        <v>887</v>
      </c>
      <c r="M689" s="400"/>
      <c r="N689" s="675" t="s">
        <v>7980</v>
      </c>
      <c r="O689" s="437" t="s">
        <v>8249</v>
      </c>
      <c r="P689" s="437"/>
      <c r="Q689" s="404" t="s">
        <v>901</v>
      </c>
      <c r="R689" s="404" t="s">
        <v>902</v>
      </c>
      <c r="S689" s="404" t="s">
        <v>903</v>
      </c>
      <c r="T689" s="404" t="s">
        <v>140</v>
      </c>
      <c r="U689" s="404"/>
      <c r="V689" s="404"/>
      <c r="W689" s="404"/>
      <c r="X689" s="404"/>
      <c r="Y689" s="420" t="s">
        <v>8250</v>
      </c>
      <c r="Z689" s="404"/>
      <c r="AA689" s="420" t="s">
        <v>905</v>
      </c>
      <c r="AB689" s="420"/>
      <c r="AC689" s="426"/>
      <c r="AD689" s="404"/>
      <c r="AE689" s="406"/>
      <c r="AF689" s="437"/>
      <c r="AG689" s="437"/>
      <c r="AH689" s="399"/>
      <c r="AI689" s="400"/>
      <c r="AJ689" s="399" t="s">
        <v>1787</v>
      </c>
      <c r="AK689" s="409" t="s">
        <v>6723</v>
      </c>
      <c r="AL689" s="409" t="s">
        <v>3513</v>
      </c>
      <c r="AM689" s="409" t="s">
        <v>3100</v>
      </c>
      <c r="AN689" s="409" t="s">
        <v>3101</v>
      </c>
      <c r="AO689" s="399" t="s">
        <v>1787</v>
      </c>
      <c r="AP689" s="409" t="s">
        <v>6722</v>
      </c>
      <c r="AQ689" s="409" t="s">
        <v>3424</v>
      </c>
      <c r="AR689" s="399"/>
      <c r="AS689" s="399"/>
      <c r="AT689" s="399"/>
      <c r="AU689" s="399"/>
      <c r="AV689" s="399" t="str">
        <f t="shared" si="123"/>
        <v/>
      </c>
      <c r="AW689" s="399"/>
      <c r="AX689" s="409" t="s">
        <v>5194</v>
      </c>
      <c r="AY689" s="399" t="str">
        <f t="shared" si="124"/>
        <v/>
      </c>
      <c r="AZ689" s="399"/>
      <c r="BA689" s="409" t="s">
        <v>3125</v>
      </c>
      <c r="BB689" s="399"/>
      <c r="BC689" s="399" t="s">
        <v>1787</v>
      </c>
      <c r="BD689" s="409" t="s">
        <v>8255</v>
      </c>
      <c r="BE689" s="411"/>
      <c r="BF689" s="411" t="s">
        <v>1787</v>
      </c>
      <c r="BG689" s="434" t="s">
        <v>8257</v>
      </c>
      <c r="BH689" s="411"/>
      <c r="BI689" s="411"/>
      <c r="BJ689" s="399" t="s">
        <v>1787</v>
      </c>
      <c r="BK689" s="399" t="s">
        <v>1787</v>
      </c>
      <c r="BL689" s="399"/>
      <c r="BM689" s="399" t="s">
        <v>1787</v>
      </c>
      <c r="BN689" s="399" t="s">
        <v>1787</v>
      </c>
      <c r="BO689" s="399" t="s">
        <v>1787</v>
      </c>
      <c r="BP689" s="399" t="s">
        <v>1787</v>
      </c>
      <c r="BQ689" s="399" t="s">
        <v>1787</v>
      </c>
      <c r="BR689" s="399" t="s">
        <v>1787</v>
      </c>
      <c r="BS689" s="407"/>
      <c r="BT689" s="407"/>
      <c r="BU689" s="412"/>
      <c r="BV689" s="46" t="str">
        <f t="shared" si="8"/>
        <v>Condition</v>
      </c>
      <c r="BW689" s="46" t="str">
        <f t="shared" si="9"/>
        <v/>
      </c>
      <c r="BX689" s="46" t="str">
        <f t="shared" si="10"/>
        <v>Condition</v>
      </c>
      <c r="BY689" s="43" t="str">
        <f t="shared" si="11"/>
        <v>WHO-STI Condition (HIV)</v>
      </c>
      <c r="BZ689" s="46">
        <f t="shared" si="12"/>
        <v>1</v>
      </c>
      <c r="CA689" s="46">
        <f t="shared" si="13"/>
        <v>0</v>
      </c>
      <c r="CB689" s="46">
        <f t="shared" si="14"/>
        <v>1</v>
      </c>
      <c r="CC689" s="46">
        <f t="shared" si="15"/>
        <v>1</v>
      </c>
      <c r="CD689" s="46">
        <f t="shared" si="16"/>
        <v>1</v>
      </c>
      <c r="CE689" s="46">
        <f t="shared" si="17"/>
        <v>0</v>
      </c>
      <c r="CF689" s="46">
        <f t="shared" si="18"/>
        <v>0</v>
      </c>
      <c r="CG689" s="46" t="str">
        <f ca="1">IFERROR(__xludf.DUMMYFUNCTION("if(OR(BH689="""",LEFT(BH689,2)=""LA""),"""",IMPORTXML(CONCATENATE(""https://loinc.org/"",BH689,""/""),""//span[@id='lcn']""))"),"")</f>
        <v/>
      </c>
      <c r="CH689" s="46"/>
      <c r="CI689" s="46"/>
      <c r="CJ689" s="46"/>
      <c r="CK689" s="46"/>
      <c r="CL689" s="46"/>
      <c r="CM689" s="46"/>
      <c r="CN689" s="46"/>
      <c r="CO689" s="46"/>
      <c r="CP689" s="46"/>
      <c r="CQ689" s="46"/>
      <c r="CR689" s="46"/>
      <c r="CS689" s="46"/>
      <c r="CT689" s="46"/>
      <c r="CU689" s="46"/>
    </row>
    <row r="690" spans="1:99" ht="12.75" customHeight="1">
      <c r="A690" s="409">
        <v>2122</v>
      </c>
      <c r="B690" s="399" t="s">
        <v>909</v>
      </c>
      <c r="C690" s="399">
        <f t="shared" si="117"/>
        <v>2122</v>
      </c>
      <c r="D690" s="399" t="str">
        <f t="shared" si="118"/>
        <v>[Unknown checkbox for HIV diagnosis date inline with {hiv_diagnosis_date}]</v>
      </c>
      <c r="E690" s="399" t="str">
        <f t="shared" si="119"/>
        <v>[Unknown checkbox for HIV diagnosis date inline with {hiv_diagnosis_date}]</v>
      </c>
      <c r="F690" s="409" t="s">
        <v>3164</v>
      </c>
      <c r="G690" s="400">
        <f t="shared" si="121"/>
        <v>74</v>
      </c>
      <c r="H690" s="400" t="str">
        <f t="shared" si="125"/>
        <v/>
      </c>
      <c r="I690" s="400"/>
      <c r="J690" s="400"/>
      <c r="K690" s="401" t="s">
        <v>5283</v>
      </c>
      <c r="L690" s="402" t="s">
        <v>887</v>
      </c>
      <c r="M690" s="400"/>
      <c r="N690" s="675" t="s">
        <v>7980</v>
      </c>
      <c r="O690" s="437" t="s">
        <v>8265</v>
      </c>
      <c r="P690" s="437"/>
      <c r="Q690" s="404" t="s">
        <v>909</v>
      </c>
      <c r="R690" s="404" t="s">
        <v>910</v>
      </c>
      <c r="S690" s="404" t="s">
        <v>911</v>
      </c>
      <c r="T690" s="404" t="s">
        <v>153</v>
      </c>
      <c r="U690" s="404"/>
      <c r="V690" s="404"/>
      <c r="W690" s="404"/>
      <c r="X690" s="404"/>
      <c r="Y690" s="404"/>
      <c r="Z690" s="404"/>
      <c r="AA690" s="420" t="s">
        <v>912</v>
      </c>
      <c r="AB690" s="420"/>
      <c r="AC690" s="426"/>
      <c r="AD690" s="404"/>
      <c r="AE690" s="406"/>
      <c r="AF690" s="437"/>
      <c r="AG690" s="437"/>
      <c r="AH690" s="399"/>
      <c r="AI690" s="400"/>
      <c r="AJ690" s="399" t="s">
        <v>1787</v>
      </c>
      <c r="AK690" s="399"/>
      <c r="AL690" s="399" t="s">
        <v>1787</v>
      </c>
      <c r="AM690" s="399"/>
      <c r="AN690" s="399" t="s">
        <v>1787</v>
      </c>
      <c r="AO690" s="399" t="s">
        <v>1787</v>
      </c>
      <c r="AP690" s="399"/>
      <c r="AQ690" s="399"/>
      <c r="AR690" s="399"/>
      <c r="AS690" s="399"/>
      <c r="AT690" s="399"/>
      <c r="AU690" s="399"/>
      <c r="AV690" s="399" t="str">
        <f t="shared" si="123"/>
        <v/>
      </c>
      <c r="AW690" s="399"/>
      <c r="AX690" s="409" t="s">
        <v>5194</v>
      </c>
      <c r="AY690" s="399" t="str">
        <f t="shared" si="124"/>
        <v/>
      </c>
      <c r="AZ690" s="399"/>
      <c r="BA690" s="409" t="s">
        <v>3125</v>
      </c>
      <c r="BB690" s="399"/>
      <c r="BC690" s="399" t="s">
        <v>1787</v>
      </c>
      <c r="BD690" s="399" t="s">
        <v>1787</v>
      </c>
      <c r="BE690" s="411"/>
      <c r="BF690" s="411" t="s">
        <v>1787</v>
      </c>
      <c r="BG690" s="411"/>
      <c r="BH690" s="411"/>
      <c r="BI690" s="411"/>
      <c r="BJ690" s="399" t="s">
        <v>1787</v>
      </c>
      <c r="BK690" s="399" t="s">
        <v>1787</v>
      </c>
      <c r="BL690" s="399"/>
      <c r="BM690" s="399" t="s">
        <v>1787</v>
      </c>
      <c r="BN690" s="399" t="s">
        <v>1787</v>
      </c>
      <c r="BO690" s="399" t="s">
        <v>1787</v>
      </c>
      <c r="BP690" s="399" t="s">
        <v>1787</v>
      </c>
      <c r="BQ690" s="399" t="s">
        <v>1787</v>
      </c>
      <c r="BR690" s="399" t="s">
        <v>1787</v>
      </c>
      <c r="BS690" s="407"/>
      <c r="BT690" s="407"/>
      <c r="BU690" s="412"/>
      <c r="BV690" s="46" t="str">
        <f t="shared" si="8"/>
        <v/>
      </c>
      <c r="BW690" s="46" t="str">
        <f t="shared" si="9"/>
        <v/>
      </c>
      <c r="BX690" s="46" t="str">
        <f t="shared" si="10"/>
        <v/>
      </c>
      <c r="BY690" s="43" t="str">
        <f t="shared" si="11"/>
        <v/>
      </c>
      <c r="BZ690" s="46">
        <f t="shared" si="12"/>
        <v>1</v>
      </c>
      <c r="CA690" s="46" t="str">
        <f t="shared" si="13"/>
        <v/>
      </c>
      <c r="CB690" s="46">
        <f t="shared" si="14"/>
        <v>1</v>
      </c>
      <c r="CC690" s="46">
        <f t="shared" si="15"/>
        <v>1</v>
      </c>
      <c r="CD690" s="46">
        <f t="shared" si="16"/>
        <v>1</v>
      </c>
      <c r="CE690" s="46">
        <f t="shared" si="17"/>
        <v>0</v>
      </c>
      <c r="CF690" s="46">
        <f t="shared" si="18"/>
        <v>0</v>
      </c>
      <c r="CG690" s="46" t="str">
        <f ca="1">IFERROR(__xludf.DUMMYFUNCTION("if(OR(BH690="""",LEFT(BH690,2)=""LA""),"""",IMPORTXML(CONCATENATE(""https://loinc.org/"",BH690,""/""),""//span[@id='lcn']""))"),"")</f>
        <v/>
      </c>
      <c r="CH690" s="46"/>
      <c r="CI690" s="46"/>
      <c r="CJ690" s="46"/>
      <c r="CK690" s="46"/>
      <c r="CL690" s="46"/>
      <c r="CM690" s="46"/>
      <c r="CN690" s="46"/>
      <c r="CO690" s="46"/>
      <c r="CP690" s="46"/>
      <c r="CQ690" s="46"/>
      <c r="CR690" s="46"/>
      <c r="CS690" s="46"/>
      <c r="CT690" s="46"/>
      <c r="CU690" s="46"/>
    </row>
    <row r="691" spans="1:99" ht="12.75" customHeight="1">
      <c r="A691" s="409">
        <v>2123</v>
      </c>
      <c r="B691" s="399" t="s">
        <v>8278</v>
      </c>
      <c r="C691" s="399">
        <f t="shared" si="117"/>
        <v>2123</v>
      </c>
      <c r="D691" s="399" t="str">
        <f t="shared" si="118"/>
        <v>NA</v>
      </c>
      <c r="E691" s="399" t="str">
        <f t="shared" si="119"/>
        <v>NA</v>
      </c>
      <c r="F691" s="409" t="s">
        <v>96</v>
      </c>
      <c r="G691" s="400">
        <f t="shared" si="121"/>
        <v>26</v>
      </c>
      <c r="H691" s="400" t="str">
        <f t="shared" si="125"/>
        <v/>
      </c>
      <c r="I691" s="400"/>
      <c r="J691" s="400"/>
      <c r="K691" s="401" t="s">
        <v>5283</v>
      </c>
      <c r="L691" s="402" t="s">
        <v>887</v>
      </c>
      <c r="M691" s="400"/>
      <c r="N691" s="675" t="s">
        <v>7980</v>
      </c>
      <c r="O691" s="437" t="s">
        <v>8281</v>
      </c>
      <c r="P691" s="437"/>
      <c r="Q691" s="404" t="s">
        <v>115</v>
      </c>
      <c r="R691" s="404" t="s">
        <v>916</v>
      </c>
      <c r="S691" s="404" t="s">
        <v>917</v>
      </c>
      <c r="T691" s="404" t="s">
        <v>65</v>
      </c>
      <c r="U691" s="404"/>
      <c r="V691" s="404"/>
      <c r="W691" s="404"/>
      <c r="X691" s="420" t="s">
        <v>918</v>
      </c>
      <c r="Y691" s="426"/>
      <c r="Z691" s="404"/>
      <c r="AA691" s="404" t="s">
        <v>115</v>
      </c>
      <c r="AB691" s="406"/>
      <c r="AC691" s="404"/>
      <c r="AD691" s="404"/>
      <c r="AE691" s="406"/>
      <c r="AF691" s="437"/>
      <c r="AG691" s="437"/>
      <c r="AH691" s="399"/>
      <c r="AI691" s="400"/>
      <c r="AJ691" s="399" t="s">
        <v>1787</v>
      </c>
      <c r="AK691" s="440" t="s">
        <v>4476</v>
      </c>
      <c r="AL691" s="399"/>
      <c r="AM691" s="399" t="s">
        <v>3100</v>
      </c>
      <c r="AN691" s="399" t="s">
        <v>3101</v>
      </c>
      <c r="AO691" s="399" t="s">
        <v>1787</v>
      </c>
      <c r="AP691" s="409" t="s">
        <v>6722</v>
      </c>
      <c r="AQ691" s="409" t="s">
        <v>8287</v>
      </c>
      <c r="AR691" s="399"/>
      <c r="AS691" s="399"/>
      <c r="AT691" s="399"/>
      <c r="AU691" s="399"/>
      <c r="AV691" s="399" t="str">
        <f t="shared" si="123"/>
        <v/>
      </c>
      <c r="AW691" s="399"/>
      <c r="AX691" s="409" t="s">
        <v>5194</v>
      </c>
      <c r="AY691" s="399" t="str">
        <f t="shared" si="124"/>
        <v>"NA"-&gt;"Calculation - HIV Positive"</v>
      </c>
      <c r="AZ691" s="399"/>
      <c r="BA691" s="409" t="s">
        <v>3125</v>
      </c>
      <c r="BB691" s="399"/>
      <c r="BC691" s="399" t="s">
        <v>1787</v>
      </c>
      <c r="BD691" s="399" t="s">
        <v>1787</v>
      </c>
      <c r="BE691" s="411"/>
      <c r="BF691" s="411" t="s">
        <v>1787</v>
      </c>
      <c r="BG691" s="434" t="s">
        <v>8257</v>
      </c>
      <c r="BH691" s="411"/>
      <c r="BI691" s="411"/>
      <c r="BJ691" s="409"/>
      <c r="BK691" s="399" t="s">
        <v>1787</v>
      </c>
      <c r="BL691" s="409" t="s">
        <v>3162</v>
      </c>
      <c r="BM691" s="399" t="s">
        <v>1787</v>
      </c>
      <c r="BN691" s="399" t="s">
        <v>1787</v>
      </c>
      <c r="BO691" s="399" t="s">
        <v>1787</v>
      </c>
      <c r="BP691" s="399" t="s">
        <v>1787</v>
      </c>
      <c r="BQ691" s="399" t="s">
        <v>1787</v>
      </c>
      <c r="BR691" s="399" t="s">
        <v>1787</v>
      </c>
      <c r="BS691" s="407"/>
      <c r="BT691" s="407"/>
      <c r="BU691" s="412"/>
      <c r="BV691" s="46" t="str">
        <f t="shared" si="8"/>
        <v>Condition</v>
      </c>
      <c r="BW691" s="46" t="str">
        <f t="shared" si="9"/>
        <v/>
      </c>
      <c r="BX691" s="46" t="str">
        <f t="shared" si="10"/>
        <v>Condition</v>
      </c>
      <c r="BY691" s="43" t="str">
        <f t="shared" si="11"/>
        <v>WHO-STI Condition (HIV)</v>
      </c>
      <c r="BZ691" s="46">
        <f t="shared" si="12"/>
        <v>1</v>
      </c>
      <c r="CA691" s="46">
        <f t="shared" si="13"/>
        <v>0</v>
      </c>
      <c r="CB691" s="46">
        <f t="shared" si="14"/>
        <v>1</v>
      </c>
      <c r="CC691" s="46">
        <f t="shared" si="15"/>
        <v>1</v>
      </c>
      <c r="CD691" s="46">
        <f t="shared" si="16"/>
        <v>1</v>
      </c>
      <c r="CE691" s="46">
        <f t="shared" si="17"/>
        <v>0</v>
      </c>
      <c r="CF691" s="46">
        <f t="shared" si="18"/>
        <v>0</v>
      </c>
      <c r="CG691" s="46" t="str">
        <f ca="1">IFERROR(__xludf.DUMMYFUNCTION("if(OR(BH691="""",LEFT(BH691,2)=""LA""),"""",IMPORTXML(CONCATENATE(""https://loinc.org/"",BH691,""/""),""//span[@id='lcn']""))"),"")</f>
        <v/>
      </c>
      <c r="CH691" s="46"/>
      <c r="CI691" s="46"/>
      <c r="CJ691" s="46"/>
      <c r="CK691" s="46"/>
      <c r="CL691" s="46"/>
      <c r="CM691" s="46"/>
      <c r="CN691" s="46"/>
      <c r="CO691" s="46"/>
      <c r="CP691" s="46"/>
      <c r="CQ691" s="46"/>
      <c r="CR691" s="46"/>
      <c r="CS691" s="46"/>
      <c r="CT691" s="46"/>
      <c r="CU691" s="46"/>
    </row>
    <row r="692" spans="1:99" ht="12.75" customHeight="1">
      <c r="A692" s="409">
        <v>2124</v>
      </c>
      <c r="B692" s="399" t="s">
        <v>1115</v>
      </c>
      <c r="C692" s="399">
        <f t="shared" si="117"/>
        <v>2124</v>
      </c>
      <c r="D692" s="399" t="str">
        <f t="shared" si="118"/>
        <v>Partner HIV status</v>
      </c>
      <c r="E692" s="399" t="str">
        <f t="shared" si="119"/>
        <v>Partner HIV status</v>
      </c>
      <c r="F692" s="399" t="str">
        <f t="shared" ref="F692:F730" si="126">IF(AND(ISBLANK(V692)=FALSE,OR(T692="MC",T692="")),"Input Option","Data Element")</f>
        <v>Data Element</v>
      </c>
      <c r="G692" s="400">
        <f t="shared" si="121"/>
        <v>18</v>
      </c>
      <c r="H692" s="400" t="str">
        <f t="shared" si="125"/>
        <v/>
      </c>
      <c r="I692" s="400"/>
      <c r="J692" s="400"/>
      <c r="K692" s="401" t="s">
        <v>5283</v>
      </c>
      <c r="L692" s="402" t="s">
        <v>887</v>
      </c>
      <c r="M692" s="400"/>
      <c r="N692" s="675" t="s">
        <v>7980</v>
      </c>
      <c r="O692" s="437" t="s">
        <v>8292</v>
      </c>
      <c r="P692" s="437"/>
      <c r="Q692" s="420" t="s">
        <v>1115</v>
      </c>
      <c r="R692" s="404"/>
      <c r="S692" s="404" t="s">
        <v>1117</v>
      </c>
      <c r="T692" s="404" t="s">
        <v>3121</v>
      </c>
      <c r="U692" s="404" t="s">
        <v>3243</v>
      </c>
      <c r="V692" s="404"/>
      <c r="W692" s="404"/>
      <c r="X692" s="437" t="s">
        <v>208</v>
      </c>
      <c r="Y692" s="404"/>
      <c r="Z692" s="404"/>
      <c r="AA692" s="404" t="s">
        <v>208</v>
      </c>
      <c r="AB692" s="406"/>
      <c r="AC692" s="404"/>
      <c r="AD692" s="404"/>
      <c r="AE692" s="406"/>
      <c r="AF692" s="437"/>
      <c r="AG692" s="437"/>
      <c r="AH692" s="399"/>
      <c r="AI692" s="400"/>
      <c r="AJ692" s="399" t="s">
        <v>1787</v>
      </c>
      <c r="AK692" s="440" t="s">
        <v>3410</v>
      </c>
      <c r="AL692" s="409" t="s">
        <v>3181</v>
      </c>
      <c r="AM692" s="399" t="s">
        <v>3100</v>
      </c>
      <c r="AN692" s="399" t="s">
        <v>3101</v>
      </c>
      <c r="AO692" s="399" t="s">
        <v>1787</v>
      </c>
      <c r="AP692" s="409" t="s">
        <v>6792</v>
      </c>
      <c r="AQ692" s="409" t="s">
        <v>3130</v>
      </c>
      <c r="AR692" s="399"/>
      <c r="AS692" s="399"/>
      <c r="AT692" s="399"/>
      <c r="AU692" s="399"/>
      <c r="AV692" s="399" t="str">
        <f t="shared" si="123"/>
        <v/>
      </c>
      <c r="AW692" s="399"/>
      <c r="AX692" s="409" t="s">
        <v>5194</v>
      </c>
      <c r="AY692" s="399" t="str">
        <f t="shared" si="124"/>
        <v/>
      </c>
      <c r="AZ692" s="399"/>
      <c r="BA692" s="409" t="s">
        <v>3125</v>
      </c>
      <c r="BB692" s="415" t="s">
        <v>3131</v>
      </c>
      <c r="BC692" s="399" t="s">
        <v>1115</v>
      </c>
      <c r="BD692" s="399" t="s">
        <v>1787</v>
      </c>
      <c r="BE692" s="411"/>
      <c r="BF692" s="411" t="s">
        <v>1787</v>
      </c>
      <c r="BG692" s="411"/>
      <c r="BH692" s="411"/>
      <c r="BI692" s="411"/>
      <c r="BJ692" s="409" t="s">
        <v>4745</v>
      </c>
      <c r="BK692" s="399" t="s">
        <v>1787</v>
      </c>
      <c r="BL692" s="409" t="s">
        <v>3162</v>
      </c>
      <c r="BM692" s="409" t="s">
        <v>8303</v>
      </c>
      <c r="BN692" s="399" t="s">
        <v>1787</v>
      </c>
      <c r="BO692" s="399" t="s">
        <v>1787</v>
      </c>
      <c r="BP692" s="399" t="s">
        <v>1787</v>
      </c>
      <c r="BQ692" s="399" t="s">
        <v>1787</v>
      </c>
      <c r="BR692" s="399" t="s">
        <v>1787</v>
      </c>
      <c r="BS692" s="407"/>
      <c r="BT692" s="407"/>
      <c r="BU692" s="412"/>
      <c r="BV692" s="46" t="str">
        <f t="shared" si="8"/>
        <v>Observation</v>
      </c>
      <c r="BW692" s="46" t="str">
        <f t="shared" si="9"/>
        <v/>
      </c>
      <c r="BX692" s="46" t="str">
        <f t="shared" si="10"/>
        <v>Observation</v>
      </c>
      <c r="BY692" s="43" t="str">
        <f t="shared" si="11"/>
        <v>WHO-STI Observation (Partner HIV Status)</v>
      </c>
      <c r="BZ692" s="46">
        <f t="shared" si="12"/>
        <v>1</v>
      </c>
      <c r="CA692" s="46">
        <f t="shared" si="13"/>
        <v>1</v>
      </c>
      <c r="CB692" s="46">
        <f t="shared" si="14"/>
        <v>1</v>
      </c>
      <c r="CC692" s="46">
        <f t="shared" si="15"/>
        <v>1</v>
      </c>
      <c r="CD692" s="46">
        <f t="shared" si="16"/>
        <v>1</v>
      </c>
      <c r="CE692" s="46">
        <f t="shared" si="17"/>
        <v>0</v>
      </c>
      <c r="CF692" s="46">
        <f t="shared" si="18"/>
        <v>0</v>
      </c>
      <c r="CG692" s="46" t="str">
        <f ca="1">IFERROR(__xludf.DUMMYFUNCTION("if(OR(BH692="""",LEFT(BH692,2)=""LA""),"""",IMPORTXML(CONCATENATE(""https://loinc.org/"",BH692,""/""),""//span[@id='lcn']""))"),"")</f>
        <v/>
      </c>
      <c r="CH692" s="46"/>
      <c r="CI692" s="46"/>
      <c r="CJ692" s="46"/>
      <c r="CK692" s="46"/>
      <c r="CL692" s="46"/>
      <c r="CM692" s="46"/>
      <c r="CN692" s="46"/>
      <c r="CO692" s="46"/>
      <c r="CP692" s="46"/>
      <c r="CQ692" s="46"/>
      <c r="CR692" s="46"/>
      <c r="CS692" s="46"/>
      <c r="CT692" s="46"/>
      <c r="CU692" s="46"/>
    </row>
    <row r="693" spans="1:99" ht="12.75" customHeight="1">
      <c r="A693" s="409">
        <v>2125</v>
      </c>
      <c r="B693" s="399" t="s">
        <v>701</v>
      </c>
      <c r="C693" s="399">
        <f t="shared" si="117"/>
        <v>2125</v>
      </c>
      <c r="D693" s="399" t="e">
        <f t="shared" ca="1" si="118"/>
        <v>#NAME?</v>
      </c>
      <c r="E693" s="399" t="str">
        <f t="shared" si="119"/>
        <v>Don't know</v>
      </c>
      <c r="F693" s="399" t="str">
        <f t="shared" si="126"/>
        <v>Input Option</v>
      </c>
      <c r="G693" s="400">
        <f t="shared" si="121"/>
        <v>17</v>
      </c>
      <c r="H693" s="399" t="str">
        <f t="shared" si="125"/>
        <v>Partner HIV status</v>
      </c>
      <c r="I693" s="400"/>
      <c r="J693" s="400"/>
      <c r="K693" s="401" t="s">
        <v>5283</v>
      </c>
      <c r="L693" s="402" t="s">
        <v>887</v>
      </c>
      <c r="M693" s="400"/>
      <c r="N693" s="675" t="s">
        <v>7980</v>
      </c>
      <c r="O693" s="437" t="s">
        <v>8310</v>
      </c>
      <c r="P693" s="437"/>
      <c r="Q693" s="404"/>
      <c r="R693" s="404"/>
      <c r="S693" s="404"/>
      <c r="T693" s="404"/>
      <c r="U693" s="404"/>
      <c r="V693" s="404" t="s">
        <v>500</v>
      </c>
      <c r="W693" s="404"/>
      <c r="X693" s="437" t="s">
        <v>208</v>
      </c>
      <c r="Y693" s="404"/>
      <c r="Z693" s="404"/>
      <c r="AA693" s="404"/>
      <c r="AB693" s="406"/>
      <c r="AC693" s="404"/>
      <c r="AD693" s="404"/>
      <c r="AE693" s="406"/>
      <c r="AF693" s="437"/>
      <c r="AG693" s="437"/>
      <c r="AH693" s="399"/>
      <c r="AI693" s="400"/>
      <c r="AJ693" s="399" t="s">
        <v>1787</v>
      </c>
      <c r="AK693" s="399"/>
      <c r="AL693" s="399" t="s">
        <v>1787</v>
      </c>
      <c r="AM693" s="399"/>
      <c r="AN693" s="399" t="s">
        <v>1787</v>
      </c>
      <c r="AO693" s="399" t="s">
        <v>1787</v>
      </c>
      <c r="AP693" s="399"/>
      <c r="AQ693" s="409" t="s">
        <v>3130</v>
      </c>
      <c r="AR693" s="399"/>
      <c r="AS693" s="399"/>
      <c r="AT693" s="399"/>
      <c r="AU693" s="399"/>
      <c r="AV693" s="399" t="str">
        <f t="shared" si="123"/>
        <v/>
      </c>
      <c r="AW693" s="399"/>
      <c r="AX693" s="409" t="s">
        <v>5194</v>
      </c>
      <c r="AY693" s="399" t="e">
        <f t="shared" ca="1" si="124"/>
        <v>#NAME?</v>
      </c>
      <c r="AZ693" s="399"/>
      <c r="BA693" s="409" t="s">
        <v>3125</v>
      </c>
      <c r="BB693" s="399"/>
      <c r="BC693" s="399" t="s">
        <v>1787</v>
      </c>
      <c r="BD693" s="399" t="s">
        <v>1787</v>
      </c>
      <c r="BE693" s="411"/>
      <c r="BF693" s="411" t="s">
        <v>1787</v>
      </c>
      <c r="BG693" s="434" t="s">
        <v>4008</v>
      </c>
      <c r="BH693" s="411"/>
      <c r="BI693" s="411"/>
      <c r="BJ693" s="399" t="s">
        <v>1787</v>
      </c>
      <c r="BK693" s="399" t="s">
        <v>1787</v>
      </c>
      <c r="BL693" s="399"/>
      <c r="BM693" s="399" t="s">
        <v>1787</v>
      </c>
      <c r="BN693" s="399" t="s">
        <v>1787</v>
      </c>
      <c r="BO693" s="399" t="s">
        <v>1787</v>
      </c>
      <c r="BP693" s="399" t="s">
        <v>1787</v>
      </c>
      <c r="BQ693" s="399" t="s">
        <v>1787</v>
      </c>
      <c r="BR693" s="399" t="s">
        <v>1787</v>
      </c>
      <c r="BS693" s="407"/>
      <c r="BT693" s="407"/>
      <c r="BU693" s="412"/>
      <c r="BV693" s="46" t="str">
        <f t="shared" si="8"/>
        <v/>
      </c>
      <c r="BW693" s="46">
        <f t="shared" si="9"/>
        <v>0</v>
      </c>
      <c r="BX693" s="46">
        <f t="shared" si="10"/>
        <v>0</v>
      </c>
      <c r="BY693" s="43" t="str">
        <f t="shared" si="11"/>
        <v>WHO-STI Observation (Partner HIV Status)</v>
      </c>
      <c r="BZ693" s="46">
        <f t="shared" si="12"/>
        <v>1</v>
      </c>
      <c r="CA693" s="46" t="str">
        <f t="shared" si="13"/>
        <v/>
      </c>
      <c r="CB693" s="46">
        <f t="shared" si="14"/>
        <v>1</v>
      </c>
      <c r="CC693" s="46">
        <f t="shared" si="15"/>
        <v>1</v>
      </c>
      <c r="CD693" s="46">
        <f t="shared" si="16"/>
        <v>1</v>
      </c>
      <c r="CE693" s="46">
        <f t="shared" si="17"/>
        <v>0</v>
      </c>
      <c r="CF693" s="46">
        <f t="shared" si="18"/>
        <v>0</v>
      </c>
      <c r="CG693" s="46" t="str">
        <f ca="1">IFERROR(__xludf.DUMMYFUNCTION("if(OR(BH693="""",LEFT(BH693,2)=""LA""),"""",IMPORTXML(CONCATENATE(""https://loinc.org/"",BH693,""/""),""//span[@id='lcn']""))"),"")</f>
        <v/>
      </c>
      <c r="CH693" s="46"/>
      <c r="CI693" s="46"/>
      <c r="CJ693" s="46"/>
      <c r="CK693" s="46"/>
      <c r="CL693" s="46"/>
      <c r="CM693" s="46"/>
      <c r="CN693" s="46"/>
      <c r="CO693" s="46"/>
      <c r="CP693" s="46"/>
      <c r="CQ693" s="46"/>
      <c r="CR693" s="46"/>
      <c r="CS693" s="46"/>
      <c r="CT693" s="46"/>
      <c r="CU693" s="46"/>
    </row>
    <row r="694" spans="1:99" ht="12.75" customHeight="1">
      <c r="A694" s="409">
        <v>2126</v>
      </c>
      <c r="B694" s="399" t="s">
        <v>1302</v>
      </c>
      <c r="C694" s="399">
        <f t="shared" si="117"/>
        <v>2126</v>
      </c>
      <c r="D694" s="399" t="e">
        <f t="shared" ca="1" si="118"/>
        <v>#NAME?</v>
      </c>
      <c r="E694" s="399" t="str">
        <f t="shared" si="119"/>
        <v>Positive</v>
      </c>
      <c r="F694" s="399" t="str">
        <f t="shared" si="126"/>
        <v>Input Option</v>
      </c>
      <c r="G694" s="400">
        <f t="shared" si="121"/>
        <v>15</v>
      </c>
      <c r="H694" s="399" t="str">
        <f t="shared" si="125"/>
        <v>Partner HIV status</v>
      </c>
      <c r="I694" s="400"/>
      <c r="J694" s="400"/>
      <c r="K694" s="401" t="s">
        <v>5283</v>
      </c>
      <c r="L694" s="402" t="s">
        <v>887</v>
      </c>
      <c r="M694" s="400"/>
      <c r="N694" s="675" t="s">
        <v>7980</v>
      </c>
      <c r="O694" s="437" t="s">
        <v>8320</v>
      </c>
      <c r="P694" s="437"/>
      <c r="Q694" s="404"/>
      <c r="R694" s="404"/>
      <c r="S694" s="404"/>
      <c r="T694" s="404"/>
      <c r="U694" s="404"/>
      <c r="V694" s="404" t="s">
        <v>1122</v>
      </c>
      <c r="W694" s="404"/>
      <c r="X694" s="437" t="s">
        <v>208</v>
      </c>
      <c r="Y694" s="404"/>
      <c r="Z694" s="404"/>
      <c r="AA694" s="404"/>
      <c r="AB694" s="406"/>
      <c r="AC694" s="404"/>
      <c r="AD694" s="404"/>
      <c r="AE694" s="406"/>
      <c r="AF694" s="437"/>
      <c r="AG694" s="437"/>
      <c r="AH694" s="399"/>
      <c r="AI694" s="400"/>
      <c r="AJ694" s="399" t="s">
        <v>1787</v>
      </c>
      <c r="AK694" s="399"/>
      <c r="AL694" s="399" t="s">
        <v>1787</v>
      </c>
      <c r="AM694" s="399"/>
      <c r="AN694" s="399" t="s">
        <v>1787</v>
      </c>
      <c r="AO694" s="399" t="s">
        <v>1787</v>
      </c>
      <c r="AP694" s="399"/>
      <c r="AQ694" s="409" t="s">
        <v>3130</v>
      </c>
      <c r="AR694" s="399"/>
      <c r="AS694" s="399"/>
      <c r="AT694" s="399"/>
      <c r="AU694" s="399"/>
      <c r="AV694" s="399" t="str">
        <f t="shared" si="123"/>
        <v/>
      </c>
      <c r="AW694" s="399"/>
      <c r="AX694" s="409" t="s">
        <v>5194</v>
      </c>
      <c r="AY694" s="399" t="e">
        <f t="shared" ca="1" si="124"/>
        <v>#NAME?</v>
      </c>
      <c r="AZ694" s="399"/>
      <c r="BA694" s="409" t="s">
        <v>3125</v>
      </c>
      <c r="BB694" s="399"/>
      <c r="BC694" s="399" t="s">
        <v>1787</v>
      </c>
      <c r="BD694" s="399" t="s">
        <v>1787</v>
      </c>
      <c r="BE694" s="411"/>
      <c r="BF694" s="411" t="s">
        <v>1787</v>
      </c>
      <c r="BG694" s="434" t="s">
        <v>8323</v>
      </c>
      <c r="BH694" s="411"/>
      <c r="BI694" s="411"/>
      <c r="BJ694" s="399" t="s">
        <v>1787</v>
      </c>
      <c r="BK694" s="399" t="s">
        <v>1787</v>
      </c>
      <c r="BL694" s="399"/>
      <c r="BM694" s="399" t="s">
        <v>1787</v>
      </c>
      <c r="BN694" s="399" t="s">
        <v>1787</v>
      </c>
      <c r="BO694" s="399" t="s">
        <v>1787</v>
      </c>
      <c r="BP694" s="399" t="s">
        <v>1787</v>
      </c>
      <c r="BQ694" s="399" t="s">
        <v>1787</v>
      </c>
      <c r="BR694" s="399" t="s">
        <v>1787</v>
      </c>
      <c r="BS694" s="407"/>
      <c r="BT694" s="407"/>
      <c r="BU694" s="412"/>
      <c r="BV694" s="46" t="str">
        <f t="shared" si="8"/>
        <v/>
      </c>
      <c r="BW694" s="46">
        <f t="shared" si="9"/>
        <v>0</v>
      </c>
      <c r="BX694" s="46">
        <f t="shared" si="10"/>
        <v>0</v>
      </c>
      <c r="BY694" s="43" t="str">
        <f t="shared" si="11"/>
        <v>WHO-STI Observation (Partner HIV Status)</v>
      </c>
      <c r="BZ694" s="46">
        <f t="shared" si="12"/>
        <v>1</v>
      </c>
      <c r="CA694" s="46" t="str">
        <f t="shared" si="13"/>
        <v/>
      </c>
      <c r="CB694" s="46">
        <f t="shared" si="14"/>
        <v>1</v>
      </c>
      <c r="CC694" s="46">
        <f t="shared" si="15"/>
        <v>1</v>
      </c>
      <c r="CD694" s="46">
        <f t="shared" si="16"/>
        <v>1</v>
      </c>
      <c r="CE694" s="46">
        <f t="shared" si="17"/>
        <v>0</v>
      </c>
      <c r="CF694" s="46">
        <f t="shared" si="18"/>
        <v>0</v>
      </c>
      <c r="CG694" s="46" t="str">
        <f ca="1">IFERROR(__xludf.DUMMYFUNCTION("if(OR(BH694="""",LEFT(BH694,2)=""LA""),"""",IMPORTXML(CONCATENATE(""https://loinc.org/"",BH694,""/""),""//span[@id='lcn']""))"),"")</f>
        <v/>
      </c>
      <c r="CH694" s="46"/>
      <c r="CI694" s="46"/>
      <c r="CJ694" s="46"/>
      <c r="CK694" s="46"/>
      <c r="CL694" s="46"/>
      <c r="CM694" s="46"/>
      <c r="CN694" s="46"/>
      <c r="CO694" s="46"/>
      <c r="CP694" s="46"/>
      <c r="CQ694" s="46"/>
      <c r="CR694" s="46"/>
      <c r="CS694" s="46"/>
      <c r="CT694" s="46"/>
      <c r="CU694" s="46"/>
    </row>
    <row r="695" spans="1:99" ht="12.75" customHeight="1">
      <c r="A695" s="409">
        <v>2127</v>
      </c>
      <c r="B695" s="399" t="s">
        <v>1305</v>
      </c>
      <c r="C695" s="399">
        <f t="shared" si="117"/>
        <v>2127</v>
      </c>
      <c r="D695" s="399" t="e">
        <f t="shared" ca="1" si="118"/>
        <v>#NAME?</v>
      </c>
      <c r="E695" s="399" t="str">
        <f t="shared" si="119"/>
        <v>Negative</v>
      </c>
      <c r="F695" s="399" t="str">
        <f t="shared" si="126"/>
        <v>Input Option</v>
      </c>
      <c r="G695" s="400">
        <f t="shared" si="121"/>
        <v>15</v>
      </c>
      <c r="H695" s="399" t="str">
        <f t="shared" si="125"/>
        <v>Partner HIV status</v>
      </c>
      <c r="I695" s="400"/>
      <c r="J695" s="400"/>
      <c r="K695" s="401" t="s">
        <v>5283</v>
      </c>
      <c r="L695" s="402" t="s">
        <v>887</v>
      </c>
      <c r="M695" s="400"/>
      <c r="N695" s="675" t="s">
        <v>7980</v>
      </c>
      <c r="O695" s="437" t="s">
        <v>8337</v>
      </c>
      <c r="P695" s="437"/>
      <c r="Q695" s="404"/>
      <c r="R695" s="404"/>
      <c r="S695" s="404"/>
      <c r="T695" s="404"/>
      <c r="U695" s="404"/>
      <c r="V695" s="404" t="s">
        <v>1126</v>
      </c>
      <c r="W695" s="404"/>
      <c r="X695" s="437" t="s">
        <v>208</v>
      </c>
      <c r="Y695" s="404"/>
      <c r="Z695" s="404"/>
      <c r="AA695" s="404"/>
      <c r="AB695" s="406"/>
      <c r="AC695" s="404"/>
      <c r="AD695" s="404"/>
      <c r="AE695" s="406"/>
      <c r="AF695" s="437"/>
      <c r="AG695" s="437"/>
      <c r="AH695" s="399"/>
      <c r="AI695" s="400"/>
      <c r="AJ695" s="399" t="s">
        <v>1787</v>
      </c>
      <c r="AK695" s="399"/>
      <c r="AL695" s="399" t="s">
        <v>1787</v>
      </c>
      <c r="AM695" s="399"/>
      <c r="AN695" s="399" t="s">
        <v>1787</v>
      </c>
      <c r="AO695" s="399" t="s">
        <v>1787</v>
      </c>
      <c r="AP695" s="399"/>
      <c r="AQ695" s="409" t="s">
        <v>3130</v>
      </c>
      <c r="AR695" s="399"/>
      <c r="AS695" s="399"/>
      <c r="AT695" s="399"/>
      <c r="AU695" s="399"/>
      <c r="AV695" s="399" t="str">
        <f t="shared" si="123"/>
        <v/>
      </c>
      <c r="AW695" s="399"/>
      <c r="AX695" s="409" t="s">
        <v>5194</v>
      </c>
      <c r="AY695" s="399" t="e">
        <f t="shared" ca="1" si="124"/>
        <v>#NAME?</v>
      </c>
      <c r="AZ695" s="399"/>
      <c r="BA695" s="409" t="s">
        <v>3125</v>
      </c>
      <c r="BB695" s="399"/>
      <c r="BC695" s="399" t="s">
        <v>1787</v>
      </c>
      <c r="BD695" s="399" t="s">
        <v>1787</v>
      </c>
      <c r="BE695" s="411"/>
      <c r="BF695" s="411" t="s">
        <v>1787</v>
      </c>
      <c r="BG695" s="434" t="s">
        <v>8342</v>
      </c>
      <c r="BH695" s="411"/>
      <c r="BI695" s="411"/>
      <c r="BJ695" s="399" t="s">
        <v>1787</v>
      </c>
      <c r="BK695" s="399" t="s">
        <v>1787</v>
      </c>
      <c r="BL695" s="399"/>
      <c r="BM695" s="399" t="s">
        <v>1787</v>
      </c>
      <c r="BN695" s="399" t="s">
        <v>1787</v>
      </c>
      <c r="BO695" s="399" t="s">
        <v>1787</v>
      </c>
      <c r="BP695" s="399" t="s">
        <v>1787</v>
      </c>
      <c r="BQ695" s="399" t="s">
        <v>1787</v>
      </c>
      <c r="BR695" s="399" t="s">
        <v>1787</v>
      </c>
      <c r="BS695" s="407"/>
      <c r="BT695" s="407"/>
      <c r="BU695" s="412"/>
      <c r="BV695" s="46" t="str">
        <f t="shared" si="8"/>
        <v/>
      </c>
      <c r="BW695" s="46">
        <f t="shared" si="9"/>
        <v>0</v>
      </c>
      <c r="BX695" s="46">
        <f t="shared" si="10"/>
        <v>0</v>
      </c>
      <c r="BY695" s="43" t="str">
        <f t="shared" si="11"/>
        <v>WHO-STI Observation (Partner HIV Status)</v>
      </c>
      <c r="BZ695" s="46">
        <f t="shared" si="12"/>
        <v>1</v>
      </c>
      <c r="CA695" s="46" t="str">
        <f t="shared" si="13"/>
        <v/>
      </c>
      <c r="CB695" s="46">
        <f t="shared" si="14"/>
        <v>1</v>
      </c>
      <c r="CC695" s="46">
        <f t="shared" si="15"/>
        <v>1</v>
      </c>
      <c r="CD695" s="46">
        <f t="shared" si="16"/>
        <v>1</v>
      </c>
      <c r="CE695" s="46">
        <f t="shared" si="17"/>
        <v>0</v>
      </c>
      <c r="CF695" s="46">
        <f t="shared" si="18"/>
        <v>0</v>
      </c>
      <c r="CG695" s="46" t="str">
        <f ca="1">IFERROR(__xludf.DUMMYFUNCTION("if(OR(BH695="""",LEFT(BH695,2)=""LA""),"""",IMPORTXML(CONCATENATE(""https://loinc.org/"",BH695,""/""),""//span[@id='lcn']""))"),"")</f>
        <v/>
      </c>
      <c r="CH695" s="46"/>
      <c r="CI695" s="46"/>
      <c r="CJ695" s="46"/>
      <c r="CK695" s="46"/>
      <c r="CL695" s="46"/>
      <c r="CM695" s="46"/>
      <c r="CN695" s="46"/>
      <c r="CO695" s="46"/>
      <c r="CP695" s="46"/>
      <c r="CQ695" s="46"/>
      <c r="CR695" s="46"/>
      <c r="CS695" s="46"/>
      <c r="CT695" s="46"/>
      <c r="CU695" s="46"/>
    </row>
    <row r="696" spans="1:99" ht="12.75" customHeight="1">
      <c r="A696" s="409">
        <v>2128</v>
      </c>
      <c r="B696" s="399" t="s">
        <v>1942</v>
      </c>
      <c r="C696" s="399">
        <f t="shared" si="117"/>
        <v>2128</v>
      </c>
      <c r="D696" s="399" t="str">
        <f t="shared" si="118"/>
        <v>HIV positive counseling</v>
      </c>
      <c r="E696" s="399" t="str">
        <f t="shared" si="119"/>
        <v>HIV positive counseling</v>
      </c>
      <c r="F696" s="399" t="str">
        <f t="shared" si="126"/>
        <v>Data Element</v>
      </c>
      <c r="G696" s="400">
        <f t="shared" si="121"/>
        <v>23</v>
      </c>
      <c r="H696" s="400" t="str">
        <f t="shared" si="125"/>
        <v/>
      </c>
      <c r="I696" s="400"/>
      <c r="J696" s="400"/>
      <c r="K696" s="401" t="s">
        <v>5283</v>
      </c>
      <c r="L696" s="402" t="s">
        <v>887</v>
      </c>
      <c r="M696" s="400"/>
      <c r="N696" s="675" t="s">
        <v>7980</v>
      </c>
      <c r="O696" s="437" t="s">
        <v>8346</v>
      </c>
      <c r="P696" s="437"/>
      <c r="Q696" s="437" t="s">
        <v>1942</v>
      </c>
      <c r="R696" s="437" t="s">
        <v>2603</v>
      </c>
      <c r="S696" s="437"/>
      <c r="T696" s="437" t="s">
        <v>3121</v>
      </c>
      <c r="U696" s="437" t="s">
        <v>8350</v>
      </c>
      <c r="V696" s="437"/>
      <c r="W696" s="404"/>
      <c r="X696" s="437" t="s">
        <v>208</v>
      </c>
      <c r="Y696" s="437"/>
      <c r="Z696" s="437"/>
      <c r="AA696" s="437" t="s">
        <v>208</v>
      </c>
      <c r="AB696" s="629"/>
      <c r="AC696" s="437"/>
      <c r="AD696" s="444" t="s">
        <v>2375</v>
      </c>
      <c r="AE696" s="629"/>
      <c r="AF696" s="437"/>
      <c r="AG696" s="437"/>
      <c r="AH696" s="399"/>
      <c r="AI696" s="400"/>
      <c r="AJ696" s="399" t="s">
        <v>1787</v>
      </c>
      <c r="AK696" s="409" t="s">
        <v>6698</v>
      </c>
      <c r="AL696" s="409" t="s">
        <v>3181</v>
      </c>
      <c r="AM696" s="409" t="s">
        <v>3100</v>
      </c>
      <c r="AN696" s="399" t="s">
        <v>3101</v>
      </c>
      <c r="AO696" s="399" t="s">
        <v>1787</v>
      </c>
      <c r="AP696" s="409" t="s">
        <v>6515</v>
      </c>
      <c r="AQ696" s="409" t="s">
        <v>3424</v>
      </c>
      <c r="AR696" s="399"/>
      <c r="AS696" s="399"/>
      <c r="AT696" s="399"/>
      <c r="AU696" s="399"/>
      <c r="AV696" s="399" t="str">
        <f t="shared" si="123"/>
        <v/>
      </c>
      <c r="AW696" s="399"/>
      <c r="AX696" s="409" t="s">
        <v>5194</v>
      </c>
      <c r="AY696" s="399" t="str">
        <f t="shared" si="124"/>
        <v/>
      </c>
      <c r="AZ696" s="399"/>
      <c r="BA696" s="409" t="s">
        <v>3125</v>
      </c>
      <c r="BB696" s="399"/>
      <c r="BC696" s="399" t="s">
        <v>1787</v>
      </c>
      <c r="BD696" s="409" t="s">
        <v>3162</v>
      </c>
      <c r="BE696" s="411" t="s">
        <v>5260</v>
      </c>
      <c r="BF696" s="411" t="s">
        <v>1787</v>
      </c>
      <c r="BG696" s="434" t="s">
        <v>8353</v>
      </c>
      <c r="BH696" s="411"/>
      <c r="BI696" s="411"/>
      <c r="BJ696" s="399" t="s">
        <v>1787</v>
      </c>
      <c r="BK696" s="399" t="s">
        <v>1787</v>
      </c>
      <c r="BL696" s="399"/>
      <c r="BM696" s="399" t="s">
        <v>1787</v>
      </c>
      <c r="BN696" s="399" t="s">
        <v>1787</v>
      </c>
      <c r="BO696" s="399" t="s">
        <v>1787</v>
      </c>
      <c r="BP696" s="399" t="s">
        <v>1787</v>
      </c>
      <c r="BQ696" s="399" t="s">
        <v>1787</v>
      </c>
      <c r="BR696" s="399" t="s">
        <v>1787</v>
      </c>
      <c r="BS696" s="407"/>
      <c r="BT696" s="407"/>
      <c r="BU696" s="412"/>
      <c r="BV696" s="46" t="str">
        <f t="shared" si="8"/>
        <v>CarePlan</v>
      </c>
      <c r="BW696" s="46" t="str">
        <f t="shared" si="9"/>
        <v/>
      </c>
      <c r="BX696" s="46" t="str">
        <f t="shared" si="10"/>
        <v>CarePlan</v>
      </c>
      <c r="BY696" s="43" t="str">
        <f t="shared" si="11"/>
        <v>WHO-STI CarePlan (Recommendation)</v>
      </c>
      <c r="BZ696" s="46">
        <f t="shared" si="12"/>
        <v>1</v>
      </c>
      <c r="CA696" s="46">
        <f t="shared" si="13"/>
        <v>1</v>
      </c>
      <c r="CB696" s="46">
        <f t="shared" si="14"/>
        <v>1</v>
      </c>
      <c r="CC696" s="46">
        <f t="shared" si="15"/>
        <v>1</v>
      </c>
      <c r="CD696" s="46">
        <f t="shared" si="16"/>
        <v>1</v>
      </c>
      <c r="CE696" s="46">
        <f t="shared" si="17"/>
        <v>0</v>
      </c>
      <c r="CF696" s="46">
        <f t="shared" si="18"/>
        <v>0</v>
      </c>
      <c r="CG696" s="46" t="str">
        <f ca="1">IFERROR(__xludf.DUMMYFUNCTION("if(OR(BH696="""",LEFT(BH696,2)=""LA""),"""",IMPORTXML(CONCATENATE(""https://loinc.org/"",BH696,""/""),""//span[@id='lcn']""))"),"")</f>
        <v/>
      </c>
      <c r="CH696" s="46"/>
      <c r="CI696" s="46"/>
      <c r="CJ696" s="46"/>
      <c r="CK696" s="46"/>
      <c r="CL696" s="46"/>
      <c r="CM696" s="46"/>
      <c r="CN696" s="46"/>
      <c r="CO696" s="46"/>
      <c r="CP696" s="46"/>
      <c r="CQ696" s="46"/>
      <c r="CR696" s="46"/>
      <c r="CS696" s="46"/>
      <c r="CT696" s="46"/>
      <c r="CU696" s="46"/>
    </row>
    <row r="697" spans="1:99" ht="12.75" customHeight="1">
      <c r="A697" s="409">
        <v>2129</v>
      </c>
      <c r="B697" s="399" t="s">
        <v>2527</v>
      </c>
      <c r="C697" s="399">
        <f t="shared" si="117"/>
        <v>2129</v>
      </c>
      <c r="D697" s="399" t="e">
        <f t="shared" ca="1" si="118"/>
        <v>#NAME?</v>
      </c>
      <c r="E697" s="399" t="str">
        <f t="shared" si="119"/>
        <v>Done</v>
      </c>
      <c r="F697" s="399" t="str">
        <f t="shared" si="126"/>
        <v>Input Option</v>
      </c>
      <c r="G697" s="400">
        <f t="shared" si="121"/>
        <v>11</v>
      </c>
      <c r="H697" s="399" t="str">
        <f t="shared" si="125"/>
        <v>HIV positive counseling</v>
      </c>
      <c r="I697" s="400"/>
      <c r="J697" s="400"/>
      <c r="K697" s="401" t="s">
        <v>5283</v>
      </c>
      <c r="L697" s="402" t="s">
        <v>887</v>
      </c>
      <c r="M697" s="400"/>
      <c r="N697" s="675" t="s">
        <v>7980</v>
      </c>
      <c r="O697" s="437" t="s">
        <v>8365</v>
      </c>
      <c r="P697" s="437"/>
      <c r="Q697" s="437"/>
      <c r="R697" s="437"/>
      <c r="S697" s="437"/>
      <c r="T697" s="437"/>
      <c r="U697" s="437"/>
      <c r="V697" s="437" t="s">
        <v>1673</v>
      </c>
      <c r="W697" s="404"/>
      <c r="X697" s="437" t="s">
        <v>208</v>
      </c>
      <c r="Y697" s="437"/>
      <c r="Z697" s="437"/>
      <c r="AA697" s="437"/>
      <c r="AB697" s="629"/>
      <c r="AC697" s="437"/>
      <c r="AD697" s="437"/>
      <c r="AE697" s="629"/>
      <c r="AF697" s="437"/>
      <c r="AG697" s="437"/>
      <c r="AH697" s="399"/>
      <c r="AI697" s="400"/>
      <c r="AJ697" s="399" t="s">
        <v>1787</v>
      </c>
      <c r="AK697" s="399"/>
      <c r="AL697" s="399" t="s">
        <v>1787</v>
      </c>
      <c r="AM697" s="399"/>
      <c r="AN697" s="399" t="s">
        <v>1787</v>
      </c>
      <c r="AO697" s="399" t="s">
        <v>1787</v>
      </c>
      <c r="AP697" s="399"/>
      <c r="AQ697" s="409" t="s">
        <v>3130</v>
      </c>
      <c r="AR697" s="399"/>
      <c r="AS697" s="399"/>
      <c r="AT697" s="399"/>
      <c r="AU697" s="399"/>
      <c r="AV697" s="399" t="str">
        <f t="shared" si="123"/>
        <v/>
      </c>
      <c r="AW697" s="399"/>
      <c r="AX697" s="409" t="s">
        <v>5194</v>
      </c>
      <c r="AY697" s="399" t="e">
        <f t="shared" ca="1" si="124"/>
        <v>#NAME?</v>
      </c>
      <c r="AZ697" s="399"/>
      <c r="BA697" s="409" t="s">
        <v>3125</v>
      </c>
      <c r="BB697" s="415" t="s">
        <v>8369</v>
      </c>
      <c r="BC697" s="409" t="s">
        <v>5890</v>
      </c>
      <c r="BD697" s="409"/>
      <c r="BE697" s="411"/>
      <c r="BF697" s="411" t="s">
        <v>1787</v>
      </c>
      <c r="BG697" s="411"/>
      <c r="BH697" s="411"/>
      <c r="BI697" s="411"/>
      <c r="BJ697" s="399" t="s">
        <v>1787</v>
      </c>
      <c r="BK697" s="399" t="s">
        <v>1787</v>
      </c>
      <c r="BL697" s="399"/>
      <c r="BM697" s="399" t="s">
        <v>1787</v>
      </c>
      <c r="BN697" s="399" t="s">
        <v>1787</v>
      </c>
      <c r="BO697" s="399" t="s">
        <v>1787</v>
      </c>
      <c r="BP697" s="399" t="s">
        <v>1787</v>
      </c>
      <c r="BQ697" s="399" t="s">
        <v>1787</v>
      </c>
      <c r="BR697" s="399" t="s">
        <v>1787</v>
      </c>
      <c r="BS697" s="407"/>
      <c r="BT697" s="407"/>
      <c r="BU697" s="412"/>
      <c r="BV697" s="46" t="str">
        <f t="shared" si="8"/>
        <v/>
      </c>
      <c r="BW697" s="46">
        <f t="shared" si="9"/>
        <v>0</v>
      </c>
      <c r="BX697" s="46">
        <f t="shared" si="10"/>
        <v>0</v>
      </c>
      <c r="BY697" s="43" t="str">
        <f t="shared" si="11"/>
        <v>WHO-STI CarePlan (Recommendation)</v>
      </c>
      <c r="BZ697" s="46">
        <f t="shared" si="12"/>
        <v>1</v>
      </c>
      <c r="CA697" s="46" t="str">
        <f t="shared" si="13"/>
        <v/>
      </c>
      <c r="CB697" s="46">
        <f t="shared" si="14"/>
        <v>1</v>
      </c>
      <c r="CC697" s="46">
        <f t="shared" si="15"/>
        <v>1</v>
      </c>
      <c r="CD697" s="46">
        <f t="shared" si="16"/>
        <v>1</v>
      </c>
      <c r="CE697" s="46">
        <f t="shared" si="17"/>
        <v>0</v>
      </c>
      <c r="CF697" s="46">
        <f t="shared" si="18"/>
        <v>0</v>
      </c>
      <c r="CG697" s="46" t="str">
        <f ca="1">IFERROR(__xludf.DUMMYFUNCTION("if(OR(BH697="""",LEFT(BH697,2)=""LA""),"""",IMPORTXML(CONCATENATE(""https://loinc.org/"",BH697,""/""),""//span[@id='lcn']""))"),"")</f>
        <v/>
      </c>
      <c r="CH697" s="46"/>
      <c r="CI697" s="46"/>
      <c r="CJ697" s="46"/>
      <c r="CK697" s="46"/>
      <c r="CL697" s="46"/>
      <c r="CM697" s="46"/>
      <c r="CN697" s="46"/>
      <c r="CO697" s="46"/>
      <c r="CP697" s="46"/>
      <c r="CQ697" s="46"/>
      <c r="CR697" s="46"/>
      <c r="CS697" s="46"/>
      <c r="CT697" s="46"/>
      <c r="CU697" s="46"/>
    </row>
    <row r="698" spans="1:99" ht="12.75" customHeight="1">
      <c r="A698" s="409">
        <v>2130</v>
      </c>
      <c r="B698" s="399" t="s">
        <v>2118</v>
      </c>
      <c r="C698" s="399">
        <f t="shared" si="117"/>
        <v>2130</v>
      </c>
      <c r="D698" s="399" t="e">
        <f t="shared" ca="1" si="118"/>
        <v>#NAME?</v>
      </c>
      <c r="E698" s="399" t="str">
        <f t="shared" si="119"/>
        <v>Not done</v>
      </c>
      <c r="F698" s="399" t="str">
        <f t="shared" si="126"/>
        <v>Input Option</v>
      </c>
      <c r="G698" s="400">
        <f t="shared" si="121"/>
        <v>15</v>
      </c>
      <c r="H698" s="399" t="str">
        <f t="shared" si="125"/>
        <v>HIV positive counseling</v>
      </c>
      <c r="I698" s="400"/>
      <c r="J698" s="400"/>
      <c r="K698" s="401" t="s">
        <v>5283</v>
      </c>
      <c r="L698" s="402" t="s">
        <v>887</v>
      </c>
      <c r="M698" s="400"/>
      <c r="N698" s="675" t="s">
        <v>7980</v>
      </c>
      <c r="O698" s="437" t="s">
        <v>8376</v>
      </c>
      <c r="P698" s="437"/>
      <c r="Q698" s="437"/>
      <c r="R698" s="437"/>
      <c r="S698" s="437"/>
      <c r="T698" s="437"/>
      <c r="U698" s="437"/>
      <c r="V698" s="437" t="s">
        <v>1468</v>
      </c>
      <c r="W698" s="404"/>
      <c r="X698" s="437" t="s">
        <v>208</v>
      </c>
      <c r="Y698" s="437"/>
      <c r="Z698" s="437"/>
      <c r="AA698" s="437"/>
      <c r="AB698" s="629"/>
      <c r="AC698" s="437"/>
      <c r="AD698" s="437"/>
      <c r="AE698" s="629"/>
      <c r="AF698" s="437"/>
      <c r="AG698" s="437"/>
      <c r="AH698" s="399"/>
      <c r="AI698" s="400"/>
      <c r="AJ698" s="399" t="s">
        <v>1787</v>
      </c>
      <c r="AK698" s="399"/>
      <c r="AL698" s="399" t="s">
        <v>1787</v>
      </c>
      <c r="AM698" s="399"/>
      <c r="AN698" s="399" t="s">
        <v>1787</v>
      </c>
      <c r="AO698" s="399" t="s">
        <v>1787</v>
      </c>
      <c r="AP698" s="399"/>
      <c r="AQ698" s="409" t="s">
        <v>3130</v>
      </c>
      <c r="AR698" s="399"/>
      <c r="AS698" s="399"/>
      <c r="AT698" s="399"/>
      <c r="AU698" s="399"/>
      <c r="AV698" s="399" t="str">
        <f t="shared" si="123"/>
        <v/>
      </c>
      <c r="AW698" s="399"/>
      <c r="AX698" s="409" t="s">
        <v>5194</v>
      </c>
      <c r="AY698" s="399" t="e">
        <f t="shared" ca="1" si="124"/>
        <v>#NAME?</v>
      </c>
      <c r="AZ698" s="399"/>
      <c r="BA698" s="409" t="s">
        <v>3125</v>
      </c>
      <c r="BB698" s="415" t="s">
        <v>3131</v>
      </c>
      <c r="BC698" s="409" t="s">
        <v>8380</v>
      </c>
      <c r="BD698" s="399" t="s">
        <v>1787</v>
      </c>
      <c r="BE698" s="411"/>
      <c r="BF698" s="411" t="s">
        <v>1787</v>
      </c>
      <c r="BG698" s="411"/>
      <c r="BH698" s="411"/>
      <c r="BI698" s="411"/>
      <c r="BJ698" s="409" t="s">
        <v>3133</v>
      </c>
      <c r="BK698" s="399" t="s">
        <v>1787</v>
      </c>
      <c r="BL698" s="399"/>
      <c r="BM698" s="399" t="s">
        <v>1787</v>
      </c>
      <c r="BN698" s="399" t="s">
        <v>1787</v>
      </c>
      <c r="BO698" s="399" t="s">
        <v>1787</v>
      </c>
      <c r="BP698" s="399" t="s">
        <v>1787</v>
      </c>
      <c r="BQ698" s="399" t="s">
        <v>1787</v>
      </c>
      <c r="BR698" s="399" t="s">
        <v>1787</v>
      </c>
      <c r="BS698" s="407"/>
      <c r="BT698" s="407"/>
      <c r="BU698" s="412"/>
      <c r="BV698" s="46" t="str">
        <f t="shared" si="8"/>
        <v/>
      </c>
      <c r="BW698" s="46">
        <f t="shared" si="9"/>
        <v>0</v>
      </c>
      <c r="BX698" s="46">
        <f t="shared" si="10"/>
        <v>0</v>
      </c>
      <c r="BY698" s="43" t="str">
        <f t="shared" si="11"/>
        <v>WHO-STI CarePlan (Recommendation)</v>
      </c>
      <c r="BZ698" s="46">
        <f t="shared" si="12"/>
        <v>1</v>
      </c>
      <c r="CA698" s="46" t="str">
        <f t="shared" si="13"/>
        <v/>
      </c>
      <c r="CB698" s="46">
        <f t="shared" si="14"/>
        <v>1</v>
      </c>
      <c r="CC698" s="46">
        <f t="shared" si="15"/>
        <v>1</v>
      </c>
      <c r="CD698" s="46">
        <f t="shared" si="16"/>
        <v>1</v>
      </c>
      <c r="CE698" s="46">
        <f t="shared" si="17"/>
        <v>0</v>
      </c>
      <c r="CF698" s="46">
        <f t="shared" si="18"/>
        <v>0</v>
      </c>
      <c r="CG698" s="46" t="str">
        <f ca="1">IFERROR(__xludf.DUMMYFUNCTION("if(OR(BH698="""",LEFT(BH698,2)=""LA""),"""",IMPORTXML(CONCATENATE(""https://loinc.org/"",BH698,""/""),""//span[@id='lcn']""))"),"")</f>
        <v/>
      </c>
      <c r="CH698" s="46"/>
      <c r="CI698" s="46"/>
      <c r="CJ698" s="46"/>
      <c r="CK698" s="46"/>
      <c r="CL698" s="46"/>
      <c r="CM698" s="46"/>
      <c r="CN698" s="46"/>
      <c r="CO698" s="46"/>
      <c r="CP698" s="46"/>
      <c r="CQ698" s="46"/>
      <c r="CR698" s="46"/>
      <c r="CS698" s="46"/>
      <c r="CT698" s="46"/>
      <c r="CU698" s="46"/>
    </row>
    <row r="699" spans="1:99" ht="12.75" customHeight="1">
      <c r="A699" s="409">
        <v>2131</v>
      </c>
      <c r="B699" s="399" t="s">
        <v>7244</v>
      </c>
      <c r="C699" s="399">
        <f t="shared" si="117"/>
        <v>2131</v>
      </c>
      <c r="D699" s="399" t="str">
        <f t="shared" si="118"/>
        <v>Diagnosis</v>
      </c>
      <c r="E699" s="399" t="str">
        <f t="shared" si="119"/>
        <v>Diagnosis</v>
      </c>
      <c r="F699" s="399" t="str">
        <f t="shared" si="126"/>
        <v>Data Element</v>
      </c>
      <c r="G699" s="400">
        <f t="shared" si="121"/>
        <v>9</v>
      </c>
      <c r="H699" s="400" t="str">
        <f t="shared" si="125"/>
        <v/>
      </c>
      <c r="I699" s="400"/>
      <c r="J699" s="400"/>
      <c r="K699" s="401" t="s">
        <v>5283</v>
      </c>
      <c r="L699" s="402" t="s">
        <v>7244</v>
      </c>
      <c r="M699" s="400"/>
      <c r="N699" s="675" t="s">
        <v>7980</v>
      </c>
      <c r="O699" s="437" t="s">
        <v>8389</v>
      </c>
      <c r="P699" s="437"/>
      <c r="Q699" s="437" t="s">
        <v>7244</v>
      </c>
      <c r="R699" s="437"/>
      <c r="S699" s="437" t="s">
        <v>8390</v>
      </c>
      <c r="T699" s="437" t="s">
        <v>3121</v>
      </c>
      <c r="U699" s="444" t="s">
        <v>3326</v>
      </c>
      <c r="V699" s="437"/>
      <c r="W699" s="404"/>
      <c r="X699" s="437" t="s">
        <v>208</v>
      </c>
      <c r="Y699" s="437"/>
      <c r="Z699" s="437" t="s">
        <v>113</v>
      </c>
      <c r="AA699" s="437" t="s">
        <v>1889</v>
      </c>
      <c r="AB699" s="629"/>
      <c r="AC699" s="437"/>
      <c r="AD699" s="437"/>
      <c r="AE699" s="629"/>
      <c r="AF699" s="437"/>
      <c r="AG699" s="437"/>
      <c r="AH699" s="399"/>
      <c r="AI699" s="400"/>
      <c r="AJ699" s="399" t="s">
        <v>1787</v>
      </c>
      <c r="AK699" s="440" t="s">
        <v>4476</v>
      </c>
      <c r="AL699" s="399"/>
      <c r="AM699" s="399" t="s">
        <v>3100</v>
      </c>
      <c r="AN699" s="399" t="s">
        <v>3101</v>
      </c>
      <c r="AO699" s="399" t="s">
        <v>1787</v>
      </c>
      <c r="AP699" s="409" t="s">
        <v>6719</v>
      </c>
      <c r="AQ699" s="409" t="s">
        <v>3130</v>
      </c>
      <c r="AR699" s="399"/>
      <c r="AS699" s="409" t="s">
        <v>3413</v>
      </c>
      <c r="AT699" s="399"/>
      <c r="AU699" s="399"/>
      <c r="AV699" s="399" t="str">
        <f t="shared" si="123"/>
        <v/>
      </c>
      <c r="AW699" s="399"/>
      <c r="AX699" s="409" t="s">
        <v>5194</v>
      </c>
      <c r="AY699" s="399" t="str">
        <f t="shared" si="124"/>
        <v/>
      </c>
      <c r="AZ699" s="399"/>
      <c r="BA699" s="409" t="s">
        <v>3125</v>
      </c>
      <c r="BB699" s="399"/>
      <c r="BC699" s="399" t="s">
        <v>1787</v>
      </c>
      <c r="BD699" s="399" t="s">
        <v>1787</v>
      </c>
      <c r="BE699" s="411"/>
      <c r="BF699" s="411" t="s">
        <v>1787</v>
      </c>
      <c r="BG699" s="411"/>
      <c r="BH699" s="434" t="s">
        <v>8393</v>
      </c>
      <c r="BI699" s="411"/>
      <c r="BJ699" s="399" t="s">
        <v>1787</v>
      </c>
      <c r="BK699" s="399" t="s">
        <v>1787</v>
      </c>
      <c r="BL699" s="409" t="s">
        <v>3162</v>
      </c>
      <c r="BM699" s="399" t="s">
        <v>1787</v>
      </c>
      <c r="BN699" s="399" t="s">
        <v>1787</v>
      </c>
      <c r="BO699" s="399" t="s">
        <v>1787</v>
      </c>
      <c r="BP699" s="399" t="s">
        <v>1787</v>
      </c>
      <c r="BQ699" s="399" t="s">
        <v>1787</v>
      </c>
      <c r="BR699" s="399" t="s">
        <v>1787</v>
      </c>
      <c r="BS699" s="407"/>
      <c r="BT699" s="407"/>
      <c r="BU699" s="412"/>
      <c r="BV699" s="46" t="str">
        <f t="shared" si="8"/>
        <v>Condition</v>
      </c>
      <c r="BW699" s="46" t="str">
        <f t="shared" si="9"/>
        <v/>
      </c>
      <c r="BX699" s="46" t="str">
        <f t="shared" si="10"/>
        <v>Condition</v>
      </c>
      <c r="BY699" s="43" t="str">
        <f t="shared" si="11"/>
        <v>WHO-STI Condition (Diagnosis)</v>
      </c>
      <c r="BZ699" s="46">
        <f t="shared" si="12"/>
        <v>1</v>
      </c>
      <c r="CA699" s="46">
        <f t="shared" si="13"/>
        <v>1</v>
      </c>
      <c r="CB699" s="46">
        <f t="shared" si="14"/>
        <v>1</v>
      </c>
      <c r="CC699" s="46">
        <f t="shared" si="15"/>
        <v>1</v>
      </c>
      <c r="CD699" s="46">
        <f t="shared" si="16"/>
        <v>1</v>
      </c>
      <c r="CE699" s="46">
        <f t="shared" si="17"/>
        <v>0</v>
      </c>
      <c r="CF699" s="46">
        <f t="shared" si="18"/>
        <v>0</v>
      </c>
      <c r="CG699" s="46" t="str">
        <f ca="1">IFERROR(__xludf.DUMMYFUNCTION("if(OR(BH699="""",LEFT(BH699,2)=""LA""),"""",IMPORTXML(CONCATENATE(""https://loinc.org/"",BH699,""/""),""//span[@id='lcn']""))"),"Active disease diagnosis")</f>
        <v>Active disease diagnosis</v>
      </c>
      <c r="CH699" s="46"/>
      <c r="CI699" s="46"/>
      <c r="CJ699" s="46"/>
      <c r="CK699" s="46"/>
      <c r="CL699" s="46"/>
      <c r="CM699" s="46"/>
      <c r="CN699" s="46"/>
      <c r="CO699" s="46"/>
      <c r="CP699" s="46"/>
      <c r="CQ699" s="46"/>
      <c r="CR699" s="46"/>
      <c r="CS699" s="46"/>
      <c r="CT699" s="46"/>
      <c r="CU699" s="46"/>
    </row>
    <row r="700" spans="1:99" ht="12.75" customHeight="1">
      <c r="A700" s="409">
        <v>2132</v>
      </c>
      <c r="B700" s="399" t="s">
        <v>8402</v>
      </c>
      <c r="C700" s="399">
        <f t="shared" si="117"/>
        <v>2132</v>
      </c>
      <c r="D700" s="399" t="e">
        <f t="shared" ca="1" si="118"/>
        <v>#NAME?</v>
      </c>
      <c r="E700" s="399" t="str">
        <f t="shared" si="119"/>
        <v>Chlamydia</v>
      </c>
      <c r="F700" s="399" t="str">
        <f t="shared" si="126"/>
        <v>Input Option</v>
      </c>
      <c r="G700" s="400">
        <f t="shared" si="121"/>
        <v>16</v>
      </c>
      <c r="H700" s="399" t="str">
        <f t="shared" si="125"/>
        <v>Diagnosis</v>
      </c>
      <c r="I700" s="400"/>
      <c r="J700" s="400"/>
      <c r="K700" s="401" t="s">
        <v>5283</v>
      </c>
      <c r="L700" s="402" t="s">
        <v>7244</v>
      </c>
      <c r="M700" s="400"/>
      <c r="N700" s="675" t="s">
        <v>7980</v>
      </c>
      <c r="O700" s="431" t="s">
        <v>6293</v>
      </c>
      <c r="P700" s="431"/>
      <c r="Q700" s="404"/>
      <c r="R700" s="431"/>
      <c r="S700" s="431"/>
      <c r="T700" s="437"/>
      <c r="U700" s="437"/>
      <c r="V700" s="437" t="s">
        <v>6292</v>
      </c>
      <c r="W700" s="404"/>
      <c r="X700" s="437" t="s">
        <v>208</v>
      </c>
      <c r="Y700" s="437"/>
      <c r="Z700" s="437" t="s">
        <v>113</v>
      </c>
      <c r="AA700" s="437" t="s">
        <v>1889</v>
      </c>
      <c r="AB700" s="629"/>
      <c r="AC700" s="437"/>
      <c r="AD700" s="404" t="s">
        <v>3215</v>
      </c>
      <c r="AE700" s="629"/>
      <c r="AF700" s="437"/>
      <c r="AG700" s="437"/>
      <c r="AH700" s="399"/>
      <c r="AI700" s="400"/>
      <c r="AJ700" s="399" t="s">
        <v>1787</v>
      </c>
      <c r="AK700" s="399"/>
      <c r="AL700" s="399" t="s">
        <v>1787</v>
      </c>
      <c r="AM700" s="399"/>
      <c r="AN700" s="399" t="s">
        <v>1787</v>
      </c>
      <c r="AO700" s="399" t="s">
        <v>1787</v>
      </c>
      <c r="AP700" s="399"/>
      <c r="AQ700" s="409" t="s">
        <v>3130</v>
      </c>
      <c r="AR700" s="399"/>
      <c r="AS700" s="399"/>
      <c r="AT700" s="399"/>
      <c r="AU700" s="399"/>
      <c r="AV700" s="399" t="str">
        <f t="shared" si="123"/>
        <v/>
      </c>
      <c r="AW700" s="399"/>
      <c r="AX700" s="409" t="s">
        <v>5194</v>
      </c>
      <c r="AY700" s="399" t="e">
        <f t="shared" ca="1" si="124"/>
        <v>#NAME?</v>
      </c>
      <c r="AZ700" s="399"/>
      <c r="BA700" s="409" t="s">
        <v>3125</v>
      </c>
      <c r="BB700" s="399"/>
      <c r="BC700" s="399" t="s">
        <v>1787</v>
      </c>
      <c r="BD700" s="409" t="s">
        <v>3162</v>
      </c>
      <c r="BE700" s="411" t="s">
        <v>5215</v>
      </c>
      <c r="BF700" s="411" t="s">
        <v>1787</v>
      </c>
      <c r="BG700" s="418" t="s">
        <v>8419</v>
      </c>
      <c r="BH700" s="411"/>
      <c r="BI700" s="411"/>
      <c r="BJ700" s="399" t="s">
        <v>1787</v>
      </c>
      <c r="BK700" s="399" t="s">
        <v>1787</v>
      </c>
      <c r="BL700" s="399"/>
      <c r="BM700" s="399" t="s">
        <v>1787</v>
      </c>
      <c r="BN700" s="399" t="s">
        <v>1787</v>
      </c>
      <c r="BO700" s="399" t="s">
        <v>1787</v>
      </c>
      <c r="BP700" s="399" t="s">
        <v>1787</v>
      </c>
      <c r="BQ700" s="399" t="s">
        <v>1787</v>
      </c>
      <c r="BR700" s="399" t="s">
        <v>1787</v>
      </c>
      <c r="BS700" s="407"/>
      <c r="BT700" s="407"/>
      <c r="BU700" s="412"/>
      <c r="BV700" s="46" t="str">
        <f t="shared" si="8"/>
        <v/>
      </c>
      <c r="BW700" s="46">
        <f t="shared" si="9"/>
        <v>0</v>
      </c>
      <c r="BX700" s="46">
        <f t="shared" si="10"/>
        <v>0</v>
      </c>
      <c r="BY700" s="43" t="str">
        <f t="shared" si="11"/>
        <v>WHO-STI Condition (Diagnosis)</v>
      </c>
      <c r="BZ700" s="46">
        <f t="shared" si="12"/>
        <v>1</v>
      </c>
      <c r="CA700" s="46" t="str">
        <f t="shared" si="13"/>
        <v/>
      </c>
      <c r="CB700" s="46">
        <f t="shared" si="14"/>
        <v>1</v>
      </c>
      <c r="CC700" s="46">
        <f t="shared" si="15"/>
        <v>1</v>
      </c>
      <c r="CD700" s="46">
        <f t="shared" si="16"/>
        <v>1</v>
      </c>
      <c r="CE700" s="46">
        <f t="shared" si="17"/>
        <v>0</v>
      </c>
      <c r="CF700" s="46">
        <f t="shared" si="18"/>
        <v>0</v>
      </c>
      <c r="CG700" s="46" t="str">
        <f ca="1">IFERROR(__xludf.DUMMYFUNCTION("if(OR(BH700="""",LEFT(BH700,2)=""LA""),"""",IMPORTXML(CONCATENATE(""https://loinc.org/"",BH700,""/""),""//span[@id='lcn']""))"),"")</f>
        <v/>
      </c>
      <c r="CH700" s="46"/>
      <c r="CI700" s="46"/>
      <c r="CJ700" s="46"/>
      <c r="CK700" s="46"/>
      <c r="CL700" s="46"/>
      <c r="CM700" s="46"/>
      <c r="CN700" s="46"/>
      <c r="CO700" s="46"/>
      <c r="CP700" s="46"/>
      <c r="CQ700" s="46"/>
      <c r="CR700" s="46"/>
      <c r="CS700" s="46"/>
      <c r="CT700" s="46"/>
      <c r="CU700" s="46"/>
    </row>
    <row r="701" spans="1:99" ht="12.75" customHeight="1">
      <c r="A701" s="409">
        <v>2133</v>
      </c>
      <c r="B701" s="399" t="s">
        <v>8428</v>
      </c>
      <c r="C701" s="399">
        <f t="shared" si="117"/>
        <v>2133</v>
      </c>
      <c r="D701" s="399" t="e">
        <f t="shared" ca="1" si="118"/>
        <v>#NAME?</v>
      </c>
      <c r="E701" s="399" t="str">
        <f t="shared" si="119"/>
        <v>Syphilis</v>
      </c>
      <c r="F701" s="399" t="str">
        <f t="shared" si="126"/>
        <v>Input Option</v>
      </c>
      <c r="G701" s="400">
        <f t="shared" si="121"/>
        <v>15</v>
      </c>
      <c r="H701" s="399" t="str">
        <f t="shared" si="125"/>
        <v>Diagnosis</v>
      </c>
      <c r="I701" s="400"/>
      <c r="J701" s="400"/>
      <c r="K701" s="401" t="s">
        <v>5283</v>
      </c>
      <c r="L701" s="402" t="s">
        <v>7244</v>
      </c>
      <c r="M701" s="400"/>
      <c r="N701" s="675" t="s">
        <v>7980</v>
      </c>
      <c r="O701" s="431" t="s">
        <v>6296</v>
      </c>
      <c r="P701" s="431"/>
      <c r="Q701" s="404"/>
      <c r="R701" s="431"/>
      <c r="S701" s="431"/>
      <c r="T701" s="437"/>
      <c r="U701" s="437"/>
      <c r="V701" s="437" t="s">
        <v>2057</v>
      </c>
      <c r="W701" s="404"/>
      <c r="X701" s="437" t="s">
        <v>208</v>
      </c>
      <c r="Y701" s="437"/>
      <c r="Z701" s="437" t="s">
        <v>113</v>
      </c>
      <c r="AA701" s="437" t="s">
        <v>1889</v>
      </c>
      <c r="AB701" s="629"/>
      <c r="AC701" s="437"/>
      <c r="AD701" s="404" t="s">
        <v>3215</v>
      </c>
      <c r="AE701" s="629"/>
      <c r="AF701" s="437"/>
      <c r="AG701" s="437"/>
      <c r="AH701" s="399"/>
      <c r="AI701" s="400"/>
      <c r="AJ701" s="399" t="s">
        <v>1787</v>
      </c>
      <c r="AK701" s="399"/>
      <c r="AL701" s="399" t="s">
        <v>1787</v>
      </c>
      <c r="AM701" s="399"/>
      <c r="AN701" s="399" t="s">
        <v>1787</v>
      </c>
      <c r="AO701" s="399" t="s">
        <v>1787</v>
      </c>
      <c r="AP701" s="399"/>
      <c r="AQ701" s="409" t="s">
        <v>3130</v>
      </c>
      <c r="AR701" s="399"/>
      <c r="AS701" s="399"/>
      <c r="AT701" s="399"/>
      <c r="AU701" s="399"/>
      <c r="AV701" s="399" t="str">
        <f t="shared" si="123"/>
        <v/>
      </c>
      <c r="AW701" s="399"/>
      <c r="AX701" s="409" t="s">
        <v>5194</v>
      </c>
      <c r="AY701" s="399" t="e">
        <f t="shared" ca="1" si="124"/>
        <v>#NAME?</v>
      </c>
      <c r="AZ701" s="399"/>
      <c r="BA701" s="409" t="s">
        <v>3125</v>
      </c>
      <c r="BB701" s="399"/>
      <c r="BC701" s="399" t="s">
        <v>1787</v>
      </c>
      <c r="BD701" s="409" t="s">
        <v>3162</v>
      </c>
      <c r="BE701" s="411" t="s">
        <v>8437</v>
      </c>
      <c r="BF701" s="411" t="s">
        <v>1787</v>
      </c>
      <c r="BG701" s="434" t="s">
        <v>8438</v>
      </c>
      <c r="BH701" s="411"/>
      <c r="BI701" s="411"/>
      <c r="BJ701" s="399" t="s">
        <v>1787</v>
      </c>
      <c r="BK701" s="399" t="s">
        <v>1787</v>
      </c>
      <c r="BL701" s="399"/>
      <c r="BM701" s="399" t="s">
        <v>1787</v>
      </c>
      <c r="BN701" s="399" t="s">
        <v>1787</v>
      </c>
      <c r="BO701" s="399" t="s">
        <v>1787</v>
      </c>
      <c r="BP701" s="399" t="s">
        <v>1787</v>
      </c>
      <c r="BQ701" s="399" t="s">
        <v>1787</v>
      </c>
      <c r="BR701" s="399" t="s">
        <v>1787</v>
      </c>
      <c r="BS701" s="407"/>
      <c r="BT701" s="407"/>
      <c r="BU701" s="412"/>
      <c r="BV701" s="46" t="str">
        <f t="shared" si="8"/>
        <v/>
      </c>
      <c r="BW701" s="46">
        <f t="shared" si="9"/>
        <v>0</v>
      </c>
      <c r="BX701" s="46">
        <f t="shared" si="10"/>
        <v>0</v>
      </c>
      <c r="BY701" s="43" t="str">
        <f t="shared" si="11"/>
        <v>WHO-STI Condition (Diagnosis)</v>
      </c>
      <c r="BZ701" s="46">
        <f t="shared" si="12"/>
        <v>1</v>
      </c>
      <c r="CA701" s="46" t="str">
        <f t="shared" si="13"/>
        <v/>
      </c>
      <c r="CB701" s="46">
        <f t="shared" si="14"/>
        <v>1</v>
      </c>
      <c r="CC701" s="46">
        <f t="shared" si="15"/>
        <v>1</v>
      </c>
      <c r="CD701" s="46">
        <f t="shared" si="16"/>
        <v>1</v>
      </c>
      <c r="CE701" s="46">
        <f t="shared" si="17"/>
        <v>0</v>
      </c>
      <c r="CF701" s="46">
        <f t="shared" si="18"/>
        <v>0</v>
      </c>
      <c r="CG701" s="46" t="str">
        <f ca="1">IFERROR(__xludf.DUMMYFUNCTION("if(OR(BH701="""",LEFT(BH701,2)=""LA""),"""",IMPORTXML(CONCATENATE(""https://loinc.org/"",BH701,""/""),""//span[@id='lcn']""))"),"")</f>
        <v/>
      </c>
      <c r="CH701" s="46"/>
      <c r="CI701" s="46"/>
      <c r="CJ701" s="46"/>
      <c r="CK701" s="46"/>
      <c r="CL701" s="46"/>
      <c r="CM701" s="46"/>
      <c r="CN701" s="46"/>
      <c r="CO701" s="46"/>
      <c r="CP701" s="46"/>
      <c r="CQ701" s="46"/>
      <c r="CR701" s="46"/>
      <c r="CS701" s="46"/>
      <c r="CT701" s="46"/>
      <c r="CU701" s="46"/>
    </row>
    <row r="702" spans="1:99" ht="12.75" customHeight="1">
      <c r="A702" s="409">
        <v>2134</v>
      </c>
      <c r="B702" s="399" t="s">
        <v>8446</v>
      </c>
      <c r="C702" s="399">
        <f t="shared" si="117"/>
        <v>2134</v>
      </c>
      <c r="D702" s="399" t="e">
        <f t="shared" ca="1" si="118"/>
        <v>#NAME?</v>
      </c>
      <c r="E702" s="399" t="str">
        <f t="shared" si="119"/>
        <v>Genital herpes</v>
      </c>
      <c r="F702" s="399" t="str">
        <f t="shared" si="126"/>
        <v>Input Option</v>
      </c>
      <c r="G702" s="400">
        <f t="shared" si="121"/>
        <v>21</v>
      </c>
      <c r="H702" s="399" t="str">
        <f t="shared" si="125"/>
        <v>Diagnosis</v>
      </c>
      <c r="I702" s="400"/>
      <c r="J702" s="400"/>
      <c r="K702" s="401" t="s">
        <v>5283</v>
      </c>
      <c r="L702" s="402" t="s">
        <v>7244</v>
      </c>
      <c r="M702" s="400"/>
      <c r="N702" s="675" t="s">
        <v>7980</v>
      </c>
      <c r="O702" s="431" t="s">
        <v>6303</v>
      </c>
      <c r="P702" s="431"/>
      <c r="Q702" s="437"/>
      <c r="R702" s="437" t="s">
        <v>6304</v>
      </c>
      <c r="S702" s="444" t="s">
        <v>8451</v>
      </c>
      <c r="T702" s="437"/>
      <c r="U702" s="437"/>
      <c r="V702" s="431" t="s">
        <v>8453</v>
      </c>
      <c r="W702" s="404"/>
      <c r="X702" s="437" t="s">
        <v>208</v>
      </c>
      <c r="Y702" s="437"/>
      <c r="Z702" s="437" t="s">
        <v>113</v>
      </c>
      <c r="AA702" s="437" t="s">
        <v>1889</v>
      </c>
      <c r="AB702" s="629"/>
      <c r="AC702" s="437"/>
      <c r="AD702" s="404" t="s">
        <v>3215</v>
      </c>
      <c r="AE702" s="629"/>
      <c r="AF702" s="437"/>
      <c r="AG702" s="437"/>
      <c r="AH702" s="399"/>
      <c r="AI702" s="400"/>
      <c r="AJ702" s="399" t="s">
        <v>1787</v>
      </c>
      <c r="AK702" s="399"/>
      <c r="AL702" s="399" t="s">
        <v>1787</v>
      </c>
      <c r="AM702" s="399"/>
      <c r="AN702" s="399" t="s">
        <v>1787</v>
      </c>
      <c r="AO702" s="399" t="s">
        <v>1787</v>
      </c>
      <c r="AP702" s="399"/>
      <c r="AQ702" s="409" t="s">
        <v>3130</v>
      </c>
      <c r="AR702" s="399"/>
      <c r="AS702" s="399"/>
      <c r="AT702" s="399"/>
      <c r="AU702" s="399"/>
      <c r="AV702" s="399" t="str">
        <f t="shared" si="123"/>
        <v/>
      </c>
      <c r="AW702" s="399"/>
      <c r="AX702" s="409" t="s">
        <v>5194</v>
      </c>
      <c r="AY702" s="399" t="e">
        <f t="shared" ca="1" si="124"/>
        <v>#NAME?</v>
      </c>
      <c r="AZ702" s="399"/>
      <c r="BA702" s="409" t="s">
        <v>3125</v>
      </c>
      <c r="BB702" s="399"/>
      <c r="BC702" s="399" t="s">
        <v>1787</v>
      </c>
      <c r="BD702" s="399" t="s">
        <v>1787</v>
      </c>
      <c r="BE702" s="411"/>
      <c r="BF702" s="411" t="s">
        <v>1787</v>
      </c>
      <c r="BG702" s="434" t="s">
        <v>8457</v>
      </c>
      <c r="BH702" s="411"/>
      <c r="BI702" s="411"/>
      <c r="BJ702" s="399" t="s">
        <v>1787</v>
      </c>
      <c r="BK702" s="399" t="s">
        <v>1787</v>
      </c>
      <c r="BL702" s="399"/>
      <c r="BM702" s="399" t="s">
        <v>1787</v>
      </c>
      <c r="BN702" s="399" t="s">
        <v>1787</v>
      </c>
      <c r="BO702" s="399" t="s">
        <v>1787</v>
      </c>
      <c r="BP702" s="399" t="s">
        <v>1787</v>
      </c>
      <c r="BQ702" s="399" t="s">
        <v>1787</v>
      </c>
      <c r="BR702" s="399" t="s">
        <v>1787</v>
      </c>
      <c r="BS702" s="407"/>
      <c r="BT702" s="407"/>
      <c r="BU702" s="412"/>
      <c r="BV702" s="46" t="str">
        <f t="shared" si="8"/>
        <v/>
      </c>
      <c r="BW702" s="46">
        <f t="shared" si="9"/>
        <v>0</v>
      </c>
      <c r="BX702" s="46">
        <f t="shared" si="10"/>
        <v>0</v>
      </c>
      <c r="BY702" s="43" t="str">
        <f t="shared" si="11"/>
        <v>WHO-STI Condition (Diagnosis)</v>
      </c>
      <c r="BZ702" s="46">
        <f t="shared" si="12"/>
        <v>1</v>
      </c>
      <c r="CA702" s="46" t="str">
        <f t="shared" si="13"/>
        <v/>
      </c>
      <c r="CB702" s="46">
        <f t="shared" si="14"/>
        <v>1</v>
      </c>
      <c r="CC702" s="46">
        <f t="shared" si="15"/>
        <v>1</v>
      </c>
      <c r="CD702" s="46">
        <f t="shared" si="16"/>
        <v>1</v>
      </c>
      <c r="CE702" s="46">
        <f t="shared" si="17"/>
        <v>0</v>
      </c>
      <c r="CF702" s="46">
        <f t="shared" si="18"/>
        <v>0</v>
      </c>
      <c r="CG702" s="46" t="str">
        <f ca="1">IFERROR(__xludf.DUMMYFUNCTION("if(OR(BH702="""",LEFT(BH702,2)=""LA""),"""",IMPORTXML(CONCATENATE(""https://loinc.org/"",BH702,""/""),""//span[@id='lcn']""))"),"")</f>
        <v/>
      </c>
      <c r="CH702" s="46"/>
      <c r="CI702" s="46"/>
      <c r="CJ702" s="46"/>
      <c r="CK702" s="46"/>
      <c r="CL702" s="46"/>
      <c r="CM702" s="46"/>
      <c r="CN702" s="46"/>
      <c r="CO702" s="46"/>
      <c r="CP702" s="46"/>
      <c r="CQ702" s="46"/>
      <c r="CR702" s="46"/>
      <c r="CS702" s="46"/>
      <c r="CT702" s="46"/>
      <c r="CU702" s="46"/>
    </row>
    <row r="703" spans="1:99" ht="12.75" customHeight="1">
      <c r="A703" s="409">
        <v>2135</v>
      </c>
      <c r="B703" s="399" t="s">
        <v>8464</v>
      </c>
      <c r="C703" s="399">
        <f t="shared" si="117"/>
        <v>2135</v>
      </c>
      <c r="D703" s="399" t="e">
        <f t="shared" ca="1" si="118"/>
        <v>#NAME?</v>
      </c>
      <c r="E703" s="399" t="str">
        <f t="shared" si="119"/>
        <v>Gonorrhea</v>
      </c>
      <c r="F703" s="399" t="str">
        <f t="shared" si="126"/>
        <v>Input Option</v>
      </c>
      <c r="G703" s="400">
        <f t="shared" si="121"/>
        <v>16</v>
      </c>
      <c r="H703" s="399" t="str">
        <f t="shared" si="125"/>
        <v>Diagnosis</v>
      </c>
      <c r="I703" s="400"/>
      <c r="J703" s="400"/>
      <c r="K703" s="401" t="s">
        <v>5283</v>
      </c>
      <c r="L703" s="402" t="s">
        <v>7244</v>
      </c>
      <c r="M703" s="400"/>
      <c r="N703" s="675" t="s">
        <v>7980</v>
      </c>
      <c r="O703" s="431" t="s">
        <v>6310</v>
      </c>
      <c r="P703" s="431"/>
      <c r="Q703" s="404"/>
      <c r="R703" s="431"/>
      <c r="S703" s="431"/>
      <c r="T703" s="437"/>
      <c r="U703" s="437"/>
      <c r="V703" s="437" t="s">
        <v>6309</v>
      </c>
      <c r="W703" s="404"/>
      <c r="X703" s="437" t="s">
        <v>208</v>
      </c>
      <c r="Y703" s="437"/>
      <c r="Z703" s="437" t="s">
        <v>113</v>
      </c>
      <c r="AA703" s="437" t="s">
        <v>1889</v>
      </c>
      <c r="AB703" s="629"/>
      <c r="AC703" s="437"/>
      <c r="AD703" s="404" t="s">
        <v>3215</v>
      </c>
      <c r="AE703" s="629"/>
      <c r="AF703" s="437"/>
      <c r="AG703" s="437"/>
      <c r="AH703" s="399"/>
      <c r="AI703" s="400"/>
      <c r="AJ703" s="399" t="s">
        <v>1787</v>
      </c>
      <c r="AK703" s="399"/>
      <c r="AL703" s="399" t="s">
        <v>1787</v>
      </c>
      <c r="AM703" s="399"/>
      <c r="AN703" s="399" t="s">
        <v>1787</v>
      </c>
      <c r="AO703" s="399" t="s">
        <v>1787</v>
      </c>
      <c r="AP703" s="399"/>
      <c r="AQ703" s="409" t="s">
        <v>3130</v>
      </c>
      <c r="AR703" s="399"/>
      <c r="AS703" s="399"/>
      <c r="AT703" s="399"/>
      <c r="AU703" s="399"/>
      <c r="AV703" s="399" t="str">
        <f t="shared" si="123"/>
        <v/>
      </c>
      <c r="AW703" s="399"/>
      <c r="AX703" s="409" t="s">
        <v>5194</v>
      </c>
      <c r="AY703" s="399" t="e">
        <f t="shared" ca="1" si="124"/>
        <v>#NAME?</v>
      </c>
      <c r="AZ703" s="399"/>
      <c r="BA703" s="409" t="s">
        <v>3125</v>
      </c>
      <c r="BB703" s="399"/>
      <c r="BC703" s="399" t="s">
        <v>1787</v>
      </c>
      <c r="BD703" s="409" t="s">
        <v>3162</v>
      </c>
      <c r="BE703" s="411"/>
      <c r="BF703" s="411" t="s">
        <v>1787</v>
      </c>
      <c r="BG703" s="418" t="s">
        <v>5210</v>
      </c>
      <c r="BH703" s="411"/>
      <c r="BI703" s="411"/>
      <c r="BJ703" s="399" t="s">
        <v>1787</v>
      </c>
      <c r="BK703" s="399" t="s">
        <v>1787</v>
      </c>
      <c r="BL703" s="399"/>
      <c r="BM703" s="399" t="s">
        <v>1787</v>
      </c>
      <c r="BN703" s="399" t="s">
        <v>1787</v>
      </c>
      <c r="BO703" s="399" t="s">
        <v>1787</v>
      </c>
      <c r="BP703" s="399" t="s">
        <v>1787</v>
      </c>
      <c r="BQ703" s="399" t="s">
        <v>1787</v>
      </c>
      <c r="BR703" s="399" t="s">
        <v>1787</v>
      </c>
      <c r="BS703" s="407"/>
      <c r="BT703" s="407"/>
      <c r="BU703" s="412"/>
      <c r="BV703" s="46" t="str">
        <f t="shared" si="8"/>
        <v/>
      </c>
      <c r="BW703" s="46">
        <f t="shared" si="9"/>
        <v>0</v>
      </c>
      <c r="BX703" s="46">
        <f t="shared" si="10"/>
        <v>0</v>
      </c>
      <c r="BY703" s="43" t="str">
        <f t="shared" si="11"/>
        <v>WHO-STI Condition (Diagnosis)</v>
      </c>
      <c r="BZ703" s="46">
        <f t="shared" si="12"/>
        <v>1</v>
      </c>
      <c r="CA703" s="46" t="str">
        <f t="shared" si="13"/>
        <v/>
      </c>
      <c r="CB703" s="46">
        <f t="shared" si="14"/>
        <v>1</v>
      </c>
      <c r="CC703" s="46">
        <f t="shared" si="15"/>
        <v>1</v>
      </c>
      <c r="CD703" s="46">
        <f t="shared" si="16"/>
        <v>1</v>
      </c>
      <c r="CE703" s="46">
        <f t="shared" si="17"/>
        <v>0</v>
      </c>
      <c r="CF703" s="46">
        <f t="shared" si="18"/>
        <v>0</v>
      </c>
      <c r="CG703" s="46" t="str">
        <f ca="1">IFERROR(__xludf.DUMMYFUNCTION("if(OR(BH703="""",LEFT(BH703,2)=""LA""),"""",IMPORTXML(CONCATENATE(""https://loinc.org/"",BH703,""/""),""//span[@id='lcn']""))"),"")</f>
        <v/>
      </c>
      <c r="CH703" s="46"/>
      <c r="CI703" s="46"/>
      <c r="CJ703" s="46"/>
      <c r="CK703" s="46"/>
      <c r="CL703" s="46"/>
      <c r="CM703" s="46"/>
      <c r="CN703" s="46"/>
      <c r="CO703" s="46"/>
      <c r="CP703" s="46"/>
      <c r="CQ703" s="46"/>
      <c r="CR703" s="46"/>
      <c r="CS703" s="46"/>
      <c r="CT703" s="46"/>
      <c r="CU703" s="46"/>
    </row>
    <row r="704" spans="1:99" ht="12.75" customHeight="1">
      <c r="A704" s="409">
        <v>2136</v>
      </c>
      <c r="B704" s="399" t="s">
        <v>8482</v>
      </c>
      <c r="C704" s="399">
        <f t="shared" si="117"/>
        <v>2136</v>
      </c>
      <c r="D704" s="399" t="e">
        <f t="shared" ca="1" si="118"/>
        <v>#NAME?</v>
      </c>
      <c r="E704" s="399" t="str">
        <f t="shared" si="119"/>
        <v xml:space="preserve">Gonococcal </v>
      </c>
      <c r="F704" s="399" t="str">
        <f t="shared" si="126"/>
        <v>Input Option</v>
      </c>
      <c r="G704" s="400">
        <f t="shared" si="121"/>
        <v>18</v>
      </c>
      <c r="H704" s="399" t="str">
        <f t="shared" si="125"/>
        <v>Diagnosis</v>
      </c>
      <c r="I704" s="400"/>
      <c r="J704" s="400"/>
      <c r="K704" s="401" t="s">
        <v>5283</v>
      </c>
      <c r="L704" s="402" t="s">
        <v>7244</v>
      </c>
      <c r="M704" s="400"/>
      <c r="N704" s="675" t="s">
        <v>7980</v>
      </c>
      <c r="O704" s="404" t="s">
        <v>8485</v>
      </c>
      <c r="P704" s="404"/>
      <c r="Q704" s="437"/>
      <c r="R704" s="437"/>
      <c r="S704" s="437"/>
      <c r="T704" s="437"/>
      <c r="U704" s="437"/>
      <c r="V704" s="437" t="s">
        <v>8488</v>
      </c>
      <c r="W704" s="404"/>
      <c r="X704" s="437" t="s">
        <v>208</v>
      </c>
      <c r="Y704" s="437"/>
      <c r="Z704" s="437" t="s">
        <v>113</v>
      </c>
      <c r="AA704" s="437" t="s">
        <v>1889</v>
      </c>
      <c r="AB704" s="629"/>
      <c r="AC704" s="437"/>
      <c r="AD704" s="437"/>
      <c r="AE704" s="629"/>
      <c r="AF704" s="437"/>
      <c r="AG704" s="437"/>
      <c r="AH704" s="399"/>
      <c r="AI704" s="400"/>
      <c r="AJ704" s="399" t="s">
        <v>1787</v>
      </c>
      <c r="AK704" s="399"/>
      <c r="AL704" s="399" t="s">
        <v>1787</v>
      </c>
      <c r="AM704" s="399"/>
      <c r="AN704" s="399" t="s">
        <v>1787</v>
      </c>
      <c r="AO704" s="399" t="s">
        <v>1787</v>
      </c>
      <c r="AP704" s="399"/>
      <c r="AQ704" s="409" t="s">
        <v>3130</v>
      </c>
      <c r="AR704" s="399"/>
      <c r="AS704" s="399"/>
      <c r="AT704" s="399"/>
      <c r="AU704" s="399"/>
      <c r="AV704" s="399" t="str">
        <f t="shared" si="123"/>
        <v/>
      </c>
      <c r="AW704" s="399"/>
      <c r="AX704" s="409" t="s">
        <v>5194</v>
      </c>
      <c r="AY704" s="399" t="e">
        <f t="shared" ca="1" si="124"/>
        <v>#NAME?</v>
      </c>
      <c r="AZ704" s="399"/>
      <c r="BA704" s="409" t="s">
        <v>3125</v>
      </c>
      <c r="BB704" s="399"/>
      <c r="BC704" s="399" t="s">
        <v>1787</v>
      </c>
      <c r="BD704" s="399" t="s">
        <v>1787</v>
      </c>
      <c r="BE704" s="411"/>
      <c r="BF704" s="411" t="s">
        <v>1787</v>
      </c>
      <c r="BG704" s="434" t="s">
        <v>8494</v>
      </c>
      <c r="BH704" s="411"/>
      <c r="BI704" s="411"/>
      <c r="BJ704" s="399" t="s">
        <v>1787</v>
      </c>
      <c r="BK704" s="399" t="s">
        <v>1787</v>
      </c>
      <c r="BL704" s="399"/>
      <c r="BM704" s="399" t="s">
        <v>1787</v>
      </c>
      <c r="BN704" s="399" t="s">
        <v>1787</v>
      </c>
      <c r="BO704" s="399" t="s">
        <v>1787</v>
      </c>
      <c r="BP704" s="399" t="s">
        <v>1787</v>
      </c>
      <c r="BQ704" s="399" t="s">
        <v>1787</v>
      </c>
      <c r="BR704" s="399" t="s">
        <v>1787</v>
      </c>
      <c r="BS704" s="407"/>
      <c r="BT704" s="407"/>
      <c r="BU704" s="412"/>
      <c r="BV704" s="46" t="str">
        <f t="shared" si="8"/>
        <v/>
      </c>
      <c r="BW704" s="46">
        <f t="shared" si="9"/>
        <v>0</v>
      </c>
      <c r="BX704" s="46">
        <f t="shared" si="10"/>
        <v>0</v>
      </c>
      <c r="BY704" s="43" t="str">
        <f t="shared" si="11"/>
        <v>WHO-STI Condition (Diagnosis)</v>
      </c>
      <c r="BZ704" s="46">
        <f t="shared" si="12"/>
        <v>1</v>
      </c>
      <c r="CA704" s="46" t="str">
        <f t="shared" si="13"/>
        <v/>
      </c>
      <c r="CB704" s="46">
        <f t="shared" si="14"/>
        <v>1</v>
      </c>
      <c r="CC704" s="46">
        <f t="shared" si="15"/>
        <v>1</v>
      </c>
      <c r="CD704" s="46">
        <f t="shared" si="16"/>
        <v>1</v>
      </c>
      <c r="CE704" s="46">
        <f t="shared" si="17"/>
        <v>0</v>
      </c>
      <c r="CF704" s="46">
        <f t="shared" si="18"/>
        <v>0</v>
      </c>
      <c r="CG704" s="46" t="str">
        <f ca="1">IFERROR(__xludf.DUMMYFUNCTION("if(OR(BH704="""",LEFT(BH704,2)=""LA""),"""",IMPORTXML(CONCATENATE(""https://loinc.org/"",BH704,""/""),""//span[@id='lcn']""))"),"")</f>
        <v/>
      </c>
      <c r="CH704" s="46"/>
      <c r="CI704" s="46"/>
      <c r="CJ704" s="46"/>
      <c r="CK704" s="46"/>
      <c r="CL704" s="46"/>
      <c r="CM704" s="46"/>
      <c r="CN704" s="46"/>
      <c r="CO704" s="46"/>
      <c r="CP704" s="46"/>
      <c r="CQ704" s="46"/>
      <c r="CR704" s="46"/>
      <c r="CS704" s="46"/>
      <c r="CT704" s="46"/>
      <c r="CU704" s="46"/>
    </row>
    <row r="705" spans="1:99" ht="12.75" customHeight="1">
      <c r="A705" s="409">
        <v>2137</v>
      </c>
      <c r="B705" s="399" t="s">
        <v>8500</v>
      </c>
      <c r="C705" s="399">
        <f t="shared" si="117"/>
        <v>2137</v>
      </c>
      <c r="D705" s="399" t="e">
        <f t="shared" ca="1" si="118"/>
        <v>#NAME?</v>
      </c>
      <c r="E705" s="399" t="str">
        <f t="shared" si="119"/>
        <v>Vaginal infection</v>
      </c>
      <c r="F705" s="399" t="str">
        <f t="shared" si="126"/>
        <v>Input Option</v>
      </c>
      <c r="G705" s="400">
        <f t="shared" si="121"/>
        <v>24</v>
      </c>
      <c r="H705" s="399" t="str">
        <f t="shared" si="125"/>
        <v>Diagnosis</v>
      </c>
      <c r="I705" s="400"/>
      <c r="J705" s="400"/>
      <c r="K705" s="401" t="s">
        <v>5283</v>
      </c>
      <c r="L705" s="402" t="s">
        <v>7244</v>
      </c>
      <c r="M705" s="400"/>
      <c r="N705" s="675" t="s">
        <v>7980</v>
      </c>
      <c r="O705" s="404" t="s">
        <v>8503</v>
      </c>
      <c r="P705" s="404"/>
      <c r="Q705" s="437"/>
      <c r="R705" s="437"/>
      <c r="S705" s="437"/>
      <c r="T705" s="437"/>
      <c r="U705" s="437"/>
      <c r="V705" s="444" t="s">
        <v>8505</v>
      </c>
      <c r="W705" s="404"/>
      <c r="X705" s="437" t="s">
        <v>208</v>
      </c>
      <c r="Y705" s="437"/>
      <c r="Z705" s="437" t="s">
        <v>113</v>
      </c>
      <c r="AA705" s="437" t="s">
        <v>1889</v>
      </c>
      <c r="AB705" s="629"/>
      <c r="AC705" s="437"/>
      <c r="AD705" s="437"/>
      <c r="AE705" s="629"/>
      <c r="AF705" s="437"/>
      <c r="AG705" s="437"/>
      <c r="AH705" s="399"/>
      <c r="AI705" s="400"/>
      <c r="AJ705" s="399" t="s">
        <v>1787</v>
      </c>
      <c r="AK705" s="399"/>
      <c r="AL705" s="399" t="s">
        <v>1787</v>
      </c>
      <c r="AM705" s="399"/>
      <c r="AN705" s="399" t="s">
        <v>1787</v>
      </c>
      <c r="AO705" s="399" t="s">
        <v>1787</v>
      </c>
      <c r="AP705" s="399"/>
      <c r="AQ705" s="409" t="s">
        <v>3130</v>
      </c>
      <c r="AR705" s="399"/>
      <c r="AS705" s="399"/>
      <c r="AT705" s="399"/>
      <c r="AU705" s="399"/>
      <c r="AV705" s="399" t="str">
        <f t="shared" si="123"/>
        <v/>
      </c>
      <c r="AW705" s="399"/>
      <c r="AX705" s="409" t="s">
        <v>5194</v>
      </c>
      <c r="AY705" s="399" t="e">
        <f t="shared" ca="1" si="124"/>
        <v>#NAME?</v>
      </c>
      <c r="AZ705" s="399"/>
      <c r="BA705" s="409" t="s">
        <v>3125</v>
      </c>
      <c r="BB705" s="399"/>
      <c r="BC705" s="399" t="s">
        <v>1787</v>
      </c>
      <c r="BD705" s="409" t="s">
        <v>8513</v>
      </c>
      <c r="BE705" s="411"/>
      <c r="BF705" s="411" t="s">
        <v>1787</v>
      </c>
      <c r="BG705" s="434" t="s">
        <v>8514</v>
      </c>
      <c r="BH705" s="411"/>
      <c r="BI705" s="411"/>
      <c r="BJ705" s="399" t="s">
        <v>1787</v>
      </c>
      <c r="BK705" s="399" t="s">
        <v>1787</v>
      </c>
      <c r="BL705" s="399"/>
      <c r="BM705" s="399" t="s">
        <v>1787</v>
      </c>
      <c r="BN705" s="438" t="str">
        <f>HYPERLINK("https://github.com/who-int/Data-Dictionary-Mapping/issues/69","69")</f>
        <v>69</v>
      </c>
      <c r="BO705" s="399" t="s">
        <v>1787</v>
      </c>
      <c r="BP705" s="399" t="s">
        <v>1787</v>
      </c>
      <c r="BQ705" s="399" t="s">
        <v>1787</v>
      </c>
      <c r="BR705" s="399" t="s">
        <v>1787</v>
      </c>
      <c r="BS705" s="407"/>
      <c r="BT705" s="407"/>
      <c r="BU705" s="412"/>
      <c r="BV705" s="46" t="str">
        <f t="shared" si="8"/>
        <v/>
      </c>
      <c r="BW705" s="46">
        <f t="shared" si="9"/>
        <v>0</v>
      </c>
      <c r="BX705" s="46">
        <f t="shared" si="10"/>
        <v>0</v>
      </c>
      <c r="BY705" s="43" t="str">
        <f t="shared" si="11"/>
        <v>WHO-STI Condition (Diagnosis)</v>
      </c>
      <c r="BZ705" s="46">
        <f t="shared" si="12"/>
        <v>1</v>
      </c>
      <c r="CA705" s="46" t="str">
        <f t="shared" si="13"/>
        <v/>
      </c>
      <c r="CB705" s="46">
        <f t="shared" si="14"/>
        <v>1</v>
      </c>
      <c r="CC705" s="46">
        <f t="shared" si="15"/>
        <v>1</v>
      </c>
      <c r="CD705" s="46">
        <f t="shared" si="16"/>
        <v>1</v>
      </c>
      <c r="CE705" s="46">
        <f t="shared" si="17"/>
        <v>0</v>
      </c>
      <c r="CF705" s="46">
        <f t="shared" si="18"/>
        <v>0</v>
      </c>
      <c r="CG705" s="46" t="str">
        <f ca="1">IFERROR(__xludf.DUMMYFUNCTION("if(OR(BH705="""",LEFT(BH705,2)=""LA""),"""",IMPORTXML(CONCATENATE(""https://loinc.org/"",BH705,""/""),""//span[@id='lcn']""))"),"")</f>
        <v/>
      </c>
      <c r="CH705" s="46"/>
      <c r="CI705" s="46"/>
      <c r="CJ705" s="46"/>
      <c r="CK705" s="46"/>
      <c r="CL705" s="46"/>
      <c r="CM705" s="46"/>
      <c r="CN705" s="46"/>
      <c r="CO705" s="46"/>
      <c r="CP705" s="46"/>
      <c r="CQ705" s="46"/>
      <c r="CR705" s="46"/>
      <c r="CS705" s="46"/>
      <c r="CT705" s="46"/>
      <c r="CU705" s="46"/>
    </row>
    <row r="706" spans="1:99" ht="12.75" customHeight="1">
      <c r="A706" s="409">
        <v>2138</v>
      </c>
      <c r="B706" s="399" t="s">
        <v>8526</v>
      </c>
      <c r="C706" s="399">
        <f t="shared" si="117"/>
        <v>2138</v>
      </c>
      <c r="D706" s="399" t="e">
        <f t="shared" ca="1" si="118"/>
        <v>#NAME?</v>
      </c>
      <c r="E706" s="399" t="str">
        <f t="shared" si="119"/>
        <v>Yeast infection</v>
      </c>
      <c r="F706" s="399" t="str">
        <f t="shared" si="126"/>
        <v>Input Option</v>
      </c>
      <c r="G706" s="400">
        <f t="shared" si="121"/>
        <v>22</v>
      </c>
      <c r="H706" s="399" t="str">
        <f t="shared" si="125"/>
        <v>Diagnosis</v>
      </c>
      <c r="I706" s="400"/>
      <c r="J706" s="400"/>
      <c r="K706" s="401" t="s">
        <v>5283</v>
      </c>
      <c r="L706" s="402" t="s">
        <v>7244</v>
      </c>
      <c r="M706" s="400"/>
      <c r="N706" s="675" t="s">
        <v>7980</v>
      </c>
      <c r="O706" s="404" t="s">
        <v>6313</v>
      </c>
      <c r="P706" s="404"/>
      <c r="Q706" s="437"/>
      <c r="R706" s="437"/>
      <c r="S706" s="437" t="s">
        <v>6314</v>
      </c>
      <c r="T706" s="437"/>
      <c r="U706" s="437"/>
      <c r="V706" s="444" t="s">
        <v>6312</v>
      </c>
      <c r="W706" s="404"/>
      <c r="X706" s="437" t="s">
        <v>208</v>
      </c>
      <c r="Y706" s="437"/>
      <c r="Z706" s="437" t="s">
        <v>113</v>
      </c>
      <c r="AA706" s="437" t="s">
        <v>1889</v>
      </c>
      <c r="AB706" s="629"/>
      <c r="AC706" s="437"/>
      <c r="AD706" s="437"/>
      <c r="AE706" s="629"/>
      <c r="AF706" s="437"/>
      <c r="AG706" s="437"/>
      <c r="AH706" s="399"/>
      <c r="AI706" s="400"/>
      <c r="AJ706" s="399" t="s">
        <v>1787</v>
      </c>
      <c r="AK706" s="399"/>
      <c r="AL706" s="399" t="s">
        <v>1787</v>
      </c>
      <c r="AM706" s="399"/>
      <c r="AN706" s="399" t="s">
        <v>1787</v>
      </c>
      <c r="AO706" s="399" t="s">
        <v>1787</v>
      </c>
      <c r="AP706" s="399"/>
      <c r="AQ706" s="409" t="s">
        <v>3130</v>
      </c>
      <c r="AR706" s="399"/>
      <c r="AS706" s="399"/>
      <c r="AT706" s="399"/>
      <c r="AU706" s="399"/>
      <c r="AV706" s="399" t="str">
        <f t="shared" si="123"/>
        <v/>
      </c>
      <c r="AW706" s="399"/>
      <c r="AX706" s="409" t="s">
        <v>5194</v>
      </c>
      <c r="AY706" s="399" t="e">
        <f t="shared" ca="1" si="124"/>
        <v>#NAME?</v>
      </c>
      <c r="AZ706" s="399"/>
      <c r="BA706" s="409" t="s">
        <v>3125</v>
      </c>
      <c r="BB706" s="399"/>
      <c r="BC706" s="399" t="s">
        <v>1787</v>
      </c>
      <c r="BD706" s="409" t="s">
        <v>6316</v>
      </c>
      <c r="BE706" s="411" t="s">
        <v>6317</v>
      </c>
      <c r="BF706" s="411" t="s">
        <v>1787</v>
      </c>
      <c r="BG706" s="411"/>
      <c r="BH706" s="411"/>
      <c r="BI706" s="411"/>
      <c r="BJ706" s="399" t="s">
        <v>1787</v>
      </c>
      <c r="BK706" s="399" t="s">
        <v>1787</v>
      </c>
      <c r="BL706" s="399"/>
      <c r="BM706" s="399" t="s">
        <v>1787</v>
      </c>
      <c r="BN706" s="399" t="s">
        <v>1787</v>
      </c>
      <c r="BO706" s="399" t="s">
        <v>1787</v>
      </c>
      <c r="BP706" s="399" t="s">
        <v>1787</v>
      </c>
      <c r="BQ706" s="399" t="s">
        <v>1787</v>
      </c>
      <c r="BR706" s="399" t="s">
        <v>1787</v>
      </c>
      <c r="BS706" s="407"/>
      <c r="BT706" s="407"/>
      <c r="BU706" s="412"/>
      <c r="BV706" s="46" t="str">
        <f t="shared" si="8"/>
        <v/>
      </c>
      <c r="BW706" s="46">
        <f t="shared" si="9"/>
        <v>0</v>
      </c>
      <c r="BX706" s="46">
        <f t="shared" si="10"/>
        <v>0</v>
      </c>
      <c r="BY706" s="43" t="str">
        <f t="shared" si="11"/>
        <v>WHO-STI Condition (Diagnosis)</v>
      </c>
      <c r="BZ706" s="46">
        <f t="shared" si="12"/>
        <v>1</v>
      </c>
      <c r="CA706" s="46" t="str">
        <f t="shared" si="13"/>
        <v/>
      </c>
      <c r="CB706" s="46">
        <f t="shared" si="14"/>
        <v>1</v>
      </c>
      <c r="CC706" s="46">
        <f t="shared" si="15"/>
        <v>1</v>
      </c>
      <c r="CD706" s="46">
        <f t="shared" si="16"/>
        <v>1</v>
      </c>
      <c r="CE706" s="46">
        <f t="shared" si="17"/>
        <v>0</v>
      </c>
      <c r="CF706" s="46">
        <f t="shared" si="18"/>
        <v>0</v>
      </c>
      <c r="CG706" s="46" t="str">
        <f ca="1">IFERROR(__xludf.DUMMYFUNCTION("if(OR(BH706="""",LEFT(BH706,2)=""LA""),"""",IMPORTXML(CONCATENATE(""https://loinc.org/"",BH706,""/""),""//span[@id='lcn']""))"),"")</f>
        <v/>
      </c>
      <c r="CH706" s="46"/>
      <c r="CI706" s="46"/>
      <c r="CJ706" s="46"/>
      <c r="CK706" s="46"/>
      <c r="CL706" s="46"/>
      <c r="CM706" s="46"/>
      <c r="CN706" s="46"/>
      <c r="CO706" s="46"/>
      <c r="CP706" s="46"/>
      <c r="CQ706" s="46"/>
      <c r="CR706" s="46"/>
      <c r="CS706" s="46"/>
      <c r="CT706" s="46"/>
      <c r="CU706" s="46"/>
    </row>
    <row r="707" spans="1:99" ht="12.75" customHeight="1">
      <c r="A707" s="409">
        <v>2139</v>
      </c>
      <c r="B707" s="399" t="s">
        <v>4244</v>
      </c>
      <c r="C707" s="399">
        <f t="shared" si="117"/>
        <v>2139</v>
      </c>
      <c r="D707" s="399" t="e">
        <f t="shared" ca="1" si="118"/>
        <v>#NAME?</v>
      </c>
      <c r="E707" s="399" t="str">
        <f t="shared" si="119"/>
        <v>Bacterial vaginosis</v>
      </c>
      <c r="F707" s="399" t="str">
        <f t="shared" si="126"/>
        <v>Input Option</v>
      </c>
      <c r="G707" s="400">
        <f t="shared" si="121"/>
        <v>26</v>
      </c>
      <c r="H707" s="399" t="str">
        <f t="shared" si="125"/>
        <v>Diagnosis</v>
      </c>
      <c r="I707" s="400"/>
      <c r="J707" s="400"/>
      <c r="K707" s="401" t="s">
        <v>5283</v>
      </c>
      <c r="L707" s="402" t="s">
        <v>7244</v>
      </c>
      <c r="M707" s="400"/>
      <c r="N707" s="675" t="s">
        <v>7980</v>
      </c>
      <c r="O707" s="404" t="s">
        <v>6319</v>
      </c>
      <c r="P707" s="404"/>
      <c r="Q707" s="437"/>
      <c r="R707" s="437"/>
      <c r="S707" s="437"/>
      <c r="T707" s="437"/>
      <c r="U707" s="437"/>
      <c r="V707" s="444" t="s">
        <v>4246</v>
      </c>
      <c r="W707" s="404"/>
      <c r="X707" s="437" t="s">
        <v>208</v>
      </c>
      <c r="Y707" s="437"/>
      <c r="Z707" s="437" t="s">
        <v>113</v>
      </c>
      <c r="AA707" s="437" t="s">
        <v>1889</v>
      </c>
      <c r="AB707" s="629"/>
      <c r="AC707" s="437"/>
      <c r="AD707" s="437"/>
      <c r="AE707" s="629"/>
      <c r="AF707" s="437"/>
      <c r="AG707" s="437"/>
      <c r="AH707" s="399"/>
      <c r="AI707" s="400"/>
      <c r="AJ707" s="399" t="s">
        <v>1787</v>
      </c>
      <c r="AK707" s="399"/>
      <c r="AL707" s="399" t="s">
        <v>1787</v>
      </c>
      <c r="AM707" s="399"/>
      <c r="AN707" s="399" t="s">
        <v>1787</v>
      </c>
      <c r="AO707" s="399" t="s">
        <v>1787</v>
      </c>
      <c r="AP707" s="399"/>
      <c r="AQ707" s="409" t="s">
        <v>3130</v>
      </c>
      <c r="AR707" s="399"/>
      <c r="AS707" s="399"/>
      <c r="AT707" s="399"/>
      <c r="AU707" s="399"/>
      <c r="AV707" s="399" t="str">
        <f t="shared" si="123"/>
        <v/>
      </c>
      <c r="AW707" s="399"/>
      <c r="AX707" s="409" t="s">
        <v>5194</v>
      </c>
      <c r="AY707" s="399" t="e">
        <f t="shared" ca="1" si="124"/>
        <v>#NAME?</v>
      </c>
      <c r="AZ707" s="399"/>
      <c r="BA707" s="409" t="s">
        <v>3125</v>
      </c>
      <c r="BB707" s="399"/>
      <c r="BC707" s="399" t="s">
        <v>1787</v>
      </c>
      <c r="BD707" s="409" t="s">
        <v>3162</v>
      </c>
      <c r="BE707" s="411"/>
      <c r="BF707" s="411" t="s">
        <v>1787</v>
      </c>
      <c r="BG707" s="418" t="s">
        <v>4248</v>
      </c>
      <c r="BH707" s="411"/>
      <c r="BI707" s="411"/>
      <c r="BJ707" s="399" t="s">
        <v>1787</v>
      </c>
      <c r="BK707" s="399" t="s">
        <v>1787</v>
      </c>
      <c r="BL707" s="399"/>
      <c r="BM707" s="399" t="s">
        <v>1787</v>
      </c>
      <c r="BN707" s="399" t="s">
        <v>1787</v>
      </c>
      <c r="BO707" s="399" t="s">
        <v>1787</v>
      </c>
      <c r="BP707" s="399" t="s">
        <v>1787</v>
      </c>
      <c r="BQ707" s="399" t="s">
        <v>1787</v>
      </c>
      <c r="BR707" s="399" t="s">
        <v>1787</v>
      </c>
      <c r="BS707" s="407"/>
      <c r="BT707" s="407"/>
      <c r="BU707" s="412"/>
      <c r="BV707" s="46" t="str">
        <f t="shared" si="8"/>
        <v/>
      </c>
      <c r="BW707" s="46">
        <f t="shared" si="9"/>
        <v>0</v>
      </c>
      <c r="BX707" s="46">
        <f t="shared" si="10"/>
        <v>0</v>
      </c>
      <c r="BY707" s="43" t="str">
        <f t="shared" si="11"/>
        <v>WHO-STI Condition (Diagnosis)</v>
      </c>
      <c r="BZ707" s="46">
        <f t="shared" si="12"/>
        <v>1</v>
      </c>
      <c r="CA707" s="46" t="str">
        <f t="shared" si="13"/>
        <v/>
      </c>
      <c r="CB707" s="46">
        <f t="shared" si="14"/>
        <v>1</v>
      </c>
      <c r="CC707" s="46">
        <f t="shared" si="15"/>
        <v>1</v>
      </c>
      <c r="CD707" s="46">
        <f t="shared" si="16"/>
        <v>1</v>
      </c>
      <c r="CE707" s="46">
        <f t="shared" si="17"/>
        <v>0</v>
      </c>
      <c r="CF707" s="46">
        <f t="shared" si="18"/>
        <v>0</v>
      </c>
      <c r="CG707" s="46" t="str">
        <f ca="1">IFERROR(__xludf.DUMMYFUNCTION("if(OR(BH707="""",LEFT(BH707,2)=""LA""),"""",IMPORTXML(CONCATENATE(""https://loinc.org/"",BH707,""/""),""//span[@id='lcn']""))"),"")</f>
        <v/>
      </c>
      <c r="CH707" s="46"/>
      <c r="CI707" s="46"/>
      <c r="CJ707" s="46"/>
      <c r="CK707" s="46"/>
      <c r="CL707" s="46"/>
      <c r="CM707" s="46"/>
      <c r="CN707" s="46"/>
      <c r="CO707" s="46"/>
      <c r="CP707" s="46"/>
      <c r="CQ707" s="46"/>
      <c r="CR707" s="46"/>
      <c r="CS707" s="46"/>
      <c r="CT707" s="46"/>
      <c r="CU707" s="46"/>
    </row>
    <row r="708" spans="1:99" ht="12.75" customHeight="1">
      <c r="A708" s="409">
        <v>2140</v>
      </c>
      <c r="B708" s="399" t="s">
        <v>8559</v>
      </c>
      <c r="C708" s="399">
        <f t="shared" si="117"/>
        <v>2140</v>
      </c>
      <c r="D708" s="399" t="e">
        <f t="shared" ca="1" si="118"/>
        <v>#NAME?</v>
      </c>
      <c r="E708" s="399" t="str">
        <f t="shared" si="119"/>
        <v>Trichomoniasis</v>
      </c>
      <c r="F708" s="399" t="str">
        <f t="shared" si="126"/>
        <v>Input Option</v>
      </c>
      <c r="G708" s="400">
        <f t="shared" si="121"/>
        <v>21</v>
      </c>
      <c r="H708" s="399" t="str">
        <f t="shared" si="125"/>
        <v>Diagnosis</v>
      </c>
      <c r="I708" s="400"/>
      <c r="J708" s="400"/>
      <c r="K708" s="401" t="s">
        <v>5283</v>
      </c>
      <c r="L708" s="402" t="s">
        <v>7244</v>
      </c>
      <c r="M708" s="400"/>
      <c r="N708" s="675" t="s">
        <v>7980</v>
      </c>
      <c r="O708" s="404" t="s">
        <v>6322</v>
      </c>
      <c r="P708" s="404"/>
      <c r="Q708" s="437"/>
      <c r="R708" s="437"/>
      <c r="S708" s="437"/>
      <c r="T708" s="437"/>
      <c r="U708" s="437"/>
      <c r="V708" s="444" t="s">
        <v>6321</v>
      </c>
      <c r="W708" s="404"/>
      <c r="X708" s="437" t="s">
        <v>208</v>
      </c>
      <c r="Y708" s="437"/>
      <c r="Z708" s="437" t="s">
        <v>113</v>
      </c>
      <c r="AA708" s="437" t="s">
        <v>1889</v>
      </c>
      <c r="AB708" s="629"/>
      <c r="AC708" s="437"/>
      <c r="AD708" s="437"/>
      <c r="AE708" s="629"/>
      <c r="AF708" s="437"/>
      <c r="AG708" s="437"/>
      <c r="AH708" s="399"/>
      <c r="AI708" s="400"/>
      <c r="AJ708" s="399" t="s">
        <v>1787</v>
      </c>
      <c r="AK708" s="399"/>
      <c r="AL708" s="399" t="s">
        <v>1787</v>
      </c>
      <c r="AM708" s="399"/>
      <c r="AN708" s="399" t="s">
        <v>1787</v>
      </c>
      <c r="AO708" s="399" t="s">
        <v>1787</v>
      </c>
      <c r="AP708" s="399"/>
      <c r="AQ708" s="409" t="s">
        <v>3130</v>
      </c>
      <c r="AR708" s="399"/>
      <c r="AS708" s="399"/>
      <c r="AT708" s="399"/>
      <c r="AU708" s="399"/>
      <c r="AV708" s="399" t="str">
        <f t="shared" si="123"/>
        <v/>
      </c>
      <c r="AW708" s="399"/>
      <c r="AX708" s="409" t="s">
        <v>5194</v>
      </c>
      <c r="AY708" s="399" t="e">
        <f t="shared" ca="1" si="124"/>
        <v>#NAME?</v>
      </c>
      <c r="AZ708" s="399"/>
      <c r="BA708" s="409" t="s">
        <v>3125</v>
      </c>
      <c r="BB708" s="399"/>
      <c r="BC708" s="399" t="s">
        <v>1787</v>
      </c>
      <c r="BD708" s="409" t="s">
        <v>3162</v>
      </c>
      <c r="BE708" s="411" t="s">
        <v>8568</v>
      </c>
      <c r="BF708" s="411" t="s">
        <v>1787</v>
      </c>
      <c r="BG708" s="411"/>
      <c r="BH708" s="411"/>
      <c r="BI708" s="411"/>
      <c r="BJ708" s="399" t="s">
        <v>1787</v>
      </c>
      <c r="BK708" s="399" t="s">
        <v>1787</v>
      </c>
      <c r="BL708" s="399"/>
      <c r="BM708" s="399" t="s">
        <v>1787</v>
      </c>
      <c r="BN708" s="399" t="s">
        <v>1787</v>
      </c>
      <c r="BO708" s="399" t="s">
        <v>1787</v>
      </c>
      <c r="BP708" s="399" t="s">
        <v>1787</v>
      </c>
      <c r="BQ708" s="399" t="s">
        <v>1787</v>
      </c>
      <c r="BR708" s="399" t="s">
        <v>1787</v>
      </c>
      <c r="BS708" s="407"/>
      <c r="BT708" s="407"/>
      <c r="BU708" s="412"/>
      <c r="BV708" s="46" t="str">
        <f t="shared" si="8"/>
        <v/>
      </c>
      <c r="BW708" s="46">
        <f t="shared" si="9"/>
        <v>0</v>
      </c>
      <c r="BX708" s="46">
        <f t="shared" si="10"/>
        <v>0</v>
      </c>
      <c r="BY708" s="43" t="str">
        <f t="shared" si="11"/>
        <v>WHO-STI Condition (Diagnosis)</v>
      </c>
      <c r="BZ708" s="46">
        <f t="shared" si="12"/>
        <v>1</v>
      </c>
      <c r="CA708" s="46" t="str">
        <f t="shared" si="13"/>
        <v/>
      </c>
      <c r="CB708" s="46">
        <f t="shared" si="14"/>
        <v>1</v>
      </c>
      <c r="CC708" s="46">
        <f t="shared" si="15"/>
        <v>1</v>
      </c>
      <c r="CD708" s="46">
        <f t="shared" si="16"/>
        <v>1</v>
      </c>
      <c r="CE708" s="46">
        <f t="shared" si="17"/>
        <v>0</v>
      </c>
      <c r="CF708" s="46">
        <f t="shared" si="18"/>
        <v>0</v>
      </c>
      <c r="CG708" s="46" t="str">
        <f ca="1">IFERROR(__xludf.DUMMYFUNCTION("if(OR(BH708="""",LEFT(BH708,2)=""LA""),"""",IMPORTXML(CONCATENATE(""https://loinc.org/"",BH708,""/""),""//span[@id='lcn']""))"),"")</f>
        <v/>
      </c>
      <c r="CH708" s="46"/>
      <c r="CI708" s="46"/>
      <c r="CJ708" s="46"/>
      <c r="CK708" s="46"/>
      <c r="CL708" s="46"/>
      <c r="CM708" s="46"/>
      <c r="CN708" s="46"/>
      <c r="CO708" s="46"/>
      <c r="CP708" s="46"/>
      <c r="CQ708" s="46"/>
      <c r="CR708" s="46"/>
      <c r="CS708" s="46"/>
      <c r="CT708" s="46"/>
      <c r="CU708" s="46"/>
    </row>
    <row r="709" spans="1:99" ht="12.75" customHeight="1">
      <c r="A709" s="409">
        <v>2141</v>
      </c>
      <c r="B709" s="399" t="s">
        <v>6899</v>
      </c>
      <c r="C709" s="399">
        <f t="shared" si="117"/>
        <v>2141</v>
      </c>
      <c r="D709" s="399" t="e">
        <f t="shared" ca="1" si="118"/>
        <v>#NAME?</v>
      </c>
      <c r="E709" s="399" t="str">
        <f t="shared" si="119"/>
        <v>Cervical infection</v>
      </c>
      <c r="F709" s="399" t="str">
        <f t="shared" si="126"/>
        <v>Input Option</v>
      </c>
      <c r="G709" s="400">
        <f t="shared" si="121"/>
        <v>25</v>
      </c>
      <c r="H709" s="399" t="str">
        <f t="shared" si="125"/>
        <v>Diagnosis</v>
      </c>
      <c r="I709" s="400"/>
      <c r="J709" s="400"/>
      <c r="K709" s="401" t="s">
        <v>5283</v>
      </c>
      <c r="L709" s="402" t="s">
        <v>7244</v>
      </c>
      <c r="M709" s="400"/>
      <c r="N709" s="675" t="s">
        <v>7980</v>
      </c>
      <c r="O709" s="431" t="s">
        <v>6326</v>
      </c>
      <c r="P709" s="431"/>
      <c r="Q709" s="437"/>
      <c r="R709" s="437"/>
      <c r="S709" s="437"/>
      <c r="T709" s="437"/>
      <c r="U709" s="437"/>
      <c r="V709" s="444" t="s">
        <v>6325</v>
      </c>
      <c r="W709" s="404"/>
      <c r="X709" s="437" t="s">
        <v>208</v>
      </c>
      <c r="Y709" s="437"/>
      <c r="Z709" s="437" t="s">
        <v>113</v>
      </c>
      <c r="AA709" s="437" t="s">
        <v>1889</v>
      </c>
      <c r="AB709" s="629"/>
      <c r="AC709" s="437"/>
      <c r="AD709" s="437"/>
      <c r="AE709" s="629"/>
      <c r="AF709" s="437"/>
      <c r="AG709" s="437"/>
      <c r="AH709" s="399"/>
      <c r="AI709" s="400"/>
      <c r="AJ709" s="399" t="s">
        <v>1787</v>
      </c>
      <c r="AK709" s="399"/>
      <c r="AL709" s="399" t="s">
        <v>1787</v>
      </c>
      <c r="AM709" s="399"/>
      <c r="AN709" s="399" t="s">
        <v>1787</v>
      </c>
      <c r="AO709" s="399" t="s">
        <v>1787</v>
      </c>
      <c r="AP709" s="399"/>
      <c r="AQ709" s="409" t="s">
        <v>3130</v>
      </c>
      <c r="AR709" s="399"/>
      <c r="AS709" s="399"/>
      <c r="AT709" s="399"/>
      <c r="AU709" s="399"/>
      <c r="AV709" s="399" t="str">
        <f t="shared" si="123"/>
        <v/>
      </c>
      <c r="AW709" s="399"/>
      <c r="AX709" s="409" t="s">
        <v>5194</v>
      </c>
      <c r="AY709" s="399" t="e">
        <f t="shared" ca="1" si="124"/>
        <v>#NAME?</v>
      </c>
      <c r="AZ709" s="399"/>
      <c r="BA709" s="409" t="s">
        <v>3125</v>
      </c>
      <c r="BB709" s="399"/>
      <c r="BC709" s="399" t="s">
        <v>1787</v>
      </c>
      <c r="BD709" s="399" t="s">
        <v>1787</v>
      </c>
      <c r="BE709" s="411"/>
      <c r="BF709" s="411" t="s">
        <v>1787</v>
      </c>
      <c r="BG709" s="434" t="s">
        <v>8582</v>
      </c>
      <c r="BH709" s="411"/>
      <c r="BI709" s="411"/>
      <c r="BJ709" s="399" t="s">
        <v>1787</v>
      </c>
      <c r="BK709" s="399" t="s">
        <v>1787</v>
      </c>
      <c r="BL709" s="399"/>
      <c r="BM709" s="399" t="s">
        <v>1787</v>
      </c>
      <c r="BN709" s="399" t="s">
        <v>1787</v>
      </c>
      <c r="BO709" s="399" t="s">
        <v>1787</v>
      </c>
      <c r="BP709" s="399" t="s">
        <v>1787</v>
      </c>
      <c r="BQ709" s="399" t="s">
        <v>1787</v>
      </c>
      <c r="BR709" s="399" t="s">
        <v>1787</v>
      </c>
      <c r="BS709" s="407"/>
      <c r="BT709" s="407"/>
      <c r="BU709" s="412"/>
      <c r="BV709" s="46" t="str">
        <f t="shared" si="8"/>
        <v/>
      </c>
      <c r="BW709" s="46">
        <f t="shared" si="9"/>
        <v>0</v>
      </c>
      <c r="BX709" s="46">
        <f t="shared" si="10"/>
        <v>0</v>
      </c>
      <c r="BY709" s="43" t="str">
        <f t="shared" si="11"/>
        <v>WHO-STI Condition (Diagnosis)</v>
      </c>
      <c r="BZ709" s="46">
        <f t="shared" si="12"/>
        <v>1</v>
      </c>
      <c r="CA709" s="46" t="str">
        <f t="shared" si="13"/>
        <v/>
      </c>
      <c r="CB709" s="46">
        <f t="shared" si="14"/>
        <v>1</v>
      </c>
      <c r="CC709" s="46">
        <f t="shared" si="15"/>
        <v>1</v>
      </c>
      <c r="CD709" s="46">
        <f t="shared" si="16"/>
        <v>1</v>
      </c>
      <c r="CE709" s="46">
        <f t="shared" si="17"/>
        <v>0</v>
      </c>
      <c r="CF709" s="46">
        <f t="shared" si="18"/>
        <v>0</v>
      </c>
      <c r="CG709" s="46" t="str">
        <f ca="1">IFERROR(__xludf.DUMMYFUNCTION("if(OR(BH709="""",LEFT(BH709,2)=""LA""),"""",IMPORTXML(CONCATENATE(""https://loinc.org/"",BH709,""/""),""//span[@id='lcn']""))"),"")</f>
        <v/>
      </c>
      <c r="CH709" s="46"/>
      <c r="CI709" s="46"/>
      <c r="CJ709" s="46"/>
      <c r="CK709" s="46"/>
      <c r="CL709" s="46"/>
      <c r="CM709" s="46"/>
      <c r="CN709" s="46"/>
      <c r="CO709" s="46"/>
      <c r="CP709" s="46"/>
      <c r="CQ709" s="46"/>
      <c r="CR709" s="46"/>
      <c r="CS709" s="46"/>
      <c r="CT709" s="46"/>
      <c r="CU709" s="46"/>
    </row>
    <row r="710" spans="1:99" ht="12.75" customHeight="1">
      <c r="A710" s="409">
        <v>2142</v>
      </c>
      <c r="B710" s="399" t="s">
        <v>8591</v>
      </c>
      <c r="C710" s="399">
        <f t="shared" si="117"/>
        <v>2142</v>
      </c>
      <c r="D710" s="399" t="e">
        <f t="shared" ca="1" si="118"/>
        <v>#NAME?</v>
      </c>
      <c r="E710" s="399" t="str">
        <f t="shared" si="119"/>
        <v>Anaerobic infection</v>
      </c>
      <c r="F710" s="399" t="str">
        <f t="shared" si="126"/>
        <v>Input Option</v>
      </c>
      <c r="G710" s="400">
        <f t="shared" si="121"/>
        <v>26</v>
      </c>
      <c r="H710" s="399" t="str">
        <f t="shared" si="125"/>
        <v>Diagnosis</v>
      </c>
      <c r="I710" s="400"/>
      <c r="J710" s="400"/>
      <c r="K710" s="401" t="s">
        <v>5283</v>
      </c>
      <c r="L710" s="402" t="s">
        <v>7244</v>
      </c>
      <c r="M710" s="400"/>
      <c r="N710" s="675" t="s">
        <v>7980</v>
      </c>
      <c r="O710" s="404" t="s">
        <v>6331</v>
      </c>
      <c r="P710" s="404"/>
      <c r="Q710" s="437"/>
      <c r="R710" s="437"/>
      <c r="S710" s="437"/>
      <c r="T710" s="437"/>
      <c r="U710" s="437"/>
      <c r="V710" s="444" t="s">
        <v>6330</v>
      </c>
      <c r="W710" s="404"/>
      <c r="X710" s="437" t="s">
        <v>208</v>
      </c>
      <c r="Y710" s="437"/>
      <c r="Z710" s="437" t="s">
        <v>113</v>
      </c>
      <c r="AA710" s="437" t="s">
        <v>1889</v>
      </c>
      <c r="AB710" s="629"/>
      <c r="AC710" s="437"/>
      <c r="AD710" s="437"/>
      <c r="AE710" s="629"/>
      <c r="AF710" s="437"/>
      <c r="AG710" s="437"/>
      <c r="AH710" s="399"/>
      <c r="AI710" s="400"/>
      <c r="AJ710" s="399" t="s">
        <v>1787</v>
      </c>
      <c r="AK710" s="399"/>
      <c r="AL710" s="399" t="s">
        <v>1787</v>
      </c>
      <c r="AM710" s="399"/>
      <c r="AN710" s="399" t="s">
        <v>1787</v>
      </c>
      <c r="AO710" s="399" t="s">
        <v>1787</v>
      </c>
      <c r="AP710" s="399"/>
      <c r="AQ710" s="409" t="s">
        <v>3130</v>
      </c>
      <c r="AR710" s="399"/>
      <c r="AS710" s="399"/>
      <c r="AT710" s="399"/>
      <c r="AU710" s="399"/>
      <c r="AV710" s="399" t="str">
        <f t="shared" si="123"/>
        <v/>
      </c>
      <c r="AW710" s="399"/>
      <c r="AX710" s="409" t="s">
        <v>5194</v>
      </c>
      <c r="AY710" s="399" t="e">
        <f t="shared" ca="1" si="124"/>
        <v>#NAME?</v>
      </c>
      <c r="AZ710" s="399"/>
      <c r="BA710" s="409" t="s">
        <v>3125</v>
      </c>
      <c r="BB710" s="399"/>
      <c r="BC710" s="399" t="s">
        <v>1787</v>
      </c>
      <c r="BD710" s="399" t="s">
        <v>1787</v>
      </c>
      <c r="BE710" s="411"/>
      <c r="BF710" s="411" t="s">
        <v>1787</v>
      </c>
      <c r="BG710" s="434" t="s">
        <v>8600</v>
      </c>
      <c r="BH710" s="411"/>
      <c r="BI710" s="411"/>
      <c r="BJ710" s="399" t="s">
        <v>1787</v>
      </c>
      <c r="BK710" s="399" t="s">
        <v>1787</v>
      </c>
      <c r="BL710" s="399"/>
      <c r="BM710" s="399" t="s">
        <v>1787</v>
      </c>
      <c r="BN710" s="399" t="s">
        <v>1787</v>
      </c>
      <c r="BO710" s="399" t="s">
        <v>1787</v>
      </c>
      <c r="BP710" s="399" t="s">
        <v>1787</v>
      </c>
      <c r="BQ710" s="399" t="s">
        <v>1787</v>
      </c>
      <c r="BR710" s="399" t="s">
        <v>1787</v>
      </c>
      <c r="BS710" s="407"/>
      <c r="BT710" s="407"/>
      <c r="BU710" s="412"/>
      <c r="BV710" s="46" t="str">
        <f t="shared" si="8"/>
        <v/>
      </c>
      <c r="BW710" s="46">
        <f t="shared" si="9"/>
        <v>0</v>
      </c>
      <c r="BX710" s="46">
        <f t="shared" si="10"/>
        <v>0</v>
      </c>
      <c r="BY710" s="43" t="str">
        <f t="shared" si="11"/>
        <v>WHO-STI Condition (Diagnosis)</v>
      </c>
      <c r="BZ710" s="46">
        <f t="shared" si="12"/>
        <v>1</v>
      </c>
      <c r="CA710" s="46" t="str">
        <f t="shared" si="13"/>
        <v/>
      </c>
      <c r="CB710" s="46">
        <f t="shared" si="14"/>
        <v>1</v>
      </c>
      <c r="CC710" s="46">
        <f t="shared" si="15"/>
        <v>1</v>
      </c>
      <c r="CD710" s="46">
        <f t="shared" si="16"/>
        <v>1</v>
      </c>
      <c r="CE710" s="46">
        <f t="shared" si="17"/>
        <v>0</v>
      </c>
      <c r="CF710" s="46">
        <f t="shared" si="18"/>
        <v>0</v>
      </c>
      <c r="CG710" s="46" t="str">
        <f ca="1">IFERROR(__xludf.DUMMYFUNCTION("if(OR(BH710="""",LEFT(BH710,2)=""LA""),"""",IMPORTXML(CONCATENATE(""https://loinc.org/"",BH710,""/""),""//span[@id='lcn']""))"),"")</f>
        <v/>
      </c>
      <c r="CH710" s="46"/>
      <c r="CI710" s="46"/>
      <c r="CJ710" s="46"/>
      <c r="CK710" s="46"/>
      <c r="CL710" s="46"/>
      <c r="CM710" s="46"/>
      <c r="CN710" s="46"/>
      <c r="CO710" s="46"/>
      <c r="CP710" s="46"/>
      <c r="CQ710" s="46"/>
      <c r="CR710" s="46"/>
      <c r="CS710" s="46"/>
      <c r="CT710" s="46"/>
      <c r="CU710" s="46"/>
    </row>
    <row r="711" spans="1:99" ht="12.75" customHeight="1">
      <c r="A711" s="409">
        <v>2143</v>
      </c>
      <c r="B711" s="399" t="s">
        <v>8610</v>
      </c>
      <c r="C711" s="399">
        <f t="shared" si="117"/>
        <v>2143</v>
      </c>
      <c r="D711" s="399" t="e">
        <f t="shared" ca="1" si="118"/>
        <v>#NAME?</v>
      </c>
      <c r="E711" s="399" t="str">
        <f t="shared" si="119"/>
        <v>Pelvic Inflammatory Disease</v>
      </c>
      <c r="F711" s="399" t="str">
        <f t="shared" si="126"/>
        <v>Input Option</v>
      </c>
      <c r="G711" s="400">
        <f t="shared" si="121"/>
        <v>34</v>
      </c>
      <c r="H711" s="399" t="str">
        <f t="shared" si="125"/>
        <v>Diagnosis</v>
      </c>
      <c r="I711" s="400"/>
      <c r="J711" s="400"/>
      <c r="K711" s="401" t="s">
        <v>5283</v>
      </c>
      <c r="L711" s="402" t="s">
        <v>7244</v>
      </c>
      <c r="M711" s="400"/>
      <c r="N711" s="675" t="s">
        <v>7980</v>
      </c>
      <c r="O711" s="404" t="s">
        <v>6335</v>
      </c>
      <c r="P711" s="404"/>
      <c r="Q711" s="437"/>
      <c r="R711" s="437"/>
      <c r="S711" s="437"/>
      <c r="T711" s="437"/>
      <c r="U711" s="437"/>
      <c r="V711" s="444" t="s">
        <v>6334</v>
      </c>
      <c r="W711" s="404"/>
      <c r="X711" s="437" t="s">
        <v>208</v>
      </c>
      <c r="Y711" s="437"/>
      <c r="Z711" s="437" t="s">
        <v>113</v>
      </c>
      <c r="AA711" s="437" t="s">
        <v>1889</v>
      </c>
      <c r="AB711" s="629"/>
      <c r="AC711" s="437"/>
      <c r="AD711" s="437"/>
      <c r="AE711" s="629"/>
      <c r="AF711" s="437"/>
      <c r="AG711" s="437"/>
      <c r="AH711" s="399"/>
      <c r="AI711" s="400"/>
      <c r="AJ711" s="399" t="s">
        <v>1787</v>
      </c>
      <c r="AK711" s="399"/>
      <c r="AL711" s="399" t="s">
        <v>1787</v>
      </c>
      <c r="AM711" s="399"/>
      <c r="AN711" s="399" t="s">
        <v>1787</v>
      </c>
      <c r="AO711" s="399" t="s">
        <v>1787</v>
      </c>
      <c r="AP711" s="399"/>
      <c r="AQ711" s="409" t="s">
        <v>3130</v>
      </c>
      <c r="AR711" s="399"/>
      <c r="AS711" s="399"/>
      <c r="AT711" s="399"/>
      <c r="AU711" s="399"/>
      <c r="AV711" s="399" t="str">
        <f t="shared" si="123"/>
        <v/>
      </c>
      <c r="AW711" s="399"/>
      <c r="AX711" s="409" t="s">
        <v>5194</v>
      </c>
      <c r="AY711" s="399" t="e">
        <f t="shared" ca="1" si="124"/>
        <v>#NAME?</v>
      </c>
      <c r="AZ711" s="399"/>
      <c r="BA711" s="409" t="s">
        <v>3125</v>
      </c>
      <c r="BB711" s="399"/>
      <c r="BC711" s="399" t="s">
        <v>1787</v>
      </c>
      <c r="BD711" s="409" t="s">
        <v>3162</v>
      </c>
      <c r="BE711" s="411" t="s">
        <v>5178</v>
      </c>
      <c r="BF711" s="411" t="s">
        <v>1787</v>
      </c>
      <c r="BG711" s="418" t="s">
        <v>5180</v>
      </c>
      <c r="BH711" s="411"/>
      <c r="BI711" s="411"/>
      <c r="BJ711" s="399" t="s">
        <v>1787</v>
      </c>
      <c r="BK711" s="399" t="s">
        <v>1787</v>
      </c>
      <c r="BL711" s="399"/>
      <c r="BM711" s="399" t="s">
        <v>1787</v>
      </c>
      <c r="BN711" s="399" t="s">
        <v>1787</v>
      </c>
      <c r="BO711" s="399" t="s">
        <v>1787</v>
      </c>
      <c r="BP711" s="399" t="s">
        <v>1787</v>
      </c>
      <c r="BQ711" s="399" t="s">
        <v>1787</v>
      </c>
      <c r="BR711" s="399" t="s">
        <v>1787</v>
      </c>
      <c r="BS711" s="407"/>
      <c r="BT711" s="407"/>
      <c r="BU711" s="412"/>
      <c r="BV711" s="46" t="str">
        <f t="shared" si="8"/>
        <v/>
      </c>
      <c r="BW711" s="46">
        <f t="shared" si="9"/>
        <v>0</v>
      </c>
      <c r="BX711" s="46">
        <f t="shared" si="10"/>
        <v>0</v>
      </c>
      <c r="BY711" s="43" t="str">
        <f t="shared" si="11"/>
        <v>WHO-STI Condition (Diagnosis)</v>
      </c>
      <c r="BZ711" s="46">
        <f t="shared" si="12"/>
        <v>1</v>
      </c>
      <c r="CA711" s="46" t="str">
        <f t="shared" si="13"/>
        <v/>
      </c>
      <c r="CB711" s="46">
        <f t="shared" si="14"/>
        <v>1</v>
      </c>
      <c r="CC711" s="46">
        <f t="shared" si="15"/>
        <v>1</v>
      </c>
      <c r="CD711" s="46">
        <f t="shared" si="16"/>
        <v>1</v>
      </c>
      <c r="CE711" s="46">
        <f t="shared" si="17"/>
        <v>0</v>
      </c>
      <c r="CF711" s="46">
        <f t="shared" si="18"/>
        <v>0</v>
      </c>
      <c r="CG711" s="46" t="str">
        <f ca="1">IFERROR(__xludf.DUMMYFUNCTION("if(OR(BH711="""",LEFT(BH711,2)=""LA""),"""",IMPORTXML(CONCATENATE(""https://loinc.org/"",BH711,""/""),""//span[@id='lcn']""))"),"")</f>
        <v/>
      </c>
      <c r="CH711" s="46"/>
      <c r="CI711" s="46"/>
      <c r="CJ711" s="46"/>
      <c r="CK711" s="46"/>
      <c r="CL711" s="46"/>
      <c r="CM711" s="46"/>
      <c r="CN711" s="46"/>
      <c r="CO711" s="46"/>
      <c r="CP711" s="46"/>
      <c r="CQ711" s="46"/>
      <c r="CR711" s="46"/>
      <c r="CS711" s="46"/>
      <c r="CT711" s="46"/>
      <c r="CU711" s="46"/>
    </row>
    <row r="712" spans="1:99" ht="12.75" customHeight="1">
      <c r="A712" s="409">
        <v>2144</v>
      </c>
      <c r="B712" s="399" t="s">
        <v>8623</v>
      </c>
      <c r="C712" s="399">
        <f t="shared" si="117"/>
        <v>2144</v>
      </c>
      <c r="D712" s="399" t="e">
        <f t="shared" ca="1" si="118"/>
        <v>#NAME?</v>
      </c>
      <c r="E712" s="399" t="str">
        <f t="shared" si="119"/>
        <v>Genital warts</v>
      </c>
      <c r="F712" s="399" t="str">
        <f t="shared" si="126"/>
        <v>Input Option</v>
      </c>
      <c r="G712" s="400">
        <f t="shared" si="121"/>
        <v>20</v>
      </c>
      <c r="H712" s="399" t="str">
        <f t="shared" si="125"/>
        <v>Diagnosis</v>
      </c>
      <c r="I712" s="400"/>
      <c r="J712" s="400"/>
      <c r="K712" s="401" t="s">
        <v>5283</v>
      </c>
      <c r="L712" s="402" t="s">
        <v>7244</v>
      </c>
      <c r="M712" s="400"/>
      <c r="N712" s="675" t="s">
        <v>7980</v>
      </c>
      <c r="O712" s="431" t="s">
        <v>6339</v>
      </c>
      <c r="P712" s="431"/>
      <c r="Q712" s="437"/>
      <c r="R712" s="437"/>
      <c r="S712" s="437"/>
      <c r="T712" s="437"/>
      <c r="U712" s="437"/>
      <c r="V712" s="437" t="s">
        <v>8628</v>
      </c>
      <c r="W712" s="404"/>
      <c r="X712" s="437" t="s">
        <v>208</v>
      </c>
      <c r="Y712" s="437"/>
      <c r="Z712" s="437" t="s">
        <v>113</v>
      </c>
      <c r="AA712" s="437" t="s">
        <v>1889</v>
      </c>
      <c r="AB712" s="629"/>
      <c r="AC712" s="437"/>
      <c r="AD712" s="437"/>
      <c r="AE712" s="629"/>
      <c r="AF712" s="437"/>
      <c r="AG712" s="437"/>
      <c r="AH712" s="399"/>
      <c r="AI712" s="400"/>
      <c r="AJ712" s="399" t="s">
        <v>1787</v>
      </c>
      <c r="AK712" s="399"/>
      <c r="AL712" s="399" t="s">
        <v>1787</v>
      </c>
      <c r="AM712" s="399"/>
      <c r="AN712" s="399" t="s">
        <v>1787</v>
      </c>
      <c r="AO712" s="399" t="s">
        <v>1787</v>
      </c>
      <c r="AP712" s="399"/>
      <c r="AQ712" s="409" t="s">
        <v>3130</v>
      </c>
      <c r="AR712" s="399"/>
      <c r="AS712" s="399"/>
      <c r="AT712" s="399"/>
      <c r="AU712" s="399"/>
      <c r="AV712" s="399" t="str">
        <f t="shared" si="123"/>
        <v/>
      </c>
      <c r="AW712" s="399"/>
      <c r="AX712" s="409" t="s">
        <v>5194</v>
      </c>
      <c r="AY712" s="399" t="e">
        <f t="shared" ca="1" si="124"/>
        <v>#NAME?</v>
      </c>
      <c r="AZ712" s="399"/>
      <c r="BA712" s="409" t="s">
        <v>3125</v>
      </c>
      <c r="BB712" s="399"/>
      <c r="BC712" s="399" t="s">
        <v>1787</v>
      </c>
      <c r="BD712" s="399" t="s">
        <v>1787</v>
      </c>
      <c r="BE712" s="411"/>
      <c r="BF712" s="411" t="s">
        <v>1787</v>
      </c>
      <c r="BG712" s="434" t="s">
        <v>8631</v>
      </c>
      <c r="BH712" s="411"/>
      <c r="BI712" s="411"/>
      <c r="BJ712" s="399" t="s">
        <v>1787</v>
      </c>
      <c r="BK712" s="399" t="s">
        <v>1787</v>
      </c>
      <c r="BL712" s="399"/>
      <c r="BM712" s="399" t="s">
        <v>1787</v>
      </c>
      <c r="BN712" s="399" t="s">
        <v>1787</v>
      </c>
      <c r="BO712" s="399" t="s">
        <v>1787</v>
      </c>
      <c r="BP712" s="399" t="s">
        <v>1787</v>
      </c>
      <c r="BQ712" s="399" t="s">
        <v>1787</v>
      </c>
      <c r="BR712" s="399" t="s">
        <v>1787</v>
      </c>
      <c r="BS712" s="407"/>
      <c r="BT712" s="407"/>
      <c r="BU712" s="412"/>
      <c r="BV712" s="46" t="str">
        <f t="shared" si="8"/>
        <v/>
      </c>
      <c r="BW712" s="46">
        <f t="shared" si="9"/>
        <v>0</v>
      </c>
      <c r="BX712" s="46">
        <f t="shared" si="10"/>
        <v>0</v>
      </c>
      <c r="BY712" s="43" t="str">
        <f t="shared" si="11"/>
        <v>WHO-STI Condition (Diagnosis)</v>
      </c>
      <c r="BZ712" s="46">
        <f t="shared" si="12"/>
        <v>1</v>
      </c>
      <c r="CA712" s="46" t="str">
        <f t="shared" si="13"/>
        <v/>
      </c>
      <c r="CB712" s="46">
        <f t="shared" si="14"/>
        <v>1</v>
      </c>
      <c r="CC712" s="46">
        <f t="shared" si="15"/>
        <v>1</v>
      </c>
      <c r="CD712" s="46">
        <f t="shared" si="16"/>
        <v>1</v>
      </c>
      <c r="CE712" s="46">
        <f t="shared" si="17"/>
        <v>0</v>
      </c>
      <c r="CF712" s="46">
        <f t="shared" si="18"/>
        <v>0</v>
      </c>
      <c r="CG712" s="46" t="str">
        <f ca="1">IFERROR(__xludf.DUMMYFUNCTION("if(OR(BH712="""",LEFT(BH712,2)=""LA""),"""",IMPORTXML(CONCATENATE(""https://loinc.org/"",BH712,""/""),""//span[@id='lcn']""))"),"")</f>
        <v/>
      </c>
      <c r="CH712" s="46"/>
      <c r="CI712" s="46"/>
      <c r="CJ712" s="46"/>
      <c r="CK712" s="46"/>
      <c r="CL712" s="46"/>
      <c r="CM712" s="46"/>
      <c r="CN712" s="46"/>
      <c r="CO712" s="46"/>
      <c r="CP712" s="46"/>
      <c r="CQ712" s="46"/>
      <c r="CR712" s="46"/>
      <c r="CS712" s="46"/>
      <c r="CT712" s="46"/>
      <c r="CU712" s="46"/>
    </row>
    <row r="713" spans="1:99" ht="12.75" customHeight="1">
      <c r="A713" s="409">
        <v>2145</v>
      </c>
      <c r="B713" s="399" t="s">
        <v>8641</v>
      </c>
      <c r="C713" s="399">
        <f t="shared" si="117"/>
        <v>2145</v>
      </c>
      <c r="D713" s="399" t="e">
        <f t="shared" ca="1" si="118"/>
        <v>#NAME?</v>
      </c>
      <c r="E713" s="399" t="str">
        <f t="shared" si="119"/>
        <v>Cervical warts</v>
      </c>
      <c r="F713" s="399" t="str">
        <f t="shared" si="126"/>
        <v>Input Option</v>
      </c>
      <c r="G713" s="400">
        <f t="shared" si="121"/>
        <v>21</v>
      </c>
      <c r="H713" s="399" t="str">
        <f t="shared" si="125"/>
        <v>Diagnosis</v>
      </c>
      <c r="I713" s="400"/>
      <c r="J713" s="400"/>
      <c r="K713" s="401" t="s">
        <v>5283</v>
      </c>
      <c r="L713" s="402" t="s">
        <v>7244</v>
      </c>
      <c r="M713" s="400"/>
      <c r="N713" s="675" t="s">
        <v>7980</v>
      </c>
      <c r="O713" s="431" t="s">
        <v>8645</v>
      </c>
      <c r="P713" s="431"/>
      <c r="Q713" s="437"/>
      <c r="R713" s="437"/>
      <c r="S713" s="437"/>
      <c r="T713" s="437"/>
      <c r="U713" s="437"/>
      <c r="V713" s="437" t="s">
        <v>8647</v>
      </c>
      <c r="W713" s="404"/>
      <c r="X713" s="437" t="s">
        <v>208</v>
      </c>
      <c r="Y713" s="437"/>
      <c r="Z713" s="437" t="s">
        <v>113</v>
      </c>
      <c r="AA713" s="437" t="s">
        <v>1889</v>
      </c>
      <c r="AB713" s="629"/>
      <c r="AC713" s="437"/>
      <c r="AD713" s="437"/>
      <c r="AE713" s="629"/>
      <c r="AF713" s="437"/>
      <c r="AG713" s="437"/>
      <c r="AH713" s="399"/>
      <c r="AI713" s="400"/>
      <c r="AJ713" s="399" t="s">
        <v>1787</v>
      </c>
      <c r="AK713" s="399"/>
      <c r="AL713" s="399" t="s">
        <v>1787</v>
      </c>
      <c r="AM713" s="399"/>
      <c r="AN713" s="399" t="s">
        <v>1787</v>
      </c>
      <c r="AO713" s="399" t="s">
        <v>1787</v>
      </c>
      <c r="AP713" s="399"/>
      <c r="AQ713" s="409" t="s">
        <v>3130</v>
      </c>
      <c r="AR713" s="399"/>
      <c r="AS713" s="399"/>
      <c r="AT713" s="399"/>
      <c r="AU713" s="399"/>
      <c r="AV713" s="399" t="str">
        <f t="shared" si="123"/>
        <v/>
      </c>
      <c r="AW713" s="399"/>
      <c r="AX713" s="409" t="s">
        <v>5194</v>
      </c>
      <c r="AY713" s="399" t="e">
        <f t="shared" ca="1" si="124"/>
        <v>#NAME?</v>
      </c>
      <c r="AZ713" s="399"/>
      <c r="BA713" s="409" t="s">
        <v>3125</v>
      </c>
      <c r="BB713" s="399"/>
      <c r="BC713" s="399" t="s">
        <v>1787</v>
      </c>
      <c r="BD713" s="399" t="s">
        <v>1787</v>
      </c>
      <c r="BE713" s="411"/>
      <c r="BF713" s="411" t="s">
        <v>1787</v>
      </c>
      <c r="BG713" s="434" t="s">
        <v>8655</v>
      </c>
      <c r="BH713" s="411"/>
      <c r="BI713" s="411"/>
      <c r="BJ713" s="399" t="s">
        <v>1787</v>
      </c>
      <c r="BK713" s="399" t="s">
        <v>1787</v>
      </c>
      <c r="BL713" s="399"/>
      <c r="BM713" s="399" t="s">
        <v>1787</v>
      </c>
      <c r="BN713" s="399" t="s">
        <v>1787</v>
      </c>
      <c r="BO713" s="399" t="s">
        <v>1787</v>
      </c>
      <c r="BP713" s="399" t="s">
        <v>1787</v>
      </c>
      <c r="BQ713" s="399" t="s">
        <v>1787</v>
      </c>
      <c r="BR713" s="399" t="s">
        <v>1787</v>
      </c>
      <c r="BS713" s="407"/>
      <c r="BT713" s="407"/>
      <c r="BU713" s="412"/>
      <c r="BV713" s="46" t="str">
        <f t="shared" si="8"/>
        <v/>
      </c>
      <c r="BW713" s="46">
        <f t="shared" si="9"/>
        <v>0</v>
      </c>
      <c r="BX713" s="46">
        <f t="shared" si="10"/>
        <v>0</v>
      </c>
      <c r="BY713" s="43" t="str">
        <f t="shared" si="11"/>
        <v>WHO-STI Condition (Diagnosis)</v>
      </c>
      <c r="BZ713" s="46">
        <f t="shared" si="12"/>
        <v>1</v>
      </c>
      <c r="CA713" s="46" t="str">
        <f t="shared" si="13"/>
        <v/>
      </c>
      <c r="CB713" s="46">
        <f t="shared" si="14"/>
        <v>1</v>
      </c>
      <c r="CC713" s="46">
        <f t="shared" si="15"/>
        <v>1</v>
      </c>
      <c r="CD713" s="46">
        <f t="shared" si="16"/>
        <v>1</v>
      </c>
      <c r="CE713" s="46">
        <f t="shared" si="17"/>
        <v>0</v>
      </c>
      <c r="CF713" s="46">
        <f t="shared" si="18"/>
        <v>0</v>
      </c>
      <c r="CG713" s="46" t="str">
        <f ca="1">IFERROR(__xludf.DUMMYFUNCTION("if(OR(BH713="""",LEFT(BH713,2)=""LA""),"""",IMPORTXML(CONCATENATE(""https://loinc.org/"",BH713,""/""),""//span[@id='lcn']""))"),"")</f>
        <v/>
      </c>
      <c r="CH713" s="46"/>
      <c r="CI713" s="46"/>
      <c r="CJ713" s="46"/>
      <c r="CK713" s="46"/>
      <c r="CL713" s="46"/>
      <c r="CM713" s="46"/>
      <c r="CN713" s="46"/>
      <c r="CO713" s="46"/>
      <c r="CP713" s="46"/>
      <c r="CQ713" s="46"/>
      <c r="CR713" s="46"/>
      <c r="CS713" s="46"/>
      <c r="CT713" s="46"/>
      <c r="CU713" s="46"/>
    </row>
    <row r="714" spans="1:99" ht="12.75" customHeight="1">
      <c r="A714" s="409">
        <v>2146</v>
      </c>
      <c r="B714" s="399" t="s">
        <v>8657</v>
      </c>
      <c r="C714" s="399">
        <f t="shared" si="117"/>
        <v>2146</v>
      </c>
      <c r="D714" s="399" t="e">
        <f t="shared" ca="1" si="118"/>
        <v>#NAME?</v>
      </c>
      <c r="E714" s="399" t="str">
        <f t="shared" si="119"/>
        <v xml:space="preserve">Toxic shock syndrome </v>
      </c>
      <c r="F714" s="399" t="str">
        <f t="shared" si="126"/>
        <v>Input Option</v>
      </c>
      <c r="G714" s="400">
        <f t="shared" si="121"/>
        <v>28</v>
      </c>
      <c r="H714" s="399" t="str">
        <f t="shared" si="125"/>
        <v>Diagnosis</v>
      </c>
      <c r="I714" s="400"/>
      <c r="J714" s="400"/>
      <c r="K714" s="401" t="s">
        <v>5283</v>
      </c>
      <c r="L714" s="402" t="s">
        <v>7244</v>
      </c>
      <c r="M714" s="400"/>
      <c r="N714" s="675" t="s">
        <v>7980</v>
      </c>
      <c r="O714" s="404" t="s">
        <v>6343</v>
      </c>
      <c r="P714" s="404"/>
      <c r="Q714" s="437"/>
      <c r="R714" s="437"/>
      <c r="S714" s="437"/>
      <c r="T714" s="437"/>
      <c r="U714" s="437"/>
      <c r="V714" s="444" t="s">
        <v>6342</v>
      </c>
      <c r="W714" s="404"/>
      <c r="X714" s="437" t="s">
        <v>208</v>
      </c>
      <c r="Y714" s="437"/>
      <c r="Z714" s="437" t="s">
        <v>113</v>
      </c>
      <c r="AA714" s="437" t="s">
        <v>1889</v>
      </c>
      <c r="AB714" s="629"/>
      <c r="AC714" s="437"/>
      <c r="AD714" s="437"/>
      <c r="AE714" s="629"/>
      <c r="AF714" s="437"/>
      <c r="AG714" s="437"/>
      <c r="AH714" s="399"/>
      <c r="AI714" s="400"/>
      <c r="AJ714" s="399" t="s">
        <v>1787</v>
      </c>
      <c r="AK714" s="399"/>
      <c r="AL714" s="399" t="s">
        <v>1787</v>
      </c>
      <c r="AM714" s="399"/>
      <c r="AN714" s="399" t="s">
        <v>1787</v>
      </c>
      <c r="AO714" s="399" t="s">
        <v>1787</v>
      </c>
      <c r="AP714" s="399"/>
      <c r="AQ714" s="409" t="s">
        <v>3130</v>
      </c>
      <c r="AR714" s="399"/>
      <c r="AS714" s="399"/>
      <c r="AT714" s="399"/>
      <c r="AU714" s="399"/>
      <c r="AV714" s="399" t="str">
        <f t="shared" si="123"/>
        <v/>
      </c>
      <c r="AW714" s="399"/>
      <c r="AX714" s="409" t="s">
        <v>5194</v>
      </c>
      <c r="AY714" s="399" t="e">
        <f t="shared" ca="1" si="124"/>
        <v>#NAME?</v>
      </c>
      <c r="AZ714" s="399"/>
      <c r="BA714" s="409" t="s">
        <v>3125</v>
      </c>
      <c r="BB714" s="399"/>
      <c r="BC714" s="399" t="s">
        <v>1787</v>
      </c>
      <c r="BD714" s="409" t="s">
        <v>3162</v>
      </c>
      <c r="BE714" s="411" t="s">
        <v>4253</v>
      </c>
      <c r="BF714" s="411" t="s">
        <v>1787</v>
      </c>
      <c r="BG714" s="434" t="s">
        <v>4254</v>
      </c>
      <c r="BH714" s="411"/>
      <c r="BI714" s="411"/>
      <c r="BJ714" s="399" t="s">
        <v>1787</v>
      </c>
      <c r="BK714" s="399" t="s">
        <v>1787</v>
      </c>
      <c r="BL714" s="399"/>
      <c r="BM714" s="399" t="s">
        <v>1787</v>
      </c>
      <c r="BN714" s="399" t="s">
        <v>1787</v>
      </c>
      <c r="BO714" s="399" t="s">
        <v>1787</v>
      </c>
      <c r="BP714" s="399" t="s">
        <v>1787</v>
      </c>
      <c r="BQ714" s="399" t="s">
        <v>1787</v>
      </c>
      <c r="BR714" s="399" t="s">
        <v>1787</v>
      </c>
      <c r="BS714" s="407"/>
      <c r="BT714" s="407"/>
      <c r="BU714" s="412"/>
      <c r="BV714" s="46" t="str">
        <f t="shared" si="8"/>
        <v/>
      </c>
      <c r="BW714" s="46">
        <f t="shared" si="9"/>
        <v>0</v>
      </c>
      <c r="BX714" s="46">
        <f t="shared" si="10"/>
        <v>0</v>
      </c>
      <c r="BY714" s="43" t="str">
        <f t="shared" si="11"/>
        <v>WHO-STI Condition (Diagnosis)</v>
      </c>
      <c r="BZ714" s="46">
        <f t="shared" si="12"/>
        <v>1</v>
      </c>
      <c r="CA714" s="46" t="str">
        <f t="shared" si="13"/>
        <v/>
      </c>
      <c r="CB714" s="46">
        <f t="shared" si="14"/>
        <v>1</v>
      </c>
      <c r="CC714" s="46">
        <f t="shared" si="15"/>
        <v>1</v>
      </c>
      <c r="CD714" s="46">
        <f t="shared" si="16"/>
        <v>1</v>
      </c>
      <c r="CE714" s="46">
        <f t="shared" si="17"/>
        <v>0</v>
      </c>
      <c r="CF714" s="46">
        <f t="shared" si="18"/>
        <v>0</v>
      </c>
      <c r="CG714" s="46" t="str">
        <f ca="1">IFERROR(__xludf.DUMMYFUNCTION("if(OR(BH714="""",LEFT(BH714,2)=""LA""),"""",IMPORTXML(CONCATENATE(""https://loinc.org/"",BH714,""/""),""//span[@id='lcn']""))"),"")</f>
        <v/>
      </c>
      <c r="CH714" s="46"/>
      <c r="CI714" s="46"/>
      <c r="CJ714" s="46"/>
      <c r="CK714" s="46"/>
      <c r="CL714" s="46"/>
      <c r="CM714" s="46"/>
      <c r="CN714" s="46"/>
      <c r="CO714" s="46"/>
      <c r="CP714" s="46"/>
      <c r="CQ714" s="46"/>
      <c r="CR714" s="46"/>
      <c r="CS714" s="46"/>
      <c r="CT714" s="46"/>
      <c r="CU714" s="46"/>
    </row>
    <row r="715" spans="1:99" ht="12.75" customHeight="1">
      <c r="A715" s="409">
        <v>2147</v>
      </c>
      <c r="B715" s="399" t="s">
        <v>4256</v>
      </c>
      <c r="C715" s="399">
        <f t="shared" si="117"/>
        <v>2147</v>
      </c>
      <c r="D715" s="399" t="e">
        <f t="shared" ca="1" si="118"/>
        <v>#NAME?</v>
      </c>
      <c r="E715" s="399" t="str">
        <f t="shared" si="119"/>
        <v>Urinary tract infection</v>
      </c>
      <c r="F715" s="399" t="str">
        <f t="shared" si="126"/>
        <v>Input Option</v>
      </c>
      <c r="G715" s="400">
        <f t="shared" si="121"/>
        <v>30</v>
      </c>
      <c r="H715" s="399" t="str">
        <f t="shared" si="125"/>
        <v>Diagnosis</v>
      </c>
      <c r="I715" s="400"/>
      <c r="J715" s="400"/>
      <c r="K715" s="401" t="s">
        <v>5283</v>
      </c>
      <c r="L715" s="402" t="s">
        <v>7244</v>
      </c>
      <c r="M715" s="400"/>
      <c r="N715" s="675" t="s">
        <v>7980</v>
      </c>
      <c r="O715" s="404" t="s">
        <v>5279</v>
      </c>
      <c r="P715" s="404"/>
      <c r="Q715" s="404"/>
      <c r="R715" s="404"/>
      <c r="S715" s="404"/>
      <c r="T715" s="437"/>
      <c r="U715" s="437"/>
      <c r="V715" s="444" t="s">
        <v>4258</v>
      </c>
      <c r="W715" s="404"/>
      <c r="X715" s="437" t="s">
        <v>208</v>
      </c>
      <c r="Y715" s="404"/>
      <c r="Z715" s="437" t="s">
        <v>113</v>
      </c>
      <c r="AA715" s="437" t="s">
        <v>1889</v>
      </c>
      <c r="AB715" s="406"/>
      <c r="AC715" s="404"/>
      <c r="AD715" s="404"/>
      <c r="AE715" s="406"/>
      <c r="AF715" s="404"/>
      <c r="AG715" s="404"/>
      <c r="AH715" s="399"/>
      <c r="AI715" s="400"/>
      <c r="AJ715" s="399" t="s">
        <v>1787</v>
      </c>
      <c r="AK715" s="399"/>
      <c r="AL715" s="399" t="s">
        <v>1787</v>
      </c>
      <c r="AM715" s="399"/>
      <c r="AN715" s="399" t="s">
        <v>1787</v>
      </c>
      <c r="AO715" s="399" t="s">
        <v>1787</v>
      </c>
      <c r="AP715" s="399"/>
      <c r="AQ715" s="409" t="s">
        <v>3130</v>
      </c>
      <c r="AR715" s="399"/>
      <c r="AS715" s="399"/>
      <c r="AT715" s="399"/>
      <c r="AU715" s="399"/>
      <c r="AV715" s="399" t="str">
        <f t="shared" si="123"/>
        <v/>
      </c>
      <c r="AW715" s="399"/>
      <c r="AX715" s="409" t="s">
        <v>5194</v>
      </c>
      <c r="AY715" s="399" t="e">
        <f t="shared" ca="1" si="124"/>
        <v>#NAME?</v>
      </c>
      <c r="AZ715" s="399"/>
      <c r="BA715" s="409" t="s">
        <v>3125</v>
      </c>
      <c r="BB715" s="399"/>
      <c r="BC715" s="399" t="s">
        <v>1787</v>
      </c>
      <c r="BD715" s="399" t="s">
        <v>1787</v>
      </c>
      <c r="BE715" s="411" t="s">
        <v>4259</v>
      </c>
      <c r="BF715" s="411" t="s">
        <v>1787</v>
      </c>
      <c r="BG715" s="434" t="s">
        <v>4260</v>
      </c>
      <c r="BH715" s="411"/>
      <c r="BI715" s="411"/>
      <c r="BJ715" s="399" t="s">
        <v>1787</v>
      </c>
      <c r="BK715" s="399" t="s">
        <v>1787</v>
      </c>
      <c r="BL715" s="399"/>
      <c r="BM715" s="399" t="s">
        <v>1787</v>
      </c>
      <c r="BN715" s="399" t="s">
        <v>1787</v>
      </c>
      <c r="BO715" s="399" t="s">
        <v>1787</v>
      </c>
      <c r="BP715" s="399" t="s">
        <v>1787</v>
      </c>
      <c r="BQ715" s="399" t="s">
        <v>1787</v>
      </c>
      <c r="BR715" s="399" t="s">
        <v>1787</v>
      </c>
      <c r="BS715" s="407"/>
      <c r="BT715" s="407"/>
      <c r="BU715" s="412"/>
      <c r="BV715" s="46" t="str">
        <f t="shared" si="8"/>
        <v/>
      </c>
      <c r="BW715" s="46">
        <f t="shared" si="9"/>
        <v>0</v>
      </c>
      <c r="BX715" s="46">
        <f t="shared" si="10"/>
        <v>0</v>
      </c>
      <c r="BY715" s="43" t="str">
        <f t="shared" si="11"/>
        <v>WHO-STI Condition (Diagnosis)</v>
      </c>
      <c r="BZ715" s="46">
        <f t="shared" si="12"/>
        <v>1</v>
      </c>
      <c r="CA715" s="46" t="str">
        <f t="shared" si="13"/>
        <v/>
      </c>
      <c r="CB715" s="46">
        <f t="shared" si="14"/>
        <v>1</v>
      </c>
      <c r="CC715" s="46">
        <f t="shared" si="15"/>
        <v>1</v>
      </c>
      <c r="CD715" s="46">
        <f t="shared" si="16"/>
        <v>1</v>
      </c>
      <c r="CE715" s="46">
        <f t="shared" si="17"/>
        <v>0</v>
      </c>
      <c r="CF715" s="46">
        <f t="shared" si="18"/>
        <v>0</v>
      </c>
      <c r="CG715" s="46" t="str">
        <f ca="1">IFERROR(__xludf.DUMMYFUNCTION("if(OR(BH715="""",LEFT(BH715,2)=""LA""),"""",IMPORTXML(CONCATENATE(""https://loinc.org/"",BH715,""/""),""//span[@id='lcn']""))"),"")</f>
        <v/>
      </c>
      <c r="CH715" s="46"/>
      <c r="CI715" s="46"/>
      <c r="CJ715" s="46"/>
      <c r="CK715" s="46"/>
      <c r="CL715" s="46"/>
      <c r="CM715" s="46"/>
      <c r="CN715" s="46"/>
      <c r="CO715" s="46"/>
      <c r="CP715" s="46"/>
      <c r="CQ715" s="46"/>
      <c r="CR715" s="46"/>
      <c r="CS715" s="46"/>
      <c r="CT715" s="46"/>
      <c r="CU715" s="46"/>
    </row>
    <row r="716" spans="1:99" ht="12.75" customHeight="1">
      <c r="A716" s="409">
        <v>2148</v>
      </c>
      <c r="B716" s="399" t="s">
        <v>8693</v>
      </c>
      <c r="C716" s="399">
        <f t="shared" si="117"/>
        <v>2148</v>
      </c>
      <c r="D716" s="399" t="e">
        <f t="shared" ca="1" si="118"/>
        <v>#NAME?</v>
      </c>
      <c r="E716" s="399" t="str">
        <f t="shared" si="119"/>
        <v>Human papillomavirus (HPV)</v>
      </c>
      <c r="F716" s="399" t="str">
        <f t="shared" si="126"/>
        <v>Input Option</v>
      </c>
      <c r="G716" s="400">
        <f t="shared" si="121"/>
        <v>33</v>
      </c>
      <c r="H716" s="399" t="str">
        <f t="shared" si="125"/>
        <v>Diagnosis</v>
      </c>
      <c r="I716" s="400"/>
      <c r="J716" s="400"/>
      <c r="K716" s="401" t="s">
        <v>5283</v>
      </c>
      <c r="L716" s="402" t="s">
        <v>7244</v>
      </c>
      <c r="M716" s="400"/>
      <c r="N716" s="675" t="s">
        <v>7980</v>
      </c>
      <c r="O716" s="431" t="s">
        <v>6345</v>
      </c>
      <c r="P716" s="431"/>
      <c r="Q716" s="404"/>
      <c r="R716" s="437" t="s">
        <v>6346</v>
      </c>
      <c r="S716" s="431"/>
      <c r="T716" s="437"/>
      <c r="U716" s="437"/>
      <c r="V716" s="429" t="s">
        <v>8699</v>
      </c>
      <c r="W716" s="404"/>
      <c r="X716" s="437" t="s">
        <v>208</v>
      </c>
      <c r="Y716" s="404"/>
      <c r="Z716" s="437" t="s">
        <v>113</v>
      </c>
      <c r="AA716" s="437" t="s">
        <v>1889</v>
      </c>
      <c r="AB716" s="406"/>
      <c r="AC716" s="404"/>
      <c r="AD716" s="404" t="s">
        <v>3215</v>
      </c>
      <c r="AE716" s="406"/>
      <c r="AF716" s="404"/>
      <c r="AG716" s="404"/>
      <c r="AH716" s="399"/>
      <c r="AI716" s="400"/>
      <c r="AJ716" s="399" t="s">
        <v>1787</v>
      </c>
      <c r="AK716" s="399"/>
      <c r="AL716" s="399" t="s">
        <v>1787</v>
      </c>
      <c r="AM716" s="399"/>
      <c r="AN716" s="399" t="s">
        <v>1787</v>
      </c>
      <c r="AO716" s="399" t="s">
        <v>1787</v>
      </c>
      <c r="AP716" s="399"/>
      <c r="AQ716" s="409" t="s">
        <v>3130</v>
      </c>
      <c r="AR716" s="399"/>
      <c r="AS716" s="399"/>
      <c r="AT716" s="399"/>
      <c r="AU716" s="399"/>
      <c r="AV716" s="399" t="str">
        <f t="shared" si="123"/>
        <v/>
      </c>
      <c r="AW716" s="399"/>
      <c r="AX716" s="409" t="s">
        <v>5194</v>
      </c>
      <c r="AY716" s="399" t="e">
        <f t="shared" ca="1" si="124"/>
        <v>#NAME?</v>
      </c>
      <c r="AZ716" s="399"/>
      <c r="BA716" s="409" t="s">
        <v>3125</v>
      </c>
      <c r="BB716" s="399"/>
      <c r="BC716" s="399" t="s">
        <v>1787</v>
      </c>
      <c r="BD716" s="399" t="s">
        <v>1787</v>
      </c>
      <c r="BE716" s="411"/>
      <c r="BF716" s="411" t="s">
        <v>1787</v>
      </c>
      <c r="BG716" s="434" t="s">
        <v>8707</v>
      </c>
      <c r="BH716" s="411"/>
      <c r="BI716" s="411"/>
      <c r="BJ716" s="399" t="s">
        <v>1787</v>
      </c>
      <c r="BK716" s="399" t="s">
        <v>1787</v>
      </c>
      <c r="BL716" s="399"/>
      <c r="BM716" s="399" t="s">
        <v>1787</v>
      </c>
      <c r="BN716" s="399" t="s">
        <v>1787</v>
      </c>
      <c r="BO716" s="399" t="s">
        <v>1787</v>
      </c>
      <c r="BP716" s="399" t="s">
        <v>1787</v>
      </c>
      <c r="BQ716" s="399" t="s">
        <v>1787</v>
      </c>
      <c r="BR716" s="399" t="s">
        <v>1787</v>
      </c>
      <c r="BS716" s="407"/>
      <c r="BT716" s="407"/>
      <c r="BU716" s="412"/>
      <c r="BV716" s="46" t="str">
        <f t="shared" si="8"/>
        <v/>
      </c>
      <c r="BW716" s="46">
        <f t="shared" si="9"/>
        <v>0</v>
      </c>
      <c r="BX716" s="46">
        <f t="shared" si="10"/>
        <v>0</v>
      </c>
      <c r="BY716" s="43" t="str">
        <f t="shared" si="11"/>
        <v>WHO-STI Condition (Diagnosis)</v>
      </c>
      <c r="BZ716" s="46">
        <f t="shared" si="12"/>
        <v>1</v>
      </c>
      <c r="CA716" s="46" t="str">
        <f t="shared" si="13"/>
        <v/>
      </c>
      <c r="CB716" s="46">
        <f t="shared" si="14"/>
        <v>1</v>
      </c>
      <c r="CC716" s="46">
        <f t="shared" si="15"/>
        <v>1</v>
      </c>
      <c r="CD716" s="46">
        <f t="shared" si="16"/>
        <v>1</v>
      </c>
      <c r="CE716" s="46">
        <f t="shared" si="17"/>
        <v>0</v>
      </c>
      <c r="CF716" s="46">
        <f t="shared" si="18"/>
        <v>0</v>
      </c>
      <c r="CG716" s="46" t="str">
        <f ca="1">IFERROR(__xludf.DUMMYFUNCTION("if(OR(BH716="""",LEFT(BH716,2)=""LA""),"""",IMPORTXML(CONCATENATE(""https://loinc.org/"",BH716,""/""),""//span[@id='lcn']""))"),"")</f>
        <v/>
      </c>
      <c r="CH716" s="46"/>
      <c r="CI716" s="46"/>
      <c r="CJ716" s="46"/>
      <c r="CK716" s="46"/>
      <c r="CL716" s="46"/>
      <c r="CM716" s="46"/>
      <c r="CN716" s="46"/>
      <c r="CO716" s="46"/>
      <c r="CP716" s="46"/>
      <c r="CQ716" s="46"/>
      <c r="CR716" s="46"/>
      <c r="CS716" s="46"/>
      <c r="CT716" s="46"/>
      <c r="CU716" s="46"/>
    </row>
    <row r="717" spans="1:99" ht="12.75" customHeight="1">
      <c r="A717" s="409">
        <v>2149</v>
      </c>
      <c r="B717" s="399" t="s">
        <v>535</v>
      </c>
      <c r="C717" s="399">
        <f t="shared" si="117"/>
        <v>2149</v>
      </c>
      <c r="D717" s="399" t="e">
        <f t="shared" ca="1" si="118"/>
        <v>#NAME?</v>
      </c>
      <c r="E717" s="399" t="str">
        <f t="shared" si="119"/>
        <v>Other (specify)</v>
      </c>
      <c r="F717" s="399" t="str">
        <f t="shared" si="126"/>
        <v>Input Option</v>
      </c>
      <c r="G717" s="400">
        <f t="shared" si="121"/>
        <v>22</v>
      </c>
      <c r="H717" s="399" t="str">
        <f t="shared" si="125"/>
        <v>Diagnosis</v>
      </c>
      <c r="I717" s="400"/>
      <c r="J717" s="400"/>
      <c r="K717" s="401" t="s">
        <v>5283</v>
      </c>
      <c r="L717" s="402" t="s">
        <v>7244</v>
      </c>
      <c r="M717" s="400"/>
      <c r="N717" s="675" t="s">
        <v>7980</v>
      </c>
      <c r="O717" s="404" t="s">
        <v>6258</v>
      </c>
      <c r="P717" s="404"/>
      <c r="Q717" s="437"/>
      <c r="R717" s="404"/>
      <c r="S717" s="437"/>
      <c r="T717" s="437"/>
      <c r="U717" s="437"/>
      <c r="V717" s="420" t="s">
        <v>405</v>
      </c>
      <c r="W717" s="404"/>
      <c r="X717" s="437" t="s">
        <v>208</v>
      </c>
      <c r="Y717" s="437"/>
      <c r="Z717" s="437" t="s">
        <v>113</v>
      </c>
      <c r="AA717" s="437" t="s">
        <v>1889</v>
      </c>
      <c r="AB717" s="406"/>
      <c r="AC717" s="404"/>
      <c r="AD717" s="404"/>
      <c r="AE717" s="406"/>
      <c r="AF717" s="404"/>
      <c r="AG717" s="404"/>
      <c r="AH717" s="399"/>
      <c r="AI717" s="400"/>
      <c r="AJ717" s="399" t="s">
        <v>1787</v>
      </c>
      <c r="AK717" s="399"/>
      <c r="AL717" s="399" t="s">
        <v>1787</v>
      </c>
      <c r="AM717" s="399"/>
      <c r="AN717" s="399" t="s">
        <v>1787</v>
      </c>
      <c r="AO717" s="399" t="s">
        <v>1787</v>
      </c>
      <c r="AP717" s="399"/>
      <c r="AQ717" s="409" t="s">
        <v>3424</v>
      </c>
      <c r="AR717" s="399"/>
      <c r="AS717" s="399"/>
      <c r="AT717" s="399"/>
      <c r="AU717" s="399"/>
      <c r="AV717" s="399" t="str">
        <f t="shared" si="123"/>
        <v/>
      </c>
      <c r="AW717" s="399"/>
      <c r="AX717" s="409" t="s">
        <v>5194</v>
      </c>
      <c r="AY717" s="399" t="e">
        <f t="shared" ca="1" si="124"/>
        <v>#NAME?</v>
      </c>
      <c r="AZ717" s="399"/>
      <c r="BA717" s="409">
        <v>1</v>
      </c>
      <c r="BB717" s="415" t="s">
        <v>3131</v>
      </c>
      <c r="BC717" s="403" t="s">
        <v>1387</v>
      </c>
      <c r="BD717" s="399" t="s">
        <v>1787</v>
      </c>
      <c r="BE717" s="411"/>
      <c r="BF717" s="411" t="s">
        <v>1787</v>
      </c>
      <c r="BG717" s="411"/>
      <c r="BH717" s="411"/>
      <c r="BI717" s="411"/>
      <c r="BJ717" s="399" t="s">
        <v>1787</v>
      </c>
      <c r="BK717" s="399" t="s">
        <v>1787</v>
      </c>
      <c r="BL717" s="399"/>
      <c r="BM717" s="399" t="s">
        <v>1787</v>
      </c>
      <c r="BN717" s="399" t="s">
        <v>1787</v>
      </c>
      <c r="BO717" s="399" t="s">
        <v>1787</v>
      </c>
      <c r="BP717" s="399" t="s">
        <v>1787</v>
      </c>
      <c r="BQ717" s="399" t="s">
        <v>1787</v>
      </c>
      <c r="BR717" s="399" t="s">
        <v>1787</v>
      </c>
      <c r="BS717" s="407"/>
      <c r="BT717" s="407"/>
      <c r="BU717" s="412"/>
      <c r="BV717" s="46" t="str">
        <f t="shared" si="8"/>
        <v/>
      </c>
      <c r="BW717" s="46">
        <f t="shared" si="9"/>
        <v>0</v>
      </c>
      <c r="BX717" s="46">
        <f t="shared" si="10"/>
        <v>0</v>
      </c>
      <c r="BY717" s="43" t="str">
        <f t="shared" si="11"/>
        <v>WHO-STI Condition (Diagnosis)</v>
      </c>
      <c r="BZ717" s="46">
        <f t="shared" si="12"/>
        <v>1</v>
      </c>
      <c r="CA717" s="46" t="str">
        <f t="shared" si="13"/>
        <v/>
      </c>
      <c r="CB717" s="46">
        <f t="shared" si="14"/>
        <v>1</v>
      </c>
      <c r="CC717" s="46">
        <f t="shared" si="15"/>
        <v>1</v>
      </c>
      <c r="CD717" s="46">
        <f t="shared" si="16"/>
        <v>1</v>
      </c>
      <c r="CE717" s="46">
        <f t="shared" si="17"/>
        <v>0</v>
      </c>
      <c r="CF717" s="46">
        <f t="shared" si="18"/>
        <v>0</v>
      </c>
      <c r="CG717" s="46" t="str">
        <f ca="1">IFERROR(__xludf.DUMMYFUNCTION("if(OR(BH717="""",LEFT(BH717,2)=""LA""),"""",IMPORTXML(CONCATENATE(""https://loinc.org/"",BH717,""/""),""//span[@id='lcn']""))"),"")</f>
        <v/>
      </c>
      <c r="CH717" s="46"/>
      <c r="CI717" s="46"/>
      <c r="CJ717" s="46"/>
      <c r="CK717" s="46"/>
      <c r="CL717" s="46"/>
      <c r="CM717" s="46"/>
      <c r="CN717" s="46"/>
      <c r="CO717" s="46"/>
      <c r="CP717" s="46"/>
      <c r="CQ717" s="46"/>
      <c r="CR717" s="46"/>
      <c r="CS717" s="46"/>
      <c r="CT717" s="46"/>
      <c r="CU717" s="46"/>
    </row>
    <row r="718" spans="1:99" ht="12.75" customHeight="1">
      <c r="A718" s="409">
        <v>2150</v>
      </c>
      <c r="B718" s="399" t="s">
        <v>8731</v>
      </c>
      <c r="C718" s="399">
        <f t="shared" si="117"/>
        <v>2150</v>
      </c>
      <c r="D718" s="399" t="str">
        <f t="shared" si="118"/>
        <v>Other (specify)</v>
      </c>
      <c r="E718" s="399" t="str">
        <f t="shared" si="119"/>
        <v>Other (specify)</v>
      </c>
      <c r="F718" s="399" t="str">
        <f t="shared" si="126"/>
        <v>Data Element</v>
      </c>
      <c r="G718" s="400">
        <f t="shared" si="121"/>
        <v>27</v>
      </c>
      <c r="H718" s="400" t="str">
        <f t="shared" si="125"/>
        <v/>
      </c>
      <c r="I718" s="400"/>
      <c r="J718" s="400"/>
      <c r="K718" s="401" t="s">
        <v>5283</v>
      </c>
      <c r="L718" s="402" t="s">
        <v>7244</v>
      </c>
      <c r="M718" s="400"/>
      <c r="N718" s="675" t="s">
        <v>7980</v>
      </c>
      <c r="O718" s="437" t="s">
        <v>6260</v>
      </c>
      <c r="P718" s="437"/>
      <c r="Q718" s="407" t="s">
        <v>405</v>
      </c>
      <c r="R718" s="407"/>
      <c r="S718" s="407" t="s">
        <v>3421</v>
      </c>
      <c r="T718" s="407" t="s">
        <v>111</v>
      </c>
      <c r="U718" s="407"/>
      <c r="V718" s="407"/>
      <c r="W718" s="404"/>
      <c r="X718" s="407" t="s">
        <v>208</v>
      </c>
      <c r="Y718" s="407"/>
      <c r="Z718" s="437" t="s">
        <v>113</v>
      </c>
      <c r="AA718" s="407" t="s">
        <v>3178</v>
      </c>
      <c r="AB718" s="432" t="s">
        <v>7485</v>
      </c>
      <c r="AC718" s="421"/>
      <c r="AD718" s="407"/>
      <c r="AE718" s="408"/>
      <c r="AF718" s="407"/>
      <c r="AG718" s="407"/>
      <c r="AH718" s="399"/>
      <c r="AI718" s="400"/>
      <c r="AJ718" s="399" t="s">
        <v>1787</v>
      </c>
      <c r="AK718" s="440" t="s">
        <v>6350</v>
      </c>
      <c r="AL718" s="409"/>
      <c r="AM718" s="409" t="s">
        <v>3100</v>
      </c>
      <c r="AN718" s="409" t="s">
        <v>3101</v>
      </c>
      <c r="AO718" s="399" t="s">
        <v>1787</v>
      </c>
      <c r="AP718" s="409" t="s">
        <v>6719</v>
      </c>
      <c r="AQ718" s="409" t="s">
        <v>3424</v>
      </c>
      <c r="AR718" s="399"/>
      <c r="AS718" s="399"/>
      <c r="AT718" s="399"/>
      <c r="AU718" s="399"/>
      <c r="AV718" s="399" t="str">
        <f t="shared" si="123"/>
        <v/>
      </c>
      <c r="AW718" s="399"/>
      <c r="AX718" s="409" t="s">
        <v>5194</v>
      </c>
      <c r="AY718" s="399" t="str">
        <f t="shared" si="124"/>
        <v>"Other (specify)"-&gt;"Other (specify) - Diagnosis"</v>
      </c>
      <c r="AZ718" s="399"/>
      <c r="BA718" s="409">
        <v>1</v>
      </c>
      <c r="BB718" s="399"/>
      <c r="BC718" s="399" t="s">
        <v>1787</v>
      </c>
      <c r="BD718" s="399" t="s">
        <v>1787</v>
      </c>
      <c r="BE718" s="411"/>
      <c r="BF718" s="411" t="s">
        <v>1787</v>
      </c>
      <c r="BG718" s="411"/>
      <c r="BH718" s="411"/>
      <c r="BI718" s="411"/>
      <c r="BJ718" s="409" t="s">
        <v>3106</v>
      </c>
      <c r="BK718" s="399" t="s">
        <v>1787</v>
      </c>
      <c r="BL718" s="399"/>
      <c r="BM718" s="399" t="s">
        <v>1787</v>
      </c>
      <c r="BN718" s="399" t="s">
        <v>1787</v>
      </c>
      <c r="BO718" s="399" t="s">
        <v>1787</v>
      </c>
      <c r="BP718" s="399" t="s">
        <v>1787</v>
      </c>
      <c r="BQ718" s="399" t="s">
        <v>1787</v>
      </c>
      <c r="BR718" s="399" t="s">
        <v>1787</v>
      </c>
      <c r="BS718" s="407"/>
      <c r="BT718" s="407"/>
      <c r="BU718" s="412"/>
      <c r="BV718" s="46" t="str">
        <f t="shared" si="8"/>
        <v>Condition</v>
      </c>
      <c r="BW718" s="46" t="str">
        <f t="shared" si="9"/>
        <v/>
      </c>
      <c r="BX718" s="46" t="str">
        <f t="shared" si="10"/>
        <v>Condition</v>
      </c>
      <c r="BY718" s="43" t="str">
        <f t="shared" si="11"/>
        <v>WHO-STI Condition (Diagnosis)</v>
      </c>
      <c r="BZ718" s="46">
        <f t="shared" si="12"/>
        <v>1</v>
      </c>
      <c r="CA718" s="46">
        <f t="shared" si="13"/>
        <v>0</v>
      </c>
      <c r="CB718" s="46">
        <f t="shared" si="14"/>
        <v>1</v>
      </c>
      <c r="CC718" s="46">
        <f t="shared" si="15"/>
        <v>1</v>
      </c>
      <c r="CD718" s="46">
        <f t="shared" si="16"/>
        <v>1</v>
      </c>
      <c r="CE718" s="46">
        <f t="shared" si="17"/>
        <v>0</v>
      </c>
      <c r="CF718" s="46">
        <f t="shared" si="18"/>
        <v>0</v>
      </c>
      <c r="CG718" s="46" t="str">
        <f ca="1">IFERROR(__xludf.DUMMYFUNCTION("if(OR(BH718="""",LEFT(BH718,2)=""LA""),"""",IMPORTXML(CONCATENATE(""https://loinc.org/"",BH718,""/""),""//span[@id='lcn']""))"),"")</f>
        <v/>
      </c>
      <c r="CH718" s="46"/>
      <c r="CI718" s="46"/>
      <c r="CJ718" s="46"/>
      <c r="CK718" s="46"/>
      <c r="CL718" s="46"/>
      <c r="CM718" s="46"/>
      <c r="CN718" s="46"/>
      <c r="CO718" s="46"/>
      <c r="CP718" s="46"/>
      <c r="CQ718" s="46"/>
      <c r="CR718" s="46"/>
      <c r="CS718" s="46"/>
      <c r="CT718" s="46"/>
      <c r="CU718" s="46"/>
    </row>
    <row r="719" spans="1:99" ht="12.75" customHeight="1">
      <c r="A719" s="409">
        <v>2151</v>
      </c>
      <c r="B719" s="399" t="s">
        <v>8753</v>
      </c>
      <c r="C719" s="399">
        <f t="shared" si="117"/>
        <v>2151</v>
      </c>
      <c r="D719" s="399" t="str">
        <f t="shared" si="118"/>
        <v>Method of diagnosis</v>
      </c>
      <c r="E719" s="399" t="str">
        <f t="shared" si="119"/>
        <v>Method of diagnosis</v>
      </c>
      <c r="F719" s="399" t="str">
        <f t="shared" si="126"/>
        <v>Data Element</v>
      </c>
      <c r="G719" s="400">
        <f t="shared" si="121"/>
        <v>19</v>
      </c>
      <c r="H719" s="400" t="str">
        <f t="shared" si="125"/>
        <v/>
      </c>
      <c r="I719" s="400"/>
      <c r="J719" s="400"/>
      <c r="K719" s="401" t="s">
        <v>5283</v>
      </c>
      <c r="L719" s="402" t="s">
        <v>7244</v>
      </c>
      <c r="M719" s="400"/>
      <c r="N719" s="675" t="s">
        <v>7980</v>
      </c>
      <c r="O719" s="431" t="s">
        <v>8757</v>
      </c>
      <c r="P719" s="431"/>
      <c r="Q719" s="420" t="s">
        <v>8753</v>
      </c>
      <c r="R719" s="437"/>
      <c r="S719" s="420" t="s">
        <v>8758</v>
      </c>
      <c r="T719" s="431"/>
      <c r="U719" s="431"/>
      <c r="V719" s="431"/>
      <c r="W719" s="404"/>
      <c r="X719" s="407" t="s">
        <v>208</v>
      </c>
      <c r="Y719" s="404"/>
      <c r="Z719" s="437" t="s">
        <v>113</v>
      </c>
      <c r="AA719" s="404" t="s">
        <v>3178</v>
      </c>
      <c r="AB719" s="420" t="s">
        <v>8759</v>
      </c>
      <c r="AC719" s="404"/>
      <c r="AD719" s="404" t="s">
        <v>3215</v>
      </c>
      <c r="AE719" s="406"/>
      <c r="AF719" s="404"/>
      <c r="AG719" s="404"/>
      <c r="AH719" s="399"/>
      <c r="AI719" s="400"/>
      <c r="AJ719" s="399" t="s">
        <v>1787</v>
      </c>
      <c r="AK719" s="409" t="s">
        <v>6721</v>
      </c>
      <c r="AL719" s="399" t="s">
        <v>1787</v>
      </c>
      <c r="AM719" s="409" t="s">
        <v>3100</v>
      </c>
      <c r="AN719" s="409" t="s">
        <v>3101</v>
      </c>
      <c r="AO719" s="399" t="s">
        <v>1787</v>
      </c>
      <c r="AP719" s="409" t="s">
        <v>6719</v>
      </c>
      <c r="AQ719" s="409" t="s">
        <v>3424</v>
      </c>
      <c r="AR719" s="399"/>
      <c r="AS719" s="399"/>
      <c r="AT719" s="399"/>
      <c r="AU719" s="399"/>
      <c r="AV719" s="399" t="str">
        <f t="shared" si="123"/>
        <v/>
      </c>
      <c r="AW719" s="399"/>
      <c r="AX719" s="409" t="s">
        <v>5194</v>
      </c>
      <c r="AY719" s="399" t="str">
        <f t="shared" si="124"/>
        <v/>
      </c>
      <c r="AZ719" s="399"/>
      <c r="BA719" s="409" t="s">
        <v>3125</v>
      </c>
      <c r="BB719" s="415" t="s">
        <v>3131</v>
      </c>
      <c r="BC719" s="399" t="s">
        <v>8753</v>
      </c>
      <c r="BD719" s="409" t="s">
        <v>8769</v>
      </c>
      <c r="BE719" s="411"/>
      <c r="BF719" s="411" t="s">
        <v>1787</v>
      </c>
      <c r="BG719" s="411"/>
      <c r="BH719" s="411"/>
      <c r="BI719" s="411"/>
      <c r="BJ719" s="409" t="s">
        <v>4745</v>
      </c>
      <c r="BK719" s="399" t="s">
        <v>1787</v>
      </c>
      <c r="BL719" s="409" t="s">
        <v>3162</v>
      </c>
      <c r="BM719" s="409" t="s">
        <v>8774</v>
      </c>
      <c r="BN719" s="399" t="s">
        <v>1787</v>
      </c>
      <c r="BO719" s="399" t="s">
        <v>1787</v>
      </c>
      <c r="BP719" s="399" t="s">
        <v>1787</v>
      </c>
      <c r="BQ719" s="399" t="s">
        <v>1787</v>
      </c>
      <c r="BR719" s="399" t="s">
        <v>1787</v>
      </c>
      <c r="BS719" s="407"/>
      <c r="BT719" s="407"/>
      <c r="BU719" s="412"/>
      <c r="BV719" s="46" t="str">
        <f t="shared" si="8"/>
        <v>Condition</v>
      </c>
      <c r="BW719" s="46" t="str">
        <f t="shared" si="9"/>
        <v/>
      </c>
      <c r="BX719" s="46" t="str">
        <f t="shared" si="10"/>
        <v>Condition</v>
      </c>
      <c r="BY719" s="43" t="str">
        <f t="shared" si="11"/>
        <v>WHO-STI Condition (Diagnosis)</v>
      </c>
      <c r="BZ719" s="46">
        <f t="shared" si="12"/>
        <v>1</v>
      </c>
      <c r="CA719" s="46">
        <f t="shared" si="13"/>
        <v>1</v>
      </c>
      <c r="CB719" s="46">
        <f t="shared" si="14"/>
        <v>1</v>
      </c>
      <c r="CC719" s="46">
        <f t="shared" si="15"/>
        <v>1</v>
      </c>
      <c r="CD719" s="46">
        <f t="shared" si="16"/>
        <v>1</v>
      </c>
      <c r="CE719" s="46">
        <f t="shared" si="17"/>
        <v>0</v>
      </c>
      <c r="CF719" s="46">
        <f t="shared" si="18"/>
        <v>0</v>
      </c>
      <c r="CG719" s="46" t="str">
        <f ca="1">IFERROR(__xludf.DUMMYFUNCTION("if(OR(BH719="""",LEFT(BH719,2)=""LA""),"""",IMPORTXML(CONCATENATE(""https://loinc.org/"",BH719,""/""),""//span[@id='lcn']""))"),"")</f>
        <v/>
      </c>
      <c r="CH719" s="46"/>
      <c r="CI719" s="46"/>
      <c r="CJ719" s="46"/>
      <c r="CK719" s="46"/>
      <c r="CL719" s="46"/>
      <c r="CM719" s="46"/>
      <c r="CN719" s="46"/>
      <c r="CO719" s="46"/>
      <c r="CP719" s="46"/>
      <c r="CQ719" s="46"/>
      <c r="CR719" s="46"/>
      <c r="CS719" s="46"/>
      <c r="CT719" s="46"/>
      <c r="CU719" s="46"/>
    </row>
    <row r="720" spans="1:99" ht="12.75" customHeight="1">
      <c r="A720" s="409">
        <v>2152</v>
      </c>
      <c r="B720" s="399" t="s">
        <v>8781</v>
      </c>
      <c r="C720" s="399">
        <f t="shared" si="117"/>
        <v>2152</v>
      </c>
      <c r="D720" s="399" t="e">
        <f t="shared" ca="1" si="118"/>
        <v>#NAME?</v>
      </c>
      <c r="E720" s="399" t="str">
        <f t="shared" si="119"/>
        <v>Syndromic</v>
      </c>
      <c r="F720" s="399" t="str">
        <f t="shared" si="126"/>
        <v>Input Option</v>
      </c>
      <c r="G720" s="400">
        <f t="shared" si="121"/>
        <v>16</v>
      </c>
      <c r="H720" s="399" t="str">
        <f t="shared" si="125"/>
        <v>Method of diagnosis</v>
      </c>
      <c r="I720" s="400"/>
      <c r="J720" s="400"/>
      <c r="K720" s="401" t="s">
        <v>5283</v>
      </c>
      <c r="L720" s="402" t="s">
        <v>7244</v>
      </c>
      <c r="M720" s="400"/>
      <c r="N720" s="675" t="s">
        <v>7980</v>
      </c>
      <c r="O720" s="431" t="s">
        <v>8783</v>
      </c>
      <c r="P720" s="431"/>
      <c r="Q720" s="404"/>
      <c r="R720" s="404"/>
      <c r="S720" s="420" t="s">
        <v>8786</v>
      </c>
      <c r="T720" s="448"/>
      <c r="U720" s="431"/>
      <c r="V720" s="431" t="s">
        <v>8790</v>
      </c>
      <c r="W720" s="404"/>
      <c r="X720" s="407" t="s">
        <v>208</v>
      </c>
      <c r="Y720" s="404"/>
      <c r="Z720" s="437" t="s">
        <v>113</v>
      </c>
      <c r="AA720" s="404"/>
      <c r="AB720" s="406"/>
      <c r="AC720" s="404"/>
      <c r="AD720" s="404"/>
      <c r="AE720" s="406"/>
      <c r="AF720" s="404"/>
      <c r="AG720" s="404"/>
      <c r="AH720" s="399"/>
      <c r="AI720" s="400"/>
      <c r="AJ720" s="399" t="s">
        <v>1787</v>
      </c>
      <c r="AK720" s="399"/>
      <c r="AL720" s="399" t="s">
        <v>1787</v>
      </c>
      <c r="AM720" s="399"/>
      <c r="AN720" s="399" t="s">
        <v>1787</v>
      </c>
      <c r="AO720" s="399" t="s">
        <v>1787</v>
      </c>
      <c r="AP720" s="399"/>
      <c r="AQ720" s="409" t="s">
        <v>3130</v>
      </c>
      <c r="AR720" s="399"/>
      <c r="AS720" s="399"/>
      <c r="AT720" s="399"/>
      <c r="AU720" s="399"/>
      <c r="AV720" s="399" t="str">
        <f t="shared" si="123"/>
        <v/>
      </c>
      <c r="AW720" s="399"/>
      <c r="AX720" s="409" t="s">
        <v>5194</v>
      </c>
      <c r="AY720" s="399" t="e">
        <f t="shared" ca="1" si="124"/>
        <v>#NAME?</v>
      </c>
      <c r="AZ720" s="399"/>
      <c r="BA720" s="409" t="s">
        <v>3125</v>
      </c>
      <c r="BB720" s="399"/>
      <c r="BC720" s="399" t="s">
        <v>1787</v>
      </c>
      <c r="BD720" s="409" t="s">
        <v>8796</v>
      </c>
      <c r="BE720" s="411"/>
      <c r="BF720" s="411" t="s">
        <v>1787</v>
      </c>
      <c r="BG720" s="434" t="s">
        <v>8799</v>
      </c>
      <c r="BH720" s="411"/>
      <c r="BI720" s="411"/>
      <c r="BJ720" s="399" t="s">
        <v>1787</v>
      </c>
      <c r="BK720" s="399" t="s">
        <v>1787</v>
      </c>
      <c r="BL720" s="399"/>
      <c r="BM720" s="409" t="s">
        <v>8800</v>
      </c>
      <c r="BN720" s="399" t="s">
        <v>1787</v>
      </c>
      <c r="BO720" s="399" t="s">
        <v>1787</v>
      </c>
      <c r="BP720" s="399" t="s">
        <v>1787</v>
      </c>
      <c r="BQ720" s="399" t="s">
        <v>1787</v>
      </c>
      <c r="BR720" s="399" t="s">
        <v>1787</v>
      </c>
      <c r="BS720" s="407"/>
      <c r="BT720" s="407"/>
      <c r="BU720" s="412"/>
      <c r="BV720" s="46" t="str">
        <f t="shared" si="8"/>
        <v/>
      </c>
      <c r="BW720" s="46">
        <f t="shared" si="9"/>
        <v>0</v>
      </c>
      <c r="BX720" s="46">
        <f t="shared" si="10"/>
        <v>0</v>
      </c>
      <c r="BY720" s="43" t="str">
        <f t="shared" si="11"/>
        <v>WHO-STI Condition (Diagnosis)</v>
      </c>
      <c r="BZ720" s="46">
        <f t="shared" si="12"/>
        <v>1</v>
      </c>
      <c r="CA720" s="46" t="str">
        <f t="shared" si="13"/>
        <v/>
      </c>
      <c r="CB720" s="46">
        <f t="shared" si="14"/>
        <v>1</v>
      </c>
      <c r="CC720" s="46">
        <f t="shared" si="15"/>
        <v>1</v>
      </c>
      <c r="CD720" s="46">
        <f t="shared" si="16"/>
        <v>1</v>
      </c>
      <c r="CE720" s="46">
        <f t="shared" si="17"/>
        <v>0</v>
      </c>
      <c r="CF720" s="46">
        <f t="shared" si="18"/>
        <v>0</v>
      </c>
      <c r="CG720" s="46" t="str">
        <f ca="1">IFERROR(__xludf.DUMMYFUNCTION("if(OR(BH720="""",LEFT(BH720,2)=""LA""),"""",IMPORTXML(CONCATENATE(""https://loinc.org/"",BH720,""/""),""//span[@id='lcn']""))"),"")</f>
        <v/>
      </c>
      <c r="CH720" s="46"/>
      <c r="CI720" s="46"/>
      <c r="CJ720" s="46"/>
      <c r="CK720" s="46"/>
      <c r="CL720" s="46"/>
      <c r="CM720" s="46"/>
      <c r="CN720" s="46"/>
      <c r="CO720" s="46"/>
      <c r="CP720" s="46"/>
      <c r="CQ720" s="46"/>
      <c r="CR720" s="46"/>
      <c r="CS720" s="46"/>
      <c r="CT720" s="46"/>
      <c r="CU720" s="46"/>
    </row>
    <row r="721" spans="1:99" ht="12.75" customHeight="1">
      <c r="A721" s="409">
        <v>2153</v>
      </c>
      <c r="B721" s="399" t="s">
        <v>8811</v>
      </c>
      <c r="C721" s="399">
        <f t="shared" si="117"/>
        <v>2153</v>
      </c>
      <c r="D721" s="399" t="e">
        <f t="shared" ca="1" si="118"/>
        <v>#NAME?</v>
      </c>
      <c r="E721" s="399" t="str">
        <f t="shared" si="119"/>
        <v>Laboratory testing</v>
      </c>
      <c r="F721" s="399" t="str">
        <f t="shared" si="126"/>
        <v>Input Option</v>
      </c>
      <c r="G721" s="400">
        <f t="shared" si="121"/>
        <v>25</v>
      </c>
      <c r="H721" s="399" t="str">
        <f t="shared" si="125"/>
        <v>Method of diagnosis</v>
      </c>
      <c r="I721" s="400"/>
      <c r="J721" s="400"/>
      <c r="K721" s="401" t="s">
        <v>5283</v>
      </c>
      <c r="L721" s="402" t="s">
        <v>7244</v>
      </c>
      <c r="M721" s="400"/>
      <c r="N721" s="675" t="s">
        <v>7980</v>
      </c>
      <c r="O721" s="431" t="s">
        <v>8813</v>
      </c>
      <c r="P721" s="431"/>
      <c r="Q721" s="404"/>
      <c r="R721" s="404"/>
      <c r="S721" s="420" t="s">
        <v>8814</v>
      </c>
      <c r="T721" s="448"/>
      <c r="U721" s="431"/>
      <c r="V721" s="429" t="s">
        <v>8815</v>
      </c>
      <c r="W721" s="404"/>
      <c r="X721" s="407" t="s">
        <v>208</v>
      </c>
      <c r="Y721" s="404"/>
      <c r="Z721" s="437" t="s">
        <v>113</v>
      </c>
      <c r="AA721" s="404"/>
      <c r="AB721" s="406"/>
      <c r="AC721" s="404"/>
      <c r="AD721" s="404"/>
      <c r="AE721" s="406"/>
      <c r="AF721" s="404"/>
      <c r="AG721" s="404"/>
      <c r="AH721" s="399"/>
      <c r="AI721" s="400"/>
      <c r="AJ721" s="399" t="s">
        <v>1787</v>
      </c>
      <c r="AK721" s="399"/>
      <c r="AL721" s="399" t="s">
        <v>1787</v>
      </c>
      <c r="AM721" s="399"/>
      <c r="AN721" s="399" t="s">
        <v>1787</v>
      </c>
      <c r="AO721" s="399" t="s">
        <v>1787</v>
      </c>
      <c r="AP721" s="399"/>
      <c r="AQ721" s="409" t="s">
        <v>3130</v>
      </c>
      <c r="AR721" s="399"/>
      <c r="AS721" s="399"/>
      <c r="AT721" s="399"/>
      <c r="AU721" s="399"/>
      <c r="AV721" s="399" t="str">
        <f t="shared" si="123"/>
        <v/>
      </c>
      <c r="AW721" s="399"/>
      <c r="AX721" s="409" t="s">
        <v>5194</v>
      </c>
      <c r="AY721" s="399" t="e">
        <f t="shared" ca="1" si="124"/>
        <v>#NAME?</v>
      </c>
      <c r="AZ721" s="399"/>
      <c r="BA721" s="409" t="s">
        <v>3125</v>
      </c>
      <c r="BB721" s="399"/>
      <c r="BC721" s="399" t="s">
        <v>1787</v>
      </c>
      <c r="BD721" s="409" t="s">
        <v>8796</v>
      </c>
      <c r="BE721" s="411"/>
      <c r="BF721" s="411" t="s">
        <v>1787</v>
      </c>
      <c r="BG721" s="434" t="s">
        <v>8819</v>
      </c>
      <c r="BH721" s="411"/>
      <c r="BI721" s="411"/>
      <c r="BJ721" s="399" t="s">
        <v>1787</v>
      </c>
      <c r="BK721" s="399" t="s">
        <v>1787</v>
      </c>
      <c r="BL721" s="399"/>
      <c r="BM721" s="399" t="s">
        <v>1787</v>
      </c>
      <c r="BN721" s="399" t="s">
        <v>1787</v>
      </c>
      <c r="BO721" s="399" t="s">
        <v>1787</v>
      </c>
      <c r="BP721" s="399" t="s">
        <v>1787</v>
      </c>
      <c r="BQ721" s="399" t="s">
        <v>1787</v>
      </c>
      <c r="BR721" s="399" t="s">
        <v>1787</v>
      </c>
      <c r="BS721" s="407"/>
      <c r="BT721" s="407"/>
      <c r="BU721" s="412"/>
      <c r="BV721" s="46" t="str">
        <f t="shared" si="8"/>
        <v/>
      </c>
      <c r="BW721" s="46">
        <f t="shared" si="9"/>
        <v>0</v>
      </c>
      <c r="BX721" s="46">
        <f t="shared" si="10"/>
        <v>0</v>
      </c>
      <c r="BY721" s="43" t="str">
        <f t="shared" si="11"/>
        <v>WHO-STI Condition (Diagnosis)</v>
      </c>
      <c r="BZ721" s="46">
        <f t="shared" si="12"/>
        <v>1</v>
      </c>
      <c r="CA721" s="46" t="str">
        <f t="shared" si="13"/>
        <v/>
      </c>
      <c r="CB721" s="46">
        <f t="shared" si="14"/>
        <v>1</v>
      </c>
      <c r="CC721" s="46">
        <f t="shared" si="15"/>
        <v>1</v>
      </c>
      <c r="CD721" s="46">
        <f t="shared" si="16"/>
        <v>1</v>
      </c>
      <c r="CE721" s="46">
        <f t="shared" si="17"/>
        <v>0</v>
      </c>
      <c r="CF721" s="46">
        <f t="shared" si="18"/>
        <v>0</v>
      </c>
      <c r="CG721" s="46" t="str">
        <f ca="1">IFERROR(__xludf.DUMMYFUNCTION("if(OR(BH721="""",LEFT(BH721,2)=""LA""),"""",IMPORTXML(CONCATENATE(""https://loinc.org/"",BH721,""/""),""//span[@id='lcn']""))"),"")</f>
        <v/>
      </c>
      <c r="CH721" s="46"/>
      <c r="CI721" s="46"/>
      <c r="CJ721" s="46"/>
      <c r="CK721" s="46"/>
      <c r="CL721" s="46"/>
      <c r="CM721" s="46"/>
      <c r="CN721" s="46"/>
      <c r="CO721" s="46"/>
      <c r="CP721" s="46"/>
      <c r="CQ721" s="46"/>
      <c r="CR721" s="46"/>
      <c r="CS721" s="46"/>
      <c r="CT721" s="46"/>
      <c r="CU721" s="46"/>
    </row>
    <row r="722" spans="1:99" ht="12.75" customHeight="1">
      <c r="A722" s="409">
        <v>2154</v>
      </c>
      <c r="B722" s="399" t="s">
        <v>8823</v>
      </c>
      <c r="C722" s="399">
        <f t="shared" si="117"/>
        <v>2154</v>
      </c>
      <c r="D722" s="399" t="e">
        <f t="shared" ca="1" si="118"/>
        <v>#NAME?</v>
      </c>
      <c r="E722" s="399" t="str">
        <f t="shared" si="119"/>
        <v>Point-of-care rapid testing</v>
      </c>
      <c r="F722" s="399" t="str">
        <f t="shared" si="126"/>
        <v>Input Option</v>
      </c>
      <c r="G722" s="400">
        <f t="shared" si="121"/>
        <v>34</v>
      </c>
      <c r="H722" s="399" t="str">
        <f t="shared" si="125"/>
        <v>Method of diagnosis</v>
      </c>
      <c r="I722" s="400"/>
      <c r="J722" s="400"/>
      <c r="K722" s="401" t="s">
        <v>5283</v>
      </c>
      <c r="L722" s="402" t="s">
        <v>7244</v>
      </c>
      <c r="M722" s="400"/>
      <c r="N722" s="675" t="s">
        <v>7980</v>
      </c>
      <c r="O722" s="431" t="s">
        <v>8826</v>
      </c>
      <c r="P722" s="431"/>
      <c r="Q722" s="404"/>
      <c r="R722" s="404"/>
      <c r="S722" s="420" t="s">
        <v>8827</v>
      </c>
      <c r="T722" s="431"/>
      <c r="U722" s="431"/>
      <c r="V722" s="429" t="s">
        <v>8828</v>
      </c>
      <c r="W722" s="404"/>
      <c r="X722" s="407" t="s">
        <v>208</v>
      </c>
      <c r="Y722" s="404"/>
      <c r="Z722" s="437" t="s">
        <v>113</v>
      </c>
      <c r="AA722" s="404"/>
      <c r="AB722" s="406"/>
      <c r="AC722" s="404"/>
      <c r="AD722" s="404"/>
      <c r="AE722" s="406"/>
      <c r="AF722" s="404"/>
      <c r="AG722" s="404"/>
      <c r="AH722" s="399"/>
      <c r="AI722" s="400"/>
      <c r="AJ722" s="399" t="s">
        <v>1787</v>
      </c>
      <c r="AK722" s="399"/>
      <c r="AL722" s="399" t="s">
        <v>1787</v>
      </c>
      <c r="AM722" s="399"/>
      <c r="AN722" s="399" t="s">
        <v>1787</v>
      </c>
      <c r="AO722" s="399" t="s">
        <v>1787</v>
      </c>
      <c r="AP722" s="399"/>
      <c r="AQ722" s="409" t="s">
        <v>3130</v>
      </c>
      <c r="AR722" s="399"/>
      <c r="AS722" s="399"/>
      <c r="AT722" s="399"/>
      <c r="AU722" s="399"/>
      <c r="AV722" s="399" t="str">
        <f t="shared" si="123"/>
        <v/>
      </c>
      <c r="AW722" s="399"/>
      <c r="AX722" s="409" t="s">
        <v>5194</v>
      </c>
      <c r="AY722" s="399" t="e">
        <f t="shared" ca="1" si="124"/>
        <v>#NAME?</v>
      </c>
      <c r="AZ722" s="399"/>
      <c r="BA722" s="409" t="s">
        <v>3125</v>
      </c>
      <c r="BB722" s="399"/>
      <c r="BC722" s="399" t="s">
        <v>1787</v>
      </c>
      <c r="BD722" s="409" t="s">
        <v>8796</v>
      </c>
      <c r="BE722" s="411"/>
      <c r="BF722" s="411" t="s">
        <v>1787</v>
      </c>
      <c r="BG722" s="434" t="s">
        <v>8832</v>
      </c>
      <c r="BH722" s="411"/>
      <c r="BI722" s="411"/>
      <c r="BJ722" s="399" t="s">
        <v>1787</v>
      </c>
      <c r="BK722" s="399" t="s">
        <v>1787</v>
      </c>
      <c r="BL722" s="399"/>
      <c r="BM722" s="399" t="s">
        <v>1787</v>
      </c>
      <c r="BN722" s="399" t="s">
        <v>1787</v>
      </c>
      <c r="BO722" s="399" t="s">
        <v>1787</v>
      </c>
      <c r="BP722" s="399" t="s">
        <v>1787</v>
      </c>
      <c r="BQ722" s="399" t="s">
        <v>1787</v>
      </c>
      <c r="BR722" s="399" t="s">
        <v>1787</v>
      </c>
      <c r="BS722" s="407"/>
      <c r="BT722" s="407"/>
      <c r="BU722" s="412"/>
      <c r="BV722" s="46" t="str">
        <f t="shared" si="8"/>
        <v/>
      </c>
      <c r="BW722" s="46">
        <f t="shared" si="9"/>
        <v>0</v>
      </c>
      <c r="BX722" s="46">
        <f t="shared" si="10"/>
        <v>0</v>
      </c>
      <c r="BY722" s="43" t="str">
        <f t="shared" si="11"/>
        <v>WHO-STI Condition (Diagnosis)</v>
      </c>
      <c r="BZ722" s="46">
        <f t="shared" si="12"/>
        <v>1</v>
      </c>
      <c r="CA722" s="46" t="str">
        <f t="shared" si="13"/>
        <v/>
      </c>
      <c r="CB722" s="46">
        <f t="shared" si="14"/>
        <v>1</v>
      </c>
      <c r="CC722" s="46">
        <f t="shared" si="15"/>
        <v>1</v>
      </c>
      <c r="CD722" s="46">
        <f t="shared" si="16"/>
        <v>1</v>
      </c>
      <c r="CE722" s="46">
        <f t="shared" si="17"/>
        <v>0</v>
      </c>
      <c r="CF722" s="46">
        <f t="shared" si="18"/>
        <v>0</v>
      </c>
      <c r="CG722" s="46" t="str">
        <f ca="1">IFERROR(__xludf.DUMMYFUNCTION("if(OR(BH722="""",LEFT(BH722,2)=""LA""),"""",IMPORTXML(CONCATENATE(""https://loinc.org/"",BH722,""/""),""//span[@id='lcn']""))"),"")</f>
        <v/>
      </c>
      <c r="CH722" s="46"/>
      <c r="CI722" s="46"/>
      <c r="CJ722" s="46"/>
      <c r="CK722" s="46"/>
      <c r="CL722" s="46"/>
      <c r="CM722" s="46"/>
      <c r="CN722" s="46"/>
      <c r="CO722" s="46"/>
      <c r="CP722" s="46"/>
      <c r="CQ722" s="46"/>
      <c r="CR722" s="46"/>
      <c r="CS722" s="46"/>
      <c r="CT722" s="46"/>
      <c r="CU722" s="46"/>
    </row>
    <row r="723" spans="1:99" ht="12.75" customHeight="1">
      <c r="A723" s="409">
        <v>2165</v>
      </c>
      <c r="B723" s="399" t="s">
        <v>8837</v>
      </c>
      <c r="C723" s="399">
        <f t="shared" si="117"/>
        <v>2165</v>
      </c>
      <c r="D723" s="399" t="str">
        <f t="shared" si="118"/>
        <v xml:space="preserve">Test status </v>
      </c>
      <c r="E723" s="399" t="str">
        <f t="shared" si="119"/>
        <v xml:space="preserve">Test status </v>
      </c>
      <c r="F723" s="399" t="str">
        <f t="shared" si="126"/>
        <v>Data Element</v>
      </c>
      <c r="G723" s="400">
        <f t="shared" si="121"/>
        <v>12</v>
      </c>
      <c r="H723" s="400" t="str">
        <f>IF(F723="Input Option",IF(H684="",B684,H684),"")</f>
        <v/>
      </c>
      <c r="I723" s="400"/>
      <c r="J723" s="400"/>
      <c r="K723" s="401" t="s">
        <v>5283</v>
      </c>
      <c r="L723" s="402" t="s">
        <v>7249</v>
      </c>
      <c r="M723" s="400"/>
      <c r="N723" s="675" t="s">
        <v>7980</v>
      </c>
      <c r="O723" s="431" t="s">
        <v>8840</v>
      </c>
      <c r="P723" s="431"/>
      <c r="Q723" s="404" t="s">
        <v>8837</v>
      </c>
      <c r="R723" s="431"/>
      <c r="S723" s="431" t="s">
        <v>8842</v>
      </c>
      <c r="T723" s="431" t="s">
        <v>3121</v>
      </c>
      <c r="U723" s="431" t="s">
        <v>3243</v>
      </c>
      <c r="V723" s="431"/>
      <c r="W723" s="404"/>
      <c r="X723" s="407" t="s">
        <v>208</v>
      </c>
      <c r="Y723" s="431"/>
      <c r="Z723" s="437" t="s">
        <v>113</v>
      </c>
      <c r="AA723" s="431" t="s">
        <v>3178</v>
      </c>
      <c r="AB723" s="406"/>
      <c r="AC723" s="404"/>
      <c r="AD723" s="404"/>
      <c r="AE723" s="406"/>
      <c r="AF723" s="431"/>
      <c r="AG723" s="404"/>
      <c r="AH723" s="399"/>
      <c r="AI723" s="400"/>
      <c r="AJ723" s="399" t="s">
        <v>1787</v>
      </c>
      <c r="AK723" s="409" t="s">
        <v>6805</v>
      </c>
      <c r="AL723" s="409"/>
      <c r="AM723" s="409" t="s">
        <v>3100</v>
      </c>
      <c r="AN723" s="409" t="s">
        <v>3101</v>
      </c>
      <c r="AO723" s="399" t="s">
        <v>1787</v>
      </c>
      <c r="AP723" s="409" t="s">
        <v>6800</v>
      </c>
      <c r="AQ723" s="409" t="s">
        <v>3130</v>
      </c>
      <c r="AR723" s="399"/>
      <c r="AS723" s="399"/>
      <c r="AT723" s="399"/>
      <c r="AU723" s="399"/>
      <c r="AV723" s="399" t="str">
        <f t="shared" si="123"/>
        <v/>
      </c>
      <c r="AW723" s="399"/>
      <c r="AX723" s="409" t="s">
        <v>5194</v>
      </c>
      <c r="AY723" s="399" t="str">
        <f t="shared" si="124"/>
        <v/>
      </c>
      <c r="AZ723" s="399"/>
      <c r="BA723" s="409" t="s">
        <v>3125</v>
      </c>
      <c r="BB723" s="399"/>
      <c r="BC723" s="399" t="s">
        <v>1787</v>
      </c>
      <c r="BD723" s="399" t="s">
        <v>1787</v>
      </c>
      <c r="BE723" s="411"/>
      <c r="BF723" s="411" t="s">
        <v>1787</v>
      </c>
      <c r="BG723" s="411"/>
      <c r="BH723" s="411"/>
      <c r="BI723" s="411"/>
      <c r="BJ723" s="409" t="s">
        <v>3106</v>
      </c>
      <c r="BK723" s="399" t="s">
        <v>1787</v>
      </c>
      <c r="BL723" s="399"/>
      <c r="BM723" s="399" t="s">
        <v>1787</v>
      </c>
      <c r="BN723" s="399" t="s">
        <v>1787</v>
      </c>
      <c r="BO723" s="399" t="s">
        <v>1787</v>
      </c>
      <c r="BP723" s="399" t="s">
        <v>1787</v>
      </c>
      <c r="BQ723" s="399" t="s">
        <v>1787</v>
      </c>
      <c r="BR723" s="399" t="s">
        <v>1787</v>
      </c>
      <c r="BS723" s="407"/>
      <c r="BT723" s="407"/>
      <c r="BU723" s="412"/>
      <c r="BV723" s="46" t="str">
        <f t="shared" si="8"/>
        <v>Observation</v>
      </c>
      <c r="BW723" s="46" t="str">
        <f t="shared" si="9"/>
        <v/>
      </c>
      <c r="BX723" s="46" t="str">
        <f t="shared" si="10"/>
        <v>Observation</v>
      </c>
      <c r="BY723" s="43" t="str">
        <f t="shared" si="11"/>
        <v>WHO-STI Observation (STI Screening)</v>
      </c>
      <c r="BZ723" s="46">
        <f t="shared" si="12"/>
        <v>1</v>
      </c>
      <c r="CA723" s="46">
        <f t="shared" si="13"/>
        <v>1</v>
      </c>
      <c r="CB723" s="46">
        <f t="shared" si="14"/>
        <v>1</v>
      </c>
      <c r="CC723" s="46">
        <f t="shared" si="15"/>
        <v>1</v>
      </c>
      <c r="CD723" s="46">
        <f t="shared" si="16"/>
        <v>1</v>
      </c>
      <c r="CE723" s="46">
        <f t="shared" si="17"/>
        <v>0</v>
      </c>
      <c r="CF723" s="46">
        <f t="shared" si="18"/>
        <v>0</v>
      </c>
      <c r="CG723" s="46" t="str">
        <f ca="1">IFERROR(__xludf.DUMMYFUNCTION("if(OR(BH723="""",LEFT(BH723,2)=""LA""),"""",IMPORTXML(CONCATENATE(""https://loinc.org/"",BH723,""/""),""//span[@id='lcn']""))"),"")</f>
        <v/>
      </c>
      <c r="CH723" s="46"/>
      <c r="CI723" s="46"/>
      <c r="CJ723" s="46"/>
      <c r="CK723" s="46"/>
      <c r="CL723" s="46"/>
      <c r="CM723" s="46"/>
      <c r="CN723" s="46"/>
      <c r="CO723" s="46"/>
      <c r="CP723" s="46"/>
      <c r="CQ723" s="46"/>
      <c r="CR723" s="46"/>
      <c r="CS723" s="46"/>
      <c r="CT723" s="46"/>
      <c r="CU723" s="46"/>
    </row>
    <row r="724" spans="1:99" ht="12.75" customHeight="1">
      <c r="A724" s="409">
        <v>2166</v>
      </c>
      <c r="B724" s="399" t="s">
        <v>8862</v>
      </c>
      <c r="C724" s="399">
        <f t="shared" si="117"/>
        <v>2166</v>
      </c>
      <c r="D724" s="399" t="e">
        <f t="shared" ca="1" si="118"/>
        <v>#NAME?</v>
      </c>
      <c r="E724" s="399" t="str">
        <f t="shared" si="119"/>
        <v>Performed</v>
      </c>
      <c r="F724" s="399" t="str">
        <f t="shared" si="126"/>
        <v>Input Option</v>
      </c>
      <c r="G724" s="400">
        <f t="shared" si="121"/>
        <v>16</v>
      </c>
      <c r="H724" s="399" t="str">
        <f t="shared" ref="H724:H730" si="127">IF(F724="Input Option",IF(H723="",B723,H723),"")</f>
        <v xml:space="preserve">Test status </v>
      </c>
      <c r="I724" s="400"/>
      <c r="J724" s="400"/>
      <c r="K724" s="401" t="s">
        <v>5283</v>
      </c>
      <c r="L724" s="402" t="s">
        <v>7249</v>
      </c>
      <c r="M724" s="400"/>
      <c r="N724" s="675" t="s">
        <v>7980</v>
      </c>
      <c r="O724" s="431" t="s">
        <v>8870</v>
      </c>
      <c r="P724" s="431"/>
      <c r="Q724" s="404"/>
      <c r="R724" s="431"/>
      <c r="S724" s="429" t="s">
        <v>8871</v>
      </c>
      <c r="T724" s="448"/>
      <c r="U724" s="431"/>
      <c r="V724" s="431" t="s">
        <v>8872</v>
      </c>
      <c r="W724" s="404"/>
      <c r="X724" s="407" t="s">
        <v>208</v>
      </c>
      <c r="Y724" s="431"/>
      <c r="Z724" s="437" t="s">
        <v>113</v>
      </c>
      <c r="AA724" s="431"/>
      <c r="AB724" s="406"/>
      <c r="AC724" s="404"/>
      <c r="AD724" s="404"/>
      <c r="AE724" s="406"/>
      <c r="AF724" s="431"/>
      <c r="AG724" s="404"/>
      <c r="AH724" s="399"/>
      <c r="AI724" s="400"/>
      <c r="AJ724" s="399" t="s">
        <v>1787</v>
      </c>
      <c r="AK724" s="399"/>
      <c r="AL724" s="409"/>
      <c r="AM724" s="409"/>
      <c r="AN724" s="409"/>
      <c r="AO724" s="399" t="s">
        <v>1787</v>
      </c>
      <c r="AP724" s="399"/>
      <c r="AQ724" s="409" t="s">
        <v>3130</v>
      </c>
      <c r="AR724" s="399"/>
      <c r="AS724" s="399"/>
      <c r="AT724" s="399"/>
      <c r="AU724" s="399"/>
      <c r="AV724" s="399" t="str">
        <f t="shared" si="123"/>
        <v/>
      </c>
      <c r="AW724" s="399"/>
      <c r="AX724" s="409" t="s">
        <v>5194</v>
      </c>
      <c r="AY724" s="399" t="e">
        <f t="shared" ca="1" si="124"/>
        <v>#NAME?</v>
      </c>
      <c r="AZ724" s="399"/>
      <c r="BA724" s="409" t="s">
        <v>3125</v>
      </c>
      <c r="BB724" s="630" t="s">
        <v>8879</v>
      </c>
      <c r="BC724" s="630" t="s">
        <v>8886</v>
      </c>
      <c r="BD724" s="399" t="s">
        <v>1787</v>
      </c>
      <c r="BE724" s="411"/>
      <c r="BF724" s="411" t="s">
        <v>1787</v>
      </c>
      <c r="BG724" s="411"/>
      <c r="BH724" s="411"/>
      <c r="BI724" s="411"/>
      <c r="BJ724" s="409"/>
      <c r="BK724" s="399" t="s">
        <v>1787</v>
      </c>
      <c r="BL724" s="399"/>
      <c r="BM724" s="399" t="s">
        <v>1787</v>
      </c>
      <c r="BN724" s="399" t="s">
        <v>1787</v>
      </c>
      <c r="BO724" s="399" t="s">
        <v>1787</v>
      </c>
      <c r="BP724" s="399" t="s">
        <v>1787</v>
      </c>
      <c r="BQ724" s="399" t="s">
        <v>1787</v>
      </c>
      <c r="BR724" s="399" t="s">
        <v>1787</v>
      </c>
      <c r="BS724" s="407"/>
      <c r="BT724" s="407"/>
      <c r="BU724" s="412"/>
      <c r="BV724" s="46" t="str">
        <f t="shared" si="8"/>
        <v/>
      </c>
      <c r="BW724" s="46">
        <f t="shared" si="9"/>
        <v>0</v>
      </c>
      <c r="BX724" s="46">
        <f t="shared" si="10"/>
        <v>0</v>
      </c>
      <c r="BY724" s="43" t="str">
        <f t="shared" si="11"/>
        <v>WHO-STI Observation (STI Screening)</v>
      </c>
      <c r="BZ724" s="46">
        <f t="shared" si="12"/>
        <v>1</v>
      </c>
      <c r="CA724" s="46" t="str">
        <f t="shared" si="13"/>
        <v/>
      </c>
      <c r="CB724" s="46">
        <f t="shared" si="14"/>
        <v>1</v>
      </c>
      <c r="CC724" s="46">
        <f t="shared" si="15"/>
        <v>1</v>
      </c>
      <c r="CD724" s="46">
        <f t="shared" si="16"/>
        <v>1</v>
      </c>
      <c r="CE724" s="46">
        <f t="shared" si="17"/>
        <v>0</v>
      </c>
      <c r="CF724" s="46">
        <f t="shared" si="18"/>
        <v>0</v>
      </c>
      <c r="CG724" s="46" t="str">
        <f ca="1">IFERROR(__xludf.DUMMYFUNCTION("if(OR(BH724="""",LEFT(BH724,2)=""LA""),"""",IMPORTXML(CONCATENATE(""https://loinc.org/"",BH724,""/""),""//span[@id='lcn']""))"),"")</f>
        <v/>
      </c>
      <c r="CH724" s="46"/>
      <c r="CI724" s="46"/>
      <c r="CJ724" s="46"/>
      <c r="CK724" s="46"/>
      <c r="CL724" s="46"/>
      <c r="CM724" s="46"/>
      <c r="CN724" s="46"/>
      <c r="CO724" s="46"/>
      <c r="CP724" s="46"/>
      <c r="CQ724" s="46"/>
      <c r="CR724" s="46"/>
      <c r="CS724" s="46"/>
      <c r="CT724" s="46"/>
      <c r="CU724" s="46"/>
    </row>
    <row r="725" spans="1:99" ht="12.75" customHeight="1">
      <c r="A725" s="409">
        <v>2167</v>
      </c>
      <c r="B725" s="399" t="s">
        <v>2661</v>
      </c>
      <c r="C725" s="399">
        <f t="shared" si="117"/>
        <v>2167</v>
      </c>
      <c r="D725" s="399" t="e">
        <f t="shared" ca="1" si="118"/>
        <v>#NAME?</v>
      </c>
      <c r="E725" s="399" t="str">
        <f t="shared" si="119"/>
        <v>Ordered</v>
      </c>
      <c r="F725" s="399" t="str">
        <f t="shared" si="126"/>
        <v>Input Option</v>
      </c>
      <c r="G725" s="400">
        <f t="shared" si="121"/>
        <v>14</v>
      </c>
      <c r="H725" s="399" t="str">
        <f t="shared" si="127"/>
        <v xml:space="preserve">Test status </v>
      </c>
      <c r="I725" s="400"/>
      <c r="J725" s="400"/>
      <c r="K725" s="401" t="s">
        <v>5283</v>
      </c>
      <c r="L725" s="402" t="s">
        <v>7249</v>
      </c>
      <c r="M725" s="400"/>
      <c r="N725" s="675" t="s">
        <v>7980</v>
      </c>
      <c r="O725" s="431" t="s">
        <v>8915</v>
      </c>
      <c r="P725" s="431"/>
      <c r="Q725" s="404"/>
      <c r="R725" s="431"/>
      <c r="S725" s="429" t="s">
        <v>8916</v>
      </c>
      <c r="T725" s="448"/>
      <c r="U725" s="431"/>
      <c r="V725" s="431" t="s">
        <v>1783</v>
      </c>
      <c r="W725" s="404"/>
      <c r="X725" s="407" t="s">
        <v>208</v>
      </c>
      <c r="Y725" s="431"/>
      <c r="Z725" s="437" t="s">
        <v>113</v>
      </c>
      <c r="AA725" s="431"/>
      <c r="AB725" s="406"/>
      <c r="AC725" s="404"/>
      <c r="AD725" s="404"/>
      <c r="AE725" s="406"/>
      <c r="AF725" s="431"/>
      <c r="AG725" s="404"/>
      <c r="AH725" s="399"/>
      <c r="AI725" s="400"/>
      <c r="AJ725" s="399" t="s">
        <v>1787</v>
      </c>
      <c r="AK725" s="399"/>
      <c r="AL725" s="409"/>
      <c r="AM725" s="409"/>
      <c r="AN725" s="409"/>
      <c r="AO725" s="399" t="s">
        <v>1787</v>
      </c>
      <c r="AP725" s="399"/>
      <c r="AQ725" s="409" t="s">
        <v>3130</v>
      </c>
      <c r="AR725" s="399"/>
      <c r="AS725" s="399"/>
      <c r="AT725" s="399"/>
      <c r="AU725" s="399"/>
      <c r="AV725" s="399" t="str">
        <f t="shared" si="123"/>
        <v/>
      </c>
      <c r="AW725" s="399"/>
      <c r="AX725" s="409" t="s">
        <v>5194</v>
      </c>
      <c r="AY725" s="399" t="e">
        <f t="shared" ca="1" si="124"/>
        <v>#NAME?</v>
      </c>
      <c r="AZ725" s="399"/>
      <c r="BA725" s="409" t="s">
        <v>3125</v>
      </c>
      <c r="BB725" s="630" t="s">
        <v>8879</v>
      </c>
      <c r="BC725" s="630" t="s">
        <v>8930</v>
      </c>
      <c r="BD725" s="399" t="s">
        <v>1787</v>
      </c>
      <c r="BE725" s="411"/>
      <c r="BF725" s="411" t="s">
        <v>1787</v>
      </c>
      <c r="BG725" s="411"/>
      <c r="BH725" s="411"/>
      <c r="BI725" s="411"/>
      <c r="BJ725" s="409"/>
      <c r="BK725" s="399" t="s">
        <v>1787</v>
      </c>
      <c r="BL725" s="399"/>
      <c r="BM725" s="399" t="s">
        <v>1787</v>
      </c>
      <c r="BN725" s="399" t="s">
        <v>1787</v>
      </c>
      <c r="BO725" s="399" t="s">
        <v>1787</v>
      </c>
      <c r="BP725" s="399" t="s">
        <v>1787</v>
      </c>
      <c r="BQ725" s="399" t="s">
        <v>1787</v>
      </c>
      <c r="BR725" s="399" t="s">
        <v>1787</v>
      </c>
      <c r="BS725" s="407"/>
      <c r="BT725" s="407"/>
      <c r="BU725" s="412"/>
      <c r="BV725" s="46" t="str">
        <f t="shared" si="8"/>
        <v/>
      </c>
      <c r="BW725" s="46">
        <f t="shared" si="9"/>
        <v>0</v>
      </c>
      <c r="BX725" s="46">
        <f t="shared" si="10"/>
        <v>0</v>
      </c>
      <c r="BY725" s="43" t="str">
        <f t="shared" si="11"/>
        <v>WHO-STI Observation (STI Screening)</v>
      </c>
      <c r="BZ725" s="46">
        <f t="shared" si="12"/>
        <v>1</v>
      </c>
      <c r="CA725" s="46" t="str">
        <f t="shared" si="13"/>
        <v/>
      </c>
      <c r="CB725" s="46">
        <f t="shared" si="14"/>
        <v>1</v>
      </c>
      <c r="CC725" s="46">
        <f t="shared" si="15"/>
        <v>1</v>
      </c>
      <c r="CD725" s="46">
        <f t="shared" si="16"/>
        <v>1</v>
      </c>
      <c r="CE725" s="46">
        <f t="shared" si="17"/>
        <v>0</v>
      </c>
      <c r="CF725" s="46">
        <f t="shared" si="18"/>
        <v>0</v>
      </c>
      <c r="CG725" s="46" t="str">
        <f ca="1">IFERROR(__xludf.DUMMYFUNCTION("if(OR(BH725="""",LEFT(BH725,2)=""LA""),"""",IMPORTXML(CONCATENATE(""https://loinc.org/"",BH725,""/""),""//span[@id='lcn']""))"),"")</f>
        <v/>
      </c>
      <c r="CH725" s="46"/>
      <c r="CI725" s="46"/>
      <c r="CJ725" s="46"/>
      <c r="CK725" s="46"/>
      <c r="CL725" s="46"/>
      <c r="CM725" s="46"/>
      <c r="CN725" s="46"/>
      <c r="CO725" s="46"/>
      <c r="CP725" s="46"/>
      <c r="CQ725" s="46"/>
      <c r="CR725" s="46"/>
      <c r="CS725" s="46"/>
      <c r="CT725" s="46"/>
      <c r="CU725" s="46"/>
    </row>
    <row r="726" spans="1:99" ht="12.75" customHeight="1">
      <c r="A726" s="409">
        <v>2168</v>
      </c>
      <c r="B726" s="399" t="s">
        <v>8943</v>
      </c>
      <c r="C726" s="399">
        <f t="shared" si="117"/>
        <v>2168</v>
      </c>
      <c r="D726" s="399" t="e">
        <f t="shared" ca="1" si="118"/>
        <v>#NAME?</v>
      </c>
      <c r="E726" s="399" t="str">
        <f t="shared" si="119"/>
        <v>Completed</v>
      </c>
      <c r="F726" s="399" t="str">
        <f t="shared" si="126"/>
        <v>Input Option</v>
      </c>
      <c r="G726" s="400">
        <f t="shared" si="121"/>
        <v>16</v>
      </c>
      <c r="H726" s="399" t="str">
        <f t="shared" si="127"/>
        <v xml:space="preserve">Test status </v>
      </c>
      <c r="I726" s="400"/>
      <c r="J726" s="400"/>
      <c r="K726" s="401" t="s">
        <v>5283</v>
      </c>
      <c r="L726" s="402" t="s">
        <v>7249</v>
      </c>
      <c r="M726" s="400"/>
      <c r="N726" s="675" t="s">
        <v>7980</v>
      </c>
      <c r="O726" s="431" t="s">
        <v>8947</v>
      </c>
      <c r="P726" s="431"/>
      <c r="Q726" s="404"/>
      <c r="R726" s="431"/>
      <c r="S726" s="429" t="s">
        <v>8948</v>
      </c>
      <c r="T726" s="431"/>
      <c r="U726" s="431"/>
      <c r="V726" s="431" t="s">
        <v>152</v>
      </c>
      <c r="W726" s="404"/>
      <c r="X726" s="407"/>
      <c r="Y726" s="431"/>
      <c r="Z726" s="437"/>
      <c r="AA726" s="431"/>
      <c r="AB726" s="406"/>
      <c r="AC726" s="404"/>
      <c r="AD726" s="404"/>
      <c r="AE726" s="406"/>
      <c r="AF726" s="431"/>
      <c r="AG726" s="404"/>
      <c r="AH726" s="399"/>
      <c r="AI726" s="400"/>
      <c r="AJ726" s="399" t="s">
        <v>1787</v>
      </c>
      <c r="AK726" s="399"/>
      <c r="AL726" s="409"/>
      <c r="AM726" s="409"/>
      <c r="AN726" s="409"/>
      <c r="AO726" s="399" t="s">
        <v>1787</v>
      </c>
      <c r="AP726" s="399"/>
      <c r="AQ726" s="409" t="s">
        <v>3130</v>
      </c>
      <c r="AR726" s="399"/>
      <c r="AS726" s="399"/>
      <c r="AT726" s="399"/>
      <c r="AU726" s="399"/>
      <c r="AV726" s="399" t="str">
        <f t="shared" si="123"/>
        <v/>
      </c>
      <c r="AW726" s="399"/>
      <c r="AX726" s="409" t="s">
        <v>5194</v>
      </c>
      <c r="AY726" s="399" t="e">
        <f t="shared" ca="1" si="124"/>
        <v>#NAME?</v>
      </c>
      <c r="AZ726" s="399"/>
      <c r="BA726" s="409" t="s">
        <v>3125</v>
      </c>
      <c r="BB726" s="630" t="s">
        <v>8879</v>
      </c>
      <c r="BC726" s="630" t="s">
        <v>8886</v>
      </c>
      <c r="BD726" s="409" t="s">
        <v>8964</v>
      </c>
      <c r="BE726" s="411"/>
      <c r="BF726" s="411" t="s">
        <v>1787</v>
      </c>
      <c r="BG726" s="411"/>
      <c r="BH726" s="411"/>
      <c r="BI726" s="411"/>
      <c r="BJ726" s="409"/>
      <c r="BK726" s="399" t="s">
        <v>1787</v>
      </c>
      <c r="BL726" s="399"/>
      <c r="BM726" s="399" t="s">
        <v>1787</v>
      </c>
      <c r="BN726" s="399" t="s">
        <v>1787</v>
      </c>
      <c r="BO726" s="399" t="s">
        <v>1787</v>
      </c>
      <c r="BP726" s="399" t="s">
        <v>1787</v>
      </c>
      <c r="BQ726" s="399" t="s">
        <v>1787</v>
      </c>
      <c r="BR726" s="399" t="s">
        <v>1787</v>
      </c>
      <c r="BS726" s="407"/>
      <c r="BT726" s="407"/>
      <c r="BU726" s="412"/>
      <c r="BV726" s="46" t="str">
        <f t="shared" si="8"/>
        <v/>
      </c>
      <c r="BW726" s="46">
        <f t="shared" si="9"/>
        <v>0</v>
      </c>
      <c r="BX726" s="46">
        <f t="shared" si="10"/>
        <v>0</v>
      </c>
      <c r="BY726" s="43" t="str">
        <f t="shared" si="11"/>
        <v>WHO-STI Observation (STI Screening)</v>
      </c>
      <c r="BZ726" s="46">
        <f t="shared" si="12"/>
        <v>1</v>
      </c>
      <c r="CA726" s="46" t="str">
        <f t="shared" si="13"/>
        <v/>
      </c>
      <c r="CB726" s="46">
        <f t="shared" si="14"/>
        <v>1</v>
      </c>
      <c r="CC726" s="46">
        <f t="shared" si="15"/>
        <v>1</v>
      </c>
      <c r="CD726" s="46">
        <f t="shared" si="16"/>
        <v>1</v>
      </c>
      <c r="CE726" s="46">
        <f t="shared" si="17"/>
        <v>0</v>
      </c>
      <c r="CF726" s="46">
        <f t="shared" si="18"/>
        <v>0</v>
      </c>
      <c r="CG726" s="46" t="str">
        <f ca="1">IFERROR(__xludf.DUMMYFUNCTION("if(OR(BH726="""",LEFT(BH726,2)=""LA""),"""",IMPORTXML(CONCATENATE(""https://loinc.org/"",BH726,""/""),""//span[@id='lcn']""))"),"")</f>
        <v/>
      </c>
      <c r="CH726" s="46"/>
      <c r="CI726" s="46"/>
      <c r="CJ726" s="46"/>
      <c r="CK726" s="46"/>
      <c r="CL726" s="46"/>
      <c r="CM726" s="46"/>
      <c r="CN726" s="46"/>
      <c r="CO726" s="46"/>
      <c r="CP726" s="46"/>
      <c r="CQ726" s="46"/>
      <c r="CR726" s="46"/>
      <c r="CS726" s="46"/>
      <c r="CT726" s="46"/>
      <c r="CU726" s="46"/>
    </row>
    <row r="727" spans="1:99" ht="12.75" customHeight="1">
      <c r="A727" s="409">
        <v>2169</v>
      </c>
      <c r="B727" s="409" t="s">
        <v>8979</v>
      </c>
      <c r="C727" s="399">
        <f t="shared" si="117"/>
        <v>2169</v>
      </c>
      <c r="D727" s="399" t="str">
        <f t="shared" si="118"/>
        <v>Stage of condition</v>
      </c>
      <c r="E727" s="399" t="str">
        <f t="shared" si="119"/>
        <v>Stage of condition</v>
      </c>
      <c r="F727" s="399" t="str">
        <f t="shared" si="126"/>
        <v>Data Element</v>
      </c>
      <c r="G727" s="400">
        <f t="shared" si="121"/>
        <v>27</v>
      </c>
      <c r="H727" s="400" t="str">
        <f t="shared" si="127"/>
        <v/>
      </c>
      <c r="I727" s="400"/>
      <c r="J727" s="400"/>
      <c r="K727" s="401" t="s">
        <v>5283</v>
      </c>
      <c r="L727" s="402" t="s">
        <v>7244</v>
      </c>
      <c r="M727" s="400"/>
      <c r="N727" s="675" t="s">
        <v>7980</v>
      </c>
      <c r="O727" s="431" t="s">
        <v>8983</v>
      </c>
      <c r="P727" s="431"/>
      <c r="Q727" s="429" t="s">
        <v>8986</v>
      </c>
      <c r="R727" s="651"/>
      <c r="S727" s="431"/>
      <c r="T727" s="431" t="s">
        <v>3121</v>
      </c>
      <c r="U727" s="431" t="s">
        <v>3243</v>
      </c>
      <c r="V727" s="404"/>
      <c r="W727" s="404"/>
      <c r="X727" s="407" t="s">
        <v>208</v>
      </c>
      <c r="Y727" s="404"/>
      <c r="Z727" s="437" t="s">
        <v>113</v>
      </c>
      <c r="AA727" s="404" t="s">
        <v>3178</v>
      </c>
      <c r="AB727" s="406"/>
      <c r="AC727" s="404"/>
      <c r="AD727" s="404" t="s">
        <v>3215</v>
      </c>
      <c r="AE727" s="406"/>
      <c r="AF727" s="404" t="s">
        <v>6102</v>
      </c>
      <c r="AG727" s="437"/>
      <c r="AH727" s="399"/>
      <c r="AI727" s="400"/>
      <c r="AJ727" s="399" t="s">
        <v>1787</v>
      </c>
      <c r="AK727" s="430" t="s">
        <v>3410</v>
      </c>
      <c r="AL727" s="409" t="s">
        <v>3181</v>
      </c>
      <c r="AM727" s="409" t="s">
        <v>3100</v>
      </c>
      <c r="AN727" s="409" t="s">
        <v>3101</v>
      </c>
      <c r="AO727" s="399" t="s">
        <v>1787</v>
      </c>
      <c r="AP727" s="409" t="s">
        <v>6809</v>
      </c>
      <c r="AQ727" s="409" t="s">
        <v>3424</v>
      </c>
      <c r="AR727" s="399"/>
      <c r="AS727" s="399"/>
      <c r="AT727" s="399"/>
      <c r="AU727" s="399"/>
      <c r="AV727" s="399" t="str">
        <f t="shared" si="123"/>
        <v/>
      </c>
      <c r="AW727" s="399"/>
      <c r="AX727" s="409" t="s">
        <v>5194</v>
      </c>
      <c r="AY727" s="399" t="str">
        <f t="shared" si="124"/>
        <v>"Stage of condition"-&gt;"Stage of Syphilis condition"</v>
      </c>
      <c r="AZ727" s="399"/>
      <c r="BA727" s="409" t="s">
        <v>3125</v>
      </c>
      <c r="BB727" s="415" t="s">
        <v>3131</v>
      </c>
      <c r="BC727" s="409" t="s">
        <v>8998</v>
      </c>
      <c r="BD727" s="409" t="s">
        <v>8999</v>
      </c>
      <c r="BE727" s="411"/>
      <c r="BF727" s="411" t="s">
        <v>1787</v>
      </c>
      <c r="BG727" s="411"/>
      <c r="BH727" s="411"/>
      <c r="BI727" s="411"/>
      <c r="BJ727" s="409" t="s">
        <v>4282</v>
      </c>
      <c r="BK727" s="399" t="s">
        <v>1787</v>
      </c>
      <c r="BL727" s="399"/>
      <c r="BM727" s="409" t="s">
        <v>9002</v>
      </c>
      <c r="BN727" s="399" t="s">
        <v>1787</v>
      </c>
      <c r="BO727" s="399" t="s">
        <v>1787</v>
      </c>
      <c r="BP727" s="399" t="s">
        <v>1787</v>
      </c>
      <c r="BQ727" s="399" t="s">
        <v>1787</v>
      </c>
      <c r="BR727" s="399" t="s">
        <v>1787</v>
      </c>
      <c r="BS727" s="407"/>
      <c r="BT727" s="407"/>
      <c r="BU727" s="412"/>
      <c r="BV727" s="46" t="str">
        <f t="shared" si="8"/>
        <v>Observation</v>
      </c>
      <c r="BW727" s="46" t="str">
        <f t="shared" si="9"/>
        <v/>
      </c>
      <c r="BX727" s="46" t="str">
        <f t="shared" si="10"/>
        <v>Observation</v>
      </c>
      <c r="BY727" s="43" t="str">
        <f t="shared" si="11"/>
        <v>WHO-STI Observation (Syphilis Stage)</v>
      </c>
      <c r="BZ727" s="46">
        <f t="shared" si="12"/>
        <v>1</v>
      </c>
      <c r="CA727" s="46">
        <f t="shared" si="13"/>
        <v>1</v>
      </c>
      <c r="CB727" s="46">
        <f t="shared" si="14"/>
        <v>1</v>
      </c>
      <c r="CC727" s="46">
        <f t="shared" si="15"/>
        <v>1</v>
      </c>
      <c r="CD727" s="46">
        <f t="shared" si="16"/>
        <v>1</v>
      </c>
      <c r="CE727" s="46">
        <f t="shared" si="17"/>
        <v>0</v>
      </c>
      <c r="CF727" s="46">
        <f t="shared" si="18"/>
        <v>0</v>
      </c>
      <c r="CG727" s="46" t="str">
        <f ca="1">IFERROR(__xludf.DUMMYFUNCTION("if(OR(BH727="""",LEFT(BH727,2)=""LA""),"""",IMPORTXML(CONCATENATE(""https://loinc.org/"",BH727,""/""),""//span[@id='lcn']""))"),"")</f>
        <v/>
      </c>
      <c r="CH727" s="46"/>
      <c r="CI727" s="46"/>
      <c r="CJ727" s="46"/>
      <c r="CK727" s="46"/>
      <c r="CL727" s="46"/>
      <c r="CM727" s="46"/>
      <c r="CN727" s="46"/>
      <c r="CO727" s="46"/>
      <c r="CP727" s="46"/>
      <c r="CQ727" s="46"/>
      <c r="CR727" s="46"/>
      <c r="CS727" s="46"/>
      <c r="CT727" s="46"/>
      <c r="CU727" s="46"/>
    </row>
    <row r="728" spans="1:99" ht="12.75" customHeight="1">
      <c r="A728" s="409">
        <v>2170</v>
      </c>
      <c r="B728" s="399" t="s">
        <v>9014</v>
      </c>
      <c r="C728" s="399">
        <f t="shared" si="117"/>
        <v>2170</v>
      </c>
      <c r="D728" s="399" t="e">
        <f t="shared" ca="1" si="118"/>
        <v>#NAME?</v>
      </c>
      <c r="E728" s="399" t="str">
        <f t="shared" si="119"/>
        <v>early</v>
      </c>
      <c r="F728" s="399" t="str">
        <f t="shared" si="126"/>
        <v>Input Option</v>
      </c>
      <c r="G728" s="400">
        <f t="shared" si="121"/>
        <v>12</v>
      </c>
      <c r="H728" s="399" t="str">
        <f t="shared" si="127"/>
        <v>Stage of Syphilis condition</v>
      </c>
      <c r="I728" s="400"/>
      <c r="J728" s="400"/>
      <c r="K728" s="401" t="s">
        <v>5283</v>
      </c>
      <c r="L728" s="402" t="s">
        <v>7244</v>
      </c>
      <c r="M728" s="400"/>
      <c r="N728" s="675" t="s">
        <v>7980</v>
      </c>
      <c r="O728" s="431" t="s">
        <v>9017</v>
      </c>
      <c r="P728" s="431"/>
      <c r="Q728" s="431"/>
      <c r="R728" s="437"/>
      <c r="S728" s="431"/>
      <c r="T728" s="431"/>
      <c r="U728" s="431"/>
      <c r="V728" s="404" t="s">
        <v>5538</v>
      </c>
      <c r="W728" s="404"/>
      <c r="X728" s="407" t="s">
        <v>208</v>
      </c>
      <c r="Y728" s="404"/>
      <c r="Z728" s="437" t="s">
        <v>113</v>
      </c>
      <c r="AA728" s="404" t="s">
        <v>3178</v>
      </c>
      <c r="AB728" s="406" t="s">
        <v>9020</v>
      </c>
      <c r="AC728" s="404" t="s">
        <v>9021</v>
      </c>
      <c r="AD728" s="404" t="s">
        <v>3215</v>
      </c>
      <c r="AE728" s="406"/>
      <c r="AF728" s="404" t="s">
        <v>6102</v>
      </c>
      <c r="AG728" s="404"/>
      <c r="AH728" s="399"/>
      <c r="AI728" s="400"/>
      <c r="AJ728" s="399" t="s">
        <v>1787</v>
      </c>
      <c r="AK728" s="399"/>
      <c r="AL728" s="399" t="s">
        <v>1787</v>
      </c>
      <c r="AM728" s="399"/>
      <c r="AN728" s="399" t="s">
        <v>1787</v>
      </c>
      <c r="AO728" s="399" t="s">
        <v>1787</v>
      </c>
      <c r="AP728" s="399"/>
      <c r="AQ728" s="409" t="s">
        <v>3130</v>
      </c>
      <c r="AR728" s="399"/>
      <c r="AS728" s="399"/>
      <c r="AT728" s="399"/>
      <c r="AU728" s="399"/>
      <c r="AV728" s="399" t="str">
        <f t="shared" si="123"/>
        <v/>
      </c>
      <c r="AW728" s="399"/>
      <c r="AX728" s="409" t="s">
        <v>5194</v>
      </c>
      <c r="AY728" s="399" t="e">
        <f t="shared" ca="1" si="124"/>
        <v>#NAME?</v>
      </c>
      <c r="AZ728" s="399"/>
      <c r="BA728" s="409" t="s">
        <v>3125</v>
      </c>
      <c r="BB728" s="399"/>
      <c r="BC728" s="399" t="s">
        <v>1787</v>
      </c>
      <c r="BD728" s="409" t="s">
        <v>3162</v>
      </c>
      <c r="BE728" s="411" t="s">
        <v>9025</v>
      </c>
      <c r="BF728" s="411" t="s">
        <v>1787</v>
      </c>
      <c r="BG728" s="411"/>
      <c r="BH728" s="411"/>
      <c r="BI728" s="411"/>
      <c r="BJ728" s="399" t="s">
        <v>1787</v>
      </c>
      <c r="BK728" s="399" t="s">
        <v>1787</v>
      </c>
      <c r="BL728" s="399"/>
      <c r="BM728" s="399" t="s">
        <v>1787</v>
      </c>
      <c r="BN728" s="399" t="s">
        <v>1787</v>
      </c>
      <c r="BO728" s="399" t="s">
        <v>1787</v>
      </c>
      <c r="BP728" s="399" t="s">
        <v>1787</v>
      </c>
      <c r="BQ728" s="399" t="s">
        <v>1787</v>
      </c>
      <c r="BR728" s="399" t="s">
        <v>1787</v>
      </c>
      <c r="BS728" s="407"/>
      <c r="BT728" s="407"/>
      <c r="BU728" s="412"/>
      <c r="BV728" s="46" t="str">
        <f t="shared" si="8"/>
        <v/>
      </c>
      <c r="BW728" s="46">
        <f t="shared" si="9"/>
        <v>0</v>
      </c>
      <c r="BX728" s="46">
        <f t="shared" si="10"/>
        <v>0</v>
      </c>
      <c r="BY728" s="43" t="str">
        <f t="shared" si="11"/>
        <v>WHO-STI Observation (Syphilis Stage)</v>
      </c>
      <c r="BZ728" s="46">
        <f t="shared" si="12"/>
        <v>1</v>
      </c>
      <c r="CA728" s="46" t="str">
        <f t="shared" si="13"/>
        <v/>
      </c>
      <c r="CB728" s="46">
        <f t="shared" si="14"/>
        <v>1</v>
      </c>
      <c r="CC728" s="46">
        <f t="shared" si="15"/>
        <v>1</v>
      </c>
      <c r="CD728" s="46">
        <f t="shared" si="16"/>
        <v>1</v>
      </c>
      <c r="CE728" s="46">
        <f t="shared" si="17"/>
        <v>0</v>
      </c>
      <c r="CF728" s="46">
        <f t="shared" si="18"/>
        <v>0</v>
      </c>
      <c r="CG728" s="46" t="str">
        <f ca="1">IFERROR(__xludf.DUMMYFUNCTION("if(OR(BH728="""",LEFT(BH728,2)=""LA""),"""",IMPORTXML(CONCATENATE(""https://loinc.org/"",BH728,""/""),""//span[@id='lcn']""))"),"")</f>
        <v/>
      </c>
      <c r="CH728" s="46"/>
      <c r="CI728" s="46"/>
      <c r="CJ728" s="46"/>
      <c r="CK728" s="46"/>
      <c r="CL728" s="46"/>
      <c r="CM728" s="46"/>
      <c r="CN728" s="46"/>
      <c r="CO728" s="46"/>
      <c r="CP728" s="46"/>
      <c r="CQ728" s="46"/>
      <c r="CR728" s="46"/>
      <c r="CS728" s="46"/>
      <c r="CT728" s="46"/>
      <c r="CU728" s="46"/>
    </row>
    <row r="729" spans="1:99" ht="12.75" customHeight="1">
      <c r="A729" s="409">
        <v>2171</v>
      </c>
      <c r="B729" s="399" t="s">
        <v>9030</v>
      </c>
      <c r="C729" s="399">
        <f t="shared" si="117"/>
        <v>2171</v>
      </c>
      <c r="D729" s="399" t="e">
        <f t="shared" ca="1" si="118"/>
        <v>#NAME?</v>
      </c>
      <c r="E729" s="399" t="str">
        <f t="shared" si="119"/>
        <v>late</v>
      </c>
      <c r="F729" s="399" t="str">
        <f t="shared" si="126"/>
        <v>Input Option</v>
      </c>
      <c r="G729" s="400">
        <f t="shared" si="121"/>
        <v>11</v>
      </c>
      <c r="H729" s="399" t="str">
        <f t="shared" si="127"/>
        <v>Stage of Syphilis condition</v>
      </c>
      <c r="I729" s="400"/>
      <c r="J729" s="400"/>
      <c r="K729" s="401" t="s">
        <v>5283</v>
      </c>
      <c r="L729" s="402" t="s">
        <v>7244</v>
      </c>
      <c r="M729" s="400"/>
      <c r="N729" s="675" t="s">
        <v>7980</v>
      </c>
      <c r="O729" s="431" t="s">
        <v>9033</v>
      </c>
      <c r="P729" s="431"/>
      <c r="Q729" s="431"/>
      <c r="R729" s="437"/>
      <c r="S729" s="431"/>
      <c r="T729" s="431"/>
      <c r="U729" s="431"/>
      <c r="V729" s="404" t="s">
        <v>9034</v>
      </c>
      <c r="W729" s="404"/>
      <c r="X729" s="407" t="s">
        <v>208</v>
      </c>
      <c r="Y729" s="404"/>
      <c r="Z729" s="437" t="s">
        <v>113</v>
      </c>
      <c r="AA729" s="404" t="s">
        <v>3178</v>
      </c>
      <c r="AB729" s="406" t="s">
        <v>9020</v>
      </c>
      <c r="AC729" s="404" t="s">
        <v>9021</v>
      </c>
      <c r="AD729" s="404" t="s">
        <v>3215</v>
      </c>
      <c r="AE729" s="406"/>
      <c r="AF729" s="404" t="s">
        <v>6102</v>
      </c>
      <c r="AG729" s="404"/>
      <c r="AH729" s="399"/>
      <c r="AI729" s="400"/>
      <c r="AJ729" s="399" t="s">
        <v>1787</v>
      </c>
      <c r="AK729" s="399"/>
      <c r="AL729" s="399" t="s">
        <v>1787</v>
      </c>
      <c r="AM729" s="399"/>
      <c r="AN729" s="399" t="s">
        <v>1787</v>
      </c>
      <c r="AO729" s="399" t="s">
        <v>1787</v>
      </c>
      <c r="AP729" s="399"/>
      <c r="AQ729" s="409" t="s">
        <v>3130</v>
      </c>
      <c r="AR729" s="399"/>
      <c r="AS729" s="399"/>
      <c r="AT729" s="399"/>
      <c r="AU729" s="399"/>
      <c r="AV729" s="399" t="str">
        <f t="shared" si="123"/>
        <v/>
      </c>
      <c r="AW729" s="399"/>
      <c r="AX729" s="409" t="s">
        <v>5194</v>
      </c>
      <c r="AY729" s="399" t="e">
        <f t="shared" ca="1" si="124"/>
        <v>#NAME?</v>
      </c>
      <c r="AZ729" s="399"/>
      <c r="BA729" s="409" t="s">
        <v>3125</v>
      </c>
      <c r="BB729" s="399"/>
      <c r="BC729" s="399" t="s">
        <v>1787</v>
      </c>
      <c r="BD729" s="409" t="s">
        <v>3162</v>
      </c>
      <c r="BE729" s="411" t="s">
        <v>9040</v>
      </c>
      <c r="BF729" s="411" t="s">
        <v>1787</v>
      </c>
      <c r="BG729" s="411"/>
      <c r="BH729" s="411"/>
      <c r="BI729" s="411"/>
      <c r="BJ729" s="399" t="s">
        <v>1787</v>
      </c>
      <c r="BK729" s="399" t="s">
        <v>1787</v>
      </c>
      <c r="BL729" s="399"/>
      <c r="BM729" s="399" t="s">
        <v>1787</v>
      </c>
      <c r="BN729" s="399" t="s">
        <v>1787</v>
      </c>
      <c r="BO729" s="399" t="s">
        <v>1787</v>
      </c>
      <c r="BP729" s="399" t="s">
        <v>1787</v>
      </c>
      <c r="BQ729" s="399" t="s">
        <v>1787</v>
      </c>
      <c r="BR729" s="399" t="s">
        <v>1787</v>
      </c>
      <c r="BS729" s="407"/>
      <c r="BT729" s="407"/>
      <c r="BU729" s="412"/>
      <c r="BV729" s="46" t="str">
        <f t="shared" si="8"/>
        <v/>
      </c>
      <c r="BW729" s="46">
        <f t="shared" si="9"/>
        <v>0</v>
      </c>
      <c r="BX729" s="46">
        <f t="shared" si="10"/>
        <v>0</v>
      </c>
      <c r="BY729" s="43" t="str">
        <f t="shared" si="11"/>
        <v>WHO-STI Observation (Syphilis Stage)</v>
      </c>
      <c r="BZ729" s="46">
        <f t="shared" si="12"/>
        <v>1</v>
      </c>
      <c r="CA729" s="46" t="str">
        <f t="shared" si="13"/>
        <v/>
      </c>
      <c r="CB729" s="46">
        <f t="shared" si="14"/>
        <v>1</v>
      </c>
      <c r="CC729" s="46">
        <f t="shared" si="15"/>
        <v>1</v>
      </c>
      <c r="CD729" s="46">
        <f t="shared" si="16"/>
        <v>1</v>
      </c>
      <c r="CE729" s="46">
        <f t="shared" si="17"/>
        <v>0</v>
      </c>
      <c r="CF729" s="46">
        <f t="shared" si="18"/>
        <v>0</v>
      </c>
      <c r="CG729" s="46" t="str">
        <f ca="1">IFERROR(__xludf.DUMMYFUNCTION("if(OR(BH729="""",LEFT(BH729,2)=""LA""),"""",IMPORTXML(CONCATENATE(""https://loinc.org/"",BH729,""/""),""//span[@id='lcn']""))"),"")</f>
        <v/>
      </c>
      <c r="CH729" s="46"/>
      <c r="CI729" s="46"/>
      <c r="CJ729" s="46"/>
      <c r="CK729" s="46"/>
      <c r="CL729" s="46"/>
      <c r="CM729" s="46"/>
      <c r="CN729" s="46"/>
      <c r="CO729" s="46"/>
      <c r="CP729" s="46"/>
      <c r="CQ729" s="46"/>
      <c r="CR729" s="46"/>
      <c r="CS729" s="46"/>
      <c r="CT729" s="46"/>
      <c r="CU729" s="46"/>
    </row>
    <row r="730" spans="1:99" ht="12.75" customHeight="1">
      <c r="A730" s="409">
        <v>2172</v>
      </c>
      <c r="B730" s="399" t="s">
        <v>9050</v>
      </c>
      <c r="C730" s="399">
        <f t="shared" si="117"/>
        <v>2172</v>
      </c>
      <c r="D730" s="399" t="e">
        <f t="shared" ca="1" si="118"/>
        <v>#NAME?</v>
      </c>
      <c r="E730" s="399" t="str">
        <f t="shared" si="119"/>
        <v xml:space="preserve">unknown </v>
      </c>
      <c r="F730" s="399" t="str">
        <f t="shared" si="126"/>
        <v>Input Option</v>
      </c>
      <c r="G730" s="400">
        <f t="shared" si="121"/>
        <v>15</v>
      </c>
      <c r="H730" s="399" t="str">
        <f t="shared" si="127"/>
        <v>Stage of Syphilis condition</v>
      </c>
      <c r="I730" s="400"/>
      <c r="J730" s="400"/>
      <c r="K730" s="401" t="s">
        <v>5283</v>
      </c>
      <c r="L730" s="402" t="s">
        <v>7244</v>
      </c>
      <c r="M730" s="400"/>
      <c r="N730" s="675" t="s">
        <v>7980</v>
      </c>
      <c r="O730" s="431" t="s">
        <v>9053</v>
      </c>
      <c r="P730" s="431"/>
      <c r="Q730" s="431"/>
      <c r="R730" s="437"/>
      <c r="S730" s="431"/>
      <c r="T730" s="431"/>
      <c r="U730" s="431"/>
      <c r="V730" s="404" t="s">
        <v>9054</v>
      </c>
      <c r="W730" s="404"/>
      <c r="X730" s="407" t="s">
        <v>208</v>
      </c>
      <c r="Y730" s="404"/>
      <c r="Z730" s="437" t="s">
        <v>113</v>
      </c>
      <c r="AA730" s="404" t="s">
        <v>3178</v>
      </c>
      <c r="AB730" s="406" t="s">
        <v>9020</v>
      </c>
      <c r="AC730" s="404" t="s">
        <v>9021</v>
      </c>
      <c r="AD730" s="404" t="s">
        <v>3215</v>
      </c>
      <c r="AE730" s="406"/>
      <c r="AF730" s="404" t="s">
        <v>6102</v>
      </c>
      <c r="AG730" s="404"/>
      <c r="AH730" s="399"/>
      <c r="AI730" s="400"/>
      <c r="AJ730" s="399" t="s">
        <v>1787</v>
      </c>
      <c r="AK730" s="399"/>
      <c r="AL730" s="399" t="s">
        <v>1787</v>
      </c>
      <c r="AM730" s="399"/>
      <c r="AN730" s="399" t="s">
        <v>1787</v>
      </c>
      <c r="AO730" s="399" t="s">
        <v>1787</v>
      </c>
      <c r="AP730" s="399"/>
      <c r="AQ730" s="409" t="s">
        <v>3130</v>
      </c>
      <c r="AR730" s="399"/>
      <c r="AS730" s="399"/>
      <c r="AT730" s="399"/>
      <c r="AU730" s="399"/>
      <c r="AV730" s="399" t="str">
        <f t="shared" si="123"/>
        <v/>
      </c>
      <c r="AW730" s="399"/>
      <c r="AX730" s="409" t="s">
        <v>5194</v>
      </c>
      <c r="AY730" s="399" t="e">
        <f t="shared" ca="1" si="124"/>
        <v>#NAME?</v>
      </c>
      <c r="AZ730" s="399"/>
      <c r="BA730" s="409" t="s">
        <v>3125</v>
      </c>
      <c r="BB730" s="399"/>
      <c r="BC730" s="399" t="s">
        <v>1787</v>
      </c>
      <c r="BD730" s="409" t="s">
        <v>3162</v>
      </c>
      <c r="BE730" s="411" t="s">
        <v>8437</v>
      </c>
      <c r="BF730" s="411" t="s">
        <v>1787</v>
      </c>
      <c r="BG730" s="411"/>
      <c r="BH730" s="411"/>
      <c r="BI730" s="411"/>
      <c r="BJ730" s="399" t="s">
        <v>1787</v>
      </c>
      <c r="BK730" s="399" t="s">
        <v>1787</v>
      </c>
      <c r="BL730" s="399"/>
      <c r="BM730" s="399" t="s">
        <v>1787</v>
      </c>
      <c r="BN730" s="399" t="s">
        <v>1787</v>
      </c>
      <c r="BO730" s="399" t="s">
        <v>1787</v>
      </c>
      <c r="BP730" s="399" t="s">
        <v>1787</v>
      </c>
      <c r="BQ730" s="399" t="s">
        <v>1787</v>
      </c>
      <c r="BR730" s="399" t="s">
        <v>1787</v>
      </c>
      <c r="BS730" s="407"/>
      <c r="BT730" s="407"/>
      <c r="BU730" s="412"/>
      <c r="BV730" s="46" t="str">
        <f t="shared" si="8"/>
        <v/>
      </c>
      <c r="BW730" s="46">
        <f t="shared" si="9"/>
        <v>0</v>
      </c>
      <c r="BX730" s="46">
        <f t="shared" si="10"/>
        <v>0</v>
      </c>
      <c r="BY730" s="43" t="str">
        <f t="shared" si="11"/>
        <v>WHO-STI Observation (Syphilis Stage)</v>
      </c>
      <c r="BZ730" s="46">
        <f t="shared" si="12"/>
        <v>1</v>
      </c>
      <c r="CA730" s="46" t="str">
        <f t="shared" si="13"/>
        <v/>
      </c>
      <c r="CB730" s="46">
        <f t="shared" si="14"/>
        <v>1</v>
      </c>
      <c r="CC730" s="46">
        <f t="shared" si="15"/>
        <v>1</v>
      </c>
      <c r="CD730" s="46">
        <f t="shared" si="16"/>
        <v>1</v>
      </c>
      <c r="CE730" s="46">
        <f t="shared" si="17"/>
        <v>0</v>
      </c>
      <c r="CF730" s="46">
        <f t="shared" si="18"/>
        <v>0</v>
      </c>
      <c r="CG730" s="46" t="str">
        <f ca="1">IFERROR(__xludf.DUMMYFUNCTION("if(OR(BH730="""",LEFT(BH730,2)=""LA""),"""",IMPORTXML(CONCATENATE(""https://loinc.org/"",BH730,""/""),""//span[@id='lcn']""))"),"")</f>
        <v/>
      </c>
      <c r="CH730" s="46"/>
      <c r="CI730" s="46"/>
      <c r="CJ730" s="46"/>
      <c r="CK730" s="46"/>
      <c r="CL730" s="46"/>
      <c r="CM730" s="46"/>
      <c r="CN730" s="46"/>
      <c r="CO730" s="46"/>
      <c r="CP730" s="46"/>
      <c r="CQ730" s="46"/>
      <c r="CR730" s="46"/>
      <c r="CS730" s="46"/>
      <c r="CT730" s="46"/>
      <c r="CU730" s="46"/>
    </row>
    <row r="731" spans="1:99" ht="12.75" customHeight="1">
      <c r="A731" s="409">
        <v>2174</v>
      </c>
      <c r="B731" s="409" t="s">
        <v>9064</v>
      </c>
      <c r="C731" s="399">
        <f t="shared" si="117"/>
        <v>2174</v>
      </c>
      <c r="D731" s="399" t="e">
        <f t="shared" ca="1" si="118"/>
        <v>#NAME?</v>
      </c>
      <c r="E731" s="399" t="str">
        <f t="shared" si="119"/>
        <v>Partner management recommended</v>
      </c>
      <c r="F731" s="409" t="s">
        <v>180</v>
      </c>
      <c r="G731" s="400">
        <f t="shared" si="121"/>
        <v>38</v>
      </c>
      <c r="H731" s="401" t="s">
        <v>6511</v>
      </c>
      <c r="I731" s="400"/>
      <c r="J731" s="400"/>
      <c r="K731" s="402" t="s">
        <v>9067</v>
      </c>
      <c r="L731" s="402" t="s">
        <v>4081</v>
      </c>
      <c r="M731" s="400"/>
      <c r="N731" s="748" t="s">
        <v>9068</v>
      </c>
      <c r="O731" s="640" t="s">
        <v>9072</v>
      </c>
      <c r="P731" s="640"/>
      <c r="Q731" s="444" t="s">
        <v>9074</v>
      </c>
      <c r="R731" s="651"/>
      <c r="S731" s="404" t="s">
        <v>9075</v>
      </c>
      <c r="T731" s="437" t="s">
        <v>3169</v>
      </c>
      <c r="U731" s="437"/>
      <c r="V731" s="414" t="s">
        <v>9076</v>
      </c>
      <c r="W731" s="404"/>
      <c r="X731" s="407" t="s">
        <v>208</v>
      </c>
      <c r="Y731" s="437"/>
      <c r="Z731" s="437" t="s">
        <v>113</v>
      </c>
      <c r="AA731" s="404" t="s">
        <v>1889</v>
      </c>
      <c r="AB731" s="629"/>
      <c r="AC731" s="437"/>
      <c r="AD731" s="437"/>
      <c r="AE731" s="629"/>
      <c r="AF731" s="404" t="s">
        <v>9078</v>
      </c>
      <c r="AG731" s="437"/>
      <c r="AH731" s="399"/>
      <c r="AI731" s="400"/>
      <c r="AJ731" s="399" t="s">
        <v>1787</v>
      </c>
      <c r="AK731" s="440"/>
      <c r="AL731" s="409"/>
      <c r="AM731" s="409"/>
      <c r="AN731" s="409"/>
      <c r="AO731" s="399"/>
      <c r="AP731" s="409"/>
      <c r="AQ731" s="409" t="s">
        <v>3424</v>
      </c>
      <c r="AR731" s="399"/>
      <c r="AS731" s="399"/>
      <c r="AT731" s="399"/>
      <c r="AU731" s="399"/>
      <c r="AV731" s="399" t="str">
        <f t="shared" si="123"/>
        <v/>
      </c>
      <c r="AW731" s="399"/>
      <c r="AX731" s="409" t="s">
        <v>5194</v>
      </c>
      <c r="AY731" s="399" t="e">
        <f t="shared" ca="1" si="124"/>
        <v>#NAME?</v>
      </c>
      <c r="AZ731" s="399"/>
      <c r="BA731" s="409" t="s">
        <v>3125</v>
      </c>
      <c r="BB731" s="415" t="s">
        <v>3131</v>
      </c>
      <c r="BC731" s="399" t="s">
        <v>9074</v>
      </c>
      <c r="BD731" s="399" t="s">
        <v>1787</v>
      </c>
      <c r="BE731" s="411"/>
      <c r="BF731" s="411" t="s">
        <v>1787</v>
      </c>
      <c r="BG731" s="411"/>
      <c r="BH731" s="411"/>
      <c r="BI731" s="411"/>
      <c r="BJ731" s="409" t="s">
        <v>4745</v>
      </c>
      <c r="BK731" s="399" t="s">
        <v>1787</v>
      </c>
      <c r="BL731" s="399"/>
      <c r="BM731" s="399" t="s">
        <v>1787</v>
      </c>
      <c r="BN731" s="399" t="s">
        <v>1787</v>
      </c>
      <c r="BO731" s="399" t="s">
        <v>1787</v>
      </c>
      <c r="BP731" s="399" t="s">
        <v>1787</v>
      </c>
      <c r="BQ731" s="399" t="s">
        <v>1787</v>
      </c>
      <c r="BR731" s="399" t="s">
        <v>1787</v>
      </c>
      <c r="BS731" s="407"/>
      <c r="BT731" s="407"/>
      <c r="BU731" s="412"/>
      <c r="BV731" s="46" t="str">
        <f t="shared" si="8"/>
        <v/>
      </c>
      <c r="BW731" s="46">
        <f t="shared" si="9"/>
        <v>0</v>
      </c>
      <c r="BX731" s="46">
        <f t="shared" si="10"/>
        <v>0</v>
      </c>
      <c r="BY731" s="43" t="str">
        <f t="shared" si="11"/>
        <v>WHO-STI CarePlan (Recommendation)</v>
      </c>
      <c r="BZ731" s="46">
        <f t="shared" si="12"/>
        <v>1</v>
      </c>
      <c r="CA731" s="46" t="str">
        <f t="shared" si="13"/>
        <v/>
      </c>
      <c r="CB731" s="46">
        <f t="shared" si="14"/>
        <v>1</v>
      </c>
      <c r="CC731" s="46">
        <f t="shared" si="15"/>
        <v>1</v>
      </c>
      <c r="CD731" s="46">
        <f t="shared" si="16"/>
        <v>1</v>
      </c>
      <c r="CE731" s="46">
        <f t="shared" si="17"/>
        <v>0</v>
      </c>
      <c r="CF731" s="46">
        <f t="shared" si="18"/>
        <v>0</v>
      </c>
      <c r="CG731" s="46" t="str">
        <f ca="1">IFERROR(__xludf.DUMMYFUNCTION("if(OR(BH731="""",LEFT(BH731,2)=""LA""),"""",IMPORTXML(CONCATENATE(""https://loinc.org/"",BH731,""/""),""//span[@id='lcn']""))"),"")</f>
        <v/>
      </c>
      <c r="CH731" s="46"/>
      <c r="CI731" s="46"/>
      <c r="CJ731" s="46"/>
      <c r="CK731" s="46"/>
      <c r="CL731" s="46"/>
      <c r="CM731" s="46"/>
      <c r="CN731" s="46"/>
      <c r="CO731" s="46"/>
      <c r="CP731" s="46"/>
      <c r="CQ731" s="46"/>
      <c r="CR731" s="46"/>
      <c r="CS731" s="46"/>
      <c r="CT731" s="46"/>
      <c r="CU731" s="46"/>
    </row>
    <row r="732" spans="1:99" ht="12.75" customHeight="1">
      <c r="A732" s="409">
        <v>2175</v>
      </c>
      <c r="B732" s="399" t="s">
        <v>9100</v>
      </c>
      <c r="C732" s="399">
        <f t="shared" si="117"/>
        <v>2175</v>
      </c>
      <c r="D732" s="399" t="e">
        <f t="shared" ca="1" si="118"/>
        <v>#NAME?</v>
      </c>
      <c r="E732" s="399" t="str">
        <f t="shared" si="119"/>
        <v xml:space="preserve">Inguinal bubo </v>
      </c>
      <c r="F732" s="399" t="s">
        <v>180</v>
      </c>
      <c r="G732" s="400">
        <v>16</v>
      </c>
      <c r="H732" s="399" t="s">
        <v>7244</v>
      </c>
      <c r="I732" s="400"/>
      <c r="J732" s="400"/>
      <c r="K732" s="401" t="s">
        <v>5283</v>
      </c>
      <c r="L732" s="402" t="s">
        <v>7244</v>
      </c>
      <c r="M732" s="400"/>
      <c r="N732" s="675" t="s">
        <v>7980</v>
      </c>
      <c r="O732" s="437" t="s">
        <v>9105</v>
      </c>
      <c r="P732" s="437"/>
      <c r="Q732" s="437" t="s">
        <v>9100</v>
      </c>
      <c r="R732" s="437"/>
      <c r="S732" s="437"/>
      <c r="T732" s="437"/>
      <c r="U732" s="437"/>
      <c r="V732" s="437"/>
      <c r="W732" s="404"/>
      <c r="X732" s="407" t="s">
        <v>208</v>
      </c>
      <c r="Y732" s="437"/>
      <c r="Z732" s="437" t="s">
        <v>113</v>
      </c>
      <c r="AA732" s="437"/>
      <c r="AB732" s="629"/>
      <c r="AC732" s="437"/>
      <c r="AD732" s="437"/>
      <c r="AE732" s="629"/>
      <c r="AF732" s="437"/>
      <c r="AG732" s="437"/>
      <c r="AH732" s="399"/>
      <c r="AI732" s="400"/>
      <c r="AJ732" s="399" t="s">
        <v>1787</v>
      </c>
      <c r="AK732" s="403"/>
      <c r="AL732" s="403"/>
      <c r="AM732" s="403"/>
      <c r="AN732" s="403"/>
      <c r="AO732" s="399" t="s">
        <v>1787</v>
      </c>
      <c r="AP732" s="399"/>
      <c r="AQ732" s="409" t="s">
        <v>3130</v>
      </c>
      <c r="AR732" s="399"/>
      <c r="AS732" s="399"/>
      <c r="AT732" s="399"/>
      <c r="AU732" s="399"/>
      <c r="AV732" s="399" t="str">
        <f t="shared" si="123"/>
        <v/>
      </c>
      <c r="AW732" s="399"/>
      <c r="AX732" s="409" t="s">
        <v>5194</v>
      </c>
      <c r="AY732" s="399" t="e">
        <f t="shared" ca="1" si="124"/>
        <v>#NAME?</v>
      </c>
      <c r="AZ732" s="399"/>
      <c r="BA732" s="409" t="s">
        <v>3125</v>
      </c>
      <c r="BB732" s="399"/>
      <c r="BC732" s="399" t="s">
        <v>1787</v>
      </c>
      <c r="BD732" s="409" t="s">
        <v>3162</v>
      </c>
      <c r="BE732" s="411"/>
      <c r="BF732" s="411" t="s">
        <v>1787</v>
      </c>
      <c r="BG732" s="434" t="s">
        <v>9111</v>
      </c>
      <c r="BH732" s="411"/>
      <c r="BI732" s="411"/>
      <c r="BJ732" s="399" t="s">
        <v>1787</v>
      </c>
      <c r="BK732" s="399" t="s">
        <v>1787</v>
      </c>
      <c r="BL732" s="399"/>
      <c r="BM732" s="399" t="s">
        <v>1787</v>
      </c>
      <c r="BN732" s="399" t="s">
        <v>1787</v>
      </c>
      <c r="BO732" s="399" t="s">
        <v>1787</v>
      </c>
      <c r="BP732" s="399" t="s">
        <v>1787</v>
      </c>
      <c r="BQ732" s="399" t="s">
        <v>1787</v>
      </c>
      <c r="BR732" s="399" t="s">
        <v>1787</v>
      </c>
      <c r="BS732" s="407"/>
      <c r="BT732" s="407"/>
      <c r="BU732" s="412"/>
      <c r="BV732" s="46" t="str">
        <f t="shared" si="8"/>
        <v/>
      </c>
      <c r="BW732" s="46">
        <f t="shared" si="9"/>
        <v>0</v>
      </c>
      <c r="BX732" s="46">
        <f t="shared" si="10"/>
        <v>0</v>
      </c>
      <c r="BY732" s="43" t="str">
        <f t="shared" si="11"/>
        <v>WHO-STI Condition (Diagnosis)</v>
      </c>
      <c r="BZ732" s="46">
        <f t="shared" si="12"/>
        <v>1</v>
      </c>
      <c r="CA732" s="46" t="str">
        <f t="shared" si="13"/>
        <v/>
      </c>
      <c r="CB732" s="46">
        <f t="shared" si="14"/>
        <v>1</v>
      </c>
      <c r="CC732" s="46">
        <f t="shared" si="15"/>
        <v>1</v>
      </c>
      <c r="CD732" s="46">
        <f t="shared" si="16"/>
        <v>1</v>
      </c>
      <c r="CE732" s="46">
        <f t="shared" si="17"/>
        <v>0</v>
      </c>
      <c r="CF732" s="46">
        <f t="shared" si="18"/>
        <v>0</v>
      </c>
      <c r="CG732" s="46" t="str">
        <f ca="1">IFERROR(__xludf.DUMMYFUNCTION("if(OR(BH732="""",LEFT(BH732,2)=""LA""),"""",IMPORTXML(CONCATENATE(""https://loinc.org/"",BH732,""/""),""//span[@id='lcn']""))"),"")</f>
        <v/>
      </c>
      <c r="CH732" s="46"/>
      <c r="CI732" s="46"/>
      <c r="CJ732" s="46"/>
      <c r="CK732" s="46"/>
      <c r="CL732" s="46"/>
      <c r="CM732" s="46"/>
      <c r="CN732" s="46"/>
      <c r="CO732" s="46"/>
      <c r="CP732" s="46"/>
      <c r="CQ732" s="46"/>
      <c r="CR732" s="46"/>
      <c r="CS732" s="46"/>
      <c r="CT732" s="46"/>
      <c r="CU732" s="46"/>
    </row>
    <row r="733" spans="1:99" ht="12.75" customHeight="1">
      <c r="A733" s="409">
        <v>2176</v>
      </c>
      <c r="B733" s="399" t="s">
        <v>9129</v>
      </c>
      <c r="C733" s="399">
        <f t="shared" si="117"/>
        <v>2176</v>
      </c>
      <c r="D733" s="399" t="e">
        <f t="shared" ca="1" si="118"/>
        <v>#NAME?</v>
      </c>
      <c r="E733" s="399" t="str">
        <f t="shared" si="119"/>
        <v>Femoral bubo</v>
      </c>
      <c r="F733" s="399" t="s">
        <v>180</v>
      </c>
      <c r="G733" s="400">
        <v>16</v>
      </c>
      <c r="H733" s="399" t="s">
        <v>7244</v>
      </c>
      <c r="I733" s="400"/>
      <c r="J733" s="400"/>
      <c r="K733" s="401" t="s">
        <v>5283</v>
      </c>
      <c r="L733" s="402" t="s">
        <v>7244</v>
      </c>
      <c r="M733" s="400"/>
      <c r="N733" s="675" t="s">
        <v>7980</v>
      </c>
      <c r="O733" s="437" t="s">
        <v>9130</v>
      </c>
      <c r="P733" s="437"/>
      <c r="Q733" s="437" t="s">
        <v>9129</v>
      </c>
      <c r="R733" s="437"/>
      <c r="S733" s="437"/>
      <c r="T733" s="437"/>
      <c r="U733" s="437"/>
      <c r="V733" s="437"/>
      <c r="W733" s="404"/>
      <c r="X733" s="407" t="s">
        <v>208</v>
      </c>
      <c r="Y733" s="437"/>
      <c r="Z733" s="437" t="s">
        <v>113</v>
      </c>
      <c r="AA733" s="437" t="s">
        <v>1889</v>
      </c>
      <c r="AB733" s="629"/>
      <c r="AC733" s="437"/>
      <c r="AD733" s="437"/>
      <c r="AE733" s="629"/>
      <c r="AF733" s="437"/>
      <c r="AG733" s="437"/>
      <c r="AH733" s="399"/>
      <c r="AI733" s="400"/>
      <c r="AJ733" s="399" t="s">
        <v>1787</v>
      </c>
      <c r="AK733" s="403"/>
      <c r="AL733" s="403"/>
      <c r="AM733" s="403"/>
      <c r="AN733" s="403"/>
      <c r="AO733" s="399" t="s">
        <v>1787</v>
      </c>
      <c r="AP733" s="399"/>
      <c r="AQ733" s="409" t="s">
        <v>3130</v>
      </c>
      <c r="AR733" s="399"/>
      <c r="AS733" s="399"/>
      <c r="AT733" s="399"/>
      <c r="AU733" s="399"/>
      <c r="AV733" s="399" t="str">
        <f t="shared" si="123"/>
        <v/>
      </c>
      <c r="AW733" s="399"/>
      <c r="AX733" s="409" t="s">
        <v>5194</v>
      </c>
      <c r="AY733" s="399" t="e">
        <f t="shared" ca="1" si="124"/>
        <v>#NAME?</v>
      </c>
      <c r="AZ733" s="399"/>
      <c r="BA733" s="409" t="s">
        <v>3125</v>
      </c>
      <c r="BB733" s="399"/>
      <c r="BC733" s="399" t="s">
        <v>1787</v>
      </c>
      <c r="BD733" s="399" t="s">
        <v>1787</v>
      </c>
      <c r="BE733" s="411"/>
      <c r="BF733" s="411" t="s">
        <v>1787</v>
      </c>
      <c r="BG733" s="433" t="s">
        <v>9131</v>
      </c>
      <c r="BH733" s="411"/>
      <c r="BI733" s="411"/>
      <c r="BJ733" s="399" t="s">
        <v>1787</v>
      </c>
      <c r="BK733" s="399" t="s">
        <v>1787</v>
      </c>
      <c r="BL733" s="399"/>
      <c r="BM733" s="409" t="s">
        <v>9132</v>
      </c>
      <c r="BN733" s="399" t="s">
        <v>1787</v>
      </c>
      <c r="BO733" s="399" t="s">
        <v>1787</v>
      </c>
      <c r="BP733" s="399" t="s">
        <v>1787</v>
      </c>
      <c r="BQ733" s="399" t="s">
        <v>1787</v>
      </c>
      <c r="BR733" s="399" t="s">
        <v>1787</v>
      </c>
      <c r="BS733" s="407"/>
      <c r="BT733" s="407"/>
      <c r="BU733" s="412"/>
      <c r="BV733" s="46" t="str">
        <f t="shared" si="8"/>
        <v/>
      </c>
      <c r="BW733" s="46">
        <f t="shared" si="9"/>
        <v>0</v>
      </c>
      <c r="BX733" s="46">
        <f t="shared" si="10"/>
        <v>0</v>
      </c>
      <c r="BY733" s="43" t="str">
        <f t="shared" si="11"/>
        <v>WHO-STI Condition (Diagnosis)</v>
      </c>
      <c r="BZ733" s="46">
        <f t="shared" si="12"/>
        <v>1</v>
      </c>
      <c r="CA733" s="46" t="str">
        <f t="shared" si="13"/>
        <v/>
      </c>
      <c r="CB733" s="46">
        <f t="shared" si="14"/>
        <v>1</v>
      </c>
      <c r="CC733" s="46">
        <f t="shared" si="15"/>
        <v>1</v>
      </c>
      <c r="CD733" s="46">
        <f t="shared" si="16"/>
        <v>1</v>
      </c>
      <c r="CE733" s="46">
        <f t="shared" si="17"/>
        <v>0</v>
      </c>
      <c r="CF733" s="46">
        <f t="shared" si="18"/>
        <v>0</v>
      </c>
      <c r="CG733" s="46" t="str">
        <f ca="1">IFERROR(__xludf.DUMMYFUNCTION("if(OR(BH733="""",LEFT(BH733,2)=""LA""),"""",IMPORTXML(CONCATENATE(""https://loinc.org/"",BH733,""/""),""//span[@id='lcn']""))"),"")</f>
        <v/>
      </c>
      <c r="CH733" s="46"/>
      <c r="CI733" s="46"/>
      <c r="CJ733" s="46"/>
      <c r="CK733" s="46"/>
      <c r="CL733" s="46"/>
      <c r="CM733" s="46"/>
      <c r="CN733" s="46"/>
      <c r="CO733" s="46"/>
      <c r="CP733" s="46"/>
      <c r="CQ733" s="46"/>
      <c r="CR733" s="46"/>
      <c r="CS733" s="46"/>
      <c r="CT733" s="46"/>
      <c r="CU733" s="46"/>
    </row>
    <row r="734" spans="1:99" ht="12.75" customHeight="1">
      <c r="A734" s="409">
        <v>2177</v>
      </c>
      <c r="B734" s="399" t="s">
        <v>9133</v>
      </c>
      <c r="C734" s="399">
        <f t="shared" si="117"/>
        <v>2177</v>
      </c>
      <c r="D734" s="399" t="str">
        <f t="shared" si="118"/>
        <v>High prevalence</v>
      </c>
      <c r="E734" s="399" t="str">
        <f t="shared" si="119"/>
        <v>High prevalence</v>
      </c>
      <c r="F734" s="399" t="str">
        <f t="shared" ref="F734:F753" si="128">IF(AND(ISBLANK(V734)=FALSE,OR(T734="MC",T734="")),"Input Option","Data Element")</f>
        <v>Data Element</v>
      </c>
      <c r="G734" s="400">
        <f t="shared" ref="G734:G946" si="129">LEN(B734)</f>
        <v>15</v>
      </c>
      <c r="H734" s="400" t="str">
        <f t="shared" ref="H734:H790" si="130">IF(F734="Input Option",IF(H733="",B733,H733),"")</f>
        <v/>
      </c>
      <c r="I734" s="400"/>
      <c r="J734" s="400"/>
      <c r="K734" s="401" t="s">
        <v>5283</v>
      </c>
      <c r="L734" s="402" t="s">
        <v>7244</v>
      </c>
      <c r="M734" s="400"/>
      <c r="N734" s="675" t="s">
        <v>7980</v>
      </c>
      <c r="O734" s="437" t="s">
        <v>9134</v>
      </c>
      <c r="P734" s="437"/>
      <c r="Q734" s="437" t="s">
        <v>9133</v>
      </c>
      <c r="R734" s="437"/>
      <c r="S734" s="437"/>
      <c r="T734" s="437"/>
      <c r="U734" s="437"/>
      <c r="V734" s="437"/>
      <c r="W734" s="404"/>
      <c r="X734" s="407" t="s">
        <v>208</v>
      </c>
      <c r="Y734" s="437"/>
      <c r="Z734" s="437" t="s">
        <v>208</v>
      </c>
      <c r="AA734" s="437" t="s">
        <v>1889</v>
      </c>
      <c r="AB734" s="629"/>
      <c r="AC734" s="437"/>
      <c r="AD734" s="437"/>
      <c r="AE734" s="629"/>
      <c r="AF734" s="437"/>
      <c r="AG734" s="437"/>
      <c r="AH734" s="399"/>
      <c r="AI734" s="400"/>
      <c r="AJ734" s="399" t="s">
        <v>1787</v>
      </c>
      <c r="AK734" s="399"/>
      <c r="AL734" s="399" t="s">
        <v>1787</v>
      </c>
      <c r="AM734" s="399"/>
      <c r="AN734" s="399" t="s">
        <v>1787</v>
      </c>
      <c r="AO734" s="399" t="s">
        <v>1787</v>
      </c>
      <c r="AP734" s="399"/>
      <c r="AQ734" s="409" t="s">
        <v>115</v>
      </c>
      <c r="AR734" s="399"/>
      <c r="AS734" s="399"/>
      <c r="AT734" s="399"/>
      <c r="AU734" s="399"/>
      <c r="AV734" s="399" t="str">
        <f t="shared" si="123"/>
        <v/>
      </c>
      <c r="AW734" s="399"/>
      <c r="AX734" s="409" t="s">
        <v>5194</v>
      </c>
      <c r="AY734" s="399" t="str">
        <f t="shared" si="124"/>
        <v/>
      </c>
      <c r="AZ734" s="399"/>
      <c r="BA734" s="409">
        <v>0</v>
      </c>
      <c r="BB734" s="415" t="s">
        <v>3131</v>
      </c>
      <c r="BC734" s="399" t="s">
        <v>9133</v>
      </c>
      <c r="BD734" s="399" t="s">
        <v>1787</v>
      </c>
      <c r="BE734" s="411"/>
      <c r="BF734" s="411" t="s">
        <v>1787</v>
      </c>
      <c r="BG734" s="411"/>
      <c r="BH734" s="411"/>
      <c r="BI734" s="411"/>
      <c r="BJ734" s="409" t="s">
        <v>4745</v>
      </c>
      <c r="BK734" s="399" t="s">
        <v>1787</v>
      </c>
      <c r="BL734" s="399"/>
      <c r="BM734" s="409" t="s">
        <v>9135</v>
      </c>
      <c r="BN734" s="438" t="str">
        <f>HYPERLINK("https://github.com/who-int/Data-Dictionary-Mapping/issues/92","95")</f>
        <v>95</v>
      </c>
      <c r="BO734" s="399" t="s">
        <v>1787</v>
      </c>
      <c r="BP734" s="399" t="s">
        <v>1787</v>
      </c>
      <c r="BQ734" s="399" t="s">
        <v>1787</v>
      </c>
      <c r="BR734" s="399" t="s">
        <v>1787</v>
      </c>
      <c r="BS734" s="407"/>
      <c r="BT734" s="407"/>
      <c r="BU734" s="412"/>
      <c r="BV734" s="46" t="str">
        <f t="shared" si="8"/>
        <v/>
      </c>
      <c r="BW734" s="46" t="str">
        <f t="shared" si="9"/>
        <v/>
      </c>
      <c r="BX734" s="46" t="str">
        <f t="shared" si="10"/>
        <v/>
      </c>
      <c r="BY734" s="43">
        <f t="shared" si="11"/>
        <v>0</v>
      </c>
      <c r="BZ734" s="46">
        <f t="shared" si="12"/>
        <v>1</v>
      </c>
      <c r="CA734" s="46">
        <f t="shared" si="13"/>
        <v>0</v>
      </c>
      <c r="CB734" s="46">
        <f t="shared" si="14"/>
        <v>0</v>
      </c>
      <c r="CC734" s="46">
        <f t="shared" si="15"/>
        <v>0</v>
      </c>
      <c r="CD734" s="46">
        <f t="shared" si="16"/>
        <v>1</v>
      </c>
      <c r="CE734" s="46">
        <f t="shared" si="17"/>
        <v>1</v>
      </c>
      <c r="CF734" s="46">
        <f t="shared" si="18"/>
        <v>0</v>
      </c>
      <c r="CG734" s="46" t="str">
        <f ca="1">IFERROR(__xludf.DUMMYFUNCTION("if(OR(BH734="""",LEFT(BH734,2)=""LA""),"""",IMPORTXML(CONCATENATE(""https://loinc.org/"",BH734,""/""),""//span[@id='lcn']""))"),"")</f>
        <v/>
      </c>
      <c r="CH734" s="46"/>
      <c r="CI734" s="46"/>
      <c r="CJ734" s="46"/>
      <c r="CK734" s="46"/>
      <c r="CL734" s="46"/>
      <c r="CM734" s="46"/>
      <c r="CN734" s="46"/>
      <c r="CO734" s="46"/>
      <c r="CP734" s="46"/>
      <c r="CQ734" s="46"/>
      <c r="CR734" s="46"/>
      <c r="CS734" s="46"/>
      <c r="CT734" s="46"/>
      <c r="CU734" s="46"/>
    </row>
    <row r="735" spans="1:99" ht="12.75" customHeight="1">
      <c r="A735" s="409">
        <v>2178</v>
      </c>
      <c r="B735" s="399" t="s">
        <v>9136</v>
      </c>
      <c r="C735" s="399">
        <f t="shared" si="117"/>
        <v>2178</v>
      </c>
      <c r="D735" s="399" t="str">
        <f t="shared" si="118"/>
        <v xml:space="preserve">Recent syphilis treatment </v>
      </c>
      <c r="E735" s="399" t="str">
        <f t="shared" si="119"/>
        <v xml:space="preserve">Recent syphilis treatment </v>
      </c>
      <c r="F735" s="399" t="str">
        <f t="shared" si="128"/>
        <v>Data Element</v>
      </c>
      <c r="G735" s="400">
        <f t="shared" si="129"/>
        <v>26</v>
      </c>
      <c r="H735" s="400" t="str">
        <f t="shared" si="130"/>
        <v/>
      </c>
      <c r="I735" s="400"/>
      <c r="J735" s="400"/>
      <c r="K735" s="401" t="s">
        <v>5283</v>
      </c>
      <c r="L735" s="402" t="s">
        <v>7244</v>
      </c>
      <c r="M735" s="400"/>
      <c r="N735" s="675" t="s">
        <v>7980</v>
      </c>
      <c r="O735" s="437" t="s">
        <v>9137</v>
      </c>
      <c r="P735" s="437"/>
      <c r="Q735" s="444" t="s">
        <v>9136</v>
      </c>
      <c r="R735" s="651"/>
      <c r="S735" s="437"/>
      <c r="T735" s="437"/>
      <c r="U735" s="437"/>
      <c r="V735" s="437"/>
      <c r="W735" s="404"/>
      <c r="X735" s="407" t="s">
        <v>208</v>
      </c>
      <c r="Y735" s="437"/>
      <c r="Z735" s="437" t="s">
        <v>113</v>
      </c>
      <c r="AA735" s="437" t="s">
        <v>1889</v>
      </c>
      <c r="AB735" s="629"/>
      <c r="AC735" s="437"/>
      <c r="AD735" s="437"/>
      <c r="AE735" s="629"/>
      <c r="AF735" s="437"/>
      <c r="AG735" s="437"/>
      <c r="AH735" s="399"/>
      <c r="AI735" s="400"/>
      <c r="AJ735" s="399" t="s">
        <v>1787</v>
      </c>
      <c r="AK735" s="475" t="s">
        <v>3410</v>
      </c>
      <c r="AL735" s="409" t="s">
        <v>3181</v>
      </c>
      <c r="AM735" s="409" t="s">
        <v>3100</v>
      </c>
      <c r="AN735" s="409" t="s">
        <v>3101</v>
      </c>
      <c r="AO735" s="399" t="s">
        <v>1787</v>
      </c>
      <c r="AP735" s="409" t="s">
        <v>6797</v>
      </c>
      <c r="AQ735" s="409" t="s">
        <v>3130</v>
      </c>
      <c r="AR735" s="399"/>
      <c r="AS735" s="399"/>
      <c r="AT735" s="399"/>
      <c r="AU735" s="399"/>
      <c r="AV735" s="399" t="str">
        <f t="shared" si="123"/>
        <v/>
      </c>
      <c r="AW735" s="399"/>
      <c r="AX735" s="409" t="s">
        <v>5194</v>
      </c>
      <c r="AY735" s="399" t="str">
        <f t="shared" si="124"/>
        <v/>
      </c>
      <c r="AZ735" s="399"/>
      <c r="BA735" s="409" t="s">
        <v>3125</v>
      </c>
      <c r="BB735" s="399"/>
      <c r="BC735" s="399" t="s">
        <v>1787</v>
      </c>
      <c r="BD735" s="399" t="s">
        <v>1787</v>
      </c>
      <c r="BE735" s="411"/>
      <c r="BF735" s="411" t="s">
        <v>1787</v>
      </c>
      <c r="BG735" s="411"/>
      <c r="BH735" s="434" t="s">
        <v>9138</v>
      </c>
      <c r="BI735" s="411"/>
      <c r="BJ735" s="399" t="s">
        <v>1787</v>
      </c>
      <c r="BK735" s="399" t="s">
        <v>1787</v>
      </c>
      <c r="BL735" s="399"/>
      <c r="BM735" s="399" t="s">
        <v>1787</v>
      </c>
      <c r="BN735" s="399" t="s">
        <v>1787</v>
      </c>
      <c r="BO735" s="399" t="s">
        <v>1787</v>
      </c>
      <c r="BP735" s="399" t="s">
        <v>1787</v>
      </c>
      <c r="BQ735" s="399" t="s">
        <v>1787</v>
      </c>
      <c r="BR735" s="399" t="s">
        <v>1787</v>
      </c>
      <c r="BS735" s="407"/>
      <c r="BT735" s="407"/>
      <c r="BU735" s="412"/>
      <c r="BV735" s="46" t="str">
        <f t="shared" si="8"/>
        <v>Observation</v>
      </c>
      <c r="BW735" s="46" t="str">
        <f t="shared" si="9"/>
        <v/>
      </c>
      <c r="BX735" s="46" t="str">
        <f t="shared" si="10"/>
        <v>Observation</v>
      </c>
      <c r="BY735" s="43" t="str">
        <f t="shared" si="11"/>
        <v>WHO-STI Observation (Recent Syphilis Treatment)</v>
      </c>
      <c r="BZ735" s="46">
        <f t="shared" si="12"/>
        <v>1</v>
      </c>
      <c r="CA735" s="46">
        <f t="shared" si="13"/>
        <v>0</v>
      </c>
      <c r="CB735" s="46">
        <f t="shared" si="14"/>
        <v>1</v>
      </c>
      <c r="CC735" s="46">
        <f t="shared" si="15"/>
        <v>1</v>
      </c>
      <c r="CD735" s="46">
        <f t="shared" si="16"/>
        <v>1</v>
      </c>
      <c r="CE735" s="46">
        <f t="shared" si="17"/>
        <v>0</v>
      </c>
      <c r="CF735" s="46">
        <f t="shared" si="18"/>
        <v>0</v>
      </c>
      <c r="CG735" s="46" t="str">
        <f ca="1">IFERROR(__xludf.DUMMYFUNCTION("if(OR(BH735="""",LEFT(BH735,2)=""LA""),"""",IMPORTXML(CONCATENATE(""https://loinc.org/"",BH735,""/""),""//span[@id='lcn']""))"),"Syphilis treatment was given and treatment description [CDC.CS]")</f>
        <v>Syphilis treatment was given and treatment description [CDC.CS]</v>
      </c>
      <c r="CH735" s="46"/>
      <c r="CI735" s="46"/>
      <c r="CJ735" s="46"/>
      <c r="CK735" s="46"/>
      <c r="CL735" s="46"/>
      <c r="CM735" s="46"/>
      <c r="CN735" s="46"/>
      <c r="CO735" s="46"/>
      <c r="CP735" s="46"/>
      <c r="CQ735" s="46"/>
      <c r="CR735" s="46"/>
      <c r="CS735" s="46"/>
      <c r="CT735" s="46"/>
      <c r="CU735" s="46"/>
    </row>
    <row r="736" spans="1:99" ht="12.75" customHeight="1">
      <c r="A736" s="409">
        <v>2179</v>
      </c>
      <c r="B736" s="409" t="s">
        <v>9139</v>
      </c>
      <c r="C736" s="399">
        <f t="shared" si="117"/>
        <v>2179</v>
      </c>
      <c r="D736" s="399" t="str">
        <f t="shared" si="118"/>
        <v>Treatment recommendation</v>
      </c>
      <c r="E736" s="399" t="str">
        <f t="shared" si="119"/>
        <v>Treatment recommendation</v>
      </c>
      <c r="F736" s="399" t="str">
        <f t="shared" si="128"/>
        <v>Data Element</v>
      </c>
      <c r="G736" s="400">
        <f t="shared" si="129"/>
        <v>28</v>
      </c>
      <c r="H736" s="400" t="str">
        <f t="shared" si="130"/>
        <v/>
      </c>
      <c r="I736" s="400"/>
      <c r="J736" s="400"/>
      <c r="K736" s="402" t="s">
        <v>9140</v>
      </c>
      <c r="L736" s="402" t="s">
        <v>7244</v>
      </c>
      <c r="M736" s="400"/>
      <c r="N736" s="639" t="s">
        <v>9141</v>
      </c>
      <c r="O736" s="404" t="s">
        <v>9142</v>
      </c>
      <c r="P736" s="404"/>
      <c r="Q736" s="429" t="s">
        <v>9143</v>
      </c>
      <c r="R736" s="628"/>
      <c r="S736" s="404"/>
      <c r="T736" s="431" t="s">
        <v>3121</v>
      </c>
      <c r="U736" s="429" t="s">
        <v>3326</v>
      </c>
      <c r="V736" s="414"/>
      <c r="W736" s="407"/>
      <c r="X736" s="414"/>
      <c r="Y736" s="414"/>
      <c r="Z736" s="414"/>
      <c r="AA736" s="414"/>
      <c r="AB736" s="425"/>
      <c r="AC736" s="414"/>
      <c r="AD736" s="404" t="s">
        <v>9144</v>
      </c>
      <c r="AE736" s="406"/>
      <c r="AF736" s="404"/>
      <c r="AG736" s="420" t="s">
        <v>6102</v>
      </c>
      <c r="AH736" s="399"/>
      <c r="AI736" s="400"/>
      <c r="AJ736" s="399" t="s">
        <v>1787</v>
      </c>
      <c r="AK736" s="440" t="s">
        <v>6700</v>
      </c>
      <c r="AL736" s="409" t="s">
        <v>3181</v>
      </c>
      <c r="AM736" s="409" t="s">
        <v>3100</v>
      </c>
      <c r="AN736" s="409" t="s">
        <v>3101</v>
      </c>
      <c r="AO736" s="409" t="s">
        <v>3218</v>
      </c>
      <c r="AP736" s="409" t="s">
        <v>6515</v>
      </c>
      <c r="AQ736" s="409" t="s">
        <v>3130</v>
      </c>
      <c r="AR736" s="409"/>
      <c r="AS736" s="409" t="s">
        <v>3413</v>
      </c>
      <c r="AT736" s="399"/>
      <c r="AU736" s="399"/>
      <c r="AV736" s="399" t="str">
        <f t="shared" si="123"/>
        <v/>
      </c>
      <c r="AW736" s="399"/>
      <c r="AX736" s="409" t="s">
        <v>5194</v>
      </c>
      <c r="AY736" s="399" t="str">
        <f t="shared" si="124"/>
        <v>"Treatment recommendation"-&gt;"STI Treatment recommendation"</v>
      </c>
      <c r="AZ736" s="399"/>
      <c r="BA736" s="409" t="s">
        <v>3125</v>
      </c>
      <c r="BB736" s="399"/>
      <c r="BC736" s="399" t="s">
        <v>1787</v>
      </c>
      <c r="BD736" s="409" t="s">
        <v>9145</v>
      </c>
      <c r="BE736" s="411"/>
      <c r="BF736" s="411" t="s">
        <v>1787</v>
      </c>
      <c r="BG736" s="411"/>
      <c r="BH736" s="411"/>
      <c r="BI736" s="411"/>
      <c r="BJ736" s="409" t="s">
        <v>3106</v>
      </c>
      <c r="BK736" s="399" t="s">
        <v>1787</v>
      </c>
      <c r="BL736" s="399"/>
      <c r="BM736" s="399" t="s">
        <v>1787</v>
      </c>
      <c r="BN736" s="438" t="str">
        <f>HYPERLINK("https://github.com/who-int/Data-Dictionary-Mapping/issues/70","70")</f>
        <v>70</v>
      </c>
      <c r="BO736" s="399" t="s">
        <v>1787</v>
      </c>
      <c r="BP736" s="399" t="s">
        <v>1787</v>
      </c>
      <c r="BQ736" s="399" t="s">
        <v>1787</v>
      </c>
      <c r="BR736" s="399" t="s">
        <v>1787</v>
      </c>
      <c r="BS736" s="407"/>
      <c r="BT736" s="407"/>
      <c r="BU736" s="412"/>
      <c r="BV736" s="46" t="str">
        <f t="shared" si="8"/>
        <v>CarePlan</v>
      </c>
      <c r="BW736" s="46" t="str">
        <f t="shared" si="9"/>
        <v/>
      </c>
      <c r="BX736" s="46" t="str">
        <f t="shared" si="10"/>
        <v>CarePlan</v>
      </c>
      <c r="BY736" s="43" t="str">
        <f t="shared" si="11"/>
        <v>WHO-STI CarePlan (Recommendation)</v>
      </c>
      <c r="BZ736" s="46">
        <f t="shared" si="12"/>
        <v>1</v>
      </c>
      <c r="CA736" s="46">
        <f t="shared" si="13"/>
        <v>1</v>
      </c>
      <c r="CB736" s="46">
        <f t="shared" si="14"/>
        <v>1</v>
      </c>
      <c r="CC736" s="46">
        <f t="shared" si="15"/>
        <v>1</v>
      </c>
      <c r="CD736" s="46">
        <f t="shared" si="16"/>
        <v>1</v>
      </c>
      <c r="CE736" s="46">
        <f t="shared" si="17"/>
        <v>0</v>
      </c>
      <c r="CF736" s="46">
        <f t="shared" si="18"/>
        <v>0</v>
      </c>
      <c r="CG736" s="46" t="str">
        <f ca="1">IFERROR(__xludf.DUMMYFUNCTION("if(OR(BH736="""",LEFT(BH736,2)=""LA""),"""",IMPORTXML(CONCATENATE(""https://loinc.org/"",BH736,""/""),""//span[@id='lcn']""))"),"")</f>
        <v/>
      </c>
      <c r="CH736" s="46"/>
      <c r="CI736" s="46"/>
      <c r="CJ736" s="46"/>
      <c r="CK736" s="46"/>
      <c r="CL736" s="46"/>
      <c r="CM736" s="46"/>
      <c r="CN736" s="46"/>
      <c r="CO736" s="46"/>
      <c r="CP736" s="46"/>
      <c r="CQ736" s="46"/>
      <c r="CR736" s="46"/>
      <c r="CS736" s="46"/>
      <c r="CT736" s="46"/>
      <c r="CU736" s="46"/>
    </row>
    <row r="737" spans="1:99" ht="12.75" customHeight="1">
      <c r="A737" s="409">
        <v>2180</v>
      </c>
      <c r="B737" s="399" t="s">
        <v>8402</v>
      </c>
      <c r="C737" s="399">
        <f t="shared" si="117"/>
        <v>2180</v>
      </c>
      <c r="D737" s="399" t="e">
        <f t="shared" ca="1" si="118"/>
        <v>#NAME?</v>
      </c>
      <c r="E737" s="399" t="str">
        <f t="shared" si="119"/>
        <v>Chlamydia</v>
      </c>
      <c r="F737" s="399" t="str">
        <f t="shared" si="128"/>
        <v>Input Option</v>
      </c>
      <c r="G737" s="400">
        <f t="shared" si="129"/>
        <v>16</v>
      </c>
      <c r="H737" s="399" t="str">
        <f t="shared" si="130"/>
        <v>STI Treatment recommendation</v>
      </c>
      <c r="I737" s="400"/>
      <c r="J737" s="400"/>
      <c r="K737" s="402" t="s">
        <v>9140</v>
      </c>
      <c r="L737" s="402" t="s">
        <v>7244</v>
      </c>
      <c r="M737" s="400"/>
      <c r="N737" s="639" t="s">
        <v>9141</v>
      </c>
      <c r="O737" s="414" t="s">
        <v>9146</v>
      </c>
      <c r="P737" s="414"/>
      <c r="Q737" s="431"/>
      <c r="R737" s="431"/>
      <c r="S737" s="431"/>
      <c r="T737" s="414"/>
      <c r="U737" s="414"/>
      <c r="V737" s="414" t="s">
        <v>6292</v>
      </c>
      <c r="W737" s="404"/>
      <c r="X737" s="414" t="s">
        <v>208</v>
      </c>
      <c r="Y737" s="414"/>
      <c r="Z737" s="414" t="s">
        <v>113</v>
      </c>
      <c r="AA737" s="414" t="s">
        <v>1889</v>
      </c>
      <c r="AB737" s="425"/>
      <c r="AC737" s="414"/>
      <c r="AD737" s="404" t="s">
        <v>3215</v>
      </c>
      <c r="AE737" s="425"/>
      <c r="AF737" s="414"/>
      <c r="AG737" s="414"/>
      <c r="AH737" s="399"/>
      <c r="AI737" s="400"/>
      <c r="AJ737" s="399" t="s">
        <v>1787</v>
      </c>
      <c r="AK737" s="399"/>
      <c r="AL737" s="409"/>
      <c r="AM737" s="409"/>
      <c r="AN737" s="409"/>
      <c r="AO737" s="399" t="s">
        <v>1787</v>
      </c>
      <c r="AP737" s="399"/>
      <c r="AQ737" s="409" t="s">
        <v>3130</v>
      </c>
      <c r="AR737" s="399"/>
      <c r="AS737" s="399"/>
      <c r="AT737" s="399"/>
      <c r="AU737" s="399"/>
      <c r="AV737" s="399" t="str">
        <f t="shared" si="123"/>
        <v/>
      </c>
      <c r="AW737" s="399"/>
      <c r="AX737" s="409" t="s">
        <v>5194</v>
      </c>
      <c r="AY737" s="399" t="e">
        <f t="shared" ca="1" si="124"/>
        <v>#NAME?</v>
      </c>
      <c r="AZ737" s="399"/>
      <c r="BA737" s="409" t="s">
        <v>3125</v>
      </c>
      <c r="BB737" s="399"/>
      <c r="BC737" s="399" t="s">
        <v>1787</v>
      </c>
      <c r="BD737" s="409" t="s">
        <v>9147</v>
      </c>
      <c r="BE737" s="411"/>
      <c r="BF737" s="411" t="s">
        <v>1787</v>
      </c>
      <c r="BG737" s="434" t="s">
        <v>5217</v>
      </c>
      <c r="BH737" s="411"/>
      <c r="BI737" s="411"/>
      <c r="BJ737" s="399" t="s">
        <v>1787</v>
      </c>
      <c r="BK737" s="399" t="s">
        <v>1787</v>
      </c>
      <c r="BL737" s="399"/>
      <c r="BM737" s="399" t="s">
        <v>1787</v>
      </c>
      <c r="BN737" s="399" t="s">
        <v>1787</v>
      </c>
      <c r="BO737" s="399" t="s">
        <v>1787</v>
      </c>
      <c r="BP737" s="399" t="s">
        <v>1787</v>
      </c>
      <c r="BQ737" s="399" t="s">
        <v>1787</v>
      </c>
      <c r="BR737" s="399" t="s">
        <v>1787</v>
      </c>
      <c r="BS737" s="407"/>
      <c r="BT737" s="407"/>
      <c r="BU737" s="412"/>
      <c r="BV737" s="46" t="str">
        <f t="shared" si="8"/>
        <v/>
      </c>
      <c r="BW737" s="46">
        <f t="shared" si="9"/>
        <v>0</v>
      </c>
      <c r="BX737" s="46">
        <f t="shared" si="10"/>
        <v>0</v>
      </c>
      <c r="BY737" s="43" t="str">
        <f t="shared" si="11"/>
        <v>WHO-STI CarePlan (Recommendation)</v>
      </c>
      <c r="BZ737" s="46">
        <f t="shared" si="12"/>
        <v>1</v>
      </c>
      <c r="CA737" s="46" t="str">
        <f t="shared" si="13"/>
        <v/>
      </c>
      <c r="CB737" s="46">
        <f t="shared" si="14"/>
        <v>1</v>
      </c>
      <c r="CC737" s="46">
        <f t="shared" si="15"/>
        <v>1</v>
      </c>
      <c r="CD737" s="46">
        <f t="shared" si="16"/>
        <v>1</v>
      </c>
      <c r="CE737" s="46">
        <f t="shared" si="17"/>
        <v>0</v>
      </c>
      <c r="CF737" s="46">
        <f t="shared" si="18"/>
        <v>0</v>
      </c>
      <c r="CG737" s="46" t="str">
        <f ca="1">IFERROR(__xludf.DUMMYFUNCTION("if(OR(BH737="""",LEFT(BH737,2)=""LA""),"""",IMPORTXML(CONCATENATE(""https://loinc.org/"",BH737,""/""),""//span[@id='lcn']""))"),"")</f>
        <v/>
      </c>
      <c r="CH737" s="46"/>
      <c r="CI737" s="46"/>
      <c r="CJ737" s="46"/>
      <c r="CK737" s="46"/>
      <c r="CL737" s="46"/>
      <c r="CM737" s="46"/>
      <c r="CN737" s="46"/>
      <c r="CO737" s="46"/>
      <c r="CP737" s="46"/>
      <c r="CQ737" s="46"/>
      <c r="CR737" s="46"/>
      <c r="CS737" s="46"/>
      <c r="CT737" s="46"/>
      <c r="CU737" s="46"/>
    </row>
    <row r="738" spans="1:99" ht="12.75" customHeight="1">
      <c r="A738" s="409">
        <v>2181</v>
      </c>
      <c r="B738" s="399" t="s">
        <v>8428</v>
      </c>
      <c r="C738" s="399">
        <f t="shared" si="117"/>
        <v>2181</v>
      </c>
      <c r="D738" s="399" t="e">
        <f t="shared" ca="1" si="118"/>
        <v>#NAME?</v>
      </c>
      <c r="E738" s="399" t="str">
        <f t="shared" si="119"/>
        <v>Syphilis</v>
      </c>
      <c r="F738" s="399" t="str">
        <f t="shared" si="128"/>
        <v>Input Option</v>
      </c>
      <c r="G738" s="400">
        <f t="shared" si="129"/>
        <v>15</v>
      </c>
      <c r="H738" s="399" t="str">
        <f t="shared" si="130"/>
        <v>STI Treatment recommendation</v>
      </c>
      <c r="I738" s="400"/>
      <c r="J738" s="400"/>
      <c r="K738" s="402" t="s">
        <v>9140</v>
      </c>
      <c r="L738" s="402" t="s">
        <v>7244</v>
      </c>
      <c r="M738" s="400"/>
      <c r="N738" s="639" t="s">
        <v>9141</v>
      </c>
      <c r="O738" s="414" t="s">
        <v>9148</v>
      </c>
      <c r="P738" s="414"/>
      <c r="Q738" s="431"/>
      <c r="R738" s="431"/>
      <c r="S738" s="431"/>
      <c r="T738" s="414"/>
      <c r="U738" s="414"/>
      <c r="V738" s="414" t="s">
        <v>2057</v>
      </c>
      <c r="W738" s="404"/>
      <c r="X738" s="414" t="s">
        <v>208</v>
      </c>
      <c r="Y738" s="414"/>
      <c r="Z738" s="414" t="s">
        <v>113</v>
      </c>
      <c r="AA738" s="414" t="s">
        <v>1889</v>
      </c>
      <c r="AB738" s="425"/>
      <c r="AC738" s="414"/>
      <c r="AD738" s="404" t="s">
        <v>3215</v>
      </c>
      <c r="AE738" s="425"/>
      <c r="AF738" s="414"/>
      <c r="AG738" s="414"/>
      <c r="AH738" s="399"/>
      <c r="AI738" s="400"/>
      <c r="AJ738" s="399" t="s">
        <v>1787</v>
      </c>
      <c r="AK738" s="399"/>
      <c r="AL738" s="409"/>
      <c r="AM738" s="409"/>
      <c r="AN738" s="409"/>
      <c r="AO738" s="399" t="s">
        <v>1787</v>
      </c>
      <c r="AP738" s="399"/>
      <c r="AQ738" s="409" t="s">
        <v>3130</v>
      </c>
      <c r="AR738" s="399"/>
      <c r="AS738" s="399"/>
      <c r="AT738" s="399"/>
      <c r="AU738" s="399"/>
      <c r="AV738" s="399" t="str">
        <f t="shared" si="123"/>
        <v/>
      </c>
      <c r="AW738" s="399"/>
      <c r="AX738" s="409" t="s">
        <v>5194</v>
      </c>
      <c r="AY738" s="399" t="e">
        <f t="shared" ca="1" si="124"/>
        <v>#NAME?</v>
      </c>
      <c r="AZ738" s="399"/>
      <c r="BA738" s="409" t="s">
        <v>3125</v>
      </c>
      <c r="BB738" s="399"/>
      <c r="BC738" s="399" t="s">
        <v>1787</v>
      </c>
      <c r="BD738" s="409" t="s">
        <v>9147</v>
      </c>
      <c r="BE738" s="411"/>
      <c r="BF738" s="411" t="s">
        <v>1787</v>
      </c>
      <c r="BG738" s="434" t="s">
        <v>8438</v>
      </c>
      <c r="BH738" s="411"/>
      <c r="BI738" s="411"/>
      <c r="BJ738" s="399" t="s">
        <v>1787</v>
      </c>
      <c r="BK738" s="399" t="s">
        <v>1787</v>
      </c>
      <c r="BL738" s="399"/>
      <c r="BM738" s="399" t="s">
        <v>1787</v>
      </c>
      <c r="BN738" s="399" t="s">
        <v>1787</v>
      </c>
      <c r="BO738" s="399" t="s">
        <v>1787</v>
      </c>
      <c r="BP738" s="399" t="s">
        <v>1787</v>
      </c>
      <c r="BQ738" s="399" t="s">
        <v>1787</v>
      </c>
      <c r="BR738" s="399" t="s">
        <v>1787</v>
      </c>
      <c r="BS738" s="407"/>
      <c r="BT738" s="407"/>
      <c r="BU738" s="412"/>
      <c r="BV738" s="46" t="str">
        <f t="shared" si="8"/>
        <v/>
      </c>
      <c r="BW738" s="46">
        <f t="shared" si="9"/>
        <v>0</v>
      </c>
      <c r="BX738" s="46">
        <f t="shared" si="10"/>
        <v>0</v>
      </c>
      <c r="BY738" s="43" t="str">
        <f t="shared" si="11"/>
        <v>WHO-STI CarePlan (Recommendation)</v>
      </c>
      <c r="BZ738" s="46">
        <f t="shared" si="12"/>
        <v>1</v>
      </c>
      <c r="CA738" s="46" t="str">
        <f t="shared" si="13"/>
        <v/>
      </c>
      <c r="CB738" s="46">
        <f t="shared" si="14"/>
        <v>1</v>
      </c>
      <c r="CC738" s="46">
        <f t="shared" si="15"/>
        <v>1</v>
      </c>
      <c r="CD738" s="46">
        <f t="shared" si="16"/>
        <v>1</v>
      </c>
      <c r="CE738" s="46">
        <f t="shared" si="17"/>
        <v>0</v>
      </c>
      <c r="CF738" s="46">
        <f t="shared" si="18"/>
        <v>0</v>
      </c>
      <c r="CG738" s="46" t="str">
        <f ca="1">IFERROR(__xludf.DUMMYFUNCTION("if(OR(BH738="""",LEFT(BH738,2)=""LA""),"""",IMPORTXML(CONCATENATE(""https://loinc.org/"",BH738,""/""),""//span[@id='lcn']""))"),"")</f>
        <v/>
      </c>
      <c r="CH738" s="46"/>
      <c r="CI738" s="46"/>
      <c r="CJ738" s="46"/>
      <c r="CK738" s="46"/>
      <c r="CL738" s="46"/>
      <c r="CM738" s="46"/>
      <c r="CN738" s="46"/>
      <c r="CO738" s="46"/>
      <c r="CP738" s="46"/>
      <c r="CQ738" s="46"/>
      <c r="CR738" s="46"/>
      <c r="CS738" s="46"/>
      <c r="CT738" s="46"/>
      <c r="CU738" s="46"/>
    </row>
    <row r="739" spans="1:99" ht="12.75" customHeight="1">
      <c r="A739" s="409">
        <v>2182</v>
      </c>
      <c r="B739" s="399" t="s">
        <v>9149</v>
      </c>
      <c r="C739" s="399">
        <f t="shared" si="117"/>
        <v>2182</v>
      </c>
      <c r="D739" s="399" t="e">
        <f t="shared" ca="1" si="118"/>
        <v>#NAME?</v>
      </c>
      <c r="E739" s="399" t="str">
        <f t="shared" si="119"/>
        <v>Herpes simplex virus</v>
      </c>
      <c r="F739" s="399" t="str">
        <f t="shared" si="128"/>
        <v>Input Option</v>
      </c>
      <c r="G739" s="400">
        <f t="shared" si="129"/>
        <v>27</v>
      </c>
      <c r="H739" s="399" t="str">
        <f t="shared" si="130"/>
        <v>STI Treatment recommendation</v>
      </c>
      <c r="I739" s="400"/>
      <c r="J739" s="400"/>
      <c r="K739" s="402" t="s">
        <v>9140</v>
      </c>
      <c r="L739" s="402" t="s">
        <v>7244</v>
      </c>
      <c r="M739" s="400"/>
      <c r="N739" s="639" t="s">
        <v>9141</v>
      </c>
      <c r="O739" s="431" t="s">
        <v>6303</v>
      </c>
      <c r="P739" s="431"/>
      <c r="Q739" s="414"/>
      <c r="R739" s="414" t="s">
        <v>6304</v>
      </c>
      <c r="S739" s="414"/>
      <c r="T739" s="414"/>
      <c r="U739" s="414"/>
      <c r="V739" s="429" t="s">
        <v>9150</v>
      </c>
      <c r="W739" s="404"/>
      <c r="X739" s="414" t="s">
        <v>208</v>
      </c>
      <c r="Y739" s="414"/>
      <c r="Z739" s="414" t="s">
        <v>113</v>
      </c>
      <c r="AA739" s="414" t="s">
        <v>1889</v>
      </c>
      <c r="AB739" s="425"/>
      <c r="AC739" s="414"/>
      <c r="AD739" s="404" t="s">
        <v>3215</v>
      </c>
      <c r="AE739" s="425"/>
      <c r="AF739" s="414"/>
      <c r="AG739" s="414"/>
      <c r="AH739" s="399"/>
      <c r="AI739" s="400"/>
      <c r="AJ739" s="399" t="s">
        <v>1787</v>
      </c>
      <c r="AK739" s="399"/>
      <c r="AL739" s="409"/>
      <c r="AM739" s="409"/>
      <c r="AN739" s="409"/>
      <c r="AO739" s="399" t="s">
        <v>1787</v>
      </c>
      <c r="AP739" s="399"/>
      <c r="AQ739" s="409" t="s">
        <v>3130</v>
      </c>
      <c r="AR739" s="399"/>
      <c r="AS739" s="399"/>
      <c r="AT739" s="399"/>
      <c r="AU739" s="399"/>
      <c r="AV739" s="399" t="str">
        <f t="shared" si="123"/>
        <v/>
      </c>
      <c r="AW739" s="399"/>
      <c r="AX739" s="409" t="s">
        <v>5194</v>
      </c>
      <c r="AY739" s="399" t="e">
        <f t="shared" ca="1" si="124"/>
        <v>#NAME?</v>
      </c>
      <c r="AZ739" s="399"/>
      <c r="BA739" s="409" t="s">
        <v>3125</v>
      </c>
      <c r="BB739" s="399"/>
      <c r="BC739" s="399" t="s">
        <v>1787</v>
      </c>
      <c r="BD739" s="409" t="s">
        <v>3162</v>
      </c>
      <c r="BE739" s="411"/>
      <c r="BF739" s="411" t="s">
        <v>1787</v>
      </c>
      <c r="BG739" s="434" t="s">
        <v>9151</v>
      </c>
      <c r="BH739" s="411"/>
      <c r="BI739" s="411"/>
      <c r="BJ739" s="399" t="s">
        <v>1787</v>
      </c>
      <c r="BK739" s="399" t="s">
        <v>1787</v>
      </c>
      <c r="BL739" s="399"/>
      <c r="BM739" s="399" t="s">
        <v>1787</v>
      </c>
      <c r="BN739" s="399" t="s">
        <v>1787</v>
      </c>
      <c r="BO739" s="399" t="s">
        <v>1787</v>
      </c>
      <c r="BP739" s="399" t="s">
        <v>1787</v>
      </c>
      <c r="BQ739" s="399" t="s">
        <v>1787</v>
      </c>
      <c r="BR739" s="399" t="s">
        <v>1787</v>
      </c>
      <c r="BS739" s="407"/>
      <c r="BT739" s="407"/>
      <c r="BU739" s="412"/>
      <c r="BV739" s="46" t="str">
        <f t="shared" si="8"/>
        <v/>
      </c>
      <c r="BW739" s="46">
        <f t="shared" si="9"/>
        <v>0</v>
      </c>
      <c r="BX739" s="46">
        <f t="shared" si="10"/>
        <v>0</v>
      </c>
      <c r="BY739" s="43" t="str">
        <f t="shared" si="11"/>
        <v>WHO-STI CarePlan (Recommendation)</v>
      </c>
      <c r="BZ739" s="46">
        <f t="shared" si="12"/>
        <v>1</v>
      </c>
      <c r="CA739" s="46" t="str">
        <f t="shared" si="13"/>
        <v/>
      </c>
      <c r="CB739" s="46">
        <f t="shared" si="14"/>
        <v>1</v>
      </c>
      <c r="CC739" s="46">
        <f t="shared" si="15"/>
        <v>1</v>
      </c>
      <c r="CD739" s="46">
        <f t="shared" si="16"/>
        <v>1</v>
      </c>
      <c r="CE739" s="46">
        <f t="shared" si="17"/>
        <v>0</v>
      </c>
      <c r="CF739" s="46">
        <f t="shared" si="18"/>
        <v>0</v>
      </c>
      <c r="CG739" s="46" t="str">
        <f ca="1">IFERROR(__xludf.DUMMYFUNCTION("if(OR(BH739="""",LEFT(BH739,2)=""LA""),"""",IMPORTXML(CONCATENATE(""https://loinc.org/"",BH739,""/""),""//span[@id='lcn']""))"),"")</f>
        <v/>
      </c>
      <c r="CH739" s="46"/>
      <c r="CI739" s="46"/>
      <c r="CJ739" s="46"/>
      <c r="CK739" s="46"/>
      <c r="CL739" s="46"/>
      <c r="CM739" s="46"/>
      <c r="CN739" s="46"/>
      <c r="CO739" s="46"/>
      <c r="CP739" s="46"/>
      <c r="CQ739" s="46"/>
      <c r="CR739" s="46"/>
      <c r="CS739" s="46"/>
      <c r="CT739" s="46"/>
      <c r="CU739" s="46"/>
    </row>
    <row r="740" spans="1:99" ht="12.75" customHeight="1">
      <c r="A740" s="409">
        <v>2183</v>
      </c>
      <c r="B740" s="399" t="s">
        <v>9152</v>
      </c>
      <c r="C740" s="399">
        <f t="shared" si="117"/>
        <v>2183</v>
      </c>
      <c r="D740" s="399" t="e">
        <f t="shared" ca="1" si="118"/>
        <v>#NAME?</v>
      </c>
      <c r="E740" s="399" t="str">
        <f t="shared" si="119"/>
        <v>Herpes simplex virus type 2</v>
      </c>
      <c r="F740" s="399" t="str">
        <f t="shared" si="128"/>
        <v>Input Option</v>
      </c>
      <c r="G740" s="400">
        <f t="shared" si="129"/>
        <v>34</v>
      </c>
      <c r="H740" s="399" t="str">
        <f t="shared" si="130"/>
        <v>STI Treatment recommendation</v>
      </c>
      <c r="I740" s="400"/>
      <c r="J740" s="400"/>
      <c r="K740" s="402" t="s">
        <v>9140</v>
      </c>
      <c r="L740" s="402" t="s">
        <v>7244</v>
      </c>
      <c r="M740" s="400"/>
      <c r="N740" s="639" t="s">
        <v>9141</v>
      </c>
      <c r="O740" s="414" t="s">
        <v>9153</v>
      </c>
      <c r="P740" s="414"/>
      <c r="Q740" s="414"/>
      <c r="R740" s="414"/>
      <c r="S740" s="414"/>
      <c r="T740" s="414"/>
      <c r="U740" s="414"/>
      <c r="V740" s="750" t="s">
        <v>9154</v>
      </c>
      <c r="W740" s="407"/>
      <c r="X740" s="414"/>
      <c r="Y740" s="414"/>
      <c r="Z740" s="414" t="s">
        <v>113</v>
      </c>
      <c r="AA740" s="414" t="s">
        <v>1889</v>
      </c>
      <c r="AB740" s="425"/>
      <c r="AC740" s="414"/>
      <c r="AD740" s="414"/>
      <c r="AE740" s="425"/>
      <c r="AF740" s="414"/>
      <c r="AG740" s="414"/>
      <c r="AH740" s="399"/>
      <c r="AI740" s="400"/>
      <c r="AJ740" s="399" t="s">
        <v>1787</v>
      </c>
      <c r="AK740" s="399"/>
      <c r="AL740" s="409"/>
      <c r="AM740" s="409"/>
      <c r="AN740" s="409"/>
      <c r="AO740" s="399" t="s">
        <v>1787</v>
      </c>
      <c r="AP740" s="399"/>
      <c r="AQ740" s="409" t="s">
        <v>3130</v>
      </c>
      <c r="AR740" s="399"/>
      <c r="AS740" s="399"/>
      <c r="AT740" s="399"/>
      <c r="AU740" s="399"/>
      <c r="AV740" s="399" t="str">
        <f t="shared" si="123"/>
        <v/>
      </c>
      <c r="AW740" s="399"/>
      <c r="AX740" s="409" t="s">
        <v>5194</v>
      </c>
      <c r="AY740" s="399" t="e">
        <f t="shared" ca="1" si="124"/>
        <v>#NAME?</v>
      </c>
      <c r="AZ740" s="399"/>
      <c r="BA740" s="409" t="s">
        <v>3125</v>
      </c>
      <c r="BB740" s="399"/>
      <c r="BC740" s="399" t="s">
        <v>1787</v>
      </c>
      <c r="BD740" s="409" t="s">
        <v>3162</v>
      </c>
      <c r="BE740" s="411"/>
      <c r="BF740" s="411" t="s">
        <v>1787</v>
      </c>
      <c r="BG740" s="434" t="s">
        <v>9155</v>
      </c>
      <c r="BH740" s="411"/>
      <c r="BI740" s="411"/>
      <c r="BJ740" s="399" t="s">
        <v>1787</v>
      </c>
      <c r="BK740" s="399" t="s">
        <v>1787</v>
      </c>
      <c r="BL740" s="399"/>
      <c r="BM740" s="399" t="s">
        <v>1787</v>
      </c>
      <c r="BN740" s="399" t="s">
        <v>1787</v>
      </c>
      <c r="BO740" s="399" t="s">
        <v>1787</v>
      </c>
      <c r="BP740" s="399" t="s">
        <v>1787</v>
      </c>
      <c r="BQ740" s="399" t="s">
        <v>1787</v>
      </c>
      <c r="BR740" s="399" t="s">
        <v>1787</v>
      </c>
      <c r="BS740" s="407"/>
      <c r="BT740" s="407"/>
      <c r="BU740" s="412"/>
      <c r="BV740" s="46" t="str">
        <f t="shared" si="8"/>
        <v/>
      </c>
      <c r="BW740" s="46">
        <f t="shared" si="9"/>
        <v>0</v>
      </c>
      <c r="BX740" s="46">
        <f t="shared" si="10"/>
        <v>0</v>
      </c>
      <c r="BY740" s="43" t="str">
        <f t="shared" si="11"/>
        <v>WHO-STI CarePlan (Recommendation)</v>
      </c>
      <c r="BZ740" s="46">
        <f t="shared" si="12"/>
        <v>1</v>
      </c>
      <c r="CA740" s="46" t="str">
        <f t="shared" si="13"/>
        <v/>
      </c>
      <c r="CB740" s="46">
        <f t="shared" si="14"/>
        <v>1</v>
      </c>
      <c r="CC740" s="46">
        <f t="shared" si="15"/>
        <v>1</v>
      </c>
      <c r="CD740" s="46">
        <f t="shared" si="16"/>
        <v>1</v>
      </c>
      <c r="CE740" s="46">
        <f t="shared" si="17"/>
        <v>0</v>
      </c>
      <c r="CF740" s="46">
        <f t="shared" si="18"/>
        <v>0</v>
      </c>
      <c r="CG740" s="46" t="str">
        <f ca="1">IFERROR(__xludf.DUMMYFUNCTION("if(OR(BH740="""",LEFT(BH740,2)=""LA""),"""",IMPORTXML(CONCATENATE(""https://loinc.org/"",BH740,""/""),""//span[@id='lcn']""))"),"")</f>
        <v/>
      </c>
      <c r="CH740" s="46"/>
      <c r="CI740" s="46"/>
      <c r="CJ740" s="46"/>
      <c r="CK740" s="46"/>
      <c r="CL740" s="46"/>
      <c r="CM740" s="46"/>
      <c r="CN740" s="46"/>
      <c r="CO740" s="46"/>
      <c r="CP740" s="46"/>
      <c r="CQ740" s="46"/>
      <c r="CR740" s="46"/>
      <c r="CS740" s="46"/>
      <c r="CT740" s="46"/>
      <c r="CU740" s="46"/>
    </row>
    <row r="741" spans="1:99" ht="12.75" customHeight="1">
      <c r="A741" s="409">
        <v>2184</v>
      </c>
      <c r="B741" s="399" t="s">
        <v>8464</v>
      </c>
      <c r="C741" s="399">
        <f t="shared" si="117"/>
        <v>2184</v>
      </c>
      <c r="D741" s="399" t="e">
        <f t="shared" ca="1" si="118"/>
        <v>#NAME?</v>
      </c>
      <c r="E741" s="399" t="str">
        <f t="shared" si="119"/>
        <v>Gonorrhea</v>
      </c>
      <c r="F741" s="399" t="str">
        <f t="shared" si="128"/>
        <v>Input Option</v>
      </c>
      <c r="G741" s="400">
        <f t="shared" si="129"/>
        <v>16</v>
      </c>
      <c r="H741" s="399" t="str">
        <f t="shared" si="130"/>
        <v>STI Treatment recommendation</v>
      </c>
      <c r="I741" s="400"/>
      <c r="J741" s="400"/>
      <c r="K741" s="402" t="s">
        <v>9140</v>
      </c>
      <c r="L741" s="402" t="s">
        <v>7244</v>
      </c>
      <c r="M741" s="400"/>
      <c r="N741" s="639" t="s">
        <v>9141</v>
      </c>
      <c r="O741" s="431" t="s">
        <v>6310</v>
      </c>
      <c r="P741" s="431"/>
      <c r="Q741" s="414"/>
      <c r="R741" s="431"/>
      <c r="S741" s="431"/>
      <c r="T741" s="414"/>
      <c r="U741" s="414"/>
      <c r="V741" s="414" t="s">
        <v>6309</v>
      </c>
      <c r="W741" s="404"/>
      <c r="X741" s="414" t="s">
        <v>208</v>
      </c>
      <c r="Y741" s="414"/>
      <c r="Z741" s="414" t="s">
        <v>113</v>
      </c>
      <c r="AA741" s="414" t="s">
        <v>1889</v>
      </c>
      <c r="AB741" s="425"/>
      <c r="AC741" s="414"/>
      <c r="AD741" s="404" t="s">
        <v>3215</v>
      </c>
      <c r="AE741" s="425"/>
      <c r="AF741" s="414"/>
      <c r="AG741" s="414"/>
      <c r="AH741" s="399"/>
      <c r="AI741" s="400"/>
      <c r="AJ741" s="399" t="s">
        <v>1787</v>
      </c>
      <c r="AK741" s="399"/>
      <c r="AL741" s="409"/>
      <c r="AM741" s="409"/>
      <c r="AN741" s="409"/>
      <c r="AO741" s="399" t="s">
        <v>1787</v>
      </c>
      <c r="AP741" s="399"/>
      <c r="AQ741" s="409" t="s">
        <v>3130</v>
      </c>
      <c r="AR741" s="399"/>
      <c r="AS741" s="399"/>
      <c r="AT741" s="399"/>
      <c r="AU741" s="399"/>
      <c r="AV741" s="399" t="str">
        <f t="shared" si="123"/>
        <v/>
      </c>
      <c r="AW741" s="399"/>
      <c r="AX741" s="409" t="s">
        <v>5194</v>
      </c>
      <c r="AY741" s="399" t="e">
        <f t="shared" ca="1" si="124"/>
        <v>#NAME?</v>
      </c>
      <c r="AZ741" s="399"/>
      <c r="BA741" s="409" t="s">
        <v>3125</v>
      </c>
      <c r="BB741" s="399"/>
      <c r="BC741" s="399" t="s">
        <v>1787</v>
      </c>
      <c r="BD741" s="409" t="s">
        <v>9147</v>
      </c>
      <c r="BE741" s="411"/>
      <c r="BF741" s="411" t="s">
        <v>1787</v>
      </c>
      <c r="BG741" s="434" t="s">
        <v>5210</v>
      </c>
      <c r="BH741" s="411"/>
      <c r="BI741" s="411"/>
      <c r="BJ741" s="399" t="s">
        <v>1787</v>
      </c>
      <c r="BK741" s="399" t="s">
        <v>1787</v>
      </c>
      <c r="BL741" s="399"/>
      <c r="BM741" s="399" t="s">
        <v>1787</v>
      </c>
      <c r="BN741" s="399" t="s">
        <v>1787</v>
      </c>
      <c r="BO741" s="399" t="s">
        <v>1787</v>
      </c>
      <c r="BP741" s="399" t="s">
        <v>1787</v>
      </c>
      <c r="BQ741" s="399" t="s">
        <v>1787</v>
      </c>
      <c r="BR741" s="399" t="s">
        <v>1787</v>
      </c>
      <c r="BS741" s="407"/>
      <c r="BT741" s="407"/>
      <c r="BU741" s="412"/>
      <c r="BV741" s="46" t="str">
        <f t="shared" si="8"/>
        <v/>
      </c>
      <c r="BW741" s="46">
        <f t="shared" si="9"/>
        <v>0</v>
      </c>
      <c r="BX741" s="46">
        <f t="shared" si="10"/>
        <v>0</v>
      </c>
      <c r="BY741" s="43" t="str">
        <f t="shared" si="11"/>
        <v>WHO-STI CarePlan (Recommendation)</v>
      </c>
      <c r="BZ741" s="46">
        <f t="shared" si="12"/>
        <v>1</v>
      </c>
      <c r="CA741" s="46" t="str">
        <f t="shared" si="13"/>
        <v/>
      </c>
      <c r="CB741" s="46">
        <f t="shared" si="14"/>
        <v>1</v>
      </c>
      <c r="CC741" s="46">
        <f t="shared" si="15"/>
        <v>1</v>
      </c>
      <c r="CD741" s="46">
        <f t="shared" si="16"/>
        <v>1</v>
      </c>
      <c r="CE741" s="46">
        <f t="shared" si="17"/>
        <v>0</v>
      </c>
      <c r="CF741" s="46">
        <f t="shared" si="18"/>
        <v>0</v>
      </c>
      <c r="CG741" s="46" t="str">
        <f ca="1">IFERROR(__xludf.DUMMYFUNCTION("if(OR(BH741="""",LEFT(BH741,2)=""LA""),"""",IMPORTXML(CONCATENATE(""https://loinc.org/"",BH741,""/""),""//span[@id='lcn']""))"),"")</f>
        <v/>
      </c>
      <c r="CH741" s="46"/>
      <c r="CI741" s="46"/>
      <c r="CJ741" s="46"/>
      <c r="CK741" s="46"/>
      <c r="CL741" s="46"/>
      <c r="CM741" s="46"/>
      <c r="CN741" s="46"/>
      <c r="CO741" s="46"/>
      <c r="CP741" s="46"/>
      <c r="CQ741" s="46"/>
      <c r="CR741" s="46"/>
      <c r="CS741" s="46"/>
      <c r="CT741" s="46"/>
      <c r="CU741" s="46"/>
    </row>
    <row r="742" spans="1:99" ht="12.75" customHeight="1">
      <c r="A742" s="409">
        <v>2185</v>
      </c>
      <c r="B742" s="399" t="s">
        <v>8482</v>
      </c>
      <c r="C742" s="399">
        <f t="shared" si="117"/>
        <v>2185</v>
      </c>
      <c r="D742" s="399" t="e">
        <f t="shared" ca="1" si="118"/>
        <v>#NAME?</v>
      </c>
      <c r="E742" s="399" t="str">
        <f t="shared" si="119"/>
        <v xml:space="preserve">Gonococcal </v>
      </c>
      <c r="F742" s="399" t="str">
        <f t="shared" si="128"/>
        <v>Input Option</v>
      </c>
      <c r="G742" s="400">
        <f t="shared" si="129"/>
        <v>18</v>
      </c>
      <c r="H742" s="399" t="str">
        <f t="shared" si="130"/>
        <v>STI Treatment recommendation</v>
      </c>
      <c r="I742" s="400"/>
      <c r="J742" s="400"/>
      <c r="K742" s="402" t="s">
        <v>9140</v>
      </c>
      <c r="L742" s="402" t="s">
        <v>7244</v>
      </c>
      <c r="M742" s="400"/>
      <c r="N742" s="639" t="s">
        <v>9141</v>
      </c>
      <c r="O742" s="404" t="s">
        <v>8485</v>
      </c>
      <c r="P742" s="404"/>
      <c r="Q742" s="414"/>
      <c r="R742" s="414"/>
      <c r="S742" s="414"/>
      <c r="T742" s="414"/>
      <c r="U742" s="414"/>
      <c r="V742" s="414" t="s">
        <v>8488</v>
      </c>
      <c r="W742" s="404"/>
      <c r="X742" s="414" t="s">
        <v>208</v>
      </c>
      <c r="Y742" s="414"/>
      <c r="Z742" s="414" t="s">
        <v>113</v>
      </c>
      <c r="AA742" s="414" t="s">
        <v>1889</v>
      </c>
      <c r="AB742" s="425"/>
      <c r="AC742" s="414"/>
      <c r="AD742" s="414"/>
      <c r="AE742" s="425"/>
      <c r="AF742" s="414"/>
      <c r="AG742" s="414"/>
      <c r="AH742" s="399"/>
      <c r="AI742" s="400"/>
      <c r="AJ742" s="399" t="s">
        <v>1787</v>
      </c>
      <c r="AK742" s="399"/>
      <c r="AL742" s="409"/>
      <c r="AM742" s="409"/>
      <c r="AN742" s="409"/>
      <c r="AO742" s="399" t="s">
        <v>1787</v>
      </c>
      <c r="AP742" s="399"/>
      <c r="AQ742" s="409" t="s">
        <v>3130</v>
      </c>
      <c r="AR742" s="399"/>
      <c r="AS742" s="399"/>
      <c r="AT742" s="399"/>
      <c r="AU742" s="399"/>
      <c r="AV742" s="399" t="str">
        <f t="shared" si="123"/>
        <v/>
      </c>
      <c r="AW742" s="399"/>
      <c r="AX742" s="409" t="s">
        <v>5194</v>
      </c>
      <c r="AY742" s="399" t="e">
        <f t="shared" ca="1" si="124"/>
        <v>#NAME?</v>
      </c>
      <c r="AZ742" s="399"/>
      <c r="BA742" s="409" t="s">
        <v>3125</v>
      </c>
      <c r="BB742" s="399"/>
      <c r="BC742" s="399" t="s">
        <v>1787</v>
      </c>
      <c r="BD742" s="409" t="s">
        <v>9147</v>
      </c>
      <c r="BE742" s="411"/>
      <c r="BF742" s="411" t="s">
        <v>1787</v>
      </c>
      <c r="BG742" s="434" t="s">
        <v>8494</v>
      </c>
      <c r="BH742" s="411"/>
      <c r="BI742" s="411"/>
      <c r="BJ742" s="399" t="s">
        <v>1787</v>
      </c>
      <c r="BK742" s="399" t="s">
        <v>1787</v>
      </c>
      <c r="BL742" s="399"/>
      <c r="BM742" s="399" t="s">
        <v>1787</v>
      </c>
      <c r="BN742" s="399" t="s">
        <v>1787</v>
      </c>
      <c r="BO742" s="399" t="s">
        <v>1787</v>
      </c>
      <c r="BP742" s="399" t="s">
        <v>1787</v>
      </c>
      <c r="BQ742" s="399" t="s">
        <v>1787</v>
      </c>
      <c r="BR742" s="399" t="s">
        <v>1787</v>
      </c>
      <c r="BS742" s="407"/>
      <c r="BT742" s="407"/>
      <c r="BU742" s="412"/>
      <c r="BV742" s="46" t="str">
        <f t="shared" si="8"/>
        <v/>
      </c>
      <c r="BW742" s="46">
        <f t="shared" si="9"/>
        <v>0</v>
      </c>
      <c r="BX742" s="46">
        <f t="shared" si="10"/>
        <v>0</v>
      </c>
      <c r="BY742" s="43" t="str">
        <f t="shared" si="11"/>
        <v>WHO-STI CarePlan (Recommendation)</v>
      </c>
      <c r="BZ742" s="46">
        <f t="shared" si="12"/>
        <v>1</v>
      </c>
      <c r="CA742" s="46" t="str">
        <f t="shared" si="13"/>
        <v/>
      </c>
      <c r="CB742" s="46">
        <f t="shared" si="14"/>
        <v>1</v>
      </c>
      <c r="CC742" s="46">
        <f t="shared" si="15"/>
        <v>1</v>
      </c>
      <c r="CD742" s="46">
        <f t="shared" si="16"/>
        <v>1</v>
      </c>
      <c r="CE742" s="46">
        <f t="shared" si="17"/>
        <v>0</v>
      </c>
      <c r="CF742" s="46">
        <f t="shared" si="18"/>
        <v>0</v>
      </c>
      <c r="CG742" s="46" t="str">
        <f ca="1">IFERROR(__xludf.DUMMYFUNCTION("if(OR(BH742="""",LEFT(BH742,2)=""LA""),"""",IMPORTXML(CONCATENATE(""https://loinc.org/"",BH742,""/""),""//span[@id='lcn']""))"),"")</f>
        <v/>
      </c>
      <c r="CH742" s="46"/>
      <c r="CI742" s="46"/>
      <c r="CJ742" s="46"/>
      <c r="CK742" s="46"/>
      <c r="CL742" s="46"/>
      <c r="CM742" s="46"/>
      <c r="CN742" s="46"/>
      <c r="CO742" s="46"/>
      <c r="CP742" s="46"/>
      <c r="CQ742" s="46"/>
      <c r="CR742" s="46"/>
      <c r="CS742" s="46"/>
      <c r="CT742" s="46"/>
      <c r="CU742" s="46"/>
    </row>
    <row r="743" spans="1:99" ht="12.75" customHeight="1">
      <c r="A743" s="409">
        <v>2186</v>
      </c>
      <c r="B743" s="399" t="s">
        <v>9156</v>
      </c>
      <c r="C743" s="399">
        <f t="shared" si="117"/>
        <v>2186</v>
      </c>
      <c r="D743" s="399" t="e">
        <f t="shared" ca="1" si="118"/>
        <v>#NAME?</v>
      </c>
      <c r="E743" s="399" t="str">
        <f t="shared" si="119"/>
        <v>Candida albicans</v>
      </c>
      <c r="F743" s="399" t="str">
        <f t="shared" si="128"/>
        <v>Input Option</v>
      </c>
      <c r="G743" s="400">
        <f t="shared" si="129"/>
        <v>23</v>
      </c>
      <c r="H743" s="399" t="str">
        <f t="shared" si="130"/>
        <v>STI Treatment recommendation</v>
      </c>
      <c r="I743" s="400"/>
      <c r="J743" s="400"/>
      <c r="K743" s="402" t="s">
        <v>9140</v>
      </c>
      <c r="L743" s="402" t="s">
        <v>7244</v>
      </c>
      <c r="M743" s="400"/>
      <c r="N743" s="639" t="s">
        <v>9141</v>
      </c>
      <c r="O743" s="404" t="s">
        <v>6313</v>
      </c>
      <c r="P743" s="404"/>
      <c r="Q743" s="414"/>
      <c r="R743" s="414"/>
      <c r="S743" s="414"/>
      <c r="T743" s="414"/>
      <c r="U743" s="414"/>
      <c r="V743" s="750" t="s">
        <v>6314</v>
      </c>
      <c r="W743" s="404"/>
      <c r="X743" s="414" t="s">
        <v>208</v>
      </c>
      <c r="Y743" s="414"/>
      <c r="Z743" s="414" t="s">
        <v>113</v>
      </c>
      <c r="AA743" s="414" t="s">
        <v>1889</v>
      </c>
      <c r="AB743" s="425"/>
      <c r="AC743" s="414"/>
      <c r="AD743" s="414"/>
      <c r="AE743" s="425"/>
      <c r="AF743" s="414"/>
      <c r="AG743" s="414"/>
      <c r="AH743" s="399"/>
      <c r="AI743" s="400"/>
      <c r="AJ743" s="399" t="s">
        <v>1787</v>
      </c>
      <c r="AK743" s="399"/>
      <c r="AL743" s="409"/>
      <c r="AM743" s="409"/>
      <c r="AN743" s="409"/>
      <c r="AO743" s="399" t="s">
        <v>1787</v>
      </c>
      <c r="AP743" s="399"/>
      <c r="AQ743" s="409" t="s">
        <v>3130</v>
      </c>
      <c r="AR743" s="399"/>
      <c r="AS743" s="399"/>
      <c r="AT743" s="399"/>
      <c r="AU743" s="399"/>
      <c r="AV743" s="399" t="str">
        <f t="shared" si="123"/>
        <v/>
      </c>
      <c r="AW743" s="399"/>
      <c r="AX743" s="409" t="s">
        <v>5194</v>
      </c>
      <c r="AY743" s="399" t="e">
        <f t="shared" ca="1" si="124"/>
        <v>#NAME?</v>
      </c>
      <c r="AZ743" s="399"/>
      <c r="BA743" s="409" t="s">
        <v>3125</v>
      </c>
      <c r="BB743" s="399"/>
      <c r="BC743" s="399" t="s">
        <v>1787</v>
      </c>
      <c r="BD743" s="409" t="s">
        <v>3162</v>
      </c>
      <c r="BE743" s="411"/>
      <c r="BF743" s="411" t="s">
        <v>1787</v>
      </c>
      <c r="BG743" s="434" t="s">
        <v>9157</v>
      </c>
      <c r="BH743" s="411"/>
      <c r="BI743" s="411"/>
      <c r="BJ743" s="399" t="s">
        <v>1787</v>
      </c>
      <c r="BK743" s="399" t="s">
        <v>1787</v>
      </c>
      <c r="BL743" s="399"/>
      <c r="BM743" s="399" t="s">
        <v>1787</v>
      </c>
      <c r="BN743" s="399" t="s">
        <v>1787</v>
      </c>
      <c r="BO743" s="399" t="s">
        <v>1787</v>
      </c>
      <c r="BP743" s="399" t="s">
        <v>1787</v>
      </c>
      <c r="BQ743" s="399" t="s">
        <v>1787</v>
      </c>
      <c r="BR743" s="399" t="s">
        <v>1787</v>
      </c>
      <c r="BS743" s="407"/>
      <c r="BT743" s="407"/>
      <c r="BU743" s="412"/>
      <c r="BV743" s="46" t="str">
        <f t="shared" si="8"/>
        <v/>
      </c>
      <c r="BW743" s="46">
        <f t="shared" si="9"/>
        <v>0</v>
      </c>
      <c r="BX743" s="46">
        <f t="shared" si="10"/>
        <v>0</v>
      </c>
      <c r="BY743" s="43" t="str">
        <f t="shared" si="11"/>
        <v>WHO-STI CarePlan (Recommendation)</v>
      </c>
      <c r="BZ743" s="46">
        <f t="shared" si="12"/>
        <v>1</v>
      </c>
      <c r="CA743" s="46" t="str">
        <f t="shared" si="13"/>
        <v/>
      </c>
      <c r="CB743" s="46">
        <f t="shared" si="14"/>
        <v>1</v>
      </c>
      <c r="CC743" s="46">
        <f t="shared" si="15"/>
        <v>1</v>
      </c>
      <c r="CD743" s="46">
        <f t="shared" si="16"/>
        <v>1</v>
      </c>
      <c r="CE743" s="46">
        <f t="shared" si="17"/>
        <v>0</v>
      </c>
      <c r="CF743" s="46">
        <f t="shared" si="18"/>
        <v>0</v>
      </c>
      <c r="CG743" s="46" t="str">
        <f ca="1">IFERROR(__xludf.DUMMYFUNCTION("if(OR(BH743="""",LEFT(BH743,2)=""LA""),"""",IMPORTXML(CONCATENATE(""https://loinc.org/"",BH743,""/""),""//span[@id='lcn']""))"),"")</f>
        <v/>
      </c>
      <c r="CH743" s="46"/>
      <c r="CI743" s="46"/>
      <c r="CJ743" s="46"/>
      <c r="CK743" s="46"/>
      <c r="CL743" s="46"/>
      <c r="CM743" s="46"/>
      <c r="CN743" s="46"/>
      <c r="CO743" s="46"/>
      <c r="CP743" s="46"/>
      <c r="CQ743" s="46"/>
      <c r="CR743" s="46"/>
      <c r="CS743" s="46"/>
      <c r="CT743" s="46"/>
      <c r="CU743" s="46"/>
    </row>
    <row r="744" spans="1:99" ht="12.75" customHeight="1">
      <c r="A744" s="409">
        <v>2187</v>
      </c>
      <c r="B744" s="399" t="s">
        <v>4244</v>
      </c>
      <c r="C744" s="399">
        <f t="shared" si="117"/>
        <v>2187</v>
      </c>
      <c r="D744" s="399" t="e">
        <f t="shared" ca="1" si="118"/>
        <v>#NAME?</v>
      </c>
      <c r="E744" s="399" t="str">
        <f t="shared" si="119"/>
        <v>Bacterial vaginosis</v>
      </c>
      <c r="F744" s="399" t="str">
        <f t="shared" si="128"/>
        <v>Input Option</v>
      </c>
      <c r="G744" s="400">
        <f t="shared" si="129"/>
        <v>26</v>
      </c>
      <c r="H744" s="399" t="str">
        <f t="shared" si="130"/>
        <v>STI Treatment recommendation</v>
      </c>
      <c r="I744" s="400"/>
      <c r="J744" s="400"/>
      <c r="K744" s="402" t="s">
        <v>9140</v>
      </c>
      <c r="L744" s="402" t="s">
        <v>7244</v>
      </c>
      <c r="M744" s="400"/>
      <c r="N744" s="639" t="s">
        <v>9141</v>
      </c>
      <c r="O744" s="404" t="s">
        <v>6319</v>
      </c>
      <c r="P744" s="404"/>
      <c r="Q744" s="414"/>
      <c r="R744" s="414"/>
      <c r="S744" s="414"/>
      <c r="T744" s="414"/>
      <c r="U744" s="414"/>
      <c r="V744" s="750" t="s">
        <v>4246</v>
      </c>
      <c r="W744" s="404"/>
      <c r="X744" s="414" t="s">
        <v>208</v>
      </c>
      <c r="Y744" s="414"/>
      <c r="Z744" s="414" t="s">
        <v>113</v>
      </c>
      <c r="AA744" s="414" t="s">
        <v>1889</v>
      </c>
      <c r="AB744" s="425"/>
      <c r="AC744" s="414"/>
      <c r="AD744" s="414"/>
      <c r="AE744" s="425"/>
      <c r="AF744" s="414"/>
      <c r="AG744" s="414"/>
      <c r="AH744" s="399"/>
      <c r="AI744" s="400"/>
      <c r="AJ744" s="399" t="s">
        <v>1787</v>
      </c>
      <c r="AK744" s="399"/>
      <c r="AL744" s="409"/>
      <c r="AM744" s="409"/>
      <c r="AN744" s="409"/>
      <c r="AO744" s="399" t="s">
        <v>1787</v>
      </c>
      <c r="AP744" s="399"/>
      <c r="AQ744" s="409" t="s">
        <v>3130</v>
      </c>
      <c r="AR744" s="399"/>
      <c r="AS744" s="399"/>
      <c r="AT744" s="399"/>
      <c r="AU744" s="399"/>
      <c r="AV744" s="399" t="str">
        <f t="shared" si="123"/>
        <v/>
      </c>
      <c r="AW744" s="399"/>
      <c r="AX744" s="409" t="s">
        <v>5194</v>
      </c>
      <c r="AY744" s="399" t="e">
        <f t="shared" ca="1" si="124"/>
        <v>#NAME?</v>
      </c>
      <c r="AZ744" s="399"/>
      <c r="BA744" s="409" t="s">
        <v>3125</v>
      </c>
      <c r="BB744" s="399"/>
      <c r="BC744" s="399" t="s">
        <v>1787</v>
      </c>
      <c r="BD744" s="409" t="s">
        <v>9147</v>
      </c>
      <c r="BE744" s="411"/>
      <c r="BF744" s="411" t="s">
        <v>1787</v>
      </c>
      <c r="BG744" s="434" t="s">
        <v>4248</v>
      </c>
      <c r="BH744" s="411"/>
      <c r="BI744" s="411"/>
      <c r="BJ744" s="399" t="s">
        <v>1787</v>
      </c>
      <c r="BK744" s="399" t="s">
        <v>1787</v>
      </c>
      <c r="BL744" s="399"/>
      <c r="BM744" s="399" t="s">
        <v>1787</v>
      </c>
      <c r="BN744" s="399" t="s">
        <v>1787</v>
      </c>
      <c r="BO744" s="399" t="s">
        <v>1787</v>
      </c>
      <c r="BP744" s="399" t="s">
        <v>1787</v>
      </c>
      <c r="BQ744" s="399" t="s">
        <v>1787</v>
      </c>
      <c r="BR744" s="399" t="s">
        <v>1787</v>
      </c>
      <c r="BS744" s="407"/>
      <c r="BT744" s="407"/>
      <c r="BU744" s="412"/>
      <c r="BV744" s="46" t="str">
        <f t="shared" si="8"/>
        <v/>
      </c>
      <c r="BW744" s="46">
        <f t="shared" si="9"/>
        <v>0</v>
      </c>
      <c r="BX744" s="46">
        <f t="shared" si="10"/>
        <v>0</v>
      </c>
      <c r="BY744" s="43" t="str">
        <f t="shared" si="11"/>
        <v>WHO-STI CarePlan (Recommendation)</v>
      </c>
      <c r="BZ744" s="46">
        <f t="shared" si="12"/>
        <v>1</v>
      </c>
      <c r="CA744" s="46" t="str">
        <f t="shared" si="13"/>
        <v/>
      </c>
      <c r="CB744" s="46">
        <f t="shared" si="14"/>
        <v>1</v>
      </c>
      <c r="CC744" s="46">
        <f t="shared" si="15"/>
        <v>1</v>
      </c>
      <c r="CD744" s="46">
        <f t="shared" si="16"/>
        <v>1</v>
      </c>
      <c r="CE744" s="46">
        <f t="shared" si="17"/>
        <v>0</v>
      </c>
      <c r="CF744" s="46">
        <f t="shared" si="18"/>
        <v>0</v>
      </c>
      <c r="CG744" s="46" t="str">
        <f ca="1">IFERROR(__xludf.DUMMYFUNCTION("if(OR(BH744="""",LEFT(BH744,2)=""LA""),"""",IMPORTXML(CONCATENATE(""https://loinc.org/"",BH744,""/""),""//span[@id='lcn']""))"),"")</f>
        <v/>
      </c>
      <c r="CH744" s="46"/>
      <c r="CI744" s="46"/>
      <c r="CJ744" s="46"/>
      <c r="CK744" s="46"/>
      <c r="CL744" s="46"/>
      <c r="CM744" s="46"/>
      <c r="CN744" s="46"/>
      <c r="CO744" s="46"/>
      <c r="CP744" s="46"/>
      <c r="CQ744" s="46"/>
      <c r="CR744" s="46"/>
      <c r="CS744" s="46"/>
      <c r="CT744" s="46"/>
      <c r="CU744" s="46"/>
    </row>
    <row r="745" spans="1:99" ht="12.75" customHeight="1">
      <c r="A745" s="409">
        <v>2188</v>
      </c>
      <c r="B745" s="399" t="s">
        <v>8559</v>
      </c>
      <c r="C745" s="399">
        <f t="shared" si="117"/>
        <v>2188</v>
      </c>
      <c r="D745" s="399" t="e">
        <f t="shared" ca="1" si="118"/>
        <v>#NAME?</v>
      </c>
      <c r="E745" s="399" t="str">
        <f t="shared" si="119"/>
        <v>Trichomoniasis</v>
      </c>
      <c r="F745" s="399" t="str">
        <f t="shared" si="128"/>
        <v>Input Option</v>
      </c>
      <c r="G745" s="400">
        <f t="shared" si="129"/>
        <v>21</v>
      </c>
      <c r="H745" s="399" t="str">
        <f t="shared" si="130"/>
        <v>STI Treatment recommendation</v>
      </c>
      <c r="I745" s="400"/>
      <c r="J745" s="400"/>
      <c r="K745" s="402" t="s">
        <v>9140</v>
      </c>
      <c r="L745" s="402" t="s">
        <v>7244</v>
      </c>
      <c r="M745" s="400"/>
      <c r="N745" s="639" t="s">
        <v>9141</v>
      </c>
      <c r="O745" s="404" t="s">
        <v>6322</v>
      </c>
      <c r="P745" s="404"/>
      <c r="Q745" s="414"/>
      <c r="R745" s="414"/>
      <c r="S745" s="414"/>
      <c r="T745" s="414"/>
      <c r="U745" s="414"/>
      <c r="V745" s="750" t="s">
        <v>6321</v>
      </c>
      <c r="W745" s="404"/>
      <c r="X745" s="414" t="s">
        <v>208</v>
      </c>
      <c r="Y745" s="414"/>
      <c r="Z745" s="414" t="s">
        <v>113</v>
      </c>
      <c r="AA745" s="414" t="s">
        <v>1889</v>
      </c>
      <c r="AB745" s="425"/>
      <c r="AC745" s="414"/>
      <c r="AD745" s="414"/>
      <c r="AE745" s="425"/>
      <c r="AF745" s="414"/>
      <c r="AG745" s="414"/>
      <c r="AH745" s="399"/>
      <c r="AI745" s="400"/>
      <c r="AJ745" s="399" t="s">
        <v>1787</v>
      </c>
      <c r="AK745" s="399"/>
      <c r="AL745" s="409"/>
      <c r="AM745" s="409"/>
      <c r="AN745" s="409"/>
      <c r="AO745" s="399" t="s">
        <v>1787</v>
      </c>
      <c r="AP745" s="399"/>
      <c r="AQ745" s="409" t="s">
        <v>3130</v>
      </c>
      <c r="AR745" s="399"/>
      <c r="AS745" s="399"/>
      <c r="AT745" s="399"/>
      <c r="AU745" s="399"/>
      <c r="AV745" s="399" t="str">
        <f t="shared" si="123"/>
        <v/>
      </c>
      <c r="AW745" s="399"/>
      <c r="AX745" s="409" t="s">
        <v>5194</v>
      </c>
      <c r="AY745" s="399" t="e">
        <f t="shared" ca="1" si="124"/>
        <v>#NAME?</v>
      </c>
      <c r="AZ745" s="399"/>
      <c r="BA745" s="409" t="s">
        <v>3125</v>
      </c>
      <c r="BB745" s="399"/>
      <c r="BC745" s="399" t="s">
        <v>1787</v>
      </c>
      <c r="BD745" s="409" t="s">
        <v>9147</v>
      </c>
      <c r="BE745" s="411"/>
      <c r="BF745" s="411" t="s">
        <v>1787</v>
      </c>
      <c r="BG745" s="434" t="s">
        <v>9158</v>
      </c>
      <c r="BH745" s="411"/>
      <c r="BI745" s="411"/>
      <c r="BJ745" s="399" t="s">
        <v>1787</v>
      </c>
      <c r="BK745" s="399" t="s">
        <v>1787</v>
      </c>
      <c r="BL745" s="399"/>
      <c r="BM745" s="399" t="s">
        <v>1787</v>
      </c>
      <c r="BN745" s="399" t="s">
        <v>1787</v>
      </c>
      <c r="BO745" s="399" t="s">
        <v>1787</v>
      </c>
      <c r="BP745" s="399" t="s">
        <v>1787</v>
      </c>
      <c r="BQ745" s="399" t="s">
        <v>1787</v>
      </c>
      <c r="BR745" s="399" t="s">
        <v>1787</v>
      </c>
      <c r="BS745" s="407"/>
      <c r="BT745" s="407"/>
      <c r="BU745" s="412"/>
      <c r="BV745" s="46" t="str">
        <f t="shared" si="8"/>
        <v/>
      </c>
      <c r="BW745" s="46">
        <f t="shared" si="9"/>
        <v>0</v>
      </c>
      <c r="BX745" s="46">
        <f t="shared" si="10"/>
        <v>0</v>
      </c>
      <c r="BY745" s="43" t="str">
        <f t="shared" si="11"/>
        <v>WHO-STI CarePlan (Recommendation)</v>
      </c>
      <c r="BZ745" s="46">
        <f t="shared" si="12"/>
        <v>1</v>
      </c>
      <c r="CA745" s="46" t="str">
        <f t="shared" si="13"/>
        <v/>
      </c>
      <c r="CB745" s="46">
        <f t="shared" si="14"/>
        <v>1</v>
      </c>
      <c r="CC745" s="46">
        <f t="shared" si="15"/>
        <v>1</v>
      </c>
      <c r="CD745" s="46">
        <f t="shared" si="16"/>
        <v>1</v>
      </c>
      <c r="CE745" s="46">
        <f t="shared" si="17"/>
        <v>0</v>
      </c>
      <c r="CF745" s="46">
        <f t="shared" si="18"/>
        <v>0</v>
      </c>
      <c r="CG745" s="46" t="str">
        <f ca="1">IFERROR(__xludf.DUMMYFUNCTION("if(OR(BH745="""",LEFT(BH745,2)=""LA""),"""",IMPORTXML(CONCATENATE(""https://loinc.org/"",BH745,""/""),""//span[@id='lcn']""))"),"")</f>
        <v/>
      </c>
      <c r="CH745" s="46"/>
      <c r="CI745" s="46"/>
      <c r="CJ745" s="46"/>
      <c r="CK745" s="46"/>
      <c r="CL745" s="46"/>
      <c r="CM745" s="46"/>
      <c r="CN745" s="46"/>
      <c r="CO745" s="46"/>
      <c r="CP745" s="46"/>
      <c r="CQ745" s="46"/>
      <c r="CR745" s="46"/>
      <c r="CS745" s="46"/>
      <c r="CT745" s="46"/>
      <c r="CU745" s="46"/>
    </row>
    <row r="746" spans="1:99" ht="12.75" customHeight="1">
      <c r="A746" s="409">
        <v>2189</v>
      </c>
      <c r="B746" s="399" t="s">
        <v>6899</v>
      </c>
      <c r="C746" s="399">
        <f t="shared" si="117"/>
        <v>2189</v>
      </c>
      <c r="D746" s="399" t="e">
        <f t="shared" ca="1" si="118"/>
        <v>#NAME?</v>
      </c>
      <c r="E746" s="399" t="str">
        <f t="shared" si="119"/>
        <v>Cervical infection</v>
      </c>
      <c r="F746" s="399" t="str">
        <f t="shared" si="128"/>
        <v>Input Option</v>
      </c>
      <c r="G746" s="400">
        <f t="shared" si="129"/>
        <v>25</v>
      </c>
      <c r="H746" s="399" t="str">
        <f t="shared" si="130"/>
        <v>STI Treatment recommendation</v>
      </c>
      <c r="I746" s="400"/>
      <c r="J746" s="400"/>
      <c r="K746" s="402" t="s">
        <v>9140</v>
      </c>
      <c r="L746" s="402" t="s">
        <v>7244</v>
      </c>
      <c r="M746" s="400"/>
      <c r="N746" s="639" t="s">
        <v>9141</v>
      </c>
      <c r="O746" s="431" t="s">
        <v>6326</v>
      </c>
      <c r="P746" s="431"/>
      <c r="Q746" s="414"/>
      <c r="R746" s="414"/>
      <c r="S746" s="414"/>
      <c r="T746" s="414"/>
      <c r="U746" s="414"/>
      <c r="V746" s="750" t="s">
        <v>6325</v>
      </c>
      <c r="W746" s="404"/>
      <c r="X746" s="414" t="s">
        <v>208</v>
      </c>
      <c r="Y746" s="414"/>
      <c r="Z746" s="414" t="s">
        <v>113</v>
      </c>
      <c r="AA746" s="414" t="s">
        <v>1889</v>
      </c>
      <c r="AB746" s="425"/>
      <c r="AC746" s="414"/>
      <c r="AD746" s="414"/>
      <c r="AE746" s="425"/>
      <c r="AF746" s="414"/>
      <c r="AG746" s="414"/>
      <c r="AH746" s="399"/>
      <c r="AI746" s="400"/>
      <c r="AJ746" s="399" t="s">
        <v>1787</v>
      </c>
      <c r="AK746" s="399"/>
      <c r="AL746" s="409"/>
      <c r="AM746" s="409"/>
      <c r="AN746" s="409"/>
      <c r="AO746" s="399" t="s">
        <v>1787</v>
      </c>
      <c r="AP746" s="399"/>
      <c r="AQ746" s="409" t="s">
        <v>3130</v>
      </c>
      <c r="AR746" s="399"/>
      <c r="AS746" s="399"/>
      <c r="AT746" s="399"/>
      <c r="AU746" s="399"/>
      <c r="AV746" s="399" t="str">
        <f t="shared" si="123"/>
        <v/>
      </c>
      <c r="AW746" s="399"/>
      <c r="AX746" s="409" t="s">
        <v>5194</v>
      </c>
      <c r="AY746" s="399" t="e">
        <f t="shared" ca="1" si="124"/>
        <v>#NAME?</v>
      </c>
      <c r="AZ746" s="399"/>
      <c r="BA746" s="409" t="s">
        <v>3125</v>
      </c>
      <c r="BB746" s="399"/>
      <c r="BC746" s="399" t="s">
        <v>1787</v>
      </c>
      <c r="BD746" s="409" t="s">
        <v>9147</v>
      </c>
      <c r="BE746" s="411"/>
      <c r="BF746" s="411" t="s">
        <v>1787</v>
      </c>
      <c r="BG746" s="434" t="s">
        <v>8582</v>
      </c>
      <c r="BH746" s="411"/>
      <c r="BI746" s="411"/>
      <c r="BJ746" s="399" t="s">
        <v>1787</v>
      </c>
      <c r="BK746" s="399" t="s">
        <v>1787</v>
      </c>
      <c r="BL746" s="399"/>
      <c r="BM746" s="409" t="s">
        <v>9159</v>
      </c>
      <c r="BN746" s="399" t="s">
        <v>1787</v>
      </c>
      <c r="BO746" s="399" t="s">
        <v>1787</v>
      </c>
      <c r="BP746" s="399" t="s">
        <v>1787</v>
      </c>
      <c r="BQ746" s="399" t="s">
        <v>1787</v>
      </c>
      <c r="BR746" s="399" t="s">
        <v>1787</v>
      </c>
      <c r="BS746" s="407"/>
      <c r="BT746" s="407"/>
      <c r="BU746" s="412"/>
      <c r="BV746" s="46" t="str">
        <f t="shared" si="8"/>
        <v/>
      </c>
      <c r="BW746" s="46">
        <f t="shared" si="9"/>
        <v>0</v>
      </c>
      <c r="BX746" s="46">
        <f t="shared" si="10"/>
        <v>0</v>
      </c>
      <c r="BY746" s="43" t="str">
        <f t="shared" si="11"/>
        <v>WHO-STI CarePlan (Recommendation)</v>
      </c>
      <c r="BZ746" s="46">
        <f t="shared" si="12"/>
        <v>1</v>
      </c>
      <c r="CA746" s="46" t="str">
        <f t="shared" si="13"/>
        <v/>
      </c>
      <c r="CB746" s="46">
        <f t="shared" si="14"/>
        <v>1</v>
      </c>
      <c r="CC746" s="46">
        <f t="shared" si="15"/>
        <v>1</v>
      </c>
      <c r="CD746" s="46">
        <f t="shared" si="16"/>
        <v>1</v>
      </c>
      <c r="CE746" s="46">
        <f t="shared" si="17"/>
        <v>0</v>
      </c>
      <c r="CF746" s="46">
        <f t="shared" si="18"/>
        <v>0</v>
      </c>
      <c r="CG746" s="46" t="str">
        <f ca="1">IFERROR(__xludf.DUMMYFUNCTION("if(OR(BH746="""",LEFT(BH746,2)=""LA""),"""",IMPORTXML(CONCATENATE(""https://loinc.org/"",BH746,""/""),""//span[@id='lcn']""))"),"")</f>
        <v/>
      </c>
      <c r="CH746" s="46"/>
      <c r="CI746" s="46"/>
      <c r="CJ746" s="46"/>
      <c r="CK746" s="46"/>
      <c r="CL746" s="46"/>
      <c r="CM746" s="46"/>
      <c r="CN746" s="46"/>
      <c r="CO746" s="46"/>
      <c r="CP746" s="46"/>
      <c r="CQ746" s="46"/>
      <c r="CR746" s="46"/>
      <c r="CS746" s="46"/>
      <c r="CT746" s="46"/>
      <c r="CU746" s="46"/>
    </row>
    <row r="747" spans="1:99" ht="12.75" customHeight="1">
      <c r="A747" s="409">
        <v>2190</v>
      </c>
      <c r="B747" s="399" t="s">
        <v>8591</v>
      </c>
      <c r="C747" s="399">
        <f t="shared" si="117"/>
        <v>2190</v>
      </c>
      <c r="D747" s="399" t="e">
        <f t="shared" ca="1" si="118"/>
        <v>#NAME?</v>
      </c>
      <c r="E747" s="399" t="str">
        <f t="shared" si="119"/>
        <v>Anaerobic infection</v>
      </c>
      <c r="F747" s="399" t="str">
        <f t="shared" si="128"/>
        <v>Input Option</v>
      </c>
      <c r="G747" s="400">
        <f t="shared" si="129"/>
        <v>26</v>
      </c>
      <c r="H747" s="399" t="str">
        <f t="shared" si="130"/>
        <v>STI Treatment recommendation</v>
      </c>
      <c r="I747" s="400"/>
      <c r="J747" s="400"/>
      <c r="K747" s="402" t="s">
        <v>9140</v>
      </c>
      <c r="L747" s="402" t="s">
        <v>7244</v>
      </c>
      <c r="M747" s="400"/>
      <c r="N747" s="639" t="s">
        <v>9141</v>
      </c>
      <c r="O747" s="404" t="s">
        <v>6331</v>
      </c>
      <c r="P747" s="404"/>
      <c r="Q747" s="414"/>
      <c r="R747" s="414"/>
      <c r="S747" s="414"/>
      <c r="T747" s="414"/>
      <c r="U747" s="414"/>
      <c r="V747" s="750" t="s">
        <v>6330</v>
      </c>
      <c r="W747" s="404"/>
      <c r="X747" s="414" t="s">
        <v>208</v>
      </c>
      <c r="Y747" s="414"/>
      <c r="Z747" s="414" t="s">
        <v>113</v>
      </c>
      <c r="AA747" s="414" t="s">
        <v>1889</v>
      </c>
      <c r="AB747" s="425"/>
      <c r="AC747" s="414"/>
      <c r="AD747" s="414"/>
      <c r="AE747" s="425"/>
      <c r="AF747" s="414"/>
      <c r="AG747" s="414"/>
      <c r="AH747" s="399"/>
      <c r="AI747" s="400"/>
      <c r="AJ747" s="399" t="s">
        <v>1787</v>
      </c>
      <c r="AK747" s="399"/>
      <c r="AL747" s="409"/>
      <c r="AM747" s="409"/>
      <c r="AN747" s="409"/>
      <c r="AO747" s="399" t="s">
        <v>1787</v>
      </c>
      <c r="AP747" s="399"/>
      <c r="AQ747" s="409" t="s">
        <v>3130</v>
      </c>
      <c r="AR747" s="399"/>
      <c r="AS747" s="399"/>
      <c r="AT747" s="399"/>
      <c r="AU747" s="399"/>
      <c r="AV747" s="399" t="str">
        <f t="shared" si="123"/>
        <v/>
      </c>
      <c r="AW747" s="399"/>
      <c r="AX747" s="409" t="s">
        <v>5194</v>
      </c>
      <c r="AY747" s="399" t="e">
        <f t="shared" ca="1" si="124"/>
        <v>#NAME?</v>
      </c>
      <c r="AZ747" s="399"/>
      <c r="BA747" s="409" t="s">
        <v>3125</v>
      </c>
      <c r="BB747" s="399"/>
      <c r="BC747" s="399" t="s">
        <v>1787</v>
      </c>
      <c r="BD747" s="409" t="s">
        <v>9147</v>
      </c>
      <c r="BE747" s="411"/>
      <c r="BF747" s="411" t="s">
        <v>1787</v>
      </c>
      <c r="BG747" s="434" t="s">
        <v>8600</v>
      </c>
      <c r="BH747" s="411"/>
      <c r="BI747" s="411"/>
      <c r="BJ747" s="399" t="s">
        <v>1787</v>
      </c>
      <c r="BK747" s="399" t="s">
        <v>1787</v>
      </c>
      <c r="BL747" s="399"/>
      <c r="BM747" s="399" t="s">
        <v>1787</v>
      </c>
      <c r="BN747" s="399" t="s">
        <v>1787</v>
      </c>
      <c r="BO747" s="399" t="s">
        <v>1787</v>
      </c>
      <c r="BP747" s="399" t="s">
        <v>1787</v>
      </c>
      <c r="BQ747" s="399" t="s">
        <v>1787</v>
      </c>
      <c r="BR747" s="399" t="s">
        <v>1787</v>
      </c>
      <c r="BS747" s="407"/>
      <c r="BT747" s="407"/>
      <c r="BU747" s="412"/>
      <c r="BV747" s="46" t="str">
        <f t="shared" si="8"/>
        <v/>
      </c>
      <c r="BW747" s="46">
        <f t="shared" si="9"/>
        <v>0</v>
      </c>
      <c r="BX747" s="46">
        <f t="shared" si="10"/>
        <v>0</v>
      </c>
      <c r="BY747" s="43" t="str">
        <f t="shared" si="11"/>
        <v>WHO-STI CarePlan (Recommendation)</v>
      </c>
      <c r="BZ747" s="46">
        <f t="shared" si="12"/>
        <v>1</v>
      </c>
      <c r="CA747" s="46" t="str">
        <f t="shared" si="13"/>
        <v/>
      </c>
      <c r="CB747" s="46">
        <f t="shared" si="14"/>
        <v>1</v>
      </c>
      <c r="CC747" s="46">
        <f t="shared" si="15"/>
        <v>1</v>
      </c>
      <c r="CD747" s="46">
        <f t="shared" si="16"/>
        <v>1</v>
      </c>
      <c r="CE747" s="46">
        <f t="shared" si="17"/>
        <v>0</v>
      </c>
      <c r="CF747" s="46">
        <f t="shared" si="18"/>
        <v>0</v>
      </c>
      <c r="CG747" s="46" t="str">
        <f ca="1">IFERROR(__xludf.DUMMYFUNCTION("if(OR(BH747="""",LEFT(BH747,2)=""LA""),"""",IMPORTXML(CONCATENATE(""https://loinc.org/"",BH747,""/""),""//span[@id='lcn']""))"),"")</f>
        <v/>
      </c>
      <c r="CH747" s="46"/>
      <c r="CI747" s="46"/>
      <c r="CJ747" s="46"/>
      <c r="CK747" s="46"/>
      <c r="CL747" s="46"/>
      <c r="CM747" s="46"/>
      <c r="CN747" s="46"/>
      <c r="CO747" s="46"/>
      <c r="CP747" s="46"/>
      <c r="CQ747" s="46"/>
      <c r="CR747" s="46"/>
      <c r="CS747" s="46"/>
      <c r="CT747" s="46"/>
      <c r="CU747" s="46"/>
    </row>
    <row r="748" spans="1:99" ht="12.75" customHeight="1">
      <c r="A748" s="409">
        <v>2191</v>
      </c>
      <c r="B748" s="399" t="s">
        <v>9160</v>
      </c>
      <c r="C748" s="399">
        <f t="shared" si="117"/>
        <v>2191</v>
      </c>
      <c r="D748" s="399" t="e">
        <f t="shared" ca="1" si="118"/>
        <v>#NAME?</v>
      </c>
      <c r="E748" s="399" t="str">
        <f t="shared" si="119"/>
        <v>Chancroid</v>
      </c>
      <c r="F748" s="399" t="str">
        <f t="shared" si="128"/>
        <v>Input Option</v>
      </c>
      <c r="G748" s="400">
        <f t="shared" si="129"/>
        <v>16</v>
      </c>
      <c r="H748" s="399" t="str">
        <f t="shared" si="130"/>
        <v>STI Treatment recommendation</v>
      </c>
      <c r="I748" s="400"/>
      <c r="J748" s="400"/>
      <c r="K748" s="402" t="s">
        <v>9140</v>
      </c>
      <c r="L748" s="402" t="s">
        <v>7244</v>
      </c>
      <c r="M748" s="400"/>
      <c r="N748" s="639" t="s">
        <v>9141</v>
      </c>
      <c r="O748" s="414" t="s">
        <v>9161</v>
      </c>
      <c r="P748" s="414"/>
      <c r="Q748" s="414"/>
      <c r="R748" s="414"/>
      <c r="S748" s="414"/>
      <c r="T748" s="414"/>
      <c r="U748" s="414"/>
      <c r="V748" s="414" t="s">
        <v>9162</v>
      </c>
      <c r="W748" s="407"/>
      <c r="X748" s="414"/>
      <c r="Y748" s="414"/>
      <c r="Z748" s="414" t="s">
        <v>113</v>
      </c>
      <c r="AA748" s="414" t="s">
        <v>1889</v>
      </c>
      <c r="AB748" s="425"/>
      <c r="AC748" s="414"/>
      <c r="AD748" s="414"/>
      <c r="AE748" s="425"/>
      <c r="AF748" s="414"/>
      <c r="AG748" s="414"/>
      <c r="AH748" s="399"/>
      <c r="AI748" s="400"/>
      <c r="AJ748" s="399" t="s">
        <v>1787</v>
      </c>
      <c r="AK748" s="399"/>
      <c r="AL748" s="409"/>
      <c r="AM748" s="409"/>
      <c r="AN748" s="409"/>
      <c r="AO748" s="399" t="s">
        <v>1787</v>
      </c>
      <c r="AP748" s="399"/>
      <c r="AQ748" s="409" t="s">
        <v>3130</v>
      </c>
      <c r="AR748" s="399"/>
      <c r="AS748" s="399"/>
      <c r="AT748" s="399"/>
      <c r="AU748" s="399"/>
      <c r="AV748" s="399" t="str">
        <f t="shared" si="123"/>
        <v/>
      </c>
      <c r="AW748" s="399"/>
      <c r="AX748" s="409" t="s">
        <v>5194</v>
      </c>
      <c r="AY748" s="399" t="e">
        <f t="shared" ca="1" si="124"/>
        <v>#NAME?</v>
      </c>
      <c r="AZ748" s="399"/>
      <c r="BA748" s="409" t="s">
        <v>3125</v>
      </c>
      <c r="BB748" s="399"/>
      <c r="BC748" s="399" t="s">
        <v>1787</v>
      </c>
      <c r="BD748" s="409" t="s">
        <v>3162</v>
      </c>
      <c r="BE748" s="411"/>
      <c r="BF748" s="411" t="s">
        <v>1787</v>
      </c>
      <c r="BG748" s="434" t="s">
        <v>9163</v>
      </c>
      <c r="BH748" s="411"/>
      <c r="BI748" s="411"/>
      <c r="BJ748" s="399" t="s">
        <v>1787</v>
      </c>
      <c r="BK748" s="399" t="s">
        <v>1787</v>
      </c>
      <c r="BL748" s="399"/>
      <c r="BM748" s="399" t="s">
        <v>1787</v>
      </c>
      <c r="BN748" s="399" t="s">
        <v>1787</v>
      </c>
      <c r="BO748" s="399" t="s">
        <v>1787</v>
      </c>
      <c r="BP748" s="399" t="s">
        <v>1787</v>
      </c>
      <c r="BQ748" s="399" t="s">
        <v>1787</v>
      </c>
      <c r="BR748" s="399" t="s">
        <v>1787</v>
      </c>
      <c r="BS748" s="407"/>
      <c r="BT748" s="407"/>
      <c r="BU748" s="412"/>
      <c r="BV748" s="46" t="str">
        <f t="shared" si="8"/>
        <v/>
      </c>
      <c r="BW748" s="46">
        <f t="shared" si="9"/>
        <v>0</v>
      </c>
      <c r="BX748" s="46">
        <f t="shared" si="10"/>
        <v>0</v>
      </c>
      <c r="BY748" s="43" t="str">
        <f t="shared" si="11"/>
        <v>WHO-STI CarePlan (Recommendation)</v>
      </c>
      <c r="BZ748" s="46">
        <f t="shared" si="12"/>
        <v>1</v>
      </c>
      <c r="CA748" s="46" t="str">
        <f t="shared" si="13"/>
        <v/>
      </c>
      <c r="CB748" s="46">
        <f t="shared" si="14"/>
        <v>1</v>
      </c>
      <c r="CC748" s="46">
        <f t="shared" si="15"/>
        <v>1</v>
      </c>
      <c r="CD748" s="46">
        <f t="shared" si="16"/>
        <v>1</v>
      </c>
      <c r="CE748" s="46">
        <f t="shared" si="17"/>
        <v>0</v>
      </c>
      <c r="CF748" s="46">
        <f t="shared" si="18"/>
        <v>0</v>
      </c>
      <c r="CG748" s="46" t="str">
        <f ca="1">IFERROR(__xludf.DUMMYFUNCTION("if(OR(BH748="""",LEFT(BH748,2)=""LA""),"""",IMPORTXML(CONCATENATE(""https://loinc.org/"",BH748,""/""),""//span[@id='lcn']""))"),"")</f>
        <v/>
      </c>
      <c r="CH748" s="46"/>
      <c r="CI748" s="46"/>
      <c r="CJ748" s="46"/>
      <c r="CK748" s="46"/>
      <c r="CL748" s="46"/>
      <c r="CM748" s="46"/>
      <c r="CN748" s="46"/>
      <c r="CO748" s="46"/>
      <c r="CP748" s="46"/>
      <c r="CQ748" s="46"/>
      <c r="CR748" s="46"/>
      <c r="CS748" s="46"/>
      <c r="CT748" s="46"/>
      <c r="CU748" s="46"/>
    </row>
    <row r="749" spans="1:99" ht="12.75" customHeight="1">
      <c r="A749" s="409">
        <v>2192</v>
      </c>
      <c r="B749" s="399" t="s">
        <v>9164</v>
      </c>
      <c r="C749" s="399">
        <f t="shared" si="117"/>
        <v>2192</v>
      </c>
      <c r="D749" s="399" t="e">
        <f t="shared" ca="1" si="118"/>
        <v>#NAME?</v>
      </c>
      <c r="E749" s="399" t="str">
        <f t="shared" si="119"/>
        <v>Pelvic Inflammatory Disease (PID)</v>
      </c>
      <c r="F749" s="399" t="str">
        <f t="shared" si="128"/>
        <v>Input Option</v>
      </c>
      <c r="G749" s="400">
        <f t="shared" si="129"/>
        <v>40</v>
      </c>
      <c r="H749" s="399" t="str">
        <f t="shared" si="130"/>
        <v>STI Treatment recommendation</v>
      </c>
      <c r="I749" s="400"/>
      <c r="J749" s="400"/>
      <c r="K749" s="402" t="s">
        <v>9140</v>
      </c>
      <c r="L749" s="402" t="s">
        <v>7244</v>
      </c>
      <c r="M749" s="400"/>
      <c r="N749" s="639" t="s">
        <v>9141</v>
      </c>
      <c r="O749" s="404" t="s">
        <v>6335</v>
      </c>
      <c r="P749" s="404"/>
      <c r="Q749" s="414"/>
      <c r="R749" s="414"/>
      <c r="S749" s="414"/>
      <c r="T749" s="414"/>
      <c r="U749" s="414"/>
      <c r="V749" s="750" t="s">
        <v>9165</v>
      </c>
      <c r="W749" s="404"/>
      <c r="X749" s="414" t="s">
        <v>208</v>
      </c>
      <c r="Y749" s="414"/>
      <c r="Z749" s="414" t="s">
        <v>113</v>
      </c>
      <c r="AA749" s="414" t="s">
        <v>1889</v>
      </c>
      <c r="AB749" s="425"/>
      <c r="AC749" s="414"/>
      <c r="AD749" s="414"/>
      <c r="AE749" s="425"/>
      <c r="AF749" s="414"/>
      <c r="AG749" s="414"/>
      <c r="AH749" s="399"/>
      <c r="AI749" s="400"/>
      <c r="AJ749" s="399" t="s">
        <v>1787</v>
      </c>
      <c r="AK749" s="399"/>
      <c r="AL749" s="409"/>
      <c r="AM749" s="409"/>
      <c r="AN749" s="409"/>
      <c r="AO749" s="399" t="s">
        <v>1787</v>
      </c>
      <c r="AP749" s="399"/>
      <c r="AQ749" s="409" t="s">
        <v>3130</v>
      </c>
      <c r="AR749" s="399"/>
      <c r="AS749" s="399"/>
      <c r="AT749" s="399"/>
      <c r="AU749" s="399"/>
      <c r="AV749" s="399" t="str">
        <f t="shared" si="123"/>
        <v/>
      </c>
      <c r="AW749" s="399"/>
      <c r="AX749" s="409" t="s">
        <v>5194</v>
      </c>
      <c r="AY749" s="399" t="e">
        <f t="shared" ca="1" si="124"/>
        <v>#NAME?</v>
      </c>
      <c r="AZ749" s="399"/>
      <c r="BA749" s="409">
        <v>1</v>
      </c>
      <c r="BB749" s="399"/>
      <c r="BC749" s="399" t="s">
        <v>1787</v>
      </c>
      <c r="BD749" s="399" t="s">
        <v>1787</v>
      </c>
      <c r="BE749" s="411"/>
      <c r="BF749" s="411" t="s">
        <v>1787</v>
      </c>
      <c r="BG749" s="434" t="s">
        <v>5180</v>
      </c>
      <c r="BH749" s="411"/>
      <c r="BI749" s="411"/>
      <c r="BJ749" s="399" t="s">
        <v>1787</v>
      </c>
      <c r="BK749" s="399" t="s">
        <v>1787</v>
      </c>
      <c r="BL749" s="399"/>
      <c r="BM749" s="399" t="s">
        <v>1787</v>
      </c>
      <c r="BN749" s="399" t="s">
        <v>1787</v>
      </c>
      <c r="BO749" s="399" t="s">
        <v>1787</v>
      </c>
      <c r="BP749" s="399" t="s">
        <v>1787</v>
      </c>
      <c r="BQ749" s="399" t="s">
        <v>1787</v>
      </c>
      <c r="BR749" s="399" t="s">
        <v>1787</v>
      </c>
      <c r="BS749" s="407"/>
      <c r="BT749" s="407"/>
      <c r="BU749" s="412"/>
      <c r="BV749" s="46" t="str">
        <f t="shared" si="8"/>
        <v/>
      </c>
      <c r="BW749" s="46">
        <f t="shared" si="9"/>
        <v>0</v>
      </c>
      <c r="BX749" s="46">
        <f t="shared" si="10"/>
        <v>0</v>
      </c>
      <c r="BY749" s="43" t="str">
        <f t="shared" si="11"/>
        <v>WHO-STI CarePlan (Recommendation)</v>
      </c>
      <c r="BZ749" s="46">
        <f t="shared" si="12"/>
        <v>1</v>
      </c>
      <c r="CA749" s="46" t="str">
        <f t="shared" si="13"/>
        <v/>
      </c>
      <c r="CB749" s="46">
        <f t="shared" si="14"/>
        <v>1</v>
      </c>
      <c r="CC749" s="46">
        <f t="shared" si="15"/>
        <v>1</v>
      </c>
      <c r="CD749" s="46">
        <f t="shared" si="16"/>
        <v>1</v>
      </c>
      <c r="CE749" s="46">
        <f t="shared" si="17"/>
        <v>0</v>
      </c>
      <c r="CF749" s="46">
        <f t="shared" si="18"/>
        <v>0</v>
      </c>
      <c r="CG749" s="46" t="str">
        <f ca="1">IFERROR(__xludf.DUMMYFUNCTION("if(OR(BH749="""",LEFT(BH749,2)=""LA""),"""",IMPORTXML(CONCATENATE(""https://loinc.org/"",BH749,""/""),""//span[@id='lcn']""))"),"")</f>
        <v/>
      </c>
      <c r="CH749" s="46"/>
      <c r="CI749" s="46"/>
      <c r="CJ749" s="46"/>
      <c r="CK749" s="46"/>
      <c r="CL749" s="46"/>
      <c r="CM749" s="46"/>
      <c r="CN749" s="46"/>
      <c r="CO749" s="46"/>
      <c r="CP749" s="46"/>
      <c r="CQ749" s="46"/>
      <c r="CR749" s="46"/>
      <c r="CS749" s="46"/>
      <c r="CT749" s="46"/>
      <c r="CU749" s="46"/>
    </row>
    <row r="750" spans="1:99" ht="12.75" customHeight="1">
      <c r="A750" s="409">
        <v>2193</v>
      </c>
      <c r="B750" s="399" t="s">
        <v>9166</v>
      </c>
      <c r="C750" s="399">
        <f t="shared" si="117"/>
        <v>2193</v>
      </c>
      <c r="D750" s="399" t="e">
        <f t="shared" ca="1" si="118"/>
        <v>#NAME?</v>
      </c>
      <c r="E750" s="399" t="str">
        <f t="shared" si="119"/>
        <v>Human papillomavirus</v>
      </c>
      <c r="F750" s="399" t="str">
        <f t="shared" si="128"/>
        <v>Input Option</v>
      </c>
      <c r="G750" s="400">
        <f t="shared" si="129"/>
        <v>27</v>
      </c>
      <c r="H750" s="399" t="str">
        <f t="shared" si="130"/>
        <v>STI Treatment recommendation</v>
      </c>
      <c r="I750" s="400"/>
      <c r="J750" s="400"/>
      <c r="K750" s="402" t="s">
        <v>9140</v>
      </c>
      <c r="L750" s="402" t="s">
        <v>7244</v>
      </c>
      <c r="M750" s="400"/>
      <c r="N750" s="639" t="s">
        <v>9141</v>
      </c>
      <c r="O750" s="431" t="s">
        <v>6345</v>
      </c>
      <c r="P750" s="431"/>
      <c r="Q750" s="404"/>
      <c r="R750" s="414" t="s">
        <v>6346</v>
      </c>
      <c r="S750" s="431"/>
      <c r="T750" s="414"/>
      <c r="U750" s="414"/>
      <c r="V750" s="429" t="s">
        <v>6344</v>
      </c>
      <c r="W750" s="404"/>
      <c r="X750" s="414" t="s">
        <v>208</v>
      </c>
      <c r="Y750" s="404"/>
      <c r="Z750" s="414" t="s">
        <v>113</v>
      </c>
      <c r="AA750" s="414" t="s">
        <v>1889</v>
      </c>
      <c r="AB750" s="406"/>
      <c r="AC750" s="404"/>
      <c r="AD750" s="404" t="s">
        <v>3215</v>
      </c>
      <c r="AE750" s="406"/>
      <c r="AF750" s="404"/>
      <c r="AG750" s="404"/>
      <c r="AH750" s="399"/>
      <c r="AI750" s="400"/>
      <c r="AJ750" s="399" t="s">
        <v>1787</v>
      </c>
      <c r="AK750" s="399"/>
      <c r="AL750" s="409"/>
      <c r="AM750" s="409"/>
      <c r="AN750" s="409"/>
      <c r="AO750" s="399" t="s">
        <v>1787</v>
      </c>
      <c r="AP750" s="399"/>
      <c r="AQ750" s="409" t="s">
        <v>3130</v>
      </c>
      <c r="AR750" s="399"/>
      <c r="AS750" s="399"/>
      <c r="AT750" s="399"/>
      <c r="AU750" s="399"/>
      <c r="AV750" s="399" t="str">
        <f t="shared" si="123"/>
        <v/>
      </c>
      <c r="AW750" s="399"/>
      <c r="AX750" s="409" t="s">
        <v>5194</v>
      </c>
      <c r="AY750" s="399" t="e">
        <f t="shared" ca="1" si="124"/>
        <v>#NAME?</v>
      </c>
      <c r="AZ750" s="399"/>
      <c r="BA750" s="409" t="s">
        <v>3125</v>
      </c>
      <c r="BB750" s="399"/>
      <c r="BC750" s="399" t="s">
        <v>1787</v>
      </c>
      <c r="BD750" s="409" t="s">
        <v>3162</v>
      </c>
      <c r="BE750" s="411" t="s">
        <v>9167</v>
      </c>
      <c r="BF750" s="411" t="s">
        <v>1787</v>
      </c>
      <c r="BG750" s="433" t="s">
        <v>6347</v>
      </c>
      <c r="BH750" s="411"/>
      <c r="BI750" s="411"/>
      <c r="BJ750" s="399" t="s">
        <v>1787</v>
      </c>
      <c r="BK750" s="399" t="s">
        <v>1787</v>
      </c>
      <c r="BL750" s="399"/>
      <c r="BM750" s="399" t="s">
        <v>1787</v>
      </c>
      <c r="BN750" s="399" t="s">
        <v>1787</v>
      </c>
      <c r="BO750" s="399" t="s">
        <v>1787</v>
      </c>
      <c r="BP750" s="399" t="s">
        <v>1787</v>
      </c>
      <c r="BQ750" s="399" t="s">
        <v>1787</v>
      </c>
      <c r="BR750" s="399" t="s">
        <v>1787</v>
      </c>
      <c r="BS750" s="407"/>
      <c r="BT750" s="407"/>
      <c r="BU750" s="412"/>
      <c r="BV750" s="46" t="str">
        <f t="shared" si="8"/>
        <v/>
      </c>
      <c r="BW750" s="46">
        <f t="shared" si="9"/>
        <v>0</v>
      </c>
      <c r="BX750" s="46">
        <f t="shared" si="10"/>
        <v>0</v>
      </c>
      <c r="BY750" s="43" t="str">
        <f t="shared" si="11"/>
        <v>WHO-STI CarePlan (Recommendation)</v>
      </c>
      <c r="BZ750" s="46">
        <f t="shared" si="12"/>
        <v>1</v>
      </c>
      <c r="CA750" s="46" t="str">
        <f t="shared" si="13"/>
        <v/>
      </c>
      <c r="CB750" s="46">
        <f t="shared" si="14"/>
        <v>1</v>
      </c>
      <c r="CC750" s="46">
        <f t="shared" si="15"/>
        <v>1</v>
      </c>
      <c r="CD750" s="46">
        <f t="shared" si="16"/>
        <v>1</v>
      </c>
      <c r="CE750" s="46">
        <f t="shared" si="17"/>
        <v>0</v>
      </c>
      <c r="CF750" s="46">
        <f t="shared" si="18"/>
        <v>0</v>
      </c>
      <c r="CG750" s="46" t="str">
        <f ca="1">IFERROR(__xludf.DUMMYFUNCTION("if(OR(BH750="""",LEFT(BH750,2)=""LA""),"""",IMPORTXML(CONCATENATE(""https://loinc.org/"",BH750,""/""),""//span[@id='lcn']""))"),"")</f>
        <v/>
      </c>
      <c r="CH750" s="46"/>
      <c r="CI750" s="46"/>
      <c r="CJ750" s="46"/>
      <c r="CK750" s="46"/>
      <c r="CL750" s="46"/>
      <c r="CM750" s="46"/>
      <c r="CN750" s="46"/>
      <c r="CO750" s="46"/>
      <c r="CP750" s="46"/>
      <c r="CQ750" s="46"/>
      <c r="CR750" s="46"/>
      <c r="CS750" s="46"/>
      <c r="CT750" s="46"/>
      <c r="CU750" s="46"/>
    </row>
    <row r="751" spans="1:99" ht="12.75" customHeight="1">
      <c r="A751" s="409">
        <v>2194</v>
      </c>
      <c r="B751" s="399" t="s">
        <v>535</v>
      </c>
      <c r="C751" s="399">
        <f t="shared" si="117"/>
        <v>2194</v>
      </c>
      <c r="D751" s="399" t="e">
        <f t="shared" ca="1" si="118"/>
        <v>#NAME?</v>
      </c>
      <c r="E751" s="399" t="str">
        <f t="shared" si="119"/>
        <v>Other (specify)</v>
      </c>
      <c r="F751" s="399" t="str">
        <f t="shared" si="128"/>
        <v>Input Option</v>
      </c>
      <c r="G751" s="400">
        <f t="shared" si="129"/>
        <v>22</v>
      </c>
      <c r="H751" s="399" t="str">
        <f t="shared" si="130"/>
        <v>STI Treatment recommendation</v>
      </c>
      <c r="I751" s="400"/>
      <c r="J751" s="400"/>
      <c r="K751" s="402" t="s">
        <v>9140</v>
      </c>
      <c r="L751" s="402" t="s">
        <v>7244</v>
      </c>
      <c r="M751" s="400"/>
      <c r="N751" s="639" t="s">
        <v>9141</v>
      </c>
      <c r="O751" s="404" t="s">
        <v>6258</v>
      </c>
      <c r="P751" s="404"/>
      <c r="Q751" s="414"/>
      <c r="R751" s="404"/>
      <c r="S751" s="414"/>
      <c r="T751" s="414"/>
      <c r="U751" s="414"/>
      <c r="V751" s="404" t="s">
        <v>405</v>
      </c>
      <c r="W751" s="404"/>
      <c r="X751" s="414" t="s">
        <v>208</v>
      </c>
      <c r="Y751" s="414"/>
      <c r="Z751" s="414" t="s">
        <v>113</v>
      </c>
      <c r="AA751" s="414" t="s">
        <v>1889</v>
      </c>
      <c r="AB751" s="406"/>
      <c r="AC751" s="404"/>
      <c r="AD751" s="404"/>
      <c r="AE751" s="406"/>
      <c r="AF751" s="404"/>
      <c r="AG751" s="404"/>
      <c r="AH751" s="399"/>
      <c r="AI751" s="400"/>
      <c r="AJ751" s="399" t="s">
        <v>1787</v>
      </c>
      <c r="AK751" s="399"/>
      <c r="AL751" s="409"/>
      <c r="AM751" s="409"/>
      <c r="AN751" s="409"/>
      <c r="AO751" s="399" t="s">
        <v>1787</v>
      </c>
      <c r="AP751" s="399"/>
      <c r="AQ751" s="409" t="s">
        <v>3130</v>
      </c>
      <c r="AR751" s="399"/>
      <c r="AS751" s="399"/>
      <c r="AT751" s="399"/>
      <c r="AU751" s="399"/>
      <c r="AV751" s="399" t="str">
        <f t="shared" si="123"/>
        <v/>
      </c>
      <c r="AW751" s="399"/>
      <c r="AX751" s="409" t="s">
        <v>5194</v>
      </c>
      <c r="AY751" s="399" t="e">
        <f t="shared" ca="1" si="124"/>
        <v>#NAME?</v>
      </c>
      <c r="AZ751" s="399"/>
      <c r="BA751" s="409">
        <v>1</v>
      </c>
      <c r="BB751" s="415" t="s">
        <v>3131</v>
      </c>
      <c r="BC751" s="403" t="s">
        <v>1387</v>
      </c>
      <c r="BD751" s="399" t="s">
        <v>1787</v>
      </c>
      <c r="BE751" s="411"/>
      <c r="BF751" s="411" t="s">
        <v>1787</v>
      </c>
      <c r="BG751" s="411"/>
      <c r="BH751" s="411"/>
      <c r="BI751" s="411"/>
      <c r="BJ751" s="399" t="s">
        <v>1787</v>
      </c>
      <c r="BK751" s="399" t="s">
        <v>1787</v>
      </c>
      <c r="BL751" s="399"/>
      <c r="BM751" s="399" t="s">
        <v>1787</v>
      </c>
      <c r="BN751" s="399" t="s">
        <v>1787</v>
      </c>
      <c r="BO751" s="399" t="s">
        <v>1787</v>
      </c>
      <c r="BP751" s="399" t="s">
        <v>1787</v>
      </c>
      <c r="BQ751" s="399" t="s">
        <v>1787</v>
      </c>
      <c r="BR751" s="399" t="s">
        <v>1787</v>
      </c>
      <c r="BS751" s="407"/>
      <c r="BT751" s="407"/>
      <c r="BU751" s="412"/>
      <c r="BV751" s="46" t="str">
        <f t="shared" si="8"/>
        <v/>
      </c>
      <c r="BW751" s="46">
        <f t="shared" si="9"/>
        <v>0</v>
      </c>
      <c r="BX751" s="46">
        <f t="shared" si="10"/>
        <v>0</v>
      </c>
      <c r="BY751" s="43" t="str">
        <f t="shared" si="11"/>
        <v>WHO-STI CarePlan (Recommendation)</v>
      </c>
      <c r="BZ751" s="46">
        <f t="shared" si="12"/>
        <v>1</v>
      </c>
      <c r="CA751" s="46" t="str">
        <f t="shared" si="13"/>
        <v/>
      </c>
      <c r="CB751" s="46">
        <f t="shared" si="14"/>
        <v>1</v>
      </c>
      <c r="CC751" s="46">
        <f t="shared" si="15"/>
        <v>1</v>
      </c>
      <c r="CD751" s="46">
        <f t="shared" si="16"/>
        <v>1</v>
      </c>
      <c r="CE751" s="46">
        <f t="shared" si="17"/>
        <v>0</v>
      </c>
      <c r="CF751" s="46">
        <f t="shared" si="18"/>
        <v>0</v>
      </c>
      <c r="CG751" s="46" t="str">
        <f ca="1">IFERROR(__xludf.DUMMYFUNCTION("if(OR(BH751="""",LEFT(BH751,2)=""LA""),"""",IMPORTXML(CONCATENATE(""https://loinc.org/"",BH751,""/""),""//span[@id='lcn']""))"),"")</f>
        <v/>
      </c>
      <c r="CH751" s="46"/>
      <c r="CI751" s="46"/>
      <c r="CJ751" s="46"/>
      <c r="CK751" s="46"/>
      <c r="CL751" s="46"/>
      <c r="CM751" s="46"/>
      <c r="CN751" s="46"/>
      <c r="CO751" s="46"/>
      <c r="CP751" s="46"/>
      <c r="CQ751" s="46"/>
      <c r="CR751" s="46"/>
      <c r="CS751" s="46"/>
      <c r="CT751" s="46"/>
      <c r="CU751" s="46"/>
    </row>
    <row r="752" spans="1:99" ht="12.75" customHeight="1">
      <c r="A752" s="409">
        <v>2195</v>
      </c>
      <c r="B752" s="399" t="s">
        <v>9168</v>
      </c>
      <c r="C752" s="399">
        <f t="shared" si="117"/>
        <v>2195</v>
      </c>
      <c r="D752" s="399" t="e">
        <f t="shared" ca="1" si="118"/>
        <v>#NAME?</v>
      </c>
      <c r="E752" s="399" t="str">
        <f t="shared" si="119"/>
        <v>Postpartum infection</v>
      </c>
      <c r="F752" s="399" t="str">
        <f t="shared" si="128"/>
        <v>Input Option</v>
      </c>
      <c r="G752" s="400">
        <f t="shared" si="129"/>
        <v>27</v>
      </c>
      <c r="H752" s="399" t="str">
        <f t="shared" si="130"/>
        <v>STI Treatment recommendation</v>
      </c>
      <c r="I752" s="400"/>
      <c r="J752" s="400"/>
      <c r="K752" s="402" t="s">
        <v>9140</v>
      </c>
      <c r="L752" s="402" t="s">
        <v>7244</v>
      </c>
      <c r="M752" s="400"/>
      <c r="N752" s="639" t="s">
        <v>9141</v>
      </c>
      <c r="O752" s="404" t="s">
        <v>6258</v>
      </c>
      <c r="P752" s="404"/>
      <c r="Q752" s="414"/>
      <c r="R752" s="404"/>
      <c r="S752" s="414"/>
      <c r="T752" s="414"/>
      <c r="U752" s="414"/>
      <c r="V752" s="420" t="s">
        <v>9169</v>
      </c>
      <c r="W752" s="404"/>
      <c r="X752" s="414" t="s">
        <v>208</v>
      </c>
      <c r="Y752" s="414"/>
      <c r="Z752" s="414" t="s">
        <v>113</v>
      </c>
      <c r="AA752" s="414" t="s">
        <v>1889</v>
      </c>
      <c r="AB752" s="406"/>
      <c r="AC752" s="404"/>
      <c r="AD752" s="404"/>
      <c r="AE752" s="406"/>
      <c r="AF752" s="404"/>
      <c r="AG752" s="404"/>
      <c r="AH752" s="399"/>
      <c r="AI752" s="400"/>
      <c r="AJ752" s="399" t="s">
        <v>1787</v>
      </c>
      <c r="AK752" s="399"/>
      <c r="AL752" s="409"/>
      <c r="AM752" s="409"/>
      <c r="AN752" s="409"/>
      <c r="AO752" s="399" t="s">
        <v>1787</v>
      </c>
      <c r="AP752" s="399"/>
      <c r="AQ752" s="409" t="s">
        <v>3130</v>
      </c>
      <c r="AR752" s="399"/>
      <c r="AS752" s="399"/>
      <c r="AT752" s="399"/>
      <c r="AU752" s="399"/>
      <c r="AV752" s="399" t="str">
        <f t="shared" si="123"/>
        <v/>
      </c>
      <c r="AW752" s="399"/>
      <c r="AX752" s="409" t="s">
        <v>5194</v>
      </c>
      <c r="AY752" s="399" t="e">
        <f t="shared" ca="1" si="124"/>
        <v>#NAME?</v>
      </c>
      <c r="AZ752" s="399"/>
      <c r="BA752" s="409" t="s">
        <v>3125</v>
      </c>
      <c r="BB752" s="399"/>
      <c r="BC752" s="399" t="s">
        <v>1787</v>
      </c>
      <c r="BD752" s="409" t="s">
        <v>9170</v>
      </c>
      <c r="BE752" s="411"/>
      <c r="BF752" s="411" t="s">
        <v>1787</v>
      </c>
      <c r="BG752" s="434" t="s">
        <v>4482</v>
      </c>
      <c r="BH752" s="411"/>
      <c r="BI752" s="411"/>
      <c r="BJ752" s="399" t="s">
        <v>1787</v>
      </c>
      <c r="BK752" s="399" t="s">
        <v>1787</v>
      </c>
      <c r="BL752" s="399"/>
      <c r="BM752" s="399" t="s">
        <v>1787</v>
      </c>
      <c r="BN752" s="466" t="str">
        <f>HYPERLINK("https://github.com/who-int/Data-Dictionary-Mapping/issues/71","71")</f>
        <v>71</v>
      </c>
      <c r="BO752" s="399" t="s">
        <v>1787</v>
      </c>
      <c r="BP752" s="399" t="s">
        <v>1787</v>
      </c>
      <c r="BQ752" s="399" t="s">
        <v>1787</v>
      </c>
      <c r="BR752" s="399" t="s">
        <v>1787</v>
      </c>
      <c r="BS752" s="407"/>
      <c r="BT752" s="407"/>
      <c r="BU752" s="412"/>
      <c r="BV752" s="46" t="str">
        <f t="shared" si="8"/>
        <v/>
      </c>
      <c r="BW752" s="46">
        <f t="shared" si="9"/>
        <v>0</v>
      </c>
      <c r="BX752" s="46">
        <f t="shared" si="10"/>
        <v>0</v>
      </c>
      <c r="BY752" s="43" t="str">
        <f t="shared" si="11"/>
        <v>WHO-STI CarePlan (Recommendation)</v>
      </c>
      <c r="BZ752" s="46">
        <f t="shared" si="12"/>
        <v>1</v>
      </c>
      <c r="CA752" s="46" t="str">
        <f t="shared" si="13"/>
        <v/>
      </c>
      <c r="CB752" s="46">
        <f t="shared" si="14"/>
        <v>1</v>
      </c>
      <c r="CC752" s="46">
        <f t="shared" si="15"/>
        <v>1</v>
      </c>
      <c r="CD752" s="46">
        <f t="shared" si="16"/>
        <v>1</v>
      </c>
      <c r="CE752" s="46">
        <f t="shared" si="17"/>
        <v>0</v>
      </c>
      <c r="CF752" s="46">
        <f t="shared" si="18"/>
        <v>0</v>
      </c>
      <c r="CG752" s="46" t="str">
        <f ca="1">IFERROR(__xludf.DUMMYFUNCTION("if(OR(BH752="""",LEFT(BH752,2)=""LA""),"""",IMPORTXML(CONCATENATE(""https://loinc.org/"",BH752,""/""),""//span[@id='lcn']""))"),"")</f>
        <v/>
      </c>
      <c r="CH752" s="46"/>
      <c r="CI752" s="46"/>
      <c r="CJ752" s="46"/>
      <c r="CK752" s="46"/>
      <c r="CL752" s="46"/>
      <c r="CM752" s="46"/>
      <c r="CN752" s="46"/>
      <c r="CO752" s="46"/>
      <c r="CP752" s="46"/>
      <c r="CQ752" s="46"/>
      <c r="CR752" s="46"/>
      <c r="CS752" s="46"/>
      <c r="CT752" s="46"/>
      <c r="CU752" s="46"/>
    </row>
    <row r="753" spans="1:99" ht="12.75" customHeight="1">
      <c r="A753" s="409">
        <v>2196</v>
      </c>
      <c r="B753" s="399" t="s">
        <v>9171</v>
      </c>
      <c r="C753" s="399">
        <f t="shared" si="117"/>
        <v>2196</v>
      </c>
      <c r="D753" s="399" t="str">
        <f t="shared" si="118"/>
        <v>Other (specify)</v>
      </c>
      <c r="E753" s="399" t="str">
        <f t="shared" si="119"/>
        <v>Other (specify)</v>
      </c>
      <c r="F753" s="399" t="str">
        <f t="shared" si="128"/>
        <v>Data Element</v>
      </c>
      <c r="G753" s="400">
        <f t="shared" si="129"/>
        <v>42</v>
      </c>
      <c r="H753" s="400" t="str">
        <f t="shared" si="130"/>
        <v/>
      </c>
      <c r="I753" s="400"/>
      <c r="J753" s="400"/>
      <c r="K753" s="402" t="s">
        <v>9140</v>
      </c>
      <c r="L753" s="402" t="s">
        <v>7244</v>
      </c>
      <c r="M753" s="400"/>
      <c r="N753" s="639" t="s">
        <v>9141</v>
      </c>
      <c r="O753" s="414" t="s">
        <v>6260</v>
      </c>
      <c r="P753" s="414"/>
      <c r="Q753" s="407" t="s">
        <v>405</v>
      </c>
      <c r="R753" s="407"/>
      <c r="S753" s="407" t="s">
        <v>3421</v>
      </c>
      <c r="T753" s="407" t="s">
        <v>111</v>
      </c>
      <c r="U753" s="407"/>
      <c r="V753" s="407"/>
      <c r="W753" s="404"/>
      <c r="X753" s="407" t="s">
        <v>208</v>
      </c>
      <c r="Y753" s="407"/>
      <c r="Z753" s="414" t="s">
        <v>113</v>
      </c>
      <c r="AA753" s="407" t="s">
        <v>3178</v>
      </c>
      <c r="AB753" s="432" t="s">
        <v>7485</v>
      </c>
      <c r="AC753" s="421"/>
      <c r="AD753" s="407"/>
      <c r="AE753" s="408"/>
      <c r="AF753" s="407"/>
      <c r="AG753" s="407"/>
      <c r="AH753" s="399"/>
      <c r="AI753" s="400"/>
      <c r="AJ753" s="399" t="s">
        <v>1787</v>
      </c>
      <c r="AK753" s="440" t="s">
        <v>6701</v>
      </c>
      <c r="AL753" s="409" t="s">
        <v>3181</v>
      </c>
      <c r="AM753" s="409" t="s">
        <v>3100</v>
      </c>
      <c r="AN753" s="409" t="s">
        <v>3101</v>
      </c>
      <c r="AO753" s="399" t="s">
        <v>1787</v>
      </c>
      <c r="AP753" s="409" t="s">
        <v>6515</v>
      </c>
      <c r="AQ753" s="409" t="s">
        <v>3130</v>
      </c>
      <c r="AR753" s="399"/>
      <c r="AS753" s="399"/>
      <c r="AT753" s="399"/>
      <c r="AU753" s="399"/>
      <c r="AV753" s="399" t="str">
        <f t="shared" si="123"/>
        <v/>
      </c>
      <c r="AW753" s="399"/>
      <c r="AX753" s="409" t="s">
        <v>5194</v>
      </c>
      <c r="AY753" s="399" t="str">
        <f t="shared" si="124"/>
        <v>"Other (specify)"-&gt;"Other (specify) - Treatment recommendation"</v>
      </c>
      <c r="AZ753" s="399"/>
      <c r="BA753" s="409" t="s">
        <v>3125</v>
      </c>
      <c r="BB753" s="399"/>
      <c r="BC753" s="399" t="s">
        <v>1787</v>
      </c>
      <c r="BD753" s="399" t="s">
        <v>1787</v>
      </c>
      <c r="BE753" s="411"/>
      <c r="BF753" s="411" t="s">
        <v>1787</v>
      </c>
      <c r="BG753" s="411"/>
      <c r="BH753" s="411"/>
      <c r="BI753" s="411"/>
      <c r="BJ753" s="409" t="s">
        <v>3106</v>
      </c>
      <c r="BK753" s="399" t="s">
        <v>1787</v>
      </c>
      <c r="BL753" s="399"/>
      <c r="BM753" s="399" t="s">
        <v>1787</v>
      </c>
      <c r="BN753" s="399" t="s">
        <v>1787</v>
      </c>
      <c r="BO753" s="399" t="s">
        <v>1787</v>
      </c>
      <c r="BP753" s="399" t="s">
        <v>1787</v>
      </c>
      <c r="BQ753" s="399" t="s">
        <v>1787</v>
      </c>
      <c r="BR753" s="399" t="s">
        <v>1787</v>
      </c>
      <c r="BS753" s="407"/>
      <c r="BT753" s="407"/>
      <c r="BU753" s="412"/>
      <c r="BV753" s="46" t="str">
        <f t="shared" si="8"/>
        <v>CarePlan</v>
      </c>
      <c r="BW753" s="46" t="str">
        <f t="shared" si="9"/>
        <v/>
      </c>
      <c r="BX753" s="46" t="str">
        <f t="shared" si="10"/>
        <v>CarePlan</v>
      </c>
      <c r="BY753" s="43" t="str">
        <f t="shared" si="11"/>
        <v>WHO-STI CarePlan (Recommendation)</v>
      </c>
      <c r="BZ753" s="46">
        <f t="shared" si="12"/>
        <v>1</v>
      </c>
      <c r="CA753" s="46">
        <f t="shared" si="13"/>
        <v>0</v>
      </c>
      <c r="CB753" s="46">
        <f t="shared" si="14"/>
        <v>1</v>
      </c>
      <c r="CC753" s="46">
        <f t="shared" si="15"/>
        <v>1</v>
      </c>
      <c r="CD753" s="46">
        <f t="shared" si="16"/>
        <v>1</v>
      </c>
      <c r="CE753" s="46">
        <f t="shared" si="17"/>
        <v>0</v>
      </c>
      <c r="CF753" s="46">
        <f t="shared" si="18"/>
        <v>0</v>
      </c>
      <c r="CG753" s="46" t="str">
        <f ca="1">IFERROR(__xludf.DUMMYFUNCTION("if(OR(BH753="""",LEFT(BH753,2)=""LA""),"""",IMPORTXML(CONCATENATE(""https://loinc.org/"",BH753,""/""),""//span[@id='lcn']""))"),"")</f>
        <v/>
      </c>
      <c r="CH753" s="46"/>
      <c r="CI753" s="46"/>
      <c r="CJ753" s="46"/>
      <c r="CK753" s="46"/>
      <c r="CL753" s="46"/>
      <c r="CM753" s="46"/>
      <c r="CN753" s="46"/>
      <c r="CO753" s="46"/>
      <c r="CP753" s="46"/>
      <c r="CQ753" s="46"/>
      <c r="CR753" s="46"/>
      <c r="CS753" s="46"/>
      <c r="CT753" s="46"/>
      <c r="CU753" s="46"/>
    </row>
    <row r="754" spans="1:99" ht="12.75" customHeight="1">
      <c r="A754" s="409">
        <v>2198</v>
      </c>
      <c r="B754" s="409" t="s">
        <v>9172</v>
      </c>
      <c r="C754" s="399">
        <f t="shared" si="117"/>
        <v>2198</v>
      </c>
      <c r="D754" s="399" t="str">
        <f t="shared" si="118"/>
        <v>Prescribed drugs</v>
      </c>
      <c r="E754" s="399" t="str">
        <f t="shared" si="119"/>
        <v>Prescribed drugs</v>
      </c>
      <c r="F754" s="409" t="s">
        <v>96</v>
      </c>
      <c r="G754" s="400">
        <f t="shared" si="129"/>
        <v>23</v>
      </c>
      <c r="H754" s="400" t="str">
        <f t="shared" si="130"/>
        <v/>
      </c>
      <c r="I754" s="400"/>
      <c r="J754" s="400"/>
      <c r="K754" s="402" t="s">
        <v>9140</v>
      </c>
      <c r="L754" s="402" t="s">
        <v>961</v>
      </c>
      <c r="M754" s="400"/>
      <c r="N754" s="639" t="s">
        <v>9141</v>
      </c>
      <c r="O754" s="404" t="s">
        <v>9173</v>
      </c>
      <c r="P754" s="404"/>
      <c r="Q754" s="429" t="s">
        <v>9174</v>
      </c>
      <c r="R754" s="414"/>
      <c r="S754" s="414" t="s">
        <v>9175</v>
      </c>
      <c r="T754" s="431" t="s">
        <v>3121</v>
      </c>
      <c r="U754" s="429" t="s">
        <v>3326</v>
      </c>
      <c r="V754" s="404"/>
      <c r="W754" s="407"/>
      <c r="X754" s="407" t="s">
        <v>208</v>
      </c>
      <c r="Y754" s="404"/>
      <c r="Z754" s="407" t="s">
        <v>113</v>
      </c>
      <c r="AA754" s="407" t="s">
        <v>1889</v>
      </c>
      <c r="AB754" s="750" t="s">
        <v>9176</v>
      </c>
      <c r="AC754" s="421"/>
      <c r="AD754" s="421"/>
      <c r="AE754" s="420"/>
      <c r="AF754" s="404"/>
      <c r="AG754" s="420" t="s">
        <v>6102</v>
      </c>
      <c r="AH754" s="399"/>
      <c r="AI754" s="400"/>
      <c r="AJ754" s="399" t="s">
        <v>1787</v>
      </c>
      <c r="AK754" s="409" t="s">
        <v>3650</v>
      </c>
      <c r="AL754" s="409" t="s">
        <v>3181</v>
      </c>
      <c r="AM754" s="409" t="s">
        <v>3100</v>
      </c>
      <c r="AN754" s="399" t="s">
        <v>3101</v>
      </c>
      <c r="AO754" s="399" t="s">
        <v>1787</v>
      </c>
      <c r="AP754" s="409" t="s">
        <v>6755</v>
      </c>
      <c r="AQ754" s="409" t="s">
        <v>3424</v>
      </c>
      <c r="AR754" s="409" t="s">
        <v>6395</v>
      </c>
      <c r="AS754" s="409" t="s">
        <v>3413</v>
      </c>
      <c r="AT754" s="399"/>
      <c r="AU754" s="399"/>
      <c r="AV754" s="399" t="str">
        <f t="shared" si="123"/>
        <v/>
      </c>
      <c r="AW754" s="399"/>
      <c r="AX754" s="409" t="s">
        <v>5194</v>
      </c>
      <c r="AY754" s="399" t="str">
        <f t="shared" si="124"/>
        <v>"Prescribed drugs"-&gt;"Current STI Medications"</v>
      </c>
      <c r="AZ754" s="399"/>
      <c r="BA754" s="409" t="s">
        <v>3125</v>
      </c>
      <c r="BB754" s="399"/>
      <c r="BC754" s="399" t="s">
        <v>1787</v>
      </c>
      <c r="BD754" s="399" t="s">
        <v>1787</v>
      </c>
      <c r="BE754" s="411"/>
      <c r="BF754" s="411" t="s">
        <v>1787</v>
      </c>
      <c r="BG754" s="411"/>
      <c r="BH754" s="411"/>
      <c r="BI754" s="411"/>
      <c r="BJ754" s="409" t="s">
        <v>3106</v>
      </c>
      <c r="BK754" s="399" t="s">
        <v>1787</v>
      </c>
      <c r="BL754" s="399"/>
      <c r="BM754" s="399" t="s">
        <v>1787</v>
      </c>
      <c r="BN754" s="399" t="s">
        <v>1787</v>
      </c>
      <c r="BO754" s="399" t="s">
        <v>1787</v>
      </c>
      <c r="BP754" s="399" t="s">
        <v>1787</v>
      </c>
      <c r="BQ754" s="399" t="s">
        <v>1787</v>
      </c>
      <c r="BR754" s="399" t="s">
        <v>1787</v>
      </c>
      <c r="BS754" s="407"/>
      <c r="BT754" s="407"/>
      <c r="BU754" s="412"/>
      <c r="BV754" s="46" t="str">
        <f t="shared" si="8"/>
        <v>MedicationStatement</v>
      </c>
      <c r="BW754" s="46" t="str">
        <f t="shared" si="9"/>
        <v/>
      </c>
      <c r="BX754" s="46" t="str">
        <f t="shared" si="10"/>
        <v>MedicationStatement</v>
      </c>
      <c r="BY754" s="43" t="str">
        <f t="shared" si="11"/>
        <v>WHO-STI MedicationStatement (Current Medication)</v>
      </c>
      <c r="BZ754" s="46">
        <f t="shared" si="12"/>
        <v>1</v>
      </c>
      <c r="CA754" s="46">
        <f t="shared" si="13"/>
        <v>1</v>
      </c>
      <c r="CB754" s="46">
        <f t="shared" si="14"/>
        <v>1</v>
      </c>
      <c r="CC754" s="46">
        <f t="shared" si="15"/>
        <v>1</v>
      </c>
      <c r="CD754" s="46">
        <f t="shared" si="16"/>
        <v>1</v>
      </c>
      <c r="CE754" s="46">
        <f t="shared" si="17"/>
        <v>0</v>
      </c>
      <c r="CF754" s="46">
        <f t="shared" si="18"/>
        <v>0</v>
      </c>
      <c r="CG754" s="46" t="str">
        <f ca="1">IFERROR(__xludf.DUMMYFUNCTION("if(OR(BH754="""",LEFT(BH754,2)=""LA""),"""",IMPORTXML(CONCATENATE(""https://loinc.org/"",BH754,""/""),""//span[@id='lcn']""))"),"")</f>
        <v/>
      </c>
      <c r="CH754" s="46"/>
      <c r="CI754" s="46"/>
      <c r="CJ754" s="46"/>
      <c r="CK754" s="46"/>
      <c r="CL754" s="46"/>
      <c r="CM754" s="46"/>
      <c r="CN754" s="46"/>
      <c r="CO754" s="46"/>
      <c r="CP754" s="46"/>
      <c r="CQ754" s="46"/>
      <c r="CR754" s="46"/>
      <c r="CS754" s="46"/>
      <c r="CT754" s="46"/>
      <c r="CU754" s="46"/>
    </row>
    <row r="755" spans="1:99" ht="12.75" customHeight="1">
      <c r="A755" s="409">
        <v>2199</v>
      </c>
      <c r="B755" s="399" t="s">
        <v>9177</v>
      </c>
      <c r="C755" s="399">
        <f t="shared" si="117"/>
        <v>2199</v>
      </c>
      <c r="D755" s="399" t="e">
        <f t="shared" ca="1" si="118"/>
        <v>#NAME?</v>
      </c>
      <c r="E755" s="399" t="str">
        <f t="shared" si="119"/>
        <v>aciclovir</v>
      </c>
      <c r="F755" s="409" t="s">
        <v>180</v>
      </c>
      <c r="G755" s="400">
        <f t="shared" si="129"/>
        <v>9</v>
      </c>
      <c r="H755" s="399" t="str">
        <f t="shared" si="130"/>
        <v>Current STI Medications</v>
      </c>
      <c r="I755" s="400"/>
      <c r="J755" s="400"/>
      <c r="K755" s="402" t="s">
        <v>9140</v>
      </c>
      <c r="L755" s="402" t="s">
        <v>961</v>
      </c>
      <c r="M755" s="400"/>
      <c r="N755" s="639" t="s">
        <v>9141</v>
      </c>
      <c r="O755" s="636" t="s">
        <v>9178</v>
      </c>
      <c r="P755" s="636"/>
      <c r="Q755" s="636"/>
      <c r="R755" s="414"/>
      <c r="S755" s="636"/>
      <c r="T755" s="636"/>
      <c r="U755" s="636"/>
      <c r="V755" s="751" t="s">
        <v>9177</v>
      </c>
      <c r="W755" s="407"/>
      <c r="X755" s="407" t="s">
        <v>208</v>
      </c>
      <c r="Y755" s="404"/>
      <c r="Z755" s="407" t="s">
        <v>113</v>
      </c>
      <c r="AA755" s="407" t="s">
        <v>1889</v>
      </c>
      <c r="AB755" s="750" t="s">
        <v>9176</v>
      </c>
      <c r="AC755" s="752"/>
      <c r="AD755" s="752"/>
      <c r="AE755" s="444"/>
      <c r="AF755" s="636"/>
      <c r="AG755" s="750" t="s">
        <v>6102</v>
      </c>
      <c r="AH755" s="399"/>
      <c r="AI755" s="400"/>
      <c r="AJ755" s="399" t="s">
        <v>1787</v>
      </c>
      <c r="AK755" s="409"/>
      <c r="AL755" s="409"/>
      <c r="AM755" s="409"/>
      <c r="AN755" s="399"/>
      <c r="AO755" s="399"/>
      <c r="AP755" s="409"/>
      <c r="AQ755" s="409" t="s">
        <v>3130</v>
      </c>
      <c r="AR755" s="399"/>
      <c r="AS755" s="399"/>
      <c r="AT755" s="399"/>
      <c r="AU755" s="399"/>
      <c r="AV755" s="399" t="str">
        <f t="shared" si="123"/>
        <v/>
      </c>
      <c r="AW755" s="399"/>
      <c r="AX755" s="409" t="s">
        <v>5194</v>
      </c>
      <c r="AY755" s="399" t="e">
        <f t="shared" ca="1" si="124"/>
        <v>#NAME?</v>
      </c>
      <c r="AZ755" s="399"/>
      <c r="BA755" s="409" t="s">
        <v>3125</v>
      </c>
      <c r="BB755" s="399"/>
      <c r="BC755" s="399" t="s">
        <v>1787</v>
      </c>
      <c r="BD755" s="409" t="s">
        <v>3162</v>
      </c>
      <c r="BE755" s="411"/>
      <c r="BF755" s="411" t="s">
        <v>1787</v>
      </c>
      <c r="BG755" s="411"/>
      <c r="BH755" s="411"/>
      <c r="BI755" s="434" t="s">
        <v>9179</v>
      </c>
      <c r="BJ755" s="399" t="s">
        <v>1787</v>
      </c>
      <c r="BK755" s="399" t="s">
        <v>1787</v>
      </c>
      <c r="BL755" s="399"/>
      <c r="BM755" s="409" t="s">
        <v>9180</v>
      </c>
      <c r="BN755" s="399" t="s">
        <v>1787</v>
      </c>
      <c r="BO755" s="399" t="s">
        <v>1787</v>
      </c>
      <c r="BP755" s="399" t="s">
        <v>1787</v>
      </c>
      <c r="BQ755" s="399" t="s">
        <v>1787</v>
      </c>
      <c r="BR755" s="399" t="s">
        <v>1787</v>
      </c>
      <c r="BS755" s="407"/>
      <c r="BT755" s="407"/>
      <c r="BU755" s="412"/>
      <c r="BV755" s="46" t="str">
        <f t="shared" si="8"/>
        <v/>
      </c>
      <c r="BW755" s="46">
        <f t="shared" si="9"/>
        <v>0</v>
      </c>
      <c r="BX755" s="46">
        <f t="shared" si="10"/>
        <v>0</v>
      </c>
      <c r="BY755" s="43" t="str">
        <f t="shared" si="11"/>
        <v>WHO-STI MedicationStatement (Current Medication)</v>
      </c>
      <c r="BZ755" s="46">
        <f t="shared" si="12"/>
        <v>1</v>
      </c>
      <c r="CA755" s="46" t="str">
        <f t="shared" si="13"/>
        <v/>
      </c>
      <c r="CB755" s="46">
        <f t="shared" si="14"/>
        <v>1</v>
      </c>
      <c r="CC755" s="46">
        <f t="shared" si="15"/>
        <v>1</v>
      </c>
      <c r="CD755" s="46">
        <f t="shared" si="16"/>
        <v>1</v>
      </c>
      <c r="CE755" s="46">
        <f t="shared" si="17"/>
        <v>0</v>
      </c>
      <c r="CF755" s="46">
        <f t="shared" si="18"/>
        <v>0</v>
      </c>
      <c r="CG755" s="46" t="str">
        <f ca="1">IFERROR(__xludf.DUMMYFUNCTION("if(OR(BH755="""",LEFT(BH755,2)=""LA""),"""",IMPORTXML(CONCATENATE(""https://loinc.org/"",BH755,""/""),""//span[@id='lcn']""))"),"")</f>
        <v/>
      </c>
      <c r="CH755" s="46"/>
      <c r="CI755" s="46"/>
      <c r="CJ755" s="46"/>
      <c r="CK755" s="46"/>
      <c r="CL755" s="46"/>
      <c r="CM755" s="46"/>
      <c r="CN755" s="46"/>
      <c r="CO755" s="46"/>
      <c r="CP755" s="46"/>
      <c r="CQ755" s="46"/>
      <c r="CR755" s="46"/>
      <c r="CS755" s="46"/>
      <c r="CT755" s="46"/>
      <c r="CU755" s="46"/>
    </row>
    <row r="756" spans="1:99" ht="12.75" customHeight="1">
      <c r="A756" s="409">
        <v>2200</v>
      </c>
      <c r="B756" s="399" t="s">
        <v>9181</v>
      </c>
      <c r="C756" s="399">
        <f t="shared" si="117"/>
        <v>2200</v>
      </c>
      <c r="D756" s="399" t="e">
        <f t="shared" ca="1" si="118"/>
        <v>#NAME?</v>
      </c>
      <c r="E756" s="399" t="str">
        <f t="shared" si="119"/>
        <v>benzyl penicillin</v>
      </c>
      <c r="F756" s="409" t="s">
        <v>180</v>
      </c>
      <c r="G756" s="400">
        <f t="shared" si="129"/>
        <v>17</v>
      </c>
      <c r="H756" s="399" t="str">
        <f t="shared" si="130"/>
        <v>Current STI Medications</v>
      </c>
      <c r="I756" s="400"/>
      <c r="J756" s="400"/>
      <c r="K756" s="402" t="s">
        <v>9140</v>
      </c>
      <c r="L756" s="402" t="s">
        <v>961</v>
      </c>
      <c r="M756" s="400"/>
      <c r="N756" s="639" t="s">
        <v>9141</v>
      </c>
      <c r="O756" s="636" t="s">
        <v>9182</v>
      </c>
      <c r="P756" s="636"/>
      <c r="Q756" s="636"/>
      <c r="R756" s="414"/>
      <c r="S756" s="636"/>
      <c r="T756" s="636"/>
      <c r="U756" s="636"/>
      <c r="V756" s="753" t="s">
        <v>9181</v>
      </c>
      <c r="W756" s="407"/>
      <c r="X756" s="407" t="s">
        <v>208</v>
      </c>
      <c r="Y756" s="404"/>
      <c r="Z756" s="407" t="s">
        <v>113</v>
      </c>
      <c r="AA756" s="407" t="s">
        <v>1889</v>
      </c>
      <c r="AB756" s="750" t="s">
        <v>9176</v>
      </c>
      <c r="AC756" s="752"/>
      <c r="AD756" s="752"/>
      <c r="AE756" s="444"/>
      <c r="AF756" s="636"/>
      <c r="AG756" s="750" t="s">
        <v>6102</v>
      </c>
      <c r="AH756" s="399"/>
      <c r="AI756" s="400"/>
      <c r="AJ756" s="399" t="s">
        <v>1787</v>
      </c>
      <c r="AK756" s="409"/>
      <c r="AL756" s="409"/>
      <c r="AM756" s="409"/>
      <c r="AN756" s="399"/>
      <c r="AO756" s="399"/>
      <c r="AP756" s="409"/>
      <c r="AQ756" s="409" t="s">
        <v>3130</v>
      </c>
      <c r="AR756" s="399"/>
      <c r="AS756" s="399"/>
      <c r="AT756" s="399"/>
      <c r="AU756" s="399"/>
      <c r="AV756" s="399" t="str">
        <f t="shared" si="123"/>
        <v/>
      </c>
      <c r="AW756" s="399"/>
      <c r="AX756" s="409" t="s">
        <v>5194</v>
      </c>
      <c r="AY756" s="399" t="e">
        <f t="shared" ca="1" si="124"/>
        <v>#NAME?</v>
      </c>
      <c r="AZ756" s="399"/>
      <c r="BA756" s="409" t="s">
        <v>3125</v>
      </c>
      <c r="BB756" s="399"/>
      <c r="BC756" s="399" t="s">
        <v>1787</v>
      </c>
      <c r="BD756" s="399" t="s">
        <v>1787</v>
      </c>
      <c r="BE756" s="411"/>
      <c r="BF756" s="411" t="s">
        <v>1787</v>
      </c>
      <c r="BG756" s="433" t="s">
        <v>9183</v>
      </c>
      <c r="BH756" s="411"/>
      <c r="BI756" s="434" t="s">
        <v>9184</v>
      </c>
      <c r="BJ756" s="399" t="s">
        <v>1787</v>
      </c>
      <c r="BK756" s="409"/>
      <c r="BL756" s="409"/>
      <c r="BM756" s="409" t="s">
        <v>9185</v>
      </c>
      <c r="BN756" s="399" t="s">
        <v>1787</v>
      </c>
      <c r="BO756" s="399" t="s">
        <v>1787</v>
      </c>
      <c r="BP756" s="399" t="s">
        <v>1787</v>
      </c>
      <c r="BQ756" s="399" t="s">
        <v>1787</v>
      </c>
      <c r="BR756" s="399" t="s">
        <v>1787</v>
      </c>
      <c r="BS756" s="407"/>
      <c r="BT756" s="407"/>
      <c r="BU756" s="412"/>
      <c r="BV756" s="46" t="str">
        <f t="shared" si="8"/>
        <v/>
      </c>
      <c r="BW756" s="46">
        <f t="shared" si="9"/>
        <v>0</v>
      </c>
      <c r="BX756" s="46">
        <f t="shared" si="10"/>
        <v>0</v>
      </c>
      <c r="BY756" s="43" t="str">
        <f t="shared" si="11"/>
        <v>WHO-STI MedicationStatement (Current Medication)</v>
      </c>
      <c r="BZ756" s="46">
        <f t="shared" si="12"/>
        <v>1</v>
      </c>
      <c r="CA756" s="46" t="str">
        <f t="shared" si="13"/>
        <v/>
      </c>
      <c r="CB756" s="46">
        <f t="shared" si="14"/>
        <v>1</v>
      </c>
      <c r="CC756" s="46">
        <f t="shared" si="15"/>
        <v>1</v>
      </c>
      <c r="CD756" s="46">
        <f t="shared" si="16"/>
        <v>1</v>
      </c>
      <c r="CE756" s="46">
        <f t="shared" si="17"/>
        <v>0</v>
      </c>
      <c r="CF756" s="46">
        <f t="shared" si="18"/>
        <v>0</v>
      </c>
      <c r="CG756" s="46" t="str">
        <f ca="1">IFERROR(__xludf.DUMMYFUNCTION("if(OR(BH756="""",LEFT(BH756,2)=""LA""),"""",IMPORTXML(CONCATENATE(""https://loinc.org/"",BH756,""/""),""//span[@id='lcn']""))"),"")</f>
        <v/>
      </c>
      <c r="CH756" s="46"/>
      <c r="CI756" s="46"/>
      <c r="CJ756" s="46"/>
      <c r="CK756" s="46"/>
      <c r="CL756" s="46"/>
      <c r="CM756" s="46"/>
      <c r="CN756" s="46"/>
      <c r="CO756" s="46"/>
      <c r="CP756" s="46"/>
      <c r="CQ756" s="46"/>
      <c r="CR756" s="46"/>
      <c r="CS756" s="46"/>
      <c r="CT756" s="46"/>
      <c r="CU756" s="46"/>
    </row>
    <row r="757" spans="1:99" ht="12.75" customHeight="1">
      <c r="A757" s="409">
        <v>2201</v>
      </c>
      <c r="B757" s="399" t="s">
        <v>9186</v>
      </c>
      <c r="C757" s="399">
        <f t="shared" si="117"/>
        <v>2201</v>
      </c>
      <c r="D757" s="399" t="e">
        <f t="shared" ca="1" si="118"/>
        <v>#NAME?</v>
      </c>
      <c r="E757" s="399" t="str">
        <f t="shared" si="119"/>
        <v>azithromycin</v>
      </c>
      <c r="F757" s="409" t="s">
        <v>180</v>
      </c>
      <c r="G757" s="400">
        <f t="shared" si="129"/>
        <v>12</v>
      </c>
      <c r="H757" s="399" t="str">
        <f t="shared" si="130"/>
        <v>Current STI Medications</v>
      </c>
      <c r="I757" s="400"/>
      <c r="J757" s="400"/>
      <c r="K757" s="402" t="s">
        <v>9140</v>
      </c>
      <c r="L757" s="402" t="s">
        <v>961</v>
      </c>
      <c r="M757" s="400"/>
      <c r="N757" s="639" t="s">
        <v>9141</v>
      </c>
      <c r="O757" s="636" t="s">
        <v>9187</v>
      </c>
      <c r="P757" s="636"/>
      <c r="Q757" s="636"/>
      <c r="R757" s="414"/>
      <c r="S757" s="636"/>
      <c r="T757" s="636"/>
      <c r="U757" s="636"/>
      <c r="V757" s="751" t="s">
        <v>9186</v>
      </c>
      <c r="W757" s="407"/>
      <c r="X757" s="407" t="s">
        <v>208</v>
      </c>
      <c r="Y757" s="404"/>
      <c r="Z757" s="407" t="s">
        <v>113</v>
      </c>
      <c r="AA757" s="407" t="s">
        <v>1889</v>
      </c>
      <c r="AB757" s="750" t="s">
        <v>9176</v>
      </c>
      <c r="AC757" s="752"/>
      <c r="AD757" s="752"/>
      <c r="AE757" s="444"/>
      <c r="AF757" s="636"/>
      <c r="AG757" s="750" t="s">
        <v>6102</v>
      </c>
      <c r="AH757" s="399"/>
      <c r="AI757" s="400"/>
      <c r="AJ757" s="399" t="s">
        <v>1787</v>
      </c>
      <c r="AK757" s="409"/>
      <c r="AL757" s="409"/>
      <c r="AM757" s="409"/>
      <c r="AN757" s="399"/>
      <c r="AO757" s="399"/>
      <c r="AP757" s="409"/>
      <c r="AQ757" s="409" t="s">
        <v>3130</v>
      </c>
      <c r="AR757" s="399"/>
      <c r="AS757" s="399"/>
      <c r="AT757" s="399"/>
      <c r="AU757" s="399"/>
      <c r="AV757" s="399" t="str">
        <f t="shared" si="123"/>
        <v/>
      </c>
      <c r="AW757" s="399"/>
      <c r="AX757" s="409" t="s">
        <v>5194</v>
      </c>
      <c r="AY757" s="399" t="e">
        <f t="shared" ca="1" si="124"/>
        <v>#NAME?</v>
      </c>
      <c r="AZ757" s="399"/>
      <c r="BA757" s="409" t="s">
        <v>3125</v>
      </c>
      <c r="BB757" s="399"/>
      <c r="BC757" s="399" t="s">
        <v>1787</v>
      </c>
      <c r="BD757" s="409" t="s">
        <v>3162</v>
      </c>
      <c r="BE757" s="411"/>
      <c r="BF757" s="411" t="s">
        <v>1787</v>
      </c>
      <c r="BG757" s="411"/>
      <c r="BH757" s="411"/>
      <c r="BI757" s="434" t="s">
        <v>9188</v>
      </c>
      <c r="BJ757" s="399" t="s">
        <v>1787</v>
      </c>
      <c r="BK757" s="399" t="s">
        <v>1787</v>
      </c>
      <c r="BL757" s="399"/>
      <c r="BM757" s="399" t="s">
        <v>1787</v>
      </c>
      <c r="BN757" s="399" t="s">
        <v>1787</v>
      </c>
      <c r="BO757" s="399" t="s">
        <v>1787</v>
      </c>
      <c r="BP757" s="399" t="s">
        <v>1787</v>
      </c>
      <c r="BQ757" s="399" t="s">
        <v>1787</v>
      </c>
      <c r="BR757" s="399" t="s">
        <v>1787</v>
      </c>
      <c r="BS757" s="407"/>
      <c r="BT757" s="407"/>
      <c r="BU757" s="412"/>
      <c r="BV757" s="46" t="str">
        <f t="shared" si="8"/>
        <v/>
      </c>
      <c r="BW757" s="46">
        <f t="shared" si="9"/>
        <v>0</v>
      </c>
      <c r="BX757" s="46">
        <f t="shared" si="10"/>
        <v>0</v>
      </c>
      <c r="BY757" s="43" t="str">
        <f t="shared" si="11"/>
        <v>WHO-STI MedicationStatement (Current Medication)</v>
      </c>
      <c r="BZ757" s="46">
        <f t="shared" si="12"/>
        <v>1</v>
      </c>
      <c r="CA757" s="46" t="str">
        <f t="shared" si="13"/>
        <v/>
      </c>
      <c r="CB757" s="46">
        <f t="shared" si="14"/>
        <v>1</v>
      </c>
      <c r="CC757" s="46">
        <f t="shared" si="15"/>
        <v>1</v>
      </c>
      <c r="CD757" s="46">
        <f t="shared" si="16"/>
        <v>1</v>
      </c>
      <c r="CE757" s="46">
        <f t="shared" si="17"/>
        <v>0</v>
      </c>
      <c r="CF757" s="46">
        <f t="shared" si="18"/>
        <v>0</v>
      </c>
      <c r="CG757" s="46" t="str">
        <f ca="1">IFERROR(__xludf.DUMMYFUNCTION("if(OR(BH757="""",LEFT(BH757,2)=""LA""),"""",IMPORTXML(CONCATENATE(""https://loinc.org/"",BH757,""/""),""//span[@id='lcn']""))"),"")</f>
        <v/>
      </c>
      <c r="CH757" s="46"/>
      <c r="CI757" s="46"/>
      <c r="CJ757" s="46"/>
      <c r="CK757" s="46"/>
      <c r="CL757" s="46"/>
      <c r="CM757" s="46"/>
      <c r="CN757" s="46"/>
      <c r="CO757" s="46"/>
      <c r="CP757" s="46"/>
      <c r="CQ757" s="46"/>
      <c r="CR757" s="46"/>
      <c r="CS757" s="46"/>
      <c r="CT757" s="46"/>
      <c r="CU757" s="46"/>
    </row>
    <row r="758" spans="1:99" ht="12.75" customHeight="1">
      <c r="A758" s="409">
        <v>2202</v>
      </c>
      <c r="B758" s="399" t="s">
        <v>9189</v>
      </c>
      <c r="C758" s="399">
        <f t="shared" si="117"/>
        <v>2202</v>
      </c>
      <c r="D758" s="399" t="e">
        <f t="shared" ca="1" si="118"/>
        <v>#NAME?</v>
      </c>
      <c r="E758" s="399" t="str">
        <f t="shared" si="119"/>
        <v>benzathine penicillin</v>
      </c>
      <c r="F758" s="409" t="s">
        <v>180</v>
      </c>
      <c r="G758" s="400">
        <f t="shared" si="129"/>
        <v>21</v>
      </c>
      <c r="H758" s="399" t="str">
        <f t="shared" si="130"/>
        <v>Current STI Medications</v>
      </c>
      <c r="I758" s="400"/>
      <c r="J758" s="400"/>
      <c r="K758" s="402" t="s">
        <v>9140</v>
      </c>
      <c r="L758" s="402" t="s">
        <v>961</v>
      </c>
      <c r="M758" s="400"/>
      <c r="N758" s="639" t="s">
        <v>9141</v>
      </c>
      <c r="O758" s="636" t="s">
        <v>9190</v>
      </c>
      <c r="P758" s="636"/>
      <c r="Q758" s="636"/>
      <c r="R758" s="414"/>
      <c r="S758" s="636"/>
      <c r="T758" s="636"/>
      <c r="U758" s="636"/>
      <c r="V758" s="753" t="s">
        <v>9189</v>
      </c>
      <c r="W758" s="407"/>
      <c r="X758" s="407" t="s">
        <v>208</v>
      </c>
      <c r="Y758" s="404"/>
      <c r="Z758" s="407" t="s">
        <v>113</v>
      </c>
      <c r="AA758" s="407" t="s">
        <v>1889</v>
      </c>
      <c r="AB758" s="750" t="s">
        <v>9176</v>
      </c>
      <c r="AC758" s="752"/>
      <c r="AD758" s="752"/>
      <c r="AE758" s="444"/>
      <c r="AF758" s="636"/>
      <c r="AG758" s="750" t="s">
        <v>6102</v>
      </c>
      <c r="AH758" s="399"/>
      <c r="AI758" s="400"/>
      <c r="AJ758" s="399" t="s">
        <v>1787</v>
      </c>
      <c r="AK758" s="409"/>
      <c r="AL758" s="409"/>
      <c r="AM758" s="409"/>
      <c r="AN758" s="399"/>
      <c r="AO758" s="399"/>
      <c r="AP758" s="409"/>
      <c r="AQ758" s="409" t="s">
        <v>3130</v>
      </c>
      <c r="AR758" s="399"/>
      <c r="AS758" s="399"/>
      <c r="AT758" s="399"/>
      <c r="AU758" s="399"/>
      <c r="AV758" s="399" t="str">
        <f t="shared" si="123"/>
        <v/>
      </c>
      <c r="AW758" s="399"/>
      <c r="AX758" s="409" t="s">
        <v>5194</v>
      </c>
      <c r="AY758" s="399" t="e">
        <f t="shared" ca="1" si="124"/>
        <v>#NAME?</v>
      </c>
      <c r="AZ758" s="399"/>
      <c r="BA758" s="409" t="s">
        <v>3125</v>
      </c>
      <c r="BB758" s="399"/>
      <c r="BC758" s="399" t="s">
        <v>1787</v>
      </c>
      <c r="BD758" s="409" t="s">
        <v>3162</v>
      </c>
      <c r="BE758" s="411"/>
      <c r="BF758" s="411" t="s">
        <v>1787</v>
      </c>
      <c r="BG758" s="411"/>
      <c r="BH758" s="411"/>
      <c r="BI758" s="434" t="s">
        <v>9184</v>
      </c>
      <c r="BJ758" s="399" t="s">
        <v>1787</v>
      </c>
      <c r="BK758" s="409"/>
      <c r="BL758" s="409"/>
      <c r="BM758" s="399" t="s">
        <v>1787</v>
      </c>
      <c r="BN758" s="399" t="s">
        <v>1787</v>
      </c>
      <c r="BO758" s="399" t="s">
        <v>1787</v>
      </c>
      <c r="BP758" s="399" t="s">
        <v>1787</v>
      </c>
      <c r="BQ758" s="399" t="s">
        <v>1787</v>
      </c>
      <c r="BR758" s="399" t="s">
        <v>1787</v>
      </c>
      <c r="BS758" s="407"/>
      <c r="BT758" s="407"/>
      <c r="BU758" s="412"/>
      <c r="BV758" s="46" t="str">
        <f t="shared" si="8"/>
        <v/>
      </c>
      <c r="BW758" s="46">
        <f t="shared" si="9"/>
        <v>0</v>
      </c>
      <c r="BX758" s="46">
        <f t="shared" si="10"/>
        <v>0</v>
      </c>
      <c r="BY758" s="43" t="str">
        <f t="shared" si="11"/>
        <v>WHO-STI MedicationStatement (Current Medication)</v>
      </c>
      <c r="BZ758" s="46">
        <f t="shared" si="12"/>
        <v>1</v>
      </c>
      <c r="CA758" s="46" t="str">
        <f t="shared" si="13"/>
        <v/>
      </c>
      <c r="CB758" s="46">
        <f t="shared" si="14"/>
        <v>1</v>
      </c>
      <c r="CC758" s="46">
        <f t="shared" si="15"/>
        <v>1</v>
      </c>
      <c r="CD758" s="46">
        <f t="shared" si="16"/>
        <v>1</v>
      </c>
      <c r="CE758" s="46">
        <f t="shared" si="17"/>
        <v>0</v>
      </c>
      <c r="CF758" s="46">
        <f t="shared" si="18"/>
        <v>0</v>
      </c>
      <c r="CG758" s="46" t="str">
        <f ca="1">IFERROR(__xludf.DUMMYFUNCTION("if(OR(BH758="""",LEFT(BH758,2)=""LA""),"""",IMPORTXML(CONCATENATE(""https://loinc.org/"",BH758,""/""),""//span[@id='lcn']""))"),"")</f>
        <v/>
      </c>
      <c r="CH758" s="46"/>
      <c r="CI758" s="46"/>
      <c r="CJ758" s="46"/>
      <c r="CK758" s="46"/>
      <c r="CL758" s="46"/>
      <c r="CM758" s="46"/>
      <c r="CN758" s="46"/>
      <c r="CO758" s="46"/>
      <c r="CP758" s="46"/>
      <c r="CQ758" s="46"/>
      <c r="CR758" s="46"/>
      <c r="CS758" s="46"/>
      <c r="CT758" s="46"/>
      <c r="CU758" s="46"/>
    </row>
    <row r="759" spans="1:99" ht="12.75" customHeight="1">
      <c r="A759" s="409">
        <v>2203</v>
      </c>
      <c r="B759" s="399" t="s">
        <v>9191</v>
      </c>
      <c r="C759" s="399">
        <f t="shared" si="117"/>
        <v>2203</v>
      </c>
      <c r="D759" s="399" t="e">
        <f t="shared" ca="1" si="118"/>
        <v>#NAME?</v>
      </c>
      <c r="E759" s="399" t="str">
        <f t="shared" si="119"/>
        <v>cefixime</v>
      </c>
      <c r="F759" s="409" t="s">
        <v>180</v>
      </c>
      <c r="G759" s="400">
        <f t="shared" si="129"/>
        <v>8</v>
      </c>
      <c r="H759" s="399" t="str">
        <f t="shared" si="130"/>
        <v>Current STI Medications</v>
      </c>
      <c r="I759" s="400"/>
      <c r="J759" s="400"/>
      <c r="K759" s="402" t="s">
        <v>9140</v>
      </c>
      <c r="L759" s="402" t="s">
        <v>961</v>
      </c>
      <c r="M759" s="400"/>
      <c r="N759" s="639" t="s">
        <v>9141</v>
      </c>
      <c r="O759" s="636" t="s">
        <v>9192</v>
      </c>
      <c r="P759" s="636"/>
      <c r="Q759" s="636"/>
      <c r="R759" s="414"/>
      <c r="S759" s="636"/>
      <c r="T759" s="636"/>
      <c r="U759" s="636"/>
      <c r="V759" s="751" t="s">
        <v>9191</v>
      </c>
      <c r="W759" s="407"/>
      <c r="X759" s="407" t="s">
        <v>208</v>
      </c>
      <c r="Y759" s="404"/>
      <c r="Z759" s="407" t="s">
        <v>113</v>
      </c>
      <c r="AA759" s="407" t="s">
        <v>1889</v>
      </c>
      <c r="AB759" s="750" t="s">
        <v>9176</v>
      </c>
      <c r="AC759" s="752"/>
      <c r="AD759" s="752"/>
      <c r="AE759" s="444"/>
      <c r="AF759" s="636"/>
      <c r="AG759" s="750" t="s">
        <v>6102</v>
      </c>
      <c r="AH759" s="399"/>
      <c r="AI759" s="400"/>
      <c r="AJ759" s="399" t="s">
        <v>1787</v>
      </c>
      <c r="AK759" s="409"/>
      <c r="AL759" s="409"/>
      <c r="AM759" s="409"/>
      <c r="AN759" s="399"/>
      <c r="AO759" s="399"/>
      <c r="AP759" s="409"/>
      <c r="AQ759" s="409" t="s">
        <v>3130</v>
      </c>
      <c r="AR759" s="399"/>
      <c r="AS759" s="399"/>
      <c r="AT759" s="399"/>
      <c r="AU759" s="399"/>
      <c r="AV759" s="399" t="str">
        <f t="shared" si="123"/>
        <v/>
      </c>
      <c r="AW759" s="399"/>
      <c r="AX759" s="409" t="s">
        <v>5194</v>
      </c>
      <c r="AY759" s="399" t="e">
        <f t="shared" ca="1" si="124"/>
        <v>#NAME?</v>
      </c>
      <c r="AZ759" s="399"/>
      <c r="BA759" s="409" t="s">
        <v>3125</v>
      </c>
      <c r="BB759" s="399"/>
      <c r="BC759" s="399" t="s">
        <v>1787</v>
      </c>
      <c r="BD759" s="409" t="s">
        <v>3162</v>
      </c>
      <c r="BE759" s="411"/>
      <c r="BF759" s="411" t="s">
        <v>1787</v>
      </c>
      <c r="BG759" s="411"/>
      <c r="BH759" s="411"/>
      <c r="BI759" s="434" t="s">
        <v>9193</v>
      </c>
      <c r="BJ759" s="399" t="s">
        <v>1787</v>
      </c>
      <c r="BK759" s="399" t="s">
        <v>1787</v>
      </c>
      <c r="BL759" s="399"/>
      <c r="BM759" s="409" t="s">
        <v>9194</v>
      </c>
      <c r="BN759" s="399" t="s">
        <v>1787</v>
      </c>
      <c r="BO759" s="399" t="s">
        <v>1787</v>
      </c>
      <c r="BP759" s="399" t="s">
        <v>1787</v>
      </c>
      <c r="BQ759" s="399" t="s">
        <v>1787</v>
      </c>
      <c r="BR759" s="399" t="s">
        <v>1787</v>
      </c>
      <c r="BS759" s="407"/>
      <c r="BT759" s="407"/>
      <c r="BU759" s="412"/>
      <c r="BV759" s="46" t="str">
        <f t="shared" si="8"/>
        <v/>
      </c>
      <c r="BW759" s="46">
        <f t="shared" si="9"/>
        <v>0</v>
      </c>
      <c r="BX759" s="46">
        <f t="shared" si="10"/>
        <v>0</v>
      </c>
      <c r="BY759" s="43" t="str">
        <f t="shared" si="11"/>
        <v>WHO-STI MedicationStatement (Current Medication)</v>
      </c>
      <c r="BZ759" s="46">
        <f t="shared" si="12"/>
        <v>1</v>
      </c>
      <c r="CA759" s="46" t="str">
        <f t="shared" si="13"/>
        <v/>
      </c>
      <c r="CB759" s="46">
        <f t="shared" si="14"/>
        <v>1</v>
      </c>
      <c r="CC759" s="46">
        <f t="shared" si="15"/>
        <v>1</v>
      </c>
      <c r="CD759" s="46">
        <f t="shared" si="16"/>
        <v>1</v>
      </c>
      <c r="CE759" s="46">
        <f t="shared" si="17"/>
        <v>0</v>
      </c>
      <c r="CF759" s="46">
        <f t="shared" si="18"/>
        <v>0</v>
      </c>
      <c r="CG759" s="46" t="str">
        <f ca="1">IFERROR(__xludf.DUMMYFUNCTION("if(OR(BH759="""",LEFT(BH759,2)=""LA""),"""",IMPORTXML(CONCATENATE(""https://loinc.org/"",BH759,""/""),""//span[@id='lcn']""))"),"")</f>
        <v/>
      </c>
      <c r="CH759" s="46"/>
      <c r="CI759" s="46"/>
      <c r="CJ759" s="46"/>
      <c r="CK759" s="46"/>
      <c r="CL759" s="46"/>
      <c r="CM759" s="46"/>
      <c r="CN759" s="46"/>
      <c r="CO759" s="46"/>
      <c r="CP759" s="46"/>
      <c r="CQ759" s="46"/>
      <c r="CR759" s="46"/>
      <c r="CS759" s="46"/>
      <c r="CT759" s="46"/>
      <c r="CU759" s="46"/>
    </row>
    <row r="760" spans="1:99" ht="12.75" customHeight="1">
      <c r="A760" s="409">
        <v>2204</v>
      </c>
      <c r="B760" s="399" t="s">
        <v>9195</v>
      </c>
      <c r="C760" s="399">
        <f t="shared" si="117"/>
        <v>2204</v>
      </c>
      <c r="D760" s="399" t="e">
        <f t="shared" ca="1" si="118"/>
        <v>#NAME?</v>
      </c>
      <c r="E760" s="399" t="str">
        <f t="shared" si="119"/>
        <v>ceftriaxone</v>
      </c>
      <c r="F760" s="409" t="s">
        <v>180</v>
      </c>
      <c r="G760" s="400">
        <f t="shared" si="129"/>
        <v>11</v>
      </c>
      <c r="H760" s="399" t="str">
        <f t="shared" si="130"/>
        <v>Current STI Medications</v>
      </c>
      <c r="I760" s="400"/>
      <c r="J760" s="400"/>
      <c r="K760" s="402" t="s">
        <v>9140</v>
      </c>
      <c r="L760" s="402" t="s">
        <v>961</v>
      </c>
      <c r="M760" s="400"/>
      <c r="N760" s="639" t="s">
        <v>9141</v>
      </c>
      <c r="O760" s="636" t="s">
        <v>9196</v>
      </c>
      <c r="P760" s="636"/>
      <c r="Q760" s="636"/>
      <c r="R760" s="414"/>
      <c r="S760" s="636"/>
      <c r="T760" s="636"/>
      <c r="U760" s="636"/>
      <c r="V760" s="751" t="s">
        <v>9195</v>
      </c>
      <c r="W760" s="407"/>
      <c r="X760" s="407" t="s">
        <v>208</v>
      </c>
      <c r="Y760" s="404"/>
      <c r="Z760" s="407" t="s">
        <v>113</v>
      </c>
      <c r="AA760" s="407" t="s">
        <v>1889</v>
      </c>
      <c r="AB760" s="750" t="s">
        <v>9176</v>
      </c>
      <c r="AC760" s="752"/>
      <c r="AD760" s="752"/>
      <c r="AE760" s="444"/>
      <c r="AF760" s="636"/>
      <c r="AG760" s="750" t="s">
        <v>6102</v>
      </c>
      <c r="AH760" s="399"/>
      <c r="AI760" s="400"/>
      <c r="AJ760" s="399" t="s">
        <v>1787</v>
      </c>
      <c r="AK760" s="409"/>
      <c r="AL760" s="409"/>
      <c r="AM760" s="409"/>
      <c r="AN760" s="399"/>
      <c r="AO760" s="399"/>
      <c r="AP760" s="409"/>
      <c r="AQ760" s="409" t="s">
        <v>3130</v>
      </c>
      <c r="AR760" s="399"/>
      <c r="AS760" s="399"/>
      <c r="AT760" s="399"/>
      <c r="AU760" s="399"/>
      <c r="AV760" s="399" t="str">
        <f t="shared" si="123"/>
        <v/>
      </c>
      <c r="AW760" s="399"/>
      <c r="AX760" s="409" t="s">
        <v>5194</v>
      </c>
      <c r="AY760" s="399" t="e">
        <f t="shared" ca="1" si="124"/>
        <v>#NAME?</v>
      </c>
      <c r="AZ760" s="399"/>
      <c r="BA760" s="409" t="s">
        <v>3125</v>
      </c>
      <c r="BB760" s="399"/>
      <c r="BC760" s="399" t="s">
        <v>1787</v>
      </c>
      <c r="BD760" s="409" t="s">
        <v>3162</v>
      </c>
      <c r="BE760" s="411"/>
      <c r="BF760" s="411" t="s">
        <v>1787</v>
      </c>
      <c r="BG760" s="411"/>
      <c r="BH760" s="411"/>
      <c r="BI760" s="434" t="s">
        <v>9197</v>
      </c>
      <c r="BJ760" s="399" t="s">
        <v>1787</v>
      </c>
      <c r="BK760" s="399" t="s">
        <v>1787</v>
      </c>
      <c r="BL760" s="399"/>
      <c r="BM760" s="409" t="s">
        <v>9198</v>
      </c>
      <c r="BN760" s="399" t="s">
        <v>1787</v>
      </c>
      <c r="BO760" s="399" t="s">
        <v>1787</v>
      </c>
      <c r="BP760" s="399" t="s">
        <v>1787</v>
      </c>
      <c r="BQ760" s="399" t="s">
        <v>1787</v>
      </c>
      <c r="BR760" s="399" t="s">
        <v>1787</v>
      </c>
      <c r="BS760" s="407"/>
      <c r="BT760" s="407"/>
      <c r="BU760" s="412"/>
      <c r="BV760" s="46" t="str">
        <f t="shared" si="8"/>
        <v/>
      </c>
      <c r="BW760" s="46">
        <f t="shared" si="9"/>
        <v>0</v>
      </c>
      <c r="BX760" s="46">
        <f t="shared" si="10"/>
        <v>0</v>
      </c>
      <c r="BY760" s="43" t="str">
        <f t="shared" si="11"/>
        <v>WHO-STI MedicationStatement (Current Medication)</v>
      </c>
      <c r="BZ760" s="46">
        <f t="shared" si="12"/>
        <v>1</v>
      </c>
      <c r="CA760" s="46" t="str">
        <f t="shared" si="13"/>
        <v/>
      </c>
      <c r="CB760" s="46">
        <f t="shared" si="14"/>
        <v>1</v>
      </c>
      <c r="CC760" s="46">
        <f t="shared" si="15"/>
        <v>1</v>
      </c>
      <c r="CD760" s="46">
        <f t="shared" si="16"/>
        <v>1</v>
      </c>
      <c r="CE760" s="46">
        <f t="shared" si="17"/>
        <v>0</v>
      </c>
      <c r="CF760" s="46">
        <f t="shared" si="18"/>
        <v>0</v>
      </c>
      <c r="CG760" s="46" t="str">
        <f ca="1">IFERROR(__xludf.DUMMYFUNCTION("if(OR(BH760="""",LEFT(BH760,2)=""LA""),"""",IMPORTXML(CONCATENATE(""https://loinc.org/"",BH760,""/""),""//span[@id='lcn']""))"),"")</f>
        <v/>
      </c>
      <c r="CH760" s="46"/>
      <c r="CI760" s="46"/>
      <c r="CJ760" s="46"/>
      <c r="CK760" s="46"/>
      <c r="CL760" s="46"/>
      <c r="CM760" s="46"/>
      <c r="CN760" s="46"/>
      <c r="CO760" s="46"/>
      <c r="CP760" s="46"/>
      <c r="CQ760" s="46"/>
      <c r="CR760" s="46"/>
      <c r="CS760" s="46"/>
      <c r="CT760" s="46"/>
      <c r="CU760" s="46"/>
    </row>
    <row r="761" spans="1:99" ht="12.75" customHeight="1">
      <c r="A761" s="409">
        <v>2205</v>
      </c>
      <c r="B761" s="399" t="s">
        <v>9199</v>
      </c>
      <c r="C761" s="399">
        <f t="shared" si="117"/>
        <v>2205</v>
      </c>
      <c r="D761" s="399" t="e">
        <f t="shared" ca="1" si="118"/>
        <v>#NAME?</v>
      </c>
      <c r="E761" s="399" t="str">
        <f t="shared" si="119"/>
        <v>chloramphenicol</v>
      </c>
      <c r="F761" s="409" t="s">
        <v>180</v>
      </c>
      <c r="G761" s="400">
        <f t="shared" si="129"/>
        <v>15</v>
      </c>
      <c r="H761" s="399" t="str">
        <f t="shared" si="130"/>
        <v>Current STI Medications</v>
      </c>
      <c r="I761" s="400"/>
      <c r="J761" s="400"/>
      <c r="K761" s="402" t="s">
        <v>9140</v>
      </c>
      <c r="L761" s="402" t="s">
        <v>961</v>
      </c>
      <c r="M761" s="400"/>
      <c r="N761" s="639" t="s">
        <v>9141</v>
      </c>
      <c r="O761" s="636" t="s">
        <v>9200</v>
      </c>
      <c r="P761" s="636"/>
      <c r="Q761" s="636"/>
      <c r="R761" s="414"/>
      <c r="S761" s="636"/>
      <c r="T761" s="636"/>
      <c r="U761" s="636"/>
      <c r="V761" s="753" t="s">
        <v>9199</v>
      </c>
      <c r="W761" s="407"/>
      <c r="X761" s="407" t="s">
        <v>208</v>
      </c>
      <c r="Y761" s="404"/>
      <c r="Z761" s="407" t="s">
        <v>113</v>
      </c>
      <c r="AA761" s="407" t="s">
        <v>1889</v>
      </c>
      <c r="AB761" s="750" t="s">
        <v>9176</v>
      </c>
      <c r="AC761" s="752"/>
      <c r="AD761" s="752"/>
      <c r="AE761" s="444"/>
      <c r="AF761" s="636"/>
      <c r="AG761" s="750" t="s">
        <v>6102</v>
      </c>
      <c r="AH761" s="399"/>
      <c r="AI761" s="400"/>
      <c r="AJ761" s="399" t="s">
        <v>1787</v>
      </c>
      <c r="AK761" s="409"/>
      <c r="AL761" s="409"/>
      <c r="AM761" s="409"/>
      <c r="AN761" s="399"/>
      <c r="AO761" s="399"/>
      <c r="AP761" s="409"/>
      <c r="AQ761" s="409" t="s">
        <v>3130</v>
      </c>
      <c r="AR761" s="399"/>
      <c r="AS761" s="399"/>
      <c r="AT761" s="399"/>
      <c r="AU761" s="399"/>
      <c r="AV761" s="399" t="str">
        <f t="shared" si="123"/>
        <v/>
      </c>
      <c r="AW761" s="399"/>
      <c r="AX761" s="409" t="s">
        <v>5194</v>
      </c>
      <c r="AY761" s="399" t="e">
        <f t="shared" ca="1" si="124"/>
        <v>#NAME?</v>
      </c>
      <c r="AZ761" s="399"/>
      <c r="BA761" s="409" t="s">
        <v>3125</v>
      </c>
      <c r="BB761" s="399"/>
      <c r="BC761" s="399" t="s">
        <v>1787</v>
      </c>
      <c r="BD761" s="409" t="s">
        <v>3162</v>
      </c>
      <c r="BE761" s="411"/>
      <c r="BF761" s="411" t="s">
        <v>1787</v>
      </c>
      <c r="BG761" s="411"/>
      <c r="BH761" s="411"/>
      <c r="BI761" s="434" t="s">
        <v>9201</v>
      </c>
      <c r="BJ761" s="399" t="s">
        <v>1787</v>
      </c>
      <c r="BK761" s="399" t="s">
        <v>1787</v>
      </c>
      <c r="BL761" s="399"/>
      <c r="BM761" s="409" t="s">
        <v>9202</v>
      </c>
      <c r="BN761" s="399" t="s">
        <v>1787</v>
      </c>
      <c r="BO761" s="399" t="s">
        <v>1787</v>
      </c>
      <c r="BP761" s="399" t="s">
        <v>1787</v>
      </c>
      <c r="BQ761" s="399" t="s">
        <v>1787</v>
      </c>
      <c r="BR761" s="399" t="s">
        <v>1787</v>
      </c>
      <c r="BS761" s="407"/>
      <c r="BT761" s="407"/>
      <c r="BU761" s="412"/>
      <c r="BV761" s="46" t="str">
        <f t="shared" si="8"/>
        <v/>
      </c>
      <c r="BW761" s="46">
        <f t="shared" si="9"/>
        <v>0</v>
      </c>
      <c r="BX761" s="46">
        <f t="shared" si="10"/>
        <v>0</v>
      </c>
      <c r="BY761" s="43" t="str">
        <f t="shared" si="11"/>
        <v>WHO-STI MedicationStatement (Current Medication)</v>
      </c>
      <c r="BZ761" s="46">
        <f t="shared" si="12"/>
        <v>1</v>
      </c>
      <c r="CA761" s="46" t="str">
        <f t="shared" si="13"/>
        <v/>
      </c>
      <c r="CB761" s="46">
        <f t="shared" si="14"/>
        <v>1</v>
      </c>
      <c r="CC761" s="46">
        <f t="shared" si="15"/>
        <v>1</v>
      </c>
      <c r="CD761" s="46">
        <f t="shared" si="16"/>
        <v>1</v>
      </c>
      <c r="CE761" s="46">
        <f t="shared" si="17"/>
        <v>0</v>
      </c>
      <c r="CF761" s="46">
        <f t="shared" si="18"/>
        <v>0</v>
      </c>
      <c r="CG761" s="46" t="str">
        <f ca="1">IFERROR(__xludf.DUMMYFUNCTION("if(OR(BH761="""",LEFT(BH761,2)=""LA""),"""",IMPORTXML(CONCATENATE(""https://loinc.org/"",BH761,""/""),""//span[@id='lcn']""))"),"")</f>
        <v/>
      </c>
      <c r="CH761" s="46"/>
      <c r="CI761" s="46"/>
      <c r="CJ761" s="46"/>
      <c r="CK761" s="46"/>
      <c r="CL761" s="46"/>
      <c r="CM761" s="46"/>
      <c r="CN761" s="46"/>
      <c r="CO761" s="46"/>
      <c r="CP761" s="46"/>
      <c r="CQ761" s="46"/>
      <c r="CR761" s="46"/>
      <c r="CS761" s="46"/>
      <c r="CT761" s="46"/>
      <c r="CU761" s="46"/>
    </row>
    <row r="762" spans="1:99" ht="12.75" customHeight="1">
      <c r="A762" s="409">
        <v>2206</v>
      </c>
      <c r="B762" s="399" t="s">
        <v>9203</v>
      </c>
      <c r="C762" s="399">
        <f t="shared" si="117"/>
        <v>2206</v>
      </c>
      <c r="D762" s="399" t="e">
        <f t="shared" ca="1" si="118"/>
        <v>#NAME?</v>
      </c>
      <c r="E762" s="399" t="str">
        <f t="shared" si="119"/>
        <v>clindamycin</v>
      </c>
      <c r="F762" s="409" t="s">
        <v>180</v>
      </c>
      <c r="G762" s="400">
        <f t="shared" si="129"/>
        <v>11</v>
      </c>
      <c r="H762" s="399" t="str">
        <f t="shared" si="130"/>
        <v>Current STI Medications</v>
      </c>
      <c r="I762" s="400"/>
      <c r="J762" s="400"/>
      <c r="K762" s="402" t="s">
        <v>9140</v>
      </c>
      <c r="L762" s="402" t="s">
        <v>961</v>
      </c>
      <c r="M762" s="400"/>
      <c r="N762" s="639" t="s">
        <v>9141</v>
      </c>
      <c r="O762" s="636" t="s">
        <v>9204</v>
      </c>
      <c r="P762" s="636"/>
      <c r="Q762" s="636"/>
      <c r="R762" s="414"/>
      <c r="S762" s="636"/>
      <c r="T762" s="636"/>
      <c r="U762" s="636"/>
      <c r="V762" s="751" t="s">
        <v>9203</v>
      </c>
      <c r="W762" s="407"/>
      <c r="X762" s="407" t="s">
        <v>208</v>
      </c>
      <c r="Y762" s="404"/>
      <c r="Z762" s="407" t="s">
        <v>113</v>
      </c>
      <c r="AA762" s="407" t="s">
        <v>1889</v>
      </c>
      <c r="AB762" s="750" t="s">
        <v>9176</v>
      </c>
      <c r="AC762" s="752"/>
      <c r="AD762" s="752"/>
      <c r="AE762" s="444"/>
      <c r="AF762" s="636"/>
      <c r="AG762" s="750" t="s">
        <v>6102</v>
      </c>
      <c r="AH762" s="399"/>
      <c r="AI762" s="400"/>
      <c r="AJ762" s="399" t="s">
        <v>1787</v>
      </c>
      <c r="AK762" s="409"/>
      <c r="AL762" s="409"/>
      <c r="AM762" s="409"/>
      <c r="AN762" s="399"/>
      <c r="AO762" s="399"/>
      <c r="AP762" s="409"/>
      <c r="AQ762" s="409" t="s">
        <v>3130</v>
      </c>
      <c r="AR762" s="399"/>
      <c r="AS762" s="399"/>
      <c r="AT762" s="399"/>
      <c r="AU762" s="399"/>
      <c r="AV762" s="399" t="str">
        <f t="shared" si="123"/>
        <v/>
      </c>
      <c r="AW762" s="399"/>
      <c r="AX762" s="409" t="s">
        <v>5194</v>
      </c>
      <c r="AY762" s="399" t="e">
        <f t="shared" ca="1" si="124"/>
        <v>#NAME?</v>
      </c>
      <c r="AZ762" s="399"/>
      <c r="BA762" s="409" t="s">
        <v>3125</v>
      </c>
      <c r="BB762" s="399"/>
      <c r="BC762" s="399" t="s">
        <v>1787</v>
      </c>
      <c r="BD762" s="409" t="s">
        <v>3162</v>
      </c>
      <c r="BE762" s="411"/>
      <c r="BF762" s="411" t="s">
        <v>1787</v>
      </c>
      <c r="BG762" s="411"/>
      <c r="BH762" s="411"/>
      <c r="BI762" s="434" t="s">
        <v>9205</v>
      </c>
      <c r="BJ762" s="399" t="s">
        <v>1787</v>
      </c>
      <c r="BK762" s="399" t="s">
        <v>1787</v>
      </c>
      <c r="BL762" s="399"/>
      <c r="BM762" s="409" t="s">
        <v>9206</v>
      </c>
      <c r="BN762" s="399" t="s">
        <v>1787</v>
      </c>
      <c r="BO762" s="399" t="s">
        <v>1787</v>
      </c>
      <c r="BP762" s="399" t="s">
        <v>1787</v>
      </c>
      <c r="BQ762" s="399" t="s">
        <v>1787</v>
      </c>
      <c r="BR762" s="399" t="s">
        <v>1787</v>
      </c>
      <c r="BS762" s="407"/>
      <c r="BT762" s="407"/>
      <c r="BU762" s="412"/>
      <c r="BV762" s="46" t="str">
        <f t="shared" si="8"/>
        <v/>
      </c>
      <c r="BW762" s="46">
        <f t="shared" si="9"/>
        <v>0</v>
      </c>
      <c r="BX762" s="46">
        <f t="shared" si="10"/>
        <v>0</v>
      </c>
      <c r="BY762" s="43" t="str">
        <f t="shared" si="11"/>
        <v>WHO-STI MedicationStatement (Current Medication)</v>
      </c>
      <c r="BZ762" s="46">
        <f t="shared" si="12"/>
        <v>1</v>
      </c>
      <c r="CA762" s="46" t="str">
        <f t="shared" si="13"/>
        <v/>
      </c>
      <c r="CB762" s="46">
        <f t="shared" si="14"/>
        <v>1</v>
      </c>
      <c r="CC762" s="46">
        <f t="shared" si="15"/>
        <v>1</v>
      </c>
      <c r="CD762" s="46">
        <f t="shared" si="16"/>
        <v>1</v>
      </c>
      <c r="CE762" s="46">
        <f t="shared" si="17"/>
        <v>0</v>
      </c>
      <c r="CF762" s="46">
        <f t="shared" si="18"/>
        <v>0</v>
      </c>
      <c r="CG762" s="46" t="str">
        <f ca="1">IFERROR(__xludf.DUMMYFUNCTION("if(OR(BH762="""",LEFT(BH762,2)=""LA""),"""",IMPORTXML(CONCATENATE(""https://loinc.org/"",BH762,""/""),""//span[@id='lcn']""))"),"")</f>
        <v/>
      </c>
      <c r="CH762" s="46"/>
      <c r="CI762" s="46"/>
      <c r="CJ762" s="46"/>
      <c r="CK762" s="46"/>
      <c r="CL762" s="46"/>
      <c r="CM762" s="46"/>
      <c r="CN762" s="46"/>
      <c r="CO762" s="46"/>
      <c r="CP762" s="46"/>
      <c r="CQ762" s="46"/>
      <c r="CR762" s="46"/>
      <c r="CS762" s="46"/>
      <c r="CT762" s="46"/>
      <c r="CU762" s="46"/>
    </row>
    <row r="763" spans="1:99" ht="70">
      <c r="A763" s="409">
        <v>2207</v>
      </c>
      <c r="B763" s="399" t="s">
        <v>9207</v>
      </c>
      <c r="C763" s="399">
        <f t="shared" si="117"/>
        <v>2207</v>
      </c>
      <c r="D763" s="399" t="e">
        <f t="shared" ca="1" si="118"/>
        <v>#NAME?</v>
      </c>
      <c r="E763" s="399" t="str">
        <f t="shared" si="119"/>
        <v>Clotrimazoleb</v>
      </c>
      <c r="F763" s="409" t="s">
        <v>180</v>
      </c>
      <c r="G763" s="400">
        <f t="shared" si="129"/>
        <v>13</v>
      </c>
      <c r="H763" s="399" t="str">
        <f t="shared" si="130"/>
        <v>Current STI Medications</v>
      </c>
      <c r="I763" s="400"/>
      <c r="J763" s="400"/>
      <c r="K763" s="402" t="s">
        <v>9140</v>
      </c>
      <c r="L763" s="402" t="s">
        <v>961</v>
      </c>
      <c r="M763" s="400"/>
      <c r="N763" s="639" t="s">
        <v>9141</v>
      </c>
      <c r="O763" s="636" t="s">
        <v>9208</v>
      </c>
      <c r="P763" s="636"/>
      <c r="Q763" s="636"/>
      <c r="R763" s="414"/>
      <c r="S763" s="636"/>
      <c r="T763" s="636"/>
      <c r="U763" s="636"/>
      <c r="V763" s="751" t="s">
        <v>9207</v>
      </c>
      <c r="W763" s="407"/>
      <c r="X763" s="407" t="s">
        <v>208</v>
      </c>
      <c r="Y763" s="404"/>
      <c r="Z763" s="407" t="s">
        <v>113</v>
      </c>
      <c r="AA763" s="407" t="s">
        <v>1889</v>
      </c>
      <c r="AB763" s="750" t="s">
        <v>9176</v>
      </c>
      <c r="AC763" s="752"/>
      <c r="AD763" s="752"/>
      <c r="AE763" s="444"/>
      <c r="AF763" s="636"/>
      <c r="AG763" s="750" t="s">
        <v>6102</v>
      </c>
      <c r="AH763" s="399"/>
      <c r="AI763" s="400"/>
      <c r="AJ763" s="399" t="s">
        <v>1787</v>
      </c>
      <c r="AK763" s="409"/>
      <c r="AL763" s="409"/>
      <c r="AM763" s="409"/>
      <c r="AN763" s="399"/>
      <c r="AO763" s="399"/>
      <c r="AP763" s="409"/>
      <c r="AQ763" s="409" t="s">
        <v>3130</v>
      </c>
      <c r="AR763" s="399"/>
      <c r="AS763" s="399"/>
      <c r="AT763" s="399"/>
      <c r="AU763" s="399"/>
      <c r="AV763" s="399" t="str">
        <f t="shared" si="123"/>
        <v/>
      </c>
      <c r="AW763" s="399"/>
      <c r="AX763" s="409" t="s">
        <v>5194</v>
      </c>
      <c r="AY763" s="399" t="e">
        <f t="shared" ca="1" si="124"/>
        <v>#NAME?</v>
      </c>
      <c r="AZ763" s="399"/>
      <c r="BA763" s="409" t="s">
        <v>3125</v>
      </c>
      <c r="BB763" s="399"/>
      <c r="BC763" s="399" t="s">
        <v>1787</v>
      </c>
      <c r="BD763" s="409" t="s">
        <v>9209</v>
      </c>
      <c r="BE763" s="411"/>
      <c r="BF763" s="411" t="s">
        <v>1787</v>
      </c>
      <c r="BG763" s="411"/>
      <c r="BH763" s="411"/>
      <c r="BI763" s="434" t="s">
        <v>9210</v>
      </c>
      <c r="BJ763" s="399" t="s">
        <v>1787</v>
      </c>
      <c r="BK763" s="399" t="s">
        <v>1787</v>
      </c>
      <c r="BL763" s="399"/>
      <c r="BM763" s="409" t="s">
        <v>9211</v>
      </c>
      <c r="BN763" s="438" t="str">
        <f>HYPERLINK("https://github.com/who-int/Data-Dictionary-Mapping/issues/72","72")</f>
        <v>72</v>
      </c>
      <c r="BO763" s="399" t="s">
        <v>1787</v>
      </c>
      <c r="BP763" s="399" t="s">
        <v>1787</v>
      </c>
      <c r="BQ763" s="399" t="s">
        <v>1787</v>
      </c>
      <c r="BR763" s="399" t="s">
        <v>1787</v>
      </c>
      <c r="BS763" s="407"/>
      <c r="BT763" s="407"/>
      <c r="BU763" s="412"/>
      <c r="BV763" s="46" t="str">
        <f t="shared" si="8"/>
        <v/>
      </c>
      <c r="BW763" s="46">
        <f t="shared" si="9"/>
        <v>0</v>
      </c>
      <c r="BX763" s="46">
        <f t="shared" si="10"/>
        <v>0</v>
      </c>
      <c r="BY763" s="43" t="str">
        <f t="shared" si="11"/>
        <v>WHO-STI MedicationStatement (Current Medication)</v>
      </c>
      <c r="BZ763" s="46">
        <f t="shared" si="12"/>
        <v>1</v>
      </c>
      <c r="CA763" s="46" t="str">
        <f t="shared" si="13"/>
        <v/>
      </c>
      <c r="CB763" s="46">
        <f t="shared" si="14"/>
        <v>1</v>
      </c>
      <c r="CC763" s="46">
        <f t="shared" si="15"/>
        <v>1</v>
      </c>
      <c r="CD763" s="46">
        <f t="shared" si="16"/>
        <v>1</v>
      </c>
      <c r="CE763" s="46">
        <f t="shared" si="17"/>
        <v>0</v>
      </c>
      <c r="CF763" s="46">
        <f t="shared" si="18"/>
        <v>0</v>
      </c>
      <c r="CG763" s="46" t="str">
        <f ca="1">IFERROR(__xludf.DUMMYFUNCTION("if(OR(BH763="""",LEFT(BH763,2)=""LA""),"""",IMPORTXML(CONCATENATE(""https://loinc.org/"",BH763,""/""),""//span[@id='lcn']""))"),"")</f>
        <v/>
      </c>
      <c r="CH763" s="46"/>
      <c r="CI763" s="46"/>
      <c r="CJ763" s="46"/>
      <c r="CK763" s="46"/>
      <c r="CL763" s="46"/>
      <c r="CM763" s="46"/>
      <c r="CN763" s="46"/>
      <c r="CO763" s="46"/>
      <c r="CP763" s="46"/>
      <c r="CQ763" s="46"/>
      <c r="CR763" s="46"/>
      <c r="CS763" s="46"/>
      <c r="CT763" s="46"/>
      <c r="CU763" s="46"/>
    </row>
    <row r="764" spans="1:99" ht="12.75" customHeight="1">
      <c r="A764" s="409">
        <v>2208</v>
      </c>
      <c r="B764" s="399" t="s">
        <v>9212</v>
      </c>
      <c r="C764" s="399">
        <f t="shared" si="117"/>
        <v>2208</v>
      </c>
      <c r="D764" s="399" t="e">
        <f t="shared" ca="1" si="118"/>
        <v>#NAME?</v>
      </c>
      <c r="E764" s="399" t="str">
        <f t="shared" si="119"/>
        <v>doxycycline</v>
      </c>
      <c r="F764" s="409" t="s">
        <v>180</v>
      </c>
      <c r="G764" s="400">
        <f t="shared" si="129"/>
        <v>11</v>
      </c>
      <c r="H764" s="399" t="str">
        <f t="shared" si="130"/>
        <v>Current STI Medications</v>
      </c>
      <c r="I764" s="400"/>
      <c r="J764" s="400"/>
      <c r="K764" s="402" t="s">
        <v>9140</v>
      </c>
      <c r="L764" s="402" t="s">
        <v>961</v>
      </c>
      <c r="M764" s="400"/>
      <c r="N764" s="639" t="s">
        <v>9141</v>
      </c>
      <c r="O764" s="636" t="s">
        <v>9213</v>
      </c>
      <c r="P764" s="636"/>
      <c r="Q764" s="636"/>
      <c r="R764" s="414"/>
      <c r="S764" s="636"/>
      <c r="T764" s="636"/>
      <c r="U764" s="636"/>
      <c r="V764" s="751" t="s">
        <v>9212</v>
      </c>
      <c r="W764" s="407"/>
      <c r="X764" s="407" t="s">
        <v>208</v>
      </c>
      <c r="Y764" s="404"/>
      <c r="Z764" s="407" t="s">
        <v>113</v>
      </c>
      <c r="AA764" s="407" t="s">
        <v>1889</v>
      </c>
      <c r="AB764" s="750" t="s">
        <v>9176</v>
      </c>
      <c r="AC764" s="752"/>
      <c r="AD764" s="752"/>
      <c r="AE764" s="444"/>
      <c r="AF764" s="636"/>
      <c r="AG764" s="750" t="s">
        <v>6102</v>
      </c>
      <c r="AH764" s="399"/>
      <c r="AI764" s="400"/>
      <c r="AJ764" s="399" t="s">
        <v>1787</v>
      </c>
      <c r="AK764" s="409"/>
      <c r="AL764" s="409"/>
      <c r="AM764" s="409"/>
      <c r="AN764" s="399"/>
      <c r="AO764" s="399"/>
      <c r="AP764" s="409"/>
      <c r="AQ764" s="409" t="s">
        <v>3130</v>
      </c>
      <c r="AR764" s="399"/>
      <c r="AS764" s="399"/>
      <c r="AT764" s="399"/>
      <c r="AU764" s="399"/>
      <c r="AV764" s="399" t="str">
        <f t="shared" si="123"/>
        <v/>
      </c>
      <c r="AW764" s="399"/>
      <c r="AX764" s="409" t="s">
        <v>5194</v>
      </c>
      <c r="AY764" s="399" t="e">
        <f t="shared" ca="1" si="124"/>
        <v>#NAME?</v>
      </c>
      <c r="AZ764" s="399"/>
      <c r="BA764" s="409" t="s">
        <v>3125</v>
      </c>
      <c r="BB764" s="399"/>
      <c r="BC764" s="399" t="s">
        <v>1787</v>
      </c>
      <c r="BD764" s="409" t="s">
        <v>3162</v>
      </c>
      <c r="BE764" s="411"/>
      <c r="BF764" s="411" t="s">
        <v>1787</v>
      </c>
      <c r="BG764" s="411"/>
      <c r="BH764" s="411"/>
      <c r="BI764" s="434" t="s">
        <v>9214</v>
      </c>
      <c r="BJ764" s="399" t="s">
        <v>1787</v>
      </c>
      <c r="BK764" s="399" t="s">
        <v>1787</v>
      </c>
      <c r="BL764" s="399"/>
      <c r="BM764" s="409" t="s">
        <v>9215</v>
      </c>
      <c r="BN764" s="399" t="s">
        <v>1787</v>
      </c>
      <c r="BO764" s="399" t="s">
        <v>1787</v>
      </c>
      <c r="BP764" s="399" t="s">
        <v>1787</v>
      </c>
      <c r="BQ764" s="399" t="s">
        <v>1787</v>
      </c>
      <c r="BR764" s="399" t="s">
        <v>1787</v>
      </c>
      <c r="BS764" s="407"/>
      <c r="BT764" s="407"/>
      <c r="BU764" s="412"/>
      <c r="BV764" s="46" t="str">
        <f t="shared" si="8"/>
        <v/>
      </c>
      <c r="BW764" s="46">
        <f t="shared" si="9"/>
        <v>0</v>
      </c>
      <c r="BX764" s="46">
        <f t="shared" si="10"/>
        <v>0</v>
      </c>
      <c r="BY764" s="43" t="str">
        <f t="shared" si="11"/>
        <v>WHO-STI MedicationStatement (Current Medication)</v>
      </c>
      <c r="BZ764" s="46">
        <f t="shared" si="12"/>
        <v>1</v>
      </c>
      <c r="CA764" s="46" t="str">
        <f t="shared" si="13"/>
        <v/>
      </c>
      <c r="CB764" s="46">
        <f t="shared" si="14"/>
        <v>1</v>
      </c>
      <c r="CC764" s="46">
        <f t="shared" si="15"/>
        <v>1</v>
      </c>
      <c r="CD764" s="46">
        <f t="shared" si="16"/>
        <v>1</v>
      </c>
      <c r="CE764" s="46">
        <f t="shared" si="17"/>
        <v>0</v>
      </c>
      <c r="CF764" s="46">
        <f t="shared" si="18"/>
        <v>0</v>
      </c>
      <c r="CG764" s="46" t="str">
        <f ca="1">IFERROR(__xludf.DUMMYFUNCTION("if(OR(BH764="""",LEFT(BH764,2)=""LA""),"""",IMPORTXML(CONCATENATE(""https://loinc.org/"",BH764,""/""),""//span[@id='lcn']""))"),"")</f>
        <v/>
      </c>
      <c r="CH764" s="46"/>
      <c r="CI764" s="46"/>
      <c r="CJ764" s="46"/>
      <c r="CK764" s="46"/>
      <c r="CL764" s="46"/>
      <c r="CM764" s="46"/>
      <c r="CN764" s="46"/>
      <c r="CO764" s="46"/>
      <c r="CP764" s="46"/>
      <c r="CQ764" s="46"/>
      <c r="CR764" s="46"/>
      <c r="CS764" s="46"/>
      <c r="CT764" s="46"/>
      <c r="CU764" s="46"/>
    </row>
    <row r="765" spans="1:99" ht="12.75" customHeight="1">
      <c r="A765" s="409">
        <v>2209</v>
      </c>
      <c r="B765" s="399" t="s">
        <v>9216</v>
      </c>
      <c r="C765" s="399">
        <f t="shared" si="117"/>
        <v>2209</v>
      </c>
      <c r="D765" s="399" t="e">
        <f t="shared" ca="1" si="118"/>
        <v>#NAME?</v>
      </c>
      <c r="E765" s="399" t="str">
        <f t="shared" si="119"/>
        <v>erythromycin</v>
      </c>
      <c r="F765" s="409" t="s">
        <v>180</v>
      </c>
      <c r="G765" s="400">
        <f t="shared" si="129"/>
        <v>12</v>
      </c>
      <c r="H765" s="399" t="str">
        <f t="shared" si="130"/>
        <v>Current STI Medications</v>
      </c>
      <c r="I765" s="400"/>
      <c r="J765" s="400"/>
      <c r="K765" s="402" t="s">
        <v>9140</v>
      </c>
      <c r="L765" s="402" t="s">
        <v>961</v>
      </c>
      <c r="M765" s="400"/>
      <c r="N765" s="639" t="s">
        <v>9141</v>
      </c>
      <c r="O765" s="636" t="s">
        <v>9217</v>
      </c>
      <c r="P765" s="636"/>
      <c r="Q765" s="636"/>
      <c r="R765" s="414"/>
      <c r="S765" s="636"/>
      <c r="T765" s="636"/>
      <c r="U765" s="636"/>
      <c r="V765" s="751" t="s">
        <v>9216</v>
      </c>
      <c r="W765" s="407"/>
      <c r="X765" s="407" t="s">
        <v>208</v>
      </c>
      <c r="Y765" s="404"/>
      <c r="Z765" s="407" t="s">
        <v>113</v>
      </c>
      <c r="AA765" s="407" t="s">
        <v>1889</v>
      </c>
      <c r="AB765" s="750" t="s">
        <v>9176</v>
      </c>
      <c r="AC765" s="752"/>
      <c r="AD765" s="752"/>
      <c r="AE765" s="444"/>
      <c r="AF765" s="636"/>
      <c r="AG765" s="750" t="s">
        <v>6102</v>
      </c>
      <c r="AH765" s="399"/>
      <c r="AI765" s="400"/>
      <c r="AJ765" s="399" t="s">
        <v>1787</v>
      </c>
      <c r="AK765" s="409"/>
      <c r="AL765" s="409"/>
      <c r="AM765" s="409"/>
      <c r="AN765" s="399"/>
      <c r="AO765" s="399"/>
      <c r="AP765" s="409"/>
      <c r="AQ765" s="409" t="s">
        <v>3130</v>
      </c>
      <c r="AR765" s="399"/>
      <c r="AS765" s="399"/>
      <c r="AT765" s="399"/>
      <c r="AU765" s="399"/>
      <c r="AV765" s="399" t="str">
        <f t="shared" si="123"/>
        <v/>
      </c>
      <c r="AW765" s="399"/>
      <c r="AX765" s="409" t="s">
        <v>5194</v>
      </c>
      <c r="AY765" s="399" t="e">
        <f t="shared" ca="1" si="124"/>
        <v>#NAME?</v>
      </c>
      <c r="AZ765" s="399"/>
      <c r="BA765" s="409" t="s">
        <v>3125</v>
      </c>
      <c r="BB765" s="399"/>
      <c r="BC765" s="399" t="s">
        <v>1787</v>
      </c>
      <c r="BD765" s="409" t="s">
        <v>3162</v>
      </c>
      <c r="BE765" s="411"/>
      <c r="BF765" s="411" t="s">
        <v>1787</v>
      </c>
      <c r="BG765" s="411"/>
      <c r="BH765" s="411"/>
      <c r="BI765" s="434" t="s">
        <v>9218</v>
      </c>
      <c r="BJ765" s="399" t="s">
        <v>1787</v>
      </c>
      <c r="BK765" s="399" t="s">
        <v>1787</v>
      </c>
      <c r="BL765" s="399"/>
      <c r="BM765" s="409" t="s">
        <v>9219</v>
      </c>
      <c r="BN765" s="399" t="s">
        <v>1787</v>
      </c>
      <c r="BO765" s="399" t="s">
        <v>1787</v>
      </c>
      <c r="BP765" s="399" t="s">
        <v>1787</v>
      </c>
      <c r="BQ765" s="399" t="s">
        <v>1787</v>
      </c>
      <c r="BR765" s="399" t="s">
        <v>1787</v>
      </c>
      <c r="BS765" s="407"/>
      <c r="BT765" s="407"/>
      <c r="BU765" s="412"/>
      <c r="BV765" s="46" t="str">
        <f t="shared" si="8"/>
        <v/>
      </c>
      <c r="BW765" s="46">
        <f t="shared" si="9"/>
        <v>0</v>
      </c>
      <c r="BX765" s="46">
        <f t="shared" si="10"/>
        <v>0</v>
      </c>
      <c r="BY765" s="43" t="str">
        <f t="shared" si="11"/>
        <v>WHO-STI MedicationStatement (Current Medication)</v>
      </c>
      <c r="BZ765" s="46">
        <f t="shared" si="12"/>
        <v>1</v>
      </c>
      <c r="CA765" s="46" t="str">
        <f t="shared" si="13"/>
        <v/>
      </c>
      <c r="CB765" s="46">
        <f t="shared" si="14"/>
        <v>1</v>
      </c>
      <c r="CC765" s="46">
        <f t="shared" si="15"/>
        <v>1</v>
      </c>
      <c r="CD765" s="46">
        <f t="shared" si="16"/>
        <v>1</v>
      </c>
      <c r="CE765" s="46">
        <f t="shared" si="17"/>
        <v>0</v>
      </c>
      <c r="CF765" s="46">
        <f t="shared" si="18"/>
        <v>0</v>
      </c>
      <c r="CG765" s="46" t="str">
        <f ca="1">IFERROR(__xludf.DUMMYFUNCTION("if(OR(BH765="""",LEFT(BH765,2)=""LA""),"""",IMPORTXML(CONCATENATE(""https://loinc.org/"",BH765,""/""),""//span[@id='lcn']""))"),"")</f>
        <v/>
      </c>
      <c r="CH765" s="46"/>
      <c r="CI765" s="46"/>
      <c r="CJ765" s="46"/>
      <c r="CK765" s="46"/>
      <c r="CL765" s="46"/>
      <c r="CM765" s="46"/>
      <c r="CN765" s="46"/>
      <c r="CO765" s="46"/>
      <c r="CP765" s="46"/>
      <c r="CQ765" s="46"/>
      <c r="CR765" s="46"/>
      <c r="CS765" s="46"/>
      <c r="CT765" s="46"/>
      <c r="CU765" s="46"/>
    </row>
    <row r="766" spans="1:99" ht="12.75" customHeight="1">
      <c r="A766" s="409">
        <v>2210</v>
      </c>
      <c r="B766" s="399" t="s">
        <v>9220</v>
      </c>
      <c r="C766" s="399">
        <f t="shared" si="117"/>
        <v>2210</v>
      </c>
      <c r="D766" s="399" t="e">
        <f t="shared" ca="1" si="118"/>
        <v>#NAME?</v>
      </c>
      <c r="E766" s="399" t="str">
        <f t="shared" si="119"/>
        <v>imiquimod</v>
      </c>
      <c r="F766" s="409" t="s">
        <v>180</v>
      </c>
      <c r="G766" s="400">
        <f t="shared" si="129"/>
        <v>9</v>
      </c>
      <c r="H766" s="399" t="str">
        <f t="shared" si="130"/>
        <v>Current STI Medications</v>
      </c>
      <c r="I766" s="400"/>
      <c r="J766" s="400"/>
      <c r="K766" s="402" t="s">
        <v>9140</v>
      </c>
      <c r="L766" s="402" t="s">
        <v>961</v>
      </c>
      <c r="M766" s="400"/>
      <c r="N766" s="639" t="s">
        <v>9141</v>
      </c>
      <c r="O766" s="636" t="s">
        <v>9221</v>
      </c>
      <c r="P766" s="636"/>
      <c r="Q766" s="636"/>
      <c r="R766" s="414"/>
      <c r="S766" s="636"/>
      <c r="T766" s="636"/>
      <c r="U766" s="636"/>
      <c r="V766" s="751" t="s">
        <v>9220</v>
      </c>
      <c r="W766" s="407"/>
      <c r="X766" s="407" t="s">
        <v>208</v>
      </c>
      <c r="Y766" s="404"/>
      <c r="Z766" s="407" t="s">
        <v>113</v>
      </c>
      <c r="AA766" s="407" t="s">
        <v>1889</v>
      </c>
      <c r="AB766" s="750" t="s">
        <v>9176</v>
      </c>
      <c r="AC766" s="752"/>
      <c r="AD766" s="752"/>
      <c r="AE766" s="444"/>
      <c r="AF766" s="636"/>
      <c r="AG766" s="750" t="s">
        <v>6102</v>
      </c>
      <c r="AH766" s="399"/>
      <c r="AI766" s="400"/>
      <c r="AJ766" s="399" t="s">
        <v>1787</v>
      </c>
      <c r="AK766" s="409"/>
      <c r="AL766" s="409"/>
      <c r="AM766" s="409"/>
      <c r="AN766" s="399"/>
      <c r="AO766" s="399"/>
      <c r="AP766" s="409"/>
      <c r="AQ766" s="409" t="s">
        <v>3130</v>
      </c>
      <c r="AR766" s="399"/>
      <c r="AS766" s="399"/>
      <c r="AT766" s="399"/>
      <c r="AU766" s="399"/>
      <c r="AV766" s="399" t="str">
        <f t="shared" si="123"/>
        <v/>
      </c>
      <c r="AW766" s="399"/>
      <c r="AX766" s="409" t="s">
        <v>5194</v>
      </c>
      <c r="AY766" s="399" t="e">
        <f t="shared" ca="1" si="124"/>
        <v>#NAME?</v>
      </c>
      <c r="AZ766" s="399"/>
      <c r="BA766" s="409" t="s">
        <v>3125</v>
      </c>
      <c r="BB766" s="399"/>
      <c r="BC766" s="399" t="s">
        <v>1787</v>
      </c>
      <c r="BD766" s="409" t="s">
        <v>9222</v>
      </c>
      <c r="BE766" s="411"/>
      <c r="BF766" s="411" t="s">
        <v>1787</v>
      </c>
      <c r="BG766" s="411"/>
      <c r="BH766" s="411"/>
      <c r="BI766" s="434" t="s">
        <v>9223</v>
      </c>
      <c r="BJ766" s="399" t="s">
        <v>1787</v>
      </c>
      <c r="BK766" s="399" t="s">
        <v>1787</v>
      </c>
      <c r="BL766" s="399"/>
      <c r="BM766" s="409" t="s">
        <v>9224</v>
      </c>
      <c r="BN766" s="399" t="s">
        <v>1787</v>
      </c>
      <c r="BO766" s="399" t="s">
        <v>1787</v>
      </c>
      <c r="BP766" s="399" t="s">
        <v>1787</v>
      </c>
      <c r="BQ766" s="399" t="s">
        <v>1787</v>
      </c>
      <c r="BR766" s="399" t="s">
        <v>1787</v>
      </c>
      <c r="BS766" s="407"/>
      <c r="BT766" s="407"/>
      <c r="BU766" s="412"/>
      <c r="BV766" s="46" t="str">
        <f t="shared" si="8"/>
        <v/>
      </c>
      <c r="BW766" s="46">
        <f t="shared" si="9"/>
        <v>0</v>
      </c>
      <c r="BX766" s="46">
        <f t="shared" si="10"/>
        <v>0</v>
      </c>
      <c r="BY766" s="43" t="str">
        <f t="shared" si="11"/>
        <v>WHO-STI MedicationStatement (Current Medication)</v>
      </c>
      <c r="BZ766" s="46">
        <f t="shared" si="12"/>
        <v>1</v>
      </c>
      <c r="CA766" s="46" t="str">
        <f t="shared" si="13"/>
        <v/>
      </c>
      <c r="CB766" s="46">
        <f t="shared" si="14"/>
        <v>1</v>
      </c>
      <c r="CC766" s="46">
        <f t="shared" si="15"/>
        <v>1</v>
      </c>
      <c r="CD766" s="46">
        <f t="shared" si="16"/>
        <v>1</v>
      </c>
      <c r="CE766" s="46">
        <f t="shared" si="17"/>
        <v>0</v>
      </c>
      <c r="CF766" s="46">
        <f t="shared" si="18"/>
        <v>0</v>
      </c>
      <c r="CG766" s="46" t="str">
        <f ca="1">IFERROR(__xludf.DUMMYFUNCTION("if(OR(BH766="""",LEFT(BH766,2)=""LA""),"""",IMPORTXML(CONCATENATE(""https://loinc.org/"",BH766,""/""),""//span[@id='lcn']""))"),"")</f>
        <v/>
      </c>
      <c r="CH766" s="46"/>
      <c r="CI766" s="46"/>
      <c r="CJ766" s="46"/>
      <c r="CK766" s="46"/>
      <c r="CL766" s="46"/>
      <c r="CM766" s="46"/>
      <c r="CN766" s="46"/>
      <c r="CO766" s="46"/>
      <c r="CP766" s="46"/>
      <c r="CQ766" s="46"/>
      <c r="CR766" s="46"/>
      <c r="CS766" s="46"/>
      <c r="CT766" s="46"/>
      <c r="CU766" s="46"/>
    </row>
    <row r="767" spans="1:99" ht="12.75" customHeight="1">
      <c r="A767" s="409">
        <v>2211</v>
      </c>
      <c r="B767" s="399" t="s">
        <v>9225</v>
      </c>
      <c r="C767" s="399">
        <f t="shared" si="117"/>
        <v>2211</v>
      </c>
      <c r="D767" s="399" t="e">
        <f t="shared" ca="1" si="118"/>
        <v>#NAME?</v>
      </c>
      <c r="E767" s="399" t="str">
        <f t="shared" si="119"/>
        <v>famciclovir</v>
      </c>
      <c r="F767" s="409" t="s">
        <v>180</v>
      </c>
      <c r="G767" s="400">
        <f t="shared" si="129"/>
        <v>11</v>
      </c>
      <c r="H767" s="399" t="str">
        <f t="shared" si="130"/>
        <v>Current STI Medications</v>
      </c>
      <c r="I767" s="400"/>
      <c r="J767" s="400"/>
      <c r="K767" s="402" t="s">
        <v>9140</v>
      </c>
      <c r="L767" s="402" t="s">
        <v>961</v>
      </c>
      <c r="M767" s="400"/>
      <c r="N767" s="639" t="s">
        <v>9141</v>
      </c>
      <c r="O767" s="636" t="s">
        <v>9226</v>
      </c>
      <c r="P767" s="636"/>
      <c r="Q767" s="636"/>
      <c r="R767" s="414"/>
      <c r="S767" s="636"/>
      <c r="T767" s="636"/>
      <c r="U767" s="636"/>
      <c r="V767" s="751" t="s">
        <v>9225</v>
      </c>
      <c r="W767" s="404"/>
      <c r="X767" s="407" t="s">
        <v>208</v>
      </c>
      <c r="Y767" s="404"/>
      <c r="Z767" s="407" t="s">
        <v>113</v>
      </c>
      <c r="AA767" s="407" t="s">
        <v>1889</v>
      </c>
      <c r="AB767" s="750" t="s">
        <v>9176</v>
      </c>
      <c r="AC767" s="752"/>
      <c r="AD767" s="752"/>
      <c r="AE767" s="444"/>
      <c r="AF767" s="636"/>
      <c r="AG767" s="750" t="s">
        <v>6102</v>
      </c>
      <c r="AH767" s="399"/>
      <c r="AI767" s="400"/>
      <c r="AJ767" s="399" t="s">
        <v>1787</v>
      </c>
      <c r="AK767" s="409"/>
      <c r="AL767" s="409"/>
      <c r="AM767" s="409"/>
      <c r="AN767" s="399"/>
      <c r="AO767" s="399"/>
      <c r="AP767" s="409"/>
      <c r="AQ767" s="409" t="s">
        <v>3130</v>
      </c>
      <c r="AR767" s="399"/>
      <c r="AS767" s="399"/>
      <c r="AT767" s="399"/>
      <c r="AU767" s="399"/>
      <c r="AV767" s="399" t="str">
        <f t="shared" si="123"/>
        <v/>
      </c>
      <c r="AW767" s="399"/>
      <c r="AX767" s="409" t="s">
        <v>5194</v>
      </c>
      <c r="AY767" s="399" t="e">
        <f t="shared" ca="1" si="124"/>
        <v>#NAME?</v>
      </c>
      <c r="AZ767" s="399"/>
      <c r="BA767" s="409" t="s">
        <v>3125</v>
      </c>
      <c r="BB767" s="399"/>
      <c r="BC767" s="399" t="s">
        <v>1787</v>
      </c>
      <c r="BD767" s="409" t="s">
        <v>3162</v>
      </c>
      <c r="BE767" s="411"/>
      <c r="BF767" s="411" t="s">
        <v>1787</v>
      </c>
      <c r="BG767" s="411"/>
      <c r="BH767" s="411"/>
      <c r="BI767" s="434" t="s">
        <v>9227</v>
      </c>
      <c r="BJ767" s="399" t="s">
        <v>1787</v>
      </c>
      <c r="BK767" s="399" t="s">
        <v>1787</v>
      </c>
      <c r="BL767" s="399"/>
      <c r="BM767" s="409" t="s">
        <v>9228</v>
      </c>
      <c r="BN767" s="399" t="s">
        <v>1787</v>
      </c>
      <c r="BO767" s="399" t="s">
        <v>1787</v>
      </c>
      <c r="BP767" s="399" t="s">
        <v>1787</v>
      </c>
      <c r="BQ767" s="399" t="s">
        <v>1787</v>
      </c>
      <c r="BR767" s="399" t="s">
        <v>1787</v>
      </c>
      <c r="BS767" s="407"/>
      <c r="BT767" s="407"/>
      <c r="BU767" s="412"/>
      <c r="BV767" s="46" t="str">
        <f t="shared" si="8"/>
        <v/>
      </c>
      <c r="BW767" s="46">
        <f t="shared" si="9"/>
        <v>0</v>
      </c>
      <c r="BX767" s="46">
        <f t="shared" si="10"/>
        <v>0</v>
      </c>
      <c r="BY767" s="43" t="str">
        <f t="shared" si="11"/>
        <v>WHO-STI MedicationStatement (Current Medication)</v>
      </c>
      <c r="BZ767" s="46">
        <f t="shared" si="12"/>
        <v>1</v>
      </c>
      <c r="CA767" s="46" t="str">
        <f t="shared" si="13"/>
        <v/>
      </c>
      <c r="CB767" s="46">
        <f t="shared" si="14"/>
        <v>1</v>
      </c>
      <c r="CC767" s="46">
        <f t="shared" si="15"/>
        <v>1</v>
      </c>
      <c r="CD767" s="46">
        <f t="shared" si="16"/>
        <v>1</v>
      </c>
      <c r="CE767" s="46">
        <f t="shared" si="17"/>
        <v>0</v>
      </c>
      <c r="CF767" s="46">
        <f t="shared" si="18"/>
        <v>0</v>
      </c>
      <c r="CG767" s="46" t="str">
        <f ca="1">IFERROR(__xludf.DUMMYFUNCTION("if(OR(BH767="""",LEFT(BH767,2)=""LA""),"""",IMPORTXML(CONCATENATE(""https://loinc.org/"",BH767,""/""),""//span[@id='lcn']""))"),"")</f>
        <v/>
      </c>
      <c r="CH767" s="46"/>
      <c r="CI767" s="46"/>
      <c r="CJ767" s="46"/>
      <c r="CK767" s="46"/>
      <c r="CL767" s="46"/>
      <c r="CM767" s="46"/>
      <c r="CN767" s="46"/>
      <c r="CO767" s="46"/>
      <c r="CP767" s="46"/>
      <c r="CQ767" s="46"/>
      <c r="CR767" s="46"/>
      <c r="CS767" s="46"/>
      <c r="CT767" s="46"/>
      <c r="CU767" s="46"/>
    </row>
    <row r="768" spans="1:99" ht="12.75" customHeight="1">
      <c r="A768" s="409">
        <v>2212</v>
      </c>
      <c r="B768" s="399" t="s">
        <v>9229</v>
      </c>
      <c r="C768" s="399">
        <f t="shared" si="117"/>
        <v>2212</v>
      </c>
      <c r="D768" s="399" t="e">
        <f t="shared" ca="1" si="118"/>
        <v>#NAME?</v>
      </c>
      <c r="E768" s="399" t="str">
        <f t="shared" si="119"/>
        <v>fluconazole</v>
      </c>
      <c r="F768" s="409" t="s">
        <v>180</v>
      </c>
      <c r="G768" s="400">
        <f t="shared" si="129"/>
        <v>11</v>
      </c>
      <c r="H768" s="399" t="str">
        <f t="shared" si="130"/>
        <v>Current STI Medications</v>
      </c>
      <c r="I768" s="400"/>
      <c r="J768" s="400"/>
      <c r="K768" s="402" t="s">
        <v>9140</v>
      </c>
      <c r="L768" s="402" t="s">
        <v>961</v>
      </c>
      <c r="M768" s="400"/>
      <c r="N768" s="639" t="s">
        <v>9141</v>
      </c>
      <c r="O768" s="636" t="s">
        <v>9230</v>
      </c>
      <c r="P768" s="636"/>
      <c r="Q768" s="636"/>
      <c r="R768" s="414"/>
      <c r="S768" s="636"/>
      <c r="T768" s="636"/>
      <c r="U768" s="636"/>
      <c r="V768" s="751" t="s">
        <v>9229</v>
      </c>
      <c r="W768" s="407"/>
      <c r="X768" s="407" t="s">
        <v>208</v>
      </c>
      <c r="Y768" s="404"/>
      <c r="Z768" s="407" t="s">
        <v>113</v>
      </c>
      <c r="AA768" s="407" t="s">
        <v>1889</v>
      </c>
      <c r="AB768" s="750" t="s">
        <v>9176</v>
      </c>
      <c r="AC768" s="752"/>
      <c r="AD768" s="752"/>
      <c r="AE768" s="444"/>
      <c r="AF768" s="636"/>
      <c r="AG768" s="750" t="s">
        <v>6102</v>
      </c>
      <c r="AH768" s="399"/>
      <c r="AI768" s="400"/>
      <c r="AJ768" s="399" t="s">
        <v>1787</v>
      </c>
      <c r="AK768" s="409"/>
      <c r="AL768" s="409"/>
      <c r="AM768" s="409"/>
      <c r="AN768" s="399"/>
      <c r="AO768" s="399"/>
      <c r="AP768" s="409"/>
      <c r="AQ768" s="409" t="s">
        <v>3130</v>
      </c>
      <c r="AR768" s="399"/>
      <c r="AS768" s="399"/>
      <c r="AT768" s="399"/>
      <c r="AU768" s="399"/>
      <c r="AV768" s="399" t="str">
        <f t="shared" si="123"/>
        <v/>
      </c>
      <c r="AW768" s="399"/>
      <c r="AX768" s="409" t="s">
        <v>5194</v>
      </c>
      <c r="AY768" s="399" t="e">
        <f t="shared" ca="1" si="124"/>
        <v>#NAME?</v>
      </c>
      <c r="AZ768" s="399"/>
      <c r="BA768" s="409" t="s">
        <v>3125</v>
      </c>
      <c r="BB768" s="399"/>
      <c r="BC768" s="399" t="s">
        <v>1787</v>
      </c>
      <c r="BD768" s="409" t="s">
        <v>3162</v>
      </c>
      <c r="BE768" s="411"/>
      <c r="BF768" s="411" t="s">
        <v>1787</v>
      </c>
      <c r="BG768" s="411"/>
      <c r="BH768" s="411"/>
      <c r="BI768" s="434" t="s">
        <v>9231</v>
      </c>
      <c r="BJ768" s="399" t="s">
        <v>1787</v>
      </c>
      <c r="BK768" s="399" t="s">
        <v>1787</v>
      </c>
      <c r="BL768" s="399"/>
      <c r="BM768" s="409" t="s">
        <v>9232</v>
      </c>
      <c r="BN768" s="399" t="s">
        <v>1787</v>
      </c>
      <c r="BO768" s="399" t="s">
        <v>1787</v>
      </c>
      <c r="BP768" s="399" t="s">
        <v>1787</v>
      </c>
      <c r="BQ768" s="399" t="s">
        <v>1787</v>
      </c>
      <c r="BR768" s="399" t="s">
        <v>1787</v>
      </c>
      <c r="BS768" s="407"/>
      <c r="BT768" s="407"/>
      <c r="BU768" s="412"/>
      <c r="BV768" s="46" t="str">
        <f t="shared" si="8"/>
        <v/>
      </c>
      <c r="BW768" s="46">
        <f t="shared" si="9"/>
        <v>0</v>
      </c>
      <c r="BX768" s="46">
        <f t="shared" si="10"/>
        <v>0</v>
      </c>
      <c r="BY768" s="43" t="str">
        <f t="shared" si="11"/>
        <v>WHO-STI MedicationStatement (Current Medication)</v>
      </c>
      <c r="BZ768" s="46">
        <f t="shared" si="12"/>
        <v>1</v>
      </c>
      <c r="CA768" s="46" t="str">
        <f t="shared" si="13"/>
        <v/>
      </c>
      <c r="CB768" s="46">
        <f t="shared" si="14"/>
        <v>1</v>
      </c>
      <c r="CC768" s="46">
        <f t="shared" si="15"/>
        <v>1</v>
      </c>
      <c r="CD768" s="46">
        <f t="shared" si="16"/>
        <v>1</v>
      </c>
      <c r="CE768" s="46">
        <f t="shared" si="17"/>
        <v>0</v>
      </c>
      <c r="CF768" s="46">
        <f t="shared" si="18"/>
        <v>0</v>
      </c>
      <c r="CG768" s="46" t="str">
        <f ca="1">IFERROR(__xludf.DUMMYFUNCTION("if(OR(BH768="""",LEFT(BH768,2)=""LA""),"""",IMPORTXML(CONCATENATE(""https://loinc.org/"",BH768,""/""),""//span[@id='lcn']""))"),"")</f>
        <v/>
      </c>
      <c r="CH768" s="46"/>
      <c r="CI768" s="46"/>
      <c r="CJ768" s="46"/>
      <c r="CK768" s="46"/>
      <c r="CL768" s="46"/>
      <c r="CM768" s="46"/>
      <c r="CN768" s="46"/>
      <c r="CO768" s="46"/>
      <c r="CP768" s="46"/>
      <c r="CQ768" s="46"/>
      <c r="CR768" s="46"/>
      <c r="CS768" s="46"/>
      <c r="CT768" s="46"/>
      <c r="CU768" s="46"/>
    </row>
    <row r="769" spans="1:99" ht="12.75" customHeight="1">
      <c r="A769" s="409">
        <v>2213</v>
      </c>
      <c r="B769" s="399" t="s">
        <v>9233</v>
      </c>
      <c r="C769" s="399">
        <f t="shared" si="117"/>
        <v>2213</v>
      </c>
      <c r="D769" s="399" t="e">
        <f t="shared" ca="1" si="118"/>
        <v>#NAME?</v>
      </c>
      <c r="E769" s="399" t="str">
        <f t="shared" si="119"/>
        <v>gentamicin</v>
      </c>
      <c r="F769" s="409" t="s">
        <v>180</v>
      </c>
      <c r="G769" s="400">
        <f t="shared" si="129"/>
        <v>10</v>
      </c>
      <c r="H769" s="399" t="str">
        <f t="shared" si="130"/>
        <v>Current STI Medications</v>
      </c>
      <c r="I769" s="400"/>
      <c r="J769" s="400"/>
      <c r="K769" s="402" t="s">
        <v>9140</v>
      </c>
      <c r="L769" s="402" t="s">
        <v>961</v>
      </c>
      <c r="M769" s="400"/>
      <c r="N769" s="639" t="s">
        <v>9141</v>
      </c>
      <c r="O769" s="636" t="s">
        <v>9234</v>
      </c>
      <c r="P769" s="636"/>
      <c r="Q769" s="636"/>
      <c r="R769" s="414"/>
      <c r="S769" s="636"/>
      <c r="T769" s="636"/>
      <c r="U769" s="636"/>
      <c r="V769" s="751" t="s">
        <v>9233</v>
      </c>
      <c r="W769" s="407"/>
      <c r="X769" s="407" t="s">
        <v>208</v>
      </c>
      <c r="Y769" s="404"/>
      <c r="Z769" s="407" t="s">
        <v>113</v>
      </c>
      <c r="AA769" s="407" t="s">
        <v>1889</v>
      </c>
      <c r="AB769" s="750" t="s">
        <v>9176</v>
      </c>
      <c r="AC769" s="752"/>
      <c r="AD769" s="752"/>
      <c r="AE769" s="444"/>
      <c r="AF769" s="636"/>
      <c r="AG769" s="750" t="s">
        <v>6102</v>
      </c>
      <c r="AH769" s="399"/>
      <c r="AI769" s="400"/>
      <c r="AJ769" s="399" t="s">
        <v>1787</v>
      </c>
      <c r="AK769" s="409"/>
      <c r="AL769" s="409"/>
      <c r="AM769" s="409"/>
      <c r="AN769" s="399"/>
      <c r="AO769" s="399"/>
      <c r="AP769" s="409"/>
      <c r="AQ769" s="409" t="s">
        <v>3130</v>
      </c>
      <c r="AR769" s="399"/>
      <c r="AS769" s="399"/>
      <c r="AT769" s="399"/>
      <c r="AU769" s="399"/>
      <c r="AV769" s="399" t="str">
        <f t="shared" si="123"/>
        <v/>
      </c>
      <c r="AW769" s="399"/>
      <c r="AX769" s="409" t="s">
        <v>5194</v>
      </c>
      <c r="AY769" s="399" t="e">
        <f t="shared" ca="1" si="124"/>
        <v>#NAME?</v>
      </c>
      <c r="AZ769" s="399"/>
      <c r="BA769" s="409" t="s">
        <v>3125</v>
      </c>
      <c r="BB769" s="399"/>
      <c r="BC769" s="399" t="s">
        <v>1787</v>
      </c>
      <c r="BD769" s="409" t="s">
        <v>3162</v>
      </c>
      <c r="BE769" s="411"/>
      <c r="BF769" s="411" t="s">
        <v>1787</v>
      </c>
      <c r="BG769" s="411"/>
      <c r="BH769" s="411"/>
      <c r="BI769" s="434" t="s">
        <v>9235</v>
      </c>
      <c r="BJ769" s="399" t="s">
        <v>1787</v>
      </c>
      <c r="BK769" s="399" t="s">
        <v>1787</v>
      </c>
      <c r="BL769" s="399"/>
      <c r="BM769" s="409" t="s">
        <v>9236</v>
      </c>
      <c r="BN769" s="399" t="s">
        <v>1787</v>
      </c>
      <c r="BO769" s="399" t="s">
        <v>1787</v>
      </c>
      <c r="BP769" s="399" t="s">
        <v>1787</v>
      </c>
      <c r="BQ769" s="399" t="s">
        <v>1787</v>
      </c>
      <c r="BR769" s="399" t="s">
        <v>1787</v>
      </c>
      <c r="BS769" s="407"/>
      <c r="BT769" s="407"/>
      <c r="BU769" s="412"/>
      <c r="BV769" s="46" t="str">
        <f t="shared" si="8"/>
        <v/>
      </c>
      <c r="BW769" s="46">
        <f t="shared" si="9"/>
        <v>0</v>
      </c>
      <c r="BX769" s="46">
        <f t="shared" si="10"/>
        <v>0</v>
      </c>
      <c r="BY769" s="43" t="str">
        <f t="shared" si="11"/>
        <v>WHO-STI MedicationStatement (Current Medication)</v>
      </c>
      <c r="BZ769" s="46">
        <f t="shared" si="12"/>
        <v>1</v>
      </c>
      <c r="CA769" s="46" t="str">
        <f t="shared" si="13"/>
        <v/>
      </c>
      <c r="CB769" s="46">
        <f t="shared" si="14"/>
        <v>1</v>
      </c>
      <c r="CC769" s="46">
        <f t="shared" si="15"/>
        <v>1</v>
      </c>
      <c r="CD769" s="46">
        <f t="shared" si="16"/>
        <v>1</v>
      </c>
      <c r="CE769" s="46">
        <f t="shared" si="17"/>
        <v>0</v>
      </c>
      <c r="CF769" s="46">
        <f t="shared" si="18"/>
        <v>0</v>
      </c>
      <c r="CG769" s="46" t="str">
        <f ca="1">IFERROR(__xludf.DUMMYFUNCTION("if(OR(BH769="""",LEFT(BH769,2)=""LA""),"""",IMPORTXML(CONCATENATE(""https://loinc.org/"",BH769,""/""),""//span[@id='lcn']""))"),"")</f>
        <v/>
      </c>
      <c r="CH769" s="46"/>
      <c r="CI769" s="46"/>
      <c r="CJ769" s="46"/>
      <c r="CK769" s="46"/>
      <c r="CL769" s="46"/>
      <c r="CM769" s="46"/>
      <c r="CN769" s="46"/>
      <c r="CO769" s="46"/>
      <c r="CP769" s="46"/>
      <c r="CQ769" s="46"/>
      <c r="CR769" s="46"/>
      <c r="CS769" s="46"/>
      <c r="CT769" s="46"/>
      <c r="CU769" s="46"/>
    </row>
    <row r="770" spans="1:99" ht="12.75" customHeight="1">
      <c r="A770" s="409">
        <v>2214</v>
      </c>
      <c r="B770" s="399" t="s">
        <v>9237</v>
      </c>
      <c r="C770" s="399">
        <f t="shared" si="117"/>
        <v>2214</v>
      </c>
      <c r="D770" s="399" t="e">
        <f t="shared" ca="1" si="118"/>
        <v>#NAME?</v>
      </c>
      <c r="E770" s="399" t="str">
        <f t="shared" si="119"/>
        <v>kanamycin</v>
      </c>
      <c r="F770" s="409" t="s">
        <v>180</v>
      </c>
      <c r="G770" s="400">
        <f t="shared" si="129"/>
        <v>9</v>
      </c>
      <c r="H770" s="399" t="str">
        <f t="shared" si="130"/>
        <v>Current STI Medications</v>
      </c>
      <c r="I770" s="400"/>
      <c r="J770" s="400"/>
      <c r="K770" s="402" t="s">
        <v>9140</v>
      </c>
      <c r="L770" s="402" t="s">
        <v>961</v>
      </c>
      <c r="M770" s="400"/>
      <c r="N770" s="639" t="s">
        <v>9141</v>
      </c>
      <c r="O770" s="636" t="s">
        <v>9238</v>
      </c>
      <c r="P770" s="636"/>
      <c r="Q770" s="636"/>
      <c r="R770" s="414"/>
      <c r="S770" s="636"/>
      <c r="T770" s="636"/>
      <c r="U770" s="636"/>
      <c r="V770" s="751" t="s">
        <v>9237</v>
      </c>
      <c r="W770" s="407"/>
      <c r="X770" s="407" t="s">
        <v>208</v>
      </c>
      <c r="Y770" s="404"/>
      <c r="Z770" s="407" t="s">
        <v>113</v>
      </c>
      <c r="AA770" s="407" t="s">
        <v>1889</v>
      </c>
      <c r="AB770" s="750" t="s">
        <v>9176</v>
      </c>
      <c r="AC770" s="752"/>
      <c r="AD770" s="752"/>
      <c r="AE770" s="444"/>
      <c r="AF770" s="636"/>
      <c r="AG770" s="750" t="s">
        <v>6102</v>
      </c>
      <c r="AH770" s="399"/>
      <c r="AI770" s="400"/>
      <c r="AJ770" s="399" t="s">
        <v>1787</v>
      </c>
      <c r="AK770" s="409"/>
      <c r="AL770" s="409"/>
      <c r="AM770" s="409"/>
      <c r="AN770" s="399"/>
      <c r="AO770" s="399"/>
      <c r="AP770" s="409"/>
      <c r="AQ770" s="409" t="s">
        <v>3130</v>
      </c>
      <c r="AR770" s="399"/>
      <c r="AS770" s="399"/>
      <c r="AT770" s="399"/>
      <c r="AU770" s="399"/>
      <c r="AV770" s="399" t="str">
        <f t="shared" si="123"/>
        <v/>
      </c>
      <c r="AW770" s="399"/>
      <c r="AX770" s="409" t="s">
        <v>5194</v>
      </c>
      <c r="AY770" s="399" t="e">
        <f t="shared" ca="1" si="124"/>
        <v>#NAME?</v>
      </c>
      <c r="AZ770" s="399"/>
      <c r="BA770" s="409" t="s">
        <v>3125</v>
      </c>
      <c r="BB770" s="399"/>
      <c r="BC770" s="399" t="s">
        <v>1787</v>
      </c>
      <c r="BD770" s="409" t="s">
        <v>3162</v>
      </c>
      <c r="BE770" s="411"/>
      <c r="BF770" s="411" t="s">
        <v>1787</v>
      </c>
      <c r="BG770" s="411"/>
      <c r="BH770" s="411"/>
      <c r="BI770" s="434" t="s">
        <v>9239</v>
      </c>
      <c r="BJ770" s="399" t="s">
        <v>1787</v>
      </c>
      <c r="BK770" s="399" t="s">
        <v>1787</v>
      </c>
      <c r="BL770" s="399"/>
      <c r="BM770" s="409" t="s">
        <v>9240</v>
      </c>
      <c r="BN770" s="399" t="s">
        <v>1787</v>
      </c>
      <c r="BO770" s="399" t="s">
        <v>1787</v>
      </c>
      <c r="BP770" s="399" t="s">
        <v>1787</v>
      </c>
      <c r="BQ770" s="399" t="s">
        <v>1787</v>
      </c>
      <c r="BR770" s="399" t="s">
        <v>1787</v>
      </c>
      <c r="BS770" s="407"/>
      <c r="BT770" s="407"/>
      <c r="BU770" s="412"/>
      <c r="BV770" s="46" t="str">
        <f t="shared" si="8"/>
        <v/>
      </c>
      <c r="BW770" s="46">
        <f t="shared" si="9"/>
        <v>0</v>
      </c>
      <c r="BX770" s="46">
        <f t="shared" si="10"/>
        <v>0</v>
      </c>
      <c r="BY770" s="43" t="str">
        <f t="shared" si="11"/>
        <v>WHO-STI MedicationStatement (Current Medication)</v>
      </c>
      <c r="BZ770" s="46">
        <f t="shared" si="12"/>
        <v>1</v>
      </c>
      <c r="CA770" s="46" t="str">
        <f t="shared" si="13"/>
        <v/>
      </c>
      <c r="CB770" s="46">
        <f t="shared" si="14"/>
        <v>1</v>
      </c>
      <c r="CC770" s="46">
        <f t="shared" si="15"/>
        <v>1</v>
      </c>
      <c r="CD770" s="46">
        <f t="shared" si="16"/>
        <v>1</v>
      </c>
      <c r="CE770" s="46">
        <f t="shared" si="17"/>
        <v>0</v>
      </c>
      <c r="CF770" s="46">
        <f t="shared" si="18"/>
        <v>0</v>
      </c>
      <c r="CG770" s="46" t="str">
        <f ca="1">IFERROR(__xludf.DUMMYFUNCTION("if(OR(BH770="""",LEFT(BH770,2)=""LA""),"""",IMPORTXML(CONCATENATE(""https://loinc.org/"",BH770,""/""),""//span[@id='lcn']""))"),"")</f>
        <v/>
      </c>
      <c r="CH770" s="46"/>
      <c r="CI770" s="46"/>
      <c r="CJ770" s="46"/>
      <c r="CK770" s="46"/>
      <c r="CL770" s="46"/>
      <c r="CM770" s="46"/>
      <c r="CN770" s="46"/>
      <c r="CO770" s="46"/>
      <c r="CP770" s="46"/>
      <c r="CQ770" s="46"/>
      <c r="CR770" s="46"/>
      <c r="CS770" s="46"/>
      <c r="CT770" s="46"/>
      <c r="CU770" s="46"/>
    </row>
    <row r="771" spans="1:99" ht="12.75" customHeight="1">
      <c r="A771" s="409">
        <v>2215</v>
      </c>
      <c r="B771" s="409" t="s">
        <v>9241</v>
      </c>
      <c r="C771" s="399">
        <f t="shared" si="117"/>
        <v>2215</v>
      </c>
      <c r="D771" s="399" t="e">
        <f t="shared" ca="1" si="118"/>
        <v>#NAME?</v>
      </c>
      <c r="E771" s="399" t="str">
        <f t="shared" si="119"/>
        <v>metronidazolea</v>
      </c>
      <c r="F771" s="409" t="s">
        <v>180</v>
      </c>
      <c r="G771" s="400">
        <f t="shared" si="129"/>
        <v>13</v>
      </c>
      <c r="H771" s="399" t="str">
        <f t="shared" si="130"/>
        <v>Current STI Medications</v>
      </c>
      <c r="I771" s="400"/>
      <c r="J771" s="400"/>
      <c r="K771" s="402" t="s">
        <v>9140</v>
      </c>
      <c r="L771" s="402" t="s">
        <v>961</v>
      </c>
      <c r="M771" s="400"/>
      <c r="N771" s="639" t="s">
        <v>9141</v>
      </c>
      <c r="O771" s="636" t="s">
        <v>9242</v>
      </c>
      <c r="P771" s="636"/>
      <c r="Q771" s="636"/>
      <c r="R771" s="414"/>
      <c r="S771" s="636"/>
      <c r="T771" s="636"/>
      <c r="U771" s="636"/>
      <c r="V771" s="753" t="s">
        <v>9243</v>
      </c>
      <c r="W771" s="404"/>
      <c r="X771" s="407" t="s">
        <v>208</v>
      </c>
      <c r="Y771" s="404"/>
      <c r="Z771" s="407" t="s">
        <v>113</v>
      </c>
      <c r="AA771" s="407" t="s">
        <v>1889</v>
      </c>
      <c r="AB771" s="750" t="s">
        <v>9176</v>
      </c>
      <c r="AC771" s="752"/>
      <c r="AD771" s="752"/>
      <c r="AE771" s="444"/>
      <c r="AF771" s="636"/>
      <c r="AG771" s="750" t="s">
        <v>6102</v>
      </c>
      <c r="AH771" s="399"/>
      <c r="AI771" s="400"/>
      <c r="AJ771" s="399" t="s">
        <v>1787</v>
      </c>
      <c r="AK771" s="409"/>
      <c r="AL771" s="409"/>
      <c r="AM771" s="409"/>
      <c r="AN771" s="399"/>
      <c r="AO771" s="399"/>
      <c r="AP771" s="409"/>
      <c r="AQ771" s="409" t="s">
        <v>3130</v>
      </c>
      <c r="AR771" s="399"/>
      <c r="AS771" s="399"/>
      <c r="AT771" s="399"/>
      <c r="AU771" s="399"/>
      <c r="AV771" s="399" t="str">
        <f t="shared" si="123"/>
        <v/>
      </c>
      <c r="AW771" s="399"/>
      <c r="AX771" s="409" t="s">
        <v>5194</v>
      </c>
      <c r="AY771" s="399" t="e">
        <f t="shared" ca="1" si="124"/>
        <v>#NAME?</v>
      </c>
      <c r="AZ771" s="399"/>
      <c r="BA771" s="409" t="s">
        <v>3125</v>
      </c>
      <c r="BB771" s="399"/>
      <c r="BC771" s="399" t="s">
        <v>1787</v>
      </c>
      <c r="BD771" s="409" t="s">
        <v>3162</v>
      </c>
      <c r="BE771" s="411"/>
      <c r="BF771" s="411" t="s">
        <v>1787</v>
      </c>
      <c r="BG771" s="411"/>
      <c r="BH771" s="411"/>
      <c r="BI771" s="434" t="s">
        <v>9244</v>
      </c>
      <c r="BJ771" s="399" t="s">
        <v>1787</v>
      </c>
      <c r="BK771" s="399" t="s">
        <v>1787</v>
      </c>
      <c r="BL771" s="399"/>
      <c r="BM771" s="409" t="s">
        <v>9245</v>
      </c>
      <c r="BN771" s="399" t="s">
        <v>1787</v>
      </c>
      <c r="BO771" s="399" t="s">
        <v>1787</v>
      </c>
      <c r="BP771" s="399" t="s">
        <v>1787</v>
      </c>
      <c r="BQ771" s="399" t="s">
        <v>1787</v>
      </c>
      <c r="BR771" s="399" t="s">
        <v>1787</v>
      </c>
      <c r="BS771" s="407"/>
      <c r="BT771" s="407"/>
      <c r="BU771" s="412"/>
      <c r="BV771" s="46" t="str">
        <f t="shared" si="8"/>
        <v/>
      </c>
      <c r="BW771" s="46">
        <f t="shared" si="9"/>
        <v>0</v>
      </c>
      <c r="BX771" s="46">
        <f t="shared" si="10"/>
        <v>0</v>
      </c>
      <c r="BY771" s="43" t="str">
        <f t="shared" si="11"/>
        <v>WHO-STI MedicationStatement (Current Medication)</v>
      </c>
      <c r="BZ771" s="46">
        <f t="shared" si="12"/>
        <v>1</v>
      </c>
      <c r="CA771" s="46" t="str">
        <f t="shared" si="13"/>
        <v/>
      </c>
      <c r="CB771" s="46">
        <f t="shared" si="14"/>
        <v>1</v>
      </c>
      <c r="CC771" s="46">
        <f t="shared" si="15"/>
        <v>1</v>
      </c>
      <c r="CD771" s="46">
        <f t="shared" si="16"/>
        <v>1</v>
      </c>
      <c r="CE771" s="46">
        <f t="shared" si="17"/>
        <v>0</v>
      </c>
      <c r="CF771" s="46">
        <f t="shared" si="18"/>
        <v>0</v>
      </c>
      <c r="CG771" s="46" t="str">
        <f ca="1">IFERROR(__xludf.DUMMYFUNCTION("if(OR(BH771="""",LEFT(BH771,2)=""LA""),"""",IMPORTXML(CONCATENATE(""https://loinc.org/"",BH771,""/""),""//span[@id='lcn']""))"),"")</f>
        <v/>
      </c>
      <c r="CH771" s="46"/>
      <c r="CI771" s="46"/>
      <c r="CJ771" s="46"/>
      <c r="CK771" s="46"/>
      <c r="CL771" s="46"/>
      <c r="CM771" s="46"/>
      <c r="CN771" s="46"/>
      <c r="CO771" s="46"/>
      <c r="CP771" s="46"/>
      <c r="CQ771" s="46"/>
      <c r="CR771" s="46"/>
      <c r="CS771" s="46"/>
      <c r="CT771" s="46"/>
      <c r="CU771" s="46"/>
    </row>
    <row r="772" spans="1:99" ht="12.75" customHeight="1">
      <c r="A772" s="409">
        <v>2216</v>
      </c>
      <c r="B772" s="399" t="s">
        <v>9246</v>
      </c>
      <c r="C772" s="399">
        <f t="shared" si="117"/>
        <v>2216</v>
      </c>
      <c r="D772" s="399" t="e">
        <f t="shared" ca="1" si="118"/>
        <v>#NAME?</v>
      </c>
      <c r="E772" s="399" t="str">
        <f t="shared" si="119"/>
        <v>Miconazole</v>
      </c>
      <c r="F772" s="409" t="s">
        <v>180</v>
      </c>
      <c r="G772" s="400">
        <f t="shared" si="129"/>
        <v>10</v>
      </c>
      <c r="H772" s="399" t="str">
        <f t="shared" si="130"/>
        <v>Current STI Medications</v>
      </c>
      <c r="I772" s="400"/>
      <c r="J772" s="400"/>
      <c r="K772" s="402" t="s">
        <v>9140</v>
      </c>
      <c r="L772" s="402" t="s">
        <v>961</v>
      </c>
      <c r="M772" s="400"/>
      <c r="N772" s="639" t="s">
        <v>9141</v>
      </c>
      <c r="O772" s="636" t="s">
        <v>9247</v>
      </c>
      <c r="P772" s="636"/>
      <c r="Q772" s="636"/>
      <c r="R772" s="414"/>
      <c r="S772" s="636"/>
      <c r="T772" s="636"/>
      <c r="U772" s="636"/>
      <c r="V772" s="751" t="s">
        <v>9246</v>
      </c>
      <c r="W772" s="407"/>
      <c r="X772" s="407" t="s">
        <v>208</v>
      </c>
      <c r="Y772" s="404"/>
      <c r="Z772" s="407" t="s">
        <v>113</v>
      </c>
      <c r="AA772" s="407" t="s">
        <v>1889</v>
      </c>
      <c r="AB772" s="750" t="s">
        <v>9176</v>
      </c>
      <c r="AC772" s="752"/>
      <c r="AD772" s="752"/>
      <c r="AE772" s="444"/>
      <c r="AF772" s="636"/>
      <c r="AG772" s="750" t="s">
        <v>6102</v>
      </c>
      <c r="AH772" s="399"/>
      <c r="AI772" s="400"/>
      <c r="AJ772" s="399" t="s">
        <v>1787</v>
      </c>
      <c r="AK772" s="409"/>
      <c r="AL772" s="409"/>
      <c r="AM772" s="409"/>
      <c r="AN772" s="399"/>
      <c r="AO772" s="399"/>
      <c r="AP772" s="409"/>
      <c r="AQ772" s="409" t="s">
        <v>3130</v>
      </c>
      <c r="AR772" s="399"/>
      <c r="AS772" s="399"/>
      <c r="AT772" s="399"/>
      <c r="AU772" s="399"/>
      <c r="AV772" s="399" t="str">
        <f t="shared" si="123"/>
        <v/>
      </c>
      <c r="AW772" s="399"/>
      <c r="AX772" s="409" t="s">
        <v>5194</v>
      </c>
      <c r="AY772" s="399" t="e">
        <f t="shared" ca="1" si="124"/>
        <v>#NAME?</v>
      </c>
      <c r="AZ772" s="399"/>
      <c r="BA772" s="409" t="s">
        <v>3125</v>
      </c>
      <c r="BB772" s="399"/>
      <c r="BC772" s="399" t="s">
        <v>1787</v>
      </c>
      <c r="BD772" s="409" t="s">
        <v>3162</v>
      </c>
      <c r="BE772" s="411"/>
      <c r="BF772" s="411" t="s">
        <v>1787</v>
      </c>
      <c r="BG772" s="411"/>
      <c r="BH772" s="411"/>
      <c r="BI772" s="434" t="s">
        <v>9248</v>
      </c>
      <c r="BJ772" s="399" t="s">
        <v>1787</v>
      </c>
      <c r="BK772" s="399" t="s">
        <v>1787</v>
      </c>
      <c r="BL772" s="399"/>
      <c r="BM772" s="409" t="s">
        <v>9249</v>
      </c>
      <c r="BN772" s="399" t="s">
        <v>1787</v>
      </c>
      <c r="BO772" s="399" t="s">
        <v>1787</v>
      </c>
      <c r="BP772" s="399" t="s">
        <v>1787</v>
      </c>
      <c r="BQ772" s="399" t="s">
        <v>1787</v>
      </c>
      <c r="BR772" s="399" t="s">
        <v>1787</v>
      </c>
      <c r="BS772" s="407"/>
      <c r="BT772" s="407"/>
      <c r="BU772" s="412"/>
      <c r="BV772" s="46" t="str">
        <f t="shared" si="8"/>
        <v/>
      </c>
      <c r="BW772" s="46">
        <f t="shared" si="9"/>
        <v>0</v>
      </c>
      <c r="BX772" s="46">
        <f t="shared" si="10"/>
        <v>0</v>
      </c>
      <c r="BY772" s="43" t="str">
        <f t="shared" si="11"/>
        <v>WHO-STI MedicationStatement (Current Medication)</v>
      </c>
      <c r="BZ772" s="46">
        <f t="shared" si="12"/>
        <v>1</v>
      </c>
      <c r="CA772" s="46" t="str">
        <f t="shared" si="13"/>
        <v/>
      </c>
      <c r="CB772" s="46">
        <f t="shared" si="14"/>
        <v>1</v>
      </c>
      <c r="CC772" s="46">
        <f t="shared" si="15"/>
        <v>1</v>
      </c>
      <c r="CD772" s="46">
        <f t="shared" si="16"/>
        <v>1</v>
      </c>
      <c r="CE772" s="46">
        <f t="shared" si="17"/>
        <v>0</v>
      </c>
      <c r="CF772" s="46">
        <f t="shared" si="18"/>
        <v>0</v>
      </c>
      <c r="CG772" s="46" t="str">
        <f ca="1">IFERROR(__xludf.DUMMYFUNCTION("if(OR(BH772="""",LEFT(BH772,2)=""LA""),"""",IMPORTXML(CONCATENATE(""https://loinc.org/"",BH772,""/""),""//span[@id='lcn']""))"),"")</f>
        <v/>
      </c>
      <c r="CH772" s="46"/>
      <c r="CI772" s="46"/>
      <c r="CJ772" s="46"/>
      <c r="CK772" s="46"/>
      <c r="CL772" s="46"/>
      <c r="CM772" s="46"/>
      <c r="CN772" s="46"/>
      <c r="CO772" s="46"/>
      <c r="CP772" s="46"/>
      <c r="CQ772" s="46"/>
      <c r="CR772" s="46"/>
      <c r="CS772" s="46"/>
      <c r="CT772" s="46"/>
      <c r="CU772" s="46"/>
    </row>
    <row r="773" spans="1:99" ht="12.75" customHeight="1">
      <c r="A773" s="409">
        <v>2217</v>
      </c>
      <c r="B773" s="399" t="s">
        <v>9250</v>
      </c>
      <c r="C773" s="399">
        <f t="shared" si="117"/>
        <v>2217</v>
      </c>
      <c r="D773" s="399" t="e">
        <f t="shared" ca="1" si="118"/>
        <v>#NAME?</v>
      </c>
      <c r="E773" s="399" t="str">
        <f t="shared" si="119"/>
        <v>nystatin</v>
      </c>
      <c r="F773" s="409" t="s">
        <v>180</v>
      </c>
      <c r="G773" s="400">
        <f t="shared" si="129"/>
        <v>8</v>
      </c>
      <c r="H773" s="399" t="str">
        <f t="shared" si="130"/>
        <v>Current STI Medications</v>
      </c>
      <c r="I773" s="400"/>
      <c r="J773" s="400"/>
      <c r="K773" s="402" t="s">
        <v>9140</v>
      </c>
      <c r="L773" s="402" t="s">
        <v>961</v>
      </c>
      <c r="M773" s="400"/>
      <c r="N773" s="639" t="s">
        <v>9141</v>
      </c>
      <c r="O773" s="636" t="s">
        <v>9251</v>
      </c>
      <c r="P773" s="636"/>
      <c r="Q773" s="636"/>
      <c r="R773" s="414"/>
      <c r="S773" s="636"/>
      <c r="T773" s="636"/>
      <c r="U773" s="636"/>
      <c r="V773" s="751" t="s">
        <v>9250</v>
      </c>
      <c r="W773" s="407"/>
      <c r="X773" s="407" t="s">
        <v>208</v>
      </c>
      <c r="Y773" s="404"/>
      <c r="Z773" s="407" t="s">
        <v>113</v>
      </c>
      <c r="AA773" s="407" t="s">
        <v>1889</v>
      </c>
      <c r="AB773" s="750" t="s">
        <v>9176</v>
      </c>
      <c r="AC773" s="752"/>
      <c r="AD773" s="752"/>
      <c r="AE773" s="444"/>
      <c r="AF773" s="636"/>
      <c r="AG773" s="750" t="s">
        <v>6102</v>
      </c>
      <c r="AH773" s="399"/>
      <c r="AI773" s="400"/>
      <c r="AJ773" s="399" t="s">
        <v>1787</v>
      </c>
      <c r="AK773" s="409"/>
      <c r="AL773" s="409"/>
      <c r="AM773" s="409"/>
      <c r="AN773" s="399"/>
      <c r="AO773" s="399"/>
      <c r="AP773" s="409"/>
      <c r="AQ773" s="409" t="s">
        <v>3130</v>
      </c>
      <c r="AR773" s="399"/>
      <c r="AS773" s="399"/>
      <c r="AT773" s="399"/>
      <c r="AU773" s="399"/>
      <c r="AV773" s="399" t="str">
        <f t="shared" si="123"/>
        <v/>
      </c>
      <c r="AW773" s="399"/>
      <c r="AX773" s="409" t="s">
        <v>5194</v>
      </c>
      <c r="AY773" s="399" t="e">
        <f t="shared" ca="1" si="124"/>
        <v>#NAME?</v>
      </c>
      <c r="AZ773" s="399"/>
      <c r="BA773" s="409" t="s">
        <v>3125</v>
      </c>
      <c r="BB773" s="399"/>
      <c r="BC773" s="399" t="s">
        <v>1787</v>
      </c>
      <c r="BD773" s="409" t="s">
        <v>3162</v>
      </c>
      <c r="BE773" s="411"/>
      <c r="BF773" s="411" t="s">
        <v>1787</v>
      </c>
      <c r="BG773" s="411"/>
      <c r="BH773" s="411"/>
      <c r="BI773" s="434" t="s">
        <v>9252</v>
      </c>
      <c r="BJ773" s="399" t="s">
        <v>1787</v>
      </c>
      <c r="BK773" s="399" t="s">
        <v>1787</v>
      </c>
      <c r="BL773" s="399"/>
      <c r="BM773" s="409" t="s">
        <v>9253</v>
      </c>
      <c r="BN773" s="399" t="s">
        <v>1787</v>
      </c>
      <c r="BO773" s="399" t="s">
        <v>1787</v>
      </c>
      <c r="BP773" s="399" t="s">
        <v>1787</v>
      </c>
      <c r="BQ773" s="399" t="s">
        <v>1787</v>
      </c>
      <c r="BR773" s="399" t="s">
        <v>1787</v>
      </c>
      <c r="BS773" s="407"/>
      <c r="BT773" s="407"/>
      <c r="BU773" s="412"/>
      <c r="BV773" s="46" t="str">
        <f t="shared" si="8"/>
        <v/>
      </c>
      <c r="BW773" s="46">
        <f t="shared" si="9"/>
        <v>0</v>
      </c>
      <c r="BX773" s="46">
        <f t="shared" si="10"/>
        <v>0</v>
      </c>
      <c r="BY773" s="43" t="str">
        <f t="shared" si="11"/>
        <v>WHO-STI MedicationStatement (Current Medication)</v>
      </c>
      <c r="BZ773" s="46">
        <f t="shared" si="12"/>
        <v>1</v>
      </c>
      <c r="CA773" s="46" t="str">
        <f t="shared" si="13"/>
        <v/>
      </c>
      <c r="CB773" s="46">
        <f t="shared" si="14"/>
        <v>1</v>
      </c>
      <c r="CC773" s="46">
        <f t="shared" si="15"/>
        <v>1</v>
      </c>
      <c r="CD773" s="46">
        <f t="shared" si="16"/>
        <v>1</v>
      </c>
      <c r="CE773" s="46">
        <f t="shared" si="17"/>
        <v>0</v>
      </c>
      <c r="CF773" s="46">
        <f t="shared" si="18"/>
        <v>0</v>
      </c>
      <c r="CG773" s="46" t="str">
        <f ca="1">IFERROR(__xludf.DUMMYFUNCTION("if(OR(BH773="""",LEFT(BH773,2)=""LA""),"""",IMPORTXML(CONCATENATE(""https://loinc.org/"",BH773,""/""),""//span[@id='lcn']""))"),"")</f>
        <v/>
      </c>
      <c r="CH773" s="46"/>
      <c r="CI773" s="46"/>
      <c r="CJ773" s="46"/>
      <c r="CK773" s="46"/>
      <c r="CL773" s="46"/>
      <c r="CM773" s="46"/>
      <c r="CN773" s="46"/>
      <c r="CO773" s="46"/>
      <c r="CP773" s="46"/>
      <c r="CQ773" s="46"/>
      <c r="CR773" s="46"/>
      <c r="CS773" s="46"/>
      <c r="CT773" s="46"/>
      <c r="CU773" s="46"/>
    </row>
    <row r="774" spans="1:99" ht="12.75" customHeight="1">
      <c r="A774" s="409">
        <v>2218</v>
      </c>
      <c r="B774" s="399" t="s">
        <v>9254</v>
      </c>
      <c r="C774" s="399">
        <f t="shared" si="117"/>
        <v>2218</v>
      </c>
      <c r="D774" s="399" t="e">
        <f t="shared" ca="1" si="118"/>
        <v>#NAME?</v>
      </c>
      <c r="E774" s="399" t="str">
        <f t="shared" si="119"/>
        <v>ofloxacin</v>
      </c>
      <c r="F774" s="409" t="s">
        <v>180</v>
      </c>
      <c r="G774" s="400">
        <f t="shared" si="129"/>
        <v>9</v>
      </c>
      <c r="H774" s="399" t="str">
        <f t="shared" si="130"/>
        <v>Current STI Medications</v>
      </c>
      <c r="I774" s="400"/>
      <c r="J774" s="400"/>
      <c r="K774" s="402" t="s">
        <v>9140</v>
      </c>
      <c r="L774" s="402" t="s">
        <v>961</v>
      </c>
      <c r="M774" s="400"/>
      <c r="N774" s="639" t="s">
        <v>9141</v>
      </c>
      <c r="O774" s="636" t="s">
        <v>9255</v>
      </c>
      <c r="P774" s="636"/>
      <c r="Q774" s="636"/>
      <c r="R774" s="414"/>
      <c r="S774" s="636"/>
      <c r="T774" s="636"/>
      <c r="U774" s="636"/>
      <c r="V774" s="751" t="s">
        <v>9254</v>
      </c>
      <c r="W774" s="407"/>
      <c r="X774" s="407" t="s">
        <v>208</v>
      </c>
      <c r="Y774" s="404"/>
      <c r="Z774" s="407" t="s">
        <v>113</v>
      </c>
      <c r="AA774" s="407" t="s">
        <v>1889</v>
      </c>
      <c r="AB774" s="750" t="s">
        <v>9176</v>
      </c>
      <c r="AC774" s="752"/>
      <c r="AD774" s="752"/>
      <c r="AE774" s="444"/>
      <c r="AF774" s="636"/>
      <c r="AG774" s="750" t="s">
        <v>6102</v>
      </c>
      <c r="AH774" s="399"/>
      <c r="AI774" s="400"/>
      <c r="AJ774" s="399" t="s">
        <v>1787</v>
      </c>
      <c r="AK774" s="409"/>
      <c r="AL774" s="409"/>
      <c r="AM774" s="409"/>
      <c r="AN774" s="399"/>
      <c r="AO774" s="399"/>
      <c r="AP774" s="409"/>
      <c r="AQ774" s="409" t="s">
        <v>3130</v>
      </c>
      <c r="AR774" s="399"/>
      <c r="AS774" s="399"/>
      <c r="AT774" s="399"/>
      <c r="AU774" s="399"/>
      <c r="AV774" s="399" t="str">
        <f t="shared" si="123"/>
        <v/>
      </c>
      <c r="AW774" s="399"/>
      <c r="AX774" s="409" t="s">
        <v>5194</v>
      </c>
      <c r="AY774" s="399" t="e">
        <f t="shared" ca="1" si="124"/>
        <v>#NAME?</v>
      </c>
      <c r="AZ774" s="399"/>
      <c r="BA774" s="409" t="s">
        <v>3125</v>
      </c>
      <c r="BB774" s="399"/>
      <c r="BC774" s="399" t="s">
        <v>1787</v>
      </c>
      <c r="BD774" s="409" t="s">
        <v>3162</v>
      </c>
      <c r="BE774" s="411"/>
      <c r="BF774" s="411" t="s">
        <v>1787</v>
      </c>
      <c r="BG774" s="411"/>
      <c r="BH774" s="411"/>
      <c r="BI774" s="434" t="s">
        <v>9256</v>
      </c>
      <c r="BJ774" s="399" t="s">
        <v>1787</v>
      </c>
      <c r="BK774" s="399" t="s">
        <v>1787</v>
      </c>
      <c r="BL774" s="399"/>
      <c r="BM774" s="409" t="s">
        <v>9257</v>
      </c>
      <c r="BN774" s="399" t="s">
        <v>1787</v>
      </c>
      <c r="BO774" s="399" t="s">
        <v>1787</v>
      </c>
      <c r="BP774" s="399" t="s">
        <v>1787</v>
      </c>
      <c r="BQ774" s="399" t="s">
        <v>1787</v>
      </c>
      <c r="BR774" s="399" t="s">
        <v>1787</v>
      </c>
      <c r="BS774" s="407"/>
      <c r="BT774" s="407"/>
      <c r="BU774" s="412"/>
      <c r="BV774" s="46" t="str">
        <f t="shared" si="8"/>
        <v/>
      </c>
      <c r="BW774" s="46">
        <f t="shared" si="9"/>
        <v>0</v>
      </c>
      <c r="BX774" s="46">
        <f t="shared" si="10"/>
        <v>0</v>
      </c>
      <c r="BY774" s="43" t="str">
        <f t="shared" si="11"/>
        <v>WHO-STI MedicationStatement (Current Medication)</v>
      </c>
      <c r="BZ774" s="46">
        <f t="shared" si="12"/>
        <v>1</v>
      </c>
      <c r="CA774" s="46" t="str">
        <f t="shared" si="13"/>
        <v/>
      </c>
      <c r="CB774" s="46">
        <f t="shared" si="14"/>
        <v>1</v>
      </c>
      <c r="CC774" s="46">
        <f t="shared" si="15"/>
        <v>1</v>
      </c>
      <c r="CD774" s="46">
        <f t="shared" si="16"/>
        <v>1</v>
      </c>
      <c r="CE774" s="46">
        <f t="shared" si="17"/>
        <v>0</v>
      </c>
      <c r="CF774" s="46">
        <f t="shared" si="18"/>
        <v>0</v>
      </c>
      <c r="CG774" s="46" t="str">
        <f ca="1">IFERROR(__xludf.DUMMYFUNCTION("if(OR(BH774="""",LEFT(BH774,2)=""LA""),"""",IMPORTXML(CONCATENATE(""https://loinc.org/"",BH774,""/""),""//span[@id='lcn']""))"),"")</f>
        <v/>
      </c>
      <c r="CH774" s="46"/>
      <c r="CI774" s="46"/>
      <c r="CJ774" s="46"/>
      <c r="CK774" s="46"/>
      <c r="CL774" s="46"/>
      <c r="CM774" s="46"/>
      <c r="CN774" s="46"/>
      <c r="CO774" s="46"/>
      <c r="CP774" s="46"/>
      <c r="CQ774" s="46"/>
      <c r="CR774" s="46"/>
      <c r="CS774" s="46"/>
      <c r="CT774" s="46"/>
      <c r="CU774" s="46"/>
    </row>
    <row r="775" spans="1:99" ht="12.75" customHeight="1">
      <c r="A775" s="409">
        <v>2219</v>
      </c>
      <c r="B775" s="399" t="s">
        <v>9258</v>
      </c>
      <c r="C775" s="399">
        <f t="shared" si="117"/>
        <v>2219</v>
      </c>
      <c r="D775" s="399" t="e">
        <f t="shared" ca="1" si="118"/>
        <v>#NAME?</v>
      </c>
      <c r="E775" s="399" t="str">
        <f t="shared" si="119"/>
        <v>podophyllin</v>
      </c>
      <c r="F775" s="409" t="s">
        <v>180</v>
      </c>
      <c r="G775" s="400">
        <f t="shared" si="129"/>
        <v>11</v>
      </c>
      <c r="H775" s="399" t="str">
        <f t="shared" si="130"/>
        <v>Current STI Medications</v>
      </c>
      <c r="I775" s="400"/>
      <c r="J775" s="400"/>
      <c r="K775" s="402" t="s">
        <v>9140</v>
      </c>
      <c r="L775" s="402" t="s">
        <v>961</v>
      </c>
      <c r="M775" s="400"/>
      <c r="N775" s="639" t="s">
        <v>9141</v>
      </c>
      <c r="O775" s="636" t="s">
        <v>9259</v>
      </c>
      <c r="P775" s="636"/>
      <c r="Q775" s="636"/>
      <c r="R775" s="414"/>
      <c r="S775" s="636"/>
      <c r="T775" s="636"/>
      <c r="U775" s="636"/>
      <c r="V775" s="751" t="s">
        <v>9258</v>
      </c>
      <c r="W775" s="407"/>
      <c r="X775" s="407" t="s">
        <v>113</v>
      </c>
      <c r="Y775" s="404" t="s">
        <v>9260</v>
      </c>
      <c r="Z775" s="407" t="s">
        <v>113</v>
      </c>
      <c r="AA775" s="407" t="s">
        <v>1889</v>
      </c>
      <c r="AB775" s="750" t="s">
        <v>9176</v>
      </c>
      <c r="AC775" s="752"/>
      <c r="AD775" s="752"/>
      <c r="AE775" s="444"/>
      <c r="AF775" s="636"/>
      <c r="AG775" s="750" t="s">
        <v>6102</v>
      </c>
      <c r="AH775" s="399"/>
      <c r="AI775" s="400"/>
      <c r="AJ775" s="399" t="s">
        <v>1787</v>
      </c>
      <c r="AK775" s="409"/>
      <c r="AL775" s="409"/>
      <c r="AM775" s="409"/>
      <c r="AN775" s="399"/>
      <c r="AO775" s="399"/>
      <c r="AP775" s="409"/>
      <c r="AQ775" s="409" t="s">
        <v>3130</v>
      </c>
      <c r="AR775" s="399"/>
      <c r="AS775" s="399"/>
      <c r="AT775" s="399"/>
      <c r="AU775" s="399"/>
      <c r="AV775" s="399" t="str">
        <f t="shared" si="123"/>
        <v/>
      </c>
      <c r="AW775" s="399"/>
      <c r="AX775" s="409" t="s">
        <v>5194</v>
      </c>
      <c r="AY775" s="399" t="e">
        <f t="shared" ca="1" si="124"/>
        <v>#NAME?</v>
      </c>
      <c r="AZ775" s="399"/>
      <c r="BA775" s="409" t="s">
        <v>3125</v>
      </c>
      <c r="BB775" s="399"/>
      <c r="BC775" s="399" t="s">
        <v>1787</v>
      </c>
      <c r="BD775" s="409" t="s">
        <v>3162</v>
      </c>
      <c r="BE775" s="411"/>
      <c r="BF775" s="411" t="s">
        <v>1787</v>
      </c>
      <c r="BG775" s="411"/>
      <c r="BH775" s="411"/>
      <c r="BI775" s="434" t="s">
        <v>9261</v>
      </c>
      <c r="BJ775" s="399" t="s">
        <v>1787</v>
      </c>
      <c r="BK775" s="399" t="s">
        <v>1787</v>
      </c>
      <c r="BL775" s="399"/>
      <c r="BM775" s="409" t="s">
        <v>9262</v>
      </c>
      <c r="BN775" s="399" t="s">
        <v>1787</v>
      </c>
      <c r="BO775" s="399" t="s">
        <v>1787</v>
      </c>
      <c r="BP775" s="399" t="s">
        <v>1787</v>
      </c>
      <c r="BQ775" s="399" t="s">
        <v>1787</v>
      </c>
      <c r="BR775" s="399" t="s">
        <v>1787</v>
      </c>
      <c r="BS775" s="407"/>
      <c r="BT775" s="407"/>
      <c r="BU775" s="412"/>
      <c r="BV775" s="46" t="str">
        <f t="shared" si="8"/>
        <v/>
      </c>
      <c r="BW775" s="46">
        <f t="shared" si="9"/>
        <v>0</v>
      </c>
      <c r="BX775" s="46">
        <f t="shared" si="10"/>
        <v>0</v>
      </c>
      <c r="BY775" s="43" t="str">
        <f t="shared" si="11"/>
        <v>WHO-STI MedicationStatement (Current Medication)</v>
      </c>
      <c r="BZ775" s="46">
        <f t="shared" si="12"/>
        <v>1</v>
      </c>
      <c r="CA775" s="46" t="str">
        <f t="shared" si="13"/>
        <v/>
      </c>
      <c r="CB775" s="46">
        <f t="shared" si="14"/>
        <v>1</v>
      </c>
      <c r="CC775" s="46">
        <f t="shared" si="15"/>
        <v>1</v>
      </c>
      <c r="CD775" s="46">
        <f t="shared" si="16"/>
        <v>1</v>
      </c>
      <c r="CE775" s="46">
        <f t="shared" si="17"/>
        <v>0</v>
      </c>
      <c r="CF775" s="46">
        <f t="shared" si="18"/>
        <v>0</v>
      </c>
      <c r="CG775" s="46" t="str">
        <f ca="1">IFERROR(__xludf.DUMMYFUNCTION("if(OR(BH775="""",LEFT(BH775,2)=""LA""),"""",IMPORTXML(CONCATENATE(""https://loinc.org/"",BH775,""/""),""//span[@id='lcn']""))"),"")</f>
        <v/>
      </c>
      <c r="CH775" s="46"/>
      <c r="CI775" s="46"/>
      <c r="CJ775" s="46"/>
      <c r="CK775" s="46"/>
      <c r="CL775" s="46"/>
      <c r="CM775" s="46"/>
      <c r="CN775" s="46"/>
      <c r="CO775" s="46"/>
      <c r="CP775" s="46"/>
      <c r="CQ775" s="46"/>
      <c r="CR775" s="46"/>
      <c r="CS775" s="46"/>
      <c r="CT775" s="46"/>
      <c r="CU775" s="46"/>
    </row>
    <row r="776" spans="1:99" ht="12.75" customHeight="1">
      <c r="A776" s="409">
        <v>2220</v>
      </c>
      <c r="B776" s="399" t="s">
        <v>9263</v>
      </c>
      <c r="C776" s="399">
        <f t="shared" si="117"/>
        <v>2220</v>
      </c>
      <c r="D776" s="399" t="e">
        <f t="shared" ca="1" si="118"/>
        <v>#NAME?</v>
      </c>
      <c r="E776" s="399" t="str">
        <f t="shared" si="119"/>
        <v>povidone iodine</v>
      </c>
      <c r="F776" s="409" t="s">
        <v>180</v>
      </c>
      <c r="G776" s="400">
        <f t="shared" si="129"/>
        <v>15</v>
      </c>
      <c r="H776" s="399" t="str">
        <f t="shared" si="130"/>
        <v>Current STI Medications</v>
      </c>
      <c r="I776" s="400"/>
      <c r="J776" s="400"/>
      <c r="K776" s="402" t="s">
        <v>9140</v>
      </c>
      <c r="L776" s="402" t="s">
        <v>961</v>
      </c>
      <c r="M776" s="400"/>
      <c r="N776" s="639" t="s">
        <v>9141</v>
      </c>
      <c r="O776" s="636" t="s">
        <v>9264</v>
      </c>
      <c r="P776" s="636"/>
      <c r="Q776" s="636"/>
      <c r="R776" s="414"/>
      <c r="S776" s="636"/>
      <c r="T776" s="636"/>
      <c r="U776" s="636"/>
      <c r="V776" s="753" t="s">
        <v>9263</v>
      </c>
      <c r="W776" s="407"/>
      <c r="X776" s="407" t="s">
        <v>208</v>
      </c>
      <c r="Y776" s="404"/>
      <c r="Z776" s="407" t="s">
        <v>113</v>
      </c>
      <c r="AA776" s="407" t="s">
        <v>1889</v>
      </c>
      <c r="AB776" s="750" t="s">
        <v>9176</v>
      </c>
      <c r="AC776" s="752"/>
      <c r="AD776" s="752"/>
      <c r="AE776" s="444"/>
      <c r="AF776" s="636"/>
      <c r="AG776" s="750" t="s">
        <v>6102</v>
      </c>
      <c r="AH776" s="399"/>
      <c r="AI776" s="400"/>
      <c r="AJ776" s="399" t="s">
        <v>1787</v>
      </c>
      <c r="AK776" s="409"/>
      <c r="AL776" s="409"/>
      <c r="AM776" s="409"/>
      <c r="AN776" s="399"/>
      <c r="AO776" s="399"/>
      <c r="AP776" s="409"/>
      <c r="AQ776" s="409" t="s">
        <v>3130</v>
      </c>
      <c r="AR776" s="399"/>
      <c r="AS776" s="399"/>
      <c r="AT776" s="399"/>
      <c r="AU776" s="399"/>
      <c r="AV776" s="399" t="str">
        <f t="shared" si="123"/>
        <v/>
      </c>
      <c r="AW776" s="399"/>
      <c r="AX776" s="409" t="s">
        <v>5194</v>
      </c>
      <c r="AY776" s="399" t="e">
        <f t="shared" ca="1" si="124"/>
        <v>#NAME?</v>
      </c>
      <c r="AZ776" s="399"/>
      <c r="BA776" s="409" t="s">
        <v>3125</v>
      </c>
      <c r="BB776" s="399"/>
      <c r="BC776" s="399" t="s">
        <v>1787</v>
      </c>
      <c r="BD776" s="409" t="s">
        <v>3188</v>
      </c>
      <c r="BE776" s="411"/>
      <c r="BF776" s="411" t="s">
        <v>1787</v>
      </c>
      <c r="BG776" s="411"/>
      <c r="BH776" s="411"/>
      <c r="BI776" s="434" t="s">
        <v>9265</v>
      </c>
      <c r="BJ776" s="399" t="s">
        <v>1787</v>
      </c>
      <c r="BK776" s="399" t="s">
        <v>1787</v>
      </c>
      <c r="BL776" s="399"/>
      <c r="BM776" s="409" t="s">
        <v>9266</v>
      </c>
      <c r="BN776" s="399" t="s">
        <v>1787</v>
      </c>
      <c r="BO776" s="399" t="s">
        <v>1787</v>
      </c>
      <c r="BP776" s="399" t="s">
        <v>1787</v>
      </c>
      <c r="BQ776" s="399" t="s">
        <v>1787</v>
      </c>
      <c r="BR776" s="399" t="s">
        <v>1787</v>
      </c>
      <c r="BS776" s="407"/>
      <c r="BT776" s="407"/>
      <c r="BU776" s="412"/>
      <c r="BV776" s="46" t="str">
        <f t="shared" si="8"/>
        <v/>
      </c>
      <c r="BW776" s="46">
        <f t="shared" si="9"/>
        <v>0</v>
      </c>
      <c r="BX776" s="46">
        <f t="shared" si="10"/>
        <v>0</v>
      </c>
      <c r="BY776" s="43" t="str">
        <f t="shared" si="11"/>
        <v>WHO-STI MedicationStatement (Current Medication)</v>
      </c>
      <c r="BZ776" s="46">
        <f t="shared" si="12"/>
        <v>1</v>
      </c>
      <c r="CA776" s="46" t="str">
        <f t="shared" si="13"/>
        <v/>
      </c>
      <c r="CB776" s="46">
        <f t="shared" si="14"/>
        <v>1</v>
      </c>
      <c r="CC776" s="46">
        <f t="shared" si="15"/>
        <v>1</v>
      </c>
      <c r="CD776" s="46">
        <f t="shared" si="16"/>
        <v>1</v>
      </c>
      <c r="CE776" s="46">
        <f t="shared" si="17"/>
        <v>0</v>
      </c>
      <c r="CF776" s="46">
        <f t="shared" si="18"/>
        <v>0</v>
      </c>
      <c r="CG776" s="46" t="str">
        <f ca="1">IFERROR(__xludf.DUMMYFUNCTION("if(OR(BH776="""",LEFT(BH776,2)=""LA""),"""",IMPORTXML(CONCATENATE(""https://loinc.org/"",BH776,""/""),""//span[@id='lcn']""))"),"")</f>
        <v/>
      </c>
      <c r="CH776" s="46"/>
      <c r="CI776" s="46"/>
      <c r="CJ776" s="46"/>
      <c r="CK776" s="46"/>
      <c r="CL776" s="46"/>
      <c r="CM776" s="46"/>
      <c r="CN776" s="46"/>
      <c r="CO776" s="46"/>
      <c r="CP776" s="46"/>
      <c r="CQ776" s="46"/>
      <c r="CR776" s="46"/>
      <c r="CS776" s="46"/>
      <c r="CT776" s="46"/>
      <c r="CU776" s="46"/>
    </row>
    <row r="777" spans="1:99" ht="12.75" customHeight="1">
      <c r="A777" s="409">
        <v>2221</v>
      </c>
      <c r="B777" s="399" t="s">
        <v>9267</v>
      </c>
      <c r="C777" s="399">
        <f t="shared" si="117"/>
        <v>2221</v>
      </c>
      <c r="D777" s="399" t="e">
        <f t="shared" ca="1" si="118"/>
        <v>#NAME?</v>
      </c>
      <c r="E777" s="399" t="str">
        <f t="shared" si="119"/>
        <v>procaine penicillin</v>
      </c>
      <c r="F777" s="409" t="s">
        <v>180</v>
      </c>
      <c r="G777" s="400">
        <f t="shared" si="129"/>
        <v>19</v>
      </c>
      <c r="H777" s="399" t="str">
        <f t="shared" si="130"/>
        <v>Current STI Medications</v>
      </c>
      <c r="I777" s="400"/>
      <c r="J777" s="400"/>
      <c r="K777" s="402" t="s">
        <v>9140</v>
      </c>
      <c r="L777" s="402" t="s">
        <v>961</v>
      </c>
      <c r="M777" s="400"/>
      <c r="N777" s="639" t="s">
        <v>9141</v>
      </c>
      <c r="O777" s="636" t="s">
        <v>9268</v>
      </c>
      <c r="P777" s="636"/>
      <c r="Q777" s="636"/>
      <c r="R777" s="414"/>
      <c r="S777" s="636"/>
      <c r="T777" s="636"/>
      <c r="U777" s="636"/>
      <c r="V777" s="753" t="s">
        <v>9267</v>
      </c>
      <c r="W777" s="404"/>
      <c r="X777" s="407" t="s">
        <v>208</v>
      </c>
      <c r="Y777" s="404"/>
      <c r="Z777" s="407" t="s">
        <v>113</v>
      </c>
      <c r="AA777" s="407" t="s">
        <v>1889</v>
      </c>
      <c r="AB777" s="750" t="s">
        <v>9176</v>
      </c>
      <c r="AC777" s="752"/>
      <c r="AD777" s="752"/>
      <c r="AE777" s="444"/>
      <c r="AF777" s="636"/>
      <c r="AG777" s="750" t="s">
        <v>6102</v>
      </c>
      <c r="AH777" s="399"/>
      <c r="AI777" s="400"/>
      <c r="AJ777" s="399" t="s">
        <v>1787</v>
      </c>
      <c r="AK777" s="409"/>
      <c r="AL777" s="409"/>
      <c r="AM777" s="409"/>
      <c r="AN777" s="399"/>
      <c r="AO777" s="399"/>
      <c r="AP777" s="409"/>
      <c r="AQ777" s="409" t="s">
        <v>3130</v>
      </c>
      <c r="AR777" s="399"/>
      <c r="AS777" s="399"/>
      <c r="AT777" s="399"/>
      <c r="AU777" s="399"/>
      <c r="AV777" s="399" t="str">
        <f t="shared" si="123"/>
        <v/>
      </c>
      <c r="AW777" s="399"/>
      <c r="AX777" s="409" t="s">
        <v>5194</v>
      </c>
      <c r="AY777" s="399" t="e">
        <f t="shared" ca="1" si="124"/>
        <v>#NAME?</v>
      </c>
      <c r="AZ777" s="399"/>
      <c r="BA777" s="409" t="s">
        <v>3125</v>
      </c>
      <c r="BB777" s="399"/>
      <c r="BC777" s="399" t="s">
        <v>1787</v>
      </c>
      <c r="BD777" s="409" t="s">
        <v>9269</v>
      </c>
      <c r="BE777" s="411"/>
      <c r="BF777" s="411" t="s">
        <v>1787</v>
      </c>
      <c r="BG777" s="411"/>
      <c r="BH777" s="411"/>
      <c r="BI777" s="434" t="s">
        <v>9270</v>
      </c>
      <c r="BJ777" s="399" t="s">
        <v>1787</v>
      </c>
      <c r="BK777" s="399" t="s">
        <v>1787</v>
      </c>
      <c r="BL777" s="399"/>
      <c r="BM777" s="409" t="s">
        <v>9271</v>
      </c>
      <c r="BN777" s="399" t="s">
        <v>1787</v>
      </c>
      <c r="BO777" s="399" t="s">
        <v>1787</v>
      </c>
      <c r="BP777" s="399" t="s">
        <v>1787</v>
      </c>
      <c r="BQ777" s="399" t="s">
        <v>1787</v>
      </c>
      <c r="BR777" s="399" t="s">
        <v>1787</v>
      </c>
      <c r="BS777" s="407"/>
      <c r="BT777" s="407"/>
      <c r="BU777" s="412"/>
      <c r="BV777" s="46" t="str">
        <f t="shared" si="8"/>
        <v/>
      </c>
      <c r="BW777" s="46">
        <f t="shared" si="9"/>
        <v>0</v>
      </c>
      <c r="BX777" s="46">
        <f t="shared" si="10"/>
        <v>0</v>
      </c>
      <c r="BY777" s="43" t="str">
        <f t="shared" si="11"/>
        <v>WHO-STI MedicationStatement (Current Medication)</v>
      </c>
      <c r="BZ777" s="46">
        <f t="shared" si="12"/>
        <v>1</v>
      </c>
      <c r="CA777" s="46" t="str">
        <f t="shared" si="13"/>
        <v/>
      </c>
      <c r="CB777" s="46">
        <f t="shared" si="14"/>
        <v>1</v>
      </c>
      <c r="CC777" s="46">
        <f t="shared" si="15"/>
        <v>1</v>
      </c>
      <c r="CD777" s="46">
        <f t="shared" si="16"/>
        <v>1</v>
      </c>
      <c r="CE777" s="46">
        <f t="shared" si="17"/>
        <v>0</v>
      </c>
      <c r="CF777" s="46">
        <f t="shared" si="18"/>
        <v>0</v>
      </c>
      <c r="CG777" s="46" t="str">
        <f ca="1">IFERROR(__xludf.DUMMYFUNCTION("if(OR(BH777="""",LEFT(BH777,2)=""LA""),"""",IMPORTXML(CONCATENATE(""https://loinc.org/"",BH777,""/""),""//span[@id='lcn']""))"),"")</f>
        <v/>
      </c>
      <c r="CH777" s="46"/>
      <c r="CI777" s="46"/>
      <c r="CJ777" s="46"/>
      <c r="CK777" s="46"/>
      <c r="CL777" s="46"/>
      <c r="CM777" s="46"/>
      <c r="CN777" s="46"/>
      <c r="CO777" s="46"/>
      <c r="CP777" s="46"/>
      <c r="CQ777" s="46"/>
      <c r="CR777" s="46"/>
      <c r="CS777" s="46"/>
      <c r="CT777" s="46"/>
      <c r="CU777" s="46"/>
    </row>
    <row r="778" spans="1:99" ht="12.75" customHeight="1">
      <c r="A778" s="409">
        <v>2222</v>
      </c>
      <c r="B778" s="399" t="s">
        <v>9272</v>
      </c>
      <c r="C778" s="399">
        <f t="shared" si="117"/>
        <v>2222</v>
      </c>
      <c r="D778" s="399" t="e">
        <f t="shared" ca="1" si="118"/>
        <v>#NAME?</v>
      </c>
      <c r="E778" s="399" t="str">
        <f t="shared" si="119"/>
        <v>silver nitrate</v>
      </c>
      <c r="F778" s="409" t="s">
        <v>180</v>
      </c>
      <c r="G778" s="400">
        <f t="shared" si="129"/>
        <v>14</v>
      </c>
      <c r="H778" s="399" t="str">
        <f t="shared" si="130"/>
        <v>Current STI Medications</v>
      </c>
      <c r="I778" s="400"/>
      <c r="J778" s="400"/>
      <c r="K778" s="402" t="s">
        <v>9140</v>
      </c>
      <c r="L778" s="402" t="s">
        <v>961</v>
      </c>
      <c r="M778" s="400"/>
      <c r="N778" s="639" t="s">
        <v>9141</v>
      </c>
      <c r="O778" s="636" t="s">
        <v>9273</v>
      </c>
      <c r="P778" s="636"/>
      <c r="Q778" s="636"/>
      <c r="R778" s="414"/>
      <c r="S778" s="636"/>
      <c r="T778" s="636"/>
      <c r="U778" s="636"/>
      <c r="V778" s="751" t="s">
        <v>9272</v>
      </c>
      <c r="W778" s="404"/>
      <c r="X778" s="407" t="s">
        <v>208</v>
      </c>
      <c r="Y778" s="404"/>
      <c r="Z778" s="407" t="s">
        <v>113</v>
      </c>
      <c r="AA778" s="407" t="s">
        <v>1889</v>
      </c>
      <c r="AB778" s="750" t="s">
        <v>9176</v>
      </c>
      <c r="AC778" s="752"/>
      <c r="AD778" s="752"/>
      <c r="AE778" s="444"/>
      <c r="AF778" s="636"/>
      <c r="AG778" s="750" t="s">
        <v>6102</v>
      </c>
      <c r="AH778" s="399"/>
      <c r="AI778" s="400"/>
      <c r="AJ778" s="399" t="s">
        <v>1787</v>
      </c>
      <c r="AK778" s="409"/>
      <c r="AL778" s="409"/>
      <c r="AM778" s="409"/>
      <c r="AN778" s="399"/>
      <c r="AO778" s="399"/>
      <c r="AP778" s="409"/>
      <c r="AQ778" s="409" t="s">
        <v>3130</v>
      </c>
      <c r="AR778" s="399"/>
      <c r="AS778" s="399"/>
      <c r="AT778" s="399"/>
      <c r="AU778" s="399"/>
      <c r="AV778" s="399" t="str">
        <f t="shared" si="123"/>
        <v/>
      </c>
      <c r="AW778" s="399"/>
      <c r="AX778" s="409" t="s">
        <v>5194</v>
      </c>
      <c r="AY778" s="399" t="e">
        <f t="shared" ca="1" si="124"/>
        <v>#NAME?</v>
      </c>
      <c r="AZ778" s="399"/>
      <c r="BA778" s="409" t="s">
        <v>3125</v>
      </c>
      <c r="BB778" s="399"/>
      <c r="BC778" s="399" t="s">
        <v>1787</v>
      </c>
      <c r="BD778" s="409" t="s">
        <v>3162</v>
      </c>
      <c r="BE778" s="411"/>
      <c r="BF778" s="411" t="s">
        <v>1787</v>
      </c>
      <c r="BG778" s="411"/>
      <c r="BH778" s="411"/>
      <c r="BI778" s="434" t="s">
        <v>9274</v>
      </c>
      <c r="BJ778" s="399" t="s">
        <v>1787</v>
      </c>
      <c r="BK778" s="399" t="s">
        <v>1787</v>
      </c>
      <c r="BL778" s="399"/>
      <c r="BM778" s="409" t="s">
        <v>9275</v>
      </c>
      <c r="BN778" s="399" t="s">
        <v>1787</v>
      </c>
      <c r="BO778" s="399" t="s">
        <v>1787</v>
      </c>
      <c r="BP778" s="399" t="s">
        <v>1787</v>
      </c>
      <c r="BQ778" s="399" t="s">
        <v>1787</v>
      </c>
      <c r="BR778" s="399" t="s">
        <v>1787</v>
      </c>
      <c r="BS778" s="407"/>
      <c r="BT778" s="407"/>
      <c r="BU778" s="412"/>
      <c r="BV778" s="46" t="str">
        <f t="shared" si="8"/>
        <v/>
      </c>
      <c r="BW778" s="46">
        <f t="shared" si="9"/>
        <v>0</v>
      </c>
      <c r="BX778" s="46">
        <f t="shared" si="10"/>
        <v>0</v>
      </c>
      <c r="BY778" s="43" t="str">
        <f t="shared" si="11"/>
        <v>WHO-STI MedicationStatement (Current Medication)</v>
      </c>
      <c r="BZ778" s="46">
        <f t="shared" si="12"/>
        <v>1</v>
      </c>
      <c r="CA778" s="46" t="str">
        <f t="shared" si="13"/>
        <v/>
      </c>
      <c r="CB778" s="46">
        <f t="shared" si="14"/>
        <v>1</v>
      </c>
      <c r="CC778" s="46">
        <f t="shared" si="15"/>
        <v>1</v>
      </c>
      <c r="CD778" s="46">
        <f t="shared" si="16"/>
        <v>1</v>
      </c>
      <c r="CE778" s="46">
        <f t="shared" si="17"/>
        <v>0</v>
      </c>
      <c r="CF778" s="46">
        <f t="shared" si="18"/>
        <v>0</v>
      </c>
      <c r="CG778" s="46" t="str">
        <f ca="1">IFERROR(__xludf.DUMMYFUNCTION("if(OR(BH778="""",LEFT(BH778,2)=""LA""),"""",IMPORTXML(CONCATENATE(""https://loinc.org/"",BH778,""/""),""//span[@id='lcn']""))"),"")</f>
        <v/>
      </c>
      <c r="CH778" s="46"/>
      <c r="CI778" s="46"/>
      <c r="CJ778" s="46"/>
      <c r="CK778" s="46"/>
      <c r="CL778" s="46"/>
      <c r="CM778" s="46"/>
      <c r="CN778" s="46"/>
      <c r="CO778" s="46"/>
      <c r="CP778" s="46"/>
      <c r="CQ778" s="46"/>
      <c r="CR778" s="46"/>
      <c r="CS778" s="46"/>
      <c r="CT778" s="46"/>
      <c r="CU778" s="46"/>
    </row>
    <row r="779" spans="1:99" ht="12.75" customHeight="1">
      <c r="A779" s="409">
        <v>2223</v>
      </c>
      <c r="B779" s="399" t="s">
        <v>9276</v>
      </c>
      <c r="C779" s="399">
        <f t="shared" si="117"/>
        <v>2223</v>
      </c>
      <c r="D779" s="399" t="e">
        <f t="shared" ca="1" si="118"/>
        <v>#NAME?</v>
      </c>
      <c r="E779" s="399" t="str">
        <f t="shared" si="119"/>
        <v>clotrimazole</v>
      </c>
      <c r="F779" s="409" t="s">
        <v>180</v>
      </c>
      <c r="G779" s="400">
        <f t="shared" si="129"/>
        <v>12</v>
      </c>
      <c r="H779" s="399" t="str">
        <f t="shared" si="130"/>
        <v>Current STI Medications</v>
      </c>
      <c r="I779" s="400"/>
      <c r="J779" s="400"/>
      <c r="K779" s="402" t="s">
        <v>9140</v>
      </c>
      <c r="L779" s="402" t="s">
        <v>961</v>
      </c>
      <c r="M779" s="400"/>
      <c r="N779" s="639" t="s">
        <v>9141</v>
      </c>
      <c r="O779" s="636" t="s">
        <v>9277</v>
      </c>
      <c r="P779" s="636"/>
      <c r="Q779" s="636"/>
      <c r="R779" s="414"/>
      <c r="S779" s="636"/>
      <c r="T779" s="636"/>
      <c r="U779" s="636"/>
      <c r="V779" s="414" t="s">
        <v>9276</v>
      </c>
      <c r="W779" s="404"/>
      <c r="X779" s="407" t="s">
        <v>208</v>
      </c>
      <c r="Y779" s="404"/>
      <c r="Z779" s="407" t="s">
        <v>113</v>
      </c>
      <c r="AA779" s="407" t="s">
        <v>1889</v>
      </c>
      <c r="AB779" s="750" t="s">
        <v>9176</v>
      </c>
      <c r="AC779" s="752"/>
      <c r="AD779" s="752"/>
      <c r="AE779" s="444"/>
      <c r="AF779" s="636"/>
      <c r="AG779" s="750" t="s">
        <v>6102</v>
      </c>
      <c r="AH779" s="399"/>
      <c r="AI779" s="400"/>
      <c r="AJ779" s="399" t="s">
        <v>1787</v>
      </c>
      <c r="AK779" s="409"/>
      <c r="AL779" s="409"/>
      <c r="AM779" s="409"/>
      <c r="AN779" s="399"/>
      <c r="AO779" s="399"/>
      <c r="AP779" s="409"/>
      <c r="AQ779" s="409" t="s">
        <v>3130</v>
      </c>
      <c r="AR779" s="399"/>
      <c r="AS779" s="399"/>
      <c r="AT779" s="399"/>
      <c r="AU779" s="399"/>
      <c r="AV779" s="399" t="str">
        <f t="shared" si="123"/>
        <v/>
      </c>
      <c r="AW779" s="399"/>
      <c r="AX779" s="409" t="s">
        <v>5194</v>
      </c>
      <c r="AY779" s="399" t="e">
        <f t="shared" ca="1" si="124"/>
        <v>#NAME?</v>
      </c>
      <c r="AZ779" s="399"/>
      <c r="BA779" s="409" t="s">
        <v>3125</v>
      </c>
      <c r="BB779" s="399"/>
      <c r="BC779" s="399" t="s">
        <v>1787</v>
      </c>
      <c r="BD779" s="409" t="s">
        <v>3162</v>
      </c>
      <c r="BE779" s="411"/>
      <c r="BF779" s="411" t="s">
        <v>1787</v>
      </c>
      <c r="BG779" s="411"/>
      <c r="BH779" s="411"/>
      <c r="BI779" s="434" t="s">
        <v>9278</v>
      </c>
      <c r="BJ779" s="399" t="s">
        <v>1787</v>
      </c>
      <c r="BK779" s="399" t="s">
        <v>1787</v>
      </c>
      <c r="BL779" s="399"/>
      <c r="BM779" s="409" t="s">
        <v>9279</v>
      </c>
      <c r="BN779" s="399" t="s">
        <v>1787</v>
      </c>
      <c r="BO779" s="399" t="s">
        <v>1787</v>
      </c>
      <c r="BP779" s="399" t="s">
        <v>1787</v>
      </c>
      <c r="BQ779" s="399" t="s">
        <v>1787</v>
      </c>
      <c r="BR779" s="399" t="s">
        <v>1787</v>
      </c>
      <c r="BS779" s="407"/>
      <c r="BT779" s="407"/>
      <c r="BU779" s="412"/>
      <c r="BV779" s="46" t="str">
        <f t="shared" si="8"/>
        <v/>
      </c>
      <c r="BW779" s="46">
        <f t="shared" si="9"/>
        <v>0</v>
      </c>
      <c r="BX779" s="46">
        <f t="shared" si="10"/>
        <v>0</v>
      </c>
      <c r="BY779" s="43" t="str">
        <f t="shared" si="11"/>
        <v>WHO-STI MedicationStatement (Current Medication)</v>
      </c>
      <c r="BZ779" s="46">
        <f t="shared" si="12"/>
        <v>1</v>
      </c>
      <c r="CA779" s="46" t="str">
        <f t="shared" si="13"/>
        <v/>
      </c>
      <c r="CB779" s="46">
        <f t="shared" si="14"/>
        <v>1</v>
      </c>
      <c r="CC779" s="46">
        <f t="shared" si="15"/>
        <v>1</v>
      </c>
      <c r="CD779" s="46">
        <f t="shared" si="16"/>
        <v>1</v>
      </c>
      <c r="CE779" s="46">
        <f t="shared" si="17"/>
        <v>0</v>
      </c>
      <c r="CF779" s="46">
        <f t="shared" si="18"/>
        <v>0</v>
      </c>
      <c r="CG779" s="46" t="str">
        <f ca="1">IFERROR(__xludf.DUMMYFUNCTION("if(OR(BH779="""",LEFT(BH779,2)=""LA""),"""",IMPORTXML(CONCATENATE(""https://loinc.org/"",BH779,""/""),""//span[@id='lcn']""))"),"")</f>
        <v/>
      </c>
      <c r="CH779" s="46"/>
      <c r="CI779" s="46"/>
      <c r="CJ779" s="46"/>
      <c r="CK779" s="46"/>
      <c r="CL779" s="46"/>
      <c r="CM779" s="46"/>
      <c r="CN779" s="46"/>
      <c r="CO779" s="46"/>
      <c r="CP779" s="46"/>
      <c r="CQ779" s="46"/>
      <c r="CR779" s="46"/>
      <c r="CS779" s="46"/>
      <c r="CT779" s="46"/>
      <c r="CU779" s="46"/>
    </row>
    <row r="780" spans="1:99" ht="12.75" customHeight="1">
      <c r="A780" s="409">
        <v>2224</v>
      </c>
      <c r="B780" s="399" t="s">
        <v>9280</v>
      </c>
      <c r="C780" s="399">
        <f t="shared" si="117"/>
        <v>2224</v>
      </c>
      <c r="D780" s="399" t="e">
        <f t="shared" ca="1" si="118"/>
        <v>#NAME?</v>
      </c>
      <c r="E780" s="399" t="str">
        <f t="shared" si="119"/>
        <v>spectinomycin</v>
      </c>
      <c r="F780" s="409" t="s">
        <v>180</v>
      </c>
      <c r="G780" s="400">
        <f t="shared" si="129"/>
        <v>13</v>
      </c>
      <c r="H780" s="399" t="str">
        <f t="shared" si="130"/>
        <v>Current STI Medications</v>
      </c>
      <c r="I780" s="400"/>
      <c r="J780" s="400"/>
      <c r="K780" s="402" t="s">
        <v>9140</v>
      </c>
      <c r="L780" s="402" t="s">
        <v>961</v>
      </c>
      <c r="M780" s="400"/>
      <c r="N780" s="639" t="s">
        <v>9141</v>
      </c>
      <c r="O780" s="636" t="s">
        <v>9281</v>
      </c>
      <c r="P780" s="636"/>
      <c r="Q780" s="636"/>
      <c r="R780" s="414"/>
      <c r="S780" s="636"/>
      <c r="T780" s="636"/>
      <c r="U780" s="636"/>
      <c r="V780" s="751" t="s">
        <v>9280</v>
      </c>
      <c r="W780" s="404"/>
      <c r="X780" s="407" t="s">
        <v>208</v>
      </c>
      <c r="Y780" s="404"/>
      <c r="Z780" s="407" t="s">
        <v>113</v>
      </c>
      <c r="AA780" s="407" t="s">
        <v>1889</v>
      </c>
      <c r="AB780" s="750" t="s">
        <v>9176</v>
      </c>
      <c r="AC780" s="752"/>
      <c r="AD780" s="752"/>
      <c r="AE780" s="444"/>
      <c r="AF780" s="636"/>
      <c r="AG780" s="750" t="s">
        <v>6102</v>
      </c>
      <c r="AH780" s="399"/>
      <c r="AI780" s="400"/>
      <c r="AJ780" s="399" t="s">
        <v>1787</v>
      </c>
      <c r="AK780" s="409"/>
      <c r="AL780" s="409"/>
      <c r="AM780" s="409"/>
      <c r="AN780" s="399"/>
      <c r="AO780" s="399"/>
      <c r="AP780" s="409"/>
      <c r="AQ780" s="409" t="s">
        <v>3130</v>
      </c>
      <c r="AR780" s="399"/>
      <c r="AS780" s="399"/>
      <c r="AT780" s="399"/>
      <c r="AU780" s="399"/>
      <c r="AV780" s="399" t="str">
        <f t="shared" si="123"/>
        <v/>
      </c>
      <c r="AW780" s="399"/>
      <c r="AX780" s="409" t="s">
        <v>5194</v>
      </c>
      <c r="AY780" s="399" t="e">
        <f t="shared" ca="1" si="124"/>
        <v>#NAME?</v>
      </c>
      <c r="AZ780" s="399"/>
      <c r="BA780" s="409" t="s">
        <v>3125</v>
      </c>
      <c r="BB780" s="399"/>
      <c r="BC780" s="399" t="s">
        <v>1787</v>
      </c>
      <c r="BD780" s="409" t="s">
        <v>3162</v>
      </c>
      <c r="BE780" s="411"/>
      <c r="BF780" s="411" t="s">
        <v>1787</v>
      </c>
      <c r="BG780" s="411"/>
      <c r="BH780" s="411"/>
      <c r="BI780" s="434" t="s">
        <v>9282</v>
      </c>
      <c r="BJ780" s="399" t="s">
        <v>1787</v>
      </c>
      <c r="BK780" s="399" t="s">
        <v>1787</v>
      </c>
      <c r="BL780" s="399"/>
      <c r="BM780" s="409" t="s">
        <v>9283</v>
      </c>
      <c r="BN780" s="399" t="s">
        <v>1787</v>
      </c>
      <c r="BO780" s="399" t="s">
        <v>1787</v>
      </c>
      <c r="BP780" s="399" t="s">
        <v>1787</v>
      </c>
      <c r="BQ780" s="399" t="s">
        <v>1787</v>
      </c>
      <c r="BR780" s="399" t="s">
        <v>1787</v>
      </c>
      <c r="BS780" s="407"/>
      <c r="BT780" s="407"/>
      <c r="BU780" s="412"/>
      <c r="BV780" s="46" t="str">
        <f t="shared" si="8"/>
        <v/>
      </c>
      <c r="BW780" s="46">
        <f t="shared" si="9"/>
        <v>0</v>
      </c>
      <c r="BX780" s="46">
        <f t="shared" si="10"/>
        <v>0</v>
      </c>
      <c r="BY780" s="43" t="str">
        <f t="shared" si="11"/>
        <v>WHO-STI MedicationStatement (Current Medication)</v>
      </c>
      <c r="BZ780" s="46">
        <f t="shared" si="12"/>
        <v>1</v>
      </c>
      <c r="CA780" s="46" t="str">
        <f t="shared" si="13"/>
        <v/>
      </c>
      <c r="CB780" s="46">
        <f t="shared" si="14"/>
        <v>1</v>
      </c>
      <c r="CC780" s="46">
        <f t="shared" si="15"/>
        <v>1</v>
      </c>
      <c r="CD780" s="46">
        <f t="shared" si="16"/>
        <v>1</v>
      </c>
      <c r="CE780" s="46">
        <f t="shared" si="17"/>
        <v>0</v>
      </c>
      <c r="CF780" s="46">
        <f t="shared" si="18"/>
        <v>0</v>
      </c>
      <c r="CG780" s="46" t="str">
        <f ca="1">IFERROR(__xludf.DUMMYFUNCTION("if(OR(BH780="""",LEFT(BH780,2)=""LA""),"""",IMPORTXML(CONCATENATE(""https://loinc.org/"",BH780,""/""),""//span[@id='lcn']""))"),"")</f>
        <v/>
      </c>
      <c r="CH780" s="46"/>
      <c r="CI780" s="46"/>
      <c r="CJ780" s="46"/>
      <c r="CK780" s="46"/>
      <c r="CL780" s="46"/>
      <c r="CM780" s="46"/>
      <c r="CN780" s="46"/>
      <c r="CO780" s="46"/>
      <c r="CP780" s="46"/>
      <c r="CQ780" s="46"/>
      <c r="CR780" s="46"/>
      <c r="CS780" s="46"/>
      <c r="CT780" s="46"/>
      <c r="CU780" s="46"/>
    </row>
    <row r="781" spans="1:99" ht="12.75" customHeight="1">
      <c r="A781" s="409">
        <v>2225</v>
      </c>
      <c r="B781" s="399" t="s">
        <v>9284</v>
      </c>
      <c r="C781" s="399">
        <f t="shared" si="117"/>
        <v>2225</v>
      </c>
      <c r="D781" s="399" t="e">
        <f t="shared" ca="1" si="118"/>
        <v>#NAME?</v>
      </c>
      <c r="E781" s="399" t="str">
        <f t="shared" si="119"/>
        <v>tetracycline</v>
      </c>
      <c r="F781" s="409" t="s">
        <v>180</v>
      </c>
      <c r="G781" s="400">
        <f t="shared" si="129"/>
        <v>12</v>
      </c>
      <c r="H781" s="399" t="str">
        <f t="shared" si="130"/>
        <v>Current STI Medications</v>
      </c>
      <c r="I781" s="400"/>
      <c r="J781" s="400"/>
      <c r="K781" s="402" t="s">
        <v>9140</v>
      </c>
      <c r="L781" s="402" t="s">
        <v>961</v>
      </c>
      <c r="M781" s="400"/>
      <c r="N781" s="639" t="s">
        <v>9141</v>
      </c>
      <c r="O781" s="636" t="s">
        <v>9285</v>
      </c>
      <c r="P781" s="636"/>
      <c r="Q781" s="636"/>
      <c r="R781" s="414"/>
      <c r="S781" s="636"/>
      <c r="T781" s="636"/>
      <c r="U781" s="636"/>
      <c r="V781" s="751" t="s">
        <v>9284</v>
      </c>
      <c r="W781" s="404"/>
      <c r="X781" s="407" t="s">
        <v>208</v>
      </c>
      <c r="Y781" s="404"/>
      <c r="Z781" s="407" t="s">
        <v>113</v>
      </c>
      <c r="AA781" s="407" t="s">
        <v>1889</v>
      </c>
      <c r="AB781" s="750" t="s">
        <v>9176</v>
      </c>
      <c r="AC781" s="752"/>
      <c r="AD781" s="752"/>
      <c r="AE781" s="444"/>
      <c r="AF781" s="636"/>
      <c r="AG781" s="750" t="s">
        <v>6102</v>
      </c>
      <c r="AH781" s="399"/>
      <c r="AI781" s="400"/>
      <c r="AJ781" s="399" t="s">
        <v>1787</v>
      </c>
      <c r="AK781" s="409"/>
      <c r="AL781" s="409"/>
      <c r="AM781" s="409"/>
      <c r="AN781" s="399"/>
      <c r="AO781" s="399"/>
      <c r="AP781" s="409"/>
      <c r="AQ781" s="409" t="s">
        <v>3130</v>
      </c>
      <c r="AR781" s="399"/>
      <c r="AS781" s="399"/>
      <c r="AT781" s="399"/>
      <c r="AU781" s="399"/>
      <c r="AV781" s="399" t="str">
        <f t="shared" si="123"/>
        <v/>
      </c>
      <c r="AW781" s="399"/>
      <c r="AX781" s="409" t="s">
        <v>5194</v>
      </c>
      <c r="AY781" s="399" t="e">
        <f t="shared" ca="1" si="124"/>
        <v>#NAME?</v>
      </c>
      <c r="AZ781" s="399"/>
      <c r="BA781" s="409" t="s">
        <v>3125</v>
      </c>
      <c r="BB781" s="399"/>
      <c r="BC781" s="399" t="s">
        <v>1787</v>
      </c>
      <c r="BD781" s="409" t="s">
        <v>3162</v>
      </c>
      <c r="BE781" s="411"/>
      <c r="BF781" s="411" t="s">
        <v>1787</v>
      </c>
      <c r="BG781" s="411"/>
      <c r="BH781" s="411"/>
      <c r="BI781" s="434" t="s">
        <v>9286</v>
      </c>
      <c r="BJ781" s="399" t="s">
        <v>1787</v>
      </c>
      <c r="BK781" s="399" t="s">
        <v>1787</v>
      </c>
      <c r="BL781" s="399"/>
      <c r="BM781" s="409" t="s">
        <v>9287</v>
      </c>
      <c r="BN781" s="399" t="s">
        <v>1787</v>
      </c>
      <c r="BO781" s="399" t="s">
        <v>1787</v>
      </c>
      <c r="BP781" s="399" t="s">
        <v>1787</v>
      </c>
      <c r="BQ781" s="399" t="s">
        <v>1787</v>
      </c>
      <c r="BR781" s="399" t="s">
        <v>1787</v>
      </c>
      <c r="BS781" s="407"/>
      <c r="BT781" s="407"/>
      <c r="BU781" s="412"/>
      <c r="BV781" s="46" t="str">
        <f t="shared" si="8"/>
        <v/>
      </c>
      <c r="BW781" s="46">
        <f t="shared" si="9"/>
        <v>0</v>
      </c>
      <c r="BX781" s="46">
        <f t="shared" si="10"/>
        <v>0</v>
      </c>
      <c r="BY781" s="43" t="str">
        <f t="shared" si="11"/>
        <v>WHO-STI MedicationStatement (Current Medication)</v>
      </c>
      <c r="BZ781" s="46">
        <f t="shared" si="12"/>
        <v>1</v>
      </c>
      <c r="CA781" s="46" t="str">
        <f t="shared" si="13"/>
        <v/>
      </c>
      <c r="CB781" s="46">
        <f t="shared" si="14"/>
        <v>1</v>
      </c>
      <c r="CC781" s="46">
        <f t="shared" si="15"/>
        <v>1</v>
      </c>
      <c r="CD781" s="46">
        <f t="shared" si="16"/>
        <v>1</v>
      </c>
      <c r="CE781" s="46">
        <f t="shared" si="17"/>
        <v>0</v>
      </c>
      <c r="CF781" s="46">
        <f t="shared" si="18"/>
        <v>0</v>
      </c>
      <c r="CG781" s="46" t="str">
        <f ca="1">IFERROR(__xludf.DUMMYFUNCTION("if(OR(BH781="""",LEFT(BH781,2)=""LA""),"""",IMPORTXML(CONCATENATE(""https://loinc.org/"",BH781,""/""),""//span[@id='lcn']""))"),"")</f>
        <v/>
      </c>
      <c r="CH781" s="46"/>
      <c r="CI781" s="46"/>
      <c r="CJ781" s="46"/>
      <c r="CK781" s="46"/>
      <c r="CL781" s="46"/>
      <c r="CM781" s="46"/>
      <c r="CN781" s="46"/>
      <c r="CO781" s="46"/>
      <c r="CP781" s="46"/>
      <c r="CQ781" s="46"/>
      <c r="CR781" s="46"/>
      <c r="CS781" s="46"/>
      <c r="CT781" s="46"/>
      <c r="CU781" s="46"/>
    </row>
    <row r="782" spans="1:99" ht="12.75" customHeight="1">
      <c r="A782" s="409">
        <v>2226</v>
      </c>
      <c r="B782" s="399" t="s">
        <v>9288</v>
      </c>
      <c r="C782" s="399">
        <f t="shared" si="117"/>
        <v>2226</v>
      </c>
      <c r="D782" s="399" t="e">
        <f t="shared" ca="1" si="118"/>
        <v>#NAME?</v>
      </c>
      <c r="E782" s="399" t="str">
        <f t="shared" si="119"/>
        <v>tetracycline hydrochloride</v>
      </c>
      <c r="F782" s="409" t="s">
        <v>180</v>
      </c>
      <c r="G782" s="400">
        <f t="shared" si="129"/>
        <v>26</v>
      </c>
      <c r="H782" s="399" t="str">
        <f t="shared" si="130"/>
        <v>Current STI Medications</v>
      </c>
      <c r="I782" s="400"/>
      <c r="J782" s="400"/>
      <c r="K782" s="402" t="s">
        <v>9140</v>
      </c>
      <c r="L782" s="402" t="s">
        <v>961</v>
      </c>
      <c r="M782" s="400"/>
      <c r="N782" s="639" t="s">
        <v>9141</v>
      </c>
      <c r="O782" s="636" t="s">
        <v>9289</v>
      </c>
      <c r="P782" s="636"/>
      <c r="Q782" s="636"/>
      <c r="R782" s="414"/>
      <c r="S782" s="636"/>
      <c r="T782" s="636"/>
      <c r="U782" s="636"/>
      <c r="V782" s="753" t="s">
        <v>9288</v>
      </c>
      <c r="W782" s="404"/>
      <c r="X782" s="407" t="s">
        <v>208</v>
      </c>
      <c r="Y782" s="404"/>
      <c r="Z782" s="407" t="s">
        <v>113</v>
      </c>
      <c r="AA782" s="407" t="s">
        <v>1889</v>
      </c>
      <c r="AB782" s="750" t="s">
        <v>9176</v>
      </c>
      <c r="AC782" s="752"/>
      <c r="AD782" s="752"/>
      <c r="AE782" s="444"/>
      <c r="AF782" s="636"/>
      <c r="AG782" s="750" t="s">
        <v>6102</v>
      </c>
      <c r="AH782" s="399"/>
      <c r="AI782" s="400"/>
      <c r="AJ782" s="399" t="s">
        <v>1787</v>
      </c>
      <c r="AK782" s="409"/>
      <c r="AL782" s="409"/>
      <c r="AM782" s="409"/>
      <c r="AN782" s="399"/>
      <c r="AO782" s="399"/>
      <c r="AP782" s="409"/>
      <c r="AQ782" s="409" t="s">
        <v>3130</v>
      </c>
      <c r="AR782" s="399"/>
      <c r="AS782" s="399"/>
      <c r="AT782" s="399"/>
      <c r="AU782" s="399"/>
      <c r="AV782" s="399" t="str">
        <f t="shared" si="123"/>
        <v/>
      </c>
      <c r="AW782" s="399"/>
      <c r="AX782" s="409" t="s">
        <v>5194</v>
      </c>
      <c r="AY782" s="399" t="e">
        <f t="shared" ca="1" si="124"/>
        <v>#NAME?</v>
      </c>
      <c r="AZ782" s="399"/>
      <c r="BA782" s="409" t="s">
        <v>3125</v>
      </c>
      <c r="BB782" s="399"/>
      <c r="BC782" s="399" t="s">
        <v>1787</v>
      </c>
      <c r="BD782" s="409" t="s">
        <v>3162</v>
      </c>
      <c r="BE782" s="411"/>
      <c r="BF782" s="411" t="s">
        <v>1787</v>
      </c>
      <c r="BG782" s="411"/>
      <c r="BH782" s="411"/>
      <c r="BI782" s="434" t="s">
        <v>9290</v>
      </c>
      <c r="BJ782" s="399" t="s">
        <v>1787</v>
      </c>
      <c r="BK782" s="399" t="s">
        <v>1787</v>
      </c>
      <c r="BL782" s="399"/>
      <c r="BM782" s="409" t="s">
        <v>9291</v>
      </c>
      <c r="BN782" s="399" t="s">
        <v>1787</v>
      </c>
      <c r="BO782" s="399" t="s">
        <v>1787</v>
      </c>
      <c r="BP782" s="399" t="s">
        <v>1787</v>
      </c>
      <c r="BQ782" s="399" t="s">
        <v>1787</v>
      </c>
      <c r="BR782" s="399" t="s">
        <v>1787</v>
      </c>
      <c r="BS782" s="407"/>
      <c r="BT782" s="407"/>
      <c r="BU782" s="412"/>
      <c r="BV782" s="46" t="str">
        <f t="shared" si="8"/>
        <v/>
      </c>
      <c r="BW782" s="46">
        <f t="shared" si="9"/>
        <v>0</v>
      </c>
      <c r="BX782" s="46">
        <f t="shared" si="10"/>
        <v>0</v>
      </c>
      <c r="BY782" s="43" t="str">
        <f t="shared" si="11"/>
        <v>WHO-STI MedicationStatement (Current Medication)</v>
      </c>
      <c r="BZ782" s="46">
        <f t="shared" si="12"/>
        <v>1</v>
      </c>
      <c r="CA782" s="46" t="str">
        <f t="shared" si="13"/>
        <v/>
      </c>
      <c r="CB782" s="46">
        <f t="shared" si="14"/>
        <v>1</v>
      </c>
      <c r="CC782" s="46">
        <f t="shared" si="15"/>
        <v>1</v>
      </c>
      <c r="CD782" s="46">
        <f t="shared" si="16"/>
        <v>1</v>
      </c>
      <c r="CE782" s="46">
        <f t="shared" si="17"/>
        <v>0</v>
      </c>
      <c r="CF782" s="46">
        <f t="shared" si="18"/>
        <v>0</v>
      </c>
      <c r="CG782" s="46" t="str">
        <f ca="1">IFERROR(__xludf.DUMMYFUNCTION("if(OR(BH782="""",LEFT(BH782,2)=""LA""),"""",IMPORTXML(CONCATENATE(""https://loinc.org/"",BH782,""/""),""//span[@id='lcn']""))"),"")</f>
        <v/>
      </c>
      <c r="CH782" s="46"/>
      <c r="CI782" s="46"/>
      <c r="CJ782" s="46"/>
      <c r="CK782" s="46"/>
      <c r="CL782" s="46"/>
      <c r="CM782" s="46"/>
      <c r="CN782" s="46"/>
      <c r="CO782" s="46"/>
      <c r="CP782" s="46"/>
      <c r="CQ782" s="46"/>
      <c r="CR782" s="46"/>
      <c r="CS782" s="46"/>
      <c r="CT782" s="46"/>
      <c r="CU782" s="46"/>
    </row>
    <row r="783" spans="1:99" ht="12.75" customHeight="1">
      <c r="A783" s="409">
        <v>2227</v>
      </c>
      <c r="B783" s="399" t="s">
        <v>9292</v>
      </c>
      <c r="C783" s="399">
        <f t="shared" si="117"/>
        <v>2227</v>
      </c>
      <c r="D783" s="399" t="e">
        <f t="shared" ca="1" si="118"/>
        <v>#NAME?</v>
      </c>
      <c r="E783" s="399" t="str">
        <f t="shared" si="119"/>
        <v>tinidazolea</v>
      </c>
      <c r="F783" s="409" t="s">
        <v>180</v>
      </c>
      <c r="G783" s="400">
        <f t="shared" si="129"/>
        <v>11</v>
      </c>
      <c r="H783" s="399" t="str">
        <f t="shared" si="130"/>
        <v>Current STI Medications</v>
      </c>
      <c r="I783" s="400"/>
      <c r="J783" s="400"/>
      <c r="K783" s="402" t="s">
        <v>9140</v>
      </c>
      <c r="L783" s="402" t="s">
        <v>961</v>
      </c>
      <c r="M783" s="400"/>
      <c r="N783" s="639" t="s">
        <v>9141</v>
      </c>
      <c r="O783" s="636" t="s">
        <v>9293</v>
      </c>
      <c r="P783" s="636"/>
      <c r="Q783" s="636"/>
      <c r="R783" s="414"/>
      <c r="S783" s="636"/>
      <c r="T783" s="636"/>
      <c r="U783" s="636"/>
      <c r="V783" s="751" t="s">
        <v>9292</v>
      </c>
      <c r="W783" s="404"/>
      <c r="X783" s="407" t="s">
        <v>208</v>
      </c>
      <c r="Y783" s="404"/>
      <c r="Z783" s="407" t="s">
        <v>113</v>
      </c>
      <c r="AA783" s="407" t="s">
        <v>1889</v>
      </c>
      <c r="AB783" s="750" t="s">
        <v>9176</v>
      </c>
      <c r="AC783" s="752"/>
      <c r="AD783" s="752"/>
      <c r="AE783" s="444"/>
      <c r="AF783" s="636"/>
      <c r="AG783" s="750" t="s">
        <v>6102</v>
      </c>
      <c r="AH783" s="399"/>
      <c r="AI783" s="400"/>
      <c r="AJ783" s="399" t="s">
        <v>1787</v>
      </c>
      <c r="AK783" s="409"/>
      <c r="AL783" s="409"/>
      <c r="AM783" s="409"/>
      <c r="AN783" s="399"/>
      <c r="AO783" s="399"/>
      <c r="AP783" s="409"/>
      <c r="AQ783" s="409" t="s">
        <v>3130</v>
      </c>
      <c r="AR783" s="399"/>
      <c r="AS783" s="399"/>
      <c r="AT783" s="399"/>
      <c r="AU783" s="399"/>
      <c r="AV783" s="399" t="str">
        <f t="shared" si="123"/>
        <v/>
      </c>
      <c r="AW783" s="399"/>
      <c r="AX783" s="409" t="s">
        <v>5194</v>
      </c>
      <c r="AY783" s="399" t="e">
        <f t="shared" ca="1" si="124"/>
        <v>#NAME?</v>
      </c>
      <c r="AZ783" s="399"/>
      <c r="BA783" s="409" t="s">
        <v>3125</v>
      </c>
      <c r="BB783" s="399"/>
      <c r="BC783" s="399" t="s">
        <v>1787</v>
      </c>
      <c r="BD783" s="409" t="s">
        <v>9294</v>
      </c>
      <c r="BE783" s="411"/>
      <c r="BF783" s="411" t="s">
        <v>1787</v>
      </c>
      <c r="BG783" s="411"/>
      <c r="BH783" s="411"/>
      <c r="BI783" s="434" t="s">
        <v>9295</v>
      </c>
      <c r="BJ783" s="399" t="s">
        <v>1787</v>
      </c>
      <c r="BK783" s="399" t="s">
        <v>1787</v>
      </c>
      <c r="BL783" s="399"/>
      <c r="BM783" s="409" t="s">
        <v>9296</v>
      </c>
      <c r="BN783" s="399" t="s">
        <v>1787</v>
      </c>
      <c r="BO783" s="399" t="s">
        <v>1787</v>
      </c>
      <c r="BP783" s="399" t="s">
        <v>1787</v>
      </c>
      <c r="BQ783" s="399" t="s">
        <v>1787</v>
      </c>
      <c r="BR783" s="399" t="s">
        <v>1787</v>
      </c>
      <c r="BS783" s="407"/>
      <c r="BT783" s="407"/>
      <c r="BU783" s="412"/>
      <c r="BV783" s="46" t="str">
        <f t="shared" si="8"/>
        <v/>
      </c>
      <c r="BW783" s="46">
        <f t="shared" si="9"/>
        <v>0</v>
      </c>
      <c r="BX783" s="46">
        <f t="shared" si="10"/>
        <v>0</v>
      </c>
      <c r="BY783" s="43" t="str">
        <f t="shared" si="11"/>
        <v>WHO-STI MedicationStatement (Current Medication)</v>
      </c>
      <c r="BZ783" s="46">
        <f t="shared" si="12"/>
        <v>1</v>
      </c>
      <c r="CA783" s="46" t="str">
        <f t="shared" si="13"/>
        <v/>
      </c>
      <c r="CB783" s="46">
        <f t="shared" si="14"/>
        <v>1</v>
      </c>
      <c r="CC783" s="46">
        <f t="shared" si="15"/>
        <v>1</v>
      </c>
      <c r="CD783" s="46">
        <f t="shared" si="16"/>
        <v>1</v>
      </c>
      <c r="CE783" s="46">
        <f t="shared" si="17"/>
        <v>0</v>
      </c>
      <c r="CF783" s="46">
        <f t="shared" si="18"/>
        <v>0</v>
      </c>
      <c r="CG783" s="46" t="str">
        <f ca="1">IFERROR(__xludf.DUMMYFUNCTION("if(OR(BH783="""",LEFT(BH783,2)=""LA""),"""",IMPORTXML(CONCATENATE(""https://loinc.org/"",BH783,""/""),""//span[@id='lcn']""))"),"")</f>
        <v/>
      </c>
      <c r="CH783" s="46"/>
      <c r="CI783" s="46"/>
      <c r="CJ783" s="46"/>
      <c r="CK783" s="46"/>
      <c r="CL783" s="46"/>
      <c r="CM783" s="46"/>
      <c r="CN783" s="46"/>
      <c r="CO783" s="46"/>
      <c r="CP783" s="46"/>
      <c r="CQ783" s="46"/>
      <c r="CR783" s="46"/>
      <c r="CS783" s="46"/>
      <c r="CT783" s="46"/>
      <c r="CU783" s="46"/>
    </row>
    <row r="784" spans="1:99" ht="12.75" customHeight="1">
      <c r="A784" s="409">
        <v>2228</v>
      </c>
      <c r="B784" s="399" t="s">
        <v>9297</v>
      </c>
      <c r="C784" s="399">
        <f t="shared" si="117"/>
        <v>2228</v>
      </c>
      <c r="D784" s="399" t="e">
        <f t="shared" ca="1" si="118"/>
        <v>#NAME?</v>
      </c>
      <c r="E784" s="399" t="str">
        <f t="shared" si="119"/>
        <v xml:space="preserve">trichloracetic acid </v>
      </c>
      <c r="F784" s="409" t="s">
        <v>180</v>
      </c>
      <c r="G784" s="400">
        <f t="shared" si="129"/>
        <v>20</v>
      </c>
      <c r="H784" s="399" t="str">
        <f t="shared" si="130"/>
        <v>Current STI Medications</v>
      </c>
      <c r="I784" s="400"/>
      <c r="J784" s="400"/>
      <c r="K784" s="402" t="s">
        <v>9140</v>
      </c>
      <c r="L784" s="402" t="s">
        <v>961</v>
      </c>
      <c r="M784" s="400"/>
      <c r="N784" s="639" t="s">
        <v>9141</v>
      </c>
      <c r="O784" s="636" t="s">
        <v>9298</v>
      </c>
      <c r="P784" s="636"/>
      <c r="Q784" s="636"/>
      <c r="R784" s="414"/>
      <c r="S784" s="636"/>
      <c r="T784" s="636"/>
      <c r="U784" s="636"/>
      <c r="V784" s="753" t="s">
        <v>9297</v>
      </c>
      <c r="W784" s="404"/>
      <c r="X784" s="407" t="s">
        <v>208</v>
      </c>
      <c r="Y784" s="404"/>
      <c r="Z784" s="407" t="s">
        <v>113</v>
      </c>
      <c r="AA784" s="407" t="s">
        <v>1889</v>
      </c>
      <c r="AB784" s="750" t="s">
        <v>9176</v>
      </c>
      <c r="AC784" s="752"/>
      <c r="AD784" s="752"/>
      <c r="AE784" s="444"/>
      <c r="AF784" s="636"/>
      <c r="AG784" s="750" t="s">
        <v>6102</v>
      </c>
      <c r="AH784" s="399"/>
      <c r="AI784" s="400"/>
      <c r="AJ784" s="399" t="s">
        <v>1787</v>
      </c>
      <c r="AK784" s="409"/>
      <c r="AL784" s="409"/>
      <c r="AM784" s="409"/>
      <c r="AN784" s="399"/>
      <c r="AO784" s="399"/>
      <c r="AP784" s="409"/>
      <c r="AQ784" s="409" t="s">
        <v>3130</v>
      </c>
      <c r="AR784" s="399"/>
      <c r="AS784" s="399"/>
      <c r="AT784" s="399"/>
      <c r="AU784" s="399"/>
      <c r="AV784" s="399" t="str">
        <f t="shared" si="123"/>
        <v/>
      </c>
      <c r="AW784" s="399"/>
      <c r="AX784" s="409" t="s">
        <v>5194</v>
      </c>
      <c r="AY784" s="399" t="e">
        <f t="shared" ca="1" si="124"/>
        <v>#NAME?</v>
      </c>
      <c r="AZ784" s="399"/>
      <c r="BA784" s="409" t="s">
        <v>3125</v>
      </c>
      <c r="BB784" s="399"/>
      <c r="BC784" s="399" t="s">
        <v>1787</v>
      </c>
      <c r="BD784" s="409" t="s">
        <v>3162</v>
      </c>
      <c r="BE784" s="411"/>
      <c r="BF784" s="411" t="s">
        <v>1787</v>
      </c>
      <c r="BG784" s="411"/>
      <c r="BH784" s="411"/>
      <c r="BI784" s="434" t="s">
        <v>9299</v>
      </c>
      <c r="BJ784" s="399" t="s">
        <v>1787</v>
      </c>
      <c r="BK784" s="399" t="s">
        <v>1787</v>
      </c>
      <c r="BL784" s="399"/>
      <c r="BM784" s="409" t="s">
        <v>9300</v>
      </c>
      <c r="BN784" s="399" t="s">
        <v>1787</v>
      </c>
      <c r="BO784" s="399" t="s">
        <v>1787</v>
      </c>
      <c r="BP784" s="399" t="s">
        <v>1787</v>
      </c>
      <c r="BQ784" s="399" t="s">
        <v>1787</v>
      </c>
      <c r="BR784" s="399" t="s">
        <v>1787</v>
      </c>
      <c r="BS784" s="407"/>
      <c r="BT784" s="407"/>
      <c r="BU784" s="412"/>
      <c r="BV784" s="46" t="str">
        <f t="shared" si="8"/>
        <v/>
      </c>
      <c r="BW784" s="46">
        <f t="shared" si="9"/>
        <v>0</v>
      </c>
      <c r="BX784" s="46">
        <f t="shared" si="10"/>
        <v>0</v>
      </c>
      <c r="BY784" s="43" t="str">
        <f t="shared" si="11"/>
        <v>WHO-STI MedicationStatement (Current Medication)</v>
      </c>
      <c r="BZ784" s="46">
        <f t="shared" si="12"/>
        <v>1</v>
      </c>
      <c r="CA784" s="46" t="str">
        <f t="shared" si="13"/>
        <v/>
      </c>
      <c r="CB784" s="46">
        <f t="shared" si="14"/>
        <v>1</v>
      </c>
      <c r="CC784" s="46">
        <f t="shared" si="15"/>
        <v>1</v>
      </c>
      <c r="CD784" s="46">
        <f t="shared" si="16"/>
        <v>1</v>
      </c>
      <c r="CE784" s="46">
        <f t="shared" si="17"/>
        <v>0</v>
      </c>
      <c r="CF784" s="46">
        <f t="shared" si="18"/>
        <v>0</v>
      </c>
      <c r="CG784" s="46" t="str">
        <f ca="1">IFERROR(__xludf.DUMMYFUNCTION("if(OR(BH784="""",LEFT(BH784,2)=""LA""),"""",IMPORTXML(CONCATENATE(""https://loinc.org/"",BH784,""/""),""//span[@id='lcn']""))"),"")</f>
        <v/>
      </c>
      <c r="CH784" s="46"/>
      <c r="CI784" s="46"/>
      <c r="CJ784" s="46"/>
      <c r="CK784" s="46"/>
      <c r="CL784" s="46"/>
      <c r="CM784" s="46"/>
      <c r="CN784" s="46"/>
      <c r="CO784" s="46"/>
      <c r="CP784" s="46"/>
      <c r="CQ784" s="46"/>
      <c r="CR784" s="46"/>
      <c r="CS784" s="46"/>
      <c r="CT784" s="46"/>
      <c r="CU784" s="46"/>
    </row>
    <row r="785" spans="1:99" ht="12.75" customHeight="1">
      <c r="A785" s="409">
        <v>2229</v>
      </c>
      <c r="B785" s="399" t="s">
        <v>9301</v>
      </c>
      <c r="C785" s="399">
        <f t="shared" si="117"/>
        <v>2229</v>
      </c>
      <c r="D785" s="399" t="e">
        <f t="shared" ca="1" si="118"/>
        <v>#NAME?</v>
      </c>
      <c r="E785" s="399" t="str">
        <f t="shared" si="119"/>
        <v>valaciclovir</v>
      </c>
      <c r="F785" s="409" t="s">
        <v>180</v>
      </c>
      <c r="G785" s="400">
        <f t="shared" si="129"/>
        <v>12</v>
      </c>
      <c r="H785" s="399" t="str">
        <f t="shared" si="130"/>
        <v>Current STI Medications</v>
      </c>
      <c r="I785" s="400"/>
      <c r="J785" s="400"/>
      <c r="K785" s="402" t="s">
        <v>9140</v>
      </c>
      <c r="L785" s="402" t="s">
        <v>961</v>
      </c>
      <c r="M785" s="400"/>
      <c r="N785" s="639" t="s">
        <v>9141</v>
      </c>
      <c r="O785" s="636" t="s">
        <v>9302</v>
      </c>
      <c r="P785" s="636"/>
      <c r="Q785" s="636"/>
      <c r="R785" s="414"/>
      <c r="S785" s="636"/>
      <c r="T785" s="636"/>
      <c r="U785" s="636"/>
      <c r="V785" s="751" t="s">
        <v>9301</v>
      </c>
      <c r="W785" s="404"/>
      <c r="X785" s="407" t="s">
        <v>208</v>
      </c>
      <c r="Y785" s="404"/>
      <c r="Z785" s="407" t="s">
        <v>113</v>
      </c>
      <c r="AA785" s="407" t="s">
        <v>1889</v>
      </c>
      <c r="AB785" s="750" t="s">
        <v>9176</v>
      </c>
      <c r="AC785" s="752"/>
      <c r="AD785" s="752"/>
      <c r="AE785" s="444"/>
      <c r="AF785" s="636"/>
      <c r="AG785" s="750" t="s">
        <v>6102</v>
      </c>
      <c r="AH785" s="399"/>
      <c r="AI785" s="400"/>
      <c r="AJ785" s="399" t="s">
        <v>1787</v>
      </c>
      <c r="AK785" s="409"/>
      <c r="AL785" s="409"/>
      <c r="AM785" s="409"/>
      <c r="AN785" s="399"/>
      <c r="AO785" s="399"/>
      <c r="AP785" s="409"/>
      <c r="AQ785" s="409" t="s">
        <v>3130</v>
      </c>
      <c r="AR785" s="399"/>
      <c r="AS785" s="399"/>
      <c r="AT785" s="399"/>
      <c r="AU785" s="399"/>
      <c r="AV785" s="399" t="str">
        <f t="shared" si="123"/>
        <v/>
      </c>
      <c r="AW785" s="399"/>
      <c r="AX785" s="409" t="s">
        <v>5194</v>
      </c>
      <c r="AY785" s="399" t="e">
        <f t="shared" ca="1" si="124"/>
        <v>#NAME?</v>
      </c>
      <c r="AZ785" s="399"/>
      <c r="BA785" s="409" t="s">
        <v>3125</v>
      </c>
      <c r="BB785" s="399"/>
      <c r="BC785" s="399" t="s">
        <v>1787</v>
      </c>
      <c r="BD785" s="409" t="s">
        <v>3162</v>
      </c>
      <c r="BE785" s="411"/>
      <c r="BF785" s="411" t="s">
        <v>1787</v>
      </c>
      <c r="BG785" s="411"/>
      <c r="BH785" s="411"/>
      <c r="BI785" s="434" t="s">
        <v>9303</v>
      </c>
      <c r="BJ785" s="399" t="s">
        <v>1787</v>
      </c>
      <c r="BK785" s="399" t="s">
        <v>1787</v>
      </c>
      <c r="BL785" s="399"/>
      <c r="BM785" s="409" t="s">
        <v>9304</v>
      </c>
      <c r="BN785" s="399" t="s">
        <v>1787</v>
      </c>
      <c r="BO785" s="399" t="s">
        <v>1787</v>
      </c>
      <c r="BP785" s="399" t="s">
        <v>1787</v>
      </c>
      <c r="BQ785" s="399" t="s">
        <v>1787</v>
      </c>
      <c r="BR785" s="399" t="s">
        <v>1787</v>
      </c>
      <c r="BS785" s="407"/>
      <c r="BT785" s="407"/>
      <c r="BU785" s="412"/>
      <c r="BV785" s="46" t="str">
        <f t="shared" si="8"/>
        <v/>
      </c>
      <c r="BW785" s="46">
        <f t="shared" si="9"/>
        <v>0</v>
      </c>
      <c r="BX785" s="46">
        <f t="shared" si="10"/>
        <v>0</v>
      </c>
      <c r="BY785" s="43" t="str">
        <f t="shared" si="11"/>
        <v>WHO-STI MedicationStatement (Current Medication)</v>
      </c>
      <c r="BZ785" s="46">
        <f t="shared" si="12"/>
        <v>1</v>
      </c>
      <c r="CA785" s="46" t="str">
        <f t="shared" si="13"/>
        <v/>
      </c>
      <c r="CB785" s="46">
        <f t="shared" si="14"/>
        <v>1</v>
      </c>
      <c r="CC785" s="46">
        <f t="shared" si="15"/>
        <v>1</v>
      </c>
      <c r="CD785" s="46">
        <f t="shared" si="16"/>
        <v>1</v>
      </c>
      <c r="CE785" s="46">
        <f t="shared" si="17"/>
        <v>0</v>
      </c>
      <c r="CF785" s="46">
        <f t="shared" si="18"/>
        <v>0</v>
      </c>
      <c r="CG785" s="46" t="str">
        <f ca="1">IFERROR(__xludf.DUMMYFUNCTION("if(OR(BH785="""",LEFT(BH785,2)=""LA""),"""",IMPORTXML(CONCATENATE(""https://loinc.org/"",BH785,""/""),""//span[@id='lcn']""))"),"")</f>
        <v/>
      </c>
      <c r="CH785" s="46"/>
      <c r="CI785" s="46"/>
      <c r="CJ785" s="46"/>
      <c r="CK785" s="46"/>
      <c r="CL785" s="46"/>
      <c r="CM785" s="46"/>
      <c r="CN785" s="46"/>
      <c r="CO785" s="46"/>
      <c r="CP785" s="46"/>
      <c r="CQ785" s="46"/>
      <c r="CR785" s="46"/>
      <c r="CS785" s="46"/>
      <c r="CT785" s="46"/>
      <c r="CU785" s="46"/>
    </row>
    <row r="786" spans="1:99" ht="12.75" customHeight="1">
      <c r="A786" s="409">
        <v>2230</v>
      </c>
      <c r="B786" s="399" t="s">
        <v>9305</v>
      </c>
      <c r="C786" s="399">
        <f t="shared" si="117"/>
        <v>2230</v>
      </c>
      <c r="D786" s="399" t="e">
        <f t="shared" ca="1" si="118"/>
        <v>#NAME?</v>
      </c>
      <c r="E786" s="399" t="str">
        <f t="shared" si="119"/>
        <v>amoxicillin</v>
      </c>
      <c r="F786" s="409" t="s">
        <v>180</v>
      </c>
      <c r="G786" s="400">
        <f t="shared" si="129"/>
        <v>11</v>
      </c>
      <c r="H786" s="399" t="str">
        <f t="shared" si="130"/>
        <v>Current STI Medications</v>
      </c>
      <c r="I786" s="400"/>
      <c r="J786" s="400"/>
      <c r="K786" s="402" t="s">
        <v>9140</v>
      </c>
      <c r="L786" s="402" t="s">
        <v>961</v>
      </c>
      <c r="M786" s="400"/>
      <c r="N786" s="639" t="s">
        <v>9141</v>
      </c>
      <c r="O786" s="636" t="s">
        <v>9306</v>
      </c>
      <c r="P786" s="636"/>
      <c r="Q786" s="636"/>
      <c r="R786" s="414"/>
      <c r="S786" s="636"/>
      <c r="T786" s="636"/>
      <c r="U786" s="636"/>
      <c r="V786" s="636" t="s">
        <v>9305</v>
      </c>
      <c r="W786" s="404"/>
      <c r="X786" s="407" t="s">
        <v>208</v>
      </c>
      <c r="Y786" s="404"/>
      <c r="Z786" s="407" t="s">
        <v>113</v>
      </c>
      <c r="AA786" s="407" t="s">
        <v>1889</v>
      </c>
      <c r="AB786" s="750" t="s">
        <v>9176</v>
      </c>
      <c r="AC786" s="752"/>
      <c r="AD786" s="752"/>
      <c r="AE786" s="444"/>
      <c r="AF786" s="636"/>
      <c r="AG786" s="750" t="s">
        <v>6102</v>
      </c>
      <c r="AH786" s="399"/>
      <c r="AI786" s="400"/>
      <c r="AJ786" s="399" t="s">
        <v>1787</v>
      </c>
      <c r="AK786" s="409"/>
      <c r="AL786" s="409"/>
      <c r="AM786" s="409"/>
      <c r="AN786" s="399"/>
      <c r="AO786" s="399"/>
      <c r="AP786" s="409"/>
      <c r="AQ786" s="409" t="s">
        <v>3130</v>
      </c>
      <c r="AR786" s="399"/>
      <c r="AS786" s="399"/>
      <c r="AT786" s="399"/>
      <c r="AU786" s="399"/>
      <c r="AV786" s="399" t="str">
        <f t="shared" si="123"/>
        <v/>
      </c>
      <c r="AW786" s="399"/>
      <c r="AX786" s="409" t="s">
        <v>5194</v>
      </c>
      <c r="AY786" s="399" t="e">
        <f t="shared" ca="1" si="124"/>
        <v>#NAME?</v>
      </c>
      <c r="AZ786" s="399"/>
      <c r="BA786" s="409" t="s">
        <v>3125</v>
      </c>
      <c r="BB786" s="399"/>
      <c r="BC786" s="399" t="s">
        <v>1787</v>
      </c>
      <c r="BD786" s="409" t="s">
        <v>3162</v>
      </c>
      <c r="BE786" s="411"/>
      <c r="BF786" s="411" t="s">
        <v>1787</v>
      </c>
      <c r="BG786" s="411"/>
      <c r="BH786" s="411"/>
      <c r="BI786" s="434" t="s">
        <v>9307</v>
      </c>
      <c r="BJ786" s="399" t="s">
        <v>1787</v>
      </c>
      <c r="BK786" s="399" t="s">
        <v>1787</v>
      </c>
      <c r="BL786" s="399"/>
      <c r="BM786" s="409" t="s">
        <v>9308</v>
      </c>
      <c r="BN786" s="399" t="s">
        <v>1787</v>
      </c>
      <c r="BO786" s="399" t="s">
        <v>1787</v>
      </c>
      <c r="BP786" s="399" t="s">
        <v>1787</v>
      </c>
      <c r="BQ786" s="399" t="s">
        <v>1787</v>
      </c>
      <c r="BR786" s="399" t="s">
        <v>1787</v>
      </c>
      <c r="BS786" s="407"/>
      <c r="BT786" s="407"/>
      <c r="BU786" s="412"/>
      <c r="BV786" s="46" t="str">
        <f t="shared" si="8"/>
        <v/>
      </c>
      <c r="BW786" s="46">
        <f t="shared" si="9"/>
        <v>0</v>
      </c>
      <c r="BX786" s="46">
        <f t="shared" si="10"/>
        <v>0</v>
      </c>
      <c r="BY786" s="43" t="str">
        <f t="shared" si="11"/>
        <v>WHO-STI MedicationStatement (Current Medication)</v>
      </c>
      <c r="BZ786" s="46">
        <f t="shared" si="12"/>
        <v>1</v>
      </c>
      <c r="CA786" s="46" t="str">
        <f t="shared" si="13"/>
        <v/>
      </c>
      <c r="CB786" s="46">
        <f t="shared" si="14"/>
        <v>1</v>
      </c>
      <c r="CC786" s="46">
        <f t="shared" si="15"/>
        <v>1</v>
      </c>
      <c r="CD786" s="46">
        <f t="shared" si="16"/>
        <v>1</v>
      </c>
      <c r="CE786" s="46">
        <f t="shared" si="17"/>
        <v>0</v>
      </c>
      <c r="CF786" s="46">
        <f t="shared" si="18"/>
        <v>0</v>
      </c>
      <c r="CG786" s="46" t="str">
        <f ca="1">IFERROR(__xludf.DUMMYFUNCTION("if(OR(BH786="""",LEFT(BH786,2)=""LA""),"""",IMPORTXML(CONCATENATE(""https://loinc.org/"",BH786,""/""),""//span[@id='lcn']""))"),"")</f>
        <v/>
      </c>
      <c r="CH786" s="46"/>
      <c r="CI786" s="46"/>
      <c r="CJ786" s="46"/>
      <c r="CK786" s="46"/>
      <c r="CL786" s="46"/>
      <c r="CM786" s="46"/>
      <c r="CN786" s="46"/>
      <c r="CO786" s="46"/>
      <c r="CP786" s="46"/>
      <c r="CQ786" s="46"/>
      <c r="CR786" s="46"/>
      <c r="CS786" s="46"/>
      <c r="CT786" s="46"/>
      <c r="CU786" s="46"/>
    </row>
    <row r="787" spans="1:99" ht="12.75" customHeight="1">
      <c r="A787" s="409">
        <v>1932</v>
      </c>
      <c r="B787" s="409" t="s">
        <v>423</v>
      </c>
      <c r="C787" s="399">
        <f t="shared" si="117"/>
        <v>1932</v>
      </c>
      <c r="D787" s="399" t="e">
        <f t="shared" ca="1" si="118"/>
        <v>#NAME?</v>
      </c>
      <c r="E787" s="399">
        <f t="shared" si="119"/>
        <v>0</v>
      </c>
      <c r="F787" s="399" t="s">
        <v>180</v>
      </c>
      <c r="G787" s="400">
        <f t="shared" si="129"/>
        <v>4</v>
      </c>
      <c r="H787" s="399" t="str">
        <f t="shared" si="130"/>
        <v>Current STI Medications</v>
      </c>
      <c r="I787" s="400"/>
      <c r="J787" s="400"/>
      <c r="K787" s="401" t="s">
        <v>5283</v>
      </c>
      <c r="L787" s="402" t="s">
        <v>5194</v>
      </c>
      <c r="M787" s="400"/>
      <c r="N787" s="639" t="s">
        <v>4853</v>
      </c>
      <c r="O787" s="431" t="s">
        <v>6235</v>
      </c>
      <c r="P787" s="431"/>
      <c r="Q787" s="404"/>
      <c r="R787" s="404"/>
      <c r="S787" s="404"/>
      <c r="T787" s="404" t="s">
        <v>423</v>
      </c>
      <c r="U787" s="404"/>
      <c r="V787" s="404"/>
      <c r="W787" s="404"/>
      <c r="X787" s="404"/>
      <c r="Y787" s="404"/>
      <c r="Z787" s="407" t="s">
        <v>113</v>
      </c>
      <c r="AA787" s="404"/>
      <c r="AB787" s="406"/>
      <c r="AC787" s="404"/>
      <c r="AD787" s="404"/>
      <c r="AE787" s="406"/>
      <c r="AF787" s="404"/>
      <c r="AG787" s="404"/>
      <c r="AH787" s="399"/>
      <c r="AI787" s="400"/>
      <c r="AJ787" s="399" t="s">
        <v>1787</v>
      </c>
      <c r="AK787" s="399"/>
      <c r="AL787" s="399" t="s">
        <v>1787</v>
      </c>
      <c r="AM787" s="399"/>
      <c r="AN787" s="399" t="s">
        <v>1787</v>
      </c>
      <c r="AO787" s="399" t="s">
        <v>1787</v>
      </c>
      <c r="AP787" s="399"/>
      <c r="AQ787" s="409" t="s">
        <v>3130</v>
      </c>
      <c r="AR787" s="399"/>
      <c r="AS787" s="399"/>
      <c r="AT787" s="399"/>
      <c r="AU787" s="399"/>
      <c r="AV787" s="399" t="str">
        <f t="shared" si="123"/>
        <v/>
      </c>
      <c r="AW787" s="399"/>
      <c r="AX787" s="409" t="s">
        <v>5194</v>
      </c>
      <c r="AY787" s="399" t="e">
        <f t="shared" ca="1" si="124"/>
        <v>#NAME?</v>
      </c>
      <c r="AZ787" s="399"/>
      <c r="BA787" s="409" t="s">
        <v>3125</v>
      </c>
      <c r="BB787" s="399"/>
      <c r="BC787" s="399" t="s">
        <v>1787</v>
      </c>
      <c r="BD787" s="399" t="s">
        <v>1787</v>
      </c>
      <c r="BE787" s="411"/>
      <c r="BF787" s="411" t="s">
        <v>1787</v>
      </c>
      <c r="BG787" s="434" t="s">
        <v>9309</v>
      </c>
      <c r="BH787" s="411"/>
      <c r="BI787" s="411"/>
      <c r="BJ787" s="399" t="s">
        <v>1787</v>
      </c>
      <c r="BK787" s="399" t="s">
        <v>1787</v>
      </c>
      <c r="BL787" s="409" t="s">
        <v>3162</v>
      </c>
      <c r="BM787" s="399" t="s">
        <v>1787</v>
      </c>
      <c r="BN787" s="399" t="s">
        <v>1787</v>
      </c>
      <c r="BO787" s="399" t="s">
        <v>1787</v>
      </c>
      <c r="BP787" s="399" t="s">
        <v>1787</v>
      </c>
      <c r="BQ787" s="399" t="s">
        <v>1787</v>
      </c>
      <c r="BR787" s="399" t="s">
        <v>1787</v>
      </c>
      <c r="BS787" s="407"/>
      <c r="BT787" s="407"/>
      <c r="BU787" s="412"/>
      <c r="BV787" s="46" t="str">
        <f t="shared" si="8"/>
        <v/>
      </c>
      <c r="BW787" s="46">
        <f t="shared" si="9"/>
        <v>0</v>
      </c>
      <c r="BX787" s="46">
        <f t="shared" si="10"/>
        <v>0</v>
      </c>
      <c r="BY787" s="43" t="str">
        <f t="shared" si="11"/>
        <v>WHO-STI MedicationStatement (Current Medication)</v>
      </c>
      <c r="BZ787" s="46">
        <f t="shared" si="12"/>
        <v>1</v>
      </c>
      <c r="CA787" s="46" t="str">
        <f t="shared" si="13"/>
        <v/>
      </c>
      <c r="CB787" s="46">
        <f t="shared" si="14"/>
        <v>1</v>
      </c>
      <c r="CC787" s="46">
        <f t="shared" si="15"/>
        <v>1</v>
      </c>
      <c r="CD787" s="46">
        <f t="shared" si="16"/>
        <v>1</v>
      </c>
      <c r="CE787" s="46">
        <f t="shared" si="17"/>
        <v>0</v>
      </c>
      <c r="CF787" s="46">
        <f t="shared" si="18"/>
        <v>0</v>
      </c>
      <c r="CG787" s="46" t="str">
        <f ca="1">IFERROR(__xludf.DUMMYFUNCTION("if(OR(BH787="""",LEFT(BH787,2)=""LA""),"""",IMPORTXML(CONCATENATE(""https://loinc.org/"",BH787,""/""),""//span[@id='lcn']""))"),"")</f>
        <v/>
      </c>
      <c r="CH787" s="46"/>
      <c r="CI787" s="46"/>
      <c r="CJ787" s="46"/>
      <c r="CK787" s="46"/>
      <c r="CL787" s="46"/>
      <c r="CM787" s="46"/>
      <c r="CN787" s="46"/>
      <c r="CO787" s="46"/>
      <c r="CP787" s="46"/>
      <c r="CQ787" s="46"/>
      <c r="CR787" s="46"/>
      <c r="CS787" s="46"/>
      <c r="CT787" s="46"/>
      <c r="CU787" s="46"/>
    </row>
    <row r="788" spans="1:99" ht="12.75" customHeight="1">
      <c r="A788" s="409">
        <v>1933</v>
      </c>
      <c r="B788" s="409" t="s">
        <v>500</v>
      </c>
      <c r="C788" s="399">
        <f t="shared" si="117"/>
        <v>1933</v>
      </c>
      <c r="D788" s="399" t="e">
        <f t="shared" ca="1" si="118"/>
        <v>#NAME?</v>
      </c>
      <c r="E788" s="399">
        <f t="shared" si="119"/>
        <v>0</v>
      </c>
      <c r="F788" s="399" t="s">
        <v>180</v>
      </c>
      <c r="G788" s="400">
        <f t="shared" si="129"/>
        <v>10</v>
      </c>
      <c r="H788" s="399" t="str">
        <f t="shared" si="130"/>
        <v>Current STI Medications</v>
      </c>
      <c r="I788" s="400"/>
      <c r="J788" s="400"/>
      <c r="K788" s="401" t="s">
        <v>5283</v>
      </c>
      <c r="L788" s="402" t="s">
        <v>5194</v>
      </c>
      <c r="M788" s="400"/>
      <c r="N788" s="639" t="s">
        <v>4853</v>
      </c>
      <c r="O788" s="431" t="s">
        <v>6236</v>
      </c>
      <c r="P788" s="431"/>
      <c r="Q788" s="404"/>
      <c r="R788" s="404"/>
      <c r="S788" s="404"/>
      <c r="T788" s="404" t="s">
        <v>500</v>
      </c>
      <c r="U788" s="404"/>
      <c r="V788" s="404"/>
      <c r="W788" s="404"/>
      <c r="X788" s="404"/>
      <c r="Y788" s="404"/>
      <c r="Z788" s="407" t="s">
        <v>113</v>
      </c>
      <c r="AA788" s="404"/>
      <c r="AB788" s="406"/>
      <c r="AC788" s="404"/>
      <c r="AD788" s="404"/>
      <c r="AE788" s="406"/>
      <c r="AF788" s="404"/>
      <c r="AG788" s="404"/>
      <c r="AH788" s="399"/>
      <c r="AI788" s="400"/>
      <c r="AJ788" s="399" t="s">
        <v>1787</v>
      </c>
      <c r="AK788" s="399"/>
      <c r="AL788" s="399" t="s">
        <v>1787</v>
      </c>
      <c r="AM788" s="399"/>
      <c r="AN788" s="399" t="s">
        <v>1787</v>
      </c>
      <c r="AO788" s="399" t="s">
        <v>1787</v>
      </c>
      <c r="AP788" s="399"/>
      <c r="AQ788" s="409" t="s">
        <v>3130</v>
      </c>
      <c r="AR788" s="399"/>
      <c r="AS788" s="399"/>
      <c r="AT788" s="399"/>
      <c r="AU788" s="399"/>
      <c r="AV788" s="399" t="str">
        <f t="shared" si="123"/>
        <v/>
      </c>
      <c r="AW788" s="399"/>
      <c r="AX788" s="409" t="s">
        <v>5194</v>
      </c>
      <c r="AY788" s="399" t="e">
        <f t="shared" ca="1" si="124"/>
        <v>#NAME?</v>
      </c>
      <c r="AZ788" s="399"/>
      <c r="BA788" s="409" t="s">
        <v>3125</v>
      </c>
      <c r="BB788" s="399"/>
      <c r="BC788" s="399" t="s">
        <v>1787</v>
      </c>
      <c r="BD788" s="399" t="s">
        <v>1787</v>
      </c>
      <c r="BE788" s="411"/>
      <c r="BF788" s="411" t="s">
        <v>1787</v>
      </c>
      <c r="BG788" s="434" t="s">
        <v>4008</v>
      </c>
      <c r="BH788" s="411"/>
      <c r="BI788" s="411"/>
      <c r="BJ788" s="399" t="s">
        <v>1787</v>
      </c>
      <c r="BK788" s="399" t="s">
        <v>1787</v>
      </c>
      <c r="BL788" s="409" t="s">
        <v>3162</v>
      </c>
      <c r="BM788" s="399" t="s">
        <v>1787</v>
      </c>
      <c r="BN788" s="399" t="s">
        <v>1787</v>
      </c>
      <c r="BO788" s="399" t="s">
        <v>1787</v>
      </c>
      <c r="BP788" s="399" t="s">
        <v>1787</v>
      </c>
      <c r="BQ788" s="399" t="s">
        <v>1787</v>
      </c>
      <c r="BR788" s="399" t="s">
        <v>1787</v>
      </c>
      <c r="BS788" s="407"/>
      <c r="BT788" s="407"/>
      <c r="BU788" s="412"/>
      <c r="BV788" s="46" t="str">
        <f t="shared" si="8"/>
        <v/>
      </c>
      <c r="BW788" s="46">
        <f t="shared" si="9"/>
        <v>0</v>
      </c>
      <c r="BX788" s="46">
        <f t="shared" si="10"/>
        <v>0</v>
      </c>
      <c r="BY788" s="43" t="str">
        <f t="shared" si="11"/>
        <v>WHO-STI MedicationStatement (Current Medication)</v>
      </c>
      <c r="BZ788" s="46">
        <f t="shared" si="12"/>
        <v>1</v>
      </c>
      <c r="CA788" s="46" t="str">
        <f t="shared" si="13"/>
        <v/>
      </c>
      <c r="CB788" s="46">
        <f t="shared" si="14"/>
        <v>1</v>
      </c>
      <c r="CC788" s="46">
        <f t="shared" si="15"/>
        <v>1</v>
      </c>
      <c r="CD788" s="46">
        <f t="shared" si="16"/>
        <v>1</v>
      </c>
      <c r="CE788" s="46">
        <f t="shared" si="17"/>
        <v>0</v>
      </c>
      <c r="CF788" s="46">
        <f t="shared" si="18"/>
        <v>0</v>
      </c>
      <c r="CG788" s="46" t="str">
        <f ca="1">IFERROR(__xludf.DUMMYFUNCTION("if(OR(BH788="""",LEFT(BH788,2)=""LA""),"""",IMPORTXML(CONCATENATE(""https://loinc.org/"",BH788,""/""),""//span[@id='lcn']""))"),"")</f>
        <v/>
      </c>
      <c r="CH788" s="46"/>
      <c r="CI788" s="46"/>
      <c r="CJ788" s="46"/>
      <c r="CK788" s="46"/>
      <c r="CL788" s="46"/>
      <c r="CM788" s="46"/>
      <c r="CN788" s="46"/>
      <c r="CO788" s="46"/>
      <c r="CP788" s="46"/>
      <c r="CQ788" s="46"/>
      <c r="CR788" s="46"/>
      <c r="CS788" s="46"/>
      <c r="CT788" s="46"/>
      <c r="CU788" s="46"/>
    </row>
    <row r="789" spans="1:99" ht="12.75" customHeight="1">
      <c r="A789" s="409">
        <v>1935</v>
      </c>
      <c r="B789" s="409" t="s">
        <v>6437</v>
      </c>
      <c r="C789" s="399">
        <f t="shared" si="117"/>
        <v>1935</v>
      </c>
      <c r="D789" s="399" t="e">
        <f t="shared" ca="1" si="118"/>
        <v>#NAME?</v>
      </c>
      <c r="E789" s="399">
        <f t="shared" si="119"/>
        <v>0</v>
      </c>
      <c r="F789" s="399" t="s">
        <v>180</v>
      </c>
      <c r="G789" s="400">
        <f t="shared" si="129"/>
        <v>6</v>
      </c>
      <c r="H789" s="399" t="str">
        <f t="shared" si="130"/>
        <v>Current STI Medications</v>
      </c>
      <c r="I789" s="400"/>
      <c r="J789" s="400"/>
      <c r="K789" s="401" t="s">
        <v>5283</v>
      </c>
      <c r="L789" s="402" t="s">
        <v>5194</v>
      </c>
      <c r="M789" s="400"/>
      <c r="N789" s="639" t="s">
        <v>4853</v>
      </c>
      <c r="O789" s="431" t="s">
        <v>6258</v>
      </c>
      <c r="P789" s="431"/>
      <c r="Q789" s="404"/>
      <c r="R789" s="404"/>
      <c r="S789" s="404"/>
      <c r="T789" s="404" t="s">
        <v>6437</v>
      </c>
      <c r="U789" s="404" t="s">
        <v>6438</v>
      </c>
      <c r="V789" s="404"/>
      <c r="W789" s="404"/>
      <c r="X789" s="404"/>
      <c r="Y789" s="404"/>
      <c r="Z789" s="407" t="s">
        <v>113</v>
      </c>
      <c r="AA789" s="404"/>
      <c r="AB789" s="406"/>
      <c r="AC789" s="404"/>
      <c r="AD789" s="404"/>
      <c r="AE789" s="406"/>
      <c r="AF789" s="404"/>
      <c r="AG789" s="404"/>
      <c r="AH789" s="399"/>
      <c r="AI789" s="400"/>
      <c r="AJ789" s="399" t="s">
        <v>1787</v>
      </c>
      <c r="AK789" s="399"/>
      <c r="AL789" s="399" t="s">
        <v>1787</v>
      </c>
      <c r="AM789" s="399"/>
      <c r="AN789" s="399" t="s">
        <v>1787</v>
      </c>
      <c r="AO789" s="399" t="s">
        <v>1787</v>
      </c>
      <c r="AP789" s="399"/>
      <c r="AQ789" s="409" t="s">
        <v>3130</v>
      </c>
      <c r="AR789" s="399"/>
      <c r="AS789" s="399"/>
      <c r="AT789" s="399"/>
      <c r="AU789" s="399"/>
      <c r="AV789" s="399" t="str">
        <f t="shared" si="123"/>
        <v/>
      </c>
      <c r="AW789" s="399"/>
      <c r="AX789" s="409" t="s">
        <v>5194</v>
      </c>
      <c r="AY789" s="399" t="e">
        <f t="shared" ca="1" si="124"/>
        <v>#NAME?</v>
      </c>
      <c r="AZ789" s="399"/>
      <c r="BA789" s="409" t="s">
        <v>3125</v>
      </c>
      <c r="BB789" s="415" t="s">
        <v>3131</v>
      </c>
      <c r="BC789" s="403" t="s">
        <v>1387</v>
      </c>
      <c r="BD789" s="399" t="s">
        <v>1787</v>
      </c>
      <c r="BE789" s="411"/>
      <c r="BF789" s="411" t="s">
        <v>1787</v>
      </c>
      <c r="BG789" s="411"/>
      <c r="BH789" s="411"/>
      <c r="BI789" s="411"/>
      <c r="BJ789" s="399" t="s">
        <v>1787</v>
      </c>
      <c r="BK789" s="399" t="s">
        <v>1787</v>
      </c>
      <c r="BL789" s="399"/>
      <c r="BM789" s="399" t="s">
        <v>1787</v>
      </c>
      <c r="BN789" s="399" t="s">
        <v>1787</v>
      </c>
      <c r="BO789" s="399" t="s">
        <v>1787</v>
      </c>
      <c r="BP789" s="399" t="s">
        <v>1787</v>
      </c>
      <c r="BQ789" s="399" t="s">
        <v>1787</v>
      </c>
      <c r="BR789" s="399" t="s">
        <v>1787</v>
      </c>
      <c r="BS789" s="407"/>
      <c r="BT789" s="407"/>
      <c r="BU789" s="412"/>
      <c r="BV789" s="46" t="str">
        <f t="shared" si="8"/>
        <v/>
      </c>
      <c r="BW789" s="46">
        <f t="shared" si="9"/>
        <v>0</v>
      </c>
      <c r="BX789" s="46">
        <f t="shared" si="10"/>
        <v>0</v>
      </c>
      <c r="BY789" s="43" t="str">
        <f t="shared" si="11"/>
        <v>WHO-STI MedicationStatement (Current Medication)</v>
      </c>
      <c r="BZ789" s="46">
        <f t="shared" si="12"/>
        <v>1</v>
      </c>
      <c r="CA789" s="46" t="str">
        <f t="shared" si="13"/>
        <v/>
      </c>
      <c r="CB789" s="46">
        <f t="shared" si="14"/>
        <v>1</v>
      </c>
      <c r="CC789" s="46">
        <f t="shared" si="15"/>
        <v>1</v>
      </c>
      <c r="CD789" s="46">
        <f t="shared" si="16"/>
        <v>1</v>
      </c>
      <c r="CE789" s="46">
        <f t="shared" si="17"/>
        <v>0</v>
      </c>
      <c r="CF789" s="46">
        <f t="shared" si="18"/>
        <v>0</v>
      </c>
      <c r="CG789" s="46" t="str">
        <f ca="1">IFERROR(__xludf.DUMMYFUNCTION("if(OR(BH789="""",LEFT(BH789,2)=""LA""),"""",IMPORTXML(CONCATENATE(""https://loinc.org/"",BH789,""/""),""//span[@id='lcn']""))"),"")</f>
        <v/>
      </c>
      <c r="CH789" s="46"/>
      <c r="CI789" s="46"/>
      <c r="CJ789" s="46"/>
      <c r="CK789" s="46"/>
      <c r="CL789" s="46"/>
      <c r="CM789" s="46"/>
      <c r="CN789" s="46"/>
      <c r="CO789" s="46"/>
      <c r="CP789" s="46"/>
      <c r="CQ789" s="46"/>
      <c r="CR789" s="46"/>
      <c r="CS789" s="46"/>
      <c r="CT789" s="46"/>
      <c r="CU789" s="46"/>
    </row>
    <row r="790" spans="1:99" ht="12.75" customHeight="1">
      <c r="A790" s="409">
        <v>1936</v>
      </c>
      <c r="B790" s="399" t="s">
        <v>9310</v>
      </c>
      <c r="C790" s="399">
        <f t="shared" si="117"/>
        <v>1936</v>
      </c>
      <c r="D790" s="399" t="str">
        <f t="shared" si="118"/>
        <v>Other (specify)</v>
      </c>
      <c r="E790" s="399" t="str">
        <f t="shared" si="119"/>
        <v>Other (specify)</v>
      </c>
      <c r="F790" s="399" t="str">
        <f t="shared" ref="F790:F843" si="131">IF(AND(ISBLANK(V790)=FALSE,OR(T790="MC",T790="")),"Input Option","Data Element")</f>
        <v>Data Element</v>
      </c>
      <c r="G790" s="400">
        <f t="shared" si="129"/>
        <v>50</v>
      </c>
      <c r="H790" s="400" t="str">
        <f t="shared" si="130"/>
        <v/>
      </c>
      <c r="I790" s="400"/>
      <c r="J790" s="400"/>
      <c r="K790" s="401" t="s">
        <v>5283</v>
      </c>
      <c r="L790" s="402" t="s">
        <v>4081</v>
      </c>
      <c r="M790" s="400"/>
      <c r="N790" s="639" t="s">
        <v>4853</v>
      </c>
      <c r="O790" s="437" t="s">
        <v>6260</v>
      </c>
      <c r="P790" s="437"/>
      <c r="Q790" s="407" t="s">
        <v>405</v>
      </c>
      <c r="R790" s="407"/>
      <c r="S790" s="407" t="s">
        <v>1050</v>
      </c>
      <c r="T790" s="407" t="s">
        <v>111</v>
      </c>
      <c r="U790" s="407"/>
      <c r="V790" s="407"/>
      <c r="W790" s="404"/>
      <c r="X790" s="407" t="s">
        <v>208</v>
      </c>
      <c r="Y790" s="407"/>
      <c r="Z790" s="407" t="s">
        <v>113</v>
      </c>
      <c r="AA790" s="407" t="s">
        <v>3178</v>
      </c>
      <c r="AB790" s="432" t="s">
        <v>6443</v>
      </c>
      <c r="AC790" s="421"/>
      <c r="AD790" s="407"/>
      <c r="AE790" s="408"/>
      <c r="AF790" s="407"/>
      <c r="AG790" s="407"/>
      <c r="AH790" s="399"/>
      <c r="AI790" s="400"/>
      <c r="AJ790" s="399" t="s">
        <v>1787</v>
      </c>
      <c r="AK790" s="409" t="s">
        <v>6262</v>
      </c>
      <c r="AL790" s="409" t="s">
        <v>3423</v>
      </c>
      <c r="AM790" s="409" t="s">
        <v>3100</v>
      </c>
      <c r="AN790" s="403" t="s">
        <v>3101</v>
      </c>
      <c r="AO790" s="399" t="s">
        <v>1787</v>
      </c>
      <c r="AP790" s="409" t="s">
        <v>6394</v>
      </c>
      <c r="AQ790" s="409" t="s">
        <v>3130</v>
      </c>
      <c r="AR790" s="399"/>
      <c r="AS790" s="399"/>
      <c r="AT790" s="399"/>
      <c r="AU790" s="399"/>
      <c r="AV790" s="399" t="str">
        <f t="shared" si="123"/>
        <v/>
      </c>
      <c r="AW790" s="399"/>
      <c r="AX790" s="409" t="s">
        <v>5194</v>
      </c>
      <c r="AY790" s="399" t="str">
        <f t="shared" si="124"/>
        <v>"Other (specify)"-&gt;"Other (specify) - STI treatment medication history"</v>
      </c>
      <c r="AZ790" s="399"/>
      <c r="BA790" s="409">
        <v>1</v>
      </c>
      <c r="BB790" s="399"/>
      <c r="BC790" s="399" t="s">
        <v>1787</v>
      </c>
      <c r="BD790" s="399" t="s">
        <v>1787</v>
      </c>
      <c r="BE790" s="411"/>
      <c r="BF790" s="411" t="s">
        <v>1787</v>
      </c>
      <c r="BG790" s="411"/>
      <c r="BH790" s="411"/>
      <c r="BI790" s="411"/>
      <c r="BJ790" s="409" t="s">
        <v>3106</v>
      </c>
      <c r="BK790" s="399" t="s">
        <v>1787</v>
      </c>
      <c r="BL790" s="399"/>
      <c r="BM790" s="399" t="s">
        <v>1787</v>
      </c>
      <c r="BN790" s="399" t="s">
        <v>1787</v>
      </c>
      <c r="BO790" s="399" t="s">
        <v>1787</v>
      </c>
      <c r="BP790" s="399" t="s">
        <v>1787</v>
      </c>
      <c r="BQ790" s="399" t="s">
        <v>1787</v>
      </c>
      <c r="BR790" s="399" t="s">
        <v>1787</v>
      </c>
      <c r="BS790" s="407"/>
      <c r="BT790" s="407"/>
      <c r="BU790" s="412"/>
      <c r="BV790" s="46" t="str">
        <f t="shared" si="8"/>
        <v>MedicationStatement</v>
      </c>
      <c r="BW790" s="46" t="str">
        <f t="shared" si="9"/>
        <v/>
      </c>
      <c r="BX790" s="46" t="str">
        <f t="shared" si="10"/>
        <v>MedicationStatement</v>
      </c>
      <c r="BY790" s="43" t="str">
        <f t="shared" si="11"/>
        <v>WHO-STI MedicationStatement (Medication History)</v>
      </c>
      <c r="BZ790" s="46">
        <f t="shared" si="12"/>
        <v>1</v>
      </c>
      <c r="CA790" s="46">
        <f t="shared" si="13"/>
        <v>0</v>
      </c>
      <c r="CB790" s="46">
        <f t="shared" si="14"/>
        <v>1</v>
      </c>
      <c r="CC790" s="46">
        <f t="shared" si="15"/>
        <v>1</v>
      </c>
      <c r="CD790" s="46">
        <f t="shared" si="16"/>
        <v>1</v>
      </c>
      <c r="CE790" s="46">
        <f t="shared" si="17"/>
        <v>0</v>
      </c>
      <c r="CF790" s="46">
        <f t="shared" si="18"/>
        <v>0</v>
      </c>
      <c r="CG790" s="46" t="str">
        <f ca="1">IFERROR(__xludf.DUMMYFUNCTION("if(OR(BH790="""",LEFT(BH790,2)=""LA""),"""",IMPORTXML(CONCATENATE(""https://loinc.org/"",BH790,""/""),""//span[@id='lcn']""))"),"")</f>
        <v/>
      </c>
      <c r="CH790" s="46"/>
      <c r="CI790" s="46"/>
      <c r="CJ790" s="46"/>
      <c r="CK790" s="46"/>
      <c r="CL790" s="46"/>
      <c r="CM790" s="46"/>
      <c r="CN790" s="46"/>
      <c r="CO790" s="46"/>
      <c r="CP790" s="46"/>
      <c r="CQ790" s="46"/>
      <c r="CR790" s="46"/>
      <c r="CS790" s="46"/>
      <c r="CT790" s="46"/>
      <c r="CU790" s="46"/>
    </row>
    <row r="791" spans="1:99" ht="12.75" customHeight="1">
      <c r="A791" s="409">
        <v>2231</v>
      </c>
      <c r="B791" s="399" t="s">
        <v>9311</v>
      </c>
      <c r="C791" s="399">
        <f t="shared" si="117"/>
        <v>2231</v>
      </c>
      <c r="D791" s="399" t="str">
        <f t="shared" si="118"/>
        <v>Type of treatment</v>
      </c>
      <c r="E791" s="399" t="str">
        <f t="shared" si="119"/>
        <v>Type of treatment</v>
      </c>
      <c r="F791" s="399" t="str">
        <f t="shared" si="131"/>
        <v>Data Element</v>
      </c>
      <c r="G791" s="400">
        <f t="shared" si="129"/>
        <v>17</v>
      </c>
      <c r="H791" s="400" t="str">
        <f>IF(F791="Input Option",IF(H786="",B786,H786),"")</f>
        <v/>
      </c>
      <c r="I791" s="400"/>
      <c r="J791" s="400"/>
      <c r="K791" s="402" t="s">
        <v>9140</v>
      </c>
      <c r="L791" s="402" t="s">
        <v>961</v>
      </c>
      <c r="M791" s="400"/>
      <c r="N791" s="639" t="s">
        <v>9141</v>
      </c>
      <c r="O791" s="636" t="s">
        <v>9312</v>
      </c>
      <c r="P791" s="636"/>
      <c r="Q791" s="750" t="s">
        <v>9311</v>
      </c>
      <c r="R791" s="414"/>
      <c r="S791" s="636"/>
      <c r="T791" s="437" t="s">
        <v>3121</v>
      </c>
      <c r="U791" s="636"/>
      <c r="V791" s="414"/>
      <c r="W791" s="404"/>
      <c r="X791" s="636" t="s">
        <v>208</v>
      </c>
      <c r="Y791" s="636"/>
      <c r="Z791" s="407" t="s">
        <v>113</v>
      </c>
      <c r="AA791" s="407" t="s">
        <v>1889</v>
      </c>
      <c r="AB791" s="629"/>
      <c r="AC791" s="636"/>
      <c r="AD791" s="636"/>
      <c r="AE791" s="629"/>
      <c r="AF791" s="636"/>
      <c r="AG791" s="750" t="s">
        <v>6102</v>
      </c>
      <c r="AH791" s="399"/>
      <c r="AI791" s="400"/>
      <c r="AJ791" s="399" t="s">
        <v>1787</v>
      </c>
      <c r="AK791" s="409" t="s">
        <v>6756</v>
      </c>
      <c r="AL791" s="409" t="s">
        <v>3328</v>
      </c>
      <c r="AM791" s="409" t="s">
        <v>155</v>
      </c>
      <c r="AN791" s="399" t="s">
        <v>3101</v>
      </c>
      <c r="AO791" s="399" t="s">
        <v>1787</v>
      </c>
      <c r="AP791" s="409" t="s">
        <v>6755</v>
      </c>
      <c r="AQ791" s="409" t="s">
        <v>3130</v>
      </c>
      <c r="AR791" s="399"/>
      <c r="AS791" s="399"/>
      <c r="AT791" s="399"/>
      <c r="AU791" s="399"/>
      <c r="AV791" s="399" t="str">
        <f t="shared" si="123"/>
        <v/>
      </c>
      <c r="AW791" s="399"/>
      <c r="AX791" s="409" t="s">
        <v>5194</v>
      </c>
      <c r="AY791" s="399" t="str">
        <f t="shared" si="124"/>
        <v/>
      </c>
      <c r="AZ791" s="399"/>
      <c r="BA791" s="409" t="s">
        <v>3125</v>
      </c>
      <c r="BB791" s="415" t="s">
        <v>3131</v>
      </c>
      <c r="BC791" s="399" t="s">
        <v>9311</v>
      </c>
      <c r="BD791" s="399" t="s">
        <v>1787</v>
      </c>
      <c r="BE791" s="411"/>
      <c r="BF791" s="411" t="s">
        <v>1787</v>
      </c>
      <c r="BG791" s="411"/>
      <c r="BH791" s="411"/>
      <c r="BI791" s="411"/>
      <c r="BJ791" s="409" t="s">
        <v>4745</v>
      </c>
      <c r="BK791" s="399" t="s">
        <v>1787</v>
      </c>
      <c r="BL791" s="399"/>
      <c r="BM791" s="409" t="s">
        <v>9313</v>
      </c>
      <c r="BN791" s="399" t="s">
        <v>1787</v>
      </c>
      <c r="BO791" s="399" t="s">
        <v>1787</v>
      </c>
      <c r="BP791" s="399" t="s">
        <v>1787</v>
      </c>
      <c r="BQ791" s="399" t="s">
        <v>1787</v>
      </c>
      <c r="BR791" s="399" t="s">
        <v>1787</v>
      </c>
      <c r="BS791" s="407"/>
      <c r="BT791" s="407"/>
      <c r="BU791" s="412"/>
      <c r="BV791" s="46" t="str">
        <f t="shared" si="8"/>
        <v>MedicationStatement</v>
      </c>
      <c r="BW791" s="46" t="str">
        <f t="shared" si="9"/>
        <v/>
      </c>
      <c r="BX791" s="46" t="str">
        <f t="shared" si="10"/>
        <v>MedicationStatement</v>
      </c>
      <c r="BY791" s="43" t="str">
        <f t="shared" si="11"/>
        <v>WHO-STI MedicationStatement (Current Medication)</v>
      </c>
      <c r="BZ791" s="46">
        <f t="shared" si="12"/>
        <v>1</v>
      </c>
      <c r="CA791" s="46">
        <f t="shared" si="13"/>
        <v>1</v>
      </c>
      <c r="CB791" s="46">
        <f t="shared" si="14"/>
        <v>0</v>
      </c>
      <c r="CC791" s="46">
        <f t="shared" si="15"/>
        <v>0</v>
      </c>
      <c r="CD791" s="46">
        <f t="shared" si="16"/>
        <v>0</v>
      </c>
      <c r="CE791" s="46">
        <f t="shared" si="17"/>
        <v>0</v>
      </c>
      <c r="CF791" s="46">
        <f t="shared" si="18"/>
        <v>1</v>
      </c>
      <c r="CG791" s="46" t="str">
        <f ca="1">IFERROR(__xludf.DUMMYFUNCTION("if(OR(BH791="""",LEFT(BH791,2)=""LA""),"""",IMPORTXML(CONCATENATE(""https://loinc.org/"",BH791,""/""),""//span[@id='lcn']""))"),"")</f>
        <v/>
      </c>
      <c r="CH791" s="46"/>
      <c r="CI791" s="46"/>
      <c r="CJ791" s="46"/>
      <c r="CK791" s="46"/>
      <c r="CL791" s="46"/>
      <c r="CM791" s="46"/>
      <c r="CN791" s="46"/>
      <c r="CO791" s="46"/>
      <c r="CP791" s="46"/>
      <c r="CQ791" s="46"/>
      <c r="CR791" s="46"/>
      <c r="CS791" s="46"/>
      <c r="CT791" s="46"/>
      <c r="CU791" s="46"/>
    </row>
    <row r="792" spans="1:99" ht="12.75" customHeight="1">
      <c r="A792" s="409">
        <v>2232</v>
      </c>
      <c r="B792" s="399" t="s">
        <v>9314</v>
      </c>
      <c r="C792" s="399">
        <f t="shared" si="117"/>
        <v>2232</v>
      </c>
      <c r="D792" s="399" t="e">
        <f t="shared" ca="1" si="118"/>
        <v>#NAME?</v>
      </c>
      <c r="E792" s="399" t="str">
        <f t="shared" si="119"/>
        <v>dual therapy</v>
      </c>
      <c r="F792" s="399" t="str">
        <f t="shared" si="131"/>
        <v>Input Option</v>
      </c>
      <c r="G792" s="400">
        <f t="shared" si="129"/>
        <v>19</v>
      </c>
      <c r="H792" s="399" t="str">
        <f t="shared" ref="H792:H821" si="132">IF(F792="Input Option",IF(H791="",B791,H791),"")</f>
        <v>Type of treatment</v>
      </c>
      <c r="I792" s="400"/>
      <c r="J792" s="400"/>
      <c r="K792" s="402" t="s">
        <v>9140</v>
      </c>
      <c r="L792" s="402" t="s">
        <v>961</v>
      </c>
      <c r="M792" s="400"/>
      <c r="N792" s="639" t="s">
        <v>9141</v>
      </c>
      <c r="O792" s="636" t="s">
        <v>9315</v>
      </c>
      <c r="P792" s="636"/>
      <c r="Q792" s="414"/>
      <c r="R792" s="414"/>
      <c r="S792" s="636"/>
      <c r="T792" s="636"/>
      <c r="U792" s="636"/>
      <c r="V792" s="751" t="s">
        <v>9316</v>
      </c>
      <c r="W792" s="404"/>
      <c r="X792" s="636" t="s">
        <v>208</v>
      </c>
      <c r="Y792" s="636"/>
      <c r="Z792" s="407" t="s">
        <v>113</v>
      </c>
      <c r="AA792" s="407" t="s">
        <v>1889</v>
      </c>
      <c r="AB792" s="629"/>
      <c r="AC792" s="636"/>
      <c r="AD792" s="636"/>
      <c r="AE792" s="629"/>
      <c r="AF792" s="636"/>
      <c r="AG792" s="750" t="s">
        <v>6102</v>
      </c>
      <c r="AH792" s="399"/>
      <c r="AI792" s="400"/>
      <c r="AJ792" s="399" t="s">
        <v>1787</v>
      </c>
      <c r="AK792" s="399"/>
      <c r="AL792" s="409" t="s">
        <v>3218</v>
      </c>
      <c r="AM792" s="409"/>
      <c r="AN792" s="409" t="s">
        <v>3218</v>
      </c>
      <c r="AO792" s="399" t="s">
        <v>1787</v>
      </c>
      <c r="AP792" s="399"/>
      <c r="AQ792" s="409" t="s">
        <v>3130</v>
      </c>
      <c r="AR792" s="399"/>
      <c r="AS792" s="399"/>
      <c r="AT792" s="399"/>
      <c r="AU792" s="399"/>
      <c r="AV792" s="399" t="str">
        <f t="shared" si="123"/>
        <v/>
      </c>
      <c r="AW792" s="399"/>
      <c r="AX792" s="409" t="s">
        <v>5194</v>
      </c>
      <c r="AY792" s="399" t="e">
        <f t="shared" ca="1" si="124"/>
        <v>#NAME?</v>
      </c>
      <c r="AZ792" s="399"/>
      <c r="BA792" s="409" t="s">
        <v>3125</v>
      </c>
      <c r="BB792" s="415" t="s">
        <v>3131</v>
      </c>
      <c r="BC792" s="399" t="s">
        <v>9316</v>
      </c>
      <c r="BD792" s="409" t="s">
        <v>3188</v>
      </c>
      <c r="BE792" s="411"/>
      <c r="BF792" s="411" t="s">
        <v>1787</v>
      </c>
      <c r="BG792" s="411"/>
      <c r="BH792" s="411"/>
      <c r="BI792" s="411"/>
      <c r="BJ792" s="409" t="s">
        <v>4282</v>
      </c>
      <c r="BK792" s="409"/>
      <c r="BL792" s="409"/>
      <c r="BM792" s="409" t="s">
        <v>9317</v>
      </c>
      <c r="BN792" s="399" t="s">
        <v>1787</v>
      </c>
      <c r="BO792" s="399" t="s">
        <v>1787</v>
      </c>
      <c r="BP792" s="399" t="s">
        <v>1787</v>
      </c>
      <c r="BQ792" s="399" t="s">
        <v>1787</v>
      </c>
      <c r="BR792" s="399" t="s">
        <v>1787</v>
      </c>
      <c r="BS792" s="407"/>
      <c r="BT792" s="407"/>
      <c r="BU792" s="412"/>
      <c r="BV792" s="46" t="str">
        <f t="shared" si="8"/>
        <v/>
      </c>
      <c r="BW792" s="46">
        <f t="shared" si="9"/>
        <v>0</v>
      </c>
      <c r="BX792" s="46">
        <f t="shared" si="10"/>
        <v>0</v>
      </c>
      <c r="BY792" s="43" t="str">
        <f t="shared" si="11"/>
        <v>WHO-STI MedicationStatement (Current Medication)</v>
      </c>
      <c r="BZ792" s="46">
        <f t="shared" si="12"/>
        <v>1</v>
      </c>
      <c r="CA792" s="46" t="str">
        <f t="shared" si="13"/>
        <v/>
      </c>
      <c r="CB792" s="46">
        <f t="shared" si="14"/>
        <v>1</v>
      </c>
      <c r="CC792" s="46">
        <f t="shared" si="15"/>
        <v>1</v>
      </c>
      <c r="CD792" s="46">
        <f t="shared" si="16"/>
        <v>1</v>
      </c>
      <c r="CE792" s="46">
        <f t="shared" si="17"/>
        <v>0</v>
      </c>
      <c r="CF792" s="46">
        <f t="shared" si="18"/>
        <v>0</v>
      </c>
      <c r="CG792" s="46" t="str">
        <f ca="1">IFERROR(__xludf.DUMMYFUNCTION("if(OR(BH792="""",LEFT(BH792,2)=""LA""),"""",IMPORTXML(CONCATENATE(""https://loinc.org/"",BH792,""/""),""//span[@id='lcn']""))"),"")</f>
        <v/>
      </c>
      <c r="CH792" s="46"/>
      <c r="CI792" s="46"/>
      <c r="CJ792" s="46"/>
      <c r="CK792" s="46"/>
      <c r="CL792" s="46"/>
      <c r="CM792" s="46"/>
      <c r="CN792" s="46"/>
      <c r="CO792" s="46"/>
      <c r="CP792" s="46"/>
      <c r="CQ792" s="46"/>
      <c r="CR792" s="46"/>
      <c r="CS792" s="46"/>
      <c r="CT792" s="46"/>
      <c r="CU792" s="46"/>
    </row>
    <row r="793" spans="1:99" ht="12.75" customHeight="1">
      <c r="A793" s="409">
        <v>2233</v>
      </c>
      <c r="B793" s="399" t="s">
        <v>9318</v>
      </c>
      <c r="C793" s="399">
        <f t="shared" si="117"/>
        <v>2233</v>
      </c>
      <c r="D793" s="399" t="e">
        <f t="shared" ca="1" si="118"/>
        <v>#NAME?</v>
      </c>
      <c r="E793" s="399" t="str">
        <f t="shared" si="119"/>
        <v>episodic therapy</v>
      </c>
      <c r="F793" s="399" t="str">
        <f t="shared" si="131"/>
        <v>Input Option</v>
      </c>
      <c r="G793" s="400">
        <f t="shared" si="129"/>
        <v>23</v>
      </c>
      <c r="H793" s="399" t="str">
        <f t="shared" si="132"/>
        <v>Type of treatment</v>
      </c>
      <c r="I793" s="400"/>
      <c r="J793" s="400"/>
      <c r="K793" s="402" t="s">
        <v>9140</v>
      </c>
      <c r="L793" s="402" t="s">
        <v>961</v>
      </c>
      <c r="M793" s="400"/>
      <c r="N793" s="639" t="s">
        <v>9141</v>
      </c>
      <c r="O793" s="636" t="s">
        <v>9319</v>
      </c>
      <c r="P793" s="636"/>
      <c r="Q793" s="414"/>
      <c r="R793" s="414"/>
      <c r="S793" s="636"/>
      <c r="T793" s="636"/>
      <c r="U793" s="636"/>
      <c r="V793" s="753" t="s">
        <v>9320</v>
      </c>
      <c r="W793" s="404"/>
      <c r="X793" s="636" t="s">
        <v>208</v>
      </c>
      <c r="Y793" s="636"/>
      <c r="Z793" s="407" t="s">
        <v>113</v>
      </c>
      <c r="AA793" s="407" t="s">
        <v>1889</v>
      </c>
      <c r="AB793" s="629"/>
      <c r="AC793" s="636"/>
      <c r="AD793" s="636"/>
      <c r="AE793" s="629"/>
      <c r="AF793" s="636"/>
      <c r="AG793" s="750" t="s">
        <v>6102</v>
      </c>
      <c r="AH793" s="399"/>
      <c r="AI793" s="400"/>
      <c r="AJ793" s="399" t="s">
        <v>1787</v>
      </c>
      <c r="AK793" s="399"/>
      <c r="AL793" s="399" t="s">
        <v>1787</v>
      </c>
      <c r="AM793" s="399"/>
      <c r="AN793" s="399" t="s">
        <v>1787</v>
      </c>
      <c r="AO793" s="399" t="s">
        <v>1787</v>
      </c>
      <c r="AP793" s="399"/>
      <c r="AQ793" s="409" t="s">
        <v>3130</v>
      </c>
      <c r="AR793" s="399"/>
      <c r="AS793" s="399"/>
      <c r="AT793" s="399"/>
      <c r="AU793" s="399"/>
      <c r="AV793" s="399" t="str">
        <f t="shared" si="123"/>
        <v/>
      </c>
      <c r="AW793" s="399"/>
      <c r="AX793" s="409" t="s">
        <v>5194</v>
      </c>
      <c r="AY793" s="399" t="e">
        <f t="shared" ca="1" si="124"/>
        <v>#NAME?</v>
      </c>
      <c r="AZ793" s="399"/>
      <c r="BA793" s="409" t="s">
        <v>3125</v>
      </c>
      <c r="BB793" s="415" t="s">
        <v>3131</v>
      </c>
      <c r="BC793" s="399" t="s">
        <v>9318</v>
      </c>
      <c r="BD793" s="409" t="s">
        <v>3162</v>
      </c>
      <c r="BE793" s="411"/>
      <c r="BF793" s="411" t="s">
        <v>1787</v>
      </c>
      <c r="BG793" s="433" t="s">
        <v>9321</v>
      </c>
      <c r="BH793" s="411"/>
      <c r="BI793" s="411"/>
      <c r="BJ793" s="399" t="s">
        <v>1787</v>
      </c>
      <c r="BK793" s="409"/>
      <c r="BL793" s="409"/>
      <c r="BM793" s="409" t="s">
        <v>9322</v>
      </c>
      <c r="BN793" s="399" t="s">
        <v>1787</v>
      </c>
      <c r="BO793" s="399" t="s">
        <v>1787</v>
      </c>
      <c r="BP793" s="399" t="s">
        <v>1787</v>
      </c>
      <c r="BQ793" s="399" t="s">
        <v>1787</v>
      </c>
      <c r="BR793" s="399" t="s">
        <v>1787</v>
      </c>
      <c r="BS793" s="407"/>
      <c r="BT793" s="407"/>
      <c r="BU793" s="412"/>
      <c r="BV793" s="46" t="str">
        <f t="shared" si="8"/>
        <v/>
      </c>
      <c r="BW793" s="46">
        <f t="shared" si="9"/>
        <v>0</v>
      </c>
      <c r="BX793" s="46">
        <f t="shared" si="10"/>
        <v>0</v>
      </c>
      <c r="BY793" s="43" t="str">
        <f t="shared" si="11"/>
        <v>WHO-STI MedicationStatement (Current Medication)</v>
      </c>
      <c r="BZ793" s="46">
        <f t="shared" si="12"/>
        <v>1</v>
      </c>
      <c r="CA793" s="46" t="str">
        <f t="shared" si="13"/>
        <v/>
      </c>
      <c r="CB793" s="46">
        <f t="shared" si="14"/>
        <v>1</v>
      </c>
      <c r="CC793" s="46">
        <f t="shared" si="15"/>
        <v>1</v>
      </c>
      <c r="CD793" s="46">
        <f t="shared" si="16"/>
        <v>1</v>
      </c>
      <c r="CE793" s="46">
        <f t="shared" si="17"/>
        <v>0</v>
      </c>
      <c r="CF793" s="46">
        <f t="shared" si="18"/>
        <v>0</v>
      </c>
      <c r="CG793" s="46" t="str">
        <f ca="1">IFERROR(__xludf.DUMMYFUNCTION("if(OR(BH793="""",LEFT(BH793,2)=""LA""),"""",IMPORTXML(CONCATENATE(""https://loinc.org/"",BH793,""/""),""//span[@id='lcn']""))"),"")</f>
        <v/>
      </c>
      <c r="CH793" s="46"/>
      <c r="CI793" s="46"/>
      <c r="CJ793" s="46"/>
      <c r="CK793" s="46"/>
      <c r="CL793" s="46"/>
      <c r="CM793" s="46"/>
      <c r="CN793" s="46"/>
      <c r="CO793" s="46"/>
      <c r="CP793" s="46"/>
      <c r="CQ793" s="46"/>
      <c r="CR793" s="46"/>
      <c r="CS793" s="46"/>
      <c r="CT793" s="46"/>
      <c r="CU793" s="46"/>
    </row>
    <row r="794" spans="1:99" ht="12.75" customHeight="1">
      <c r="A794" s="409">
        <v>2234</v>
      </c>
      <c r="B794" s="399" t="s">
        <v>9323</v>
      </c>
      <c r="C794" s="399">
        <f t="shared" si="117"/>
        <v>2234</v>
      </c>
      <c r="D794" s="399" t="e">
        <f t="shared" ca="1" si="118"/>
        <v>#NAME?</v>
      </c>
      <c r="E794" s="399" t="str">
        <f t="shared" si="119"/>
        <v>single therapy</v>
      </c>
      <c r="F794" s="399" t="str">
        <f t="shared" si="131"/>
        <v>Input Option</v>
      </c>
      <c r="G794" s="400">
        <f t="shared" si="129"/>
        <v>21</v>
      </c>
      <c r="H794" s="399" t="str">
        <f t="shared" si="132"/>
        <v>Type of treatment</v>
      </c>
      <c r="I794" s="400"/>
      <c r="J794" s="400"/>
      <c r="K794" s="402" t="s">
        <v>9140</v>
      </c>
      <c r="L794" s="402" t="s">
        <v>961</v>
      </c>
      <c r="M794" s="400"/>
      <c r="N794" s="639" t="s">
        <v>9141</v>
      </c>
      <c r="O794" s="636" t="s">
        <v>9324</v>
      </c>
      <c r="P794" s="636"/>
      <c r="Q794" s="414"/>
      <c r="R794" s="414"/>
      <c r="S794" s="636"/>
      <c r="T794" s="636"/>
      <c r="U794" s="636"/>
      <c r="V794" s="414" t="s">
        <v>9325</v>
      </c>
      <c r="W794" s="404"/>
      <c r="X794" s="636" t="s">
        <v>208</v>
      </c>
      <c r="Y794" s="636"/>
      <c r="Z794" s="407" t="s">
        <v>113</v>
      </c>
      <c r="AA794" s="407" t="s">
        <v>1889</v>
      </c>
      <c r="AB794" s="629"/>
      <c r="AC794" s="636"/>
      <c r="AD794" s="636"/>
      <c r="AE794" s="629"/>
      <c r="AF794" s="636"/>
      <c r="AG794" s="750" t="s">
        <v>6102</v>
      </c>
      <c r="AH794" s="399"/>
      <c r="AI794" s="400"/>
      <c r="AJ794" s="399" t="s">
        <v>1787</v>
      </c>
      <c r="AK794" s="399"/>
      <c r="AL794" s="399" t="s">
        <v>1787</v>
      </c>
      <c r="AM794" s="399"/>
      <c r="AN794" s="399" t="s">
        <v>1787</v>
      </c>
      <c r="AO794" s="399" t="s">
        <v>1787</v>
      </c>
      <c r="AP794" s="399"/>
      <c r="AQ794" s="409" t="s">
        <v>3130</v>
      </c>
      <c r="AR794" s="399"/>
      <c r="AS794" s="399"/>
      <c r="AT794" s="399"/>
      <c r="AU794" s="399"/>
      <c r="AV794" s="399" t="str">
        <f t="shared" si="123"/>
        <v/>
      </c>
      <c r="AW794" s="399"/>
      <c r="AX794" s="409" t="s">
        <v>5194</v>
      </c>
      <c r="AY794" s="399" t="e">
        <f t="shared" ca="1" si="124"/>
        <v>#NAME?</v>
      </c>
      <c r="AZ794" s="399"/>
      <c r="BA794" s="409" t="s">
        <v>3125</v>
      </c>
      <c r="BB794" s="415" t="s">
        <v>3131</v>
      </c>
      <c r="BC794" s="399" t="s">
        <v>9325</v>
      </c>
      <c r="BD794" s="409" t="s">
        <v>9326</v>
      </c>
      <c r="BE794" s="411"/>
      <c r="BF794" s="411" t="s">
        <v>1787</v>
      </c>
      <c r="BG794" s="411"/>
      <c r="BH794" s="411"/>
      <c r="BI794" s="411"/>
      <c r="BJ794" s="409" t="s">
        <v>4282</v>
      </c>
      <c r="BK794" s="409"/>
      <c r="BL794" s="409"/>
      <c r="BM794" s="409" t="s">
        <v>9327</v>
      </c>
      <c r="BN794" s="399" t="s">
        <v>1787</v>
      </c>
      <c r="BO794" s="399" t="s">
        <v>1787</v>
      </c>
      <c r="BP794" s="399" t="s">
        <v>1787</v>
      </c>
      <c r="BQ794" s="399" t="s">
        <v>1787</v>
      </c>
      <c r="BR794" s="399" t="s">
        <v>1787</v>
      </c>
      <c r="BS794" s="407"/>
      <c r="BT794" s="407"/>
      <c r="BU794" s="412"/>
      <c r="BV794" s="46" t="str">
        <f t="shared" si="8"/>
        <v/>
      </c>
      <c r="BW794" s="46">
        <f t="shared" si="9"/>
        <v>0</v>
      </c>
      <c r="BX794" s="46">
        <f t="shared" si="10"/>
        <v>0</v>
      </c>
      <c r="BY794" s="43" t="str">
        <f t="shared" si="11"/>
        <v>WHO-STI MedicationStatement (Current Medication)</v>
      </c>
      <c r="BZ794" s="46">
        <f t="shared" si="12"/>
        <v>1</v>
      </c>
      <c r="CA794" s="46" t="str">
        <f t="shared" si="13"/>
        <v/>
      </c>
      <c r="CB794" s="46">
        <f t="shared" si="14"/>
        <v>1</v>
      </c>
      <c r="CC794" s="46">
        <f t="shared" si="15"/>
        <v>1</v>
      </c>
      <c r="CD794" s="46">
        <f t="shared" si="16"/>
        <v>1</v>
      </c>
      <c r="CE794" s="46">
        <f t="shared" si="17"/>
        <v>0</v>
      </c>
      <c r="CF794" s="46">
        <f t="shared" si="18"/>
        <v>0</v>
      </c>
      <c r="CG794" s="46" t="str">
        <f ca="1">IFERROR(__xludf.DUMMYFUNCTION("if(OR(BH794="""",LEFT(BH794,2)=""LA""),"""",IMPORTXML(CONCATENATE(""https://loinc.org/"",BH794,""/""),""//span[@id='lcn']""))"),"")</f>
        <v/>
      </c>
      <c r="CH794" s="46"/>
      <c r="CI794" s="46"/>
      <c r="CJ794" s="46"/>
      <c r="CK794" s="46"/>
      <c r="CL794" s="46"/>
      <c r="CM794" s="46"/>
      <c r="CN794" s="46"/>
      <c r="CO794" s="46"/>
      <c r="CP794" s="46"/>
      <c r="CQ794" s="46"/>
      <c r="CR794" s="46"/>
      <c r="CS794" s="46"/>
      <c r="CT794" s="46"/>
      <c r="CU794" s="46"/>
    </row>
    <row r="795" spans="1:99" ht="12.75" customHeight="1">
      <c r="A795" s="409">
        <v>2235</v>
      </c>
      <c r="B795" s="399" t="s">
        <v>9328</v>
      </c>
      <c r="C795" s="399">
        <f t="shared" si="117"/>
        <v>2235</v>
      </c>
      <c r="D795" s="399" t="e">
        <f t="shared" ca="1" si="118"/>
        <v>#NAME?</v>
      </c>
      <c r="E795" s="399" t="str">
        <f t="shared" si="119"/>
        <v>WHO recommended therapy (not entered)</v>
      </c>
      <c r="F795" s="399" t="str">
        <f t="shared" si="131"/>
        <v>Input Option</v>
      </c>
      <c r="G795" s="400">
        <f t="shared" si="129"/>
        <v>44</v>
      </c>
      <c r="H795" s="399" t="str">
        <f t="shared" si="132"/>
        <v>Type of treatment</v>
      </c>
      <c r="I795" s="400"/>
      <c r="J795" s="400"/>
      <c r="K795" s="402" t="s">
        <v>9140</v>
      </c>
      <c r="L795" s="402" t="s">
        <v>961</v>
      </c>
      <c r="M795" s="400"/>
      <c r="N795" s="639" t="s">
        <v>9141</v>
      </c>
      <c r="O795" s="636" t="s">
        <v>9329</v>
      </c>
      <c r="P795" s="636"/>
      <c r="Q795" s="414"/>
      <c r="R795" s="414"/>
      <c r="S795" s="636"/>
      <c r="T795" s="636"/>
      <c r="U795" s="636"/>
      <c r="V795" s="753" t="s">
        <v>9330</v>
      </c>
      <c r="W795" s="404"/>
      <c r="X795" s="636" t="s">
        <v>208</v>
      </c>
      <c r="Y795" s="636"/>
      <c r="Z795" s="407" t="s">
        <v>113</v>
      </c>
      <c r="AA795" s="407" t="s">
        <v>1889</v>
      </c>
      <c r="AB795" s="629"/>
      <c r="AC795" s="636"/>
      <c r="AD795" s="636"/>
      <c r="AE795" s="629"/>
      <c r="AF795" s="636"/>
      <c r="AG795" s="750" t="s">
        <v>6102</v>
      </c>
      <c r="AH795" s="399"/>
      <c r="AI795" s="400"/>
      <c r="AJ795" s="399" t="s">
        <v>1787</v>
      </c>
      <c r="AK795" s="399"/>
      <c r="AL795" s="399" t="s">
        <v>1787</v>
      </c>
      <c r="AM795" s="399"/>
      <c r="AN795" s="399" t="s">
        <v>1787</v>
      </c>
      <c r="AO795" s="399" t="s">
        <v>1787</v>
      </c>
      <c r="AP795" s="399"/>
      <c r="AQ795" s="409" t="s">
        <v>3130</v>
      </c>
      <c r="AR795" s="399"/>
      <c r="AS795" s="399"/>
      <c r="AT795" s="399"/>
      <c r="AU795" s="399"/>
      <c r="AV795" s="399" t="str">
        <f t="shared" si="123"/>
        <v/>
      </c>
      <c r="AW795" s="399"/>
      <c r="AX795" s="409" t="s">
        <v>5194</v>
      </c>
      <c r="AY795" s="399" t="e">
        <f t="shared" ca="1" si="124"/>
        <v>#NAME?</v>
      </c>
      <c r="AZ795" s="399"/>
      <c r="BA795" s="409" t="s">
        <v>3125</v>
      </c>
      <c r="BB795" s="415" t="s">
        <v>3131</v>
      </c>
      <c r="BC795" s="399" t="s">
        <v>9330</v>
      </c>
      <c r="BD795" s="409" t="s">
        <v>3188</v>
      </c>
      <c r="BE795" s="411"/>
      <c r="BF795" s="411" t="s">
        <v>1787</v>
      </c>
      <c r="BG795" s="411"/>
      <c r="BH795" s="411"/>
      <c r="BI795" s="411"/>
      <c r="BJ795" s="409" t="s">
        <v>4282</v>
      </c>
      <c r="BK795" s="409"/>
      <c r="BL795" s="409"/>
      <c r="BM795" s="409" t="s">
        <v>9331</v>
      </c>
      <c r="BN795" s="399" t="s">
        <v>1787</v>
      </c>
      <c r="BO795" s="399" t="s">
        <v>1787</v>
      </c>
      <c r="BP795" s="399" t="s">
        <v>1787</v>
      </c>
      <c r="BQ795" s="399" t="s">
        <v>1787</v>
      </c>
      <c r="BR795" s="399" t="s">
        <v>1787</v>
      </c>
      <c r="BS795" s="407"/>
      <c r="BT795" s="407"/>
      <c r="BU795" s="412"/>
      <c r="BV795" s="46" t="str">
        <f t="shared" si="8"/>
        <v/>
      </c>
      <c r="BW795" s="46">
        <f t="shared" si="9"/>
        <v>0</v>
      </c>
      <c r="BX795" s="46">
        <f t="shared" si="10"/>
        <v>0</v>
      </c>
      <c r="BY795" s="43" t="str">
        <f t="shared" si="11"/>
        <v>WHO-STI MedicationStatement (Current Medication)</v>
      </c>
      <c r="BZ795" s="46">
        <f t="shared" si="12"/>
        <v>1</v>
      </c>
      <c r="CA795" s="46" t="str">
        <f t="shared" si="13"/>
        <v/>
      </c>
      <c r="CB795" s="46">
        <f t="shared" si="14"/>
        <v>1</v>
      </c>
      <c r="CC795" s="46">
        <f t="shared" si="15"/>
        <v>1</v>
      </c>
      <c r="CD795" s="46">
        <f t="shared" si="16"/>
        <v>1</v>
      </c>
      <c r="CE795" s="46">
        <f t="shared" si="17"/>
        <v>0</v>
      </c>
      <c r="CF795" s="46">
        <f t="shared" si="18"/>
        <v>0</v>
      </c>
      <c r="CG795" s="46" t="str">
        <f ca="1">IFERROR(__xludf.DUMMYFUNCTION("if(OR(BH795="""",LEFT(BH795,2)=""LA""),"""",IMPORTXML(CONCATENATE(""https://loinc.org/"",BH795,""/""),""//span[@id='lcn']""))"),"")</f>
        <v/>
      </c>
      <c r="CH795" s="46"/>
      <c r="CI795" s="46"/>
      <c r="CJ795" s="46"/>
      <c r="CK795" s="46"/>
      <c r="CL795" s="46"/>
      <c r="CM795" s="46"/>
      <c r="CN795" s="46"/>
      <c r="CO795" s="46"/>
      <c r="CP795" s="46"/>
      <c r="CQ795" s="46"/>
      <c r="CR795" s="46"/>
      <c r="CS795" s="46"/>
      <c r="CT795" s="46"/>
      <c r="CU795" s="46"/>
    </row>
    <row r="796" spans="1:99" ht="12.75" customHeight="1">
      <c r="A796" s="409">
        <v>2236</v>
      </c>
      <c r="B796" s="399" t="s">
        <v>9332</v>
      </c>
      <c r="C796" s="399">
        <f t="shared" si="117"/>
        <v>2236</v>
      </c>
      <c r="D796" s="399" t="e">
        <f t="shared" ca="1" si="118"/>
        <v>#NAME?</v>
      </c>
      <c r="E796" s="399" t="str">
        <f t="shared" si="119"/>
        <v>suppressive therapy</v>
      </c>
      <c r="F796" s="399" t="str">
        <f t="shared" si="131"/>
        <v>Input Option</v>
      </c>
      <c r="G796" s="400">
        <f t="shared" si="129"/>
        <v>26</v>
      </c>
      <c r="H796" s="399" t="str">
        <f t="shared" si="132"/>
        <v>Type of treatment</v>
      </c>
      <c r="I796" s="400"/>
      <c r="J796" s="400"/>
      <c r="K796" s="402" t="s">
        <v>9140</v>
      </c>
      <c r="L796" s="402" t="s">
        <v>961</v>
      </c>
      <c r="M796" s="400"/>
      <c r="N796" s="639" t="s">
        <v>9141</v>
      </c>
      <c r="O796" s="636" t="s">
        <v>9333</v>
      </c>
      <c r="P796" s="636"/>
      <c r="Q796" s="414"/>
      <c r="R796" s="414"/>
      <c r="S796" s="636"/>
      <c r="T796" s="636"/>
      <c r="U796" s="636"/>
      <c r="V796" s="753" t="s">
        <v>9334</v>
      </c>
      <c r="W796" s="404"/>
      <c r="X796" s="636" t="s">
        <v>208</v>
      </c>
      <c r="Y796" s="636"/>
      <c r="Z796" s="407" t="s">
        <v>113</v>
      </c>
      <c r="AA796" s="407" t="s">
        <v>1889</v>
      </c>
      <c r="AB796" s="629"/>
      <c r="AC796" s="636"/>
      <c r="AD796" s="636"/>
      <c r="AE796" s="629"/>
      <c r="AF796" s="636"/>
      <c r="AG796" s="750" t="s">
        <v>6102</v>
      </c>
      <c r="AH796" s="399"/>
      <c r="AI796" s="400"/>
      <c r="AJ796" s="399" t="s">
        <v>1787</v>
      </c>
      <c r="AK796" s="399"/>
      <c r="AL796" s="399" t="s">
        <v>1787</v>
      </c>
      <c r="AM796" s="399"/>
      <c r="AN796" s="399" t="s">
        <v>1787</v>
      </c>
      <c r="AO796" s="399" t="s">
        <v>1787</v>
      </c>
      <c r="AP796" s="399"/>
      <c r="AQ796" s="409" t="s">
        <v>3130</v>
      </c>
      <c r="AR796" s="399"/>
      <c r="AS796" s="399"/>
      <c r="AT796" s="399"/>
      <c r="AU796" s="399"/>
      <c r="AV796" s="399" t="str">
        <f t="shared" si="123"/>
        <v/>
      </c>
      <c r="AW796" s="399"/>
      <c r="AX796" s="409" t="s">
        <v>5194</v>
      </c>
      <c r="AY796" s="399" t="e">
        <f t="shared" ca="1" si="124"/>
        <v>#NAME?</v>
      </c>
      <c r="AZ796" s="399"/>
      <c r="BA796" s="409" t="s">
        <v>3125</v>
      </c>
      <c r="BB796" s="415" t="s">
        <v>3131</v>
      </c>
      <c r="BC796" s="399" t="s">
        <v>9332</v>
      </c>
      <c r="BD796" s="409" t="s">
        <v>3188</v>
      </c>
      <c r="BE796" s="411"/>
      <c r="BF796" s="411" t="s">
        <v>1787</v>
      </c>
      <c r="BG796" s="434" t="s">
        <v>9335</v>
      </c>
      <c r="BH796" s="411"/>
      <c r="BI796" s="411"/>
      <c r="BJ796" s="399" t="s">
        <v>1787</v>
      </c>
      <c r="BK796" s="409"/>
      <c r="BL796" s="409"/>
      <c r="BM796" s="409" t="s">
        <v>9336</v>
      </c>
      <c r="BN796" s="399" t="s">
        <v>1787</v>
      </c>
      <c r="BO796" s="399" t="s">
        <v>1787</v>
      </c>
      <c r="BP796" s="399" t="s">
        <v>1787</v>
      </c>
      <c r="BQ796" s="399" t="s">
        <v>1787</v>
      </c>
      <c r="BR796" s="399" t="s">
        <v>1787</v>
      </c>
      <c r="BS796" s="407"/>
      <c r="BT796" s="407"/>
      <c r="BU796" s="412"/>
      <c r="BV796" s="46" t="str">
        <f t="shared" si="8"/>
        <v/>
      </c>
      <c r="BW796" s="46">
        <f t="shared" si="9"/>
        <v>0</v>
      </c>
      <c r="BX796" s="46">
        <f t="shared" si="10"/>
        <v>0</v>
      </c>
      <c r="BY796" s="43" t="str">
        <f t="shared" si="11"/>
        <v>WHO-STI MedicationStatement (Current Medication)</v>
      </c>
      <c r="BZ796" s="46">
        <f t="shared" si="12"/>
        <v>1</v>
      </c>
      <c r="CA796" s="46" t="str">
        <f t="shared" si="13"/>
        <v/>
      </c>
      <c r="CB796" s="46">
        <f t="shared" si="14"/>
        <v>1</v>
      </c>
      <c r="CC796" s="46">
        <f t="shared" si="15"/>
        <v>1</v>
      </c>
      <c r="CD796" s="46">
        <f t="shared" si="16"/>
        <v>1</v>
      </c>
      <c r="CE796" s="46">
        <f t="shared" si="17"/>
        <v>0</v>
      </c>
      <c r="CF796" s="46">
        <f t="shared" si="18"/>
        <v>0</v>
      </c>
      <c r="CG796" s="46" t="str">
        <f ca="1">IFERROR(__xludf.DUMMYFUNCTION("if(OR(BH796="""",LEFT(BH796,2)=""LA""),"""",IMPORTXML(CONCATENATE(""https://loinc.org/"",BH796,""/""),""//span[@id='lcn']""))"),"")</f>
        <v/>
      </c>
      <c r="CH796" s="46"/>
      <c r="CI796" s="46"/>
      <c r="CJ796" s="46"/>
      <c r="CK796" s="46"/>
      <c r="CL796" s="46"/>
      <c r="CM796" s="46"/>
      <c r="CN796" s="46"/>
      <c r="CO796" s="46"/>
      <c r="CP796" s="46"/>
      <c r="CQ796" s="46"/>
      <c r="CR796" s="46"/>
      <c r="CS796" s="46"/>
      <c r="CT796" s="46"/>
      <c r="CU796" s="46"/>
    </row>
    <row r="797" spans="1:99" ht="12.75" customHeight="1">
      <c r="A797" s="409">
        <v>2237</v>
      </c>
      <c r="B797" s="399" t="s">
        <v>9337</v>
      </c>
      <c r="C797" s="399">
        <f t="shared" si="117"/>
        <v>2237</v>
      </c>
      <c r="D797" s="399" t="e">
        <f t="shared" ca="1" si="118"/>
        <v>#NAME?</v>
      </c>
      <c r="E797" s="399" t="str">
        <f t="shared" si="119"/>
        <v>application</v>
      </c>
      <c r="F797" s="399" t="str">
        <f t="shared" si="131"/>
        <v>Input Option</v>
      </c>
      <c r="G797" s="400">
        <f t="shared" si="129"/>
        <v>18</v>
      </c>
      <c r="H797" s="399" t="str">
        <f t="shared" si="132"/>
        <v>Type of treatment</v>
      </c>
      <c r="I797" s="400"/>
      <c r="J797" s="400"/>
      <c r="K797" s="402" t="s">
        <v>9140</v>
      </c>
      <c r="L797" s="402" t="s">
        <v>961</v>
      </c>
      <c r="M797" s="400"/>
      <c r="N797" s="639" t="s">
        <v>9141</v>
      </c>
      <c r="O797" s="636" t="s">
        <v>9333</v>
      </c>
      <c r="P797" s="636"/>
      <c r="Q797" s="414"/>
      <c r="R797" s="750" t="s">
        <v>9338</v>
      </c>
      <c r="S797" s="752"/>
      <c r="T797" s="752"/>
      <c r="U797" s="636"/>
      <c r="V797" s="751" t="s">
        <v>9339</v>
      </c>
      <c r="W797" s="404"/>
      <c r="X797" s="636" t="s">
        <v>208</v>
      </c>
      <c r="Y797" s="636"/>
      <c r="Z797" s="407" t="s">
        <v>113</v>
      </c>
      <c r="AA797" s="407" t="s">
        <v>1889</v>
      </c>
      <c r="AB797" s="629"/>
      <c r="AC797" s="636"/>
      <c r="AD797" s="636"/>
      <c r="AE797" s="629"/>
      <c r="AF797" s="636"/>
      <c r="AG797" s="750" t="s">
        <v>6102</v>
      </c>
      <c r="AH797" s="399"/>
      <c r="AI797" s="400"/>
      <c r="AJ797" s="399" t="s">
        <v>1787</v>
      </c>
      <c r="AK797" s="399"/>
      <c r="AL797" s="399" t="s">
        <v>1787</v>
      </c>
      <c r="AM797" s="399"/>
      <c r="AN797" s="399" t="s">
        <v>1787</v>
      </c>
      <c r="AO797" s="399" t="s">
        <v>1787</v>
      </c>
      <c r="AP797" s="399"/>
      <c r="AQ797" s="409" t="s">
        <v>3130</v>
      </c>
      <c r="AR797" s="399"/>
      <c r="AS797" s="399"/>
      <c r="AT797" s="399"/>
      <c r="AU797" s="399"/>
      <c r="AV797" s="399" t="str">
        <f t="shared" si="123"/>
        <v/>
      </c>
      <c r="AW797" s="399"/>
      <c r="AX797" s="409" t="s">
        <v>5194</v>
      </c>
      <c r="AY797" s="399" t="e">
        <f t="shared" ca="1" si="124"/>
        <v>#NAME?</v>
      </c>
      <c r="AZ797" s="399"/>
      <c r="BA797" s="409" t="s">
        <v>3125</v>
      </c>
      <c r="BB797" s="415" t="s">
        <v>3131</v>
      </c>
      <c r="BC797" s="399" t="s">
        <v>9337</v>
      </c>
      <c r="BD797" s="399" t="s">
        <v>1787</v>
      </c>
      <c r="BE797" s="411"/>
      <c r="BF797" s="411" t="s">
        <v>1787</v>
      </c>
      <c r="BG797" s="434" t="s">
        <v>9340</v>
      </c>
      <c r="BH797" s="411"/>
      <c r="BI797" s="411"/>
      <c r="BJ797" s="399" t="s">
        <v>1787</v>
      </c>
      <c r="BK797" s="399" t="s">
        <v>1787</v>
      </c>
      <c r="BL797" s="399"/>
      <c r="BM797" s="399" t="s">
        <v>1787</v>
      </c>
      <c r="BN797" s="399" t="s">
        <v>1787</v>
      </c>
      <c r="BO797" s="399" t="s">
        <v>1787</v>
      </c>
      <c r="BP797" s="399" t="s">
        <v>1787</v>
      </c>
      <c r="BQ797" s="399" t="s">
        <v>1787</v>
      </c>
      <c r="BR797" s="399" t="s">
        <v>1787</v>
      </c>
      <c r="BS797" s="407"/>
      <c r="BT797" s="407"/>
      <c r="BU797" s="412"/>
      <c r="BV797" s="46" t="str">
        <f t="shared" si="8"/>
        <v/>
      </c>
      <c r="BW797" s="46">
        <f t="shared" si="9"/>
        <v>0</v>
      </c>
      <c r="BX797" s="46">
        <f t="shared" si="10"/>
        <v>0</v>
      </c>
      <c r="BY797" s="43" t="str">
        <f t="shared" si="11"/>
        <v>WHO-STI MedicationStatement (Current Medication)</v>
      </c>
      <c r="BZ797" s="46">
        <f t="shared" si="12"/>
        <v>1</v>
      </c>
      <c r="CA797" s="46" t="str">
        <f t="shared" si="13"/>
        <v/>
      </c>
      <c r="CB797" s="46">
        <f t="shared" si="14"/>
        <v>1</v>
      </c>
      <c r="CC797" s="46">
        <f t="shared" si="15"/>
        <v>1</v>
      </c>
      <c r="CD797" s="46">
        <f t="shared" si="16"/>
        <v>1</v>
      </c>
      <c r="CE797" s="46">
        <f t="shared" si="17"/>
        <v>0</v>
      </c>
      <c r="CF797" s="46">
        <f t="shared" si="18"/>
        <v>0</v>
      </c>
      <c r="CG797" s="46" t="str">
        <f ca="1">IFERROR(__xludf.DUMMYFUNCTION("if(OR(BH797="""",LEFT(BH797,2)=""LA""),"""",IMPORTXML(CONCATENATE(""https://loinc.org/"",BH797,""/""),""//span[@id='lcn']""))"),"")</f>
        <v/>
      </c>
      <c r="CH797" s="46"/>
      <c r="CI797" s="46"/>
      <c r="CJ797" s="46"/>
      <c r="CK797" s="46"/>
      <c r="CL797" s="46"/>
      <c r="CM797" s="46"/>
      <c r="CN797" s="46"/>
      <c r="CO797" s="46"/>
      <c r="CP797" s="46"/>
      <c r="CQ797" s="46"/>
      <c r="CR797" s="46"/>
      <c r="CS797" s="46"/>
      <c r="CT797" s="46"/>
      <c r="CU797" s="46"/>
    </row>
    <row r="798" spans="1:99" ht="12.75" customHeight="1">
      <c r="A798" s="409">
        <v>2238</v>
      </c>
      <c r="B798" s="399" t="s">
        <v>9341</v>
      </c>
      <c r="C798" s="399">
        <f t="shared" si="117"/>
        <v>2238</v>
      </c>
      <c r="D798" s="399" t="str">
        <f t="shared" si="118"/>
        <v>Drug form</v>
      </c>
      <c r="E798" s="399" t="str">
        <f t="shared" si="119"/>
        <v>Drug form</v>
      </c>
      <c r="F798" s="399" t="str">
        <f t="shared" si="131"/>
        <v>Data Element</v>
      </c>
      <c r="G798" s="400">
        <f t="shared" si="129"/>
        <v>9</v>
      </c>
      <c r="H798" s="400" t="str">
        <f t="shared" si="132"/>
        <v/>
      </c>
      <c r="I798" s="400"/>
      <c r="J798" s="400"/>
      <c r="K798" s="402" t="s">
        <v>9140</v>
      </c>
      <c r="L798" s="402" t="s">
        <v>961</v>
      </c>
      <c r="M798" s="400"/>
      <c r="N798" s="639" t="s">
        <v>9141</v>
      </c>
      <c r="O798" s="636" t="s">
        <v>9342</v>
      </c>
      <c r="P798" s="636"/>
      <c r="Q798" s="414" t="s">
        <v>9341</v>
      </c>
      <c r="R798" s="414"/>
      <c r="S798" s="750" t="s">
        <v>9343</v>
      </c>
      <c r="T798" s="752"/>
      <c r="U798" s="752"/>
      <c r="V798" s="628"/>
      <c r="W798" s="404"/>
      <c r="X798" s="636" t="s">
        <v>208</v>
      </c>
      <c r="Y798" s="636"/>
      <c r="Z798" s="407" t="s">
        <v>113</v>
      </c>
      <c r="AA798" s="407" t="s">
        <v>1889</v>
      </c>
      <c r="AB798" s="629"/>
      <c r="AC798" s="636"/>
      <c r="AD798" s="636"/>
      <c r="AE798" s="629"/>
      <c r="AF798" s="404"/>
      <c r="AG798" s="750" t="s">
        <v>6102</v>
      </c>
      <c r="AH798" s="399"/>
      <c r="AI798" s="400"/>
      <c r="AJ798" s="399" t="s">
        <v>1787</v>
      </c>
      <c r="AK798" s="409" t="s">
        <v>6741</v>
      </c>
      <c r="AL798" s="409"/>
      <c r="AM798" s="409" t="s">
        <v>3100</v>
      </c>
      <c r="AN798" s="409" t="s">
        <v>3101</v>
      </c>
      <c r="AO798" s="399" t="s">
        <v>1787</v>
      </c>
      <c r="AP798" s="409" t="s">
        <v>6740</v>
      </c>
      <c r="AQ798" s="409" t="s">
        <v>3424</v>
      </c>
      <c r="AR798" s="399"/>
      <c r="AS798" s="399"/>
      <c r="AT798" s="399"/>
      <c r="AU798" s="399"/>
      <c r="AV798" s="399" t="str">
        <f t="shared" si="123"/>
        <v/>
      </c>
      <c r="AW798" s="399"/>
      <c r="AX798" s="409" t="s">
        <v>5194</v>
      </c>
      <c r="AY798" s="399" t="str">
        <f t="shared" si="124"/>
        <v/>
      </c>
      <c r="AZ798" s="399"/>
      <c r="BA798" s="409" t="s">
        <v>3125</v>
      </c>
      <c r="BB798" s="399"/>
      <c r="BC798" s="399" t="s">
        <v>1787</v>
      </c>
      <c r="BD798" s="399" t="s">
        <v>1787</v>
      </c>
      <c r="BE798" s="411"/>
      <c r="BF798" s="411" t="s">
        <v>1787</v>
      </c>
      <c r="BG798" s="411"/>
      <c r="BH798" s="411"/>
      <c r="BI798" s="411"/>
      <c r="BJ798" s="409" t="s">
        <v>3106</v>
      </c>
      <c r="BK798" s="399" t="s">
        <v>1787</v>
      </c>
      <c r="BL798" s="399"/>
      <c r="BM798" s="399" t="s">
        <v>1787</v>
      </c>
      <c r="BN798" s="399" t="s">
        <v>1787</v>
      </c>
      <c r="BO798" s="399" t="s">
        <v>1787</v>
      </c>
      <c r="BP798" s="399" t="s">
        <v>1787</v>
      </c>
      <c r="BQ798" s="399" t="s">
        <v>1787</v>
      </c>
      <c r="BR798" s="399" t="s">
        <v>1787</v>
      </c>
      <c r="BS798" s="407"/>
      <c r="BT798" s="407"/>
      <c r="BU798" s="412"/>
      <c r="BV798" s="46" t="str">
        <f t="shared" si="8"/>
        <v>Medication</v>
      </c>
      <c r="BW798" s="46" t="str">
        <f t="shared" si="9"/>
        <v/>
      </c>
      <c r="BX798" s="46" t="str">
        <f t="shared" si="10"/>
        <v>Medication</v>
      </c>
      <c r="BY798" s="43" t="str">
        <f t="shared" si="11"/>
        <v>WHO-STI Medication</v>
      </c>
      <c r="BZ798" s="46">
        <f t="shared" si="12"/>
        <v>1</v>
      </c>
      <c r="CA798" s="46">
        <f t="shared" si="13"/>
        <v>1</v>
      </c>
      <c r="CB798" s="46">
        <f t="shared" si="14"/>
        <v>1</v>
      </c>
      <c r="CC798" s="46">
        <f t="shared" si="15"/>
        <v>1</v>
      </c>
      <c r="CD798" s="46">
        <f t="shared" si="16"/>
        <v>1</v>
      </c>
      <c r="CE798" s="46">
        <f t="shared" si="17"/>
        <v>0</v>
      </c>
      <c r="CF798" s="46">
        <f t="shared" si="18"/>
        <v>0</v>
      </c>
      <c r="CG798" s="46" t="str">
        <f ca="1">IFERROR(__xludf.DUMMYFUNCTION("if(OR(BH798="""",LEFT(BH798,2)=""LA""),"""",IMPORTXML(CONCATENATE(""https://loinc.org/"",BH798,""/""),""//span[@id='lcn']""))"),"")</f>
        <v/>
      </c>
      <c r="CH798" s="46"/>
      <c r="CI798" s="46"/>
      <c r="CJ798" s="46"/>
      <c r="CK798" s="46"/>
      <c r="CL798" s="46"/>
      <c r="CM798" s="46"/>
      <c r="CN798" s="46"/>
      <c r="CO798" s="46"/>
      <c r="CP798" s="46"/>
      <c r="CQ798" s="46"/>
      <c r="CR798" s="46"/>
      <c r="CS798" s="46"/>
      <c r="CT798" s="46"/>
      <c r="CU798" s="46"/>
    </row>
    <row r="799" spans="1:99" ht="12.75" customHeight="1">
      <c r="A799" s="409">
        <v>2239</v>
      </c>
      <c r="B799" s="399" t="s">
        <v>9344</v>
      </c>
      <c r="C799" s="399">
        <f t="shared" si="117"/>
        <v>2239</v>
      </c>
      <c r="D799" s="399" t="e">
        <f t="shared" ca="1" si="118"/>
        <v>#NAME?</v>
      </c>
      <c r="E799" s="399" t="str">
        <f t="shared" si="119"/>
        <v>gel</v>
      </c>
      <c r="F799" s="399" t="str">
        <f t="shared" si="131"/>
        <v>Input Option</v>
      </c>
      <c r="G799" s="400">
        <f t="shared" si="129"/>
        <v>10</v>
      </c>
      <c r="H799" s="399" t="str">
        <f t="shared" si="132"/>
        <v>Drug form</v>
      </c>
      <c r="I799" s="400"/>
      <c r="J799" s="400"/>
      <c r="K799" s="402" t="s">
        <v>9140</v>
      </c>
      <c r="L799" s="402" t="s">
        <v>961</v>
      </c>
      <c r="M799" s="400"/>
      <c r="N799" s="639" t="s">
        <v>9141</v>
      </c>
      <c r="O799" s="636" t="s">
        <v>9345</v>
      </c>
      <c r="P799" s="636"/>
      <c r="Q799" s="636"/>
      <c r="R799" s="414"/>
      <c r="S799" s="636"/>
      <c r="T799" s="636"/>
      <c r="U799" s="636"/>
      <c r="V799" s="414" t="s">
        <v>9346</v>
      </c>
      <c r="W799" s="404"/>
      <c r="X799" s="636" t="s">
        <v>208</v>
      </c>
      <c r="Y799" s="636"/>
      <c r="Z799" s="407" t="s">
        <v>113</v>
      </c>
      <c r="AA799" s="407" t="s">
        <v>1889</v>
      </c>
      <c r="AB799" s="629"/>
      <c r="AC799" s="636"/>
      <c r="AD799" s="636"/>
      <c r="AE799" s="629"/>
      <c r="AF799" s="636"/>
      <c r="AG799" s="750" t="s">
        <v>6102</v>
      </c>
      <c r="AH799" s="399"/>
      <c r="AI799" s="400"/>
      <c r="AJ799" s="399" t="s">
        <v>1787</v>
      </c>
      <c r="AK799" s="399"/>
      <c r="AL799" s="409" t="s">
        <v>3218</v>
      </c>
      <c r="AM799" s="409"/>
      <c r="AN799" s="409" t="s">
        <v>3218</v>
      </c>
      <c r="AO799" s="399" t="s">
        <v>1787</v>
      </c>
      <c r="AP799" s="399"/>
      <c r="AQ799" s="409" t="s">
        <v>3130</v>
      </c>
      <c r="AR799" s="399"/>
      <c r="AS799" s="399"/>
      <c r="AT799" s="399"/>
      <c r="AU799" s="399"/>
      <c r="AV799" s="399" t="str">
        <f t="shared" si="123"/>
        <v/>
      </c>
      <c r="AW799" s="399"/>
      <c r="AX799" s="409" t="s">
        <v>5194</v>
      </c>
      <c r="AY799" s="399" t="e">
        <f t="shared" ca="1" si="124"/>
        <v>#NAME?</v>
      </c>
      <c r="AZ799" s="399"/>
      <c r="BA799" s="409" t="s">
        <v>3125</v>
      </c>
      <c r="BB799" s="399"/>
      <c r="BC799" s="399" t="s">
        <v>1787</v>
      </c>
      <c r="BD799" s="409" t="s">
        <v>3162</v>
      </c>
      <c r="BE799" s="411"/>
      <c r="BF799" s="411" t="s">
        <v>1787</v>
      </c>
      <c r="BG799" s="754" t="s">
        <v>9347</v>
      </c>
      <c r="BH799" s="411"/>
      <c r="BI799" s="411"/>
      <c r="BJ799" s="399" t="s">
        <v>1787</v>
      </c>
      <c r="BK799" s="399" t="s">
        <v>1787</v>
      </c>
      <c r="BL799" s="399"/>
      <c r="BM799" s="399" t="s">
        <v>1787</v>
      </c>
      <c r="BN799" s="399" t="s">
        <v>1787</v>
      </c>
      <c r="BO799" s="399" t="s">
        <v>1787</v>
      </c>
      <c r="BP799" s="399" t="s">
        <v>1787</v>
      </c>
      <c r="BQ799" s="399" t="s">
        <v>1787</v>
      </c>
      <c r="BR799" s="399" t="s">
        <v>1787</v>
      </c>
      <c r="BS799" s="407"/>
      <c r="BT799" s="407"/>
      <c r="BU799" s="412"/>
      <c r="BV799" s="46" t="str">
        <f t="shared" si="8"/>
        <v/>
      </c>
      <c r="BW799" s="46">
        <f t="shared" si="9"/>
        <v>0</v>
      </c>
      <c r="BX799" s="46">
        <f t="shared" si="10"/>
        <v>0</v>
      </c>
      <c r="BY799" s="43" t="str">
        <f t="shared" si="11"/>
        <v>WHO-STI Medication</v>
      </c>
      <c r="BZ799" s="46">
        <f t="shared" si="12"/>
        <v>1</v>
      </c>
      <c r="CA799" s="46" t="str">
        <f t="shared" si="13"/>
        <v/>
      </c>
      <c r="CB799" s="46">
        <f t="shared" si="14"/>
        <v>1</v>
      </c>
      <c r="CC799" s="46">
        <f t="shared" si="15"/>
        <v>1</v>
      </c>
      <c r="CD799" s="46">
        <f t="shared" si="16"/>
        <v>1</v>
      </c>
      <c r="CE799" s="46">
        <f t="shared" si="17"/>
        <v>0</v>
      </c>
      <c r="CF799" s="46">
        <f t="shared" si="18"/>
        <v>0</v>
      </c>
      <c r="CG799" s="46" t="str">
        <f ca="1">IFERROR(__xludf.DUMMYFUNCTION("if(OR(BH799="""",LEFT(BH799,2)=""LA""),"""",IMPORTXML(CONCATENATE(""https://loinc.org/"",BH799,""/""),""//span[@id='lcn']""))"),"")</f>
        <v/>
      </c>
      <c r="CH799" s="46"/>
      <c r="CI799" s="46"/>
      <c r="CJ799" s="46"/>
      <c r="CK799" s="46"/>
      <c r="CL799" s="46"/>
      <c r="CM799" s="46"/>
      <c r="CN799" s="46"/>
      <c r="CO799" s="46"/>
      <c r="CP799" s="46"/>
      <c r="CQ799" s="46"/>
      <c r="CR799" s="46"/>
      <c r="CS799" s="46"/>
      <c r="CT799" s="46"/>
      <c r="CU799" s="46"/>
    </row>
    <row r="800" spans="1:99" ht="12.75" customHeight="1">
      <c r="A800" s="409">
        <v>2240</v>
      </c>
      <c r="B800" s="399" t="s">
        <v>9348</v>
      </c>
      <c r="C800" s="399">
        <f t="shared" si="117"/>
        <v>2240</v>
      </c>
      <c r="D800" s="399" t="e">
        <f t="shared" ca="1" si="118"/>
        <v>#NAME?</v>
      </c>
      <c r="E800" s="399" t="str">
        <f t="shared" si="119"/>
        <v>compound tincture of benzoin</v>
      </c>
      <c r="F800" s="399" t="str">
        <f t="shared" si="131"/>
        <v>Input Option</v>
      </c>
      <c r="G800" s="400">
        <f t="shared" si="129"/>
        <v>35</v>
      </c>
      <c r="H800" s="399" t="str">
        <f t="shared" si="132"/>
        <v>Drug form</v>
      </c>
      <c r="I800" s="400"/>
      <c r="J800" s="400"/>
      <c r="K800" s="402" t="s">
        <v>9140</v>
      </c>
      <c r="L800" s="402" t="s">
        <v>961</v>
      </c>
      <c r="M800" s="400"/>
      <c r="N800" s="639" t="s">
        <v>9141</v>
      </c>
      <c r="O800" s="636" t="s">
        <v>9349</v>
      </c>
      <c r="P800" s="636"/>
      <c r="Q800" s="636"/>
      <c r="R800" s="414"/>
      <c r="S800" s="636"/>
      <c r="T800" s="636"/>
      <c r="U800" s="636"/>
      <c r="V800" s="750" t="s">
        <v>9350</v>
      </c>
      <c r="W800" s="404"/>
      <c r="X800" s="636" t="s">
        <v>208</v>
      </c>
      <c r="Y800" s="636"/>
      <c r="Z800" s="407" t="s">
        <v>113</v>
      </c>
      <c r="AA800" s="407" t="s">
        <v>1889</v>
      </c>
      <c r="AB800" s="629"/>
      <c r="AC800" s="636"/>
      <c r="AD800" s="636"/>
      <c r="AE800" s="629"/>
      <c r="AF800" s="636"/>
      <c r="AG800" s="414"/>
      <c r="AH800" s="399"/>
      <c r="AI800" s="400"/>
      <c r="AJ800" s="399" t="s">
        <v>1787</v>
      </c>
      <c r="AK800" s="399"/>
      <c r="AL800" s="409" t="s">
        <v>3218</v>
      </c>
      <c r="AM800" s="409"/>
      <c r="AN800" s="409" t="s">
        <v>3218</v>
      </c>
      <c r="AO800" s="399" t="s">
        <v>1787</v>
      </c>
      <c r="AP800" s="399"/>
      <c r="AQ800" s="409" t="s">
        <v>3130</v>
      </c>
      <c r="AR800" s="399"/>
      <c r="AS800" s="399"/>
      <c r="AT800" s="399"/>
      <c r="AU800" s="399"/>
      <c r="AV800" s="399" t="str">
        <f t="shared" si="123"/>
        <v/>
      </c>
      <c r="AW800" s="399"/>
      <c r="AX800" s="409" t="s">
        <v>5194</v>
      </c>
      <c r="AY800" s="399" t="e">
        <f t="shared" ca="1" si="124"/>
        <v>#NAME?</v>
      </c>
      <c r="AZ800" s="399"/>
      <c r="BA800" s="409" t="s">
        <v>3125</v>
      </c>
      <c r="BB800" s="399"/>
      <c r="BC800" s="399" t="s">
        <v>1787</v>
      </c>
      <c r="BD800" s="409" t="s">
        <v>3162</v>
      </c>
      <c r="BE800" s="411"/>
      <c r="BF800" s="411" t="s">
        <v>1787</v>
      </c>
      <c r="BG800" s="411"/>
      <c r="BH800" s="411"/>
      <c r="BI800" s="434" t="s">
        <v>9351</v>
      </c>
      <c r="BJ800" s="399" t="s">
        <v>1787</v>
      </c>
      <c r="BK800" s="399" t="s">
        <v>1787</v>
      </c>
      <c r="BL800" s="399"/>
      <c r="BM800" s="409" t="s">
        <v>9352</v>
      </c>
      <c r="BN800" s="399" t="s">
        <v>1787</v>
      </c>
      <c r="BO800" s="399" t="s">
        <v>1787</v>
      </c>
      <c r="BP800" s="399" t="s">
        <v>1787</v>
      </c>
      <c r="BQ800" s="399" t="s">
        <v>1787</v>
      </c>
      <c r="BR800" s="399" t="s">
        <v>1787</v>
      </c>
      <c r="BS800" s="407"/>
      <c r="BT800" s="407"/>
      <c r="BU800" s="412"/>
      <c r="BV800" s="46" t="str">
        <f t="shared" si="8"/>
        <v/>
      </c>
      <c r="BW800" s="46">
        <f t="shared" si="9"/>
        <v>0</v>
      </c>
      <c r="BX800" s="46">
        <f t="shared" si="10"/>
        <v>0</v>
      </c>
      <c r="BY800" s="43" t="str">
        <f t="shared" si="11"/>
        <v>WHO-STI Medication</v>
      </c>
      <c r="BZ800" s="46">
        <f t="shared" si="12"/>
        <v>1</v>
      </c>
      <c r="CA800" s="46" t="str">
        <f t="shared" si="13"/>
        <v/>
      </c>
      <c r="CB800" s="46">
        <f t="shared" si="14"/>
        <v>1</v>
      </c>
      <c r="CC800" s="46">
        <f t="shared" si="15"/>
        <v>1</v>
      </c>
      <c r="CD800" s="46">
        <f t="shared" si="16"/>
        <v>1</v>
      </c>
      <c r="CE800" s="46">
        <f t="shared" si="17"/>
        <v>0</v>
      </c>
      <c r="CF800" s="46">
        <f t="shared" si="18"/>
        <v>0</v>
      </c>
      <c r="CG800" s="46" t="str">
        <f ca="1">IFERROR(__xludf.DUMMYFUNCTION("if(OR(BH800="""",LEFT(BH800,2)=""LA""),"""",IMPORTXML(CONCATENATE(""https://loinc.org/"",BH800,""/""),""//span[@id='lcn']""))"),"")</f>
        <v/>
      </c>
      <c r="CH800" s="46"/>
      <c r="CI800" s="46"/>
      <c r="CJ800" s="46"/>
      <c r="CK800" s="46"/>
      <c r="CL800" s="46"/>
      <c r="CM800" s="46"/>
      <c r="CN800" s="46"/>
      <c r="CO800" s="46"/>
      <c r="CP800" s="46"/>
      <c r="CQ800" s="46"/>
      <c r="CR800" s="46"/>
      <c r="CS800" s="46"/>
      <c r="CT800" s="46"/>
      <c r="CU800" s="46"/>
    </row>
    <row r="801" spans="1:99" ht="12.75" customHeight="1">
      <c r="A801" s="409">
        <v>2241</v>
      </c>
      <c r="B801" s="399" t="s">
        <v>9353</v>
      </c>
      <c r="C801" s="399">
        <f t="shared" si="117"/>
        <v>2241</v>
      </c>
      <c r="D801" s="399" t="e">
        <f t="shared" ca="1" si="118"/>
        <v>#NAME?</v>
      </c>
      <c r="E801" s="399" t="str">
        <f t="shared" si="119"/>
        <v>oral</v>
      </c>
      <c r="F801" s="399" t="str">
        <f t="shared" si="131"/>
        <v>Input Option</v>
      </c>
      <c r="G801" s="400">
        <f t="shared" si="129"/>
        <v>11</v>
      </c>
      <c r="H801" s="399" t="str">
        <f t="shared" si="132"/>
        <v>Drug form</v>
      </c>
      <c r="I801" s="400"/>
      <c r="J801" s="400"/>
      <c r="K801" s="402" t="s">
        <v>9140</v>
      </c>
      <c r="L801" s="402" t="s">
        <v>961</v>
      </c>
      <c r="M801" s="400"/>
      <c r="N801" s="639" t="s">
        <v>9141</v>
      </c>
      <c r="O801" s="636" t="s">
        <v>9354</v>
      </c>
      <c r="P801" s="636"/>
      <c r="Q801" s="636"/>
      <c r="R801" s="414"/>
      <c r="S801" s="636"/>
      <c r="T801" s="636"/>
      <c r="U801" s="636"/>
      <c r="V801" s="751" t="s">
        <v>9222</v>
      </c>
      <c r="W801" s="404"/>
      <c r="X801" s="636" t="s">
        <v>208</v>
      </c>
      <c r="Y801" s="636"/>
      <c r="Z801" s="407" t="s">
        <v>113</v>
      </c>
      <c r="AA801" s="407" t="s">
        <v>1889</v>
      </c>
      <c r="AB801" s="629"/>
      <c r="AC801" s="636"/>
      <c r="AD801" s="636"/>
      <c r="AE801" s="629"/>
      <c r="AF801" s="636"/>
      <c r="AG801" s="750" t="s">
        <v>6102</v>
      </c>
      <c r="AH801" s="399"/>
      <c r="AI801" s="400"/>
      <c r="AJ801" s="399" t="s">
        <v>1787</v>
      </c>
      <c r="AK801" s="399"/>
      <c r="AL801" s="409" t="s">
        <v>3218</v>
      </c>
      <c r="AM801" s="409"/>
      <c r="AN801" s="409" t="s">
        <v>3218</v>
      </c>
      <c r="AO801" s="399" t="s">
        <v>1787</v>
      </c>
      <c r="AP801" s="399"/>
      <c r="AQ801" s="409" t="s">
        <v>3130</v>
      </c>
      <c r="AR801" s="399"/>
      <c r="AS801" s="399"/>
      <c r="AT801" s="399"/>
      <c r="AU801" s="399"/>
      <c r="AV801" s="399" t="str">
        <f t="shared" si="123"/>
        <v/>
      </c>
      <c r="AW801" s="399"/>
      <c r="AX801" s="409" t="s">
        <v>5194</v>
      </c>
      <c r="AY801" s="399" t="e">
        <f t="shared" ca="1" si="124"/>
        <v>#NAME?</v>
      </c>
      <c r="AZ801" s="399"/>
      <c r="BA801" s="409" t="s">
        <v>3125</v>
      </c>
      <c r="BB801" s="399"/>
      <c r="BC801" s="399" t="s">
        <v>1787</v>
      </c>
      <c r="BD801" s="409" t="s">
        <v>3188</v>
      </c>
      <c r="BE801" s="411"/>
      <c r="BF801" s="411" t="s">
        <v>1787</v>
      </c>
      <c r="BG801" s="434" t="s">
        <v>9355</v>
      </c>
      <c r="BH801" s="411"/>
      <c r="BI801" s="411"/>
      <c r="BJ801" s="399" t="s">
        <v>1787</v>
      </c>
      <c r="BK801" s="409"/>
      <c r="BL801" s="409"/>
      <c r="BM801" s="409" t="s">
        <v>9356</v>
      </c>
      <c r="BN801" s="399" t="s">
        <v>1787</v>
      </c>
      <c r="BO801" s="399" t="s">
        <v>1787</v>
      </c>
      <c r="BP801" s="399" t="s">
        <v>1787</v>
      </c>
      <c r="BQ801" s="399" t="s">
        <v>1787</v>
      </c>
      <c r="BR801" s="399" t="s">
        <v>1787</v>
      </c>
      <c r="BS801" s="407"/>
      <c r="BT801" s="407"/>
      <c r="BU801" s="412"/>
      <c r="BV801" s="46" t="str">
        <f t="shared" si="8"/>
        <v/>
      </c>
      <c r="BW801" s="46">
        <f t="shared" si="9"/>
        <v>0</v>
      </c>
      <c r="BX801" s="46">
        <f t="shared" si="10"/>
        <v>0</v>
      </c>
      <c r="BY801" s="43" t="str">
        <f t="shared" si="11"/>
        <v>WHO-STI Medication</v>
      </c>
      <c r="BZ801" s="46">
        <f t="shared" si="12"/>
        <v>1</v>
      </c>
      <c r="CA801" s="46" t="str">
        <f t="shared" si="13"/>
        <v/>
      </c>
      <c r="CB801" s="46">
        <f t="shared" si="14"/>
        <v>1</v>
      </c>
      <c r="CC801" s="46">
        <f t="shared" si="15"/>
        <v>1</v>
      </c>
      <c r="CD801" s="46">
        <f t="shared" si="16"/>
        <v>1</v>
      </c>
      <c r="CE801" s="46">
        <f t="shared" si="17"/>
        <v>0</v>
      </c>
      <c r="CF801" s="46">
        <f t="shared" si="18"/>
        <v>0</v>
      </c>
      <c r="CG801" s="46" t="str">
        <f ca="1">IFERROR(__xludf.DUMMYFUNCTION("if(OR(BH801="""",LEFT(BH801,2)=""LA""),"""",IMPORTXML(CONCATENATE(""https://loinc.org/"",BH801,""/""),""//span[@id='lcn']""))"),"")</f>
        <v/>
      </c>
      <c r="CH801" s="46"/>
      <c r="CI801" s="46"/>
      <c r="CJ801" s="46"/>
      <c r="CK801" s="46"/>
      <c r="CL801" s="46"/>
      <c r="CM801" s="46"/>
      <c r="CN801" s="46"/>
      <c r="CO801" s="46"/>
      <c r="CP801" s="46"/>
      <c r="CQ801" s="46"/>
      <c r="CR801" s="46"/>
      <c r="CS801" s="46"/>
      <c r="CT801" s="46"/>
      <c r="CU801" s="46"/>
    </row>
    <row r="802" spans="1:99" ht="12.75" customHeight="1">
      <c r="A802" s="409">
        <v>2242</v>
      </c>
      <c r="B802" s="399" t="s">
        <v>9357</v>
      </c>
      <c r="C802" s="399">
        <f t="shared" si="117"/>
        <v>2242</v>
      </c>
      <c r="D802" s="399" t="e">
        <f t="shared" ca="1" si="118"/>
        <v>#NAME?</v>
      </c>
      <c r="E802" s="399" t="str">
        <f t="shared" si="119"/>
        <v>vaginal suppository</v>
      </c>
      <c r="F802" s="399" t="str">
        <f t="shared" si="131"/>
        <v>Input Option</v>
      </c>
      <c r="G802" s="400">
        <f t="shared" si="129"/>
        <v>26</v>
      </c>
      <c r="H802" s="399" t="str">
        <f t="shared" si="132"/>
        <v>Drug form</v>
      </c>
      <c r="I802" s="400"/>
      <c r="J802" s="400"/>
      <c r="K802" s="402" t="s">
        <v>9140</v>
      </c>
      <c r="L802" s="402" t="s">
        <v>961</v>
      </c>
      <c r="M802" s="400"/>
      <c r="N802" s="639" t="s">
        <v>9141</v>
      </c>
      <c r="O802" s="636" t="s">
        <v>9358</v>
      </c>
      <c r="P802" s="636"/>
      <c r="Q802" s="636"/>
      <c r="R802" s="414"/>
      <c r="S802" s="636"/>
      <c r="T802" s="636"/>
      <c r="U802" s="636"/>
      <c r="V802" s="750" t="s">
        <v>9359</v>
      </c>
      <c r="W802" s="404"/>
      <c r="X802" s="636" t="s">
        <v>208</v>
      </c>
      <c r="Y802" s="636"/>
      <c r="Z802" s="407" t="s">
        <v>113</v>
      </c>
      <c r="AA802" s="407" t="s">
        <v>1889</v>
      </c>
      <c r="AB802" s="629"/>
      <c r="AC802" s="636"/>
      <c r="AD802" s="636"/>
      <c r="AE802" s="629"/>
      <c r="AF802" s="636"/>
      <c r="AG802" s="750" t="s">
        <v>6102</v>
      </c>
      <c r="AH802" s="399"/>
      <c r="AI802" s="400"/>
      <c r="AJ802" s="399" t="s">
        <v>1787</v>
      </c>
      <c r="AK802" s="399"/>
      <c r="AL802" s="409" t="s">
        <v>3218</v>
      </c>
      <c r="AM802" s="409"/>
      <c r="AN802" s="409" t="s">
        <v>3218</v>
      </c>
      <c r="AO802" s="399" t="s">
        <v>1787</v>
      </c>
      <c r="AP802" s="399"/>
      <c r="AQ802" s="409" t="s">
        <v>3130</v>
      </c>
      <c r="AR802" s="399"/>
      <c r="AS802" s="399"/>
      <c r="AT802" s="399"/>
      <c r="AU802" s="399"/>
      <c r="AV802" s="399" t="str">
        <f t="shared" si="123"/>
        <v/>
      </c>
      <c r="AW802" s="399"/>
      <c r="AX802" s="409" t="s">
        <v>5194</v>
      </c>
      <c r="AY802" s="399" t="e">
        <f t="shared" ca="1" si="124"/>
        <v>#NAME?</v>
      </c>
      <c r="AZ802" s="399"/>
      <c r="BA802" s="409" t="s">
        <v>3125</v>
      </c>
      <c r="BB802" s="399"/>
      <c r="BC802" s="399" t="s">
        <v>1787</v>
      </c>
      <c r="BD802" s="409" t="s">
        <v>3162</v>
      </c>
      <c r="BE802" s="411"/>
      <c r="BF802" s="411" t="s">
        <v>1787</v>
      </c>
      <c r="BG802" s="434" t="s">
        <v>9360</v>
      </c>
      <c r="BH802" s="411"/>
      <c r="BI802" s="411"/>
      <c r="BJ802" s="399" t="s">
        <v>1787</v>
      </c>
      <c r="BK802" s="399" t="s">
        <v>1787</v>
      </c>
      <c r="BL802" s="399"/>
      <c r="BM802" s="399" t="s">
        <v>1787</v>
      </c>
      <c r="BN802" s="399" t="s">
        <v>1787</v>
      </c>
      <c r="BO802" s="399" t="s">
        <v>1787</v>
      </c>
      <c r="BP802" s="399" t="s">
        <v>1787</v>
      </c>
      <c r="BQ802" s="399" t="s">
        <v>1787</v>
      </c>
      <c r="BR802" s="399" t="s">
        <v>1787</v>
      </c>
      <c r="BS802" s="407"/>
      <c r="BT802" s="407"/>
      <c r="BU802" s="412"/>
      <c r="BV802" s="46" t="str">
        <f t="shared" si="8"/>
        <v/>
      </c>
      <c r="BW802" s="46">
        <f t="shared" si="9"/>
        <v>0</v>
      </c>
      <c r="BX802" s="46">
        <f t="shared" si="10"/>
        <v>0</v>
      </c>
      <c r="BY802" s="43" t="str">
        <f t="shared" si="11"/>
        <v>WHO-STI Medication</v>
      </c>
      <c r="BZ802" s="46">
        <f t="shared" si="12"/>
        <v>1</v>
      </c>
      <c r="CA802" s="46" t="str">
        <f t="shared" si="13"/>
        <v/>
      </c>
      <c r="CB802" s="46">
        <f t="shared" si="14"/>
        <v>1</v>
      </c>
      <c r="CC802" s="46">
        <f t="shared" si="15"/>
        <v>1</v>
      </c>
      <c r="CD802" s="46">
        <f t="shared" si="16"/>
        <v>1</v>
      </c>
      <c r="CE802" s="46">
        <f t="shared" si="17"/>
        <v>0</v>
      </c>
      <c r="CF802" s="46">
        <f t="shared" si="18"/>
        <v>0</v>
      </c>
      <c r="CG802" s="46" t="str">
        <f ca="1">IFERROR(__xludf.DUMMYFUNCTION("if(OR(BH802="""",LEFT(BH802,2)=""LA""),"""",IMPORTXML(CONCATENATE(""https://loinc.org/"",BH802,""/""),""//span[@id='lcn']""))"),"")</f>
        <v/>
      </c>
      <c r="CH802" s="46"/>
      <c r="CI802" s="46"/>
      <c r="CJ802" s="46"/>
      <c r="CK802" s="46"/>
      <c r="CL802" s="46"/>
      <c r="CM802" s="46"/>
      <c r="CN802" s="46"/>
      <c r="CO802" s="46"/>
      <c r="CP802" s="46"/>
      <c r="CQ802" s="46"/>
      <c r="CR802" s="46"/>
      <c r="CS802" s="46"/>
      <c r="CT802" s="46"/>
      <c r="CU802" s="46"/>
    </row>
    <row r="803" spans="1:99" ht="12.75" customHeight="1">
      <c r="A803" s="409">
        <v>2243</v>
      </c>
      <c r="B803" s="399" t="s">
        <v>9361</v>
      </c>
      <c r="C803" s="399">
        <f t="shared" si="117"/>
        <v>2243</v>
      </c>
      <c r="D803" s="399" t="e">
        <f t="shared" ca="1" si="118"/>
        <v>#NAME?</v>
      </c>
      <c r="E803" s="399" t="str">
        <f t="shared" si="119"/>
        <v>intramuscular</v>
      </c>
      <c r="F803" s="399" t="str">
        <f t="shared" si="131"/>
        <v>Input Option</v>
      </c>
      <c r="G803" s="400">
        <f t="shared" si="129"/>
        <v>20</v>
      </c>
      <c r="H803" s="399" t="str">
        <f t="shared" si="132"/>
        <v>Drug form</v>
      </c>
      <c r="I803" s="400"/>
      <c r="J803" s="400"/>
      <c r="K803" s="402" t="s">
        <v>9140</v>
      </c>
      <c r="L803" s="402" t="s">
        <v>961</v>
      </c>
      <c r="M803" s="400"/>
      <c r="N803" s="639" t="s">
        <v>9141</v>
      </c>
      <c r="O803" s="636" t="s">
        <v>9362</v>
      </c>
      <c r="P803" s="636"/>
      <c r="Q803" s="636"/>
      <c r="R803" s="414"/>
      <c r="S803" s="636"/>
      <c r="T803" s="636"/>
      <c r="U803" s="636"/>
      <c r="V803" s="414" t="s">
        <v>9363</v>
      </c>
      <c r="W803" s="404"/>
      <c r="X803" s="636" t="s">
        <v>208</v>
      </c>
      <c r="Y803" s="636"/>
      <c r="Z803" s="407" t="s">
        <v>113</v>
      </c>
      <c r="AA803" s="407" t="s">
        <v>1889</v>
      </c>
      <c r="AB803" s="629"/>
      <c r="AC803" s="636"/>
      <c r="AD803" s="636"/>
      <c r="AE803" s="629"/>
      <c r="AF803" s="636"/>
      <c r="AG803" s="750" t="s">
        <v>6102</v>
      </c>
      <c r="AH803" s="399"/>
      <c r="AI803" s="400"/>
      <c r="AJ803" s="399" t="s">
        <v>1787</v>
      </c>
      <c r="AK803" s="399"/>
      <c r="AL803" s="409" t="s">
        <v>3218</v>
      </c>
      <c r="AM803" s="409"/>
      <c r="AN803" s="409" t="s">
        <v>3218</v>
      </c>
      <c r="AO803" s="399" t="s">
        <v>1787</v>
      </c>
      <c r="AP803" s="399"/>
      <c r="AQ803" s="409" t="s">
        <v>3130</v>
      </c>
      <c r="AR803" s="399"/>
      <c r="AS803" s="399"/>
      <c r="AT803" s="399"/>
      <c r="AU803" s="399"/>
      <c r="AV803" s="399" t="str">
        <f t="shared" si="123"/>
        <v/>
      </c>
      <c r="AW803" s="399"/>
      <c r="AX803" s="409" t="s">
        <v>5194</v>
      </c>
      <c r="AY803" s="399" t="e">
        <f t="shared" ca="1" si="124"/>
        <v>#NAME?</v>
      </c>
      <c r="AZ803" s="399"/>
      <c r="BA803" s="409" t="s">
        <v>3125</v>
      </c>
      <c r="BB803" s="399"/>
      <c r="BC803" s="399" t="s">
        <v>1787</v>
      </c>
      <c r="BD803" s="409" t="s">
        <v>3162</v>
      </c>
      <c r="BE803" s="411"/>
      <c r="BF803" s="411" t="s">
        <v>1787</v>
      </c>
      <c r="BG803" s="418" t="s">
        <v>9364</v>
      </c>
      <c r="BH803" s="411"/>
      <c r="BI803" s="411"/>
      <c r="BJ803" s="399" t="s">
        <v>1787</v>
      </c>
      <c r="BK803" s="399" t="s">
        <v>1787</v>
      </c>
      <c r="BL803" s="399"/>
      <c r="BM803" s="399" t="s">
        <v>1787</v>
      </c>
      <c r="BN803" s="399" t="s">
        <v>1787</v>
      </c>
      <c r="BO803" s="399" t="s">
        <v>1787</v>
      </c>
      <c r="BP803" s="399" t="s">
        <v>1787</v>
      </c>
      <c r="BQ803" s="399" t="s">
        <v>1787</v>
      </c>
      <c r="BR803" s="399" t="s">
        <v>1787</v>
      </c>
      <c r="BS803" s="407"/>
      <c r="BT803" s="407"/>
      <c r="BU803" s="412"/>
      <c r="BV803" s="46" t="str">
        <f t="shared" si="8"/>
        <v/>
      </c>
      <c r="BW803" s="46">
        <f t="shared" si="9"/>
        <v>0</v>
      </c>
      <c r="BX803" s="46">
        <f t="shared" si="10"/>
        <v>0</v>
      </c>
      <c r="BY803" s="43" t="str">
        <f t="shared" si="11"/>
        <v>WHO-STI Medication</v>
      </c>
      <c r="BZ803" s="46">
        <f t="shared" si="12"/>
        <v>1</v>
      </c>
      <c r="CA803" s="46" t="str">
        <f t="shared" si="13"/>
        <v/>
      </c>
      <c r="CB803" s="46">
        <f t="shared" si="14"/>
        <v>1</v>
      </c>
      <c r="CC803" s="46">
        <f t="shared" si="15"/>
        <v>1</v>
      </c>
      <c r="CD803" s="46">
        <f t="shared" si="16"/>
        <v>1</v>
      </c>
      <c r="CE803" s="46">
        <f t="shared" si="17"/>
        <v>0</v>
      </c>
      <c r="CF803" s="46">
        <f t="shared" si="18"/>
        <v>0</v>
      </c>
      <c r="CG803" s="46" t="str">
        <f ca="1">IFERROR(__xludf.DUMMYFUNCTION("if(OR(BH803="""",LEFT(BH803,2)=""LA""),"""",IMPORTXML(CONCATENATE(""https://loinc.org/"",BH803,""/""),""//span[@id='lcn']""))"),"")</f>
        <v/>
      </c>
      <c r="CH803" s="46"/>
      <c r="CI803" s="46"/>
      <c r="CJ803" s="46"/>
      <c r="CK803" s="46"/>
      <c r="CL803" s="46"/>
      <c r="CM803" s="46"/>
      <c r="CN803" s="46"/>
      <c r="CO803" s="46"/>
      <c r="CP803" s="46"/>
      <c r="CQ803" s="46"/>
      <c r="CR803" s="46"/>
      <c r="CS803" s="46"/>
      <c r="CT803" s="46"/>
      <c r="CU803" s="46"/>
    </row>
    <row r="804" spans="1:99" ht="12.75" customHeight="1">
      <c r="A804" s="409">
        <v>2244</v>
      </c>
      <c r="B804" s="399" t="s">
        <v>9365</v>
      </c>
      <c r="C804" s="399">
        <f t="shared" si="117"/>
        <v>2244</v>
      </c>
      <c r="D804" s="399" t="e">
        <f t="shared" ca="1" si="118"/>
        <v>#NAME?</v>
      </c>
      <c r="E804" s="399" t="str">
        <f t="shared" si="119"/>
        <v>vaginal tablet</v>
      </c>
      <c r="F804" s="399" t="str">
        <f t="shared" si="131"/>
        <v>Input Option</v>
      </c>
      <c r="G804" s="400">
        <f t="shared" si="129"/>
        <v>21</v>
      </c>
      <c r="H804" s="399" t="str">
        <f t="shared" si="132"/>
        <v>Drug form</v>
      </c>
      <c r="I804" s="400"/>
      <c r="J804" s="400"/>
      <c r="K804" s="402" t="s">
        <v>9140</v>
      </c>
      <c r="L804" s="402" t="s">
        <v>961</v>
      </c>
      <c r="M804" s="400"/>
      <c r="N804" s="639" t="s">
        <v>9141</v>
      </c>
      <c r="O804" s="636" t="s">
        <v>9366</v>
      </c>
      <c r="P804" s="636"/>
      <c r="Q804" s="636"/>
      <c r="R804" s="414"/>
      <c r="S804" s="636"/>
      <c r="T804" s="636"/>
      <c r="U804" s="636"/>
      <c r="V804" s="414" t="s">
        <v>9367</v>
      </c>
      <c r="W804" s="404"/>
      <c r="X804" s="636" t="s">
        <v>208</v>
      </c>
      <c r="Y804" s="636"/>
      <c r="Z804" s="407" t="s">
        <v>113</v>
      </c>
      <c r="AA804" s="407" t="s">
        <v>1889</v>
      </c>
      <c r="AB804" s="629"/>
      <c r="AC804" s="636"/>
      <c r="AD804" s="636"/>
      <c r="AE804" s="629"/>
      <c r="AF804" s="636"/>
      <c r="AG804" s="750" t="s">
        <v>6102</v>
      </c>
      <c r="AH804" s="399"/>
      <c r="AI804" s="400"/>
      <c r="AJ804" s="399" t="s">
        <v>1787</v>
      </c>
      <c r="AK804" s="399"/>
      <c r="AL804" s="409" t="s">
        <v>3218</v>
      </c>
      <c r="AM804" s="409"/>
      <c r="AN804" s="409" t="s">
        <v>3218</v>
      </c>
      <c r="AO804" s="399" t="s">
        <v>1787</v>
      </c>
      <c r="AP804" s="399"/>
      <c r="AQ804" s="409" t="s">
        <v>3130</v>
      </c>
      <c r="AR804" s="399"/>
      <c r="AS804" s="399"/>
      <c r="AT804" s="399"/>
      <c r="AU804" s="399"/>
      <c r="AV804" s="399" t="str">
        <f t="shared" si="123"/>
        <v/>
      </c>
      <c r="AW804" s="399"/>
      <c r="AX804" s="409" t="s">
        <v>5194</v>
      </c>
      <c r="AY804" s="399" t="e">
        <f t="shared" ca="1" si="124"/>
        <v>#NAME?</v>
      </c>
      <c r="AZ804" s="399"/>
      <c r="BA804" s="409" t="s">
        <v>3125</v>
      </c>
      <c r="BB804" s="399"/>
      <c r="BC804" s="399" t="s">
        <v>1787</v>
      </c>
      <c r="BD804" s="409" t="s">
        <v>3162</v>
      </c>
      <c r="BE804" s="411"/>
      <c r="BF804" s="411" t="s">
        <v>1787</v>
      </c>
      <c r="BG804" s="434" t="s">
        <v>9368</v>
      </c>
      <c r="BH804" s="411"/>
      <c r="BI804" s="411"/>
      <c r="BJ804" s="399" t="s">
        <v>1787</v>
      </c>
      <c r="BK804" s="399" t="s">
        <v>1787</v>
      </c>
      <c r="BL804" s="399"/>
      <c r="BM804" s="399" t="s">
        <v>1787</v>
      </c>
      <c r="BN804" s="399" t="s">
        <v>1787</v>
      </c>
      <c r="BO804" s="399" t="s">
        <v>1787</v>
      </c>
      <c r="BP804" s="399" t="s">
        <v>1787</v>
      </c>
      <c r="BQ804" s="399" t="s">
        <v>1787</v>
      </c>
      <c r="BR804" s="399" t="s">
        <v>1787</v>
      </c>
      <c r="BS804" s="407"/>
      <c r="BT804" s="407"/>
      <c r="BU804" s="412"/>
      <c r="BV804" s="46" t="str">
        <f t="shared" si="8"/>
        <v/>
      </c>
      <c r="BW804" s="46">
        <f t="shared" si="9"/>
        <v>0</v>
      </c>
      <c r="BX804" s="46">
        <f t="shared" si="10"/>
        <v>0</v>
      </c>
      <c r="BY804" s="43" t="str">
        <f t="shared" si="11"/>
        <v>WHO-STI Medication</v>
      </c>
      <c r="BZ804" s="46">
        <f t="shared" si="12"/>
        <v>1</v>
      </c>
      <c r="CA804" s="46" t="str">
        <f t="shared" si="13"/>
        <v/>
      </c>
      <c r="CB804" s="46">
        <f t="shared" si="14"/>
        <v>1</v>
      </c>
      <c r="CC804" s="46">
        <f t="shared" si="15"/>
        <v>1</v>
      </c>
      <c r="CD804" s="46">
        <f t="shared" si="16"/>
        <v>1</v>
      </c>
      <c r="CE804" s="46">
        <f t="shared" si="17"/>
        <v>0</v>
      </c>
      <c r="CF804" s="46">
        <f t="shared" si="18"/>
        <v>0</v>
      </c>
      <c r="CG804" s="46" t="str">
        <f ca="1">IFERROR(__xludf.DUMMYFUNCTION("if(OR(BH804="""",LEFT(BH804,2)=""LA""),"""",IMPORTXML(CONCATENATE(""https://loinc.org/"",BH804,""/""),""//span[@id='lcn']""))"),"")</f>
        <v/>
      </c>
      <c r="CH804" s="46"/>
      <c r="CI804" s="46"/>
      <c r="CJ804" s="46"/>
      <c r="CK804" s="46"/>
      <c r="CL804" s="46"/>
      <c r="CM804" s="46"/>
      <c r="CN804" s="46"/>
      <c r="CO804" s="46"/>
      <c r="CP804" s="46"/>
      <c r="CQ804" s="46"/>
      <c r="CR804" s="46"/>
      <c r="CS804" s="46"/>
      <c r="CT804" s="46"/>
      <c r="CU804" s="46"/>
    </row>
    <row r="805" spans="1:99" ht="12.75" customHeight="1">
      <c r="A805" s="409">
        <v>2245</v>
      </c>
      <c r="B805" s="399" t="s">
        <v>9369</v>
      </c>
      <c r="C805" s="399">
        <f t="shared" si="117"/>
        <v>2245</v>
      </c>
      <c r="D805" s="399" t="e">
        <f t="shared" ca="1" si="118"/>
        <v>#NAME?</v>
      </c>
      <c r="E805" s="399" t="str">
        <f t="shared" si="119"/>
        <v>eye ointment</v>
      </c>
      <c r="F805" s="399" t="str">
        <f t="shared" si="131"/>
        <v>Input Option</v>
      </c>
      <c r="G805" s="400">
        <f t="shared" si="129"/>
        <v>19</v>
      </c>
      <c r="H805" s="399" t="str">
        <f t="shared" si="132"/>
        <v>Drug form</v>
      </c>
      <c r="I805" s="400"/>
      <c r="J805" s="400"/>
      <c r="K805" s="402" t="s">
        <v>9140</v>
      </c>
      <c r="L805" s="402" t="s">
        <v>961</v>
      </c>
      <c r="M805" s="400"/>
      <c r="N805" s="639" t="s">
        <v>9141</v>
      </c>
      <c r="O805" s="636" t="s">
        <v>9370</v>
      </c>
      <c r="P805" s="636"/>
      <c r="Q805" s="636"/>
      <c r="R805" s="414"/>
      <c r="S805" s="636"/>
      <c r="T805" s="636"/>
      <c r="U805" s="636"/>
      <c r="V805" s="414" t="s">
        <v>9371</v>
      </c>
      <c r="W805" s="404"/>
      <c r="X805" s="636" t="s">
        <v>208</v>
      </c>
      <c r="Y805" s="636"/>
      <c r="Z805" s="407" t="s">
        <v>113</v>
      </c>
      <c r="AA805" s="407" t="s">
        <v>1889</v>
      </c>
      <c r="AB805" s="629"/>
      <c r="AC805" s="636"/>
      <c r="AD805" s="636"/>
      <c r="AE805" s="629"/>
      <c r="AF805" s="636"/>
      <c r="AG805" s="750" t="s">
        <v>6102</v>
      </c>
      <c r="AH805" s="399"/>
      <c r="AI805" s="400"/>
      <c r="AJ805" s="399" t="s">
        <v>1787</v>
      </c>
      <c r="AK805" s="399"/>
      <c r="AL805" s="409" t="s">
        <v>3218</v>
      </c>
      <c r="AM805" s="409"/>
      <c r="AN805" s="409" t="s">
        <v>3218</v>
      </c>
      <c r="AO805" s="399" t="s">
        <v>1787</v>
      </c>
      <c r="AP805" s="399"/>
      <c r="AQ805" s="409" t="s">
        <v>3130</v>
      </c>
      <c r="AR805" s="399"/>
      <c r="AS805" s="399"/>
      <c r="AT805" s="399"/>
      <c r="AU805" s="399"/>
      <c r="AV805" s="399" t="str">
        <f t="shared" si="123"/>
        <v/>
      </c>
      <c r="AW805" s="399"/>
      <c r="AX805" s="409" t="s">
        <v>5194</v>
      </c>
      <c r="AY805" s="399" t="e">
        <f t="shared" ca="1" si="124"/>
        <v>#NAME?</v>
      </c>
      <c r="AZ805" s="399"/>
      <c r="BA805" s="409" t="s">
        <v>3125</v>
      </c>
      <c r="BB805" s="399"/>
      <c r="BC805" s="399" t="s">
        <v>1787</v>
      </c>
      <c r="BD805" s="409" t="s">
        <v>3162</v>
      </c>
      <c r="BE805" s="411"/>
      <c r="BF805" s="411" t="s">
        <v>1787</v>
      </c>
      <c r="BG805" s="434" t="s">
        <v>9372</v>
      </c>
      <c r="BH805" s="411"/>
      <c r="BI805" s="411"/>
      <c r="BJ805" s="399" t="s">
        <v>1787</v>
      </c>
      <c r="BK805" s="399" t="s">
        <v>1787</v>
      </c>
      <c r="BL805" s="399"/>
      <c r="BM805" s="399" t="s">
        <v>1787</v>
      </c>
      <c r="BN805" s="399" t="s">
        <v>1787</v>
      </c>
      <c r="BO805" s="399" t="s">
        <v>1787</v>
      </c>
      <c r="BP805" s="399" t="s">
        <v>1787</v>
      </c>
      <c r="BQ805" s="399" t="s">
        <v>1787</v>
      </c>
      <c r="BR805" s="399" t="s">
        <v>1787</v>
      </c>
      <c r="BS805" s="407"/>
      <c r="BT805" s="407"/>
      <c r="BU805" s="412"/>
      <c r="BV805" s="46" t="str">
        <f t="shared" si="8"/>
        <v/>
      </c>
      <c r="BW805" s="46">
        <f t="shared" si="9"/>
        <v>0</v>
      </c>
      <c r="BX805" s="46">
        <f t="shared" si="10"/>
        <v>0</v>
      </c>
      <c r="BY805" s="43" t="str">
        <f t="shared" si="11"/>
        <v>WHO-STI Medication</v>
      </c>
      <c r="BZ805" s="46">
        <f t="shared" si="12"/>
        <v>1</v>
      </c>
      <c r="CA805" s="46" t="str">
        <f t="shared" si="13"/>
        <v/>
      </c>
      <c r="CB805" s="46">
        <f t="shared" si="14"/>
        <v>1</v>
      </c>
      <c r="CC805" s="46">
        <f t="shared" si="15"/>
        <v>1</v>
      </c>
      <c r="CD805" s="46">
        <f t="shared" si="16"/>
        <v>1</v>
      </c>
      <c r="CE805" s="46">
        <f t="shared" si="17"/>
        <v>0</v>
      </c>
      <c r="CF805" s="46">
        <f t="shared" si="18"/>
        <v>0</v>
      </c>
      <c r="CG805" s="46" t="str">
        <f ca="1">IFERROR(__xludf.DUMMYFUNCTION("if(OR(BH805="""",LEFT(BH805,2)=""LA""),"""",IMPORTXML(CONCATENATE(""https://loinc.org/"",BH805,""/""),""//span[@id='lcn']""))"),"")</f>
        <v/>
      </c>
      <c r="CH805" s="46"/>
      <c r="CI805" s="46"/>
      <c r="CJ805" s="46"/>
      <c r="CK805" s="46"/>
      <c r="CL805" s="46"/>
      <c r="CM805" s="46"/>
      <c r="CN805" s="46"/>
      <c r="CO805" s="46"/>
      <c r="CP805" s="46"/>
      <c r="CQ805" s="46"/>
      <c r="CR805" s="46"/>
      <c r="CS805" s="46"/>
      <c r="CT805" s="46"/>
      <c r="CU805" s="46"/>
    </row>
    <row r="806" spans="1:99" ht="12.75" customHeight="1">
      <c r="A806" s="409">
        <v>2246</v>
      </c>
      <c r="B806" s="399" t="s">
        <v>9373</v>
      </c>
      <c r="C806" s="399">
        <f t="shared" si="117"/>
        <v>2246</v>
      </c>
      <c r="D806" s="399" t="e">
        <f t="shared" ca="1" si="118"/>
        <v>#NAME?</v>
      </c>
      <c r="E806" s="399" t="str">
        <f t="shared" si="119"/>
        <v>intravaginally</v>
      </c>
      <c r="F806" s="399" t="str">
        <f t="shared" si="131"/>
        <v>Input Option</v>
      </c>
      <c r="G806" s="400">
        <f t="shared" si="129"/>
        <v>21</v>
      </c>
      <c r="H806" s="399" t="str">
        <f t="shared" si="132"/>
        <v>Drug form</v>
      </c>
      <c r="I806" s="400"/>
      <c r="J806" s="400"/>
      <c r="K806" s="402" t="s">
        <v>9140</v>
      </c>
      <c r="L806" s="402" t="s">
        <v>961</v>
      </c>
      <c r="M806" s="400"/>
      <c r="N806" s="639" t="s">
        <v>9141</v>
      </c>
      <c r="O806" s="636" t="s">
        <v>9374</v>
      </c>
      <c r="P806" s="636"/>
      <c r="Q806" s="636"/>
      <c r="R806" s="414"/>
      <c r="S806" s="636"/>
      <c r="T806" s="636"/>
      <c r="U806" s="636"/>
      <c r="V806" s="414" t="s">
        <v>9375</v>
      </c>
      <c r="W806" s="404"/>
      <c r="X806" s="636" t="s">
        <v>208</v>
      </c>
      <c r="Y806" s="636"/>
      <c r="Z806" s="407" t="s">
        <v>113</v>
      </c>
      <c r="AA806" s="407" t="s">
        <v>1889</v>
      </c>
      <c r="AB806" s="629"/>
      <c r="AC806" s="636"/>
      <c r="AD806" s="636"/>
      <c r="AE806" s="629"/>
      <c r="AF806" s="636"/>
      <c r="AG806" s="750" t="s">
        <v>6102</v>
      </c>
      <c r="AH806" s="399"/>
      <c r="AI806" s="400"/>
      <c r="AJ806" s="399" t="s">
        <v>1787</v>
      </c>
      <c r="AK806" s="399"/>
      <c r="AL806" s="409" t="s">
        <v>3218</v>
      </c>
      <c r="AM806" s="409"/>
      <c r="AN806" s="409" t="s">
        <v>3218</v>
      </c>
      <c r="AO806" s="399" t="s">
        <v>1787</v>
      </c>
      <c r="AP806" s="399"/>
      <c r="AQ806" s="409" t="s">
        <v>3130</v>
      </c>
      <c r="AR806" s="399"/>
      <c r="AS806" s="399"/>
      <c r="AT806" s="399"/>
      <c r="AU806" s="399"/>
      <c r="AV806" s="399" t="str">
        <f t="shared" si="123"/>
        <v/>
      </c>
      <c r="AW806" s="399"/>
      <c r="AX806" s="409" t="s">
        <v>5194</v>
      </c>
      <c r="AY806" s="399" t="e">
        <f t="shared" ca="1" si="124"/>
        <v>#NAME?</v>
      </c>
      <c r="AZ806" s="399"/>
      <c r="BA806" s="409" t="s">
        <v>3125</v>
      </c>
      <c r="BB806" s="399"/>
      <c r="BC806" s="399" t="s">
        <v>1787</v>
      </c>
      <c r="BD806" s="409" t="s">
        <v>3162</v>
      </c>
      <c r="BE806" s="411"/>
      <c r="BF806" s="411" t="s">
        <v>1787</v>
      </c>
      <c r="BG806" s="418" t="s">
        <v>9376</v>
      </c>
      <c r="BH806" s="411"/>
      <c r="BI806" s="411"/>
      <c r="BJ806" s="399" t="s">
        <v>1787</v>
      </c>
      <c r="BK806" s="409"/>
      <c r="BL806" s="409"/>
      <c r="BM806" s="409" t="s">
        <v>9377</v>
      </c>
      <c r="BN806" s="399" t="s">
        <v>1787</v>
      </c>
      <c r="BO806" s="399" t="s">
        <v>1787</v>
      </c>
      <c r="BP806" s="399" t="s">
        <v>1787</v>
      </c>
      <c r="BQ806" s="399" t="s">
        <v>1787</v>
      </c>
      <c r="BR806" s="399" t="s">
        <v>1787</v>
      </c>
      <c r="BS806" s="407"/>
      <c r="BT806" s="407"/>
      <c r="BU806" s="412"/>
      <c r="BV806" s="46" t="str">
        <f t="shared" si="8"/>
        <v/>
      </c>
      <c r="BW806" s="46">
        <f t="shared" si="9"/>
        <v>0</v>
      </c>
      <c r="BX806" s="46">
        <f t="shared" si="10"/>
        <v>0</v>
      </c>
      <c r="BY806" s="43" t="str">
        <f t="shared" si="11"/>
        <v>WHO-STI Medication</v>
      </c>
      <c r="BZ806" s="46">
        <f t="shared" si="12"/>
        <v>1</v>
      </c>
      <c r="CA806" s="46" t="str">
        <f t="shared" si="13"/>
        <v/>
      </c>
      <c r="CB806" s="46">
        <f t="shared" si="14"/>
        <v>1</v>
      </c>
      <c r="CC806" s="46">
        <f t="shared" si="15"/>
        <v>1</v>
      </c>
      <c r="CD806" s="46">
        <f t="shared" si="16"/>
        <v>1</v>
      </c>
      <c r="CE806" s="46">
        <f t="shared" si="17"/>
        <v>0</v>
      </c>
      <c r="CF806" s="46">
        <f t="shared" si="18"/>
        <v>0</v>
      </c>
      <c r="CG806" s="46" t="str">
        <f ca="1">IFERROR(__xludf.DUMMYFUNCTION("if(OR(BH806="""",LEFT(BH806,2)=""LA""),"""",IMPORTXML(CONCATENATE(""https://loinc.org/"",BH806,""/""),""//span[@id='lcn']""))"),"")</f>
        <v/>
      </c>
      <c r="CH806" s="46"/>
      <c r="CI806" s="46"/>
      <c r="CJ806" s="46"/>
      <c r="CK806" s="46"/>
      <c r="CL806" s="46"/>
      <c r="CM806" s="46"/>
      <c r="CN806" s="46"/>
      <c r="CO806" s="46"/>
      <c r="CP806" s="46"/>
      <c r="CQ806" s="46"/>
      <c r="CR806" s="46"/>
      <c r="CS806" s="46"/>
      <c r="CT806" s="46"/>
      <c r="CU806" s="46"/>
    </row>
    <row r="807" spans="1:99" ht="12.75" customHeight="1">
      <c r="A807" s="409">
        <v>2247</v>
      </c>
      <c r="B807" s="399" t="s">
        <v>9365</v>
      </c>
      <c r="C807" s="399">
        <f t="shared" si="117"/>
        <v>2247</v>
      </c>
      <c r="D807" s="399" t="e">
        <f t="shared" ca="1" si="118"/>
        <v>#NAME?</v>
      </c>
      <c r="E807" s="399" t="str">
        <f t="shared" si="119"/>
        <v>vaginal tablet</v>
      </c>
      <c r="F807" s="399" t="str">
        <f t="shared" si="131"/>
        <v>Input Option</v>
      </c>
      <c r="G807" s="400">
        <f t="shared" si="129"/>
        <v>21</v>
      </c>
      <c r="H807" s="399" t="str">
        <f t="shared" si="132"/>
        <v>Drug form</v>
      </c>
      <c r="I807" s="400"/>
      <c r="J807" s="400"/>
      <c r="K807" s="402" t="s">
        <v>9140</v>
      </c>
      <c r="L807" s="402" t="s">
        <v>961</v>
      </c>
      <c r="M807" s="400"/>
      <c r="N807" s="639" t="s">
        <v>9141</v>
      </c>
      <c r="O807" s="636" t="s">
        <v>9378</v>
      </c>
      <c r="P807" s="636"/>
      <c r="Q807" s="636"/>
      <c r="R807" s="414"/>
      <c r="S807" s="636"/>
      <c r="T807" s="636"/>
      <c r="U807" s="636"/>
      <c r="V807" s="414" t="s">
        <v>9367</v>
      </c>
      <c r="W807" s="407"/>
      <c r="X807" s="636" t="s">
        <v>208</v>
      </c>
      <c r="Y807" s="636"/>
      <c r="Z807" s="407" t="s">
        <v>113</v>
      </c>
      <c r="AA807" s="407" t="s">
        <v>1889</v>
      </c>
      <c r="AB807" s="629"/>
      <c r="AC807" s="636"/>
      <c r="AD807" s="636"/>
      <c r="AE807" s="629"/>
      <c r="AF807" s="636"/>
      <c r="AG807" s="750" t="s">
        <v>6102</v>
      </c>
      <c r="AH807" s="399"/>
      <c r="AI807" s="400"/>
      <c r="AJ807" s="399" t="s">
        <v>1787</v>
      </c>
      <c r="AK807" s="399"/>
      <c r="AL807" s="409" t="s">
        <v>3218</v>
      </c>
      <c r="AM807" s="409"/>
      <c r="AN807" s="409" t="s">
        <v>3218</v>
      </c>
      <c r="AO807" s="399" t="s">
        <v>1787</v>
      </c>
      <c r="AP807" s="399"/>
      <c r="AQ807" s="409" t="s">
        <v>3130</v>
      </c>
      <c r="AR807" s="399"/>
      <c r="AS807" s="399"/>
      <c r="AT807" s="399"/>
      <c r="AU807" s="399"/>
      <c r="AV807" s="399" t="str">
        <f t="shared" si="123"/>
        <v/>
      </c>
      <c r="AW807" s="399"/>
      <c r="AX807" s="409" t="s">
        <v>5194</v>
      </c>
      <c r="AY807" s="399" t="e">
        <f t="shared" ca="1" si="124"/>
        <v>#NAME?</v>
      </c>
      <c r="AZ807" s="399"/>
      <c r="BA807" s="409" t="s">
        <v>3125</v>
      </c>
      <c r="BB807" s="399"/>
      <c r="BC807" s="399" t="s">
        <v>1787</v>
      </c>
      <c r="BD807" s="409" t="s">
        <v>3162</v>
      </c>
      <c r="BE807" s="411"/>
      <c r="BF807" s="411" t="s">
        <v>1787</v>
      </c>
      <c r="BG807" s="434" t="s">
        <v>9368</v>
      </c>
      <c r="BH807" s="411"/>
      <c r="BI807" s="411"/>
      <c r="BJ807" s="399" t="s">
        <v>1787</v>
      </c>
      <c r="BK807" s="399" t="s">
        <v>1787</v>
      </c>
      <c r="BL807" s="399"/>
      <c r="BM807" s="399" t="s">
        <v>1787</v>
      </c>
      <c r="BN807" s="399" t="s">
        <v>1787</v>
      </c>
      <c r="BO807" s="399" t="s">
        <v>1787</v>
      </c>
      <c r="BP807" s="399" t="s">
        <v>1787</v>
      </c>
      <c r="BQ807" s="399" t="s">
        <v>1787</v>
      </c>
      <c r="BR807" s="399" t="s">
        <v>1787</v>
      </c>
      <c r="BS807" s="407"/>
      <c r="BT807" s="407"/>
      <c r="BU807" s="412"/>
      <c r="BV807" s="46" t="str">
        <f t="shared" si="8"/>
        <v/>
      </c>
      <c r="BW807" s="46">
        <f t="shared" si="9"/>
        <v>0</v>
      </c>
      <c r="BX807" s="46">
        <f t="shared" si="10"/>
        <v>0</v>
      </c>
      <c r="BY807" s="43" t="str">
        <f t="shared" si="11"/>
        <v>WHO-STI Medication</v>
      </c>
      <c r="BZ807" s="46">
        <f t="shared" si="12"/>
        <v>1</v>
      </c>
      <c r="CA807" s="46" t="str">
        <f t="shared" si="13"/>
        <v/>
      </c>
      <c r="CB807" s="46">
        <f t="shared" si="14"/>
        <v>1</v>
      </c>
      <c r="CC807" s="46">
        <f t="shared" si="15"/>
        <v>1</v>
      </c>
      <c r="CD807" s="46">
        <f t="shared" si="16"/>
        <v>1</v>
      </c>
      <c r="CE807" s="46">
        <f t="shared" si="17"/>
        <v>0</v>
      </c>
      <c r="CF807" s="46">
        <f t="shared" si="18"/>
        <v>0</v>
      </c>
      <c r="CG807" s="46" t="str">
        <f ca="1">IFERROR(__xludf.DUMMYFUNCTION("if(OR(BH807="""",LEFT(BH807,2)=""LA""),"""",IMPORTXML(CONCATENATE(""https://loinc.org/"",BH807,""/""),""//span[@id='lcn']""))"),"")</f>
        <v/>
      </c>
      <c r="CH807" s="46"/>
      <c r="CI807" s="46"/>
      <c r="CJ807" s="46"/>
      <c r="CK807" s="46"/>
      <c r="CL807" s="46"/>
      <c r="CM807" s="46"/>
      <c r="CN807" s="46"/>
      <c r="CO807" s="46"/>
      <c r="CP807" s="46"/>
      <c r="CQ807" s="46"/>
      <c r="CR807" s="46"/>
      <c r="CS807" s="46"/>
      <c r="CT807" s="46"/>
      <c r="CU807" s="46"/>
    </row>
    <row r="808" spans="1:99" ht="12.75" customHeight="1">
      <c r="A808" s="409">
        <v>2248</v>
      </c>
      <c r="B808" s="399" t="s">
        <v>9379</v>
      </c>
      <c r="C808" s="399">
        <f t="shared" si="117"/>
        <v>2248</v>
      </c>
      <c r="D808" s="399" t="e">
        <f t="shared" ca="1" si="118"/>
        <v>#NAME?</v>
      </c>
      <c r="E808" s="399" t="str">
        <f t="shared" si="119"/>
        <v>cream</v>
      </c>
      <c r="F808" s="399" t="str">
        <f t="shared" si="131"/>
        <v>Input Option</v>
      </c>
      <c r="G808" s="400">
        <f t="shared" si="129"/>
        <v>12</v>
      </c>
      <c r="H808" s="399" t="str">
        <f t="shared" si="132"/>
        <v>Drug form</v>
      </c>
      <c r="I808" s="400"/>
      <c r="J808" s="400"/>
      <c r="K808" s="402" t="s">
        <v>9140</v>
      </c>
      <c r="L808" s="402" t="s">
        <v>961</v>
      </c>
      <c r="M808" s="400"/>
      <c r="N808" s="639" t="s">
        <v>9141</v>
      </c>
      <c r="O808" s="636" t="s">
        <v>9380</v>
      </c>
      <c r="P808" s="636"/>
      <c r="Q808" s="636"/>
      <c r="R808" s="414"/>
      <c r="S808" s="636"/>
      <c r="T808" s="636"/>
      <c r="U808" s="636"/>
      <c r="V808" s="414" t="s">
        <v>9381</v>
      </c>
      <c r="W808" s="407"/>
      <c r="X808" s="636" t="s">
        <v>208</v>
      </c>
      <c r="Y808" s="636"/>
      <c r="Z808" s="407" t="s">
        <v>113</v>
      </c>
      <c r="AA808" s="407" t="s">
        <v>1889</v>
      </c>
      <c r="AB808" s="629"/>
      <c r="AC808" s="636"/>
      <c r="AD808" s="636"/>
      <c r="AE808" s="629"/>
      <c r="AF808" s="636"/>
      <c r="AG808" s="414"/>
      <c r="AH808" s="399"/>
      <c r="AI808" s="400"/>
      <c r="AJ808" s="399" t="s">
        <v>1787</v>
      </c>
      <c r="AK808" s="399"/>
      <c r="AL808" s="409" t="s">
        <v>3218</v>
      </c>
      <c r="AM808" s="409"/>
      <c r="AN808" s="409" t="s">
        <v>3218</v>
      </c>
      <c r="AO808" s="399" t="s">
        <v>1787</v>
      </c>
      <c r="AP808" s="399"/>
      <c r="AQ808" s="409" t="s">
        <v>3130</v>
      </c>
      <c r="AR808" s="399"/>
      <c r="AS808" s="399"/>
      <c r="AT808" s="399"/>
      <c r="AU808" s="399"/>
      <c r="AV808" s="399" t="str">
        <f t="shared" si="123"/>
        <v/>
      </c>
      <c r="AW808" s="399"/>
      <c r="AX808" s="409" t="s">
        <v>5194</v>
      </c>
      <c r="AY808" s="399" t="e">
        <f t="shared" ca="1" si="124"/>
        <v>#NAME?</v>
      </c>
      <c r="AZ808" s="399"/>
      <c r="BA808" s="409" t="s">
        <v>3125</v>
      </c>
      <c r="BB808" s="399"/>
      <c r="BC808" s="399" t="s">
        <v>1787</v>
      </c>
      <c r="BD808" s="409" t="s">
        <v>3162</v>
      </c>
      <c r="BE808" s="411"/>
      <c r="BF808" s="411" t="s">
        <v>1787</v>
      </c>
      <c r="BG808" s="434" t="s">
        <v>9382</v>
      </c>
      <c r="BH808" s="411"/>
      <c r="BI808" s="411"/>
      <c r="BJ808" s="399" t="s">
        <v>1787</v>
      </c>
      <c r="BK808" s="399" t="s">
        <v>1787</v>
      </c>
      <c r="BL808" s="399"/>
      <c r="BM808" s="399" t="s">
        <v>1787</v>
      </c>
      <c r="BN808" s="399" t="s">
        <v>1787</v>
      </c>
      <c r="BO808" s="399" t="s">
        <v>1787</v>
      </c>
      <c r="BP808" s="399" t="s">
        <v>1787</v>
      </c>
      <c r="BQ808" s="399" t="s">
        <v>1787</v>
      </c>
      <c r="BR808" s="399" t="s">
        <v>1787</v>
      </c>
      <c r="BS808" s="407"/>
      <c r="BT808" s="407"/>
      <c r="BU808" s="412"/>
      <c r="BV808" s="46" t="str">
        <f t="shared" si="8"/>
        <v/>
      </c>
      <c r="BW808" s="46">
        <f t="shared" si="9"/>
        <v>0</v>
      </c>
      <c r="BX808" s="46">
        <f t="shared" si="10"/>
        <v>0</v>
      </c>
      <c r="BY808" s="43" t="str">
        <f t="shared" si="11"/>
        <v>WHO-STI Medication</v>
      </c>
      <c r="BZ808" s="46">
        <f t="shared" si="12"/>
        <v>1</v>
      </c>
      <c r="CA808" s="46" t="str">
        <f t="shared" si="13"/>
        <v/>
      </c>
      <c r="CB808" s="46">
        <f t="shared" si="14"/>
        <v>1</v>
      </c>
      <c r="CC808" s="46">
        <f t="shared" si="15"/>
        <v>1</v>
      </c>
      <c r="CD808" s="46">
        <f t="shared" si="16"/>
        <v>1</v>
      </c>
      <c r="CE808" s="46">
        <f t="shared" si="17"/>
        <v>0</v>
      </c>
      <c r="CF808" s="46">
        <f t="shared" si="18"/>
        <v>0</v>
      </c>
      <c r="CG808" s="46" t="str">
        <f ca="1">IFERROR(__xludf.DUMMYFUNCTION("if(OR(BH808="""",LEFT(BH808,2)=""LA""),"""",IMPORTXML(CONCATENATE(""https://loinc.org/"",BH808,""/""),""//span[@id='lcn']""))"),"")</f>
        <v/>
      </c>
      <c r="CH808" s="46"/>
      <c r="CI808" s="46"/>
      <c r="CJ808" s="46"/>
      <c r="CK808" s="46"/>
      <c r="CL808" s="46"/>
      <c r="CM808" s="46"/>
      <c r="CN808" s="46"/>
      <c r="CO808" s="46"/>
      <c r="CP808" s="46"/>
      <c r="CQ808" s="46"/>
      <c r="CR808" s="46"/>
      <c r="CS808" s="46"/>
      <c r="CT808" s="46"/>
      <c r="CU808" s="46"/>
    </row>
    <row r="809" spans="1:99" ht="12.75" customHeight="1">
      <c r="A809" s="409">
        <v>2249</v>
      </c>
      <c r="B809" s="399" t="s">
        <v>9383</v>
      </c>
      <c r="C809" s="399">
        <f t="shared" si="117"/>
        <v>2249</v>
      </c>
      <c r="D809" s="399" t="e">
        <f t="shared" ca="1" si="118"/>
        <v>#NAME?</v>
      </c>
      <c r="E809" s="399" t="str">
        <f t="shared" si="119"/>
        <v>Vaginal cream</v>
      </c>
      <c r="F809" s="399" t="str">
        <f t="shared" si="131"/>
        <v>Input Option</v>
      </c>
      <c r="G809" s="400">
        <f t="shared" si="129"/>
        <v>20</v>
      </c>
      <c r="H809" s="399" t="str">
        <f t="shared" si="132"/>
        <v>Drug form</v>
      </c>
      <c r="I809" s="400"/>
      <c r="J809" s="400"/>
      <c r="K809" s="402" t="s">
        <v>9140</v>
      </c>
      <c r="L809" s="402" t="s">
        <v>961</v>
      </c>
      <c r="M809" s="400"/>
      <c r="N809" s="639" t="s">
        <v>9141</v>
      </c>
      <c r="O809" s="636" t="s">
        <v>9384</v>
      </c>
      <c r="P809" s="636"/>
      <c r="Q809" s="636"/>
      <c r="R809" s="414"/>
      <c r="S809" s="636"/>
      <c r="T809" s="636"/>
      <c r="U809" s="636"/>
      <c r="V809" s="414" t="s">
        <v>9385</v>
      </c>
      <c r="W809" s="407"/>
      <c r="X809" s="636" t="s">
        <v>208</v>
      </c>
      <c r="Y809" s="636"/>
      <c r="Z809" s="407" t="s">
        <v>113</v>
      </c>
      <c r="AA809" s="407" t="s">
        <v>1889</v>
      </c>
      <c r="AB809" s="629"/>
      <c r="AC809" s="636"/>
      <c r="AD809" s="636"/>
      <c r="AE809" s="629"/>
      <c r="AF809" s="636"/>
      <c r="AG809" s="750" t="s">
        <v>6102</v>
      </c>
      <c r="AH809" s="399"/>
      <c r="AI809" s="400"/>
      <c r="AJ809" s="399" t="s">
        <v>1787</v>
      </c>
      <c r="AK809" s="399"/>
      <c r="AL809" s="409" t="s">
        <v>3218</v>
      </c>
      <c r="AM809" s="409"/>
      <c r="AN809" s="409" t="s">
        <v>3218</v>
      </c>
      <c r="AO809" s="399" t="s">
        <v>1787</v>
      </c>
      <c r="AP809" s="399"/>
      <c r="AQ809" s="409" t="s">
        <v>3130</v>
      </c>
      <c r="AR809" s="399"/>
      <c r="AS809" s="399"/>
      <c r="AT809" s="399"/>
      <c r="AU809" s="399"/>
      <c r="AV809" s="399" t="str">
        <f t="shared" si="123"/>
        <v/>
      </c>
      <c r="AW809" s="399"/>
      <c r="AX809" s="409" t="s">
        <v>5194</v>
      </c>
      <c r="AY809" s="399" t="e">
        <f t="shared" ca="1" si="124"/>
        <v>#NAME?</v>
      </c>
      <c r="AZ809" s="399"/>
      <c r="BA809" s="409" t="s">
        <v>3125</v>
      </c>
      <c r="BB809" s="399"/>
      <c r="BC809" s="399" t="s">
        <v>1787</v>
      </c>
      <c r="BD809" s="409" t="s">
        <v>3162</v>
      </c>
      <c r="BE809" s="411"/>
      <c r="BF809" s="411" t="s">
        <v>1787</v>
      </c>
      <c r="BG809" s="434" t="s">
        <v>9382</v>
      </c>
      <c r="BH809" s="411"/>
      <c r="BI809" s="411"/>
      <c r="BJ809" s="399" t="s">
        <v>1787</v>
      </c>
      <c r="BK809" s="399" t="s">
        <v>1787</v>
      </c>
      <c r="BL809" s="399"/>
      <c r="BM809" s="399" t="s">
        <v>1787</v>
      </c>
      <c r="BN809" s="399" t="s">
        <v>1787</v>
      </c>
      <c r="BO809" s="399" t="s">
        <v>1787</v>
      </c>
      <c r="BP809" s="399" t="s">
        <v>1787</v>
      </c>
      <c r="BQ809" s="399" t="s">
        <v>1787</v>
      </c>
      <c r="BR809" s="399" t="s">
        <v>1787</v>
      </c>
      <c r="BS809" s="407"/>
      <c r="BT809" s="407"/>
      <c r="BU809" s="412"/>
      <c r="BV809" s="46" t="str">
        <f t="shared" si="8"/>
        <v/>
      </c>
      <c r="BW809" s="46">
        <f t="shared" si="9"/>
        <v>0</v>
      </c>
      <c r="BX809" s="46">
        <f t="shared" si="10"/>
        <v>0</v>
      </c>
      <c r="BY809" s="43" t="str">
        <f t="shared" si="11"/>
        <v>WHO-STI Medication</v>
      </c>
      <c r="BZ809" s="46">
        <f t="shared" si="12"/>
        <v>1</v>
      </c>
      <c r="CA809" s="46" t="str">
        <f t="shared" si="13"/>
        <v/>
      </c>
      <c r="CB809" s="46">
        <f t="shared" si="14"/>
        <v>1</v>
      </c>
      <c r="CC809" s="46">
        <f t="shared" si="15"/>
        <v>1</v>
      </c>
      <c r="CD809" s="46">
        <f t="shared" si="16"/>
        <v>1</v>
      </c>
      <c r="CE809" s="46">
        <f t="shared" si="17"/>
        <v>0</v>
      </c>
      <c r="CF809" s="46">
        <f t="shared" si="18"/>
        <v>0</v>
      </c>
      <c r="CG809" s="46" t="str">
        <f ca="1">IFERROR(__xludf.DUMMYFUNCTION("if(OR(BH809="""",LEFT(BH809,2)=""LA""),"""",IMPORTXML(CONCATENATE(""https://loinc.org/"",BH809,""/""),""//span[@id='lcn']""))"),"")</f>
        <v/>
      </c>
      <c r="CH809" s="46"/>
      <c r="CI809" s="46"/>
      <c r="CJ809" s="46"/>
      <c r="CK809" s="46"/>
      <c r="CL809" s="46"/>
      <c r="CM809" s="46"/>
      <c r="CN809" s="46"/>
      <c r="CO809" s="46"/>
      <c r="CP809" s="46"/>
      <c r="CQ809" s="46"/>
      <c r="CR809" s="46"/>
      <c r="CS809" s="46"/>
      <c r="CT809" s="46"/>
      <c r="CU809" s="46"/>
    </row>
    <row r="810" spans="1:99" ht="12.75" customHeight="1">
      <c r="A810" s="409">
        <v>2250</v>
      </c>
      <c r="B810" s="399" t="s">
        <v>9386</v>
      </c>
      <c r="C810" s="399">
        <f t="shared" si="117"/>
        <v>2250</v>
      </c>
      <c r="D810" s="399" t="e">
        <f t="shared" ca="1" si="118"/>
        <v>#NAME?</v>
      </c>
      <c r="E810" s="399" t="str">
        <f t="shared" si="119"/>
        <v>solution</v>
      </c>
      <c r="F810" s="399" t="str">
        <f t="shared" si="131"/>
        <v>Input Option</v>
      </c>
      <c r="G810" s="400">
        <f t="shared" si="129"/>
        <v>15</v>
      </c>
      <c r="H810" s="399" t="str">
        <f t="shared" si="132"/>
        <v>Drug form</v>
      </c>
      <c r="I810" s="400"/>
      <c r="J810" s="400"/>
      <c r="K810" s="402" t="s">
        <v>9140</v>
      </c>
      <c r="L810" s="402" t="s">
        <v>961</v>
      </c>
      <c r="M810" s="400"/>
      <c r="N810" s="639" t="s">
        <v>9141</v>
      </c>
      <c r="O810" s="636" t="s">
        <v>9387</v>
      </c>
      <c r="P810" s="636"/>
      <c r="Q810" s="636"/>
      <c r="R810" s="414"/>
      <c r="S810" s="636"/>
      <c r="T810" s="636"/>
      <c r="U810" s="636"/>
      <c r="V810" s="414" t="s">
        <v>9388</v>
      </c>
      <c r="W810" s="407"/>
      <c r="X810" s="636" t="s">
        <v>208</v>
      </c>
      <c r="Y810" s="636"/>
      <c r="Z810" s="407" t="s">
        <v>113</v>
      </c>
      <c r="AA810" s="407" t="s">
        <v>1889</v>
      </c>
      <c r="AB810" s="629"/>
      <c r="AC810" s="636"/>
      <c r="AD810" s="636"/>
      <c r="AE810" s="629"/>
      <c r="AF810" s="636"/>
      <c r="AG810" s="750" t="s">
        <v>6102</v>
      </c>
      <c r="AH810" s="399"/>
      <c r="AI810" s="400"/>
      <c r="AJ810" s="399" t="s">
        <v>1787</v>
      </c>
      <c r="AK810" s="399"/>
      <c r="AL810" s="409" t="s">
        <v>3218</v>
      </c>
      <c r="AM810" s="409"/>
      <c r="AN810" s="409" t="s">
        <v>3218</v>
      </c>
      <c r="AO810" s="399" t="s">
        <v>1787</v>
      </c>
      <c r="AP810" s="399"/>
      <c r="AQ810" s="409" t="s">
        <v>3130</v>
      </c>
      <c r="AR810" s="399"/>
      <c r="AS810" s="399"/>
      <c r="AT810" s="399"/>
      <c r="AU810" s="399"/>
      <c r="AV810" s="399" t="str">
        <f t="shared" si="123"/>
        <v/>
      </c>
      <c r="AW810" s="399"/>
      <c r="AX810" s="409" t="s">
        <v>5194</v>
      </c>
      <c r="AY810" s="399" t="e">
        <f t="shared" ca="1" si="124"/>
        <v>#NAME?</v>
      </c>
      <c r="AZ810" s="399"/>
      <c r="BA810" s="409" t="s">
        <v>3125</v>
      </c>
      <c r="BB810" s="399"/>
      <c r="BC810" s="399" t="s">
        <v>1787</v>
      </c>
      <c r="BD810" s="409" t="s">
        <v>3162</v>
      </c>
      <c r="BE810" s="411"/>
      <c r="BF810" s="411" t="s">
        <v>1787</v>
      </c>
      <c r="BG810" s="418" t="s">
        <v>9389</v>
      </c>
      <c r="BH810" s="411"/>
      <c r="BI810" s="411"/>
      <c r="BJ810" s="399" t="s">
        <v>1787</v>
      </c>
      <c r="BK810" s="409"/>
      <c r="BL810" s="409"/>
      <c r="BM810" s="435" t="s">
        <v>9390</v>
      </c>
      <c r="BN810" s="399" t="s">
        <v>1787</v>
      </c>
      <c r="BO810" s="399" t="s">
        <v>1787</v>
      </c>
      <c r="BP810" s="399" t="s">
        <v>1787</v>
      </c>
      <c r="BQ810" s="399" t="s">
        <v>1787</v>
      </c>
      <c r="BR810" s="399" t="s">
        <v>1787</v>
      </c>
      <c r="BS810" s="407"/>
      <c r="BT810" s="407"/>
      <c r="BU810" s="412"/>
      <c r="BV810" s="46" t="str">
        <f t="shared" si="8"/>
        <v/>
      </c>
      <c r="BW810" s="46">
        <f t="shared" si="9"/>
        <v>0</v>
      </c>
      <c r="BX810" s="46">
        <f t="shared" si="10"/>
        <v>0</v>
      </c>
      <c r="BY810" s="43" t="str">
        <f t="shared" si="11"/>
        <v>WHO-STI Medication</v>
      </c>
      <c r="BZ810" s="46">
        <f t="shared" si="12"/>
        <v>1</v>
      </c>
      <c r="CA810" s="46" t="str">
        <f t="shared" si="13"/>
        <v/>
      </c>
      <c r="CB810" s="46">
        <f t="shared" si="14"/>
        <v>1</v>
      </c>
      <c r="CC810" s="46">
        <f t="shared" si="15"/>
        <v>1</v>
      </c>
      <c r="CD810" s="46">
        <f t="shared" si="16"/>
        <v>1</v>
      </c>
      <c r="CE810" s="46">
        <f t="shared" si="17"/>
        <v>0</v>
      </c>
      <c r="CF810" s="46">
        <f t="shared" si="18"/>
        <v>0</v>
      </c>
      <c r="CG810" s="46" t="str">
        <f ca="1">IFERROR(__xludf.DUMMYFUNCTION("if(OR(BH810="""",LEFT(BH810,2)=""LA""),"""",IMPORTXML(CONCATENATE(""https://loinc.org/"",BH810,""/""),""//span[@id='lcn']""))"),"")</f>
        <v/>
      </c>
      <c r="CH810" s="46"/>
      <c r="CI810" s="46"/>
      <c r="CJ810" s="46"/>
      <c r="CK810" s="46"/>
      <c r="CL810" s="46"/>
      <c r="CM810" s="46"/>
      <c r="CN810" s="46"/>
      <c r="CO810" s="46"/>
      <c r="CP810" s="46"/>
      <c r="CQ810" s="46"/>
      <c r="CR810" s="46"/>
      <c r="CS810" s="46"/>
      <c r="CT810" s="46"/>
      <c r="CU810" s="46"/>
    </row>
    <row r="811" spans="1:99" ht="12.75" customHeight="1">
      <c r="A811" s="409">
        <v>2251</v>
      </c>
      <c r="B811" s="409" t="s">
        <v>9391</v>
      </c>
      <c r="C811" s="399">
        <f t="shared" si="117"/>
        <v>2251</v>
      </c>
      <c r="D811" s="399" t="str">
        <f t="shared" si="118"/>
        <v>Route of adminstration</v>
      </c>
      <c r="E811" s="399" t="str">
        <f t="shared" si="119"/>
        <v>Route of adminstration</v>
      </c>
      <c r="F811" s="399" t="str">
        <f t="shared" si="131"/>
        <v>Data Element</v>
      </c>
      <c r="G811" s="400">
        <f t="shared" si="129"/>
        <v>23</v>
      </c>
      <c r="H811" s="400" t="str">
        <f t="shared" si="132"/>
        <v/>
      </c>
      <c r="I811" s="400"/>
      <c r="J811" s="400"/>
      <c r="K811" s="402" t="s">
        <v>9140</v>
      </c>
      <c r="L811" s="402" t="s">
        <v>961</v>
      </c>
      <c r="M811" s="400"/>
      <c r="N811" s="639" t="s">
        <v>9141</v>
      </c>
      <c r="O811" s="414" t="s">
        <v>9392</v>
      </c>
      <c r="P811" s="414"/>
      <c r="Q811" s="420" t="s">
        <v>9393</v>
      </c>
      <c r="R811" s="407"/>
      <c r="S811" s="404" t="s">
        <v>9394</v>
      </c>
      <c r="T811" s="404" t="s">
        <v>3121</v>
      </c>
      <c r="U811" s="404" t="s">
        <v>3243</v>
      </c>
      <c r="V811" s="407"/>
      <c r="W811" s="407"/>
      <c r="X811" s="414"/>
      <c r="Y811" s="414"/>
      <c r="Z811" s="407"/>
      <c r="AA811" s="407"/>
      <c r="AB811" s="408"/>
      <c r="AC811" s="407"/>
      <c r="AD811" s="407"/>
      <c r="AE811" s="408"/>
      <c r="AF811" s="407"/>
      <c r="AG811" s="407"/>
      <c r="AH811" s="399"/>
      <c r="AI811" s="400"/>
      <c r="AJ811" s="399" t="s">
        <v>1787</v>
      </c>
      <c r="AK811" s="409" t="s">
        <v>6746</v>
      </c>
      <c r="AL811" s="409"/>
      <c r="AM811" s="409" t="s">
        <v>3100</v>
      </c>
      <c r="AN811" s="409" t="s">
        <v>3101</v>
      </c>
      <c r="AO811" s="399" t="s">
        <v>1787</v>
      </c>
      <c r="AP811" s="409" t="s">
        <v>6744</v>
      </c>
      <c r="AQ811" s="409" t="s">
        <v>3424</v>
      </c>
      <c r="AR811" s="399"/>
      <c r="AS811" s="399"/>
      <c r="AT811" s="399"/>
      <c r="AU811" s="399"/>
      <c r="AV811" s="399" t="str">
        <f t="shared" si="123"/>
        <v/>
      </c>
      <c r="AW811" s="399"/>
      <c r="AX811" s="409" t="s">
        <v>5194</v>
      </c>
      <c r="AY811" s="399" t="str">
        <f t="shared" si="124"/>
        <v>"Route of adminstration"-&gt;"Route of administration"</v>
      </c>
      <c r="AZ811" s="399"/>
      <c r="BA811" s="409" t="s">
        <v>3125</v>
      </c>
      <c r="BB811" s="399"/>
      <c r="BC811" s="399" t="s">
        <v>1787</v>
      </c>
      <c r="BD811" s="409" t="s">
        <v>3162</v>
      </c>
      <c r="BE811" s="411"/>
      <c r="BF811" s="411" t="s">
        <v>1787</v>
      </c>
      <c r="BG811" s="411"/>
      <c r="BH811" s="411"/>
      <c r="BI811" s="411"/>
      <c r="BJ811" s="409" t="s">
        <v>3106</v>
      </c>
      <c r="BK811" s="409"/>
      <c r="BL811" s="409"/>
      <c r="BM811" s="409" t="s">
        <v>9395</v>
      </c>
      <c r="BN811" s="399" t="s">
        <v>1787</v>
      </c>
      <c r="BO811" s="399" t="s">
        <v>1787</v>
      </c>
      <c r="BP811" s="399" t="s">
        <v>1787</v>
      </c>
      <c r="BQ811" s="399" t="s">
        <v>1787</v>
      </c>
      <c r="BR811" s="399" t="s">
        <v>1787</v>
      </c>
      <c r="BS811" s="407"/>
      <c r="BT811" s="407"/>
      <c r="BU811" s="412"/>
      <c r="BV811" s="46" t="str">
        <f t="shared" si="8"/>
        <v>MedicationAdministration</v>
      </c>
      <c r="BW811" s="46" t="str">
        <f t="shared" si="9"/>
        <v/>
      </c>
      <c r="BX811" s="46" t="str">
        <f t="shared" si="10"/>
        <v>MedicationAdministration</v>
      </c>
      <c r="BY811" s="43" t="str">
        <f t="shared" si="11"/>
        <v>WHO-STI MedicationAdministration</v>
      </c>
      <c r="BZ811" s="46">
        <f t="shared" si="12"/>
        <v>1</v>
      </c>
      <c r="CA811" s="46">
        <f t="shared" si="13"/>
        <v>1</v>
      </c>
      <c r="CB811" s="46">
        <f t="shared" si="14"/>
        <v>1</v>
      </c>
      <c r="CC811" s="46">
        <f t="shared" si="15"/>
        <v>1</v>
      </c>
      <c r="CD811" s="46">
        <f t="shared" si="16"/>
        <v>1</v>
      </c>
      <c r="CE811" s="46">
        <f t="shared" si="17"/>
        <v>0</v>
      </c>
      <c r="CF811" s="46">
        <f t="shared" si="18"/>
        <v>0</v>
      </c>
      <c r="CG811" s="46" t="str">
        <f ca="1">IFERROR(__xludf.DUMMYFUNCTION("if(OR(BH811="""",LEFT(BH811,2)=""LA""),"""",IMPORTXML(CONCATENATE(""https://loinc.org/"",BH811,""/""),""//span[@id='lcn']""))"),"")</f>
        <v/>
      </c>
      <c r="CH811" s="46"/>
      <c r="CI811" s="46"/>
      <c r="CJ811" s="46"/>
      <c r="CK811" s="46"/>
      <c r="CL811" s="46"/>
      <c r="CM811" s="46"/>
      <c r="CN811" s="46"/>
      <c r="CO811" s="46"/>
      <c r="CP811" s="46"/>
      <c r="CQ811" s="46"/>
      <c r="CR811" s="46"/>
      <c r="CS811" s="46"/>
      <c r="CT811" s="46"/>
      <c r="CU811" s="46"/>
    </row>
    <row r="812" spans="1:99" ht="12.75" customHeight="1">
      <c r="A812" s="409">
        <v>2252</v>
      </c>
      <c r="B812" s="399" t="s">
        <v>9396</v>
      </c>
      <c r="C812" s="399">
        <f t="shared" si="117"/>
        <v>2252</v>
      </c>
      <c r="D812" s="399" t="e">
        <f t="shared" ca="1" si="118"/>
        <v>#NAME?</v>
      </c>
      <c r="E812" s="399" t="str">
        <f t="shared" si="119"/>
        <v>Drug-device combination product</v>
      </c>
      <c r="F812" s="399" t="str">
        <f t="shared" si="131"/>
        <v>Input Option</v>
      </c>
      <c r="G812" s="400">
        <f t="shared" si="129"/>
        <v>38</v>
      </c>
      <c r="H812" s="399" t="str">
        <f t="shared" si="132"/>
        <v>Route of administration</v>
      </c>
      <c r="I812" s="400"/>
      <c r="J812" s="400"/>
      <c r="K812" s="402" t="s">
        <v>9140</v>
      </c>
      <c r="L812" s="402" t="s">
        <v>961</v>
      </c>
      <c r="M812" s="400"/>
      <c r="N812" s="639" t="s">
        <v>9141</v>
      </c>
      <c r="O812" s="414" t="s">
        <v>9397</v>
      </c>
      <c r="P812" s="414"/>
      <c r="Q812" s="404"/>
      <c r="R812" s="407"/>
      <c r="S812" s="407"/>
      <c r="T812" s="414"/>
      <c r="U812" s="414"/>
      <c r="V812" s="407" t="s">
        <v>9398</v>
      </c>
      <c r="W812" s="407"/>
      <c r="X812" s="407" t="s">
        <v>113</v>
      </c>
      <c r="Y812" s="404" t="s">
        <v>9399</v>
      </c>
      <c r="Z812" s="407" t="s">
        <v>208</v>
      </c>
      <c r="AA812" s="407" t="s">
        <v>1889</v>
      </c>
      <c r="AB812" s="408"/>
      <c r="AC812" s="407"/>
      <c r="AD812" s="407"/>
      <c r="AE812" s="408"/>
      <c r="AF812" s="407"/>
      <c r="AG812" s="407"/>
      <c r="AH812" s="399"/>
      <c r="AI812" s="400"/>
      <c r="AJ812" s="399" t="s">
        <v>1787</v>
      </c>
      <c r="AK812" s="399"/>
      <c r="AL812" s="399" t="s">
        <v>1787</v>
      </c>
      <c r="AM812" s="399"/>
      <c r="AN812" s="399" t="s">
        <v>1787</v>
      </c>
      <c r="AO812" s="399" t="s">
        <v>1787</v>
      </c>
      <c r="AP812" s="399"/>
      <c r="AQ812" s="409" t="s">
        <v>3130</v>
      </c>
      <c r="AR812" s="399"/>
      <c r="AS812" s="399"/>
      <c r="AT812" s="399"/>
      <c r="AU812" s="399"/>
      <c r="AV812" s="399" t="str">
        <f t="shared" si="123"/>
        <v/>
      </c>
      <c r="AW812" s="399"/>
      <c r="AX812" s="409" t="s">
        <v>5194</v>
      </c>
      <c r="AY812" s="399" t="e">
        <f t="shared" ca="1" si="124"/>
        <v>#NAME?</v>
      </c>
      <c r="AZ812" s="399"/>
      <c r="BA812" s="409" t="s">
        <v>3125</v>
      </c>
      <c r="BB812" s="399"/>
      <c r="BC812" s="399" t="s">
        <v>1787</v>
      </c>
      <c r="BD812" s="409" t="s">
        <v>3162</v>
      </c>
      <c r="BE812" s="411"/>
      <c r="BF812" s="411" t="s">
        <v>1787</v>
      </c>
      <c r="BG812" s="434" t="s">
        <v>9400</v>
      </c>
      <c r="BH812" s="411"/>
      <c r="BI812" s="411"/>
      <c r="BJ812" s="399" t="s">
        <v>1787</v>
      </c>
      <c r="BK812" s="399" t="s">
        <v>1787</v>
      </c>
      <c r="BL812" s="399"/>
      <c r="BM812" s="399" t="s">
        <v>1787</v>
      </c>
      <c r="BN812" s="399" t="s">
        <v>1787</v>
      </c>
      <c r="BO812" s="399" t="s">
        <v>1787</v>
      </c>
      <c r="BP812" s="399" t="s">
        <v>1787</v>
      </c>
      <c r="BQ812" s="399" t="s">
        <v>1787</v>
      </c>
      <c r="BR812" s="399" t="s">
        <v>1787</v>
      </c>
      <c r="BS812" s="407"/>
      <c r="BT812" s="407"/>
      <c r="BU812" s="412"/>
      <c r="BV812" s="46" t="str">
        <f t="shared" si="8"/>
        <v/>
      </c>
      <c r="BW812" s="46">
        <f t="shared" si="9"/>
        <v>0</v>
      </c>
      <c r="BX812" s="46">
        <f t="shared" si="10"/>
        <v>0</v>
      </c>
      <c r="BY812" s="43" t="str">
        <f t="shared" si="11"/>
        <v>WHO-STI MedicationAdministration</v>
      </c>
      <c r="BZ812" s="46">
        <f t="shared" si="12"/>
        <v>1</v>
      </c>
      <c r="CA812" s="46" t="str">
        <f t="shared" si="13"/>
        <v/>
      </c>
      <c r="CB812" s="46">
        <f t="shared" si="14"/>
        <v>1</v>
      </c>
      <c r="CC812" s="46">
        <f t="shared" si="15"/>
        <v>1</v>
      </c>
      <c r="CD812" s="46">
        <f t="shared" si="16"/>
        <v>1</v>
      </c>
      <c r="CE812" s="46">
        <f t="shared" si="17"/>
        <v>0</v>
      </c>
      <c r="CF812" s="46">
        <f t="shared" si="18"/>
        <v>0</v>
      </c>
      <c r="CG812" s="46" t="str">
        <f ca="1">IFERROR(__xludf.DUMMYFUNCTION("if(OR(BH812="""",LEFT(BH812,2)=""LA""),"""",IMPORTXML(CONCATENATE(""https://loinc.org/"",BH812,""/""),""//span[@id='lcn']""))"),"")</f>
        <v/>
      </c>
      <c r="CH812" s="46"/>
      <c r="CI812" s="46"/>
      <c r="CJ812" s="46"/>
      <c r="CK812" s="46"/>
      <c r="CL812" s="46"/>
      <c r="CM812" s="46"/>
      <c r="CN812" s="46"/>
      <c r="CO812" s="46"/>
      <c r="CP812" s="46"/>
      <c r="CQ812" s="46"/>
      <c r="CR812" s="46"/>
      <c r="CS812" s="46"/>
      <c r="CT812" s="46"/>
      <c r="CU812" s="46"/>
    </row>
    <row r="813" spans="1:99" ht="12.75" customHeight="1">
      <c r="A813" s="409">
        <v>2253</v>
      </c>
      <c r="B813" s="399" t="s">
        <v>9401</v>
      </c>
      <c r="C813" s="399">
        <f t="shared" si="117"/>
        <v>2253</v>
      </c>
      <c r="D813" s="399" t="e">
        <f t="shared" ca="1" si="118"/>
        <v>#NAME?</v>
      </c>
      <c r="E813" s="399" t="str">
        <f t="shared" si="119"/>
        <v>Intramuscular</v>
      </c>
      <c r="F813" s="399" t="str">
        <f t="shared" si="131"/>
        <v>Input Option</v>
      </c>
      <c r="G813" s="400">
        <f t="shared" si="129"/>
        <v>20</v>
      </c>
      <c r="H813" s="399" t="str">
        <f t="shared" si="132"/>
        <v>Route of administration</v>
      </c>
      <c r="I813" s="400"/>
      <c r="J813" s="400"/>
      <c r="K813" s="402" t="s">
        <v>9140</v>
      </c>
      <c r="L813" s="402" t="s">
        <v>961</v>
      </c>
      <c r="M813" s="400"/>
      <c r="N813" s="639" t="s">
        <v>9141</v>
      </c>
      <c r="O813" s="414" t="s">
        <v>9402</v>
      </c>
      <c r="P813" s="414"/>
      <c r="Q813" s="404"/>
      <c r="R813" s="407"/>
      <c r="S813" s="407"/>
      <c r="T813" s="407"/>
      <c r="U813" s="407"/>
      <c r="V813" s="407" t="s">
        <v>9403</v>
      </c>
      <c r="W813" s="407"/>
      <c r="X813" s="407" t="s">
        <v>113</v>
      </c>
      <c r="Y813" s="404" t="s">
        <v>9399</v>
      </c>
      <c r="Z813" s="407" t="s">
        <v>208</v>
      </c>
      <c r="AA813" s="407" t="s">
        <v>1889</v>
      </c>
      <c r="AB813" s="408"/>
      <c r="AC813" s="407"/>
      <c r="AD813" s="407"/>
      <c r="AE813" s="408"/>
      <c r="AF813" s="407"/>
      <c r="AG813" s="407"/>
      <c r="AH813" s="399"/>
      <c r="AI813" s="400"/>
      <c r="AJ813" s="399" t="s">
        <v>1787</v>
      </c>
      <c r="AK813" s="399"/>
      <c r="AL813" s="399" t="s">
        <v>1787</v>
      </c>
      <c r="AM813" s="399"/>
      <c r="AN813" s="399" t="s">
        <v>1787</v>
      </c>
      <c r="AO813" s="399" t="s">
        <v>1787</v>
      </c>
      <c r="AP813" s="399"/>
      <c r="AQ813" s="409" t="s">
        <v>3130</v>
      </c>
      <c r="AR813" s="399"/>
      <c r="AS813" s="399"/>
      <c r="AT813" s="399"/>
      <c r="AU813" s="399"/>
      <c r="AV813" s="399" t="str">
        <f t="shared" si="123"/>
        <v/>
      </c>
      <c r="AW813" s="399"/>
      <c r="AX813" s="409" t="s">
        <v>5194</v>
      </c>
      <c r="AY813" s="399" t="e">
        <f t="shared" ca="1" si="124"/>
        <v>#NAME?</v>
      </c>
      <c r="AZ813" s="399"/>
      <c r="BA813" s="409" t="s">
        <v>3125</v>
      </c>
      <c r="BB813" s="399"/>
      <c r="BC813" s="399" t="s">
        <v>1787</v>
      </c>
      <c r="BD813" s="409" t="s">
        <v>3162</v>
      </c>
      <c r="BE813" s="411"/>
      <c r="BF813" s="411" t="s">
        <v>1787</v>
      </c>
      <c r="BG813" s="418" t="s">
        <v>9364</v>
      </c>
      <c r="BH813" s="411"/>
      <c r="BI813" s="411"/>
      <c r="BJ813" s="399" t="s">
        <v>1787</v>
      </c>
      <c r="BK813" s="399" t="s">
        <v>1787</v>
      </c>
      <c r="BL813" s="399"/>
      <c r="BM813" s="399" t="s">
        <v>1787</v>
      </c>
      <c r="BN813" s="399" t="s">
        <v>1787</v>
      </c>
      <c r="BO813" s="399" t="s">
        <v>1787</v>
      </c>
      <c r="BP813" s="399" t="s">
        <v>1787</v>
      </c>
      <c r="BQ813" s="399" t="s">
        <v>1787</v>
      </c>
      <c r="BR813" s="399" t="s">
        <v>1787</v>
      </c>
      <c r="BS813" s="407"/>
      <c r="BT813" s="407"/>
      <c r="BU813" s="412"/>
      <c r="BV813" s="46" t="str">
        <f t="shared" si="8"/>
        <v/>
      </c>
      <c r="BW813" s="46">
        <f t="shared" si="9"/>
        <v>0</v>
      </c>
      <c r="BX813" s="46">
        <f t="shared" si="10"/>
        <v>0</v>
      </c>
      <c r="BY813" s="43" t="str">
        <f t="shared" si="11"/>
        <v>WHO-STI MedicationAdministration</v>
      </c>
      <c r="BZ813" s="46">
        <f t="shared" si="12"/>
        <v>1</v>
      </c>
      <c r="CA813" s="46" t="str">
        <f t="shared" si="13"/>
        <v/>
      </c>
      <c r="CB813" s="46">
        <f t="shared" si="14"/>
        <v>1</v>
      </c>
      <c r="CC813" s="46">
        <f t="shared" si="15"/>
        <v>1</v>
      </c>
      <c r="CD813" s="46">
        <f t="shared" si="16"/>
        <v>1</v>
      </c>
      <c r="CE813" s="46">
        <f t="shared" si="17"/>
        <v>0</v>
      </c>
      <c r="CF813" s="46">
        <f t="shared" si="18"/>
        <v>0</v>
      </c>
      <c r="CG813" s="46" t="str">
        <f ca="1">IFERROR(__xludf.DUMMYFUNCTION("if(OR(BH813="""",LEFT(BH813,2)=""LA""),"""",IMPORTXML(CONCATENATE(""https://loinc.org/"",BH813,""/""),""//span[@id='lcn']""))"),"")</f>
        <v/>
      </c>
      <c r="CH813" s="46"/>
      <c r="CI813" s="46"/>
      <c r="CJ813" s="46"/>
      <c r="CK813" s="46"/>
      <c r="CL813" s="46"/>
      <c r="CM813" s="46"/>
      <c r="CN813" s="46"/>
      <c r="CO813" s="46"/>
      <c r="CP813" s="46"/>
      <c r="CQ813" s="46"/>
      <c r="CR813" s="46"/>
      <c r="CS813" s="46"/>
      <c r="CT813" s="46"/>
      <c r="CU813" s="46"/>
    </row>
    <row r="814" spans="1:99" ht="12.75" customHeight="1">
      <c r="A814" s="409">
        <v>2254</v>
      </c>
      <c r="B814" s="399" t="s">
        <v>9404</v>
      </c>
      <c r="C814" s="399">
        <f t="shared" si="117"/>
        <v>2254</v>
      </c>
      <c r="D814" s="399" t="e">
        <f t="shared" ca="1" si="118"/>
        <v>#NAME?</v>
      </c>
      <c r="E814" s="399" t="str">
        <f t="shared" si="119"/>
        <v>Subcutaneous</v>
      </c>
      <c r="F814" s="399" t="str">
        <f t="shared" si="131"/>
        <v>Input Option</v>
      </c>
      <c r="G814" s="400">
        <f t="shared" si="129"/>
        <v>19</v>
      </c>
      <c r="H814" s="399" t="str">
        <f t="shared" si="132"/>
        <v>Route of administration</v>
      </c>
      <c r="I814" s="400"/>
      <c r="J814" s="400"/>
      <c r="K814" s="402" t="s">
        <v>9140</v>
      </c>
      <c r="L814" s="402" t="s">
        <v>961</v>
      </c>
      <c r="M814" s="400"/>
      <c r="N814" s="639" t="s">
        <v>9141</v>
      </c>
      <c r="O814" s="414" t="s">
        <v>9405</v>
      </c>
      <c r="P814" s="414"/>
      <c r="Q814" s="404"/>
      <c r="R814" s="407"/>
      <c r="S814" s="407"/>
      <c r="T814" s="407"/>
      <c r="U814" s="407"/>
      <c r="V814" s="407" t="s">
        <v>9406</v>
      </c>
      <c r="W814" s="407"/>
      <c r="X814" s="407" t="s">
        <v>113</v>
      </c>
      <c r="Y814" s="404" t="s">
        <v>9399</v>
      </c>
      <c r="Z814" s="407" t="s">
        <v>208</v>
      </c>
      <c r="AA814" s="407" t="s">
        <v>1889</v>
      </c>
      <c r="AB814" s="408"/>
      <c r="AC814" s="407"/>
      <c r="AD814" s="407"/>
      <c r="AE814" s="408"/>
      <c r="AF814" s="407"/>
      <c r="AG814" s="407"/>
      <c r="AH814" s="399"/>
      <c r="AI814" s="400"/>
      <c r="AJ814" s="399" t="s">
        <v>1787</v>
      </c>
      <c r="AK814" s="399"/>
      <c r="AL814" s="399" t="s">
        <v>1787</v>
      </c>
      <c r="AM814" s="399"/>
      <c r="AN814" s="399" t="s">
        <v>1787</v>
      </c>
      <c r="AO814" s="399" t="s">
        <v>1787</v>
      </c>
      <c r="AP814" s="399"/>
      <c r="AQ814" s="409" t="s">
        <v>3130</v>
      </c>
      <c r="AR814" s="399"/>
      <c r="AS814" s="399"/>
      <c r="AT814" s="399"/>
      <c r="AU814" s="399"/>
      <c r="AV814" s="399" t="str">
        <f t="shared" si="123"/>
        <v/>
      </c>
      <c r="AW814" s="399"/>
      <c r="AX814" s="409" t="s">
        <v>5194</v>
      </c>
      <c r="AY814" s="399" t="e">
        <f t="shared" ca="1" si="124"/>
        <v>#NAME?</v>
      </c>
      <c r="AZ814" s="399"/>
      <c r="BA814" s="409" t="s">
        <v>3125</v>
      </c>
      <c r="BB814" s="399"/>
      <c r="BC814" s="399" t="s">
        <v>1787</v>
      </c>
      <c r="BD814" s="409" t="s">
        <v>3162</v>
      </c>
      <c r="BE814" s="411"/>
      <c r="BF814" s="411" t="s">
        <v>1787</v>
      </c>
      <c r="BG814" s="433" t="s">
        <v>9407</v>
      </c>
      <c r="BH814" s="411"/>
      <c r="BI814" s="411"/>
      <c r="BJ814" s="399" t="s">
        <v>1787</v>
      </c>
      <c r="BK814" s="409"/>
      <c r="BL814" s="409"/>
      <c r="BM814" s="409" t="s">
        <v>9408</v>
      </c>
      <c r="BN814" s="399" t="s">
        <v>1787</v>
      </c>
      <c r="BO814" s="399" t="s">
        <v>1787</v>
      </c>
      <c r="BP814" s="399" t="s">
        <v>1787</v>
      </c>
      <c r="BQ814" s="399" t="s">
        <v>1787</v>
      </c>
      <c r="BR814" s="399" t="s">
        <v>1787</v>
      </c>
      <c r="BS814" s="407"/>
      <c r="BT814" s="407"/>
      <c r="BU814" s="412"/>
      <c r="BV814" s="46" t="str">
        <f t="shared" si="8"/>
        <v/>
      </c>
      <c r="BW814" s="46">
        <f t="shared" si="9"/>
        <v>0</v>
      </c>
      <c r="BX814" s="46">
        <f t="shared" si="10"/>
        <v>0</v>
      </c>
      <c r="BY814" s="43" t="str">
        <f t="shared" si="11"/>
        <v>WHO-STI MedicationAdministration</v>
      </c>
      <c r="BZ814" s="46">
        <f t="shared" si="12"/>
        <v>1</v>
      </c>
      <c r="CA814" s="46" t="str">
        <f t="shared" si="13"/>
        <v/>
      </c>
      <c r="CB814" s="46">
        <f t="shared" si="14"/>
        <v>1</v>
      </c>
      <c r="CC814" s="46">
        <f t="shared" si="15"/>
        <v>1</v>
      </c>
      <c r="CD814" s="46">
        <f t="shared" si="16"/>
        <v>1</v>
      </c>
      <c r="CE814" s="46">
        <f t="shared" si="17"/>
        <v>0</v>
      </c>
      <c r="CF814" s="46">
        <f t="shared" si="18"/>
        <v>0</v>
      </c>
      <c r="CG814" s="46" t="str">
        <f ca="1">IFERROR(__xludf.DUMMYFUNCTION("if(OR(BH814="""",LEFT(BH814,2)=""LA""),"""",IMPORTXML(CONCATENATE(""https://loinc.org/"",BH814,""/""),""//span[@id='lcn']""))"),"")</f>
        <v/>
      </c>
      <c r="CH814" s="46"/>
      <c r="CI814" s="46"/>
      <c r="CJ814" s="46"/>
      <c r="CK814" s="46"/>
      <c r="CL814" s="46"/>
      <c r="CM814" s="46"/>
      <c r="CN814" s="46"/>
      <c r="CO814" s="46"/>
      <c r="CP814" s="46"/>
      <c r="CQ814" s="46"/>
      <c r="CR814" s="46"/>
      <c r="CS814" s="46"/>
      <c r="CT814" s="46"/>
      <c r="CU814" s="46"/>
    </row>
    <row r="815" spans="1:99" ht="12.75" customHeight="1">
      <c r="A815" s="409">
        <v>2255</v>
      </c>
      <c r="B815" s="399" t="s">
        <v>9409</v>
      </c>
      <c r="C815" s="399">
        <f t="shared" si="117"/>
        <v>2255</v>
      </c>
      <c r="D815" s="399" t="e">
        <f t="shared" ca="1" si="118"/>
        <v>#NAME?</v>
      </c>
      <c r="E815" s="399" t="str">
        <f t="shared" si="119"/>
        <v>Injectable solution</v>
      </c>
      <c r="F815" s="399" t="str">
        <f t="shared" si="131"/>
        <v>Input Option</v>
      </c>
      <c r="G815" s="400">
        <f t="shared" si="129"/>
        <v>26</v>
      </c>
      <c r="H815" s="399" t="str">
        <f t="shared" si="132"/>
        <v>Route of administration</v>
      </c>
      <c r="I815" s="400"/>
      <c r="J815" s="400"/>
      <c r="K815" s="402" t="s">
        <v>9140</v>
      </c>
      <c r="L815" s="402" t="s">
        <v>961</v>
      </c>
      <c r="M815" s="400"/>
      <c r="N815" s="639" t="s">
        <v>9141</v>
      </c>
      <c r="O815" s="414" t="s">
        <v>9410</v>
      </c>
      <c r="P815" s="414"/>
      <c r="Q815" s="404"/>
      <c r="R815" s="407"/>
      <c r="S815" s="407"/>
      <c r="T815" s="407"/>
      <c r="U815" s="404"/>
      <c r="V815" s="420" t="s">
        <v>9411</v>
      </c>
      <c r="W815" s="407"/>
      <c r="X815" s="414"/>
      <c r="Y815" s="414"/>
      <c r="Z815" s="407"/>
      <c r="AA815" s="407"/>
      <c r="AB815" s="408"/>
      <c r="AC815" s="407"/>
      <c r="AD815" s="407"/>
      <c r="AE815" s="408"/>
      <c r="AF815" s="407"/>
      <c r="AG815" s="407"/>
      <c r="AH815" s="399"/>
      <c r="AI815" s="400"/>
      <c r="AJ815" s="399" t="s">
        <v>1787</v>
      </c>
      <c r="AK815" s="399"/>
      <c r="AL815" s="399" t="s">
        <v>1787</v>
      </c>
      <c r="AM815" s="399"/>
      <c r="AN815" s="399" t="s">
        <v>1787</v>
      </c>
      <c r="AO815" s="399" t="s">
        <v>1787</v>
      </c>
      <c r="AP815" s="399"/>
      <c r="AQ815" s="409" t="s">
        <v>3130</v>
      </c>
      <c r="AR815" s="399"/>
      <c r="AS815" s="399"/>
      <c r="AT815" s="399"/>
      <c r="AU815" s="399"/>
      <c r="AV815" s="399" t="str">
        <f t="shared" si="123"/>
        <v/>
      </c>
      <c r="AW815" s="399"/>
      <c r="AX815" s="409" t="s">
        <v>5194</v>
      </c>
      <c r="AY815" s="399" t="e">
        <f t="shared" ca="1" si="124"/>
        <v>#NAME?</v>
      </c>
      <c r="AZ815" s="399"/>
      <c r="BA815" s="409" t="s">
        <v>3125</v>
      </c>
      <c r="BB815" s="399"/>
      <c r="BC815" s="399" t="s">
        <v>1787</v>
      </c>
      <c r="BD815" s="409" t="s">
        <v>3162</v>
      </c>
      <c r="BE815" s="411"/>
      <c r="BF815" s="411" t="s">
        <v>1787</v>
      </c>
      <c r="BG815" s="418" t="s">
        <v>9412</v>
      </c>
      <c r="BH815" s="411"/>
      <c r="BI815" s="411"/>
      <c r="BJ815" s="399" t="s">
        <v>1787</v>
      </c>
      <c r="BK815" s="399" t="s">
        <v>1787</v>
      </c>
      <c r="BL815" s="399"/>
      <c r="BM815" s="399" t="s">
        <v>1787</v>
      </c>
      <c r="BN815" s="399" t="s">
        <v>1787</v>
      </c>
      <c r="BO815" s="399" t="s">
        <v>1787</v>
      </c>
      <c r="BP815" s="399" t="s">
        <v>1787</v>
      </c>
      <c r="BQ815" s="399" t="s">
        <v>1787</v>
      </c>
      <c r="BR815" s="399" t="s">
        <v>1787</v>
      </c>
      <c r="BS815" s="407"/>
      <c r="BT815" s="407"/>
      <c r="BU815" s="412"/>
      <c r="BV815" s="46" t="str">
        <f t="shared" si="8"/>
        <v/>
      </c>
      <c r="BW815" s="46">
        <f t="shared" si="9"/>
        <v>0</v>
      </c>
      <c r="BX815" s="46">
        <f t="shared" si="10"/>
        <v>0</v>
      </c>
      <c r="BY815" s="43" t="str">
        <f t="shared" si="11"/>
        <v>WHO-STI MedicationAdministration</v>
      </c>
      <c r="BZ815" s="46">
        <f t="shared" si="12"/>
        <v>1</v>
      </c>
      <c r="CA815" s="46" t="str">
        <f t="shared" si="13"/>
        <v/>
      </c>
      <c r="CB815" s="46">
        <f t="shared" si="14"/>
        <v>1</v>
      </c>
      <c r="CC815" s="46">
        <f t="shared" si="15"/>
        <v>1</v>
      </c>
      <c r="CD815" s="46">
        <f t="shared" si="16"/>
        <v>1</v>
      </c>
      <c r="CE815" s="46">
        <f t="shared" si="17"/>
        <v>0</v>
      </c>
      <c r="CF815" s="46">
        <f t="shared" si="18"/>
        <v>0</v>
      </c>
      <c r="CG815" s="46" t="str">
        <f ca="1">IFERROR(__xludf.DUMMYFUNCTION("if(OR(BH815="""",LEFT(BH815,2)=""LA""),"""",IMPORTXML(CONCATENATE(""https://loinc.org/"",BH815,""/""),""//span[@id='lcn']""))"),"")</f>
        <v/>
      </c>
      <c r="CH815" s="46"/>
      <c r="CI815" s="46"/>
      <c r="CJ815" s="46"/>
      <c r="CK815" s="46"/>
      <c r="CL815" s="46"/>
      <c r="CM815" s="46"/>
      <c r="CN815" s="46"/>
      <c r="CO815" s="46"/>
      <c r="CP815" s="46"/>
      <c r="CQ815" s="46"/>
      <c r="CR815" s="46"/>
      <c r="CS815" s="46"/>
      <c r="CT815" s="46"/>
      <c r="CU815" s="46"/>
    </row>
    <row r="816" spans="1:99" ht="12.75" customHeight="1">
      <c r="A816" s="409">
        <v>2256</v>
      </c>
      <c r="B816" s="399" t="s">
        <v>9413</v>
      </c>
      <c r="C816" s="399">
        <f t="shared" si="117"/>
        <v>2256</v>
      </c>
      <c r="D816" s="399" t="e">
        <f t="shared" ca="1" si="118"/>
        <v>#NAME?</v>
      </c>
      <c r="E816" s="399" t="str">
        <f t="shared" si="119"/>
        <v>Biomedical device</v>
      </c>
      <c r="F816" s="399" t="str">
        <f t="shared" si="131"/>
        <v>Input Option</v>
      </c>
      <c r="G816" s="400">
        <f t="shared" si="129"/>
        <v>24</v>
      </c>
      <c r="H816" s="399" t="str">
        <f t="shared" si="132"/>
        <v>Route of administration</v>
      </c>
      <c r="I816" s="400"/>
      <c r="J816" s="400"/>
      <c r="K816" s="402" t="s">
        <v>9140</v>
      </c>
      <c r="L816" s="402" t="s">
        <v>961</v>
      </c>
      <c r="M816" s="400"/>
      <c r="N816" s="639" t="s">
        <v>9141</v>
      </c>
      <c r="O816" s="414" t="s">
        <v>9414</v>
      </c>
      <c r="P816" s="414"/>
      <c r="Q816" s="404"/>
      <c r="R816" s="407"/>
      <c r="S816" s="407"/>
      <c r="T816" s="407"/>
      <c r="U816" s="404"/>
      <c r="V816" s="750" t="s">
        <v>9415</v>
      </c>
      <c r="W816" s="407"/>
      <c r="X816" s="414"/>
      <c r="Y816" s="414"/>
      <c r="Z816" s="414"/>
      <c r="AA816" s="414"/>
      <c r="AB816" s="425"/>
      <c r="AC816" s="414"/>
      <c r="AD816" s="414"/>
      <c r="AE816" s="425"/>
      <c r="AF816" s="414"/>
      <c r="AG816" s="414"/>
      <c r="AH816" s="399"/>
      <c r="AI816" s="400"/>
      <c r="AJ816" s="399" t="s">
        <v>1787</v>
      </c>
      <c r="AK816" s="399"/>
      <c r="AL816" s="399" t="s">
        <v>1787</v>
      </c>
      <c r="AM816" s="399"/>
      <c r="AN816" s="399" t="s">
        <v>1787</v>
      </c>
      <c r="AO816" s="399" t="s">
        <v>1787</v>
      </c>
      <c r="AP816" s="399"/>
      <c r="AQ816" s="409" t="s">
        <v>3130</v>
      </c>
      <c r="AR816" s="399"/>
      <c r="AS816" s="399"/>
      <c r="AT816" s="399"/>
      <c r="AU816" s="399"/>
      <c r="AV816" s="399" t="str">
        <f t="shared" si="123"/>
        <v/>
      </c>
      <c r="AW816" s="399"/>
      <c r="AX816" s="409" t="s">
        <v>5194</v>
      </c>
      <c r="AY816" s="399" t="e">
        <f t="shared" ca="1" si="124"/>
        <v>#NAME?</v>
      </c>
      <c r="AZ816" s="399"/>
      <c r="BA816" s="409" t="s">
        <v>3125</v>
      </c>
      <c r="BB816" s="399"/>
      <c r="BC816" s="399" t="s">
        <v>1787</v>
      </c>
      <c r="BD816" s="409" t="s">
        <v>3162</v>
      </c>
      <c r="BE816" s="411"/>
      <c r="BF816" s="411" t="s">
        <v>1787</v>
      </c>
      <c r="BG816" s="418" t="s">
        <v>9416</v>
      </c>
      <c r="BH816" s="411"/>
      <c r="BI816" s="411"/>
      <c r="BJ816" s="399" t="s">
        <v>1787</v>
      </c>
      <c r="BK816" s="399" t="s">
        <v>1787</v>
      </c>
      <c r="BL816" s="399"/>
      <c r="BM816" s="409" t="s">
        <v>9417</v>
      </c>
      <c r="BN816" s="399" t="s">
        <v>1787</v>
      </c>
      <c r="BO816" s="399" t="s">
        <v>1787</v>
      </c>
      <c r="BP816" s="399" t="s">
        <v>1787</v>
      </c>
      <c r="BQ816" s="399" t="s">
        <v>1787</v>
      </c>
      <c r="BR816" s="399" t="s">
        <v>1787</v>
      </c>
      <c r="BS816" s="407"/>
      <c r="BT816" s="407"/>
      <c r="BU816" s="412"/>
      <c r="BV816" s="46" t="str">
        <f t="shared" si="8"/>
        <v/>
      </c>
      <c r="BW816" s="46">
        <f t="shared" si="9"/>
        <v>0</v>
      </c>
      <c r="BX816" s="46">
        <f t="shared" si="10"/>
        <v>0</v>
      </c>
      <c r="BY816" s="43" t="str">
        <f t="shared" si="11"/>
        <v>WHO-STI MedicationAdministration</v>
      </c>
      <c r="BZ816" s="46">
        <f t="shared" si="12"/>
        <v>1</v>
      </c>
      <c r="CA816" s="46" t="str">
        <f t="shared" si="13"/>
        <v/>
      </c>
      <c r="CB816" s="46">
        <f t="shared" si="14"/>
        <v>1</v>
      </c>
      <c r="CC816" s="46">
        <f t="shared" si="15"/>
        <v>1</v>
      </c>
      <c r="CD816" s="46">
        <f t="shared" si="16"/>
        <v>1</v>
      </c>
      <c r="CE816" s="46">
        <f t="shared" si="17"/>
        <v>0</v>
      </c>
      <c r="CF816" s="46">
        <f t="shared" si="18"/>
        <v>0</v>
      </c>
      <c r="CG816" s="46" t="str">
        <f ca="1">IFERROR(__xludf.DUMMYFUNCTION("if(OR(BH816="""",LEFT(BH816,2)=""LA""),"""",IMPORTXML(CONCATENATE(""https://loinc.org/"",BH816,""/""),""//span[@id='lcn']""))"),"")</f>
        <v/>
      </c>
      <c r="CH816" s="46"/>
      <c r="CI816" s="46"/>
      <c r="CJ816" s="46"/>
      <c r="CK816" s="46"/>
      <c r="CL816" s="46"/>
      <c r="CM816" s="46"/>
      <c r="CN816" s="46"/>
      <c r="CO816" s="46"/>
      <c r="CP816" s="46"/>
      <c r="CQ816" s="46"/>
      <c r="CR816" s="46"/>
      <c r="CS816" s="46"/>
      <c r="CT816" s="46"/>
      <c r="CU816" s="46"/>
    </row>
    <row r="817" spans="1:99" ht="12.75" customHeight="1">
      <c r="A817" s="409">
        <v>2257</v>
      </c>
      <c r="B817" s="399" t="s">
        <v>9418</v>
      </c>
      <c r="C817" s="399">
        <f t="shared" si="117"/>
        <v>2257</v>
      </c>
      <c r="D817" s="399" t="str">
        <f t="shared" si="118"/>
        <v>Drug warnings</v>
      </c>
      <c r="E817" s="399" t="str">
        <f t="shared" si="119"/>
        <v>Drug warnings</v>
      </c>
      <c r="F817" s="399" t="str">
        <f t="shared" si="131"/>
        <v>Data Element</v>
      </c>
      <c r="G817" s="400">
        <f t="shared" si="129"/>
        <v>13</v>
      </c>
      <c r="H817" s="400" t="str">
        <f t="shared" si="132"/>
        <v/>
      </c>
      <c r="I817" s="400"/>
      <c r="J817" s="400"/>
      <c r="K817" s="402" t="s">
        <v>9140</v>
      </c>
      <c r="L817" s="402" t="s">
        <v>961</v>
      </c>
      <c r="M817" s="400"/>
      <c r="N817" s="639" t="s">
        <v>9141</v>
      </c>
      <c r="O817" s="636" t="s">
        <v>9419</v>
      </c>
      <c r="P817" s="636"/>
      <c r="Q817" s="414" t="s">
        <v>9418</v>
      </c>
      <c r="R817" s="414"/>
      <c r="S817" s="636" t="s">
        <v>9420</v>
      </c>
      <c r="T817" s="437" t="s">
        <v>3121</v>
      </c>
      <c r="U817" s="636"/>
      <c r="V817" s="414"/>
      <c r="W817" s="407"/>
      <c r="X817" s="636" t="s">
        <v>208</v>
      </c>
      <c r="Y817" s="636"/>
      <c r="Z817" s="407" t="s">
        <v>208</v>
      </c>
      <c r="AA817" s="407" t="s">
        <v>1889</v>
      </c>
      <c r="AB817" s="629"/>
      <c r="AC817" s="636"/>
      <c r="AD817" s="636"/>
      <c r="AE817" s="629"/>
      <c r="AF817" s="636"/>
      <c r="AG817" s="750" t="s">
        <v>6102</v>
      </c>
      <c r="AH817" s="399"/>
      <c r="AI817" s="400"/>
      <c r="AJ817" s="399" t="s">
        <v>1787</v>
      </c>
      <c r="AK817" s="409" t="s">
        <v>6742</v>
      </c>
      <c r="AL817" s="409" t="s">
        <v>3181</v>
      </c>
      <c r="AM817" s="409" t="s">
        <v>3314</v>
      </c>
      <c r="AN817" s="409" t="s">
        <v>3101</v>
      </c>
      <c r="AO817" s="399" t="s">
        <v>1787</v>
      </c>
      <c r="AP817" s="409" t="s">
        <v>6740</v>
      </c>
      <c r="AQ817" s="409" t="s">
        <v>3130</v>
      </c>
      <c r="AR817" s="399"/>
      <c r="AS817" s="399"/>
      <c r="AT817" s="399"/>
      <c r="AU817" s="399"/>
      <c r="AV817" s="399" t="str">
        <f t="shared" si="123"/>
        <v/>
      </c>
      <c r="AW817" s="399"/>
      <c r="AX817" s="409" t="s">
        <v>5194</v>
      </c>
      <c r="AY817" s="399" t="str">
        <f t="shared" si="124"/>
        <v/>
      </c>
      <c r="AZ817" s="399"/>
      <c r="BA817" s="409" t="s">
        <v>3125</v>
      </c>
      <c r="BB817" s="399"/>
      <c r="BC817" s="399" t="s">
        <v>1787</v>
      </c>
      <c r="BD817" s="409" t="s">
        <v>3188</v>
      </c>
      <c r="BE817" s="411"/>
      <c r="BF817" s="411" t="s">
        <v>1787</v>
      </c>
      <c r="BG817" s="411"/>
      <c r="BH817" s="411"/>
      <c r="BI817" s="411"/>
      <c r="BJ817" s="399" t="s">
        <v>1787</v>
      </c>
      <c r="BK817" s="409"/>
      <c r="BL817" s="409"/>
      <c r="BM817" s="409" t="s">
        <v>9421</v>
      </c>
      <c r="BN817" s="399" t="s">
        <v>1787</v>
      </c>
      <c r="BO817" s="399" t="s">
        <v>1787</v>
      </c>
      <c r="BP817" s="399" t="s">
        <v>1787</v>
      </c>
      <c r="BQ817" s="399" t="s">
        <v>1787</v>
      </c>
      <c r="BR817" s="399" t="s">
        <v>1787</v>
      </c>
      <c r="BS817" s="407"/>
      <c r="BT817" s="407"/>
      <c r="BU817" s="412"/>
      <c r="BV817" s="46" t="str">
        <f t="shared" si="8"/>
        <v>Medication</v>
      </c>
      <c r="BW817" s="46" t="str">
        <f t="shared" si="9"/>
        <v/>
      </c>
      <c r="BX817" s="46" t="str">
        <f t="shared" si="10"/>
        <v>Medication</v>
      </c>
      <c r="BY817" s="43" t="str">
        <f t="shared" si="11"/>
        <v>WHO-STI Medication</v>
      </c>
      <c r="BZ817" s="46">
        <f t="shared" si="12"/>
        <v>1</v>
      </c>
      <c r="CA817" s="46">
        <f t="shared" si="13"/>
        <v>1</v>
      </c>
      <c r="CB817" s="46">
        <f t="shared" si="14"/>
        <v>0</v>
      </c>
      <c r="CC817" s="46">
        <f t="shared" si="15"/>
        <v>0</v>
      </c>
      <c r="CD817" s="46">
        <f t="shared" si="16"/>
        <v>0</v>
      </c>
      <c r="CE817" s="46">
        <f t="shared" si="17"/>
        <v>0</v>
      </c>
      <c r="CF817" s="46">
        <f t="shared" si="18"/>
        <v>1</v>
      </c>
      <c r="CG817" s="46" t="str">
        <f ca="1">IFERROR(__xludf.DUMMYFUNCTION("if(OR(BH817="""",LEFT(BH817,2)=""LA""),"""",IMPORTXML(CONCATENATE(""https://loinc.org/"",BH817,""/""),""//span[@id='lcn']""))"),"")</f>
        <v/>
      </c>
      <c r="CH817" s="46"/>
      <c r="CI817" s="46"/>
      <c r="CJ817" s="46"/>
      <c r="CK817" s="46"/>
      <c r="CL817" s="46"/>
      <c r="CM817" s="46"/>
      <c r="CN817" s="46"/>
      <c r="CO817" s="46"/>
      <c r="CP817" s="46"/>
      <c r="CQ817" s="46"/>
      <c r="CR817" s="46"/>
      <c r="CS817" s="46"/>
      <c r="CT817" s="46"/>
      <c r="CU817" s="46"/>
    </row>
    <row r="818" spans="1:99" ht="12.75" customHeight="1">
      <c r="A818" s="409">
        <v>2258</v>
      </c>
      <c r="B818" s="399" t="s">
        <v>9422</v>
      </c>
      <c r="C818" s="399">
        <f t="shared" si="117"/>
        <v>2258</v>
      </c>
      <c r="D818" s="399" t="e">
        <f t="shared" ca="1" si="118"/>
        <v>#NAME?</v>
      </c>
      <c r="E818" s="399" t="str">
        <f t="shared" si="119"/>
        <v>avoid alcohol with use</v>
      </c>
      <c r="F818" s="399" t="str">
        <f t="shared" si="131"/>
        <v>Input Option</v>
      </c>
      <c r="G818" s="400">
        <f t="shared" si="129"/>
        <v>29</v>
      </c>
      <c r="H818" s="399" t="str">
        <f t="shared" si="132"/>
        <v>Drug warnings</v>
      </c>
      <c r="I818" s="400"/>
      <c r="J818" s="400"/>
      <c r="K818" s="402" t="s">
        <v>9140</v>
      </c>
      <c r="L818" s="402" t="s">
        <v>961</v>
      </c>
      <c r="M818" s="400"/>
      <c r="N818" s="639" t="s">
        <v>9141</v>
      </c>
      <c r="O818" s="636" t="s">
        <v>9423</v>
      </c>
      <c r="P818" s="636"/>
      <c r="Q818" s="636"/>
      <c r="R818" s="414"/>
      <c r="S818" s="636"/>
      <c r="T818" s="414"/>
      <c r="U818" s="414"/>
      <c r="V818" s="753" t="s">
        <v>9424</v>
      </c>
      <c r="W818" s="407"/>
      <c r="X818" s="636" t="s">
        <v>208</v>
      </c>
      <c r="Y818" s="636"/>
      <c r="Z818" s="407" t="s">
        <v>208</v>
      </c>
      <c r="AA818" s="407" t="s">
        <v>1889</v>
      </c>
      <c r="AB818" s="629"/>
      <c r="AC818" s="636"/>
      <c r="AD818" s="636"/>
      <c r="AE818" s="629"/>
      <c r="AF818" s="636"/>
      <c r="AG818" s="750" t="s">
        <v>6102</v>
      </c>
      <c r="AH818" s="399"/>
      <c r="AI818" s="400"/>
      <c r="AJ818" s="399" t="s">
        <v>1787</v>
      </c>
      <c r="AK818" s="399"/>
      <c r="AL818" s="399" t="s">
        <v>1787</v>
      </c>
      <c r="AM818" s="399"/>
      <c r="AN818" s="399" t="s">
        <v>1787</v>
      </c>
      <c r="AO818" s="399" t="s">
        <v>1787</v>
      </c>
      <c r="AP818" s="399"/>
      <c r="AQ818" s="409" t="s">
        <v>3130</v>
      </c>
      <c r="AR818" s="399"/>
      <c r="AS818" s="399"/>
      <c r="AT818" s="399"/>
      <c r="AU818" s="399"/>
      <c r="AV818" s="399" t="str">
        <f t="shared" si="123"/>
        <v/>
      </c>
      <c r="AW818" s="399"/>
      <c r="AX818" s="409" t="s">
        <v>5194</v>
      </c>
      <c r="AY818" s="399" t="e">
        <f t="shared" ca="1" si="124"/>
        <v>#NAME?</v>
      </c>
      <c r="AZ818" s="399"/>
      <c r="BA818" s="409" t="s">
        <v>3125</v>
      </c>
      <c r="BB818" s="399"/>
      <c r="BC818" s="399" t="s">
        <v>1787</v>
      </c>
      <c r="BD818" s="409" t="s">
        <v>9425</v>
      </c>
      <c r="BE818" s="411"/>
      <c r="BF818" s="411" t="s">
        <v>1787</v>
      </c>
      <c r="BG818" s="434" t="s">
        <v>9426</v>
      </c>
      <c r="BH818" s="411"/>
      <c r="BI818" s="411"/>
      <c r="BJ818" s="399" t="s">
        <v>1787</v>
      </c>
      <c r="BK818" s="409"/>
      <c r="BL818" s="409"/>
      <c r="BM818" s="409" t="s">
        <v>9427</v>
      </c>
      <c r="BN818" s="399" t="s">
        <v>1787</v>
      </c>
      <c r="BO818" s="399" t="s">
        <v>1787</v>
      </c>
      <c r="BP818" s="399" t="s">
        <v>1787</v>
      </c>
      <c r="BQ818" s="399" t="s">
        <v>1787</v>
      </c>
      <c r="BR818" s="399" t="s">
        <v>1787</v>
      </c>
      <c r="BS818" s="407"/>
      <c r="BT818" s="407"/>
      <c r="BU818" s="412"/>
      <c r="BV818" s="46" t="str">
        <f t="shared" si="8"/>
        <v/>
      </c>
      <c r="BW818" s="46">
        <f t="shared" si="9"/>
        <v>0</v>
      </c>
      <c r="BX818" s="46">
        <f t="shared" si="10"/>
        <v>0</v>
      </c>
      <c r="BY818" s="43" t="str">
        <f t="shared" si="11"/>
        <v>WHO-STI Medication</v>
      </c>
      <c r="BZ818" s="46">
        <f t="shared" si="12"/>
        <v>1</v>
      </c>
      <c r="CA818" s="46" t="str">
        <f t="shared" si="13"/>
        <v/>
      </c>
      <c r="CB818" s="46">
        <f t="shared" si="14"/>
        <v>1</v>
      </c>
      <c r="CC818" s="46">
        <f t="shared" si="15"/>
        <v>1</v>
      </c>
      <c r="CD818" s="46">
        <f t="shared" si="16"/>
        <v>1</v>
      </c>
      <c r="CE818" s="46">
        <f t="shared" si="17"/>
        <v>0</v>
      </c>
      <c r="CF818" s="46">
        <f t="shared" si="18"/>
        <v>0</v>
      </c>
      <c r="CG818" s="46" t="str">
        <f ca="1">IFERROR(__xludf.DUMMYFUNCTION("if(OR(BH818="""",LEFT(BH818,2)=""LA""),"""",IMPORTXML(CONCATENATE(""https://loinc.org/"",BH818,""/""),""//span[@id='lcn']""))"),"")</f>
        <v/>
      </c>
      <c r="CH818" s="46"/>
      <c r="CI818" s="46"/>
      <c r="CJ818" s="46"/>
      <c r="CK818" s="46"/>
      <c r="CL818" s="46"/>
      <c r="CM818" s="46"/>
      <c r="CN818" s="46"/>
      <c r="CO818" s="46"/>
      <c r="CP818" s="46"/>
      <c r="CQ818" s="46"/>
      <c r="CR818" s="46"/>
      <c r="CS818" s="46"/>
      <c r="CT818" s="46"/>
      <c r="CU818" s="46"/>
    </row>
    <row r="819" spans="1:99" ht="12.75" customHeight="1">
      <c r="A819" s="409">
        <v>2259</v>
      </c>
      <c r="B819" s="399" t="s">
        <v>9428</v>
      </c>
      <c r="C819" s="399">
        <f t="shared" si="117"/>
        <v>2259</v>
      </c>
      <c r="D819" s="399" t="e">
        <f t="shared" ca="1" si="118"/>
        <v>#NAME?</v>
      </c>
      <c r="E819" s="399" t="str">
        <f t="shared" si="119"/>
        <v>pregnancy warning</v>
      </c>
      <c r="F819" s="399" t="str">
        <f t="shared" si="131"/>
        <v>Input Option</v>
      </c>
      <c r="G819" s="400">
        <f t="shared" si="129"/>
        <v>24</v>
      </c>
      <c r="H819" s="399" t="str">
        <f t="shared" si="132"/>
        <v>Drug warnings</v>
      </c>
      <c r="I819" s="400"/>
      <c r="J819" s="400"/>
      <c r="K819" s="402" t="s">
        <v>9140</v>
      </c>
      <c r="L819" s="402" t="s">
        <v>961</v>
      </c>
      <c r="M819" s="400"/>
      <c r="N819" s="639" t="s">
        <v>9141</v>
      </c>
      <c r="O819" s="636" t="s">
        <v>9429</v>
      </c>
      <c r="P819" s="636"/>
      <c r="Q819" s="636"/>
      <c r="R819" s="414"/>
      <c r="S819" s="636"/>
      <c r="T819" s="414"/>
      <c r="U819" s="414"/>
      <c r="V819" s="753" t="s">
        <v>9430</v>
      </c>
      <c r="W819" s="407"/>
      <c r="X819" s="636" t="s">
        <v>208</v>
      </c>
      <c r="Y819" s="636"/>
      <c r="Z819" s="407" t="s">
        <v>208</v>
      </c>
      <c r="AA819" s="407" t="s">
        <v>1889</v>
      </c>
      <c r="AB819" s="629"/>
      <c r="AC819" s="636"/>
      <c r="AD819" s="636"/>
      <c r="AE819" s="629"/>
      <c r="AF819" s="636"/>
      <c r="AG819" s="750" t="s">
        <v>6102</v>
      </c>
      <c r="AH819" s="399"/>
      <c r="AI819" s="400"/>
      <c r="AJ819" s="399" t="s">
        <v>1787</v>
      </c>
      <c r="AK819" s="399"/>
      <c r="AL819" s="399" t="s">
        <v>1787</v>
      </c>
      <c r="AM819" s="399"/>
      <c r="AN819" s="399" t="s">
        <v>1787</v>
      </c>
      <c r="AO819" s="399" t="s">
        <v>1787</v>
      </c>
      <c r="AP819" s="399"/>
      <c r="AQ819" s="409" t="s">
        <v>3130</v>
      </c>
      <c r="AR819" s="399"/>
      <c r="AS819" s="399"/>
      <c r="AT819" s="399"/>
      <c r="AU819" s="399"/>
      <c r="AV819" s="399" t="str">
        <f t="shared" si="123"/>
        <v/>
      </c>
      <c r="AW819" s="399"/>
      <c r="AX819" s="409" t="s">
        <v>5194</v>
      </c>
      <c r="AY819" s="399" t="e">
        <f t="shared" ca="1" si="124"/>
        <v>#NAME?</v>
      </c>
      <c r="AZ819" s="399"/>
      <c r="BA819" s="409" t="s">
        <v>3125</v>
      </c>
      <c r="BB819" s="399"/>
      <c r="BC819" s="399" t="s">
        <v>1787</v>
      </c>
      <c r="BD819" s="399" t="s">
        <v>1787</v>
      </c>
      <c r="BE819" s="411"/>
      <c r="BF819" s="411" t="s">
        <v>1787</v>
      </c>
      <c r="BG819" s="434" t="s">
        <v>9431</v>
      </c>
      <c r="BH819" s="411"/>
      <c r="BI819" s="411"/>
      <c r="BJ819" s="399" t="s">
        <v>1787</v>
      </c>
      <c r="BK819" s="399" t="s">
        <v>1787</v>
      </c>
      <c r="BL819" s="399"/>
      <c r="BM819" s="409" t="s">
        <v>9432</v>
      </c>
      <c r="BN819" s="399" t="s">
        <v>1787</v>
      </c>
      <c r="BO819" s="399" t="s">
        <v>1787</v>
      </c>
      <c r="BP819" s="399" t="s">
        <v>1787</v>
      </c>
      <c r="BQ819" s="399" t="s">
        <v>1787</v>
      </c>
      <c r="BR819" s="399" t="s">
        <v>1787</v>
      </c>
      <c r="BS819" s="407"/>
      <c r="BT819" s="407"/>
      <c r="BU819" s="412"/>
      <c r="BV819" s="46" t="str">
        <f t="shared" si="8"/>
        <v/>
      </c>
      <c r="BW819" s="46">
        <f t="shared" si="9"/>
        <v>0</v>
      </c>
      <c r="BX819" s="46">
        <f t="shared" si="10"/>
        <v>0</v>
      </c>
      <c r="BY819" s="43" t="str">
        <f t="shared" si="11"/>
        <v>WHO-STI Medication</v>
      </c>
      <c r="BZ819" s="46">
        <f t="shared" si="12"/>
        <v>1</v>
      </c>
      <c r="CA819" s="46" t="str">
        <f t="shared" si="13"/>
        <v/>
      </c>
      <c r="CB819" s="46">
        <f t="shared" si="14"/>
        <v>1</v>
      </c>
      <c r="CC819" s="46">
        <f t="shared" si="15"/>
        <v>1</v>
      </c>
      <c r="CD819" s="46">
        <f t="shared" si="16"/>
        <v>1</v>
      </c>
      <c r="CE819" s="46">
        <f t="shared" si="17"/>
        <v>0</v>
      </c>
      <c r="CF819" s="46">
        <f t="shared" si="18"/>
        <v>0</v>
      </c>
      <c r="CG819" s="46" t="str">
        <f ca="1">IFERROR(__xludf.DUMMYFUNCTION("if(OR(BH819="""",LEFT(BH819,2)=""LA""),"""",IMPORTXML(CONCATENATE(""https://loinc.org/"",BH819,""/""),""//span[@id='lcn']""))"),"")</f>
        <v/>
      </c>
      <c r="CH819" s="46"/>
      <c r="CI819" s="46"/>
      <c r="CJ819" s="46"/>
      <c r="CK819" s="46"/>
      <c r="CL819" s="46"/>
      <c r="CM819" s="46"/>
      <c r="CN819" s="46"/>
      <c r="CO819" s="46"/>
      <c r="CP819" s="46"/>
      <c r="CQ819" s="46"/>
      <c r="CR819" s="46"/>
      <c r="CS819" s="46"/>
      <c r="CT819" s="46"/>
      <c r="CU819" s="46"/>
    </row>
    <row r="820" spans="1:99" ht="12.75" customHeight="1">
      <c r="A820" s="409">
        <v>2260</v>
      </c>
      <c r="B820" s="399" t="s">
        <v>9433</v>
      </c>
      <c r="C820" s="399">
        <f t="shared" si="117"/>
        <v>2260</v>
      </c>
      <c r="D820" s="399" t="str">
        <f t="shared" si="118"/>
        <v>Dosage</v>
      </c>
      <c r="E820" s="399" t="str">
        <f t="shared" si="119"/>
        <v>Dosage</v>
      </c>
      <c r="F820" s="399" t="str">
        <f t="shared" si="131"/>
        <v>Data Element</v>
      </c>
      <c r="G820" s="400">
        <f t="shared" si="129"/>
        <v>6</v>
      </c>
      <c r="H820" s="400" t="str">
        <f t="shared" si="132"/>
        <v/>
      </c>
      <c r="I820" s="400"/>
      <c r="J820" s="400"/>
      <c r="K820" s="409" t="s">
        <v>9140</v>
      </c>
      <c r="L820" s="402" t="s">
        <v>961</v>
      </c>
      <c r="M820" s="400"/>
      <c r="N820" s="639" t="s">
        <v>9141</v>
      </c>
      <c r="O820" s="404" t="s">
        <v>9434</v>
      </c>
      <c r="P820" s="404"/>
      <c r="Q820" s="407" t="s">
        <v>9433</v>
      </c>
      <c r="R820" s="431"/>
      <c r="S820" s="407"/>
      <c r="T820" s="407"/>
      <c r="U820" s="407"/>
      <c r="V820" s="404"/>
      <c r="W820" s="407"/>
      <c r="X820" s="407"/>
      <c r="Y820" s="404"/>
      <c r="Z820" s="407" t="s">
        <v>113</v>
      </c>
      <c r="AA820" s="407" t="s">
        <v>1889</v>
      </c>
      <c r="AB820" s="408"/>
      <c r="AC820" s="407"/>
      <c r="AD820" s="407"/>
      <c r="AE820" s="406"/>
      <c r="AF820" s="404"/>
      <c r="AG820" s="420" t="s">
        <v>6102</v>
      </c>
      <c r="AH820" s="399"/>
      <c r="AI820" s="400"/>
      <c r="AJ820" s="399" t="s">
        <v>1787</v>
      </c>
      <c r="AK820" s="409" t="s">
        <v>6745</v>
      </c>
      <c r="AL820" s="409"/>
      <c r="AM820" s="409" t="s">
        <v>3100</v>
      </c>
      <c r="AN820" s="409" t="s">
        <v>3101</v>
      </c>
      <c r="AO820" s="409"/>
      <c r="AP820" s="409" t="s">
        <v>6744</v>
      </c>
      <c r="AQ820" s="409" t="s">
        <v>3424</v>
      </c>
      <c r="AR820" s="409"/>
      <c r="AS820" s="409"/>
      <c r="AT820" s="399"/>
      <c r="AU820" s="399"/>
      <c r="AV820" s="399" t="str">
        <f t="shared" si="123"/>
        <v/>
      </c>
      <c r="AW820" s="399"/>
      <c r="AX820" s="409" t="s">
        <v>5194</v>
      </c>
      <c r="AY820" s="399" t="str">
        <f t="shared" si="124"/>
        <v/>
      </c>
      <c r="AZ820" s="399"/>
      <c r="BA820" s="409" t="s">
        <v>3125</v>
      </c>
      <c r="BB820" s="399"/>
      <c r="BC820" s="399" t="s">
        <v>1787</v>
      </c>
      <c r="BD820" s="409" t="s">
        <v>3162</v>
      </c>
      <c r="BE820" s="411"/>
      <c r="BF820" s="411" t="s">
        <v>1787</v>
      </c>
      <c r="BG820" s="411"/>
      <c r="BH820" s="411"/>
      <c r="BI820" s="411"/>
      <c r="BJ820" s="409" t="s">
        <v>3106</v>
      </c>
      <c r="BK820" s="755"/>
      <c r="BL820" s="755"/>
      <c r="BM820" s="755" t="s">
        <v>9435</v>
      </c>
      <c r="BN820" s="399" t="s">
        <v>1787</v>
      </c>
      <c r="BO820" s="399" t="s">
        <v>1787</v>
      </c>
      <c r="BP820" s="399" t="s">
        <v>1787</v>
      </c>
      <c r="BQ820" s="399" t="s">
        <v>1787</v>
      </c>
      <c r="BR820" s="399" t="s">
        <v>1787</v>
      </c>
      <c r="BS820" s="407"/>
      <c r="BT820" s="407"/>
      <c r="BU820" s="412"/>
      <c r="BV820" s="46" t="str">
        <f t="shared" si="8"/>
        <v>MedicationAdministration</v>
      </c>
      <c r="BW820" s="46" t="str">
        <f t="shared" si="9"/>
        <v/>
      </c>
      <c r="BX820" s="46" t="str">
        <f t="shared" si="10"/>
        <v>MedicationAdministration</v>
      </c>
      <c r="BY820" s="43" t="str">
        <f t="shared" si="11"/>
        <v>WHO-STI MedicationAdministration</v>
      </c>
      <c r="BZ820" s="46">
        <f t="shared" si="12"/>
        <v>1</v>
      </c>
      <c r="CA820" s="46">
        <f t="shared" si="13"/>
        <v>0</v>
      </c>
      <c r="CB820" s="46">
        <f t="shared" si="14"/>
        <v>1</v>
      </c>
      <c r="CC820" s="46">
        <f t="shared" si="15"/>
        <v>1</v>
      </c>
      <c r="CD820" s="46">
        <f t="shared" si="16"/>
        <v>1</v>
      </c>
      <c r="CE820" s="46">
        <f t="shared" si="17"/>
        <v>0</v>
      </c>
      <c r="CF820" s="46">
        <f t="shared" si="18"/>
        <v>0</v>
      </c>
      <c r="CG820" s="46" t="str">
        <f ca="1">IFERROR(__xludf.DUMMYFUNCTION("if(OR(BH820="""",LEFT(BH820,2)=""LA""),"""",IMPORTXML(CONCATENATE(""https://loinc.org/"",BH820,""/""),""//span[@id='lcn']""))"),"")</f>
        <v/>
      </c>
      <c r="CH820" s="46"/>
      <c r="CI820" s="46"/>
      <c r="CJ820" s="46"/>
      <c r="CK820" s="46"/>
      <c r="CL820" s="46"/>
      <c r="CM820" s="46"/>
      <c r="CN820" s="46"/>
      <c r="CO820" s="46"/>
      <c r="CP820" s="46"/>
      <c r="CQ820" s="46"/>
      <c r="CR820" s="46"/>
      <c r="CS820" s="46"/>
      <c r="CT820" s="46"/>
      <c r="CU820" s="46"/>
    </row>
    <row r="821" spans="1:99" ht="12.75" customHeight="1">
      <c r="A821" s="409">
        <v>2262</v>
      </c>
      <c r="B821" s="399" t="s">
        <v>9436</v>
      </c>
      <c r="C821" s="399">
        <f t="shared" si="117"/>
        <v>2262</v>
      </c>
      <c r="D821" s="399" t="str">
        <f t="shared" si="118"/>
        <v>Date of treatment</v>
      </c>
      <c r="E821" s="399" t="str">
        <f t="shared" si="119"/>
        <v>Date of treatment</v>
      </c>
      <c r="F821" s="399" t="str">
        <f t="shared" si="131"/>
        <v>Data Element</v>
      </c>
      <c r="G821" s="400">
        <f t="shared" si="129"/>
        <v>17</v>
      </c>
      <c r="H821" s="400" t="str">
        <f t="shared" si="132"/>
        <v/>
      </c>
      <c r="I821" s="400"/>
      <c r="J821" s="400"/>
      <c r="K821" s="402" t="s">
        <v>9140</v>
      </c>
      <c r="L821" s="402" t="s">
        <v>4081</v>
      </c>
      <c r="M821" s="400"/>
      <c r="N821" s="639" t="s">
        <v>9141</v>
      </c>
      <c r="O821" s="404" t="s">
        <v>9437</v>
      </c>
      <c r="P821" s="404"/>
      <c r="Q821" s="429" t="s">
        <v>9436</v>
      </c>
      <c r="R821" s="431"/>
      <c r="S821" s="407"/>
      <c r="T821" s="407" t="s">
        <v>3158</v>
      </c>
      <c r="U821" s="407"/>
      <c r="V821" s="404"/>
      <c r="W821" s="407"/>
      <c r="X821" s="407" t="s">
        <v>113</v>
      </c>
      <c r="Y821" s="404" t="s">
        <v>9438</v>
      </c>
      <c r="Z821" s="407" t="s">
        <v>113</v>
      </c>
      <c r="AA821" s="407" t="s">
        <v>1889</v>
      </c>
      <c r="AB821" s="408"/>
      <c r="AC821" s="407"/>
      <c r="AD821" s="407"/>
      <c r="AE821" s="406"/>
      <c r="AF821" s="404"/>
      <c r="AG821" s="404"/>
      <c r="AH821" s="399"/>
      <c r="AI821" s="400"/>
      <c r="AJ821" s="399" t="s">
        <v>1787</v>
      </c>
      <c r="AK821" s="409" t="s">
        <v>6747</v>
      </c>
      <c r="AL821" s="409" t="s">
        <v>3513</v>
      </c>
      <c r="AM821" s="409" t="s">
        <v>3100</v>
      </c>
      <c r="AN821" s="409" t="s">
        <v>3101</v>
      </c>
      <c r="AO821" s="399" t="s">
        <v>1787</v>
      </c>
      <c r="AP821" s="409" t="s">
        <v>6744</v>
      </c>
      <c r="AQ821" s="409" t="s">
        <v>3424</v>
      </c>
      <c r="AR821" s="399"/>
      <c r="AS821" s="399"/>
      <c r="AT821" s="399"/>
      <c r="AU821" s="399"/>
      <c r="AV821" s="399" t="str">
        <f t="shared" si="123"/>
        <v/>
      </c>
      <c r="AW821" s="399"/>
      <c r="AX821" s="409" t="s">
        <v>5194</v>
      </c>
      <c r="AY821" s="399" t="str">
        <f t="shared" si="124"/>
        <v/>
      </c>
      <c r="AZ821" s="399"/>
      <c r="BA821" s="409" t="s">
        <v>3125</v>
      </c>
      <c r="BB821" s="399"/>
      <c r="BC821" s="399" t="s">
        <v>1787</v>
      </c>
      <c r="BD821" s="399" t="s">
        <v>1787</v>
      </c>
      <c r="BE821" s="411"/>
      <c r="BF821" s="411" t="s">
        <v>1787</v>
      </c>
      <c r="BG821" s="411"/>
      <c r="BH821" s="411"/>
      <c r="BI821" s="411"/>
      <c r="BJ821" s="409" t="s">
        <v>3106</v>
      </c>
      <c r="BK821" s="399" t="s">
        <v>1787</v>
      </c>
      <c r="BL821" s="399"/>
      <c r="BM821" s="399" t="s">
        <v>1787</v>
      </c>
      <c r="BN821" s="399" t="s">
        <v>1787</v>
      </c>
      <c r="BO821" s="399" t="s">
        <v>1787</v>
      </c>
      <c r="BP821" s="399" t="s">
        <v>1787</v>
      </c>
      <c r="BQ821" s="399" t="s">
        <v>1787</v>
      </c>
      <c r="BR821" s="399" t="s">
        <v>1787</v>
      </c>
      <c r="BS821" s="407"/>
      <c r="BT821" s="407"/>
      <c r="BU821" s="412"/>
      <c r="BV821" s="46" t="str">
        <f t="shared" si="8"/>
        <v>MedicationAdministration</v>
      </c>
      <c r="BW821" s="46" t="str">
        <f t="shared" si="9"/>
        <v/>
      </c>
      <c r="BX821" s="46" t="str">
        <f t="shared" si="10"/>
        <v>MedicationAdministration</v>
      </c>
      <c r="BY821" s="43" t="str">
        <f t="shared" si="11"/>
        <v>WHO-STI MedicationAdministration</v>
      </c>
      <c r="BZ821" s="46">
        <f t="shared" si="12"/>
        <v>1</v>
      </c>
      <c r="CA821" s="46">
        <f t="shared" si="13"/>
        <v>0</v>
      </c>
      <c r="CB821" s="46">
        <f t="shared" si="14"/>
        <v>1</v>
      </c>
      <c r="CC821" s="46">
        <f t="shared" si="15"/>
        <v>1</v>
      </c>
      <c r="CD821" s="46">
        <f t="shared" si="16"/>
        <v>1</v>
      </c>
      <c r="CE821" s="46">
        <f t="shared" si="17"/>
        <v>0</v>
      </c>
      <c r="CF821" s="46">
        <f t="shared" si="18"/>
        <v>0</v>
      </c>
      <c r="CG821" s="46" t="str">
        <f ca="1">IFERROR(__xludf.DUMMYFUNCTION("if(OR(BH821="""",LEFT(BH821,2)=""LA""),"""",IMPORTXML(CONCATENATE(""https://loinc.org/"",BH821,""/""),""//span[@id='lcn']""))"),"")</f>
        <v/>
      </c>
      <c r="CH821" s="46"/>
      <c r="CI821" s="46"/>
      <c r="CJ821" s="46"/>
      <c r="CK821" s="46"/>
      <c r="CL821" s="46"/>
      <c r="CM821" s="46"/>
      <c r="CN821" s="46"/>
      <c r="CO821" s="46"/>
      <c r="CP821" s="46"/>
      <c r="CQ821" s="46"/>
      <c r="CR821" s="46"/>
      <c r="CS821" s="46"/>
      <c r="CT821" s="46"/>
      <c r="CU821" s="46"/>
    </row>
    <row r="822" spans="1:99" ht="12.75" customHeight="1">
      <c r="A822" s="409">
        <v>2265</v>
      </c>
      <c r="B822" s="399" t="s">
        <v>9439</v>
      </c>
      <c r="C822" s="399">
        <f t="shared" si="117"/>
        <v>2265</v>
      </c>
      <c r="D822" s="399" t="str">
        <f t="shared" si="118"/>
        <v>Counseling recommendations</v>
      </c>
      <c r="E822" s="399" t="str">
        <f t="shared" si="119"/>
        <v>Counseling recommendations</v>
      </c>
      <c r="F822" s="399" t="str">
        <f t="shared" si="131"/>
        <v>Data Element</v>
      </c>
      <c r="G822" s="400">
        <f t="shared" si="129"/>
        <v>26</v>
      </c>
      <c r="H822" s="400" t="str">
        <f>IF(F822="Input Option",IF(#REF!="",#REF!,#REF!),"")</f>
        <v/>
      </c>
      <c r="I822" s="400"/>
      <c r="J822" s="400"/>
      <c r="K822" s="402" t="s">
        <v>9140</v>
      </c>
      <c r="L822" s="402" t="s">
        <v>4081</v>
      </c>
      <c r="M822" s="400"/>
      <c r="N822" s="639" t="s">
        <v>9440</v>
      </c>
      <c r="O822" s="414" t="s">
        <v>9441</v>
      </c>
      <c r="P822" s="414"/>
      <c r="Q822" s="750" t="s">
        <v>9439</v>
      </c>
      <c r="R822" s="628"/>
      <c r="S822" s="752"/>
      <c r="T822" s="414"/>
      <c r="U822" s="414"/>
      <c r="V822" s="414"/>
      <c r="W822" s="407"/>
      <c r="X822" s="636"/>
      <c r="Y822" s="636"/>
      <c r="Z822" s="407" t="s">
        <v>113</v>
      </c>
      <c r="AA822" s="407" t="s">
        <v>1889</v>
      </c>
      <c r="AB822" s="629"/>
      <c r="AC822" s="636"/>
      <c r="AD822" s="636"/>
      <c r="AE822" s="629"/>
      <c r="AF822" s="636"/>
      <c r="AG822" s="750" t="s">
        <v>6102</v>
      </c>
      <c r="AH822" s="399"/>
      <c r="AI822" s="400"/>
      <c r="AJ822" s="399" t="s">
        <v>1787</v>
      </c>
      <c r="AK822" s="430" t="s">
        <v>6702</v>
      </c>
      <c r="AL822" s="409"/>
      <c r="AM822" s="409" t="s">
        <v>3100</v>
      </c>
      <c r="AN822" s="409" t="s">
        <v>3101</v>
      </c>
      <c r="AO822" s="399" t="s">
        <v>1787</v>
      </c>
      <c r="AP822" s="409" t="s">
        <v>6515</v>
      </c>
      <c r="AQ822" s="409" t="s">
        <v>3424</v>
      </c>
      <c r="AR822" s="399"/>
      <c r="AS822" s="399"/>
      <c r="AT822" s="399"/>
      <c r="AU822" s="399"/>
      <c r="AV822" s="399" t="str">
        <f t="shared" si="123"/>
        <v/>
      </c>
      <c r="AW822" s="399"/>
      <c r="AX822" s="409" t="s">
        <v>5194</v>
      </c>
      <c r="AY822" s="399" t="str">
        <f t="shared" si="124"/>
        <v/>
      </c>
      <c r="AZ822" s="399"/>
      <c r="BA822" s="409" t="s">
        <v>3125</v>
      </c>
      <c r="BB822" s="399"/>
      <c r="BC822" s="399" t="s">
        <v>1787</v>
      </c>
      <c r="BD822" s="399" t="s">
        <v>1787</v>
      </c>
      <c r="BE822" s="411"/>
      <c r="BF822" s="411" t="s">
        <v>1787</v>
      </c>
      <c r="BG822" s="411"/>
      <c r="BH822" s="411"/>
      <c r="BI822" s="411"/>
      <c r="BJ822" s="409" t="s">
        <v>3106</v>
      </c>
      <c r="BK822" s="399" t="s">
        <v>1787</v>
      </c>
      <c r="BL822" s="399"/>
      <c r="BM822" s="399" t="s">
        <v>1787</v>
      </c>
      <c r="BN822" s="399" t="s">
        <v>1787</v>
      </c>
      <c r="BO822" s="399" t="s">
        <v>1787</v>
      </c>
      <c r="BP822" s="399" t="s">
        <v>1787</v>
      </c>
      <c r="BQ822" s="399" t="s">
        <v>1787</v>
      </c>
      <c r="BR822" s="399" t="s">
        <v>1787</v>
      </c>
      <c r="BS822" s="407"/>
      <c r="BT822" s="407"/>
      <c r="BU822" s="412"/>
      <c r="BV822" s="46" t="str">
        <f t="shared" si="8"/>
        <v>CarePlan</v>
      </c>
      <c r="BW822" s="46" t="str">
        <f t="shared" si="9"/>
        <v/>
      </c>
      <c r="BX822" s="46" t="str">
        <f t="shared" si="10"/>
        <v>CarePlan</v>
      </c>
      <c r="BY822" s="43" t="str">
        <f t="shared" si="11"/>
        <v>WHO-STI CarePlan (Recommendation)</v>
      </c>
      <c r="BZ822" s="46">
        <f t="shared" si="12"/>
        <v>1</v>
      </c>
      <c r="CA822" s="46">
        <f t="shared" si="13"/>
        <v>1</v>
      </c>
      <c r="CB822" s="46">
        <f t="shared" si="14"/>
        <v>1</v>
      </c>
      <c r="CC822" s="46">
        <f t="shared" si="15"/>
        <v>1</v>
      </c>
      <c r="CD822" s="46">
        <f t="shared" si="16"/>
        <v>1</v>
      </c>
      <c r="CE822" s="46">
        <f t="shared" si="17"/>
        <v>0</v>
      </c>
      <c r="CF822" s="46">
        <f t="shared" si="18"/>
        <v>0</v>
      </c>
      <c r="CG822" s="46" t="str">
        <f ca="1">IFERROR(__xludf.DUMMYFUNCTION("if(OR(BH822="""",LEFT(BH822,2)=""LA""),"""",IMPORTXML(CONCATENATE(""https://loinc.org/"",BH822,""/""),""//span[@id='lcn']""))"),"")</f>
        <v/>
      </c>
      <c r="CH822" s="46"/>
      <c r="CI822" s="46"/>
      <c r="CJ822" s="46"/>
      <c r="CK822" s="46"/>
      <c r="CL822" s="46"/>
      <c r="CM822" s="46"/>
      <c r="CN822" s="46"/>
      <c r="CO822" s="46"/>
      <c r="CP822" s="46"/>
      <c r="CQ822" s="46"/>
      <c r="CR822" s="46"/>
      <c r="CS822" s="46"/>
      <c r="CT822" s="46"/>
      <c r="CU822" s="46"/>
    </row>
    <row r="823" spans="1:99" ht="12.75" customHeight="1">
      <c r="A823" s="409">
        <v>2266</v>
      </c>
      <c r="B823" s="409" t="s">
        <v>9442</v>
      </c>
      <c r="C823" s="399">
        <f t="shared" si="117"/>
        <v>2266</v>
      </c>
      <c r="D823" s="399" t="e">
        <f t="shared" ca="1" si="118"/>
        <v>#NAME?</v>
      </c>
      <c r="E823" s="399" t="str">
        <f t="shared" si="119"/>
        <v>provide partner treatment</v>
      </c>
      <c r="F823" s="399" t="str">
        <f t="shared" si="131"/>
        <v>Input Option</v>
      </c>
      <c r="G823" s="400">
        <f t="shared" si="129"/>
        <v>32</v>
      </c>
      <c r="H823" s="399" t="str">
        <f t="shared" ref="H823:H946" si="133">IF(F823="Input Option",IF(H822="",B822,H822),"")</f>
        <v>Counseling recommendations</v>
      </c>
      <c r="I823" s="400"/>
      <c r="J823" s="400"/>
      <c r="K823" s="402" t="s">
        <v>9140</v>
      </c>
      <c r="L823" s="402" t="s">
        <v>4081</v>
      </c>
      <c r="M823" s="400"/>
      <c r="N823" s="639" t="s">
        <v>9440</v>
      </c>
      <c r="O823" s="414" t="s">
        <v>9443</v>
      </c>
      <c r="P823" s="414"/>
      <c r="Q823" s="636"/>
      <c r="R823" s="414"/>
      <c r="S823" s="636"/>
      <c r="T823" s="414"/>
      <c r="U823" s="414"/>
      <c r="V823" s="753" t="s">
        <v>9444</v>
      </c>
      <c r="W823" s="407"/>
      <c r="X823" s="636"/>
      <c r="Y823" s="636"/>
      <c r="Z823" s="407" t="s">
        <v>113</v>
      </c>
      <c r="AA823" s="407" t="s">
        <v>1889</v>
      </c>
      <c r="AB823" s="629"/>
      <c r="AC823" s="636"/>
      <c r="AD823" s="636"/>
      <c r="AE823" s="629"/>
      <c r="AF823" s="636"/>
      <c r="AG823" s="750" t="s">
        <v>6102</v>
      </c>
      <c r="AH823" s="399"/>
      <c r="AI823" s="400"/>
      <c r="AJ823" s="399" t="s">
        <v>1787</v>
      </c>
      <c r="AK823" s="399"/>
      <c r="AL823" s="399" t="s">
        <v>1787</v>
      </c>
      <c r="AM823" s="399"/>
      <c r="AN823" s="399" t="s">
        <v>1787</v>
      </c>
      <c r="AO823" s="399" t="s">
        <v>1787</v>
      </c>
      <c r="AP823" s="399"/>
      <c r="AQ823" s="409" t="s">
        <v>3130</v>
      </c>
      <c r="AR823" s="399"/>
      <c r="AS823" s="399"/>
      <c r="AT823" s="399"/>
      <c r="AU823" s="399"/>
      <c r="AV823" s="399" t="str">
        <f t="shared" si="123"/>
        <v/>
      </c>
      <c r="AW823" s="399"/>
      <c r="AX823" s="409" t="s">
        <v>5194</v>
      </c>
      <c r="AY823" s="399" t="e">
        <f t="shared" ca="1" si="124"/>
        <v>#NAME?</v>
      </c>
      <c r="AZ823" s="399"/>
      <c r="BA823" s="409" t="s">
        <v>3125</v>
      </c>
      <c r="BB823" s="415" t="s">
        <v>3131</v>
      </c>
      <c r="BC823" s="399" t="s">
        <v>9444</v>
      </c>
      <c r="BD823" s="399" t="s">
        <v>1787</v>
      </c>
      <c r="BE823" s="411"/>
      <c r="BF823" s="411" t="s">
        <v>1787</v>
      </c>
      <c r="BG823" s="411"/>
      <c r="BH823" s="411"/>
      <c r="BI823" s="411"/>
      <c r="BJ823" s="409" t="s">
        <v>4282</v>
      </c>
      <c r="BK823" s="399" t="s">
        <v>1787</v>
      </c>
      <c r="BL823" s="399"/>
      <c r="BM823" s="409" t="s">
        <v>9445</v>
      </c>
      <c r="BN823" s="399" t="s">
        <v>1787</v>
      </c>
      <c r="BO823" s="399" t="s">
        <v>1787</v>
      </c>
      <c r="BP823" s="399" t="s">
        <v>1787</v>
      </c>
      <c r="BQ823" s="399" t="s">
        <v>1787</v>
      </c>
      <c r="BR823" s="399" t="s">
        <v>1787</v>
      </c>
      <c r="BS823" s="407"/>
      <c r="BT823" s="407"/>
      <c r="BU823" s="412"/>
      <c r="BV823" s="46" t="str">
        <f t="shared" si="8"/>
        <v/>
      </c>
      <c r="BW823" s="46">
        <f t="shared" si="9"/>
        <v>0</v>
      </c>
      <c r="BX823" s="46">
        <f t="shared" si="10"/>
        <v>0</v>
      </c>
      <c r="BY823" s="43" t="str">
        <f t="shared" si="11"/>
        <v>WHO-STI CarePlan (Recommendation)</v>
      </c>
      <c r="BZ823" s="46">
        <f t="shared" si="12"/>
        <v>1</v>
      </c>
      <c r="CA823" s="46" t="str">
        <f t="shared" si="13"/>
        <v/>
      </c>
      <c r="CB823" s="46">
        <f t="shared" si="14"/>
        <v>1</v>
      </c>
      <c r="CC823" s="46">
        <f t="shared" si="15"/>
        <v>1</v>
      </c>
      <c r="CD823" s="46">
        <f t="shared" si="16"/>
        <v>1</v>
      </c>
      <c r="CE823" s="46">
        <f t="shared" si="17"/>
        <v>0</v>
      </c>
      <c r="CF823" s="46">
        <f t="shared" si="18"/>
        <v>0</v>
      </c>
      <c r="CG823" s="46" t="str">
        <f ca="1">IFERROR(__xludf.DUMMYFUNCTION("if(OR(BH823="""",LEFT(BH823,2)=""LA""),"""",IMPORTXML(CONCATENATE(""https://loinc.org/"",BH823,""/""),""//span[@id='lcn']""))"),"")</f>
        <v/>
      </c>
      <c r="CH823" s="46"/>
      <c r="CI823" s="46"/>
      <c r="CJ823" s="46"/>
      <c r="CK823" s="46"/>
      <c r="CL823" s="46"/>
      <c r="CM823" s="46"/>
      <c r="CN823" s="46"/>
      <c r="CO823" s="46"/>
      <c r="CP823" s="46"/>
      <c r="CQ823" s="46"/>
      <c r="CR823" s="46"/>
      <c r="CS823" s="46"/>
      <c r="CT823" s="46"/>
      <c r="CU823" s="46"/>
    </row>
    <row r="824" spans="1:99" ht="12.75" customHeight="1">
      <c r="A824" s="409">
        <v>2267</v>
      </c>
      <c r="B824" s="399" t="s">
        <v>9446</v>
      </c>
      <c r="C824" s="399">
        <f t="shared" si="117"/>
        <v>2267</v>
      </c>
      <c r="D824" s="399" t="e">
        <f t="shared" ca="1" si="118"/>
        <v>#NAME?</v>
      </c>
      <c r="E824" s="399" t="str">
        <f t="shared" si="119"/>
        <v>re-treat</v>
      </c>
      <c r="F824" s="399" t="str">
        <f t="shared" si="131"/>
        <v>Input Option</v>
      </c>
      <c r="G824" s="400">
        <f t="shared" si="129"/>
        <v>15</v>
      </c>
      <c r="H824" s="399" t="str">
        <f t="shared" si="133"/>
        <v>Counseling recommendations</v>
      </c>
      <c r="I824" s="400"/>
      <c r="J824" s="400"/>
      <c r="K824" s="402" t="s">
        <v>9140</v>
      </c>
      <c r="L824" s="402" t="s">
        <v>4081</v>
      </c>
      <c r="M824" s="400"/>
      <c r="N824" s="639" t="s">
        <v>9440</v>
      </c>
      <c r="O824" s="414" t="s">
        <v>9447</v>
      </c>
      <c r="P824" s="414"/>
      <c r="Q824" s="636"/>
      <c r="R824" s="414"/>
      <c r="S824" s="636"/>
      <c r="T824" s="636"/>
      <c r="U824" s="636"/>
      <c r="V824" s="751" t="s">
        <v>9448</v>
      </c>
      <c r="W824" s="407"/>
      <c r="X824" s="636"/>
      <c r="Y824" s="636"/>
      <c r="Z824" s="407" t="s">
        <v>113</v>
      </c>
      <c r="AA824" s="407" t="s">
        <v>1889</v>
      </c>
      <c r="AB824" s="629"/>
      <c r="AC824" s="636"/>
      <c r="AD824" s="636"/>
      <c r="AE824" s="629"/>
      <c r="AF824" s="636"/>
      <c r="AG824" s="750" t="s">
        <v>6102</v>
      </c>
      <c r="AH824" s="399"/>
      <c r="AI824" s="400"/>
      <c r="AJ824" s="399" t="s">
        <v>1787</v>
      </c>
      <c r="AK824" s="399"/>
      <c r="AL824" s="399" t="s">
        <v>1787</v>
      </c>
      <c r="AM824" s="399"/>
      <c r="AN824" s="399" t="s">
        <v>1787</v>
      </c>
      <c r="AO824" s="399" t="s">
        <v>1787</v>
      </c>
      <c r="AP824" s="399"/>
      <c r="AQ824" s="409" t="s">
        <v>3130</v>
      </c>
      <c r="AR824" s="399"/>
      <c r="AS824" s="399"/>
      <c r="AT824" s="399"/>
      <c r="AU824" s="399"/>
      <c r="AV824" s="399" t="str">
        <f t="shared" si="123"/>
        <v/>
      </c>
      <c r="AW824" s="399"/>
      <c r="AX824" s="409" t="s">
        <v>5194</v>
      </c>
      <c r="AY824" s="399" t="e">
        <f t="shared" ca="1" si="124"/>
        <v>#NAME?</v>
      </c>
      <c r="AZ824" s="399"/>
      <c r="BA824" s="409" t="s">
        <v>3125</v>
      </c>
      <c r="BB824" s="399"/>
      <c r="BC824" s="399" t="s">
        <v>1787</v>
      </c>
      <c r="BD824" s="399" t="s">
        <v>1787</v>
      </c>
      <c r="BE824" s="411"/>
      <c r="BF824" s="411" t="s">
        <v>1787</v>
      </c>
      <c r="BG824" s="434" t="s">
        <v>9449</v>
      </c>
      <c r="BH824" s="411"/>
      <c r="BI824" s="411"/>
      <c r="BJ824" s="399" t="s">
        <v>1787</v>
      </c>
      <c r="BK824" s="399" t="s">
        <v>1787</v>
      </c>
      <c r="BL824" s="399"/>
      <c r="BM824" s="409" t="s">
        <v>9450</v>
      </c>
      <c r="BN824" s="399" t="s">
        <v>1787</v>
      </c>
      <c r="BO824" s="399" t="s">
        <v>1787</v>
      </c>
      <c r="BP824" s="399" t="s">
        <v>1787</v>
      </c>
      <c r="BQ824" s="399" t="s">
        <v>1787</v>
      </c>
      <c r="BR824" s="399" t="s">
        <v>1787</v>
      </c>
      <c r="BS824" s="407"/>
      <c r="BT824" s="407"/>
      <c r="BU824" s="412"/>
      <c r="BV824" s="46" t="str">
        <f t="shared" si="8"/>
        <v/>
      </c>
      <c r="BW824" s="46">
        <f t="shared" si="9"/>
        <v>0</v>
      </c>
      <c r="BX824" s="46">
        <f t="shared" si="10"/>
        <v>0</v>
      </c>
      <c r="BY824" s="43" t="str">
        <f t="shared" si="11"/>
        <v>WHO-STI CarePlan (Recommendation)</v>
      </c>
      <c r="BZ824" s="46">
        <f t="shared" si="12"/>
        <v>1</v>
      </c>
      <c r="CA824" s="46" t="str">
        <f t="shared" si="13"/>
        <v/>
      </c>
      <c r="CB824" s="46">
        <f t="shared" si="14"/>
        <v>1</v>
      </c>
      <c r="CC824" s="46">
        <f t="shared" si="15"/>
        <v>1</v>
      </c>
      <c r="CD824" s="46">
        <f t="shared" si="16"/>
        <v>1</v>
      </c>
      <c r="CE824" s="46">
        <f t="shared" si="17"/>
        <v>0</v>
      </c>
      <c r="CF824" s="46">
        <f t="shared" si="18"/>
        <v>0</v>
      </c>
      <c r="CG824" s="46" t="str">
        <f ca="1">IFERROR(__xludf.DUMMYFUNCTION("if(OR(BH824="""",LEFT(BH824,2)=""LA""),"""",IMPORTXML(CONCATENATE(""https://loinc.org/"",BH824,""/""),""//span[@id='lcn']""))"),"")</f>
        <v/>
      </c>
      <c r="CH824" s="46"/>
      <c r="CI824" s="46"/>
      <c r="CJ824" s="46"/>
      <c r="CK824" s="46"/>
      <c r="CL824" s="46"/>
      <c r="CM824" s="46"/>
      <c r="CN824" s="46"/>
      <c r="CO824" s="46"/>
      <c r="CP824" s="46"/>
      <c r="CQ824" s="46"/>
      <c r="CR824" s="46"/>
      <c r="CS824" s="46"/>
      <c r="CT824" s="46"/>
      <c r="CU824" s="46"/>
    </row>
    <row r="825" spans="1:99" ht="12.75" customHeight="1">
      <c r="A825" s="409">
        <v>2268</v>
      </c>
      <c r="B825" s="399" t="s">
        <v>9451</v>
      </c>
      <c r="C825" s="399">
        <f t="shared" si="117"/>
        <v>2268</v>
      </c>
      <c r="D825" s="399" t="e">
        <f t="shared" ca="1" si="118"/>
        <v>#NAME?</v>
      </c>
      <c r="E825" s="399" t="str">
        <f t="shared" si="119"/>
        <v>reinforce condom use</v>
      </c>
      <c r="F825" s="399" t="str">
        <f t="shared" si="131"/>
        <v>Input Option</v>
      </c>
      <c r="G825" s="400">
        <f t="shared" si="129"/>
        <v>27</v>
      </c>
      <c r="H825" s="399" t="str">
        <f t="shared" si="133"/>
        <v>Counseling recommendations</v>
      </c>
      <c r="I825" s="400"/>
      <c r="J825" s="400"/>
      <c r="K825" s="402" t="s">
        <v>9140</v>
      </c>
      <c r="L825" s="402" t="s">
        <v>4081</v>
      </c>
      <c r="M825" s="400"/>
      <c r="N825" s="639" t="s">
        <v>9440</v>
      </c>
      <c r="O825" s="414" t="s">
        <v>9452</v>
      </c>
      <c r="P825" s="414"/>
      <c r="Q825" s="636"/>
      <c r="R825" s="414"/>
      <c r="S825" s="636"/>
      <c r="T825" s="636"/>
      <c r="U825" s="636"/>
      <c r="V825" s="753" t="s">
        <v>9453</v>
      </c>
      <c r="W825" s="407"/>
      <c r="X825" s="636"/>
      <c r="Y825" s="636"/>
      <c r="Z825" s="407" t="s">
        <v>113</v>
      </c>
      <c r="AA825" s="407" t="s">
        <v>1889</v>
      </c>
      <c r="AB825" s="629"/>
      <c r="AC825" s="636"/>
      <c r="AD825" s="636"/>
      <c r="AE825" s="629"/>
      <c r="AF825" s="636"/>
      <c r="AG825" s="750" t="s">
        <v>6102</v>
      </c>
      <c r="AH825" s="399"/>
      <c r="AI825" s="400"/>
      <c r="AJ825" s="399" t="s">
        <v>1787</v>
      </c>
      <c r="AK825" s="399"/>
      <c r="AL825" s="399" t="s">
        <v>1787</v>
      </c>
      <c r="AM825" s="399"/>
      <c r="AN825" s="399" t="s">
        <v>1787</v>
      </c>
      <c r="AO825" s="399" t="s">
        <v>1787</v>
      </c>
      <c r="AP825" s="399"/>
      <c r="AQ825" s="409" t="s">
        <v>3130</v>
      </c>
      <c r="AR825" s="399"/>
      <c r="AS825" s="399"/>
      <c r="AT825" s="399"/>
      <c r="AU825" s="399"/>
      <c r="AV825" s="399" t="str">
        <f t="shared" si="123"/>
        <v/>
      </c>
      <c r="AW825" s="399"/>
      <c r="AX825" s="409" t="s">
        <v>5194</v>
      </c>
      <c r="AY825" s="399" t="e">
        <f t="shared" ca="1" si="124"/>
        <v>#NAME?</v>
      </c>
      <c r="AZ825" s="399"/>
      <c r="BA825" s="409" t="s">
        <v>3125</v>
      </c>
      <c r="BB825" s="399"/>
      <c r="BC825" s="399" t="s">
        <v>1787</v>
      </c>
      <c r="BD825" s="399" t="s">
        <v>1787</v>
      </c>
      <c r="BE825" s="411"/>
      <c r="BF825" s="411" t="s">
        <v>1787</v>
      </c>
      <c r="BG825" s="434" t="s">
        <v>9454</v>
      </c>
      <c r="BH825" s="411"/>
      <c r="BI825" s="411"/>
      <c r="BJ825" s="399" t="s">
        <v>1787</v>
      </c>
      <c r="BK825" s="399" t="s">
        <v>1787</v>
      </c>
      <c r="BL825" s="399"/>
      <c r="BM825" s="409" t="s">
        <v>9455</v>
      </c>
      <c r="BN825" s="399" t="s">
        <v>1787</v>
      </c>
      <c r="BO825" s="399" t="s">
        <v>1787</v>
      </c>
      <c r="BP825" s="399" t="s">
        <v>1787</v>
      </c>
      <c r="BQ825" s="399" t="s">
        <v>1787</v>
      </c>
      <c r="BR825" s="399" t="s">
        <v>1787</v>
      </c>
      <c r="BS825" s="407"/>
      <c r="BT825" s="407"/>
      <c r="BU825" s="412"/>
      <c r="BV825" s="46" t="str">
        <f t="shared" si="8"/>
        <v/>
      </c>
      <c r="BW825" s="46">
        <f t="shared" si="9"/>
        <v>0</v>
      </c>
      <c r="BX825" s="46">
        <f t="shared" si="10"/>
        <v>0</v>
      </c>
      <c r="BY825" s="43" t="str">
        <f t="shared" si="11"/>
        <v>WHO-STI CarePlan (Recommendation)</v>
      </c>
      <c r="BZ825" s="46">
        <f t="shared" si="12"/>
        <v>1</v>
      </c>
      <c r="CA825" s="46" t="str">
        <f t="shared" si="13"/>
        <v/>
      </c>
      <c r="CB825" s="46">
        <f t="shared" si="14"/>
        <v>1</v>
      </c>
      <c r="CC825" s="46">
        <f t="shared" si="15"/>
        <v>1</v>
      </c>
      <c r="CD825" s="46">
        <f t="shared" si="16"/>
        <v>1</v>
      </c>
      <c r="CE825" s="46">
        <f t="shared" si="17"/>
        <v>0</v>
      </c>
      <c r="CF825" s="46">
        <f t="shared" si="18"/>
        <v>0</v>
      </c>
      <c r="CG825" s="46" t="str">
        <f ca="1">IFERROR(__xludf.DUMMYFUNCTION("if(OR(BH825="""",LEFT(BH825,2)=""LA""),"""",IMPORTXML(CONCATENATE(""https://loinc.org/"",BH825,""/""),""//span[@id='lcn']""))"),"")</f>
        <v/>
      </c>
      <c r="CH825" s="46"/>
      <c r="CI825" s="46"/>
      <c r="CJ825" s="46"/>
      <c r="CK825" s="46"/>
      <c r="CL825" s="46"/>
      <c r="CM825" s="46"/>
      <c r="CN825" s="46"/>
      <c r="CO825" s="46"/>
      <c r="CP825" s="46"/>
      <c r="CQ825" s="46"/>
      <c r="CR825" s="46"/>
      <c r="CS825" s="46"/>
      <c r="CT825" s="46"/>
      <c r="CU825" s="46"/>
    </row>
    <row r="826" spans="1:99" ht="12.75" customHeight="1">
      <c r="A826" s="409">
        <v>2269</v>
      </c>
      <c r="B826" s="399" t="s">
        <v>9456</v>
      </c>
      <c r="C826" s="399">
        <f t="shared" si="117"/>
        <v>2269</v>
      </c>
      <c r="D826" s="399" t="e">
        <f t="shared" ca="1" si="118"/>
        <v>#NAME?</v>
      </c>
      <c r="E826" s="399" t="str">
        <f t="shared" si="119"/>
        <v>reinforce sexual abstinence</v>
      </c>
      <c r="F826" s="399" t="str">
        <f t="shared" si="131"/>
        <v>Input Option</v>
      </c>
      <c r="G826" s="400">
        <f t="shared" si="129"/>
        <v>34</v>
      </c>
      <c r="H826" s="399" t="str">
        <f t="shared" si="133"/>
        <v>Counseling recommendations</v>
      </c>
      <c r="I826" s="400"/>
      <c r="J826" s="400"/>
      <c r="K826" s="402" t="s">
        <v>9140</v>
      </c>
      <c r="L826" s="402" t="s">
        <v>4081</v>
      </c>
      <c r="M826" s="400"/>
      <c r="N826" s="639" t="s">
        <v>9440</v>
      </c>
      <c r="O826" s="414" t="s">
        <v>9457</v>
      </c>
      <c r="P826" s="414"/>
      <c r="Q826" s="636"/>
      <c r="R826" s="414"/>
      <c r="S826" s="636"/>
      <c r="T826" s="636"/>
      <c r="U826" s="636"/>
      <c r="V826" s="753" t="s">
        <v>9458</v>
      </c>
      <c r="W826" s="407"/>
      <c r="X826" s="636"/>
      <c r="Y826" s="636"/>
      <c r="Z826" s="407" t="s">
        <v>113</v>
      </c>
      <c r="AA826" s="407" t="s">
        <v>1889</v>
      </c>
      <c r="AB826" s="629"/>
      <c r="AC826" s="636"/>
      <c r="AD826" s="636"/>
      <c r="AE826" s="629"/>
      <c r="AF826" s="636"/>
      <c r="AG826" s="750" t="s">
        <v>6102</v>
      </c>
      <c r="AH826" s="399"/>
      <c r="AI826" s="400"/>
      <c r="AJ826" s="399" t="s">
        <v>1787</v>
      </c>
      <c r="AK826" s="399"/>
      <c r="AL826" s="399" t="s">
        <v>1787</v>
      </c>
      <c r="AM826" s="399"/>
      <c r="AN826" s="399" t="s">
        <v>1787</v>
      </c>
      <c r="AO826" s="399" t="s">
        <v>1787</v>
      </c>
      <c r="AP826" s="399"/>
      <c r="AQ826" s="409" t="s">
        <v>3130</v>
      </c>
      <c r="AR826" s="399"/>
      <c r="AS826" s="399"/>
      <c r="AT826" s="399"/>
      <c r="AU826" s="399"/>
      <c r="AV826" s="399" t="str">
        <f t="shared" si="123"/>
        <v/>
      </c>
      <c r="AW826" s="399"/>
      <c r="AX826" s="409" t="s">
        <v>5194</v>
      </c>
      <c r="AY826" s="399" t="e">
        <f t="shared" ca="1" si="124"/>
        <v>#NAME?</v>
      </c>
      <c r="AZ826" s="399"/>
      <c r="BA826" s="409" t="s">
        <v>3125</v>
      </c>
      <c r="BB826" s="399"/>
      <c r="BC826" s="399" t="s">
        <v>1787</v>
      </c>
      <c r="BD826" s="399" t="s">
        <v>1787</v>
      </c>
      <c r="BE826" s="411"/>
      <c r="BF826" s="411" t="s">
        <v>1787</v>
      </c>
      <c r="BG826" s="434" t="s">
        <v>9459</v>
      </c>
      <c r="BH826" s="411"/>
      <c r="BI826" s="411"/>
      <c r="BJ826" s="399" t="s">
        <v>1787</v>
      </c>
      <c r="BK826" s="399" t="s">
        <v>1787</v>
      </c>
      <c r="BL826" s="399"/>
      <c r="BM826" s="409" t="s">
        <v>9460</v>
      </c>
      <c r="BN826" s="399" t="s">
        <v>1787</v>
      </c>
      <c r="BO826" s="399" t="s">
        <v>1787</v>
      </c>
      <c r="BP826" s="399" t="s">
        <v>1787</v>
      </c>
      <c r="BQ826" s="399" t="s">
        <v>1787</v>
      </c>
      <c r="BR826" s="399" t="s">
        <v>1787</v>
      </c>
      <c r="BS826" s="407"/>
      <c r="BT826" s="407"/>
      <c r="BU826" s="412"/>
      <c r="BV826" s="46" t="str">
        <f t="shared" si="8"/>
        <v/>
      </c>
      <c r="BW826" s="46">
        <f t="shared" si="9"/>
        <v>0</v>
      </c>
      <c r="BX826" s="46">
        <f t="shared" si="10"/>
        <v>0</v>
      </c>
      <c r="BY826" s="43" t="str">
        <f t="shared" si="11"/>
        <v>WHO-STI CarePlan (Recommendation)</v>
      </c>
      <c r="BZ826" s="46">
        <f t="shared" si="12"/>
        <v>1</v>
      </c>
      <c r="CA826" s="46" t="str">
        <f t="shared" si="13"/>
        <v/>
      </c>
      <c r="CB826" s="46">
        <f t="shared" si="14"/>
        <v>1</v>
      </c>
      <c r="CC826" s="46">
        <f t="shared" si="15"/>
        <v>1</v>
      </c>
      <c r="CD826" s="46">
        <f t="shared" si="16"/>
        <v>1</v>
      </c>
      <c r="CE826" s="46">
        <f t="shared" si="17"/>
        <v>0</v>
      </c>
      <c r="CF826" s="46">
        <f t="shared" si="18"/>
        <v>0</v>
      </c>
      <c r="CG826" s="46" t="str">
        <f ca="1">IFERROR(__xludf.DUMMYFUNCTION("if(OR(BH826="""",LEFT(BH826,2)=""LA""),"""",IMPORTXML(CONCATENATE(""https://loinc.org/"",BH826,""/""),""//span[@id='lcn']""))"),"")</f>
        <v/>
      </c>
      <c r="CH826" s="46"/>
      <c r="CI826" s="46"/>
      <c r="CJ826" s="46"/>
      <c r="CK826" s="46"/>
      <c r="CL826" s="46"/>
      <c r="CM826" s="46"/>
      <c r="CN826" s="46"/>
      <c r="CO826" s="46"/>
      <c r="CP826" s="46"/>
      <c r="CQ826" s="46"/>
      <c r="CR826" s="46"/>
      <c r="CS826" s="46"/>
      <c r="CT826" s="46"/>
      <c r="CU826" s="46"/>
    </row>
    <row r="827" spans="1:99" ht="12.75" customHeight="1">
      <c r="A827" s="399">
        <v>1767</v>
      </c>
      <c r="B827" s="399" t="s">
        <v>6640</v>
      </c>
      <c r="C827" s="399">
        <f t="shared" si="117"/>
        <v>1767</v>
      </c>
      <c r="D827" s="399" t="str">
        <f t="shared" si="118"/>
        <v>Emergency referral</v>
      </c>
      <c r="E827" s="399" t="str">
        <f t="shared" si="119"/>
        <v>Emergency referral</v>
      </c>
      <c r="F827" s="399" t="str">
        <f t="shared" si="131"/>
        <v>Data Element</v>
      </c>
      <c r="G827" s="400">
        <f t="shared" si="129"/>
        <v>18</v>
      </c>
      <c r="H827" s="400" t="str">
        <f t="shared" si="133"/>
        <v/>
      </c>
      <c r="I827" s="400"/>
      <c r="J827" s="400"/>
      <c r="K827" s="402" t="s">
        <v>6641</v>
      </c>
      <c r="L827" s="402" t="s">
        <v>3142</v>
      </c>
      <c r="M827" s="400"/>
      <c r="N827" s="756" t="s">
        <v>6642</v>
      </c>
      <c r="O827" s="757"/>
      <c r="P827" s="757" t="s">
        <v>6819</v>
      </c>
      <c r="Q827" s="758" t="s">
        <v>6640</v>
      </c>
      <c r="R827" s="758"/>
      <c r="S827" s="758" t="s">
        <v>6643</v>
      </c>
      <c r="T827" s="758" t="s">
        <v>3169</v>
      </c>
      <c r="U827" s="758"/>
      <c r="V827" s="759" t="s">
        <v>3170</v>
      </c>
      <c r="W827" s="757"/>
      <c r="X827" s="758"/>
      <c r="Y827" s="758"/>
      <c r="Z827" s="758"/>
      <c r="AA827" s="758"/>
      <c r="AB827" s="760"/>
      <c r="AC827" s="758"/>
      <c r="AD827" s="758"/>
      <c r="AE827" s="760"/>
      <c r="AF827" s="758"/>
      <c r="AG827" s="758"/>
      <c r="AH827" s="428"/>
      <c r="AI827" s="428"/>
      <c r="AJ827" s="399"/>
      <c r="AK827" s="409" t="s">
        <v>6846</v>
      </c>
      <c r="AL827" s="409"/>
      <c r="AM827" s="409" t="s">
        <v>3100</v>
      </c>
      <c r="AN827" s="409" t="s">
        <v>3101</v>
      </c>
      <c r="AO827" s="399"/>
      <c r="AP827" s="409" t="s">
        <v>3182</v>
      </c>
      <c r="AQ827" s="409" t="s">
        <v>3424</v>
      </c>
      <c r="AR827" s="399"/>
      <c r="AS827" s="399"/>
      <c r="AT827" s="399"/>
      <c r="AU827" s="399" t="s">
        <v>6640</v>
      </c>
      <c r="AV827" s="399" t="str">
        <f t="shared" si="123"/>
        <v>Same</v>
      </c>
      <c r="AW827" s="399"/>
      <c r="AX827" s="409" t="s">
        <v>3104</v>
      </c>
      <c r="AY827" s="399" t="str">
        <f t="shared" si="124"/>
        <v/>
      </c>
      <c r="AZ827" s="409" t="s">
        <v>3105</v>
      </c>
      <c r="BA827" s="409">
        <v>1</v>
      </c>
      <c r="BB827" s="399"/>
      <c r="BC827" s="399"/>
      <c r="BD827" s="399"/>
      <c r="BE827" s="411"/>
      <c r="BF827" s="411"/>
      <c r="BG827" s="411" t="s">
        <v>9461</v>
      </c>
      <c r="BH827" s="411"/>
      <c r="BI827" s="411"/>
      <c r="BJ827" s="399"/>
      <c r="BK827" s="399"/>
      <c r="BL827" s="399"/>
      <c r="BM827" s="399"/>
      <c r="BN827" s="399"/>
      <c r="BO827" s="399"/>
      <c r="BP827" s="399"/>
      <c r="BQ827" s="399"/>
      <c r="BR827" s="399"/>
      <c r="BS827" s="407"/>
      <c r="BT827" s="407"/>
      <c r="BU827" s="412"/>
      <c r="BV827" s="46" t="str">
        <f t="shared" si="8"/>
        <v>ServiceRequest</v>
      </c>
      <c r="BW827" s="46" t="str">
        <f t="shared" si="9"/>
        <v/>
      </c>
      <c r="BX827" s="46" t="str">
        <f t="shared" si="10"/>
        <v>ServiceRequest</v>
      </c>
      <c r="BY827" s="43" t="str">
        <f t="shared" si="11"/>
        <v>WHO-Core ServiceRequest (Referral)</v>
      </c>
      <c r="BZ827" s="46">
        <f t="shared" si="12"/>
        <v>1</v>
      </c>
      <c r="CA827" s="46">
        <f t="shared" si="13"/>
        <v>0</v>
      </c>
      <c r="CB827" s="46">
        <f t="shared" si="14"/>
        <v>1</v>
      </c>
      <c r="CC827" s="46">
        <f t="shared" si="15"/>
        <v>1</v>
      </c>
      <c r="CD827" s="46">
        <f t="shared" si="16"/>
        <v>1</v>
      </c>
      <c r="CE827" s="46">
        <f t="shared" si="17"/>
        <v>0</v>
      </c>
      <c r="CF827" s="46">
        <f t="shared" si="18"/>
        <v>0</v>
      </c>
      <c r="CG827" s="46" t="str">
        <f ca="1">IFERROR(__xludf.DUMMYFUNCTION("if(OR(BH827="""",LEFT(BH827,2)=""LA""),"""",IMPORTXML(CONCATENATE(""https://loinc.org/"",BH827,""/""),""//span[@id='lcn']""))"),"")</f>
        <v/>
      </c>
      <c r="CH827" s="46"/>
      <c r="CI827" s="46"/>
      <c r="CJ827" s="46"/>
      <c r="CK827" s="46"/>
      <c r="CL827" s="46"/>
      <c r="CM827" s="46"/>
      <c r="CN827" s="46"/>
      <c r="CO827" s="46"/>
      <c r="CP827" s="46"/>
      <c r="CQ827" s="46"/>
      <c r="CR827" s="46"/>
      <c r="CS827" s="46"/>
      <c r="CT827" s="46"/>
      <c r="CU827" s="46"/>
    </row>
    <row r="828" spans="1:99" ht="12.75" customHeight="1">
      <c r="A828" s="399">
        <v>1768</v>
      </c>
      <c r="B828" s="399" t="s">
        <v>417</v>
      </c>
      <c r="C828" s="399">
        <f t="shared" si="117"/>
        <v>1768</v>
      </c>
      <c r="D828" s="399" t="str">
        <f t="shared" si="118"/>
        <v>Danger signs</v>
      </c>
      <c r="E828" s="399" t="str">
        <f t="shared" si="119"/>
        <v>Danger signs</v>
      </c>
      <c r="F828" s="399" t="str">
        <f t="shared" si="131"/>
        <v>Data Element</v>
      </c>
      <c r="G828" s="400">
        <f t="shared" si="129"/>
        <v>12</v>
      </c>
      <c r="H828" s="400" t="str">
        <f t="shared" si="133"/>
        <v/>
      </c>
      <c r="I828" s="400"/>
      <c r="J828" s="400"/>
      <c r="K828" s="402" t="s">
        <v>6641</v>
      </c>
      <c r="L828" s="402" t="s">
        <v>3142</v>
      </c>
      <c r="M828" s="400"/>
      <c r="N828" s="756" t="s">
        <v>6642</v>
      </c>
      <c r="O828" s="431" t="s">
        <v>6649</v>
      </c>
      <c r="P828" s="431" t="s">
        <v>6650</v>
      </c>
      <c r="Q828" s="405" t="s">
        <v>417</v>
      </c>
      <c r="R828" s="405" t="s">
        <v>418</v>
      </c>
      <c r="S828" s="405" t="s">
        <v>6651</v>
      </c>
      <c r="T828" s="405" t="s">
        <v>3339</v>
      </c>
      <c r="U828" s="449" t="s">
        <v>3326</v>
      </c>
      <c r="V828" s="529"/>
      <c r="W828" s="407"/>
      <c r="X828" s="405" t="s">
        <v>113</v>
      </c>
      <c r="Y828" s="405" t="s">
        <v>6652</v>
      </c>
      <c r="Z828" s="431"/>
      <c r="AA828" s="431"/>
      <c r="AB828" s="419"/>
      <c r="AC828" s="431"/>
      <c r="AD828" s="431"/>
      <c r="AE828" s="419"/>
      <c r="AF828" s="431"/>
      <c r="AG828" s="431"/>
      <c r="AH828" s="399"/>
      <c r="AI828" s="400"/>
      <c r="AJ828" s="399"/>
      <c r="AK828" s="409" t="s">
        <v>9462</v>
      </c>
      <c r="AL828" s="409"/>
      <c r="AM828" s="409" t="s">
        <v>3100</v>
      </c>
      <c r="AN828" s="409" t="s">
        <v>3101</v>
      </c>
      <c r="AO828" s="399"/>
      <c r="AP828" s="399"/>
      <c r="AQ828" s="409" t="s">
        <v>115</v>
      </c>
      <c r="AR828" s="399"/>
      <c r="AS828" s="399"/>
      <c r="AT828" s="399"/>
      <c r="AU828" s="399" t="s">
        <v>417</v>
      </c>
      <c r="AV828" s="399" t="str">
        <f t="shared" si="123"/>
        <v>Same</v>
      </c>
      <c r="AW828" s="399"/>
      <c r="AX828" s="409" t="s">
        <v>3104</v>
      </c>
      <c r="AY828" s="399" t="str">
        <f t="shared" si="124"/>
        <v/>
      </c>
      <c r="AZ828" s="399"/>
      <c r="BA828" s="409">
        <v>0</v>
      </c>
      <c r="BB828" s="399"/>
      <c r="BC828" s="399"/>
      <c r="BD828" s="399"/>
      <c r="BE828" s="411"/>
      <c r="BF828" s="411"/>
      <c r="BG828" s="411"/>
      <c r="BH828" s="411"/>
      <c r="BI828" s="411"/>
      <c r="BJ828" s="399"/>
      <c r="BK828" s="399"/>
      <c r="BL828" s="399"/>
      <c r="BM828" s="399"/>
      <c r="BN828" s="399"/>
      <c r="BO828" s="399">
        <v>160939</v>
      </c>
      <c r="BP828" s="399" t="s">
        <v>115</v>
      </c>
      <c r="BQ828" s="399" t="s">
        <v>421</v>
      </c>
      <c r="BR828" s="399" t="s">
        <v>422</v>
      </c>
      <c r="BS828" s="407"/>
      <c r="BT828" s="407"/>
      <c r="BU828" s="412"/>
      <c r="BV828" s="46" t="str">
        <f t="shared" si="8"/>
        <v/>
      </c>
      <c r="BW828" s="46" t="str">
        <f t="shared" si="9"/>
        <v/>
      </c>
      <c r="BX828" s="46" t="str">
        <f t="shared" si="10"/>
        <v/>
      </c>
      <c r="BY828" s="43">
        <f t="shared" si="11"/>
        <v>0</v>
      </c>
      <c r="BZ828" s="46">
        <f t="shared" si="12"/>
        <v>1</v>
      </c>
      <c r="CA828" s="46">
        <f t="shared" si="13"/>
        <v>0</v>
      </c>
      <c r="CB828" s="46">
        <f t="shared" si="14"/>
        <v>0</v>
      </c>
      <c r="CC828" s="46">
        <f t="shared" si="15"/>
        <v>1</v>
      </c>
      <c r="CD828" s="46">
        <f t="shared" si="16"/>
        <v>0</v>
      </c>
      <c r="CE828" s="46">
        <f t="shared" si="17"/>
        <v>1</v>
      </c>
      <c r="CF828" s="46">
        <f t="shared" si="18"/>
        <v>0</v>
      </c>
      <c r="CG828" s="46" t="str">
        <f ca="1">IFERROR(__xludf.DUMMYFUNCTION("if(OR(BH828="""",LEFT(BH828,2)=""LA""),"""",IMPORTXML(CONCATENATE(""https://loinc.org/"",BH828,""/""),""//span[@id='lcn']""))"),"")</f>
        <v/>
      </c>
      <c r="CH828" s="46"/>
      <c r="CI828" s="46"/>
      <c r="CJ828" s="46"/>
      <c r="CK828" s="46"/>
      <c r="CL828" s="46"/>
      <c r="CM828" s="46"/>
      <c r="CN828" s="46"/>
      <c r="CO828" s="46"/>
      <c r="CP828" s="46"/>
      <c r="CQ828" s="46"/>
      <c r="CR828" s="46"/>
      <c r="CS828" s="46"/>
      <c r="CT828" s="46"/>
      <c r="CU828" s="46"/>
    </row>
    <row r="829" spans="1:99" ht="12.75" customHeight="1">
      <c r="A829" s="399">
        <v>1769</v>
      </c>
      <c r="B829" s="399" t="s">
        <v>6656</v>
      </c>
      <c r="C829" s="399">
        <f t="shared" si="117"/>
        <v>1769</v>
      </c>
      <c r="D829" s="399" t="str">
        <f t="shared" si="118"/>
        <v>Treatment given before referral</v>
      </c>
      <c r="E829" s="399" t="str">
        <f t="shared" si="119"/>
        <v>Treatment given before referral</v>
      </c>
      <c r="F829" s="399" t="str">
        <f t="shared" si="131"/>
        <v>Data Element</v>
      </c>
      <c r="G829" s="400">
        <f t="shared" si="129"/>
        <v>31</v>
      </c>
      <c r="H829" s="400" t="str">
        <f t="shared" si="133"/>
        <v/>
      </c>
      <c r="I829" s="400"/>
      <c r="J829" s="400"/>
      <c r="K829" s="402" t="s">
        <v>6641</v>
      </c>
      <c r="L829" s="402" t="s">
        <v>3142</v>
      </c>
      <c r="M829" s="400"/>
      <c r="N829" s="756" t="s">
        <v>6642</v>
      </c>
      <c r="O829" s="431" t="s">
        <v>6659</v>
      </c>
      <c r="P829" s="431" t="s">
        <v>6660</v>
      </c>
      <c r="Q829" s="429" t="s">
        <v>6656</v>
      </c>
      <c r="R829" s="405"/>
      <c r="S829" s="405" t="s">
        <v>6661</v>
      </c>
      <c r="T829" s="405" t="s">
        <v>3339</v>
      </c>
      <c r="U829" s="449" t="s">
        <v>3326</v>
      </c>
      <c r="V829" s="529"/>
      <c r="W829" s="407"/>
      <c r="X829" s="405"/>
      <c r="Y829" s="405"/>
      <c r="Z829" s="431"/>
      <c r="AA829" s="431"/>
      <c r="AB829" s="419"/>
      <c r="AC829" s="431"/>
      <c r="AD829" s="431"/>
      <c r="AE829" s="419"/>
      <c r="AF829" s="431"/>
      <c r="AG829" s="431"/>
      <c r="AH829" s="399"/>
      <c r="AI829" s="400"/>
      <c r="AJ829" s="399"/>
      <c r="AK829" s="409" t="s">
        <v>9463</v>
      </c>
      <c r="AL829" s="409"/>
      <c r="AM829" s="409" t="s">
        <v>3314</v>
      </c>
      <c r="AN829" s="409" t="s">
        <v>3101</v>
      </c>
      <c r="AO829" s="399"/>
      <c r="AP829" s="399"/>
      <c r="AQ829" s="409" t="s">
        <v>115</v>
      </c>
      <c r="AR829" s="399"/>
      <c r="AS829" s="399"/>
      <c r="AT829" s="399"/>
      <c r="AU829" s="399" t="s">
        <v>6656</v>
      </c>
      <c r="AV829" s="399" t="str">
        <f t="shared" si="123"/>
        <v>Same</v>
      </c>
      <c r="AW829" s="399"/>
      <c r="AX829" s="409" t="s">
        <v>3104</v>
      </c>
      <c r="AY829" s="399" t="str">
        <f t="shared" si="124"/>
        <v/>
      </c>
      <c r="AZ829" s="409" t="s">
        <v>3105</v>
      </c>
      <c r="BA829" s="409">
        <v>0</v>
      </c>
      <c r="BB829" s="399"/>
      <c r="BC829" s="399"/>
      <c r="BD829" s="399"/>
      <c r="BE829" s="411"/>
      <c r="BF829" s="411"/>
      <c r="BG829" s="411"/>
      <c r="BH829" s="411"/>
      <c r="BI829" s="411"/>
      <c r="BJ829" s="409" t="s">
        <v>3106</v>
      </c>
      <c r="BK829" s="399"/>
      <c r="BL829" s="399"/>
      <c r="BM829" s="399"/>
      <c r="BN829" s="399"/>
      <c r="BO829" s="399"/>
      <c r="BP829" s="399"/>
      <c r="BQ829" s="399"/>
      <c r="BR829" s="399"/>
      <c r="BS829" s="407"/>
      <c r="BT829" s="407"/>
      <c r="BU829" s="412"/>
      <c r="BV829" s="46" t="str">
        <f t="shared" si="8"/>
        <v/>
      </c>
      <c r="BW829" s="46" t="str">
        <f t="shared" si="9"/>
        <v/>
      </c>
      <c r="BX829" s="46" t="str">
        <f t="shared" si="10"/>
        <v/>
      </c>
      <c r="BY829" s="43">
        <f t="shared" si="11"/>
        <v>0</v>
      </c>
      <c r="BZ829" s="46">
        <f t="shared" si="12"/>
        <v>1</v>
      </c>
      <c r="CA829" s="46">
        <f t="shared" si="13"/>
        <v>1</v>
      </c>
      <c r="CB829" s="46">
        <f t="shared" si="14"/>
        <v>0</v>
      </c>
      <c r="CC829" s="46">
        <f t="shared" si="15"/>
        <v>0</v>
      </c>
      <c r="CD829" s="46">
        <f t="shared" si="16"/>
        <v>0</v>
      </c>
      <c r="CE829" s="46">
        <f t="shared" si="17"/>
        <v>0</v>
      </c>
      <c r="CF829" s="46">
        <f t="shared" si="18"/>
        <v>1</v>
      </c>
      <c r="CG829" s="46" t="str">
        <f ca="1">IFERROR(__xludf.DUMMYFUNCTION("if(OR(BH829="""",LEFT(BH829,2)=""LA""),"""",IMPORTXML(CONCATENATE(""https://loinc.org/"",BH829,""/""),""//span[@id='lcn']""))"),"")</f>
        <v/>
      </c>
      <c r="CH829" s="46"/>
      <c r="CI829" s="46"/>
      <c r="CJ829" s="46"/>
      <c r="CK829" s="46"/>
      <c r="CL829" s="46"/>
      <c r="CM829" s="46"/>
      <c r="CN829" s="46"/>
      <c r="CO829" s="46"/>
      <c r="CP829" s="46"/>
      <c r="CQ829" s="46"/>
      <c r="CR829" s="46"/>
      <c r="CS829" s="46"/>
      <c r="CT829" s="46"/>
      <c r="CU829" s="46"/>
    </row>
    <row r="830" spans="1:99" ht="12.75" customHeight="1">
      <c r="A830" s="399">
        <v>1770</v>
      </c>
      <c r="B830" s="399" t="s">
        <v>553</v>
      </c>
      <c r="C830" s="399">
        <f t="shared" si="117"/>
        <v>1770</v>
      </c>
      <c r="D830" s="399" t="e">
        <f t="shared" ca="1" si="118"/>
        <v>#NAME?</v>
      </c>
      <c r="E830" s="399" t="str">
        <f t="shared" si="119"/>
        <v>None</v>
      </c>
      <c r="F830" s="399" t="str">
        <f t="shared" si="131"/>
        <v>Input Option</v>
      </c>
      <c r="G830" s="400">
        <f t="shared" si="129"/>
        <v>11</v>
      </c>
      <c r="H830" s="399" t="str">
        <f t="shared" si="133"/>
        <v>Treatment given before referral</v>
      </c>
      <c r="I830" s="400"/>
      <c r="J830" s="400"/>
      <c r="K830" s="402" t="s">
        <v>6641</v>
      </c>
      <c r="L830" s="402" t="s">
        <v>3142</v>
      </c>
      <c r="M830" s="400"/>
      <c r="N830" s="756" t="s">
        <v>6642</v>
      </c>
      <c r="O830" s="405"/>
      <c r="P830" s="405" t="s">
        <v>9464</v>
      </c>
      <c r="Q830" s="405"/>
      <c r="R830" s="405"/>
      <c r="S830" s="405"/>
      <c r="T830" s="405"/>
      <c r="U830" s="405"/>
      <c r="V830" s="407" t="s">
        <v>423</v>
      </c>
      <c r="W830" s="407"/>
      <c r="X830" s="405"/>
      <c r="Y830" s="405"/>
      <c r="Z830" s="431"/>
      <c r="AA830" s="431"/>
      <c r="AB830" s="419"/>
      <c r="AC830" s="431"/>
      <c r="AD830" s="431"/>
      <c r="AE830" s="419"/>
      <c r="AF830" s="431"/>
      <c r="AG830" s="431"/>
      <c r="AH830" s="399"/>
      <c r="AI830" s="400"/>
      <c r="AJ830" s="399"/>
      <c r="AK830" s="399"/>
      <c r="AL830" s="399"/>
      <c r="AM830" s="399"/>
      <c r="AN830" s="399"/>
      <c r="AO830" s="399"/>
      <c r="AP830" s="399"/>
      <c r="AQ830" s="409" t="s">
        <v>115</v>
      </c>
      <c r="AR830" s="399"/>
      <c r="AS830" s="399"/>
      <c r="AT830" s="399"/>
      <c r="AU830" s="399" t="s">
        <v>553</v>
      </c>
      <c r="AV830" s="399" t="str">
        <f t="shared" si="123"/>
        <v>Same</v>
      </c>
      <c r="AW830" s="399"/>
      <c r="AX830" s="409" t="s">
        <v>3104</v>
      </c>
      <c r="AY830" s="399" t="e">
        <f t="shared" ca="1" si="124"/>
        <v>#NAME?</v>
      </c>
      <c r="AZ830" s="409" t="s">
        <v>3105</v>
      </c>
      <c r="BA830" s="409">
        <v>0</v>
      </c>
      <c r="BB830" s="399"/>
      <c r="BC830" s="399"/>
      <c r="BD830" s="399"/>
      <c r="BE830" s="411"/>
      <c r="BF830" s="411"/>
      <c r="BG830" s="411" t="s">
        <v>6666</v>
      </c>
      <c r="BH830" s="411"/>
      <c r="BI830" s="411"/>
      <c r="BJ830" s="399"/>
      <c r="BK830" s="399"/>
      <c r="BL830" s="399"/>
      <c r="BM830" s="399"/>
      <c r="BN830" s="399"/>
      <c r="BO830" s="399">
        <v>1107</v>
      </c>
      <c r="BP830" s="399"/>
      <c r="BQ830" s="399" t="s">
        <v>424</v>
      </c>
      <c r="BR830" s="399" t="s">
        <v>425</v>
      </c>
      <c r="BS830" s="407"/>
      <c r="BT830" s="407"/>
      <c r="BU830" s="412"/>
      <c r="BV830" s="46" t="str">
        <f t="shared" si="8"/>
        <v/>
      </c>
      <c r="BW830" s="46">
        <f t="shared" si="9"/>
        <v>0</v>
      </c>
      <c r="BX830" s="46">
        <f t="shared" si="10"/>
        <v>0</v>
      </c>
      <c r="BY830" s="43">
        <f t="shared" si="11"/>
        <v>0</v>
      </c>
      <c r="BZ830" s="46">
        <f t="shared" si="12"/>
        <v>1</v>
      </c>
      <c r="CA830" s="46" t="str">
        <f t="shared" si="13"/>
        <v/>
      </c>
      <c r="CB830" s="46">
        <f t="shared" si="14"/>
        <v>1</v>
      </c>
      <c r="CC830" s="46">
        <f t="shared" si="15"/>
        <v>1</v>
      </c>
      <c r="CD830" s="46">
        <f t="shared" si="16"/>
        <v>1</v>
      </c>
      <c r="CE830" s="46">
        <f t="shared" si="17"/>
        <v>0</v>
      </c>
      <c r="CF830" s="46">
        <f t="shared" si="18"/>
        <v>0</v>
      </c>
      <c r="CG830" s="46" t="str">
        <f ca="1">IFERROR(__xludf.DUMMYFUNCTION("if(OR(BH830="""",LEFT(BH830,2)=""LA""),"""",IMPORTXML(CONCATENATE(""https://loinc.org/"",BH830,""/""),""//span[@id='lcn']""))"),"")</f>
        <v/>
      </c>
      <c r="CH830" s="46"/>
      <c r="CI830" s="46"/>
      <c r="CJ830" s="46"/>
      <c r="CK830" s="46"/>
      <c r="CL830" s="46"/>
      <c r="CM830" s="46"/>
      <c r="CN830" s="46"/>
      <c r="CO830" s="46"/>
      <c r="CP830" s="46"/>
      <c r="CQ830" s="46"/>
      <c r="CR830" s="46"/>
      <c r="CS830" s="46"/>
      <c r="CT830" s="46"/>
      <c r="CU830" s="46"/>
    </row>
    <row r="831" spans="1:99" ht="12.75" customHeight="1">
      <c r="A831" s="399">
        <v>1771</v>
      </c>
      <c r="B831" s="399" t="s">
        <v>565</v>
      </c>
      <c r="C831" s="399">
        <f t="shared" si="117"/>
        <v>1771</v>
      </c>
      <c r="D831" s="399" t="e">
        <f t="shared" ca="1" si="118"/>
        <v>#NAME?</v>
      </c>
      <c r="E831" s="399" t="str">
        <f t="shared" si="119"/>
        <v>Central cyanosis</v>
      </c>
      <c r="F831" s="399" t="str">
        <f t="shared" si="131"/>
        <v>Input Option</v>
      </c>
      <c r="G831" s="400">
        <f t="shared" si="129"/>
        <v>23</v>
      </c>
      <c r="H831" s="399" t="str">
        <f t="shared" si="133"/>
        <v>Treatment given before referral</v>
      </c>
      <c r="I831" s="400"/>
      <c r="J831" s="400"/>
      <c r="K831" s="402" t="s">
        <v>6641</v>
      </c>
      <c r="L831" s="402" t="s">
        <v>3142</v>
      </c>
      <c r="M831" s="400"/>
      <c r="N831" s="756" t="s">
        <v>6642</v>
      </c>
      <c r="O831" s="405"/>
      <c r="P831" s="405" t="s">
        <v>9465</v>
      </c>
      <c r="Q831" s="405"/>
      <c r="R831" s="405"/>
      <c r="S831" s="405"/>
      <c r="T831" s="405"/>
      <c r="U831" s="405"/>
      <c r="V831" s="429" t="s">
        <v>431</v>
      </c>
      <c r="W831" s="403"/>
      <c r="X831" s="405"/>
      <c r="Y831" s="405"/>
      <c r="Z831" s="431"/>
      <c r="AA831" s="431"/>
      <c r="AB831" s="419"/>
      <c r="AC831" s="431"/>
      <c r="AD831" s="431"/>
      <c r="AE831" s="419"/>
      <c r="AF831" s="431"/>
      <c r="AG831" s="431"/>
      <c r="AH831" s="399"/>
      <c r="AI831" s="400"/>
      <c r="AJ831" s="399"/>
      <c r="AK831" s="399"/>
      <c r="AL831" s="399"/>
      <c r="AM831" s="399"/>
      <c r="AN831" s="399"/>
      <c r="AO831" s="399"/>
      <c r="AP831" s="399"/>
      <c r="AQ831" s="409" t="s">
        <v>115</v>
      </c>
      <c r="AR831" s="399"/>
      <c r="AS831" s="399"/>
      <c r="AT831" s="399"/>
      <c r="AU831" s="399" t="s">
        <v>565</v>
      </c>
      <c r="AV831" s="399" t="str">
        <f t="shared" si="123"/>
        <v>Same</v>
      </c>
      <c r="AW831" s="399"/>
      <c r="AX831" s="409" t="s">
        <v>3104</v>
      </c>
      <c r="AY831" s="399" t="e">
        <f t="shared" ca="1" si="124"/>
        <v>#NAME?</v>
      </c>
      <c r="AZ831" s="409" t="s">
        <v>3105</v>
      </c>
      <c r="BA831" s="409">
        <v>0</v>
      </c>
      <c r="BB831" s="399"/>
      <c r="BC831" s="399"/>
      <c r="BD831" s="409" t="s">
        <v>3162</v>
      </c>
      <c r="BE831" s="411"/>
      <c r="BF831" s="411"/>
      <c r="BG831" s="411" t="s">
        <v>6671</v>
      </c>
      <c r="BH831" s="411"/>
      <c r="BI831" s="411"/>
      <c r="BJ831" s="399"/>
      <c r="BK831" s="399"/>
      <c r="BL831" s="399"/>
      <c r="BM831" s="399"/>
      <c r="BN831" s="399"/>
      <c r="BO831" s="399">
        <v>165216</v>
      </c>
      <c r="BP831" s="399"/>
      <c r="BQ831" s="399" t="s">
        <v>432</v>
      </c>
      <c r="BR831" s="399" t="s">
        <v>433</v>
      </c>
      <c r="BS831" s="407"/>
      <c r="BT831" s="407"/>
      <c r="BU831" s="412"/>
      <c r="BV831" s="46" t="str">
        <f t="shared" si="8"/>
        <v/>
      </c>
      <c r="BW831" s="46">
        <f t="shared" si="9"/>
        <v>0</v>
      </c>
      <c r="BX831" s="46">
        <f t="shared" si="10"/>
        <v>0</v>
      </c>
      <c r="BY831" s="43">
        <f t="shared" si="11"/>
        <v>0</v>
      </c>
      <c r="BZ831" s="46">
        <f t="shared" si="12"/>
        <v>1</v>
      </c>
      <c r="CA831" s="46" t="str">
        <f t="shared" si="13"/>
        <v/>
      </c>
      <c r="CB831" s="46">
        <f t="shared" si="14"/>
        <v>1</v>
      </c>
      <c r="CC831" s="46">
        <f t="shared" si="15"/>
        <v>1</v>
      </c>
      <c r="CD831" s="46">
        <f t="shared" si="16"/>
        <v>1</v>
      </c>
      <c r="CE831" s="46">
        <f t="shared" si="17"/>
        <v>0</v>
      </c>
      <c r="CF831" s="46">
        <f t="shared" si="18"/>
        <v>0</v>
      </c>
      <c r="CG831" s="46" t="str">
        <f ca="1">IFERROR(__xludf.DUMMYFUNCTION("if(OR(BH831="""",LEFT(BH831,2)=""LA""),"""",IMPORTXML(CONCATENATE(""https://loinc.org/"",BH831,""/""),""//span[@id='lcn']""))"),"")</f>
        <v/>
      </c>
      <c r="CH831" s="46"/>
      <c r="CI831" s="46"/>
      <c r="CJ831" s="46"/>
      <c r="CK831" s="46"/>
      <c r="CL831" s="46"/>
      <c r="CM831" s="46"/>
      <c r="CN831" s="46"/>
      <c r="CO831" s="46"/>
      <c r="CP831" s="46"/>
      <c r="CQ831" s="46"/>
      <c r="CR831" s="46"/>
      <c r="CS831" s="46"/>
      <c r="CT831" s="46"/>
      <c r="CU831" s="46"/>
    </row>
    <row r="832" spans="1:99" ht="12.75" customHeight="1">
      <c r="A832" s="399">
        <v>1772</v>
      </c>
      <c r="B832" s="399" t="s">
        <v>570</v>
      </c>
      <c r="C832" s="399">
        <f t="shared" si="117"/>
        <v>1772</v>
      </c>
      <c r="D832" s="399" t="e">
        <f t="shared" ca="1" si="118"/>
        <v>#NAME?</v>
      </c>
      <c r="E832" s="399" t="str">
        <f t="shared" si="119"/>
        <v>Convulsing</v>
      </c>
      <c r="F832" s="399" t="str">
        <f t="shared" si="131"/>
        <v>Input Option</v>
      </c>
      <c r="G832" s="400">
        <f t="shared" si="129"/>
        <v>17</v>
      </c>
      <c r="H832" s="399" t="str">
        <f t="shared" si="133"/>
        <v>Treatment given before referral</v>
      </c>
      <c r="I832" s="400"/>
      <c r="J832" s="400"/>
      <c r="K832" s="402" t="s">
        <v>6641</v>
      </c>
      <c r="L832" s="402" t="s">
        <v>3142</v>
      </c>
      <c r="M832" s="400"/>
      <c r="N832" s="756" t="s">
        <v>6642</v>
      </c>
      <c r="O832" s="405"/>
      <c r="P832" s="405" t="s">
        <v>9466</v>
      </c>
      <c r="Q832" s="405"/>
      <c r="R832" s="405"/>
      <c r="S832" s="405"/>
      <c r="T832" s="405"/>
      <c r="U832" s="405"/>
      <c r="V832" s="431" t="s">
        <v>435</v>
      </c>
      <c r="W832" s="407"/>
      <c r="X832" s="405"/>
      <c r="Y832" s="405"/>
      <c r="Z832" s="431"/>
      <c r="AA832" s="431"/>
      <c r="AB832" s="419"/>
      <c r="AC832" s="431"/>
      <c r="AD832" s="431"/>
      <c r="AE832" s="419"/>
      <c r="AF832" s="431"/>
      <c r="AG832" s="431"/>
      <c r="AH832" s="399"/>
      <c r="AI832" s="400"/>
      <c r="AJ832" s="399"/>
      <c r="AK832" s="399"/>
      <c r="AL832" s="399"/>
      <c r="AM832" s="399"/>
      <c r="AN832" s="399"/>
      <c r="AO832" s="399"/>
      <c r="AP832" s="399"/>
      <c r="AQ832" s="409" t="s">
        <v>115</v>
      </c>
      <c r="AR832" s="399"/>
      <c r="AS832" s="399"/>
      <c r="AT832" s="399"/>
      <c r="AU832" s="399" t="s">
        <v>570</v>
      </c>
      <c r="AV832" s="399" t="str">
        <f t="shared" si="123"/>
        <v>Same</v>
      </c>
      <c r="AW832" s="399"/>
      <c r="AX832" s="409" t="s">
        <v>3104</v>
      </c>
      <c r="AY832" s="399" t="e">
        <f t="shared" ca="1" si="124"/>
        <v>#NAME?</v>
      </c>
      <c r="AZ832" s="409" t="s">
        <v>3105</v>
      </c>
      <c r="BA832" s="409">
        <v>0</v>
      </c>
      <c r="BB832" s="399"/>
      <c r="BC832" s="399"/>
      <c r="BD832" s="409" t="s">
        <v>9467</v>
      </c>
      <c r="BE832" s="411"/>
      <c r="BF832" s="411"/>
      <c r="BG832" s="434" t="s">
        <v>9468</v>
      </c>
      <c r="BH832" s="411"/>
      <c r="BI832" s="411"/>
      <c r="BJ832" s="399"/>
      <c r="BK832" s="399"/>
      <c r="BL832" s="399"/>
      <c r="BM832" s="399"/>
      <c r="BN832" s="399"/>
      <c r="BO832" s="399">
        <v>164483</v>
      </c>
      <c r="BP832" s="399"/>
      <c r="BQ832" s="399" t="s">
        <v>436</v>
      </c>
      <c r="BR832" s="399" t="s">
        <v>437</v>
      </c>
      <c r="BS832" s="407"/>
      <c r="BT832" s="407"/>
      <c r="BU832" s="412"/>
      <c r="BV832" s="46" t="str">
        <f t="shared" si="8"/>
        <v/>
      </c>
      <c r="BW832" s="46">
        <f t="shared" si="9"/>
        <v>0</v>
      </c>
      <c r="BX832" s="46">
        <f t="shared" si="10"/>
        <v>0</v>
      </c>
      <c r="BY832" s="43">
        <f t="shared" si="11"/>
        <v>0</v>
      </c>
      <c r="BZ832" s="46">
        <f t="shared" si="12"/>
        <v>1</v>
      </c>
      <c r="CA832" s="46" t="str">
        <f t="shared" si="13"/>
        <v/>
      </c>
      <c r="CB832" s="46">
        <f t="shared" si="14"/>
        <v>1</v>
      </c>
      <c r="CC832" s="46">
        <f t="shared" si="15"/>
        <v>1</v>
      </c>
      <c r="CD832" s="46">
        <f t="shared" si="16"/>
        <v>1</v>
      </c>
      <c r="CE832" s="46">
        <f t="shared" si="17"/>
        <v>0</v>
      </c>
      <c r="CF832" s="46">
        <f t="shared" si="18"/>
        <v>0</v>
      </c>
      <c r="CG832" s="46" t="str">
        <f ca="1">IFERROR(__xludf.DUMMYFUNCTION("if(OR(BH832="""",LEFT(BH832,2)=""LA""),"""",IMPORTXML(CONCATENATE(""https://loinc.org/"",BH832,""/""),""//span[@id='lcn']""))"),"")</f>
        <v/>
      </c>
      <c r="CH832" s="46"/>
      <c r="CI832" s="46"/>
      <c r="CJ832" s="46"/>
      <c r="CK832" s="46"/>
      <c r="CL832" s="46"/>
      <c r="CM832" s="46"/>
      <c r="CN832" s="46"/>
      <c r="CO832" s="46"/>
      <c r="CP832" s="46"/>
      <c r="CQ832" s="46"/>
      <c r="CR832" s="46"/>
      <c r="CS832" s="46"/>
      <c r="CT832" s="46"/>
      <c r="CU832" s="46"/>
    </row>
    <row r="833" spans="1:99" ht="12.75" customHeight="1">
      <c r="A833" s="399">
        <v>1773</v>
      </c>
      <c r="B833" s="399" t="s">
        <v>367</v>
      </c>
      <c r="C833" s="399">
        <f t="shared" si="117"/>
        <v>1773</v>
      </c>
      <c r="D833" s="399" t="e">
        <f t="shared" ca="1" si="118"/>
        <v>#NAME?</v>
      </c>
      <c r="E833" s="399" t="str">
        <f t="shared" si="119"/>
        <v>Fever</v>
      </c>
      <c r="F833" s="399" t="str">
        <f t="shared" si="131"/>
        <v>Input Option</v>
      </c>
      <c r="G833" s="400">
        <f t="shared" si="129"/>
        <v>12</v>
      </c>
      <c r="H833" s="399" t="str">
        <f t="shared" si="133"/>
        <v>Treatment given before referral</v>
      </c>
      <c r="I833" s="400"/>
      <c r="J833" s="400"/>
      <c r="K833" s="402" t="s">
        <v>6641</v>
      </c>
      <c r="L833" s="402" t="s">
        <v>3142</v>
      </c>
      <c r="M833" s="400"/>
      <c r="N833" s="756" t="s">
        <v>6642</v>
      </c>
      <c r="O833" s="405"/>
      <c r="P833" s="405" t="s">
        <v>9469</v>
      </c>
      <c r="Q833" s="405"/>
      <c r="R833" s="405"/>
      <c r="S833" s="405"/>
      <c r="T833" s="405"/>
      <c r="U833" s="405"/>
      <c r="V833" s="431" t="s">
        <v>281</v>
      </c>
      <c r="W833" s="403"/>
      <c r="X833" s="405"/>
      <c r="Y833" s="405"/>
      <c r="Z833" s="431"/>
      <c r="AA833" s="431"/>
      <c r="AB833" s="419"/>
      <c r="AC833" s="431"/>
      <c r="AD833" s="431"/>
      <c r="AE833" s="419"/>
      <c r="AF833" s="431"/>
      <c r="AG833" s="431"/>
      <c r="AH833" s="399"/>
      <c r="AI833" s="400"/>
      <c r="AJ833" s="399"/>
      <c r="AK833" s="399"/>
      <c r="AL833" s="399"/>
      <c r="AM833" s="399"/>
      <c r="AN833" s="399"/>
      <c r="AO833" s="399"/>
      <c r="AP833" s="399"/>
      <c r="AQ833" s="409" t="s">
        <v>115</v>
      </c>
      <c r="AR833" s="399"/>
      <c r="AS833" s="399"/>
      <c r="AT833" s="399"/>
      <c r="AU833" s="399" t="s">
        <v>367</v>
      </c>
      <c r="AV833" s="399" t="str">
        <f t="shared" si="123"/>
        <v>Same</v>
      </c>
      <c r="AW833" s="399"/>
      <c r="AX833" s="409" t="s">
        <v>3104</v>
      </c>
      <c r="AY833" s="399" t="e">
        <f t="shared" ca="1" si="124"/>
        <v>#NAME?</v>
      </c>
      <c r="AZ833" s="409" t="s">
        <v>3105</v>
      </c>
      <c r="BA833" s="409">
        <v>0</v>
      </c>
      <c r="BB833" s="399"/>
      <c r="BC833" s="399"/>
      <c r="BD833" s="399"/>
      <c r="BE833" s="411" t="s">
        <v>283</v>
      </c>
      <c r="BF833" s="411" t="s">
        <v>6675</v>
      </c>
      <c r="BG833" s="434" t="s">
        <v>6174</v>
      </c>
      <c r="BH833" s="411"/>
      <c r="BI833" s="411"/>
      <c r="BJ833" s="399"/>
      <c r="BK833" s="399"/>
      <c r="BL833" s="399"/>
      <c r="BM833" s="399"/>
      <c r="BN833" s="399"/>
      <c r="BO833" s="399">
        <v>140238</v>
      </c>
      <c r="BP833" s="399"/>
      <c r="BQ833" s="399" t="s">
        <v>284</v>
      </c>
      <c r="BR833" s="399" t="s">
        <v>285</v>
      </c>
      <c r="BS833" s="407"/>
      <c r="BT833" s="407"/>
      <c r="BU833" s="412"/>
      <c r="BV833" s="46" t="str">
        <f t="shared" si="8"/>
        <v/>
      </c>
      <c r="BW833" s="46">
        <f t="shared" si="9"/>
        <v>0</v>
      </c>
      <c r="BX833" s="46">
        <f t="shared" si="10"/>
        <v>0</v>
      </c>
      <c r="BY833" s="43">
        <f t="shared" si="11"/>
        <v>0</v>
      </c>
      <c r="BZ833" s="46">
        <f t="shared" si="12"/>
        <v>1</v>
      </c>
      <c r="CA833" s="46" t="str">
        <f t="shared" si="13"/>
        <v/>
      </c>
      <c r="CB833" s="46">
        <f t="shared" si="14"/>
        <v>1</v>
      </c>
      <c r="CC833" s="46">
        <f t="shared" si="15"/>
        <v>1</v>
      </c>
      <c r="CD833" s="46">
        <f t="shared" si="16"/>
        <v>1</v>
      </c>
      <c r="CE833" s="46">
        <f t="shared" si="17"/>
        <v>0</v>
      </c>
      <c r="CF833" s="46">
        <f t="shared" si="18"/>
        <v>0</v>
      </c>
      <c r="CG833" s="46" t="str">
        <f ca="1">IFERROR(__xludf.DUMMYFUNCTION("if(OR(BH833="""",LEFT(BH833,2)=""LA""),"""",IMPORTXML(CONCATENATE(""https://loinc.org/"",BH833,""/""),""//span[@id='lcn']""))"),"")</f>
        <v/>
      </c>
      <c r="CH833" s="46"/>
      <c r="CI833" s="46"/>
      <c r="CJ833" s="46"/>
      <c r="CK833" s="46"/>
      <c r="CL833" s="46"/>
      <c r="CM833" s="46"/>
      <c r="CN833" s="46"/>
      <c r="CO833" s="46"/>
      <c r="CP833" s="46"/>
      <c r="CQ833" s="46"/>
      <c r="CR833" s="46"/>
      <c r="CS833" s="46"/>
      <c r="CT833" s="46"/>
      <c r="CU833" s="46"/>
    </row>
    <row r="834" spans="1:99" ht="12.75" customHeight="1">
      <c r="A834" s="399">
        <v>1774</v>
      </c>
      <c r="B834" s="399" t="s">
        <v>577</v>
      </c>
      <c r="C834" s="399">
        <f t="shared" si="117"/>
        <v>1774</v>
      </c>
      <c r="D834" s="399" t="e">
        <f t="shared" ca="1" si="118"/>
        <v>#NAME?</v>
      </c>
      <c r="E834" s="399" t="str">
        <f t="shared" si="119"/>
        <v>Severe headache</v>
      </c>
      <c r="F834" s="399" t="str">
        <f t="shared" si="131"/>
        <v>Input Option</v>
      </c>
      <c r="G834" s="400">
        <f t="shared" si="129"/>
        <v>22</v>
      </c>
      <c r="H834" s="399" t="str">
        <f t="shared" si="133"/>
        <v>Treatment given before referral</v>
      </c>
      <c r="I834" s="400"/>
      <c r="J834" s="400"/>
      <c r="K834" s="402" t="s">
        <v>6641</v>
      </c>
      <c r="L834" s="402" t="s">
        <v>3142</v>
      </c>
      <c r="M834" s="400"/>
      <c r="N834" s="756" t="s">
        <v>6642</v>
      </c>
      <c r="O834" s="405"/>
      <c r="P834" s="405" t="s">
        <v>9470</v>
      </c>
      <c r="Q834" s="405"/>
      <c r="R834" s="405"/>
      <c r="S834" s="405"/>
      <c r="T834" s="405"/>
      <c r="U834" s="405"/>
      <c r="V834" s="429" t="s">
        <v>439</v>
      </c>
      <c r="W834" s="403"/>
      <c r="X834" s="405"/>
      <c r="Y834" s="405"/>
      <c r="Z834" s="431"/>
      <c r="AA834" s="431"/>
      <c r="AB834" s="419"/>
      <c r="AC834" s="431"/>
      <c r="AD834" s="431"/>
      <c r="AE834" s="419"/>
      <c r="AF834" s="431"/>
      <c r="AG834" s="431"/>
      <c r="AH834" s="399"/>
      <c r="AI834" s="400"/>
      <c r="AJ834" s="399"/>
      <c r="AK834" s="399"/>
      <c r="AL834" s="399"/>
      <c r="AM834" s="399"/>
      <c r="AN834" s="399"/>
      <c r="AO834" s="399"/>
      <c r="AP834" s="399"/>
      <c r="AQ834" s="409" t="s">
        <v>115</v>
      </c>
      <c r="AR834" s="399"/>
      <c r="AS834" s="399"/>
      <c r="AT834" s="399"/>
      <c r="AU834" s="399" t="s">
        <v>577</v>
      </c>
      <c r="AV834" s="399" t="str">
        <f t="shared" si="123"/>
        <v>Same</v>
      </c>
      <c r="AW834" s="399"/>
      <c r="AX834" s="409" t="s">
        <v>3104</v>
      </c>
      <c r="AY834" s="399" t="e">
        <f t="shared" ca="1" si="124"/>
        <v>#NAME?</v>
      </c>
      <c r="AZ834" s="409" t="s">
        <v>3105</v>
      </c>
      <c r="BA834" s="409">
        <v>0</v>
      </c>
      <c r="BB834" s="399"/>
      <c r="BC834" s="399"/>
      <c r="BD834" s="399"/>
      <c r="BE834" s="411" t="s">
        <v>299</v>
      </c>
      <c r="BF834" s="411" t="s">
        <v>6679</v>
      </c>
      <c r="BG834" s="411"/>
      <c r="BH834" s="411"/>
      <c r="BI834" s="411"/>
      <c r="BJ834" s="399"/>
      <c r="BK834" s="399"/>
      <c r="BL834" s="399"/>
      <c r="BM834" s="399"/>
      <c r="BN834" s="399"/>
      <c r="BO834" s="399">
        <v>139081</v>
      </c>
      <c r="BP834" s="399"/>
      <c r="BQ834" s="399" t="s">
        <v>441</v>
      </c>
      <c r="BR834" s="399" t="s">
        <v>442</v>
      </c>
      <c r="BS834" s="407"/>
      <c r="BT834" s="407"/>
      <c r="BU834" s="412"/>
      <c r="BV834" s="46" t="str">
        <f t="shared" si="8"/>
        <v/>
      </c>
      <c r="BW834" s="46">
        <f t="shared" si="9"/>
        <v>0</v>
      </c>
      <c r="BX834" s="46">
        <f t="shared" si="10"/>
        <v>0</v>
      </c>
      <c r="BY834" s="43">
        <f t="shared" si="11"/>
        <v>0</v>
      </c>
      <c r="BZ834" s="46">
        <f t="shared" si="12"/>
        <v>1</v>
      </c>
      <c r="CA834" s="46" t="str">
        <f t="shared" si="13"/>
        <v/>
      </c>
      <c r="CB834" s="46">
        <f t="shared" si="14"/>
        <v>1</v>
      </c>
      <c r="CC834" s="46">
        <f t="shared" si="15"/>
        <v>1</v>
      </c>
      <c r="CD834" s="46">
        <f t="shared" si="16"/>
        <v>1</v>
      </c>
      <c r="CE834" s="46">
        <f t="shared" si="17"/>
        <v>0</v>
      </c>
      <c r="CF834" s="46">
        <f t="shared" si="18"/>
        <v>0</v>
      </c>
      <c r="CG834" s="46" t="str">
        <f ca="1">IFERROR(__xludf.DUMMYFUNCTION("if(OR(BH834="""",LEFT(BH834,2)=""LA""),"""",IMPORTXML(CONCATENATE(""https://loinc.org/"",BH834,""/""),""//span[@id='lcn']""))"),"")</f>
        <v/>
      </c>
      <c r="CH834" s="46"/>
      <c r="CI834" s="46"/>
      <c r="CJ834" s="46"/>
      <c r="CK834" s="46"/>
      <c r="CL834" s="46"/>
      <c r="CM834" s="46"/>
      <c r="CN834" s="46"/>
      <c r="CO834" s="46"/>
      <c r="CP834" s="46"/>
      <c r="CQ834" s="46"/>
      <c r="CR834" s="46"/>
      <c r="CS834" s="46"/>
      <c r="CT834" s="46"/>
      <c r="CU834" s="46"/>
    </row>
    <row r="835" spans="1:99" ht="12.75" customHeight="1">
      <c r="A835" s="399">
        <v>1775</v>
      </c>
      <c r="B835" s="399" t="s">
        <v>531</v>
      </c>
      <c r="C835" s="399">
        <f t="shared" si="117"/>
        <v>1775</v>
      </c>
      <c r="D835" s="399" t="e">
        <f t="shared" ca="1" si="118"/>
        <v>#NAME?</v>
      </c>
      <c r="E835" s="399" t="str">
        <f t="shared" si="119"/>
        <v>Visual disturbance</v>
      </c>
      <c r="F835" s="399" t="str">
        <f t="shared" si="131"/>
        <v>Input Option</v>
      </c>
      <c r="G835" s="400">
        <f t="shared" si="129"/>
        <v>25</v>
      </c>
      <c r="H835" s="399" t="str">
        <f t="shared" si="133"/>
        <v>Treatment given before referral</v>
      </c>
      <c r="I835" s="400"/>
      <c r="J835" s="400"/>
      <c r="K835" s="402" t="s">
        <v>6641</v>
      </c>
      <c r="L835" s="402" t="s">
        <v>3142</v>
      </c>
      <c r="M835" s="400"/>
      <c r="N835" s="756" t="s">
        <v>6642</v>
      </c>
      <c r="O835" s="405"/>
      <c r="P835" s="405" t="s">
        <v>9471</v>
      </c>
      <c r="Q835" s="405"/>
      <c r="R835" s="405"/>
      <c r="S835" s="405"/>
      <c r="T835" s="405"/>
      <c r="U835" s="405"/>
      <c r="V835" s="429" t="s">
        <v>400</v>
      </c>
      <c r="W835" s="403"/>
      <c r="X835" s="405"/>
      <c r="Y835" s="405"/>
      <c r="Z835" s="431"/>
      <c r="AA835" s="431"/>
      <c r="AB835" s="419"/>
      <c r="AC835" s="431"/>
      <c r="AD835" s="431"/>
      <c r="AE835" s="419"/>
      <c r="AF835" s="431"/>
      <c r="AG835" s="431"/>
      <c r="AH835" s="399"/>
      <c r="AI835" s="400"/>
      <c r="AJ835" s="399"/>
      <c r="AK835" s="399"/>
      <c r="AL835" s="399"/>
      <c r="AM835" s="399"/>
      <c r="AN835" s="399"/>
      <c r="AO835" s="399"/>
      <c r="AP835" s="399"/>
      <c r="AQ835" s="409" t="s">
        <v>115</v>
      </c>
      <c r="AR835" s="399"/>
      <c r="AS835" s="399"/>
      <c r="AT835" s="399"/>
      <c r="AU835" s="399" t="s">
        <v>531</v>
      </c>
      <c r="AV835" s="399" t="str">
        <f t="shared" si="123"/>
        <v>Same</v>
      </c>
      <c r="AW835" s="399"/>
      <c r="AX835" s="409" t="s">
        <v>3104</v>
      </c>
      <c r="AY835" s="399" t="e">
        <f t="shared" ca="1" si="124"/>
        <v>#NAME?</v>
      </c>
      <c r="AZ835" s="409" t="s">
        <v>3105</v>
      </c>
      <c r="BA835" s="409">
        <v>0</v>
      </c>
      <c r="BB835" s="399"/>
      <c r="BC835" s="399"/>
      <c r="BD835" s="409" t="s">
        <v>3162</v>
      </c>
      <c r="BE835" s="411" t="s">
        <v>402</v>
      </c>
      <c r="BF835" s="411" t="s">
        <v>6685</v>
      </c>
      <c r="BG835" s="434" t="s">
        <v>6686</v>
      </c>
      <c r="BH835" s="411"/>
      <c r="BI835" s="411"/>
      <c r="BJ835" s="399"/>
      <c r="BK835" s="399"/>
      <c r="BL835" s="399"/>
      <c r="BM835" s="399"/>
      <c r="BN835" s="399"/>
      <c r="BO835" s="399">
        <v>123074</v>
      </c>
      <c r="BP835" s="399"/>
      <c r="BQ835" s="399" t="s">
        <v>403</v>
      </c>
      <c r="BR835" s="399" t="s">
        <v>404</v>
      </c>
      <c r="BS835" s="407"/>
      <c r="BT835" s="407"/>
      <c r="BU835" s="412"/>
      <c r="BV835" s="46" t="str">
        <f t="shared" si="8"/>
        <v/>
      </c>
      <c r="BW835" s="46">
        <f t="shared" si="9"/>
        <v>0</v>
      </c>
      <c r="BX835" s="46">
        <f t="shared" si="10"/>
        <v>0</v>
      </c>
      <c r="BY835" s="43">
        <f t="shared" si="11"/>
        <v>0</v>
      </c>
      <c r="BZ835" s="46">
        <f t="shared" si="12"/>
        <v>1</v>
      </c>
      <c r="CA835" s="46" t="str">
        <f t="shared" si="13"/>
        <v/>
      </c>
      <c r="CB835" s="46">
        <f t="shared" si="14"/>
        <v>1</v>
      </c>
      <c r="CC835" s="46">
        <f t="shared" si="15"/>
        <v>1</v>
      </c>
      <c r="CD835" s="46">
        <f t="shared" si="16"/>
        <v>1</v>
      </c>
      <c r="CE835" s="46">
        <f t="shared" si="17"/>
        <v>0</v>
      </c>
      <c r="CF835" s="46">
        <f t="shared" si="18"/>
        <v>0</v>
      </c>
      <c r="CG835" s="46" t="str">
        <f ca="1">IFERROR(__xludf.DUMMYFUNCTION("if(OR(BH835="""",LEFT(BH835,2)=""LA""),"""",IMPORTXML(CONCATENATE(""https://loinc.org/"",BH835,""/""),""//span[@id='lcn']""))"),"")</f>
        <v/>
      </c>
      <c r="CH835" s="46"/>
      <c r="CI835" s="46"/>
      <c r="CJ835" s="46"/>
      <c r="CK835" s="46"/>
      <c r="CL835" s="46"/>
      <c r="CM835" s="46"/>
      <c r="CN835" s="46"/>
      <c r="CO835" s="46"/>
      <c r="CP835" s="46"/>
      <c r="CQ835" s="46"/>
      <c r="CR835" s="46"/>
      <c r="CS835" s="46"/>
      <c r="CT835" s="46"/>
      <c r="CU835" s="46"/>
    </row>
    <row r="836" spans="1:99" ht="12.75" customHeight="1">
      <c r="A836" s="399">
        <v>1776</v>
      </c>
      <c r="B836" s="399" t="s">
        <v>610</v>
      </c>
      <c r="C836" s="399">
        <f t="shared" si="117"/>
        <v>1776</v>
      </c>
      <c r="D836" s="399" t="e">
        <f t="shared" ca="1" si="118"/>
        <v>#NAME?</v>
      </c>
      <c r="E836" s="399" t="str">
        <f t="shared" si="119"/>
        <v>Looks very ill</v>
      </c>
      <c r="F836" s="399" t="str">
        <f t="shared" si="131"/>
        <v>Input Option</v>
      </c>
      <c r="G836" s="400">
        <f t="shared" si="129"/>
        <v>21</v>
      </c>
      <c r="H836" s="399" t="str">
        <f t="shared" si="133"/>
        <v>Treatment given before referral</v>
      </c>
      <c r="I836" s="400"/>
      <c r="J836" s="400"/>
      <c r="K836" s="402" t="s">
        <v>6641</v>
      </c>
      <c r="L836" s="402" t="s">
        <v>3142</v>
      </c>
      <c r="M836" s="400"/>
      <c r="N836" s="756" t="s">
        <v>6642</v>
      </c>
      <c r="O836" s="405"/>
      <c r="P836" s="405" t="s">
        <v>9472</v>
      </c>
      <c r="Q836" s="405"/>
      <c r="R836" s="405"/>
      <c r="S836" s="405"/>
      <c r="T836" s="405"/>
      <c r="U836" s="405"/>
      <c r="V836" s="431" t="s">
        <v>452</v>
      </c>
      <c r="W836" s="403"/>
      <c r="X836" s="405"/>
      <c r="Y836" s="405"/>
      <c r="Z836" s="431"/>
      <c r="AA836" s="431"/>
      <c r="AB836" s="419"/>
      <c r="AC836" s="431"/>
      <c r="AD836" s="431"/>
      <c r="AE836" s="419"/>
      <c r="AF836" s="431"/>
      <c r="AG836" s="431"/>
      <c r="AH836" s="399"/>
      <c r="AI836" s="400"/>
      <c r="AJ836" s="399"/>
      <c r="AK836" s="399"/>
      <c r="AL836" s="399"/>
      <c r="AM836" s="399"/>
      <c r="AN836" s="399"/>
      <c r="AO836" s="399"/>
      <c r="AP836" s="399"/>
      <c r="AQ836" s="409" t="s">
        <v>115</v>
      </c>
      <c r="AR836" s="399"/>
      <c r="AS836" s="399"/>
      <c r="AT836" s="399"/>
      <c r="AU836" s="399" t="s">
        <v>610</v>
      </c>
      <c r="AV836" s="399" t="str">
        <f t="shared" si="123"/>
        <v>Same</v>
      </c>
      <c r="AW836" s="399"/>
      <c r="AX836" s="409" t="s">
        <v>3104</v>
      </c>
      <c r="AY836" s="399" t="e">
        <f t="shared" ca="1" si="124"/>
        <v>#NAME?</v>
      </c>
      <c r="AZ836" s="409" t="s">
        <v>3105</v>
      </c>
      <c r="BA836" s="409">
        <v>0</v>
      </c>
      <c r="BB836" s="399"/>
      <c r="BC836" s="399"/>
      <c r="BD836" s="409" t="s">
        <v>3162</v>
      </c>
      <c r="BE836" s="411"/>
      <c r="BF836" s="411"/>
      <c r="BG836" s="411" t="s">
        <v>6697</v>
      </c>
      <c r="BH836" s="411"/>
      <c r="BI836" s="411"/>
      <c r="BJ836" s="399"/>
      <c r="BK836" s="399"/>
      <c r="BL836" s="399"/>
      <c r="BM836" s="399"/>
      <c r="BN836" s="399"/>
      <c r="BO836" s="399">
        <v>16293</v>
      </c>
      <c r="BP836" s="399"/>
      <c r="BQ836" s="399" t="s">
        <v>453</v>
      </c>
      <c r="BR836" s="399" t="s">
        <v>454</v>
      </c>
      <c r="BS836" s="407"/>
      <c r="BT836" s="407"/>
      <c r="BU836" s="412"/>
      <c r="BV836" s="46" t="str">
        <f t="shared" si="8"/>
        <v/>
      </c>
      <c r="BW836" s="46">
        <f t="shared" si="9"/>
        <v>0</v>
      </c>
      <c r="BX836" s="46">
        <f t="shared" si="10"/>
        <v>0</v>
      </c>
      <c r="BY836" s="43">
        <f t="shared" si="11"/>
        <v>0</v>
      </c>
      <c r="BZ836" s="46">
        <f t="shared" si="12"/>
        <v>1</v>
      </c>
      <c r="CA836" s="46" t="str">
        <f t="shared" si="13"/>
        <v/>
      </c>
      <c r="CB836" s="46">
        <f t="shared" si="14"/>
        <v>1</v>
      </c>
      <c r="CC836" s="46">
        <f t="shared" si="15"/>
        <v>1</v>
      </c>
      <c r="CD836" s="46">
        <f t="shared" si="16"/>
        <v>1</v>
      </c>
      <c r="CE836" s="46">
        <f t="shared" si="17"/>
        <v>0</v>
      </c>
      <c r="CF836" s="46">
        <f t="shared" si="18"/>
        <v>0</v>
      </c>
      <c r="CG836" s="46" t="str">
        <f ca="1">IFERROR(__xludf.DUMMYFUNCTION("if(OR(BH836="""",LEFT(BH836,2)=""LA""),"""",IMPORTXML(CONCATENATE(""https://loinc.org/"",BH836,""/""),""//span[@id='lcn']""))"),"")</f>
        <v/>
      </c>
      <c r="CH836" s="46"/>
      <c r="CI836" s="46"/>
      <c r="CJ836" s="46"/>
      <c r="CK836" s="46"/>
      <c r="CL836" s="46"/>
      <c r="CM836" s="46"/>
      <c r="CN836" s="46"/>
      <c r="CO836" s="46"/>
      <c r="CP836" s="46"/>
      <c r="CQ836" s="46"/>
      <c r="CR836" s="46"/>
      <c r="CS836" s="46"/>
      <c r="CT836" s="46"/>
      <c r="CU836" s="46"/>
    </row>
    <row r="837" spans="1:99" ht="12.75" customHeight="1">
      <c r="A837" s="399">
        <v>1777</v>
      </c>
      <c r="B837" s="399" t="s">
        <v>628</v>
      </c>
      <c r="C837" s="399">
        <f t="shared" si="117"/>
        <v>1777</v>
      </c>
      <c r="D837" s="399" t="e">
        <f t="shared" ca="1" si="118"/>
        <v>#NAME?</v>
      </c>
      <c r="E837" s="399" t="str">
        <f t="shared" si="119"/>
        <v>Severe pain</v>
      </c>
      <c r="F837" s="399" t="str">
        <f t="shared" si="131"/>
        <v>Input Option</v>
      </c>
      <c r="G837" s="400">
        <f t="shared" si="129"/>
        <v>18</v>
      </c>
      <c r="H837" s="399" t="str">
        <f t="shared" si="133"/>
        <v>Treatment given before referral</v>
      </c>
      <c r="I837" s="400"/>
      <c r="J837" s="400"/>
      <c r="K837" s="402" t="s">
        <v>6641</v>
      </c>
      <c r="L837" s="402" t="s">
        <v>3142</v>
      </c>
      <c r="M837" s="400"/>
      <c r="N837" s="756" t="s">
        <v>6642</v>
      </c>
      <c r="O837" s="405"/>
      <c r="P837" s="405" t="s">
        <v>9473</v>
      </c>
      <c r="Q837" s="405"/>
      <c r="R837" s="405"/>
      <c r="S837" s="405"/>
      <c r="T837" s="405"/>
      <c r="U837" s="405"/>
      <c r="V837" s="431" t="s">
        <v>460</v>
      </c>
      <c r="W837" s="403"/>
      <c r="X837" s="405"/>
      <c r="Y837" s="405"/>
      <c r="Z837" s="431"/>
      <c r="AA837" s="431"/>
      <c r="AB837" s="419"/>
      <c r="AC837" s="431"/>
      <c r="AD837" s="431"/>
      <c r="AE837" s="419"/>
      <c r="AF837" s="431"/>
      <c r="AG837" s="431"/>
      <c r="AH837" s="399"/>
      <c r="AI837" s="400"/>
      <c r="AJ837" s="399"/>
      <c r="AK837" s="399"/>
      <c r="AL837" s="399"/>
      <c r="AM837" s="399"/>
      <c r="AN837" s="399"/>
      <c r="AO837" s="399"/>
      <c r="AP837" s="399"/>
      <c r="AQ837" s="409" t="s">
        <v>115</v>
      </c>
      <c r="AR837" s="399"/>
      <c r="AS837" s="399"/>
      <c r="AT837" s="399"/>
      <c r="AU837" s="399" t="s">
        <v>628</v>
      </c>
      <c r="AV837" s="399" t="str">
        <f t="shared" si="123"/>
        <v>Same</v>
      </c>
      <c r="AW837" s="399"/>
      <c r="AX837" s="409" t="s">
        <v>3104</v>
      </c>
      <c r="AY837" s="399" t="e">
        <f t="shared" ca="1" si="124"/>
        <v>#NAME?</v>
      </c>
      <c r="AZ837" s="409" t="s">
        <v>3105</v>
      </c>
      <c r="BA837" s="409">
        <v>0</v>
      </c>
      <c r="BB837" s="399"/>
      <c r="BC837" s="399"/>
      <c r="BD837" s="409" t="s">
        <v>3162</v>
      </c>
      <c r="BE837" s="411" t="s">
        <v>351</v>
      </c>
      <c r="BF837" s="411" t="s">
        <v>6715</v>
      </c>
      <c r="BG837" s="411" t="s">
        <v>6717</v>
      </c>
      <c r="BH837" s="411"/>
      <c r="BI837" s="411"/>
      <c r="BJ837" s="399"/>
      <c r="BK837" s="399"/>
      <c r="BL837" s="399"/>
      <c r="BM837" s="399"/>
      <c r="BN837" s="399"/>
      <c r="BO837" s="399">
        <v>163477</v>
      </c>
      <c r="BP837" s="399"/>
      <c r="BQ837" s="399" t="s">
        <v>462</v>
      </c>
      <c r="BR837" s="399" t="s">
        <v>463</v>
      </c>
      <c r="BS837" s="407"/>
      <c r="BT837" s="407"/>
      <c r="BU837" s="412"/>
      <c r="BV837" s="46" t="str">
        <f t="shared" si="8"/>
        <v/>
      </c>
      <c r="BW837" s="46">
        <f t="shared" si="9"/>
        <v>0</v>
      </c>
      <c r="BX837" s="46">
        <f t="shared" si="10"/>
        <v>0</v>
      </c>
      <c r="BY837" s="43">
        <f t="shared" si="11"/>
        <v>0</v>
      </c>
      <c r="BZ837" s="46">
        <f t="shared" si="12"/>
        <v>1</v>
      </c>
      <c r="CA837" s="46" t="str">
        <f t="shared" si="13"/>
        <v/>
      </c>
      <c r="CB837" s="46">
        <f t="shared" si="14"/>
        <v>1</v>
      </c>
      <c r="CC837" s="46">
        <f t="shared" si="15"/>
        <v>1</v>
      </c>
      <c r="CD837" s="46">
        <f t="shared" si="16"/>
        <v>1</v>
      </c>
      <c r="CE837" s="46">
        <f t="shared" si="17"/>
        <v>0</v>
      </c>
      <c r="CF837" s="46">
        <f t="shared" si="18"/>
        <v>0</v>
      </c>
      <c r="CG837" s="46" t="str">
        <f ca="1">IFERROR(__xludf.DUMMYFUNCTION("if(OR(BH837="""",LEFT(BH837,2)=""LA""),"""",IMPORTXML(CONCATENATE(""https://loinc.org/"",BH837,""/""),""//span[@id='lcn']""))"),"")</f>
        <v/>
      </c>
      <c r="CH837" s="46"/>
      <c r="CI837" s="46"/>
      <c r="CJ837" s="46"/>
      <c r="CK837" s="46"/>
      <c r="CL837" s="46"/>
      <c r="CM837" s="46"/>
      <c r="CN837" s="46"/>
      <c r="CO837" s="46"/>
      <c r="CP837" s="46"/>
      <c r="CQ837" s="46"/>
      <c r="CR837" s="46"/>
      <c r="CS837" s="46"/>
      <c r="CT837" s="46"/>
      <c r="CU837" s="46"/>
    </row>
    <row r="838" spans="1:99" ht="12.75" customHeight="1">
      <c r="A838" s="399">
        <v>1778</v>
      </c>
      <c r="B838" s="399" t="s">
        <v>632</v>
      </c>
      <c r="C838" s="399">
        <f t="shared" si="117"/>
        <v>1778</v>
      </c>
      <c r="D838" s="399" t="e">
        <f t="shared" ca="1" si="118"/>
        <v>#NAME?</v>
      </c>
      <c r="E838" s="399" t="str">
        <f t="shared" si="119"/>
        <v>Severe abdominal pain</v>
      </c>
      <c r="F838" s="399" t="str">
        <f t="shared" si="131"/>
        <v>Input Option</v>
      </c>
      <c r="G838" s="400">
        <f t="shared" si="129"/>
        <v>28</v>
      </c>
      <c r="H838" s="399" t="str">
        <f t="shared" si="133"/>
        <v>Treatment given before referral</v>
      </c>
      <c r="I838" s="400"/>
      <c r="J838" s="400"/>
      <c r="K838" s="402" t="s">
        <v>6641</v>
      </c>
      <c r="L838" s="402" t="s">
        <v>3142</v>
      </c>
      <c r="M838" s="400"/>
      <c r="N838" s="756" t="s">
        <v>6642</v>
      </c>
      <c r="O838" s="405"/>
      <c r="P838" s="405" t="s">
        <v>9474</v>
      </c>
      <c r="Q838" s="405"/>
      <c r="R838" s="405"/>
      <c r="S838" s="405"/>
      <c r="T838" s="405"/>
      <c r="U838" s="405"/>
      <c r="V838" s="429" t="s">
        <v>464</v>
      </c>
      <c r="W838" s="403"/>
      <c r="X838" s="405"/>
      <c r="Y838" s="405"/>
      <c r="Z838" s="431"/>
      <c r="AA838" s="431"/>
      <c r="AB838" s="419"/>
      <c r="AC838" s="431"/>
      <c r="AD838" s="431"/>
      <c r="AE838" s="419"/>
      <c r="AF838" s="431"/>
      <c r="AG838" s="431"/>
      <c r="AH838" s="399"/>
      <c r="AI838" s="400"/>
      <c r="AJ838" s="399"/>
      <c r="AK838" s="399"/>
      <c r="AL838" s="399"/>
      <c r="AM838" s="399"/>
      <c r="AN838" s="399"/>
      <c r="AO838" s="399"/>
      <c r="AP838" s="399"/>
      <c r="AQ838" s="409" t="s">
        <v>115</v>
      </c>
      <c r="AR838" s="399"/>
      <c r="AS838" s="399"/>
      <c r="AT838" s="399"/>
      <c r="AU838" s="399" t="s">
        <v>632</v>
      </c>
      <c r="AV838" s="399" t="str">
        <f t="shared" si="123"/>
        <v>Same</v>
      </c>
      <c r="AW838" s="399"/>
      <c r="AX838" s="409" t="s">
        <v>3104</v>
      </c>
      <c r="AY838" s="399" t="e">
        <f t="shared" ca="1" si="124"/>
        <v>#NAME?</v>
      </c>
      <c r="AZ838" s="409" t="s">
        <v>3105</v>
      </c>
      <c r="BA838" s="409">
        <v>0</v>
      </c>
      <c r="BB838" s="399"/>
      <c r="BC838" s="399"/>
      <c r="BD838" s="399"/>
      <c r="BE838" s="411" t="s">
        <v>6732</v>
      </c>
      <c r="BF838" s="411"/>
      <c r="BG838" s="411"/>
      <c r="BH838" s="411"/>
      <c r="BI838" s="411"/>
      <c r="BJ838" s="399"/>
      <c r="BK838" s="399"/>
      <c r="BL838" s="399"/>
      <c r="BM838" s="399"/>
      <c r="BN838" s="399"/>
      <c r="BO838" s="399">
        <v>165271</v>
      </c>
      <c r="BP838" s="399"/>
      <c r="BQ838" s="399" t="s">
        <v>465</v>
      </c>
      <c r="BR838" s="399" t="s">
        <v>466</v>
      </c>
      <c r="BS838" s="407"/>
      <c r="BT838" s="407"/>
      <c r="BU838" s="412"/>
      <c r="BV838" s="46" t="str">
        <f t="shared" si="8"/>
        <v/>
      </c>
      <c r="BW838" s="46">
        <f t="shared" si="9"/>
        <v>0</v>
      </c>
      <c r="BX838" s="46">
        <f t="shared" si="10"/>
        <v>0</v>
      </c>
      <c r="BY838" s="43">
        <f t="shared" si="11"/>
        <v>0</v>
      </c>
      <c r="BZ838" s="46">
        <f t="shared" si="12"/>
        <v>1</v>
      </c>
      <c r="CA838" s="46" t="str">
        <f t="shared" si="13"/>
        <v/>
      </c>
      <c r="CB838" s="46">
        <f t="shared" si="14"/>
        <v>1</v>
      </c>
      <c r="CC838" s="46">
        <f t="shared" si="15"/>
        <v>1</v>
      </c>
      <c r="CD838" s="46">
        <f t="shared" si="16"/>
        <v>1</v>
      </c>
      <c r="CE838" s="46">
        <f t="shared" si="17"/>
        <v>0</v>
      </c>
      <c r="CF838" s="46">
        <f t="shared" si="18"/>
        <v>0</v>
      </c>
      <c r="CG838" s="46" t="str">
        <f ca="1">IFERROR(__xludf.DUMMYFUNCTION("if(OR(BH838="""",LEFT(BH838,2)=""LA""),"""",IMPORTXML(CONCATENATE(""https://loinc.org/"",BH838,""/""),""//span[@id='lcn']""))"),"")</f>
        <v/>
      </c>
      <c r="CH838" s="46"/>
      <c r="CI838" s="46"/>
      <c r="CJ838" s="46"/>
      <c r="CK838" s="46"/>
      <c r="CL838" s="46"/>
      <c r="CM838" s="46"/>
      <c r="CN838" s="46"/>
      <c r="CO838" s="46"/>
      <c r="CP838" s="46"/>
      <c r="CQ838" s="46"/>
      <c r="CR838" s="46"/>
      <c r="CS838" s="46"/>
      <c r="CT838" s="46"/>
      <c r="CU838" s="46"/>
    </row>
    <row r="839" spans="1:99" ht="12.75" customHeight="1">
      <c r="A839" s="399">
        <v>1779</v>
      </c>
      <c r="B839" s="399" t="s">
        <v>635</v>
      </c>
      <c r="C839" s="399">
        <f t="shared" si="117"/>
        <v>1779</v>
      </c>
      <c r="D839" s="399" t="e">
        <f t="shared" ca="1" si="118"/>
        <v>#NAME?</v>
      </c>
      <c r="E839" s="399" t="str">
        <f t="shared" si="119"/>
        <v>Unconscious</v>
      </c>
      <c r="F839" s="399" t="str">
        <f t="shared" si="131"/>
        <v>Input Option</v>
      </c>
      <c r="G839" s="400">
        <f t="shared" si="129"/>
        <v>18</v>
      </c>
      <c r="H839" s="399" t="str">
        <f t="shared" si="133"/>
        <v>Treatment given before referral</v>
      </c>
      <c r="I839" s="400"/>
      <c r="J839" s="400"/>
      <c r="K839" s="402" t="s">
        <v>6641</v>
      </c>
      <c r="L839" s="402" t="s">
        <v>3142</v>
      </c>
      <c r="M839" s="400"/>
      <c r="N839" s="756" t="s">
        <v>6642</v>
      </c>
      <c r="O839" s="405"/>
      <c r="P839" s="405" t="s">
        <v>9475</v>
      </c>
      <c r="Q839" s="405"/>
      <c r="R839" s="405"/>
      <c r="S839" s="405"/>
      <c r="T839" s="405"/>
      <c r="U839" s="405"/>
      <c r="V839" s="431" t="s">
        <v>467</v>
      </c>
      <c r="W839" s="403"/>
      <c r="X839" s="405"/>
      <c r="Y839" s="405"/>
      <c r="Z839" s="431"/>
      <c r="AA839" s="431"/>
      <c r="AB839" s="419"/>
      <c r="AC839" s="431"/>
      <c r="AD839" s="431"/>
      <c r="AE839" s="419"/>
      <c r="AF839" s="431"/>
      <c r="AG839" s="431"/>
      <c r="AH839" s="399"/>
      <c r="AI839" s="400"/>
      <c r="AJ839" s="399"/>
      <c r="AK839" s="399"/>
      <c r="AL839" s="399"/>
      <c r="AM839" s="399"/>
      <c r="AN839" s="399"/>
      <c r="AO839" s="399"/>
      <c r="AP839" s="399"/>
      <c r="AQ839" s="409" t="s">
        <v>115</v>
      </c>
      <c r="AR839" s="399"/>
      <c r="AS839" s="399"/>
      <c r="AT839" s="399"/>
      <c r="AU839" s="399" t="s">
        <v>635</v>
      </c>
      <c r="AV839" s="399" t="str">
        <f t="shared" si="123"/>
        <v>Same</v>
      </c>
      <c r="AW839" s="399"/>
      <c r="AX839" s="409" t="s">
        <v>3104</v>
      </c>
      <c r="AY839" s="399" t="e">
        <f t="shared" ca="1" si="124"/>
        <v>#NAME?</v>
      </c>
      <c r="AZ839" s="409" t="s">
        <v>3105</v>
      </c>
      <c r="BA839" s="409">
        <v>0</v>
      </c>
      <c r="BB839" s="399"/>
      <c r="BC839" s="399"/>
      <c r="BD839" s="409" t="s">
        <v>3162</v>
      </c>
      <c r="BE839" s="411" t="s">
        <v>469</v>
      </c>
      <c r="BF839" s="411" t="s">
        <v>6751</v>
      </c>
      <c r="BG839" s="434" t="s">
        <v>6753</v>
      </c>
      <c r="BH839" s="411"/>
      <c r="BI839" s="411"/>
      <c r="BJ839" s="399"/>
      <c r="BK839" s="399"/>
      <c r="BL839" s="399"/>
      <c r="BM839" s="399"/>
      <c r="BN839" s="399"/>
      <c r="BO839" s="399">
        <v>123818</v>
      </c>
      <c r="BP839" s="399"/>
      <c r="BQ839" s="399" t="s">
        <v>470</v>
      </c>
      <c r="BR839" s="399" t="s">
        <v>471</v>
      </c>
      <c r="BS839" s="407"/>
      <c r="BT839" s="407"/>
      <c r="BU839" s="412"/>
      <c r="BV839" s="46" t="str">
        <f t="shared" si="8"/>
        <v/>
      </c>
      <c r="BW839" s="46">
        <f t="shared" si="9"/>
        <v>0</v>
      </c>
      <c r="BX839" s="46">
        <f t="shared" si="10"/>
        <v>0</v>
      </c>
      <c r="BY839" s="43">
        <f t="shared" si="11"/>
        <v>0</v>
      </c>
      <c r="BZ839" s="46">
        <f t="shared" si="12"/>
        <v>1</v>
      </c>
      <c r="CA839" s="46" t="str">
        <f t="shared" si="13"/>
        <v/>
      </c>
      <c r="CB839" s="46">
        <f t="shared" si="14"/>
        <v>1</v>
      </c>
      <c r="CC839" s="46">
        <f t="shared" si="15"/>
        <v>1</v>
      </c>
      <c r="CD839" s="46">
        <f t="shared" si="16"/>
        <v>1</v>
      </c>
      <c r="CE839" s="46">
        <f t="shared" si="17"/>
        <v>0</v>
      </c>
      <c r="CF839" s="46">
        <f t="shared" si="18"/>
        <v>0</v>
      </c>
      <c r="CG839" s="46" t="str">
        <f ca="1">IFERROR(__xludf.DUMMYFUNCTION("if(OR(BH839="""",LEFT(BH839,2)=""LA""),"""",IMPORTXML(CONCATENATE(""https://loinc.org/"",BH839,""/""),""//span[@id='lcn']""))"),"")</f>
        <v/>
      </c>
      <c r="CH839" s="46"/>
      <c r="CI839" s="46"/>
      <c r="CJ839" s="46"/>
      <c r="CK839" s="46"/>
      <c r="CL839" s="46"/>
      <c r="CM839" s="46"/>
      <c r="CN839" s="46"/>
      <c r="CO839" s="46"/>
      <c r="CP839" s="46"/>
      <c r="CQ839" s="46"/>
      <c r="CR839" s="46"/>
      <c r="CS839" s="46"/>
      <c r="CT839" s="46"/>
      <c r="CU839" s="46"/>
    </row>
    <row r="840" spans="1:99" ht="12.75" customHeight="1">
      <c r="A840" s="399">
        <v>1780</v>
      </c>
      <c r="B840" s="399" t="s">
        <v>6754</v>
      </c>
      <c r="C840" s="399">
        <f t="shared" si="117"/>
        <v>1780</v>
      </c>
      <c r="D840" s="399" t="str">
        <f t="shared" si="118"/>
        <v>Reason for referral</v>
      </c>
      <c r="E840" s="399" t="str">
        <f t="shared" si="119"/>
        <v>Reason for referral</v>
      </c>
      <c r="F840" s="399" t="str">
        <f t="shared" si="131"/>
        <v>Data Element</v>
      </c>
      <c r="G840" s="400">
        <f t="shared" si="129"/>
        <v>19</v>
      </c>
      <c r="H840" s="400" t="str">
        <f t="shared" si="133"/>
        <v/>
      </c>
      <c r="I840" s="400"/>
      <c r="J840" s="400"/>
      <c r="K840" s="402" t="s">
        <v>6641</v>
      </c>
      <c r="L840" s="402" t="s">
        <v>3142</v>
      </c>
      <c r="M840" s="400"/>
      <c r="N840" s="623" t="s">
        <v>6757</v>
      </c>
      <c r="O840" s="407" t="s">
        <v>6758</v>
      </c>
      <c r="P840" s="407" t="s">
        <v>6759</v>
      </c>
      <c r="Q840" s="429" t="s">
        <v>6754</v>
      </c>
      <c r="R840" s="403"/>
      <c r="S840" s="407" t="s">
        <v>6760</v>
      </c>
      <c r="T840" s="405" t="s">
        <v>3339</v>
      </c>
      <c r="U840" s="405" t="s">
        <v>9476</v>
      </c>
      <c r="V840" s="407"/>
      <c r="W840" s="403"/>
      <c r="X840" s="403"/>
      <c r="Y840" s="403"/>
      <c r="Z840" s="407"/>
      <c r="AA840" s="407"/>
      <c r="AB840" s="408"/>
      <c r="AC840" s="407"/>
      <c r="AD840" s="403"/>
      <c r="AE840" s="406"/>
      <c r="AF840" s="403"/>
      <c r="AG840" s="403"/>
      <c r="AH840" s="399"/>
      <c r="AI840" s="400"/>
      <c r="AJ840" s="399"/>
      <c r="AK840" s="409" t="s">
        <v>6847</v>
      </c>
      <c r="AL840" s="409"/>
      <c r="AM840" s="409" t="s">
        <v>3100</v>
      </c>
      <c r="AN840" s="409" t="s">
        <v>3101</v>
      </c>
      <c r="AO840" s="399"/>
      <c r="AP840" s="409" t="s">
        <v>3182</v>
      </c>
      <c r="AQ840" s="409" t="s">
        <v>3424</v>
      </c>
      <c r="AR840" s="399"/>
      <c r="AS840" s="399"/>
      <c r="AT840" s="399"/>
      <c r="AU840" s="399" t="s">
        <v>6754</v>
      </c>
      <c r="AV840" s="399" t="str">
        <f t="shared" si="123"/>
        <v>Same</v>
      </c>
      <c r="AW840" s="399"/>
      <c r="AX840" s="409" t="s">
        <v>3104</v>
      </c>
      <c r="AY840" s="399" t="str">
        <f t="shared" si="124"/>
        <v/>
      </c>
      <c r="AZ840" s="409" t="s">
        <v>3105</v>
      </c>
      <c r="BA840" s="409">
        <v>1</v>
      </c>
      <c r="BB840" s="399"/>
      <c r="BC840" s="399"/>
      <c r="BD840" s="399"/>
      <c r="BE840" s="411"/>
      <c r="BF840" s="411"/>
      <c r="BG840" s="411"/>
      <c r="BH840" s="411"/>
      <c r="BI840" s="411"/>
      <c r="BJ840" s="409" t="s">
        <v>3106</v>
      </c>
      <c r="BK840" s="399"/>
      <c r="BL840" s="399"/>
      <c r="BM840" s="399"/>
      <c r="BN840" s="399"/>
      <c r="BO840" s="399"/>
      <c r="BP840" s="399"/>
      <c r="BQ840" s="399"/>
      <c r="BR840" s="399"/>
      <c r="BS840" s="407"/>
      <c r="BT840" s="407"/>
      <c r="BU840" s="412"/>
      <c r="BV840" s="46" t="str">
        <f t="shared" si="8"/>
        <v>ServiceRequest</v>
      </c>
      <c r="BW840" s="46" t="str">
        <f t="shared" si="9"/>
        <v/>
      </c>
      <c r="BX840" s="46" t="str">
        <f t="shared" si="10"/>
        <v>ServiceRequest</v>
      </c>
      <c r="BY840" s="43" t="str">
        <f t="shared" si="11"/>
        <v>WHO-Core ServiceRequest (Referral)</v>
      </c>
      <c r="BZ840" s="46">
        <f t="shared" si="12"/>
        <v>1</v>
      </c>
      <c r="CA840" s="46">
        <f t="shared" si="13"/>
        <v>1</v>
      </c>
      <c r="CB840" s="46">
        <f t="shared" si="14"/>
        <v>1</v>
      </c>
      <c r="CC840" s="46">
        <f t="shared" si="15"/>
        <v>1</v>
      </c>
      <c r="CD840" s="46">
        <f t="shared" si="16"/>
        <v>1</v>
      </c>
      <c r="CE840" s="46">
        <f t="shared" si="17"/>
        <v>0</v>
      </c>
      <c r="CF840" s="46">
        <f t="shared" si="18"/>
        <v>0</v>
      </c>
      <c r="CG840" s="46" t="str">
        <f ca="1">IFERROR(__xludf.DUMMYFUNCTION("if(OR(BH840="""",LEFT(BH840,2)=""LA""),"""",IMPORTXML(CONCATENATE(""https://loinc.org/"",BH840,""/""),""//span[@id='lcn']""))"),"")</f>
        <v/>
      </c>
      <c r="CH840" s="46"/>
      <c r="CI840" s="46"/>
      <c r="CJ840" s="46"/>
      <c r="CK840" s="46"/>
      <c r="CL840" s="46"/>
      <c r="CM840" s="46"/>
      <c r="CN840" s="46"/>
      <c r="CO840" s="46"/>
      <c r="CP840" s="46"/>
      <c r="CQ840" s="46"/>
      <c r="CR840" s="46"/>
      <c r="CS840" s="46"/>
      <c r="CT840" s="46"/>
      <c r="CU840" s="46"/>
    </row>
    <row r="841" spans="1:99" ht="12.75" customHeight="1">
      <c r="A841" s="399">
        <v>1781</v>
      </c>
      <c r="B841" s="399" t="s">
        <v>6764</v>
      </c>
      <c r="C841" s="399">
        <f t="shared" si="117"/>
        <v>1781</v>
      </c>
      <c r="D841" s="399" t="e">
        <f t="shared" ca="1" si="118"/>
        <v>#NAME?</v>
      </c>
      <c r="E841" s="399" t="str">
        <f t="shared" si="119"/>
        <v>Family planning procedure</v>
      </c>
      <c r="F841" s="399" t="str">
        <f t="shared" si="131"/>
        <v>Input Option</v>
      </c>
      <c r="G841" s="400">
        <f t="shared" si="129"/>
        <v>32</v>
      </c>
      <c r="H841" s="399" t="str">
        <f t="shared" si="133"/>
        <v>Reason for referral</v>
      </c>
      <c r="I841" s="400"/>
      <c r="J841" s="400"/>
      <c r="K841" s="402" t="s">
        <v>6641</v>
      </c>
      <c r="L841" s="402" t="s">
        <v>3142</v>
      </c>
      <c r="M841" s="400"/>
      <c r="N841" s="623" t="s">
        <v>6757</v>
      </c>
      <c r="O841" s="407"/>
      <c r="P841" s="407"/>
      <c r="Q841" s="403"/>
      <c r="R841" s="407"/>
      <c r="S841" s="403" t="s">
        <v>6767</v>
      </c>
      <c r="T841" s="403"/>
      <c r="U841" s="403"/>
      <c r="V841" s="432" t="s">
        <v>6768</v>
      </c>
      <c r="W841" s="403"/>
      <c r="X841" s="403"/>
      <c r="Y841" s="407"/>
      <c r="Z841" s="407"/>
      <c r="AA841" s="407"/>
      <c r="AB841" s="408"/>
      <c r="AC841" s="407"/>
      <c r="AD841" s="403"/>
      <c r="AE841" s="408"/>
      <c r="AF841" s="403"/>
      <c r="AG841" s="407"/>
      <c r="AH841" s="399"/>
      <c r="AI841" s="400"/>
      <c r="AJ841" s="399"/>
      <c r="AK841" s="399"/>
      <c r="AL841" s="399"/>
      <c r="AM841" s="399"/>
      <c r="AN841" s="399"/>
      <c r="AO841" s="399"/>
      <c r="AP841" s="399"/>
      <c r="AQ841" s="409" t="s">
        <v>3130</v>
      </c>
      <c r="AR841" s="399"/>
      <c r="AS841" s="399"/>
      <c r="AT841" s="399"/>
      <c r="AU841" s="399" t="s">
        <v>6764</v>
      </c>
      <c r="AV841" s="399" t="str">
        <f t="shared" si="123"/>
        <v>Same</v>
      </c>
      <c r="AW841" s="399"/>
      <c r="AX841" s="409" t="s">
        <v>3104</v>
      </c>
      <c r="AY841" s="399" t="e">
        <f t="shared" ca="1" si="124"/>
        <v>#NAME?</v>
      </c>
      <c r="AZ841" s="409" t="s">
        <v>3105</v>
      </c>
      <c r="BA841" s="409">
        <v>1</v>
      </c>
      <c r="BB841" s="399"/>
      <c r="BC841" s="399"/>
      <c r="BD841" s="409" t="s">
        <v>3162</v>
      </c>
      <c r="BE841" s="411"/>
      <c r="BF841" s="411"/>
      <c r="BG841" s="434" t="s">
        <v>9477</v>
      </c>
      <c r="BH841" s="411"/>
      <c r="BI841" s="411"/>
      <c r="BJ841" s="399"/>
      <c r="BK841" s="399"/>
      <c r="BL841" s="399"/>
      <c r="BM841" s="410" t="s">
        <v>9478</v>
      </c>
      <c r="BN841" s="399"/>
      <c r="BO841" s="399"/>
      <c r="BP841" s="399"/>
      <c r="BQ841" s="399"/>
      <c r="BR841" s="399"/>
      <c r="BS841" s="407"/>
      <c r="BT841" s="407"/>
      <c r="BU841" s="412"/>
      <c r="BV841" s="46" t="str">
        <f t="shared" si="8"/>
        <v/>
      </c>
      <c r="BW841" s="46">
        <f t="shared" si="9"/>
        <v>0</v>
      </c>
      <c r="BX841" s="46">
        <f t="shared" si="10"/>
        <v>0</v>
      </c>
      <c r="BY841" s="43" t="str">
        <f t="shared" si="11"/>
        <v>WHO-Core ServiceRequest (Referral)</v>
      </c>
      <c r="BZ841" s="46">
        <f t="shared" si="12"/>
        <v>1</v>
      </c>
      <c r="CA841" s="46" t="str">
        <f t="shared" si="13"/>
        <v/>
      </c>
      <c r="CB841" s="46">
        <f t="shared" si="14"/>
        <v>1</v>
      </c>
      <c r="CC841" s="46">
        <f t="shared" si="15"/>
        <v>1</v>
      </c>
      <c r="CD841" s="46">
        <f t="shared" si="16"/>
        <v>1</v>
      </c>
      <c r="CE841" s="46">
        <f t="shared" si="17"/>
        <v>0</v>
      </c>
      <c r="CF841" s="46">
        <f t="shared" si="18"/>
        <v>0</v>
      </c>
      <c r="CG841" s="46" t="str">
        <f ca="1">IFERROR(__xludf.DUMMYFUNCTION("if(OR(BH841="""",LEFT(BH841,2)=""LA""),"""",IMPORTXML(CONCATENATE(""https://loinc.org/"",BH841,""/""),""//span[@id='lcn']""))"),"")</f>
        <v/>
      </c>
      <c r="CH841" s="46"/>
      <c r="CI841" s="46"/>
      <c r="CJ841" s="46"/>
      <c r="CK841" s="46"/>
      <c r="CL841" s="46"/>
      <c r="CM841" s="46"/>
      <c r="CN841" s="46"/>
      <c r="CO841" s="46"/>
      <c r="CP841" s="46"/>
      <c r="CQ841" s="46"/>
      <c r="CR841" s="46"/>
      <c r="CS841" s="46"/>
      <c r="CT841" s="46"/>
      <c r="CU841" s="46"/>
    </row>
    <row r="842" spans="1:99" ht="12.75" customHeight="1">
      <c r="A842" s="399">
        <v>1782</v>
      </c>
      <c r="B842" s="399" t="s">
        <v>6771</v>
      </c>
      <c r="C842" s="399">
        <f t="shared" si="117"/>
        <v>1782</v>
      </c>
      <c r="D842" s="399" t="e">
        <f t="shared" ca="1" si="118"/>
        <v>#NAME?</v>
      </c>
      <c r="E842" s="399" t="str">
        <f t="shared" si="119"/>
        <v>Screening referral</v>
      </c>
      <c r="F842" s="399" t="str">
        <f t="shared" si="131"/>
        <v>Input Option</v>
      </c>
      <c r="G842" s="400">
        <f t="shared" si="129"/>
        <v>25</v>
      </c>
      <c r="H842" s="399" t="str">
        <f t="shared" si="133"/>
        <v>Reason for referral</v>
      </c>
      <c r="I842" s="400"/>
      <c r="J842" s="400"/>
      <c r="K842" s="402" t="s">
        <v>6641</v>
      </c>
      <c r="L842" s="402" t="s">
        <v>3142</v>
      </c>
      <c r="M842" s="400"/>
      <c r="N842" s="623" t="s">
        <v>6757</v>
      </c>
      <c r="O842" s="407"/>
      <c r="P842" s="407"/>
      <c r="Q842" s="403"/>
      <c r="R842" s="407"/>
      <c r="S842" s="403" t="s">
        <v>6775</v>
      </c>
      <c r="T842" s="403"/>
      <c r="U842" s="403"/>
      <c r="V842" s="432" t="s">
        <v>6776</v>
      </c>
      <c r="W842" s="403"/>
      <c r="X842" s="403"/>
      <c r="Y842" s="407"/>
      <c r="Z842" s="407"/>
      <c r="AA842" s="407"/>
      <c r="AB842" s="408"/>
      <c r="AC842" s="407"/>
      <c r="AD842" s="403"/>
      <c r="AE842" s="408"/>
      <c r="AF842" s="403"/>
      <c r="AG842" s="407"/>
      <c r="AH842" s="399"/>
      <c r="AI842" s="400"/>
      <c r="AJ842" s="399"/>
      <c r="AK842" s="399"/>
      <c r="AL842" s="399"/>
      <c r="AM842" s="399"/>
      <c r="AN842" s="399"/>
      <c r="AO842" s="399"/>
      <c r="AP842" s="399"/>
      <c r="AQ842" s="409" t="s">
        <v>3130</v>
      </c>
      <c r="AR842" s="399"/>
      <c r="AS842" s="399"/>
      <c r="AT842" s="399"/>
      <c r="AU842" s="399" t="s">
        <v>6771</v>
      </c>
      <c r="AV842" s="399" t="str">
        <f t="shared" si="123"/>
        <v>Same</v>
      </c>
      <c r="AW842" s="399"/>
      <c r="AX842" s="409" t="s">
        <v>3104</v>
      </c>
      <c r="AY842" s="399" t="e">
        <f t="shared" ca="1" si="124"/>
        <v>#NAME?</v>
      </c>
      <c r="AZ842" s="409" t="s">
        <v>3105</v>
      </c>
      <c r="BA842" s="409">
        <v>1</v>
      </c>
      <c r="BB842" s="399"/>
      <c r="BC842" s="399"/>
      <c r="BD842" s="399"/>
      <c r="BE842" s="411"/>
      <c r="BF842" s="411"/>
      <c r="BG842" s="411" t="s">
        <v>9479</v>
      </c>
      <c r="BH842" s="411"/>
      <c r="BI842" s="411"/>
      <c r="BJ842" s="399"/>
      <c r="BK842" s="399"/>
      <c r="BL842" s="399"/>
      <c r="BM842" s="399"/>
      <c r="BN842" s="399"/>
      <c r="BO842" s="399"/>
      <c r="BP842" s="399"/>
      <c r="BQ842" s="399"/>
      <c r="BR842" s="399"/>
      <c r="BS842" s="407"/>
      <c r="BT842" s="407"/>
      <c r="BU842" s="412"/>
      <c r="BV842" s="46" t="str">
        <f t="shared" si="8"/>
        <v/>
      </c>
      <c r="BW842" s="46">
        <f t="shared" si="9"/>
        <v>0</v>
      </c>
      <c r="BX842" s="46">
        <f t="shared" si="10"/>
        <v>0</v>
      </c>
      <c r="BY842" s="43" t="str">
        <f t="shared" si="11"/>
        <v>WHO-Core ServiceRequest (Referral)</v>
      </c>
      <c r="BZ842" s="46">
        <f t="shared" si="12"/>
        <v>1</v>
      </c>
      <c r="CA842" s="46" t="str">
        <f t="shared" si="13"/>
        <v/>
      </c>
      <c r="CB842" s="46">
        <f t="shared" si="14"/>
        <v>1</v>
      </c>
      <c r="CC842" s="46">
        <f t="shared" si="15"/>
        <v>1</v>
      </c>
      <c r="CD842" s="46">
        <f t="shared" si="16"/>
        <v>1</v>
      </c>
      <c r="CE842" s="46">
        <f t="shared" si="17"/>
        <v>0</v>
      </c>
      <c r="CF842" s="46">
        <f t="shared" si="18"/>
        <v>0</v>
      </c>
      <c r="CG842" s="46" t="str">
        <f ca="1">IFERROR(__xludf.DUMMYFUNCTION("if(OR(BH842="""",LEFT(BH842,2)=""LA""),"""",IMPORTXML(CONCATENATE(""https://loinc.org/"",BH842,""/""),""//span[@id='lcn']""))"),"")</f>
        <v/>
      </c>
      <c r="CH842" s="46"/>
      <c r="CI842" s="46"/>
      <c r="CJ842" s="46"/>
      <c r="CK842" s="46"/>
      <c r="CL842" s="46"/>
      <c r="CM842" s="46"/>
      <c r="CN842" s="46"/>
      <c r="CO842" s="46"/>
      <c r="CP842" s="46"/>
      <c r="CQ842" s="46"/>
      <c r="CR842" s="46"/>
      <c r="CS842" s="46"/>
      <c r="CT842" s="46"/>
      <c r="CU842" s="46"/>
    </row>
    <row r="843" spans="1:99" ht="12.75" customHeight="1">
      <c r="A843" s="399">
        <v>1783</v>
      </c>
      <c r="B843" s="399" t="s">
        <v>6780</v>
      </c>
      <c r="C843" s="399">
        <f t="shared" si="117"/>
        <v>1783</v>
      </c>
      <c r="D843" s="399" t="e">
        <f t="shared" ca="1" si="118"/>
        <v>#NAME?</v>
      </c>
      <c r="E843" s="399" t="str">
        <f t="shared" si="119"/>
        <v>Other referral</v>
      </c>
      <c r="F843" s="399" t="str">
        <f t="shared" si="131"/>
        <v>Input Option</v>
      </c>
      <c r="G843" s="400">
        <f t="shared" si="129"/>
        <v>21</v>
      </c>
      <c r="H843" s="399" t="str">
        <f t="shared" si="133"/>
        <v>Reason for referral</v>
      </c>
      <c r="I843" s="400"/>
      <c r="J843" s="400"/>
      <c r="K843" s="402" t="s">
        <v>6641</v>
      </c>
      <c r="L843" s="402" t="s">
        <v>3142</v>
      </c>
      <c r="M843" s="400"/>
      <c r="N843" s="623" t="s">
        <v>6757</v>
      </c>
      <c r="O843" s="407"/>
      <c r="P843" s="407"/>
      <c r="Q843" s="403"/>
      <c r="R843" s="407"/>
      <c r="S843" s="403" t="s">
        <v>6781</v>
      </c>
      <c r="T843" s="403"/>
      <c r="U843" s="403"/>
      <c r="V843" s="407" t="s">
        <v>6782</v>
      </c>
      <c r="W843" s="403"/>
      <c r="X843" s="403"/>
      <c r="Y843" s="407"/>
      <c r="Z843" s="407"/>
      <c r="AA843" s="407"/>
      <c r="AB843" s="408"/>
      <c r="AC843" s="407"/>
      <c r="AD843" s="403"/>
      <c r="AE843" s="408"/>
      <c r="AF843" s="403"/>
      <c r="AG843" s="407"/>
      <c r="AH843" s="399"/>
      <c r="AI843" s="400"/>
      <c r="AJ843" s="399"/>
      <c r="AK843" s="399"/>
      <c r="AL843" s="399"/>
      <c r="AM843" s="399"/>
      <c r="AN843" s="399"/>
      <c r="AO843" s="399"/>
      <c r="AP843" s="399"/>
      <c r="AQ843" s="409" t="s">
        <v>3130</v>
      </c>
      <c r="AR843" s="399"/>
      <c r="AS843" s="399"/>
      <c r="AT843" s="399"/>
      <c r="AU843" s="399" t="s">
        <v>6780</v>
      </c>
      <c r="AV843" s="399" t="str">
        <f t="shared" si="123"/>
        <v>Same</v>
      </c>
      <c r="AW843" s="399"/>
      <c r="AX843" s="409" t="s">
        <v>3104</v>
      </c>
      <c r="AY843" s="399" t="e">
        <f t="shared" ca="1" si="124"/>
        <v>#NAME?</v>
      </c>
      <c r="AZ843" s="409" t="s">
        <v>3105</v>
      </c>
      <c r="BA843" s="409">
        <v>1</v>
      </c>
      <c r="BB843" s="399"/>
      <c r="BC843" s="399"/>
      <c r="BD843" s="399"/>
      <c r="BE843" s="411"/>
      <c r="BF843" s="411"/>
      <c r="BG843" s="411" t="s">
        <v>9480</v>
      </c>
      <c r="BH843" s="411"/>
      <c r="BI843" s="411"/>
      <c r="BJ843" s="399"/>
      <c r="BK843" s="399"/>
      <c r="BL843" s="399"/>
      <c r="BM843" s="399"/>
      <c r="BN843" s="399"/>
      <c r="BO843" s="399"/>
      <c r="BP843" s="399"/>
      <c r="BQ843" s="399"/>
      <c r="BR843" s="399"/>
      <c r="BS843" s="407"/>
      <c r="BT843" s="407"/>
      <c r="BU843" s="412"/>
      <c r="BV843" s="46" t="str">
        <f t="shared" si="8"/>
        <v/>
      </c>
      <c r="BW843" s="46">
        <f t="shared" si="9"/>
        <v>0</v>
      </c>
      <c r="BX843" s="46">
        <f t="shared" si="10"/>
        <v>0</v>
      </c>
      <c r="BY843" s="43" t="str">
        <f t="shared" si="11"/>
        <v>WHO-Core ServiceRequest (Referral)</v>
      </c>
      <c r="BZ843" s="46">
        <f t="shared" si="12"/>
        <v>1</v>
      </c>
      <c r="CA843" s="46" t="str">
        <f t="shared" si="13"/>
        <v/>
      </c>
      <c r="CB843" s="46">
        <f t="shared" si="14"/>
        <v>1</v>
      </c>
      <c r="CC843" s="46">
        <f t="shared" si="15"/>
        <v>1</v>
      </c>
      <c r="CD843" s="46">
        <f t="shared" si="16"/>
        <v>1</v>
      </c>
      <c r="CE843" s="46">
        <f t="shared" si="17"/>
        <v>0</v>
      </c>
      <c r="CF843" s="46">
        <f t="shared" si="18"/>
        <v>0</v>
      </c>
      <c r="CG843" s="46" t="str">
        <f ca="1">IFERROR(__xludf.DUMMYFUNCTION("if(OR(BH843="""",LEFT(BH843,2)=""LA""),"""",IMPORTXML(CONCATENATE(""https://loinc.org/"",BH843,""/""),""//span[@id='lcn']""))"),"")</f>
        <v/>
      </c>
      <c r="CH843" s="46"/>
      <c r="CI843" s="46"/>
      <c r="CJ843" s="46"/>
      <c r="CK843" s="46"/>
      <c r="CL843" s="46"/>
      <c r="CM843" s="46"/>
      <c r="CN843" s="46"/>
      <c r="CO843" s="46"/>
      <c r="CP843" s="46"/>
      <c r="CQ843" s="46"/>
      <c r="CR843" s="46"/>
      <c r="CS843" s="46"/>
      <c r="CT843" s="46"/>
      <c r="CU843" s="46"/>
    </row>
    <row r="844" spans="1:99" ht="12.75" customHeight="1">
      <c r="A844" s="409">
        <v>1786</v>
      </c>
      <c r="B844" s="399" t="s">
        <v>9481</v>
      </c>
      <c r="C844" s="399">
        <f t="shared" si="117"/>
        <v>1786</v>
      </c>
      <c r="D844" s="399" t="str">
        <f t="shared" si="118"/>
        <v>True/False</v>
      </c>
      <c r="E844" s="399" t="str">
        <f t="shared" si="119"/>
        <v>True/False</v>
      </c>
      <c r="F844" s="409" t="s">
        <v>3164</v>
      </c>
      <c r="G844" s="400">
        <f t="shared" si="129"/>
        <v>23</v>
      </c>
      <c r="H844" s="400" t="str">
        <f t="shared" si="133"/>
        <v/>
      </c>
      <c r="I844" s="400"/>
      <c r="J844" s="400"/>
      <c r="K844" s="402" t="s">
        <v>6641</v>
      </c>
      <c r="L844" s="402" t="s">
        <v>4081</v>
      </c>
      <c r="M844" s="400"/>
      <c r="N844" s="623" t="s">
        <v>6790</v>
      </c>
      <c r="O844" s="407"/>
      <c r="P844" s="407"/>
      <c r="Q844" s="403"/>
      <c r="R844" s="407"/>
      <c r="S844" s="403"/>
      <c r="T844" s="403" t="s">
        <v>3169</v>
      </c>
      <c r="U844" s="403"/>
      <c r="V844" s="407" t="s">
        <v>3170</v>
      </c>
      <c r="W844" s="403"/>
      <c r="X844" s="403"/>
      <c r="Y844" s="407"/>
      <c r="Z844" s="407"/>
      <c r="AA844" s="407"/>
      <c r="AB844" s="408"/>
      <c r="AC844" s="407"/>
      <c r="AD844" s="403"/>
      <c r="AE844" s="408"/>
      <c r="AF844" s="403"/>
      <c r="AG844" s="407"/>
      <c r="AH844" s="399"/>
      <c r="AI844" s="400"/>
      <c r="AJ844" s="399"/>
      <c r="AK844" s="399"/>
      <c r="AL844" s="409"/>
      <c r="AM844" s="409"/>
      <c r="AN844" s="409"/>
      <c r="AO844" s="399"/>
      <c r="AP844" s="399"/>
      <c r="AQ844" s="409" t="s">
        <v>115</v>
      </c>
      <c r="AR844" s="399"/>
      <c r="AS844" s="399"/>
      <c r="AT844" s="399"/>
      <c r="AU844" s="399" t="s">
        <v>3170</v>
      </c>
      <c r="AV844" s="399" t="str">
        <f t="shared" si="123"/>
        <v>Changed</v>
      </c>
      <c r="AW844" s="399"/>
      <c r="AX844" s="409" t="s">
        <v>3104</v>
      </c>
      <c r="AY844" s="399" t="str">
        <f t="shared" si="124"/>
        <v>"True/False"-&gt;"Facility can accomodate"</v>
      </c>
      <c r="AZ844" s="409" t="s">
        <v>3105</v>
      </c>
      <c r="BA844" s="409">
        <v>0</v>
      </c>
      <c r="BB844" s="399"/>
      <c r="BC844" s="399"/>
      <c r="BD844" s="399"/>
      <c r="BE844" s="411"/>
      <c r="BF844" s="411"/>
      <c r="BG844" s="411"/>
      <c r="BH844" s="411"/>
      <c r="BI844" s="411"/>
      <c r="BJ844" s="409" t="s">
        <v>3106</v>
      </c>
      <c r="BK844" s="399"/>
      <c r="BL844" s="399"/>
      <c r="BM844" s="399"/>
      <c r="BN844" s="409" t="s">
        <v>9482</v>
      </c>
      <c r="BO844" s="399"/>
      <c r="BP844" s="399"/>
      <c r="BQ844" s="399"/>
      <c r="BR844" s="399"/>
      <c r="BS844" s="407"/>
      <c r="BT844" s="407"/>
      <c r="BU844" s="412"/>
      <c r="BV844" s="46" t="str">
        <f t="shared" si="8"/>
        <v/>
      </c>
      <c r="BW844" s="46" t="str">
        <f t="shared" si="9"/>
        <v/>
      </c>
      <c r="BX844" s="46" t="str">
        <f t="shared" si="10"/>
        <v/>
      </c>
      <c r="BY844" s="43" t="str">
        <f t="shared" si="11"/>
        <v/>
      </c>
      <c r="BZ844" s="46">
        <f t="shared" si="12"/>
        <v>1</v>
      </c>
      <c r="CA844" s="46" t="str">
        <f t="shared" si="13"/>
        <v/>
      </c>
      <c r="CB844" s="46">
        <f t="shared" si="14"/>
        <v>1</v>
      </c>
      <c r="CC844" s="46">
        <f t="shared" si="15"/>
        <v>1</v>
      </c>
      <c r="CD844" s="46">
        <f t="shared" si="16"/>
        <v>1</v>
      </c>
      <c r="CE844" s="46">
        <f t="shared" si="17"/>
        <v>0</v>
      </c>
      <c r="CF844" s="46">
        <f t="shared" si="18"/>
        <v>0</v>
      </c>
      <c r="CG844" s="46" t="str">
        <f ca="1">IFERROR(__xludf.DUMMYFUNCTION("if(OR(BH844="""",LEFT(BH844,2)=""LA""),"""",IMPORTXML(CONCATENATE(""https://loinc.org/"",BH844,""/""),""//span[@id='lcn']""))"),"")</f>
        <v/>
      </c>
      <c r="CH844" s="46"/>
      <c r="CI844" s="46"/>
      <c r="CJ844" s="46"/>
      <c r="CK844" s="46"/>
      <c r="CL844" s="46"/>
      <c r="CM844" s="46"/>
      <c r="CN844" s="46"/>
      <c r="CO844" s="46"/>
      <c r="CP844" s="46"/>
      <c r="CQ844" s="46"/>
      <c r="CR844" s="46"/>
      <c r="CS844" s="46"/>
      <c r="CT844" s="46"/>
      <c r="CU844" s="46"/>
    </row>
    <row r="845" spans="1:99" ht="12.75" customHeight="1">
      <c r="A845" s="399">
        <v>1787</v>
      </c>
      <c r="B845" s="399" t="s">
        <v>6801</v>
      </c>
      <c r="C845" s="399">
        <f t="shared" si="117"/>
        <v>1787</v>
      </c>
      <c r="D845" s="399" t="str">
        <f t="shared" si="118"/>
        <v>Referral needed</v>
      </c>
      <c r="E845" s="399" t="str">
        <f t="shared" si="119"/>
        <v>Referral needed</v>
      </c>
      <c r="F845" s="409" t="s">
        <v>3164</v>
      </c>
      <c r="G845" s="400">
        <f t="shared" si="129"/>
        <v>22</v>
      </c>
      <c r="H845" s="400" t="str">
        <f t="shared" si="133"/>
        <v/>
      </c>
      <c r="I845" s="400"/>
      <c r="J845" s="400"/>
      <c r="K845" s="402" t="s">
        <v>6641</v>
      </c>
      <c r="L845" s="402" t="s">
        <v>4081</v>
      </c>
      <c r="M845" s="400"/>
      <c r="N845" s="623" t="s">
        <v>6790</v>
      </c>
      <c r="O845" s="407" t="s">
        <v>6806</v>
      </c>
      <c r="P845" s="407"/>
      <c r="Q845" s="403"/>
      <c r="R845" s="407"/>
      <c r="S845" s="403"/>
      <c r="T845" s="403"/>
      <c r="U845" s="403"/>
      <c r="V845" s="432" t="s">
        <v>6808</v>
      </c>
      <c r="W845" s="403"/>
      <c r="X845" s="403"/>
      <c r="Y845" s="407"/>
      <c r="Z845" s="407"/>
      <c r="AA845" s="407"/>
      <c r="AB845" s="408"/>
      <c r="AC845" s="407"/>
      <c r="AD845" s="403"/>
      <c r="AE845" s="408"/>
      <c r="AF845" s="403"/>
      <c r="AG845" s="407"/>
      <c r="AH845" s="399"/>
      <c r="AI845" s="400"/>
      <c r="AJ845" s="399"/>
      <c r="AK845" s="399"/>
      <c r="AL845" s="399"/>
      <c r="AM845" s="399"/>
      <c r="AN845" s="399"/>
      <c r="AO845" s="399"/>
      <c r="AP845" s="399"/>
      <c r="AQ845" s="409" t="s">
        <v>115</v>
      </c>
      <c r="AR845" s="399"/>
      <c r="AS845" s="399"/>
      <c r="AT845" s="399"/>
      <c r="AU845" s="399" t="s">
        <v>6801</v>
      </c>
      <c r="AV845" s="399" t="str">
        <f t="shared" si="123"/>
        <v>Same</v>
      </c>
      <c r="AW845" s="399"/>
      <c r="AX845" s="409" t="s">
        <v>3104</v>
      </c>
      <c r="AY845" s="399" t="str">
        <f t="shared" si="124"/>
        <v>"Referral needed"-&gt;"       Referral needed"</v>
      </c>
      <c r="AZ845" s="409" t="s">
        <v>3105</v>
      </c>
      <c r="BA845" s="409">
        <v>0</v>
      </c>
      <c r="BB845" s="399"/>
      <c r="BC845" s="399"/>
      <c r="BD845" s="409" t="s">
        <v>3162</v>
      </c>
      <c r="BE845" s="411"/>
      <c r="BF845" s="411"/>
      <c r="BG845" s="434" t="s">
        <v>9483</v>
      </c>
      <c r="BH845" s="411"/>
      <c r="BI845" s="411"/>
      <c r="BJ845" s="399"/>
      <c r="BK845" s="399"/>
      <c r="BL845" s="399"/>
      <c r="BM845" s="399"/>
      <c r="BN845" s="399"/>
      <c r="BO845" s="399"/>
      <c r="BP845" s="399"/>
      <c r="BQ845" s="399"/>
      <c r="BR845" s="399"/>
      <c r="BS845" s="407"/>
      <c r="BT845" s="407"/>
      <c r="BU845" s="412"/>
      <c r="BV845" s="46" t="str">
        <f t="shared" si="8"/>
        <v/>
      </c>
      <c r="BW845" s="46" t="str">
        <f t="shared" si="9"/>
        <v/>
      </c>
      <c r="BX845" s="46" t="str">
        <f t="shared" si="10"/>
        <v/>
      </c>
      <c r="BY845" s="43" t="str">
        <f t="shared" si="11"/>
        <v/>
      </c>
      <c r="BZ845" s="46">
        <f t="shared" si="12"/>
        <v>1</v>
      </c>
      <c r="CA845" s="46" t="str">
        <f t="shared" si="13"/>
        <v/>
      </c>
      <c r="CB845" s="46">
        <f t="shared" si="14"/>
        <v>1</v>
      </c>
      <c r="CC845" s="46">
        <f t="shared" si="15"/>
        <v>1</v>
      </c>
      <c r="CD845" s="46">
        <f t="shared" si="16"/>
        <v>1</v>
      </c>
      <c r="CE845" s="46">
        <f t="shared" si="17"/>
        <v>0</v>
      </c>
      <c r="CF845" s="46">
        <f t="shared" si="18"/>
        <v>0</v>
      </c>
      <c r="CG845" s="46" t="str">
        <f ca="1">IFERROR(__xludf.DUMMYFUNCTION("if(OR(BH845="""",LEFT(BH845,2)=""LA""),"""",IMPORTXML(CONCATENATE(""https://loinc.org/"",BH845,""/""),""//span[@id='lcn']""))"),"")</f>
        <v/>
      </c>
      <c r="CH845" s="46"/>
      <c r="CI845" s="46"/>
      <c r="CJ845" s="46"/>
      <c r="CK845" s="46"/>
      <c r="CL845" s="46"/>
      <c r="CM845" s="46"/>
      <c r="CN845" s="46"/>
      <c r="CO845" s="46"/>
      <c r="CP845" s="46"/>
      <c r="CQ845" s="46"/>
      <c r="CR845" s="46"/>
      <c r="CS845" s="46"/>
      <c r="CT845" s="46"/>
      <c r="CU845" s="46"/>
    </row>
    <row r="846" spans="1:99" ht="12.75" customHeight="1">
      <c r="A846" s="399">
        <v>1788</v>
      </c>
      <c r="B846" s="399" t="s">
        <v>6816</v>
      </c>
      <c r="C846" s="399">
        <f t="shared" si="117"/>
        <v>1788</v>
      </c>
      <c r="D846" s="399" t="str">
        <f t="shared" si="118"/>
        <v>Date of scheduled referral appointment</v>
      </c>
      <c r="E846" s="399" t="str">
        <f t="shared" si="119"/>
        <v>Date of scheduled referral appointment</v>
      </c>
      <c r="F846" s="399" t="str">
        <f t="shared" ref="F846:F850" si="134">IF(AND(ISBLANK(V846)=FALSE,OR(T846="MC",T846="")),"Input Option","Data Element")</f>
        <v>Data Element</v>
      </c>
      <c r="G846" s="400">
        <f t="shared" si="129"/>
        <v>38</v>
      </c>
      <c r="H846" s="400" t="str">
        <f t="shared" si="133"/>
        <v/>
      </c>
      <c r="I846" s="400"/>
      <c r="J846" s="400"/>
      <c r="K846" s="402" t="s">
        <v>6641</v>
      </c>
      <c r="L846" s="402" t="s">
        <v>3142</v>
      </c>
      <c r="M846" s="400"/>
      <c r="N846" s="623" t="s">
        <v>6817</v>
      </c>
      <c r="O846" s="407" t="s">
        <v>6818</v>
      </c>
      <c r="P846" s="407" t="s">
        <v>6819</v>
      </c>
      <c r="Q846" s="429" t="s">
        <v>6816</v>
      </c>
      <c r="R846" s="407"/>
      <c r="S846" s="407" t="s">
        <v>6820</v>
      </c>
      <c r="T846" s="403" t="s">
        <v>3513</v>
      </c>
      <c r="U846" s="403"/>
      <c r="V846" s="407"/>
      <c r="W846" s="407"/>
      <c r="X846" s="403"/>
      <c r="Y846" s="407"/>
      <c r="Z846" s="407"/>
      <c r="AA846" s="407"/>
      <c r="AB846" s="408"/>
      <c r="AC846" s="407"/>
      <c r="AD846" s="403"/>
      <c r="AE846" s="408"/>
      <c r="AF846" s="403"/>
      <c r="AG846" s="407"/>
      <c r="AH846" s="399"/>
      <c r="AI846" s="400"/>
      <c r="AJ846" s="399"/>
      <c r="AK846" s="409" t="s">
        <v>6851</v>
      </c>
      <c r="AL846" s="409" t="s">
        <v>3513</v>
      </c>
      <c r="AM846" s="409" t="s">
        <v>3100</v>
      </c>
      <c r="AN846" s="409" t="s">
        <v>3101</v>
      </c>
      <c r="AO846" s="399"/>
      <c r="AP846" s="409" t="s">
        <v>3182</v>
      </c>
      <c r="AQ846" s="409" t="s">
        <v>3424</v>
      </c>
      <c r="AR846" s="399"/>
      <c r="AS846" s="399"/>
      <c r="AT846" s="399"/>
      <c r="AU846" s="399" t="s">
        <v>6816</v>
      </c>
      <c r="AV846" s="399" t="str">
        <f t="shared" si="123"/>
        <v>Same</v>
      </c>
      <c r="AW846" s="399"/>
      <c r="AX846" s="409" t="s">
        <v>3104</v>
      </c>
      <c r="AY846" s="399" t="str">
        <f t="shared" si="124"/>
        <v/>
      </c>
      <c r="AZ846" s="409" t="s">
        <v>3105</v>
      </c>
      <c r="BA846" s="409">
        <v>1</v>
      </c>
      <c r="BB846" s="399"/>
      <c r="BC846" s="399"/>
      <c r="BD846" s="399"/>
      <c r="BE846" s="411"/>
      <c r="BF846" s="411"/>
      <c r="BG846" s="411"/>
      <c r="BH846" s="411" t="s">
        <v>6822</v>
      </c>
      <c r="BI846" s="411"/>
      <c r="BJ846" s="399"/>
      <c r="BK846" s="399"/>
      <c r="BL846" s="399"/>
      <c r="BM846" s="399"/>
      <c r="BN846" s="399"/>
      <c r="BO846" s="399"/>
      <c r="BP846" s="399"/>
      <c r="BQ846" s="399"/>
      <c r="BR846" s="399"/>
      <c r="BS846" s="407"/>
      <c r="BT846" s="407"/>
      <c r="BU846" s="412"/>
      <c r="BV846" s="46" t="str">
        <f t="shared" si="8"/>
        <v>ServiceRequest</v>
      </c>
      <c r="BW846" s="46" t="str">
        <f t="shared" si="9"/>
        <v/>
      </c>
      <c r="BX846" s="46" t="str">
        <f t="shared" si="10"/>
        <v>ServiceRequest</v>
      </c>
      <c r="BY846" s="43" t="str">
        <f t="shared" si="11"/>
        <v>WHO-Core ServiceRequest (Referral)</v>
      </c>
      <c r="BZ846" s="46">
        <f t="shared" si="12"/>
        <v>1</v>
      </c>
      <c r="CA846" s="46">
        <f t="shared" si="13"/>
        <v>0</v>
      </c>
      <c r="CB846" s="46">
        <f t="shared" si="14"/>
        <v>1</v>
      </c>
      <c r="CC846" s="46">
        <f t="shared" si="15"/>
        <v>1</v>
      </c>
      <c r="CD846" s="46">
        <f t="shared" si="16"/>
        <v>1</v>
      </c>
      <c r="CE846" s="46">
        <f t="shared" si="17"/>
        <v>0</v>
      </c>
      <c r="CF846" s="46">
        <f t="shared" si="18"/>
        <v>0</v>
      </c>
      <c r="CG846" s="46" t="str">
        <f ca="1">IFERROR(__xludf.DUMMYFUNCTION("if(OR(BH846="""",LEFT(BH846,2)=""LA""),"""",IMPORTXML(CONCATENATE(""https://loinc.org/"",BH846,""/""),""//span[@id='lcn']""))"),"Date of Referral")</f>
        <v>Date of Referral</v>
      </c>
      <c r="CH846" s="46"/>
      <c r="CI846" s="46"/>
      <c r="CJ846" s="46"/>
      <c r="CK846" s="46"/>
      <c r="CL846" s="46"/>
      <c r="CM846" s="46"/>
      <c r="CN846" s="46"/>
      <c r="CO846" s="46"/>
      <c r="CP846" s="46"/>
      <c r="CQ846" s="46"/>
      <c r="CR846" s="46"/>
      <c r="CS846" s="46"/>
      <c r="CT846" s="46"/>
      <c r="CU846" s="46"/>
    </row>
    <row r="847" spans="1:99" ht="12.75" customHeight="1">
      <c r="A847" s="399">
        <v>1789</v>
      </c>
      <c r="B847" s="399" t="s">
        <v>6829</v>
      </c>
      <c r="C847" s="399">
        <f t="shared" si="117"/>
        <v>1789</v>
      </c>
      <c r="D847" s="399" t="str">
        <f t="shared" si="118"/>
        <v>Location of scheduled referral appointment</v>
      </c>
      <c r="E847" s="399" t="str">
        <f t="shared" si="119"/>
        <v>Location of scheduled referral appointment</v>
      </c>
      <c r="F847" s="399" t="str">
        <f t="shared" si="134"/>
        <v>Data Element</v>
      </c>
      <c r="G847" s="400">
        <f t="shared" si="129"/>
        <v>42</v>
      </c>
      <c r="H847" s="400" t="str">
        <f t="shared" si="133"/>
        <v/>
      </c>
      <c r="I847" s="400"/>
      <c r="J847" s="400"/>
      <c r="K847" s="402" t="s">
        <v>6641</v>
      </c>
      <c r="L847" s="402" t="s">
        <v>3142</v>
      </c>
      <c r="M847" s="400"/>
      <c r="N847" s="623" t="s">
        <v>6817</v>
      </c>
      <c r="O847" s="407" t="s">
        <v>6832</v>
      </c>
      <c r="P847" s="407" t="s">
        <v>6833</v>
      </c>
      <c r="Q847" s="429" t="s">
        <v>6829</v>
      </c>
      <c r="R847" s="407"/>
      <c r="S847" s="407" t="s">
        <v>6835</v>
      </c>
      <c r="T847" s="403" t="s">
        <v>6836</v>
      </c>
      <c r="U847" s="403"/>
      <c r="V847" s="431"/>
      <c r="W847" s="405"/>
      <c r="X847" s="403"/>
      <c r="Y847" s="407"/>
      <c r="Z847" s="407"/>
      <c r="AA847" s="407"/>
      <c r="AB847" s="408"/>
      <c r="AC847" s="407"/>
      <c r="AD847" s="403"/>
      <c r="AE847" s="408"/>
      <c r="AF847" s="403"/>
      <c r="AG847" s="407"/>
      <c r="AH847" s="399"/>
      <c r="AI847" s="400"/>
      <c r="AJ847" s="399"/>
      <c r="AK847" s="409" t="s">
        <v>6848</v>
      </c>
      <c r="AL847" s="409"/>
      <c r="AM847" s="409" t="s">
        <v>3100</v>
      </c>
      <c r="AN847" s="409" t="s">
        <v>3101</v>
      </c>
      <c r="AO847" s="399"/>
      <c r="AP847" s="409" t="s">
        <v>3182</v>
      </c>
      <c r="AQ847" s="409" t="s">
        <v>3424</v>
      </c>
      <c r="AR847" s="399"/>
      <c r="AS847" s="399"/>
      <c r="AT847" s="399"/>
      <c r="AU847" s="399" t="s">
        <v>6829</v>
      </c>
      <c r="AV847" s="399" t="str">
        <f t="shared" si="123"/>
        <v>Same</v>
      </c>
      <c r="AW847" s="399"/>
      <c r="AX847" s="409" t="s">
        <v>3104</v>
      </c>
      <c r="AY847" s="399" t="str">
        <f t="shared" si="124"/>
        <v/>
      </c>
      <c r="AZ847" s="409" t="s">
        <v>3105</v>
      </c>
      <c r="BA847" s="409">
        <v>1</v>
      </c>
      <c r="BB847" s="399"/>
      <c r="BC847" s="399"/>
      <c r="BD847" s="399"/>
      <c r="BE847" s="411"/>
      <c r="BF847" s="411"/>
      <c r="BG847" s="411"/>
      <c r="BH847" s="411"/>
      <c r="BI847" s="411"/>
      <c r="BJ847" s="409" t="s">
        <v>3106</v>
      </c>
      <c r="BK847" s="399"/>
      <c r="BL847" s="399"/>
      <c r="BM847" s="399"/>
      <c r="BN847" s="399"/>
      <c r="BO847" s="399"/>
      <c r="BP847" s="399"/>
      <c r="BQ847" s="399"/>
      <c r="BR847" s="399"/>
      <c r="BS847" s="407"/>
      <c r="BT847" s="407"/>
      <c r="BU847" s="412"/>
      <c r="BV847" s="46" t="str">
        <f t="shared" si="8"/>
        <v>ServiceRequest</v>
      </c>
      <c r="BW847" s="46" t="str">
        <f t="shared" si="9"/>
        <v/>
      </c>
      <c r="BX847" s="46" t="str">
        <f t="shared" si="10"/>
        <v>ServiceRequest</v>
      </c>
      <c r="BY847" s="43" t="str">
        <f t="shared" si="11"/>
        <v>WHO-Core ServiceRequest (Referral)</v>
      </c>
      <c r="BZ847" s="46">
        <f t="shared" si="12"/>
        <v>1</v>
      </c>
      <c r="CA847" s="46">
        <f t="shared" si="13"/>
        <v>0</v>
      </c>
      <c r="CB847" s="46">
        <f t="shared" si="14"/>
        <v>1</v>
      </c>
      <c r="CC847" s="46">
        <f t="shared" si="15"/>
        <v>1</v>
      </c>
      <c r="CD847" s="46">
        <f t="shared" si="16"/>
        <v>1</v>
      </c>
      <c r="CE847" s="46">
        <f t="shared" si="17"/>
        <v>0</v>
      </c>
      <c r="CF847" s="46">
        <f t="shared" si="18"/>
        <v>0</v>
      </c>
      <c r="CG847" s="46" t="str">
        <f ca="1">IFERROR(__xludf.DUMMYFUNCTION("if(OR(BH847="""",LEFT(BH847,2)=""LA""),"""",IMPORTXML(CONCATENATE(""https://loinc.org/"",BH847,""/""),""//span[@id='lcn']""))"),"")</f>
        <v/>
      </c>
      <c r="CH847" s="46"/>
      <c r="CI847" s="46"/>
      <c r="CJ847" s="46"/>
      <c r="CK847" s="46"/>
      <c r="CL847" s="46"/>
      <c r="CM847" s="46"/>
      <c r="CN847" s="46"/>
      <c r="CO847" s="46"/>
      <c r="CP847" s="46"/>
      <c r="CQ847" s="46"/>
      <c r="CR847" s="46"/>
      <c r="CS847" s="46"/>
      <c r="CT847" s="46"/>
      <c r="CU847" s="46"/>
    </row>
    <row r="848" spans="1:99" ht="12.75" customHeight="1">
      <c r="A848" s="399">
        <v>1790</v>
      </c>
      <c r="B848" s="399" t="s">
        <v>6844</v>
      </c>
      <c r="C848" s="399">
        <f t="shared" si="117"/>
        <v>1790</v>
      </c>
      <c r="D848" s="399" t="str">
        <f t="shared" si="118"/>
        <v xml:space="preserve">HIV Referral Recommended Date </v>
      </c>
      <c r="E848" s="399" t="str">
        <f t="shared" si="119"/>
        <v xml:space="preserve">HIV Referral Recommended Date </v>
      </c>
      <c r="F848" s="399" t="str">
        <f t="shared" si="134"/>
        <v>Data Element</v>
      </c>
      <c r="G848" s="400">
        <f t="shared" si="129"/>
        <v>30</v>
      </c>
      <c r="H848" s="400" t="str">
        <f t="shared" si="133"/>
        <v/>
      </c>
      <c r="I848" s="400"/>
      <c r="J848" s="400"/>
      <c r="K848" s="402" t="s">
        <v>6641</v>
      </c>
      <c r="L848" s="402" t="s">
        <v>3142</v>
      </c>
      <c r="M848" s="400"/>
      <c r="N848" s="623" t="s">
        <v>6817</v>
      </c>
      <c r="O848" s="407" t="s">
        <v>6849</v>
      </c>
      <c r="P848" s="407" t="s">
        <v>6850</v>
      </c>
      <c r="Q848" s="432" t="s">
        <v>6844</v>
      </c>
      <c r="R848" s="407"/>
      <c r="S848" s="403" t="s">
        <v>6852</v>
      </c>
      <c r="T848" s="403"/>
      <c r="U848" s="403"/>
      <c r="V848" s="407"/>
      <c r="W848" s="405"/>
      <c r="X848" s="403"/>
      <c r="Y848" s="407"/>
      <c r="Z848" s="407"/>
      <c r="AA848" s="407"/>
      <c r="AB848" s="408"/>
      <c r="AC848" s="407"/>
      <c r="AD848" s="403"/>
      <c r="AE848" s="408"/>
      <c r="AF848" s="407"/>
      <c r="AG848" s="407"/>
      <c r="AH848" s="399"/>
      <c r="AI848" s="400"/>
      <c r="AJ848" s="399"/>
      <c r="AK848" s="409" t="s">
        <v>6851</v>
      </c>
      <c r="AL848" s="409" t="s">
        <v>9484</v>
      </c>
      <c r="AM848" s="409" t="s">
        <v>3100</v>
      </c>
      <c r="AN848" s="409" t="s">
        <v>3101</v>
      </c>
      <c r="AO848" s="399"/>
      <c r="AP848" s="399"/>
      <c r="AQ848" s="409" t="s">
        <v>115</v>
      </c>
      <c r="AR848" s="399"/>
      <c r="AS848" s="399"/>
      <c r="AT848" s="399"/>
      <c r="AU848" s="399" t="s">
        <v>6844</v>
      </c>
      <c r="AV848" s="399" t="str">
        <f t="shared" si="123"/>
        <v>Same</v>
      </c>
      <c r="AW848" s="399"/>
      <c r="AX848" s="409" t="s">
        <v>3104</v>
      </c>
      <c r="AY848" s="399" t="str">
        <f t="shared" si="124"/>
        <v/>
      </c>
      <c r="AZ848" s="409" t="s">
        <v>3105</v>
      </c>
      <c r="BA848" s="409">
        <v>0</v>
      </c>
      <c r="BB848" s="399"/>
      <c r="BC848" s="399"/>
      <c r="BD848" s="399"/>
      <c r="BE848" s="411"/>
      <c r="BF848" s="411"/>
      <c r="BG848" s="411"/>
      <c r="BH848" s="411" t="s">
        <v>6856</v>
      </c>
      <c r="BI848" s="411"/>
      <c r="BJ848" s="399"/>
      <c r="BK848" s="399"/>
      <c r="BL848" s="399"/>
      <c r="BM848" s="399"/>
      <c r="BN848" s="399"/>
      <c r="BO848" s="399"/>
      <c r="BP848" s="399"/>
      <c r="BQ848" s="399"/>
      <c r="BR848" s="399"/>
      <c r="BS848" s="407"/>
      <c r="BT848" s="407"/>
      <c r="BU848" s="412"/>
      <c r="BV848" s="46" t="str">
        <f t="shared" si="8"/>
        <v/>
      </c>
      <c r="BW848" s="46" t="str">
        <f t="shared" si="9"/>
        <v/>
      </c>
      <c r="BX848" s="46" t="str">
        <f t="shared" si="10"/>
        <v/>
      </c>
      <c r="BY848" s="43">
        <f t="shared" si="11"/>
        <v>0</v>
      </c>
      <c r="BZ848" s="46">
        <f t="shared" si="12"/>
        <v>1</v>
      </c>
      <c r="CA848" s="46">
        <f t="shared" si="13"/>
        <v>0</v>
      </c>
      <c r="CB848" s="46">
        <f t="shared" si="14"/>
        <v>1</v>
      </c>
      <c r="CC848" s="46">
        <f t="shared" si="15"/>
        <v>1</v>
      </c>
      <c r="CD848" s="46">
        <f t="shared" si="16"/>
        <v>1</v>
      </c>
      <c r="CE848" s="46">
        <f t="shared" si="17"/>
        <v>0</v>
      </c>
      <c r="CF848" s="46">
        <f t="shared" si="18"/>
        <v>0</v>
      </c>
      <c r="CG848" s="46" t="str">
        <f ca="1">IFERROR(__xludf.DUMMYFUNCTION("if(OR(BH848="""",LEFT(BH848,2)=""LA""),"""",IMPORTXML(CONCATENATE(""https://loinc.org/"",BH848,""/""),""//span[@id='lcn']""))"),"HIV Referral note")</f>
        <v>HIV Referral note</v>
      </c>
      <c r="CH848" s="46"/>
      <c r="CI848" s="46"/>
      <c r="CJ848" s="46"/>
      <c r="CK848" s="46"/>
      <c r="CL848" s="46"/>
      <c r="CM848" s="46"/>
      <c r="CN848" s="46"/>
      <c r="CO848" s="46"/>
      <c r="CP848" s="46"/>
      <c r="CQ848" s="46"/>
      <c r="CR848" s="46"/>
      <c r="CS848" s="46"/>
      <c r="CT848" s="46"/>
      <c r="CU848" s="46"/>
    </row>
    <row r="849" spans="1:99" ht="12.75" customHeight="1">
      <c r="A849" s="399">
        <v>1791</v>
      </c>
      <c r="B849" s="399" t="s">
        <v>6859</v>
      </c>
      <c r="C849" s="399">
        <f t="shared" si="117"/>
        <v>1791</v>
      </c>
      <c r="D849" s="399" t="str">
        <f t="shared" si="118"/>
        <v xml:space="preserve">HIV Referral Visit Completed Date </v>
      </c>
      <c r="E849" s="399" t="str">
        <f t="shared" si="119"/>
        <v xml:space="preserve">HIV Referral Visit Completed Date </v>
      </c>
      <c r="F849" s="399" t="str">
        <f t="shared" si="134"/>
        <v>Data Element</v>
      </c>
      <c r="G849" s="400">
        <f t="shared" si="129"/>
        <v>34</v>
      </c>
      <c r="H849" s="400" t="str">
        <f t="shared" si="133"/>
        <v/>
      </c>
      <c r="I849" s="400"/>
      <c r="J849" s="400"/>
      <c r="K849" s="402" t="s">
        <v>6641</v>
      </c>
      <c r="L849" s="402" t="s">
        <v>3142</v>
      </c>
      <c r="M849" s="400"/>
      <c r="N849" s="623" t="s">
        <v>6817</v>
      </c>
      <c r="O849" s="407" t="s">
        <v>6861</v>
      </c>
      <c r="P849" s="404" t="s">
        <v>6862</v>
      </c>
      <c r="Q849" s="432" t="s">
        <v>6859</v>
      </c>
      <c r="R849" s="407"/>
      <c r="S849" s="403" t="s">
        <v>6863</v>
      </c>
      <c r="T849" s="403"/>
      <c r="U849" s="403"/>
      <c r="V849" s="407"/>
      <c r="W849" s="405"/>
      <c r="X849" s="403"/>
      <c r="Y849" s="407"/>
      <c r="Z849" s="407"/>
      <c r="AA849" s="407"/>
      <c r="AB849" s="408"/>
      <c r="AC849" s="407"/>
      <c r="AD849" s="403"/>
      <c r="AE849" s="408"/>
      <c r="AF849" s="407"/>
      <c r="AG849" s="407"/>
      <c r="AH849" s="399"/>
      <c r="AI849" s="400"/>
      <c r="AJ849" s="399"/>
      <c r="AK849" s="409" t="s">
        <v>9485</v>
      </c>
      <c r="AL849" s="409"/>
      <c r="AM849" s="409" t="s">
        <v>3100</v>
      </c>
      <c r="AN849" s="409" t="s">
        <v>3101</v>
      </c>
      <c r="AO849" s="399"/>
      <c r="AP849" s="399"/>
      <c r="AQ849" s="409" t="s">
        <v>115</v>
      </c>
      <c r="AR849" s="399"/>
      <c r="AS849" s="399"/>
      <c r="AT849" s="399"/>
      <c r="AU849" s="399" t="s">
        <v>6859</v>
      </c>
      <c r="AV849" s="399" t="str">
        <f t="shared" si="123"/>
        <v>Same</v>
      </c>
      <c r="AW849" s="399"/>
      <c r="AX849" s="409" t="s">
        <v>3104</v>
      </c>
      <c r="AY849" s="399" t="str">
        <f t="shared" si="124"/>
        <v/>
      </c>
      <c r="AZ849" s="409" t="s">
        <v>3105</v>
      </c>
      <c r="BA849" s="409">
        <v>0</v>
      </c>
      <c r="BB849" s="399"/>
      <c r="BC849" s="399"/>
      <c r="BD849" s="399"/>
      <c r="BE849" s="411"/>
      <c r="BF849" s="411"/>
      <c r="BG849" s="411"/>
      <c r="BH849" s="411"/>
      <c r="BI849" s="411"/>
      <c r="BJ849" s="409" t="s">
        <v>3106</v>
      </c>
      <c r="BK849" s="399"/>
      <c r="BL849" s="399"/>
      <c r="BM849" s="399"/>
      <c r="BN849" s="399"/>
      <c r="BO849" s="399"/>
      <c r="BP849" s="399"/>
      <c r="BQ849" s="399"/>
      <c r="BR849" s="399"/>
      <c r="BS849" s="407"/>
      <c r="BT849" s="407"/>
      <c r="BU849" s="412"/>
      <c r="BV849" s="46" t="str">
        <f t="shared" si="8"/>
        <v/>
      </c>
      <c r="BW849" s="46" t="str">
        <f t="shared" si="9"/>
        <v/>
      </c>
      <c r="BX849" s="46" t="str">
        <f t="shared" si="10"/>
        <v/>
      </c>
      <c r="BY849" s="43">
        <f t="shared" si="11"/>
        <v>0</v>
      </c>
      <c r="BZ849" s="46">
        <f t="shared" si="12"/>
        <v>1</v>
      </c>
      <c r="CA849" s="46">
        <f t="shared" si="13"/>
        <v>0</v>
      </c>
      <c r="CB849" s="46">
        <f t="shared" si="14"/>
        <v>1</v>
      </c>
      <c r="CC849" s="46">
        <f t="shared" si="15"/>
        <v>1</v>
      </c>
      <c r="CD849" s="46">
        <f t="shared" si="16"/>
        <v>1</v>
      </c>
      <c r="CE849" s="46">
        <f t="shared" si="17"/>
        <v>0</v>
      </c>
      <c r="CF849" s="46">
        <f t="shared" si="18"/>
        <v>0</v>
      </c>
      <c r="CG849" s="46" t="str">
        <f ca="1">IFERROR(__xludf.DUMMYFUNCTION("if(OR(BH849="""",LEFT(BH849,2)=""LA""),"""",IMPORTXML(CONCATENATE(""https://loinc.org/"",BH849,""/""),""//span[@id='lcn']""))"),"")</f>
        <v/>
      </c>
      <c r="CH849" s="46"/>
      <c r="CI849" s="46"/>
      <c r="CJ849" s="46"/>
      <c r="CK849" s="46"/>
      <c r="CL849" s="46"/>
      <c r="CM849" s="46"/>
      <c r="CN849" s="46"/>
      <c r="CO849" s="46"/>
      <c r="CP849" s="46"/>
      <c r="CQ849" s="46"/>
      <c r="CR849" s="46"/>
      <c r="CS849" s="46"/>
      <c r="CT849" s="46"/>
      <c r="CU849" s="46"/>
    </row>
    <row r="850" spans="1:99" ht="12.75" customHeight="1">
      <c r="A850" s="399">
        <v>1792</v>
      </c>
      <c r="B850" s="399" t="s">
        <v>6867</v>
      </c>
      <c r="C850" s="399">
        <f t="shared" si="117"/>
        <v>1792</v>
      </c>
      <c r="D850" s="399" t="str">
        <f t="shared" si="118"/>
        <v xml:space="preserve">Date referral was made
</v>
      </c>
      <c r="E850" s="399" t="str">
        <f t="shared" si="119"/>
        <v xml:space="preserve">Date referral was made
</v>
      </c>
      <c r="F850" s="399" t="str">
        <f t="shared" si="134"/>
        <v>Data Element</v>
      </c>
      <c r="G850" s="400">
        <f t="shared" si="129"/>
        <v>27</v>
      </c>
      <c r="H850" s="400" t="str">
        <f t="shared" si="133"/>
        <v/>
      </c>
      <c r="I850" s="400"/>
      <c r="J850" s="400"/>
      <c r="K850" s="402" t="s">
        <v>6641</v>
      </c>
      <c r="L850" s="402" t="s">
        <v>3142</v>
      </c>
      <c r="M850" s="400"/>
      <c r="N850" s="623" t="s">
        <v>6868</v>
      </c>
      <c r="O850" s="407" t="s">
        <v>6869</v>
      </c>
      <c r="P850" s="407" t="s">
        <v>6870</v>
      </c>
      <c r="Q850" s="429" t="s">
        <v>6867</v>
      </c>
      <c r="R850" s="407"/>
      <c r="S850" s="407" t="s">
        <v>6871</v>
      </c>
      <c r="T850" s="405" t="s">
        <v>3513</v>
      </c>
      <c r="U850" s="405"/>
      <c r="V850" s="407"/>
      <c r="W850" s="407"/>
      <c r="X850" s="403"/>
      <c r="Y850" s="407"/>
      <c r="Z850" s="407"/>
      <c r="AA850" s="407"/>
      <c r="AB850" s="408"/>
      <c r="AC850" s="407"/>
      <c r="AD850" s="407"/>
      <c r="AE850" s="408"/>
      <c r="AF850" s="407"/>
      <c r="AG850" s="407"/>
      <c r="AH850" s="399"/>
      <c r="AI850" s="400"/>
      <c r="AJ850" s="399"/>
      <c r="AK850" s="409" t="s">
        <v>6845</v>
      </c>
      <c r="AL850" s="409"/>
      <c r="AM850" s="409" t="s">
        <v>3100</v>
      </c>
      <c r="AN850" s="409" t="s">
        <v>3101</v>
      </c>
      <c r="AO850" s="399"/>
      <c r="AP850" s="409" t="s">
        <v>3182</v>
      </c>
      <c r="AQ850" s="409" t="s">
        <v>3424</v>
      </c>
      <c r="AR850" s="399"/>
      <c r="AS850" s="399"/>
      <c r="AT850" s="399"/>
      <c r="AU850" s="399" t="s">
        <v>6867</v>
      </c>
      <c r="AV850" s="399" t="str">
        <f t="shared" si="123"/>
        <v>Same</v>
      </c>
      <c r="AW850" s="399"/>
      <c r="AX850" s="409" t="s">
        <v>3104</v>
      </c>
      <c r="AY850" s="399" t="str">
        <f t="shared" si="124"/>
        <v/>
      </c>
      <c r="AZ850" s="409" t="s">
        <v>3105</v>
      </c>
      <c r="BA850" s="409">
        <v>1</v>
      </c>
      <c r="BB850" s="399"/>
      <c r="BC850" s="399"/>
      <c r="BD850" s="399"/>
      <c r="BE850" s="411"/>
      <c r="BF850" s="411"/>
      <c r="BG850" s="411"/>
      <c r="BH850" s="411"/>
      <c r="BI850" s="411"/>
      <c r="BJ850" s="409" t="s">
        <v>3106</v>
      </c>
      <c r="BK850" s="399"/>
      <c r="BL850" s="399"/>
      <c r="BM850" s="399"/>
      <c r="BN850" s="399"/>
      <c r="BO850" s="399"/>
      <c r="BP850" s="399"/>
      <c r="BQ850" s="399"/>
      <c r="BR850" s="399"/>
      <c r="BS850" s="407"/>
      <c r="BT850" s="407"/>
      <c r="BU850" s="412"/>
      <c r="BV850" s="46" t="str">
        <f t="shared" si="8"/>
        <v>ServiceRequest</v>
      </c>
      <c r="BW850" s="46" t="str">
        <f t="shared" si="9"/>
        <v/>
      </c>
      <c r="BX850" s="46" t="str">
        <f t="shared" si="10"/>
        <v>ServiceRequest</v>
      </c>
      <c r="BY850" s="43" t="str">
        <f t="shared" si="11"/>
        <v>WHO-Core ServiceRequest (Referral)</v>
      </c>
      <c r="BZ850" s="46">
        <f t="shared" si="12"/>
        <v>1</v>
      </c>
      <c r="CA850" s="46">
        <f t="shared" si="13"/>
        <v>0</v>
      </c>
      <c r="CB850" s="46">
        <f t="shared" si="14"/>
        <v>1</v>
      </c>
      <c r="CC850" s="46">
        <f t="shared" si="15"/>
        <v>1</v>
      </c>
      <c r="CD850" s="46">
        <f t="shared" si="16"/>
        <v>1</v>
      </c>
      <c r="CE850" s="46">
        <f t="shared" si="17"/>
        <v>0</v>
      </c>
      <c r="CF850" s="46">
        <f t="shared" si="18"/>
        <v>0</v>
      </c>
      <c r="CG850" s="46" t="str">
        <f ca="1">IFERROR(__xludf.DUMMYFUNCTION("if(OR(BH850="""",LEFT(BH850,2)=""LA""),"""",IMPORTXML(CONCATENATE(""https://loinc.org/"",BH850,""/""),""//span[@id='lcn']""))"),"")</f>
        <v/>
      </c>
      <c r="CH850" s="46"/>
      <c r="CI850" s="46"/>
      <c r="CJ850" s="46"/>
      <c r="CK850" s="46"/>
      <c r="CL850" s="46"/>
      <c r="CM850" s="46"/>
      <c r="CN850" s="46"/>
      <c r="CO850" s="46"/>
      <c r="CP850" s="46"/>
      <c r="CQ850" s="46"/>
      <c r="CR850" s="46"/>
      <c r="CS850" s="46"/>
      <c r="CT850" s="46"/>
      <c r="CU850" s="46"/>
    </row>
    <row r="851" spans="1:99" ht="12.75" customHeight="1">
      <c r="A851" s="399">
        <v>1793</v>
      </c>
      <c r="B851" s="399" t="s">
        <v>6875</v>
      </c>
      <c r="C851" s="399">
        <f t="shared" si="117"/>
        <v>1793</v>
      </c>
      <c r="D851" s="399" t="str">
        <f t="shared" si="118"/>
        <v xml:space="preserve">Existing co-illness </v>
      </c>
      <c r="E851" s="399" t="str">
        <f t="shared" si="119"/>
        <v xml:space="preserve">Existing co-illness </v>
      </c>
      <c r="F851" s="413" t="s">
        <v>96</v>
      </c>
      <c r="G851" s="400">
        <f t="shared" si="129"/>
        <v>20</v>
      </c>
      <c r="H851" s="400" t="str">
        <f t="shared" si="133"/>
        <v/>
      </c>
      <c r="I851" s="400"/>
      <c r="J851" s="400"/>
      <c r="K851" s="402" t="s">
        <v>6641</v>
      </c>
      <c r="L851" s="402" t="s">
        <v>4485</v>
      </c>
      <c r="M851" s="400"/>
      <c r="N851" s="623" t="s">
        <v>6868</v>
      </c>
      <c r="O851" s="407" t="s">
        <v>6876</v>
      </c>
      <c r="P851" s="404" t="s">
        <v>6877</v>
      </c>
      <c r="Q851" s="429" t="s">
        <v>6875</v>
      </c>
      <c r="R851" s="407"/>
      <c r="S851" s="407" t="s">
        <v>6878</v>
      </c>
      <c r="T851" s="405" t="s">
        <v>6879</v>
      </c>
      <c r="U851" s="405"/>
      <c r="V851" s="407"/>
      <c r="W851" s="405"/>
      <c r="X851" s="403"/>
      <c r="Y851" s="407"/>
      <c r="Z851" s="407"/>
      <c r="AA851" s="407"/>
      <c r="AB851" s="408"/>
      <c r="AC851" s="407"/>
      <c r="AD851" s="403"/>
      <c r="AE851" s="408"/>
      <c r="AF851" s="403"/>
      <c r="AG851" s="407"/>
      <c r="AH851" s="399"/>
      <c r="AI851" s="400"/>
      <c r="AJ851" s="399"/>
      <c r="AK851" s="440" t="s">
        <v>4476</v>
      </c>
      <c r="AL851" s="409"/>
      <c r="AM851" s="409" t="s">
        <v>3100</v>
      </c>
      <c r="AN851" s="409" t="s">
        <v>3101</v>
      </c>
      <c r="AO851" s="399"/>
      <c r="AP851" s="399"/>
      <c r="AQ851" s="409" t="s">
        <v>115</v>
      </c>
      <c r="AR851" s="399"/>
      <c r="AS851" s="399"/>
      <c r="AT851" s="399"/>
      <c r="AU851" s="399" t="s">
        <v>6875</v>
      </c>
      <c r="AV851" s="399" t="str">
        <f t="shared" si="123"/>
        <v>Same</v>
      </c>
      <c r="AW851" s="399"/>
      <c r="AX851" s="409" t="s">
        <v>3104</v>
      </c>
      <c r="AY851" s="399" t="str">
        <f t="shared" si="124"/>
        <v/>
      </c>
      <c r="AZ851" s="409" t="s">
        <v>3105</v>
      </c>
      <c r="BA851" s="409">
        <v>0</v>
      </c>
      <c r="BB851" s="399"/>
      <c r="BC851" s="399"/>
      <c r="BD851" s="399"/>
      <c r="BE851" s="411"/>
      <c r="BF851" s="411"/>
      <c r="BG851" s="411"/>
      <c r="BH851" s="411"/>
      <c r="BI851" s="411"/>
      <c r="BJ851" s="409" t="s">
        <v>3106</v>
      </c>
      <c r="BK851" s="399"/>
      <c r="BL851" s="399"/>
      <c r="BM851" s="399"/>
      <c r="BN851" s="399"/>
      <c r="BO851" s="399"/>
      <c r="BP851" s="399"/>
      <c r="BQ851" s="399"/>
      <c r="BR851" s="399"/>
      <c r="BS851" s="407"/>
      <c r="BT851" s="407"/>
      <c r="BU851" s="412"/>
      <c r="BV851" s="46" t="str">
        <f t="shared" si="8"/>
        <v/>
      </c>
      <c r="BW851" s="46" t="str">
        <f t="shared" si="9"/>
        <v/>
      </c>
      <c r="BX851" s="46" t="str">
        <f t="shared" si="10"/>
        <v/>
      </c>
      <c r="BY851" s="43">
        <f t="shared" si="11"/>
        <v>0</v>
      </c>
      <c r="BZ851" s="46">
        <f t="shared" si="12"/>
        <v>1</v>
      </c>
      <c r="CA851" s="46">
        <f t="shared" si="13"/>
        <v>0</v>
      </c>
      <c r="CB851" s="46">
        <f t="shared" si="14"/>
        <v>1</v>
      </c>
      <c r="CC851" s="46">
        <f t="shared" si="15"/>
        <v>1</v>
      </c>
      <c r="CD851" s="46">
        <f t="shared" si="16"/>
        <v>1</v>
      </c>
      <c r="CE851" s="46">
        <f t="shared" si="17"/>
        <v>0</v>
      </c>
      <c r="CF851" s="46">
        <f t="shared" si="18"/>
        <v>0</v>
      </c>
      <c r="CG851" s="46" t="str">
        <f ca="1">IFERROR(__xludf.DUMMYFUNCTION("if(OR(BH851="""",LEFT(BH851,2)=""LA""),"""",IMPORTXML(CONCATENATE(""https://loinc.org/"",BH851,""/""),""//span[@id='lcn']""))"),"")</f>
        <v/>
      </c>
      <c r="CH851" s="46"/>
      <c r="CI851" s="46"/>
      <c r="CJ851" s="46"/>
      <c r="CK851" s="46"/>
      <c r="CL851" s="46"/>
      <c r="CM851" s="46"/>
      <c r="CN851" s="46"/>
      <c r="CO851" s="46"/>
      <c r="CP851" s="46"/>
      <c r="CQ851" s="46"/>
      <c r="CR851" s="46"/>
      <c r="CS851" s="46"/>
      <c r="CT851" s="46"/>
      <c r="CU851" s="46"/>
    </row>
    <row r="852" spans="1:99" ht="12.75" customHeight="1">
      <c r="A852" s="399">
        <v>1795</v>
      </c>
      <c r="B852" s="399" t="s">
        <v>6885</v>
      </c>
      <c r="C852" s="399">
        <f t="shared" si="117"/>
        <v>1795</v>
      </c>
      <c r="D852" s="399" t="str">
        <f t="shared" si="118"/>
        <v xml:space="preserve">Known allergies </v>
      </c>
      <c r="E852" s="399" t="str">
        <f t="shared" si="119"/>
        <v xml:space="preserve">Known allergies </v>
      </c>
      <c r="F852" s="399" t="str">
        <f t="shared" ref="F852:F878" si="135">IF(AND(ISBLANK(V852)=FALSE,OR(T852="MC",T852="")),"Input Option","Data Element")</f>
        <v>Data Element</v>
      </c>
      <c r="G852" s="400">
        <f t="shared" si="129"/>
        <v>16</v>
      </c>
      <c r="H852" s="400" t="str">
        <f t="shared" si="133"/>
        <v/>
      </c>
      <c r="I852" s="400"/>
      <c r="J852" s="400"/>
      <c r="K852" s="402" t="s">
        <v>6641</v>
      </c>
      <c r="L852" s="402" t="s">
        <v>4485</v>
      </c>
      <c r="M852" s="400"/>
      <c r="N852" s="623" t="s">
        <v>6868</v>
      </c>
      <c r="O852" s="407" t="s">
        <v>6399</v>
      </c>
      <c r="P852" s="404" t="s">
        <v>6888</v>
      </c>
      <c r="Q852" s="429" t="s">
        <v>6885</v>
      </c>
      <c r="R852" s="407"/>
      <c r="S852" s="407" t="s">
        <v>6400</v>
      </c>
      <c r="T852" s="405" t="s">
        <v>6879</v>
      </c>
      <c r="U852" s="405"/>
      <c r="V852" s="407"/>
      <c r="W852" s="405"/>
      <c r="X852" s="403"/>
      <c r="Y852" s="407"/>
      <c r="Z852" s="407"/>
      <c r="AA852" s="407"/>
      <c r="AB852" s="408"/>
      <c r="AC852" s="407"/>
      <c r="AD852" s="403"/>
      <c r="AE852" s="408"/>
      <c r="AF852" s="403"/>
      <c r="AG852" s="407"/>
      <c r="AH852" s="399"/>
      <c r="AI852" s="400"/>
      <c r="AJ852" s="399"/>
      <c r="AK852" s="409" t="s">
        <v>6401</v>
      </c>
      <c r="AL852" s="409"/>
      <c r="AM852" s="409" t="s">
        <v>3100</v>
      </c>
      <c r="AN852" s="409" t="s">
        <v>3101</v>
      </c>
      <c r="AO852" s="399"/>
      <c r="AP852" s="409" t="s">
        <v>6689</v>
      </c>
      <c r="AQ852" s="409" t="s">
        <v>3424</v>
      </c>
      <c r="AR852" s="399"/>
      <c r="AS852" s="399"/>
      <c r="AT852" s="399"/>
      <c r="AU852" s="399" t="s">
        <v>6885</v>
      </c>
      <c r="AV852" s="399" t="str">
        <f t="shared" si="123"/>
        <v>Same</v>
      </c>
      <c r="AW852" s="399"/>
      <c r="AX852" s="409" t="s">
        <v>3104</v>
      </c>
      <c r="AY852" s="399" t="str">
        <f t="shared" si="124"/>
        <v/>
      </c>
      <c r="AZ852" s="409" t="s">
        <v>3105</v>
      </c>
      <c r="BA852" s="409">
        <v>1</v>
      </c>
      <c r="BB852" s="399"/>
      <c r="BC852" s="399"/>
      <c r="BD852" s="399"/>
      <c r="BE852" s="411"/>
      <c r="BF852" s="411"/>
      <c r="BG852" s="411"/>
      <c r="BH852" s="411"/>
      <c r="BI852" s="411"/>
      <c r="BJ852" s="409" t="s">
        <v>3106</v>
      </c>
      <c r="BK852" s="399"/>
      <c r="BL852" s="399"/>
      <c r="BM852" s="409" t="s">
        <v>9486</v>
      </c>
      <c r="BN852" s="399"/>
      <c r="BO852" s="399"/>
      <c r="BP852" s="399"/>
      <c r="BQ852" s="399"/>
      <c r="BR852" s="399"/>
      <c r="BS852" s="407"/>
      <c r="BT852" s="407"/>
      <c r="BU852" s="412"/>
      <c r="BV852" s="46" t="str">
        <f t="shared" si="8"/>
        <v>AllergyIntolerance</v>
      </c>
      <c r="BW852" s="46" t="str">
        <f t="shared" si="9"/>
        <v/>
      </c>
      <c r="BX852" s="46" t="str">
        <f t="shared" si="10"/>
        <v>AllergyIntolerance</v>
      </c>
      <c r="BY852" s="43" t="str">
        <f t="shared" si="11"/>
        <v>WHO-Core AllergyIntolerance</v>
      </c>
      <c r="BZ852" s="46">
        <f t="shared" si="12"/>
        <v>1</v>
      </c>
      <c r="CA852" s="46">
        <f t="shared" si="13"/>
        <v>0</v>
      </c>
      <c r="CB852" s="46">
        <f t="shared" si="14"/>
        <v>1</v>
      </c>
      <c r="CC852" s="46">
        <f t="shared" si="15"/>
        <v>1</v>
      </c>
      <c r="CD852" s="46">
        <f t="shared" si="16"/>
        <v>1</v>
      </c>
      <c r="CE852" s="46">
        <f t="shared" si="17"/>
        <v>0</v>
      </c>
      <c r="CF852" s="46">
        <f t="shared" si="18"/>
        <v>0</v>
      </c>
      <c r="CG852" s="46" t="str">
        <f ca="1">IFERROR(__xludf.DUMMYFUNCTION("if(OR(BH852="""",LEFT(BH852,2)=""LA""),"""",IMPORTXML(CONCATENATE(""https://loinc.org/"",BH852,""/""),""//span[@id='lcn']""))"),"")</f>
        <v/>
      </c>
      <c r="CH852" s="46"/>
      <c r="CI852" s="46"/>
      <c r="CJ852" s="46"/>
      <c r="CK852" s="46"/>
      <c r="CL852" s="46"/>
      <c r="CM852" s="46"/>
      <c r="CN852" s="46"/>
      <c r="CO852" s="46"/>
      <c r="CP852" s="46"/>
      <c r="CQ852" s="46"/>
      <c r="CR852" s="46"/>
      <c r="CS852" s="46"/>
      <c r="CT852" s="46"/>
      <c r="CU852" s="46"/>
    </row>
    <row r="853" spans="1:99" ht="12.75" customHeight="1">
      <c r="A853" s="399">
        <v>1796</v>
      </c>
      <c r="B853" s="399" t="s">
        <v>6890</v>
      </c>
      <c r="C853" s="399">
        <f t="shared" si="117"/>
        <v>1796</v>
      </c>
      <c r="D853" s="399" t="str">
        <f t="shared" si="118"/>
        <v xml:space="preserve">Procedures performed prior to referral </v>
      </c>
      <c r="E853" s="399" t="str">
        <f t="shared" si="119"/>
        <v xml:space="preserve">Procedures performed prior to referral </v>
      </c>
      <c r="F853" s="399" t="str">
        <f t="shared" si="135"/>
        <v>Data Element</v>
      </c>
      <c r="G853" s="400">
        <f t="shared" si="129"/>
        <v>39</v>
      </c>
      <c r="H853" s="400" t="str">
        <f t="shared" si="133"/>
        <v/>
      </c>
      <c r="I853" s="400"/>
      <c r="J853" s="400"/>
      <c r="K853" s="402" t="s">
        <v>6641</v>
      </c>
      <c r="L853" s="402" t="s">
        <v>4485</v>
      </c>
      <c r="M853" s="400"/>
      <c r="N853" s="623" t="s">
        <v>6868</v>
      </c>
      <c r="O853" s="407" t="s">
        <v>6891</v>
      </c>
      <c r="P853" s="407" t="s">
        <v>6892</v>
      </c>
      <c r="Q853" s="429" t="s">
        <v>6890</v>
      </c>
      <c r="R853" s="407"/>
      <c r="S853" s="407" t="s">
        <v>6893</v>
      </c>
      <c r="T853" s="405" t="s">
        <v>6879</v>
      </c>
      <c r="U853" s="405"/>
      <c r="V853" s="407"/>
      <c r="W853" s="405"/>
      <c r="X853" s="403"/>
      <c r="Y853" s="407"/>
      <c r="Z853" s="407"/>
      <c r="AA853" s="407"/>
      <c r="AB853" s="408"/>
      <c r="AC853" s="407"/>
      <c r="AD853" s="403"/>
      <c r="AE853" s="408"/>
      <c r="AF853" s="403"/>
      <c r="AG853" s="407"/>
      <c r="AH853" s="399"/>
      <c r="AI853" s="400"/>
      <c r="AJ853" s="399"/>
      <c r="AK853" s="409" t="s">
        <v>3715</v>
      </c>
      <c r="AL853" s="409"/>
      <c r="AM853" s="409" t="s">
        <v>3100</v>
      </c>
      <c r="AN853" s="409" t="s">
        <v>3101</v>
      </c>
      <c r="AO853" s="399"/>
      <c r="AP853" s="399"/>
      <c r="AQ853" s="409" t="s">
        <v>115</v>
      </c>
      <c r="AR853" s="415" t="s">
        <v>9487</v>
      </c>
      <c r="AS853" s="409"/>
      <c r="AT853" s="399"/>
      <c r="AU853" s="399" t="s">
        <v>6890</v>
      </c>
      <c r="AV853" s="399" t="str">
        <f t="shared" si="123"/>
        <v>Same</v>
      </c>
      <c r="AW853" s="399"/>
      <c r="AX853" s="409" t="s">
        <v>3104</v>
      </c>
      <c r="AY853" s="399" t="str">
        <f t="shared" si="124"/>
        <v/>
      </c>
      <c r="AZ853" s="409" t="s">
        <v>3105</v>
      </c>
      <c r="BA853" s="409">
        <v>0</v>
      </c>
      <c r="BB853" s="399"/>
      <c r="BC853" s="399"/>
      <c r="BD853" s="399"/>
      <c r="BE853" s="411"/>
      <c r="BF853" s="411"/>
      <c r="BG853" s="411"/>
      <c r="BH853" s="411"/>
      <c r="BI853" s="411"/>
      <c r="BJ853" s="409" t="s">
        <v>3106</v>
      </c>
      <c r="BK853" s="399"/>
      <c r="BL853" s="399"/>
      <c r="BM853" s="409" t="s">
        <v>9488</v>
      </c>
      <c r="BN853" s="399"/>
      <c r="BO853" s="399"/>
      <c r="BP853" s="399"/>
      <c r="BQ853" s="399"/>
      <c r="BR853" s="399"/>
      <c r="BS853" s="407"/>
      <c r="BT853" s="407"/>
      <c r="BU853" s="412"/>
      <c r="BV853" s="46" t="str">
        <f t="shared" si="8"/>
        <v/>
      </c>
      <c r="BW853" s="46" t="str">
        <f t="shared" si="9"/>
        <v/>
      </c>
      <c r="BX853" s="46" t="str">
        <f t="shared" si="10"/>
        <v/>
      </c>
      <c r="BY853" s="43">
        <f t="shared" si="11"/>
        <v>0</v>
      </c>
      <c r="BZ853" s="46">
        <f t="shared" si="12"/>
        <v>1</v>
      </c>
      <c r="CA853" s="46">
        <f t="shared" si="13"/>
        <v>1</v>
      </c>
      <c r="CB853" s="46">
        <f t="shared" si="14"/>
        <v>1</v>
      </c>
      <c r="CC853" s="46">
        <f t="shared" si="15"/>
        <v>1</v>
      </c>
      <c r="CD853" s="46">
        <f t="shared" si="16"/>
        <v>1</v>
      </c>
      <c r="CE853" s="46">
        <f t="shared" si="17"/>
        <v>0</v>
      </c>
      <c r="CF853" s="46">
        <f t="shared" si="18"/>
        <v>0</v>
      </c>
      <c r="CG853" s="46" t="str">
        <f ca="1">IFERROR(__xludf.DUMMYFUNCTION("if(OR(BH853="""",LEFT(BH853,2)=""LA""),"""",IMPORTXML(CONCATENATE(""https://loinc.org/"",BH853,""/""),""//span[@id='lcn']""))"),"")</f>
        <v/>
      </c>
      <c r="CH853" s="46"/>
      <c r="CI853" s="46"/>
      <c r="CJ853" s="46"/>
      <c r="CK853" s="46"/>
      <c r="CL853" s="46"/>
      <c r="CM853" s="46"/>
      <c r="CN853" s="46"/>
      <c r="CO853" s="46"/>
      <c r="CP853" s="46"/>
      <c r="CQ853" s="46"/>
      <c r="CR853" s="46"/>
      <c r="CS853" s="46"/>
      <c r="CT853" s="46"/>
      <c r="CU853" s="46"/>
    </row>
    <row r="854" spans="1:99" ht="12.75" customHeight="1">
      <c r="A854" s="399">
        <v>1797</v>
      </c>
      <c r="B854" s="399" t="s">
        <v>6895</v>
      </c>
      <c r="C854" s="399">
        <f t="shared" si="117"/>
        <v>1797</v>
      </c>
      <c r="D854" s="399" t="str">
        <f t="shared" si="118"/>
        <v>visit notes</v>
      </c>
      <c r="E854" s="399" t="str">
        <f t="shared" si="119"/>
        <v>visit notes</v>
      </c>
      <c r="F854" s="399" t="str">
        <f t="shared" si="135"/>
        <v>Data Element</v>
      </c>
      <c r="G854" s="400">
        <f t="shared" si="129"/>
        <v>11</v>
      </c>
      <c r="H854" s="400" t="str">
        <f t="shared" si="133"/>
        <v/>
      </c>
      <c r="I854" s="400"/>
      <c r="J854" s="400"/>
      <c r="K854" s="402" t="s">
        <v>6641</v>
      </c>
      <c r="L854" s="402" t="s">
        <v>4485</v>
      </c>
      <c r="M854" s="400"/>
      <c r="N854" s="623" t="s">
        <v>6868</v>
      </c>
      <c r="O854" s="407" t="s">
        <v>6896</v>
      </c>
      <c r="P854" s="404" t="s">
        <v>6897</v>
      </c>
      <c r="Q854" s="431" t="s">
        <v>6895</v>
      </c>
      <c r="R854" s="407"/>
      <c r="S854" s="407" t="s">
        <v>6898</v>
      </c>
      <c r="T854" s="405" t="s">
        <v>6879</v>
      </c>
      <c r="U854" s="405"/>
      <c r="V854" s="407"/>
      <c r="W854" s="405"/>
      <c r="X854" s="403"/>
      <c r="Y854" s="407"/>
      <c r="Z854" s="407"/>
      <c r="AA854" s="407"/>
      <c r="AB854" s="408"/>
      <c r="AC854" s="407"/>
      <c r="AD854" s="403"/>
      <c r="AE854" s="408"/>
      <c r="AF854" s="403"/>
      <c r="AG854" s="407"/>
      <c r="AH854" s="399"/>
      <c r="AI854" s="400"/>
      <c r="AJ854" s="399"/>
      <c r="AK854" s="409" t="s">
        <v>9489</v>
      </c>
      <c r="AL854" s="409"/>
      <c r="AM854" s="409" t="s">
        <v>3100</v>
      </c>
      <c r="AN854" s="409" t="s">
        <v>3101</v>
      </c>
      <c r="AO854" s="399"/>
      <c r="AP854" s="399"/>
      <c r="AQ854" s="409" t="s">
        <v>115</v>
      </c>
      <c r="AR854" s="399"/>
      <c r="AS854" s="399"/>
      <c r="AT854" s="399"/>
      <c r="AU854" s="399" t="s">
        <v>6895</v>
      </c>
      <c r="AV854" s="399" t="str">
        <f t="shared" si="123"/>
        <v>Same</v>
      </c>
      <c r="AW854" s="399"/>
      <c r="AX854" s="409" t="s">
        <v>3104</v>
      </c>
      <c r="AY854" s="399" t="str">
        <f t="shared" si="124"/>
        <v/>
      </c>
      <c r="AZ854" s="409" t="s">
        <v>3105</v>
      </c>
      <c r="BA854" s="409">
        <v>0</v>
      </c>
      <c r="BB854" s="399"/>
      <c r="BC854" s="399"/>
      <c r="BD854" s="399"/>
      <c r="BE854" s="411"/>
      <c r="BF854" s="411"/>
      <c r="BG854" s="411"/>
      <c r="BH854" s="434" t="s">
        <v>9490</v>
      </c>
      <c r="BI854" s="411"/>
      <c r="BJ854" s="409"/>
      <c r="BK854" s="399"/>
      <c r="BL854" s="399"/>
      <c r="BM854" s="409" t="s">
        <v>9491</v>
      </c>
      <c r="BN854" s="399"/>
      <c r="BO854" s="399"/>
      <c r="BP854" s="399"/>
      <c r="BQ854" s="399"/>
      <c r="BR854" s="399"/>
      <c r="BS854" s="407"/>
      <c r="BT854" s="407"/>
      <c r="BU854" s="412"/>
      <c r="BV854" s="46" t="str">
        <f t="shared" si="8"/>
        <v/>
      </c>
      <c r="BW854" s="46" t="str">
        <f t="shared" si="9"/>
        <v/>
      </c>
      <c r="BX854" s="46" t="str">
        <f t="shared" si="10"/>
        <v/>
      </c>
      <c r="BY854" s="43">
        <f t="shared" si="11"/>
        <v>0</v>
      </c>
      <c r="BZ854" s="46">
        <f t="shared" si="12"/>
        <v>1</v>
      </c>
      <c r="CA854" s="46">
        <f t="shared" si="13"/>
        <v>0</v>
      </c>
      <c r="CB854" s="46">
        <f t="shared" si="14"/>
        <v>1</v>
      </c>
      <c r="CC854" s="46">
        <f t="shared" si="15"/>
        <v>1</v>
      </c>
      <c r="CD854" s="46">
        <f t="shared" si="16"/>
        <v>1</v>
      </c>
      <c r="CE854" s="46">
        <f t="shared" si="17"/>
        <v>0</v>
      </c>
      <c r="CF854" s="46">
        <f t="shared" si="18"/>
        <v>0</v>
      </c>
      <c r="CG854" s="46" t="str">
        <f ca="1">IFERROR(__xludf.DUMMYFUNCTION("if(OR(BH854="""",LEFT(BH854,2)=""LA""),"""",IMPORTXML(CONCATENATE(""https://loinc.org/"",BH854,""/""),""//span[@id='lcn']""))"),"Referral note")</f>
        <v>Referral note</v>
      </c>
      <c r="CH854" s="46"/>
      <c r="CI854" s="46"/>
      <c r="CJ854" s="46"/>
      <c r="CK854" s="46"/>
      <c r="CL854" s="46"/>
      <c r="CM854" s="46"/>
      <c r="CN854" s="46"/>
      <c r="CO854" s="46"/>
      <c r="CP854" s="46"/>
      <c r="CQ854" s="46"/>
      <c r="CR854" s="46"/>
      <c r="CS854" s="46"/>
      <c r="CT854" s="46"/>
      <c r="CU854" s="46"/>
    </row>
    <row r="855" spans="1:99" ht="12.75" customHeight="1">
      <c r="A855" s="399">
        <v>1799</v>
      </c>
      <c r="B855" s="399" t="s">
        <v>6907</v>
      </c>
      <c r="C855" s="399">
        <f t="shared" si="117"/>
        <v>1799</v>
      </c>
      <c r="D855" s="399" t="str">
        <f t="shared" si="118"/>
        <v>Level of urgency for the referral</v>
      </c>
      <c r="E855" s="399" t="str">
        <f t="shared" si="119"/>
        <v>Level of urgency for the referral</v>
      </c>
      <c r="F855" s="399" t="str">
        <f t="shared" si="135"/>
        <v>Data Element</v>
      </c>
      <c r="G855" s="400">
        <f t="shared" si="129"/>
        <v>33</v>
      </c>
      <c r="H855" s="400" t="str">
        <f t="shared" si="133"/>
        <v/>
      </c>
      <c r="I855" s="400"/>
      <c r="J855" s="400"/>
      <c r="K855" s="402" t="s">
        <v>6641</v>
      </c>
      <c r="L855" s="402" t="s">
        <v>3142</v>
      </c>
      <c r="M855" s="400"/>
      <c r="N855" s="623" t="s">
        <v>6868</v>
      </c>
      <c r="O855" s="407" t="s">
        <v>6910</v>
      </c>
      <c r="P855" s="407" t="s">
        <v>6911</v>
      </c>
      <c r="Q855" s="429" t="s">
        <v>6907</v>
      </c>
      <c r="R855" s="407"/>
      <c r="S855" s="407" t="s">
        <v>6912</v>
      </c>
      <c r="T855" s="431" t="s">
        <v>3121</v>
      </c>
      <c r="U855" s="431"/>
      <c r="V855" s="407" t="s">
        <v>3243</v>
      </c>
      <c r="W855" s="407"/>
      <c r="X855" s="407"/>
      <c r="Y855" s="407"/>
      <c r="Z855" s="407"/>
      <c r="AA855" s="407"/>
      <c r="AB855" s="408"/>
      <c r="AC855" s="407"/>
      <c r="AD855" s="407"/>
      <c r="AE855" s="408"/>
      <c r="AF855" s="407"/>
      <c r="AG855" s="407"/>
      <c r="AH855" s="399"/>
      <c r="AI855" s="400"/>
      <c r="AJ855" s="399"/>
      <c r="AK855" s="409" t="s">
        <v>9492</v>
      </c>
      <c r="AL855" s="409"/>
      <c r="AM855" s="409" t="s">
        <v>3100</v>
      </c>
      <c r="AN855" s="409" t="s">
        <v>3101</v>
      </c>
      <c r="AO855" s="399"/>
      <c r="AP855" s="399"/>
      <c r="AQ855" s="409" t="s">
        <v>115</v>
      </c>
      <c r="AR855" s="410" t="s">
        <v>9493</v>
      </c>
      <c r="AS855" s="410"/>
      <c r="AT855" s="399"/>
      <c r="AU855" s="399" t="s">
        <v>6907</v>
      </c>
      <c r="AV855" s="399" t="str">
        <f t="shared" si="123"/>
        <v>Same</v>
      </c>
      <c r="AW855" s="399"/>
      <c r="AX855" s="409" t="s">
        <v>3104</v>
      </c>
      <c r="AY855" s="399" t="str">
        <f t="shared" si="124"/>
        <v/>
      </c>
      <c r="AZ855" s="409" t="s">
        <v>3105</v>
      </c>
      <c r="BA855" s="409">
        <v>0</v>
      </c>
      <c r="BB855" s="399"/>
      <c r="BC855" s="399"/>
      <c r="BD855" s="399"/>
      <c r="BE855" s="411"/>
      <c r="BF855" s="411"/>
      <c r="BG855" s="411"/>
      <c r="BH855" s="411"/>
      <c r="BI855" s="411"/>
      <c r="BJ855" s="409" t="s">
        <v>3106</v>
      </c>
      <c r="BK855" s="399"/>
      <c r="BL855" s="399"/>
      <c r="BM855" s="399"/>
      <c r="BN855" s="399" t="s">
        <v>9494</v>
      </c>
      <c r="BO855" s="399"/>
      <c r="BP855" s="399"/>
      <c r="BQ855" s="399"/>
      <c r="BR855" s="399"/>
      <c r="BS855" s="407"/>
      <c r="BT855" s="407"/>
      <c r="BU855" s="412"/>
      <c r="BV855" s="46" t="str">
        <f t="shared" si="8"/>
        <v/>
      </c>
      <c r="BW855" s="46" t="str">
        <f t="shared" si="9"/>
        <v/>
      </c>
      <c r="BX855" s="46" t="str">
        <f t="shared" si="10"/>
        <v/>
      </c>
      <c r="BY855" s="43">
        <f t="shared" si="11"/>
        <v>0</v>
      </c>
      <c r="BZ855" s="46">
        <f t="shared" si="12"/>
        <v>1</v>
      </c>
      <c r="CA855" s="46">
        <f t="shared" si="13"/>
        <v>1</v>
      </c>
      <c r="CB855" s="46">
        <f t="shared" si="14"/>
        <v>1</v>
      </c>
      <c r="CC855" s="46">
        <f t="shared" si="15"/>
        <v>1</v>
      </c>
      <c r="CD855" s="46">
        <f t="shared" si="16"/>
        <v>1</v>
      </c>
      <c r="CE855" s="46">
        <f t="shared" si="17"/>
        <v>0</v>
      </c>
      <c r="CF855" s="46">
        <f t="shared" si="18"/>
        <v>0</v>
      </c>
      <c r="CG855" s="46" t="str">
        <f ca="1">IFERROR(__xludf.DUMMYFUNCTION("if(OR(BH855="""",LEFT(BH855,2)=""LA""),"""",IMPORTXML(CONCATENATE(""https://loinc.org/"",BH855,""/""),""//span[@id='lcn']""))"),"")</f>
        <v/>
      </c>
      <c r="CH855" s="46"/>
      <c r="CI855" s="46"/>
      <c r="CJ855" s="46"/>
      <c r="CK855" s="46"/>
      <c r="CL855" s="46"/>
      <c r="CM855" s="46"/>
      <c r="CN855" s="46"/>
      <c r="CO855" s="46"/>
      <c r="CP855" s="46"/>
      <c r="CQ855" s="46"/>
      <c r="CR855" s="46"/>
      <c r="CS855" s="46"/>
      <c r="CT855" s="46"/>
      <c r="CU855" s="46"/>
    </row>
    <row r="856" spans="1:99" ht="12.75" customHeight="1">
      <c r="A856" s="399">
        <v>1800</v>
      </c>
      <c r="B856" s="399" t="s">
        <v>6919</v>
      </c>
      <c r="C856" s="399">
        <f t="shared" si="117"/>
        <v>1800</v>
      </c>
      <c r="D856" s="399" t="str">
        <f t="shared" si="118"/>
        <v>Contact and address of primary provider</v>
      </c>
      <c r="E856" s="399" t="str">
        <f t="shared" si="119"/>
        <v>Contact and address of primary provider</v>
      </c>
      <c r="F856" s="399" t="str">
        <f t="shared" si="135"/>
        <v>Data Element</v>
      </c>
      <c r="G856" s="400">
        <f t="shared" si="129"/>
        <v>39</v>
      </c>
      <c r="H856" s="400" t="str">
        <f t="shared" si="133"/>
        <v/>
      </c>
      <c r="I856" s="400"/>
      <c r="J856" s="400"/>
      <c r="K856" s="402" t="s">
        <v>6641</v>
      </c>
      <c r="L856" s="402" t="s">
        <v>3093</v>
      </c>
      <c r="M856" s="400"/>
      <c r="N856" s="623" t="s">
        <v>6868</v>
      </c>
      <c r="O856" s="407" t="s">
        <v>6920</v>
      </c>
      <c r="P856" s="407" t="s">
        <v>6921</v>
      </c>
      <c r="Q856" s="429" t="s">
        <v>6919</v>
      </c>
      <c r="R856" s="407"/>
      <c r="S856" s="407" t="s">
        <v>6923</v>
      </c>
      <c r="T856" s="405" t="s">
        <v>6879</v>
      </c>
      <c r="U856" s="405"/>
      <c r="V856" s="407"/>
      <c r="W856" s="407"/>
      <c r="X856" s="405"/>
      <c r="Y856" s="407"/>
      <c r="Z856" s="407"/>
      <c r="AA856" s="407"/>
      <c r="AB856" s="408"/>
      <c r="AC856" s="407"/>
      <c r="AD856" s="407"/>
      <c r="AE856" s="408"/>
      <c r="AF856" s="407"/>
      <c r="AG856" s="407"/>
      <c r="AH856" s="399"/>
      <c r="AI856" s="400"/>
      <c r="AJ856" s="399"/>
      <c r="AK856" s="409" t="s">
        <v>6830</v>
      </c>
      <c r="AL856" s="399"/>
      <c r="AM856" s="413" t="s">
        <v>3100</v>
      </c>
      <c r="AN856" s="409" t="s">
        <v>3101</v>
      </c>
      <c r="AO856" s="399"/>
      <c r="AP856" s="409" t="s">
        <v>6050</v>
      </c>
      <c r="AQ856" s="409" t="s">
        <v>3424</v>
      </c>
      <c r="AR856" s="399"/>
      <c r="AS856" s="399"/>
      <c r="AT856" s="399"/>
      <c r="AU856" s="399" t="s">
        <v>6919</v>
      </c>
      <c r="AV856" s="399" t="str">
        <f t="shared" si="123"/>
        <v>Same</v>
      </c>
      <c r="AW856" s="399"/>
      <c r="AX856" s="409" t="s">
        <v>3104</v>
      </c>
      <c r="AY856" s="399" t="str">
        <f t="shared" si="124"/>
        <v/>
      </c>
      <c r="AZ856" s="409" t="s">
        <v>3105</v>
      </c>
      <c r="BA856" s="409">
        <v>1</v>
      </c>
      <c r="BB856" s="399"/>
      <c r="BC856" s="399"/>
      <c r="BD856" s="399"/>
      <c r="BE856" s="411"/>
      <c r="BF856" s="411"/>
      <c r="BG856" s="411"/>
      <c r="BH856" s="411"/>
      <c r="BI856" s="411"/>
      <c r="BJ856" s="409" t="s">
        <v>3106</v>
      </c>
      <c r="BK856" s="399"/>
      <c r="BL856" s="399"/>
      <c r="BM856" s="399"/>
      <c r="BN856" s="399"/>
      <c r="BO856" s="399"/>
      <c r="BP856" s="399"/>
      <c r="BQ856" s="399"/>
      <c r="BR856" s="399"/>
      <c r="BS856" s="407"/>
      <c r="BT856" s="407"/>
      <c r="BU856" s="412"/>
      <c r="BV856" s="46" t="str">
        <f t="shared" si="8"/>
        <v>Practitioner</v>
      </c>
      <c r="BW856" s="46" t="str">
        <f t="shared" si="9"/>
        <v/>
      </c>
      <c r="BX856" s="46" t="str">
        <f t="shared" si="10"/>
        <v>Practitioner</v>
      </c>
      <c r="BY856" s="43" t="str">
        <f t="shared" si="11"/>
        <v>WHO-Core Practitioner</v>
      </c>
      <c r="BZ856" s="46">
        <f t="shared" si="12"/>
        <v>1</v>
      </c>
      <c r="CA856" s="46">
        <f t="shared" si="13"/>
        <v>0</v>
      </c>
      <c r="CB856" s="46">
        <f t="shared" si="14"/>
        <v>1</v>
      </c>
      <c r="CC856" s="46">
        <f t="shared" si="15"/>
        <v>1</v>
      </c>
      <c r="CD856" s="46">
        <f t="shared" si="16"/>
        <v>1</v>
      </c>
      <c r="CE856" s="46">
        <f t="shared" si="17"/>
        <v>0</v>
      </c>
      <c r="CF856" s="46">
        <f t="shared" si="18"/>
        <v>0</v>
      </c>
      <c r="CG856" s="46" t="str">
        <f ca="1">IFERROR(__xludf.DUMMYFUNCTION("if(OR(BH856="""",LEFT(BH856,2)=""LA""),"""",IMPORTXML(CONCATENATE(""https://loinc.org/"",BH856,""/""),""//span[@id='lcn']""))"),"")</f>
        <v/>
      </c>
      <c r="CH856" s="46"/>
      <c r="CI856" s="46"/>
      <c r="CJ856" s="46"/>
      <c r="CK856" s="46"/>
      <c r="CL856" s="46"/>
      <c r="CM856" s="46"/>
      <c r="CN856" s="46"/>
      <c r="CO856" s="46"/>
      <c r="CP856" s="46"/>
      <c r="CQ856" s="46"/>
      <c r="CR856" s="46"/>
      <c r="CS856" s="46"/>
      <c r="CT856" s="46"/>
      <c r="CU856" s="46"/>
    </row>
    <row r="857" spans="1:99" ht="12.75" customHeight="1">
      <c r="A857" s="399">
        <v>1801</v>
      </c>
      <c r="B857" s="399" t="s">
        <v>6939</v>
      </c>
      <c r="C857" s="399">
        <f t="shared" si="117"/>
        <v>1801</v>
      </c>
      <c r="D857" s="399" t="str">
        <f t="shared" si="118"/>
        <v>Any other detail of clinical significance</v>
      </c>
      <c r="E857" s="399" t="str">
        <f t="shared" si="119"/>
        <v>Any other detail of clinical significance</v>
      </c>
      <c r="F857" s="399" t="str">
        <f t="shared" si="135"/>
        <v>Data Element</v>
      </c>
      <c r="G857" s="400">
        <f t="shared" si="129"/>
        <v>41</v>
      </c>
      <c r="H857" s="400" t="str">
        <f t="shared" si="133"/>
        <v/>
      </c>
      <c r="I857" s="400"/>
      <c r="J857" s="400"/>
      <c r="K857" s="402" t="s">
        <v>6641</v>
      </c>
      <c r="L857" s="402" t="s">
        <v>3093</v>
      </c>
      <c r="M857" s="400"/>
      <c r="N857" s="623" t="s">
        <v>6868</v>
      </c>
      <c r="O857" s="407" t="s">
        <v>6945</v>
      </c>
      <c r="P857" s="407" t="s">
        <v>6947</v>
      </c>
      <c r="Q857" s="429" t="s">
        <v>6939</v>
      </c>
      <c r="R857" s="407"/>
      <c r="S857" s="407" t="s">
        <v>6948</v>
      </c>
      <c r="T857" s="405" t="s">
        <v>111</v>
      </c>
      <c r="U857" s="405"/>
      <c r="V857" s="407"/>
      <c r="W857" s="407"/>
      <c r="X857" s="403"/>
      <c r="Y857" s="407"/>
      <c r="Z857" s="407"/>
      <c r="AA857" s="407"/>
      <c r="AB857" s="408"/>
      <c r="AC857" s="407"/>
      <c r="AD857" s="403"/>
      <c r="AE857" s="408"/>
      <c r="AF857" s="403"/>
      <c r="AG857" s="407"/>
      <c r="AH857" s="399"/>
      <c r="AI857" s="400"/>
      <c r="AJ857" s="399"/>
      <c r="AK857" s="409" t="s">
        <v>9495</v>
      </c>
      <c r="AL857" s="409"/>
      <c r="AM857" s="409" t="s">
        <v>3100</v>
      </c>
      <c r="AN857" s="409" t="s">
        <v>3101</v>
      </c>
      <c r="AO857" s="399"/>
      <c r="AP857" s="399"/>
      <c r="AQ857" s="409" t="s">
        <v>115</v>
      </c>
      <c r="AR857" s="399"/>
      <c r="AS857" s="399"/>
      <c r="AT857" s="399"/>
      <c r="AU857" s="399" t="s">
        <v>6939</v>
      </c>
      <c r="AV857" s="399" t="str">
        <f t="shared" si="123"/>
        <v>Same</v>
      </c>
      <c r="AW857" s="399"/>
      <c r="AX857" s="409" t="s">
        <v>3104</v>
      </c>
      <c r="AY857" s="399" t="str">
        <f t="shared" si="124"/>
        <v/>
      </c>
      <c r="AZ857" s="409" t="s">
        <v>3105</v>
      </c>
      <c r="BA857" s="409">
        <v>0</v>
      </c>
      <c r="BB857" s="399"/>
      <c r="BC857" s="399"/>
      <c r="BD857" s="399"/>
      <c r="BE857" s="411"/>
      <c r="BF857" s="411"/>
      <c r="BG857" s="411"/>
      <c r="BH857" s="411"/>
      <c r="BI857" s="411"/>
      <c r="BJ857" s="409" t="s">
        <v>3106</v>
      </c>
      <c r="BK857" s="399"/>
      <c r="BL857" s="399"/>
      <c r="BM857" s="399"/>
      <c r="BN857" s="399" t="s">
        <v>9496</v>
      </c>
      <c r="BO857" s="399"/>
      <c r="BP857" s="399"/>
      <c r="BQ857" s="399"/>
      <c r="BR857" s="399"/>
      <c r="BS857" s="407"/>
      <c r="BT857" s="407"/>
      <c r="BU857" s="412"/>
      <c r="BV857" s="46" t="str">
        <f t="shared" si="8"/>
        <v/>
      </c>
      <c r="BW857" s="46" t="str">
        <f t="shared" si="9"/>
        <v/>
      </c>
      <c r="BX857" s="46" t="str">
        <f t="shared" si="10"/>
        <v/>
      </c>
      <c r="BY857" s="43">
        <f t="shared" si="11"/>
        <v>0</v>
      </c>
      <c r="BZ857" s="46">
        <f t="shared" si="12"/>
        <v>1</v>
      </c>
      <c r="CA857" s="46">
        <f t="shared" si="13"/>
        <v>0</v>
      </c>
      <c r="CB857" s="46">
        <f t="shared" si="14"/>
        <v>1</v>
      </c>
      <c r="CC857" s="46">
        <f t="shared" si="15"/>
        <v>1</v>
      </c>
      <c r="CD857" s="46">
        <f t="shared" si="16"/>
        <v>1</v>
      </c>
      <c r="CE857" s="46">
        <f t="shared" si="17"/>
        <v>0</v>
      </c>
      <c r="CF857" s="46">
        <f t="shared" si="18"/>
        <v>0</v>
      </c>
      <c r="CG857" s="46" t="str">
        <f ca="1">IFERROR(__xludf.DUMMYFUNCTION("if(OR(BH857="""",LEFT(BH857,2)=""LA""),"""",IMPORTXML(CONCATENATE(""https://loinc.org/"",BH857,""/""),""//span[@id='lcn']""))"),"")</f>
        <v/>
      </c>
      <c r="CH857" s="46"/>
      <c r="CI857" s="46"/>
      <c r="CJ857" s="46"/>
      <c r="CK857" s="46"/>
      <c r="CL857" s="46"/>
      <c r="CM857" s="46"/>
      <c r="CN857" s="46"/>
      <c r="CO857" s="46"/>
      <c r="CP857" s="46"/>
      <c r="CQ857" s="46"/>
      <c r="CR857" s="46"/>
      <c r="CS857" s="46"/>
      <c r="CT857" s="46"/>
      <c r="CU857" s="46"/>
    </row>
    <row r="858" spans="1:99" ht="12.75" customHeight="1">
      <c r="A858" s="409">
        <v>2270</v>
      </c>
      <c r="B858" s="399" t="s">
        <v>9497</v>
      </c>
      <c r="C858" s="399">
        <f t="shared" si="117"/>
        <v>2270</v>
      </c>
      <c r="D858" s="399" t="str">
        <f t="shared" si="118"/>
        <v>Item details</v>
      </c>
      <c r="E858" s="399" t="str">
        <f t="shared" si="119"/>
        <v>Item details</v>
      </c>
      <c r="F858" s="399" t="str">
        <f t="shared" si="135"/>
        <v>Data Element</v>
      </c>
      <c r="G858" s="400">
        <f t="shared" si="129"/>
        <v>12</v>
      </c>
      <c r="H858" s="400" t="str">
        <f t="shared" si="133"/>
        <v/>
      </c>
      <c r="I858" s="400"/>
      <c r="J858" s="400"/>
      <c r="K858" s="761" t="s">
        <v>9498</v>
      </c>
      <c r="L858" s="402" t="s">
        <v>961</v>
      </c>
      <c r="M858" s="400"/>
      <c r="N858" s="762" t="s">
        <v>9499</v>
      </c>
      <c r="O858" s="437" t="s">
        <v>9500</v>
      </c>
      <c r="P858" s="437"/>
      <c r="Q858" s="403" t="s">
        <v>9497</v>
      </c>
      <c r="R858" s="407"/>
      <c r="S858" s="407"/>
      <c r="T858" s="497"/>
      <c r="U858" s="403"/>
      <c r="V858" s="407"/>
      <c r="W858" s="407"/>
      <c r="X858" s="403"/>
      <c r="Y858" s="403"/>
      <c r="Z858" s="407"/>
      <c r="AA858" s="403"/>
      <c r="AB858" s="408"/>
      <c r="AC858" s="407"/>
      <c r="AD858" s="407"/>
      <c r="AE858" s="408"/>
      <c r="AF858" s="407"/>
      <c r="AG858" s="407"/>
      <c r="AH858" s="399"/>
      <c r="AI858" s="400"/>
      <c r="AJ858" s="399" t="s">
        <v>1787</v>
      </c>
      <c r="AK858" s="409" t="s">
        <v>9501</v>
      </c>
      <c r="AL858" s="409"/>
      <c r="AM858" s="409" t="s">
        <v>3100</v>
      </c>
      <c r="AN858" s="409" t="s">
        <v>3101</v>
      </c>
      <c r="AO858" s="399" t="s">
        <v>1787</v>
      </c>
      <c r="AP858" s="399"/>
      <c r="AQ858" s="409" t="s">
        <v>115</v>
      </c>
      <c r="AR858" s="399"/>
      <c r="AS858" s="399"/>
      <c r="AT858" s="399"/>
      <c r="AU858" s="399"/>
      <c r="AV858" s="399" t="str">
        <f t="shared" si="123"/>
        <v/>
      </c>
      <c r="AW858" s="399"/>
      <c r="AX858" s="409" t="s">
        <v>3104</v>
      </c>
      <c r="AY858" s="399" t="str">
        <f t="shared" si="124"/>
        <v/>
      </c>
      <c r="AZ858" s="409" t="s">
        <v>3105</v>
      </c>
      <c r="BA858" s="409">
        <v>0</v>
      </c>
      <c r="BB858" s="399"/>
      <c r="BC858" s="399" t="s">
        <v>1787</v>
      </c>
      <c r="BD858" s="399" t="s">
        <v>1787</v>
      </c>
      <c r="BE858" s="411"/>
      <c r="BF858" s="411" t="s">
        <v>1787</v>
      </c>
      <c r="BG858" s="411"/>
      <c r="BH858" s="411"/>
      <c r="BI858" s="411"/>
      <c r="BJ858" s="409" t="s">
        <v>3106</v>
      </c>
      <c r="BK858" s="399" t="s">
        <v>1787</v>
      </c>
      <c r="BL858" s="399"/>
      <c r="BM858" s="399" t="s">
        <v>1787</v>
      </c>
      <c r="BN858" s="399" t="s">
        <v>1787</v>
      </c>
      <c r="BO858" s="399" t="s">
        <v>1787</v>
      </c>
      <c r="BP858" s="399" t="s">
        <v>1787</v>
      </c>
      <c r="BQ858" s="399" t="s">
        <v>1787</v>
      </c>
      <c r="BR858" s="399" t="s">
        <v>1787</v>
      </c>
      <c r="BS858" s="407"/>
      <c r="BT858" s="407"/>
      <c r="BU858" s="412"/>
      <c r="BV858" s="46" t="str">
        <f t="shared" si="8"/>
        <v/>
      </c>
      <c r="BW858" s="46" t="str">
        <f t="shared" si="9"/>
        <v/>
      </c>
      <c r="BX858" s="46" t="str">
        <f t="shared" si="10"/>
        <v/>
      </c>
      <c r="BY858" s="43">
        <f t="shared" si="11"/>
        <v>0</v>
      </c>
      <c r="BZ858" s="46">
        <f t="shared" si="12"/>
        <v>1</v>
      </c>
      <c r="CA858" s="46">
        <f t="shared" si="13"/>
        <v>0</v>
      </c>
      <c r="CB858" s="46">
        <f t="shared" si="14"/>
        <v>1</v>
      </c>
      <c r="CC858" s="46">
        <f t="shared" si="15"/>
        <v>1</v>
      </c>
      <c r="CD858" s="46">
        <f t="shared" si="16"/>
        <v>1</v>
      </c>
      <c r="CE858" s="46">
        <f t="shared" si="17"/>
        <v>0</v>
      </c>
      <c r="CF858" s="46">
        <f t="shared" si="18"/>
        <v>0</v>
      </c>
      <c r="CG858" s="46" t="str">
        <f ca="1">IFERROR(__xludf.DUMMYFUNCTION("if(OR(BH858="""",LEFT(BH858,2)=""LA""),"""",IMPORTXML(CONCATENATE(""https://loinc.org/"",BH858,""/""),""//span[@id='lcn']""))"),"")</f>
        <v/>
      </c>
      <c r="CH858" s="46"/>
      <c r="CI858" s="46"/>
      <c r="CJ858" s="46"/>
      <c r="CK858" s="46"/>
      <c r="CL858" s="46"/>
      <c r="CM858" s="46"/>
      <c r="CN858" s="46"/>
      <c r="CO858" s="46"/>
      <c r="CP858" s="46"/>
      <c r="CQ858" s="46"/>
      <c r="CR858" s="46"/>
      <c r="CS858" s="46"/>
      <c r="CT858" s="46"/>
      <c r="CU858" s="46"/>
    </row>
    <row r="859" spans="1:99" ht="12.75" customHeight="1">
      <c r="A859" s="409">
        <v>2271</v>
      </c>
      <c r="B859" s="399" t="s">
        <v>9502</v>
      </c>
      <c r="C859" s="399">
        <f t="shared" si="117"/>
        <v>2271</v>
      </c>
      <c r="D859" s="399" t="str">
        <f t="shared" si="118"/>
        <v>dose_unit</v>
      </c>
      <c r="E859" s="399" t="str">
        <f t="shared" si="119"/>
        <v>dose_unit</v>
      </c>
      <c r="F859" s="399" t="str">
        <f t="shared" si="135"/>
        <v>Data Element</v>
      </c>
      <c r="G859" s="400">
        <f t="shared" si="129"/>
        <v>9</v>
      </c>
      <c r="H859" s="400" t="str">
        <f t="shared" si="133"/>
        <v/>
      </c>
      <c r="I859" s="400"/>
      <c r="J859" s="400"/>
      <c r="K859" s="761" t="s">
        <v>9498</v>
      </c>
      <c r="L859" s="402" t="s">
        <v>961</v>
      </c>
      <c r="M859" s="400"/>
      <c r="N859" s="762" t="s">
        <v>9499</v>
      </c>
      <c r="O859" s="437" t="s">
        <v>9503</v>
      </c>
      <c r="P859" s="437"/>
      <c r="Q859" s="407" t="s">
        <v>9502</v>
      </c>
      <c r="R859" s="403" t="s">
        <v>9504</v>
      </c>
      <c r="S859" s="421" t="s">
        <v>9505</v>
      </c>
      <c r="T859" s="763" t="s">
        <v>3121</v>
      </c>
      <c r="U859" s="405" t="s">
        <v>3177</v>
      </c>
      <c r="V859" s="437"/>
      <c r="W859" s="407"/>
      <c r="X859" s="405"/>
      <c r="Y859" s="403"/>
      <c r="Z859" s="407"/>
      <c r="AA859" s="403"/>
      <c r="AB859" s="406"/>
      <c r="AC859" s="403"/>
      <c r="AD859" s="403"/>
      <c r="AE859" s="406"/>
      <c r="AF859" s="407"/>
      <c r="AG859" s="407"/>
      <c r="AH859" s="399"/>
      <c r="AI859" s="400"/>
      <c r="AJ859" s="399" t="s">
        <v>1787</v>
      </c>
      <c r="AK859" s="409" t="s">
        <v>9506</v>
      </c>
      <c r="AL859" s="409"/>
      <c r="AM859" s="409" t="s">
        <v>3314</v>
      </c>
      <c r="AN859" s="409" t="s">
        <v>3101</v>
      </c>
      <c r="AO859" s="399" t="s">
        <v>1787</v>
      </c>
      <c r="AP859" s="399"/>
      <c r="AQ859" s="409" t="s">
        <v>115</v>
      </c>
      <c r="AR859" s="399"/>
      <c r="AS859" s="399"/>
      <c r="AT859" s="399"/>
      <c r="AU859" s="399"/>
      <c r="AV859" s="399" t="str">
        <f t="shared" si="123"/>
        <v/>
      </c>
      <c r="AW859" s="399"/>
      <c r="AX859" s="409" t="s">
        <v>3104</v>
      </c>
      <c r="AY859" s="399" t="str">
        <f t="shared" si="124"/>
        <v/>
      </c>
      <c r="AZ859" s="409" t="s">
        <v>3105</v>
      </c>
      <c r="BA859" s="409">
        <v>0</v>
      </c>
      <c r="BB859" s="399"/>
      <c r="BC859" s="399" t="s">
        <v>1787</v>
      </c>
      <c r="BD859" s="409" t="s">
        <v>3162</v>
      </c>
      <c r="BE859" s="411"/>
      <c r="BF859" s="411" t="s">
        <v>1787</v>
      </c>
      <c r="BG859" s="411"/>
      <c r="BH859" s="411"/>
      <c r="BI859" s="411"/>
      <c r="BJ859" s="409" t="s">
        <v>3106</v>
      </c>
      <c r="BK859" s="409"/>
      <c r="BL859" s="409"/>
      <c r="BM859" s="409" t="s">
        <v>9507</v>
      </c>
      <c r="BN859" s="399" t="s">
        <v>1787</v>
      </c>
      <c r="BO859" s="399" t="s">
        <v>1787</v>
      </c>
      <c r="BP859" s="399" t="s">
        <v>1787</v>
      </c>
      <c r="BQ859" s="399" t="s">
        <v>1787</v>
      </c>
      <c r="BR859" s="399" t="s">
        <v>1787</v>
      </c>
      <c r="BS859" s="407"/>
      <c r="BT859" s="407"/>
      <c r="BU859" s="412"/>
      <c r="BV859" s="46" t="str">
        <f t="shared" si="8"/>
        <v/>
      </c>
      <c r="BW859" s="46" t="str">
        <f t="shared" si="9"/>
        <v/>
      </c>
      <c r="BX859" s="46" t="str">
        <f t="shared" si="10"/>
        <v/>
      </c>
      <c r="BY859" s="43">
        <f t="shared" si="11"/>
        <v>0</v>
      </c>
      <c r="BZ859" s="46">
        <f t="shared" si="12"/>
        <v>1</v>
      </c>
      <c r="CA859" s="46">
        <f t="shared" si="13"/>
        <v>0</v>
      </c>
      <c r="CB859" s="46">
        <f t="shared" si="14"/>
        <v>0</v>
      </c>
      <c r="CC859" s="46">
        <f t="shared" si="15"/>
        <v>0</v>
      </c>
      <c r="CD859" s="46">
        <f t="shared" si="16"/>
        <v>0</v>
      </c>
      <c r="CE859" s="46">
        <f t="shared" si="17"/>
        <v>0</v>
      </c>
      <c r="CF859" s="46">
        <f t="shared" si="18"/>
        <v>1</v>
      </c>
      <c r="CG859" s="46" t="str">
        <f ca="1">IFERROR(__xludf.DUMMYFUNCTION("if(OR(BH859="""",LEFT(BH859,2)=""LA""),"""",IMPORTXML(CONCATENATE(""https://loinc.org/"",BH859,""/""),""//span[@id='lcn']""))"),"")</f>
        <v/>
      </c>
      <c r="CH859" s="46"/>
      <c r="CI859" s="46"/>
      <c r="CJ859" s="46"/>
      <c r="CK859" s="46"/>
      <c r="CL859" s="46"/>
      <c r="CM859" s="46"/>
      <c r="CN859" s="46"/>
      <c r="CO859" s="46"/>
      <c r="CP859" s="46"/>
      <c r="CQ859" s="46"/>
      <c r="CR859" s="46"/>
      <c r="CS859" s="46"/>
      <c r="CT859" s="46"/>
      <c r="CU859" s="46"/>
    </row>
    <row r="860" spans="1:99" ht="12.75" customHeight="1">
      <c r="A860" s="409">
        <v>2272</v>
      </c>
      <c r="B860" s="399" t="s">
        <v>9508</v>
      </c>
      <c r="C860" s="399">
        <f t="shared" si="117"/>
        <v>2272</v>
      </c>
      <c r="D860" s="399" t="str">
        <f t="shared" si="118"/>
        <v>form_code</v>
      </c>
      <c r="E860" s="399" t="str">
        <f t="shared" si="119"/>
        <v>form_code</v>
      </c>
      <c r="F860" s="399" t="str">
        <f t="shared" si="135"/>
        <v>Data Element</v>
      </c>
      <c r="G860" s="400">
        <f t="shared" si="129"/>
        <v>9</v>
      </c>
      <c r="H860" s="400" t="str">
        <f t="shared" si="133"/>
        <v/>
      </c>
      <c r="I860" s="400"/>
      <c r="J860" s="400"/>
      <c r="K860" s="761" t="s">
        <v>9498</v>
      </c>
      <c r="L860" s="402" t="s">
        <v>961</v>
      </c>
      <c r="M860" s="400"/>
      <c r="N860" s="762" t="s">
        <v>9499</v>
      </c>
      <c r="O860" s="437" t="s">
        <v>9509</v>
      </c>
      <c r="P860" s="437"/>
      <c r="Q860" s="407" t="s">
        <v>9508</v>
      </c>
      <c r="R860" s="403" t="s">
        <v>9510</v>
      </c>
      <c r="S860" s="407" t="s">
        <v>9511</v>
      </c>
      <c r="T860" s="764" t="s">
        <v>3121</v>
      </c>
      <c r="U860" s="405" t="s">
        <v>3177</v>
      </c>
      <c r="V860" s="437"/>
      <c r="W860" s="407"/>
      <c r="X860" s="405"/>
      <c r="Y860" s="403"/>
      <c r="Z860" s="407"/>
      <c r="AA860" s="403"/>
      <c r="AB860" s="406"/>
      <c r="AC860" s="403"/>
      <c r="AD860" s="403"/>
      <c r="AE860" s="406"/>
      <c r="AF860" s="407"/>
      <c r="AG860" s="407"/>
      <c r="AH860" s="399"/>
      <c r="AI860" s="400"/>
      <c r="AJ860" s="399" t="s">
        <v>1787</v>
      </c>
      <c r="AK860" s="409" t="s">
        <v>6741</v>
      </c>
      <c r="AL860" s="409"/>
      <c r="AM860" s="765" t="s">
        <v>3100</v>
      </c>
      <c r="AN860" s="765" t="s">
        <v>3101</v>
      </c>
      <c r="AO860" s="399" t="s">
        <v>1787</v>
      </c>
      <c r="AP860" s="399"/>
      <c r="AQ860" s="409" t="s">
        <v>115</v>
      </c>
      <c r="AR860" s="410" t="s">
        <v>9512</v>
      </c>
      <c r="AS860" s="410"/>
      <c r="AT860" s="399"/>
      <c r="AU860" s="399"/>
      <c r="AV860" s="399" t="str">
        <f t="shared" si="123"/>
        <v/>
      </c>
      <c r="AW860" s="399"/>
      <c r="AX860" s="409" t="s">
        <v>3104</v>
      </c>
      <c r="AY860" s="399" t="str">
        <f t="shared" si="124"/>
        <v/>
      </c>
      <c r="AZ860" s="409" t="s">
        <v>3105</v>
      </c>
      <c r="BA860" s="409">
        <v>0</v>
      </c>
      <c r="BB860" s="399"/>
      <c r="BC860" s="399" t="s">
        <v>1787</v>
      </c>
      <c r="BD860" s="399" t="s">
        <v>1787</v>
      </c>
      <c r="BE860" s="411"/>
      <c r="BF860" s="411" t="s">
        <v>1787</v>
      </c>
      <c r="BG860" s="411"/>
      <c r="BH860" s="411"/>
      <c r="BI860" s="411"/>
      <c r="BJ860" s="409" t="s">
        <v>3106</v>
      </c>
      <c r="BK860" s="399" t="s">
        <v>1787</v>
      </c>
      <c r="BL860" s="399"/>
      <c r="BM860" s="399" t="s">
        <v>1787</v>
      </c>
      <c r="BN860" s="399" t="s">
        <v>1787</v>
      </c>
      <c r="BO860" s="399" t="s">
        <v>1787</v>
      </c>
      <c r="BP860" s="399" t="s">
        <v>1787</v>
      </c>
      <c r="BQ860" s="399" t="s">
        <v>1787</v>
      </c>
      <c r="BR860" s="399" t="s">
        <v>1787</v>
      </c>
      <c r="BS860" s="407"/>
      <c r="BT860" s="407"/>
      <c r="BU860" s="412"/>
      <c r="BV860" s="46" t="str">
        <f t="shared" si="8"/>
        <v/>
      </c>
      <c r="BW860" s="46" t="str">
        <f t="shared" si="9"/>
        <v/>
      </c>
      <c r="BX860" s="46" t="str">
        <f t="shared" si="10"/>
        <v/>
      </c>
      <c r="BY860" s="43">
        <f t="shared" si="11"/>
        <v>0</v>
      </c>
      <c r="BZ860" s="46">
        <f t="shared" si="12"/>
        <v>1</v>
      </c>
      <c r="CA860" s="46">
        <f t="shared" si="13"/>
        <v>1</v>
      </c>
      <c r="CB860" s="46">
        <f t="shared" si="14"/>
        <v>1</v>
      </c>
      <c r="CC860" s="46">
        <f t="shared" si="15"/>
        <v>1</v>
      </c>
      <c r="CD860" s="46">
        <f t="shared" si="16"/>
        <v>1</v>
      </c>
      <c r="CE860" s="46">
        <f t="shared" si="17"/>
        <v>0</v>
      </c>
      <c r="CF860" s="46">
        <f t="shared" si="18"/>
        <v>0</v>
      </c>
      <c r="CG860" s="46" t="str">
        <f ca="1">IFERROR(__xludf.DUMMYFUNCTION("if(OR(BH860="""",LEFT(BH860,2)=""LA""),"""",IMPORTXML(CONCATENATE(""https://loinc.org/"",BH860,""/""),""//span[@id='lcn']""))"),"")</f>
        <v/>
      </c>
      <c r="CH860" s="46"/>
      <c r="CI860" s="46"/>
      <c r="CJ860" s="46"/>
      <c r="CK860" s="46"/>
      <c r="CL860" s="46"/>
      <c r="CM860" s="46"/>
      <c r="CN860" s="46"/>
      <c r="CO860" s="46"/>
      <c r="CP860" s="46"/>
      <c r="CQ860" s="46"/>
      <c r="CR860" s="46"/>
      <c r="CS860" s="46"/>
      <c r="CT860" s="46"/>
      <c r="CU860" s="46"/>
    </row>
    <row r="861" spans="1:99" ht="12.75" customHeight="1">
      <c r="A861" s="409">
        <v>2273</v>
      </c>
      <c r="B861" s="399" t="s">
        <v>9513</v>
      </c>
      <c r="C861" s="399">
        <f t="shared" si="117"/>
        <v>2273</v>
      </c>
      <c r="D861" s="399" t="str">
        <f t="shared" si="118"/>
        <v>expiry</v>
      </c>
      <c r="E861" s="399" t="str">
        <f t="shared" si="119"/>
        <v>expiry</v>
      </c>
      <c r="F861" s="399" t="str">
        <f t="shared" si="135"/>
        <v>Data Element</v>
      </c>
      <c r="G861" s="400">
        <f t="shared" si="129"/>
        <v>6</v>
      </c>
      <c r="H861" s="400" t="str">
        <f t="shared" si="133"/>
        <v/>
      </c>
      <c r="I861" s="400"/>
      <c r="J861" s="400"/>
      <c r="K861" s="761" t="s">
        <v>9498</v>
      </c>
      <c r="L861" s="402" t="s">
        <v>961</v>
      </c>
      <c r="M861" s="400"/>
      <c r="N861" s="762" t="s">
        <v>9499</v>
      </c>
      <c r="O861" s="437" t="s">
        <v>9514</v>
      </c>
      <c r="P861" s="437"/>
      <c r="Q861" s="407" t="s">
        <v>9513</v>
      </c>
      <c r="R861" s="403" t="s">
        <v>9515</v>
      </c>
      <c r="S861" s="421" t="s">
        <v>9516</v>
      </c>
      <c r="T861" s="763" t="s">
        <v>9517</v>
      </c>
      <c r="U861" s="405"/>
      <c r="V861" s="437"/>
      <c r="W861" s="407"/>
      <c r="X861" s="405"/>
      <c r="Y861" s="403"/>
      <c r="Z861" s="407"/>
      <c r="AA861" s="403"/>
      <c r="AB861" s="406"/>
      <c r="AC861" s="403"/>
      <c r="AD861" s="403"/>
      <c r="AE861" s="406"/>
      <c r="AF861" s="403"/>
      <c r="AG861" s="407"/>
      <c r="AH861" s="399"/>
      <c r="AI861" s="400"/>
      <c r="AJ861" s="399" t="s">
        <v>1787</v>
      </c>
      <c r="AK861" s="409" t="s">
        <v>9518</v>
      </c>
      <c r="AL861" s="409"/>
      <c r="AM861" s="765" t="s">
        <v>3100</v>
      </c>
      <c r="AN861" s="765" t="s">
        <v>3101</v>
      </c>
      <c r="AO861" s="399" t="s">
        <v>1787</v>
      </c>
      <c r="AP861" s="399"/>
      <c r="AQ861" s="409" t="s">
        <v>115</v>
      </c>
      <c r="AR861" s="399"/>
      <c r="AS861" s="399"/>
      <c r="AT861" s="399"/>
      <c r="AU861" s="399"/>
      <c r="AV861" s="399" t="str">
        <f t="shared" si="123"/>
        <v/>
      </c>
      <c r="AW861" s="399"/>
      <c r="AX861" s="409" t="s">
        <v>3104</v>
      </c>
      <c r="AY861" s="399" t="str">
        <f t="shared" si="124"/>
        <v/>
      </c>
      <c r="AZ861" s="409" t="s">
        <v>3105</v>
      </c>
      <c r="BA861" s="409">
        <v>0</v>
      </c>
      <c r="BB861" s="399"/>
      <c r="BC861" s="399" t="s">
        <v>1787</v>
      </c>
      <c r="BD861" s="399" t="s">
        <v>1787</v>
      </c>
      <c r="BE861" s="411"/>
      <c r="BF861" s="411" t="s">
        <v>1787</v>
      </c>
      <c r="BG861" s="411"/>
      <c r="BH861" s="411"/>
      <c r="BI861" s="411"/>
      <c r="BJ861" s="409" t="s">
        <v>3106</v>
      </c>
      <c r="BK861" s="399" t="s">
        <v>1787</v>
      </c>
      <c r="BL861" s="399"/>
      <c r="BM861" s="399" t="s">
        <v>1787</v>
      </c>
      <c r="BN861" s="399" t="s">
        <v>1787</v>
      </c>
      <c r="BO861" s="399" t="s">
        <v>1787</v>
      </c>
      <c r="BP861" s="399" t="s">
        <v>1787</v>
      </c>
      <c r="BQ861" s="399" t="s">
        <v>1787</v>
      </c>
      <c r="BR861" s="399" t="s">
        <v>1787</v>
      </c>
      <c r="BS861" s="407"/>
      <c r="BT861" s="407"/>
      <c r="BU861" s="412"/>
      <c r="BV861" s="46" t="str">
        <f t="shared" si="8"/>
        <v/>
      </c>
      <c r="BW861" s="46" t="str">
        <f t="shared" si="9"/>
        <v/>
      </c>
      <c r="BX861" s="46" t="str">
        <f t="shared" si="10"/>
        <v/>
      </c>
      <c r="BY861" s="43">
        <f t="shared" si="11"/>
        <v>0</v>
      </c>
      <c r="BZ861" s="46">
        <f t="shared" si="12"/>
        <v>1</v>
      </c>
      <c r="CA861" s="46">
        <f t="shared" si="13"/>
        <v>0</v>
      </c>
      <c r="CB861" s="46">
        <f t="shared" si="14"/>
        <v>1</v>
      </c>
      <c r="CC861" s="46">
        <f t="shared" si="15"/>
        <v>1</v>
      </c>
      <c r="CD861" s="46">
        <f t="shared" si="16"/>
        <v>1</v>
      </c>
      <c r="CE861" s="46">
        <f t="shared" si="17"/>
        <v>0</v>
      </c>
      <c r="CF861" s="46">
        <f t="shared" si="18"/>
        <v>0</v>
      </c>
      <c r="CG861" s="46" t="str">
        <f ca="1">IFERROR(__xludf.DUMMYFUNCTION("if(OR(BH861="""",LEFT(BH861,2)=""LA""),"""",IMPORTXML(CONCATENATE(""https://loinc.org/"",BH861,""/""),""//span[@id='lcn']""))"),"")</f>
        <v/>
      </c>
      <c r="CH861" s="46"/>
      <c r="CI861" s="46"/>
      <c r="CJ861" s="46"/>
      <c r="CK861" s="46"/>
      <c r="CL861" s="46"/>
      <c r="CM861" s="46"/>
      <c r="CN861" s="46"/>
      <c r="CO861" s="46"/>
      <c r="CP861" s="46"/>
      <c r="CQ861" s="46"/>
      <c r="CR861" s="46"/>
      <c r="CS861" s="46"/>
      <c r="CT861" s="46"/>
      <c r="CU861" s="46"/>
    </row>
    <row r="862" spans="1:99" ht="12.75" customHeight="1">
      <c r="A862" s="409">
        <v>2274</v>
      </c>
      <c r="B862" s="399" t="s">
        <v>9519</v>
      </c>
      <c r="C862" s="399">
        <f t="shared" si="117"/>
        <v>2274</v>
      </c>
      <c r="D862" s="399" t="str">
        <f t="shared" si="118"/>
        <v>gtin</v>
      </c>
      <c r="E862" s="399" t="str">
        <f t="shared" si="119"/>
        <v>gtin</v>
      </c>
      <c r="F862" s="399" t="str">
        <f t="shared" si="135"/>
        <v>Data Element</v>
      </c>
      <c r="G862" s="400">
        <f t="shared" si="129"/>
        <v>4</v>
      </c>
      <c r="H862" s="400" t="str">
        <f t="shared" si="133"/>
        <v/>
      </c>
      <c r="I862" s="400"/>
      <c r="J862" s="400"/>
      <c r="K862" s="761" t="s">
        <v>9498</v>
      </c>
      <c r="L862" s="402" t="s">
        <v>961</v>
      </c>
      <c r="M862" s="400"/>
      <c r="N862" s="762" t="s">
        <v>9499</v>
      </c>
      <c r="O862" s="437" t="s">
        <v>9520</v>
      </c>
      <c r="P862" s="437"/>
      <c r="Q862" s="407" t="s">
        <v>9519</v>
      </c>
      <c r="R862" s="403" t="s">
        <v>9521</v>
      </c>
      <c r="S862" s="421" t="s">
        <v>9522</v>
      </c>
      <c r="T862" s="763" t="s">
        <v>7320</v>
      </c>
      <c r="U862" s="405"/>
      <c r="V862" s="437"/>
      <c r="W862" s="403"/>
      <c r="X862" s="405"/>
      <c r="Y862" s="403"/>
      <c r="Z862" s="407"/>
      <c r="AA862" s="403"/>
      <c r="AB862" s="406"/>
      <c r="AC862" s="403"/>
      <c r="AD862" s="407"/>
      <c r="AE862" s="406"/>
      <c r="AF862" s="407"/>
      <c r="AG862" s="407"/>
      <c r="AH862" s="399"/>
      <c r="AI862" s="400"/>
      <c r="AJ862" s="399" t="s">
        <v>1787</v>
      </c>
      <c r="AK862" s="409" t="s">
        <v>9523</v>
      </c>
      <c r="AL862" s="409"/>
      <c r="AM862" s="409" t="s">
        <v>3100</v>
      </c>
      <c r="AN862" s="409" t="s">
        <v>3101</v>
      </c>
      <c r="AO862" s="399" t="s">
        <v>1787</v>
      </c>
      <c r="AP862" s="399"/>
      <c r="AQ862" s="409" t="s">
        <v>115</v>
      </c>
      <c r="AR862" s="399"/>
      <c r="AS862" s="399"/>
      <c r="AT862" s="399"/>
      <c r="AU862" s="399"/>
      <c r="AV862" s="399" t="str">
        <f t="shared" si="123"/>
        <v/>
      </c>
      <c r="AW862" s="399"/>
      <c r="AX862" s="409" t="s">
        <v>3104</v>
      </c>
      <c r="AY862" s="399" t="str">
        <f t="shared" si="124"/>
        <v/>
      </c>
      <c r="AZ862" s="409" t="s">
        <v>3105</v>
      </c>
      <c r="BA862" s="409">
        <v>0</v>
      </c>
      <c r="BB862" s="399"/>
      <c r="BC862" s="399" t="s">
        <v>1787</v>
      </c>
      <c r="BD862" s="399" t="s">
        <v>1787</v>
      </c>
      <c r="BE862" s="411"/>
      <c r="BF862" s="411" t="s">
        <v>1787</v>
      </c>
      <c r="BG862" s="411"/>
      <c r="BH862" s="411"/>
      <c r="BI862" s="411"/>
      <c r="BJ862" s="409" t="s">
        <v>3106</v>
      </c>
      <c r="BK862" s="399" t="s">
        <v>1787</v>
      </c>
      <c r="BL862" s="399"/>
      <c r="BM862" s="399" t="s">
        <v>1787</v>
      </c>
      <c r="BN862" s="399" t="s">
        <v>1787</v>
      </c>
      <c r="BO862" s="399" t="s">
        <v>1787</v>
      </c>
      <c r="BP862" s="399" t="s">
        <v>1787</v>
      </c>
      <c r="BQ862" s="399" t="s">
        <v>1787</v>
      </c>
      <c r="BR862" s="399" t="s">
        <v>1787</v>
      </c>
      <c r="BS862" s="407"/>
      <c r="BT862" s="407"/>
      <c r="BU862" s="412"/>
      <c r="BV862" s="46" t="str">
        <f t="shared" si="8"/>
        <v/>
      </c>
      <c r="BW862" s="46" t="str">
        <f t="shared" si="9"/>
        <v/>
      </c>
      <c r="BX862" s="46" t="str">
        <f t="shared" si="10"/>
        <v/>
      </c>
      <c r="BY862" s="43">
        <f t="shared" si="11"/>
        <v>0</v>
      </c>
      <c r="BZ862" s="46">
        <f t="shared" si="12"/>
        <v>1</v>
      </c>
      <c r="CA862" s="46">
        <f t="shared" si="13"/>
        <v>0</v>
      </c>
      <c r="CB862" s="46">
        <f t="shared" si="14"/>
        <v>1</v>
      </c>
      <c r="CC862" s="46">
        <f t="shared" si="15"/>
        <v>1</v>
      </c>
      <c r="CD862" s="46">
        <f t="shared" si="16"/>
        <v>1</v>
      </c>
      <c r="CE862" s="46">
        <f t="shared" si="17"/>
        <v>0</v>
      </c>
      <c r="CF862" s="46">
        <f t="shared" si="18"/>
        <v>0</v>
      </c>
      <c r="CG862" s="46" t="str">
        <f ca="1">IFERROR(__xludf.DUMMYFUNCTION("if(OR(BH862="""",LEFT(BH862,2)=""LA""),"""",IMPORTXML(CONCATENATE(""https://loinc.org/"",BH862,""/""),""//span[@id='lcn']""))"),"")</f>
        <v/>
      </c>
      <c r="CH862" s="46"/>
      <c r="CI862" s="46"/>
      <c r="CJ862" s="46"/>
      <c r="CK862" s="46"/>
      <c r="CL862" s="46"/>
      <c r="CM862" s="46"/>
      <c r="CN862" s="46"/>
      <c r="CO862" s="46"/>
      <c r="CP862" s="46"/>
      <c r="CQ862" s="46"/>
      <c r="CR862" s="46"/>
      <c r="CS862" s="46"/>
      <c r="CT862" s="46"/>
      <c r="CU862" s="46"/>
    </row>
    <row r="863" spans="1:99" ht="12.75" customHeight="1">
      <c r="A863" s="409">
        <v>2275</v>
      </c>
      <c r="B863" s="399" t="s">
        <v>9524</v>
      </c>
      <c r="C863" s="399">
        <f t="shared" si="117"/>
        <v>2275</v>
      </c>
      <c r="D863" s="399" t="str">
        <f t="shared" si="118"/>
        <v>lot</v>
      </c>
      <c r="E863" s="399" t="str">
        <f t="shared" si="119"/>
        <v>lot</v>
      </c>
      <c r="F863" s="399" t="str">
        <f t="shared" si="135"/>
        <v>Data Element</v>
      </c>
      <c r="G863" s="400">
        <f t="shared" si="129"/>
        <v>3</v>
      </c>
      <c r="H863" s="400" t="str">
        <f t="shared" si="133"/>
        <v/>
      </c>
      <c r="I863" s="400"/>
      <c r="J863" s="400"/>
      <c r="K863" s="761" t="s">
        <v>9498</v>
      </c>
      <c r="L863" s="402" t="s">
        <v>961</v>
      </c>
      <c r="M863" s="400"/>
      <c r="N863" s="762" t="s">
        <v>9499</v>
      </c>
      <c r="O863" s="437" t="s">
        <v>9525</v>
      </c>
      <c r="P863" s="437"/>
      <c r="Q863" s="407" t="s">
        <v>9524</v>
      </c>
      <c r="R863" s="403" t="s">
        <v>9526</v>
      </c>
      <c r="S863" s="421" t="s">
        <v>9527</v>
      </c>
      <c r="T863" s="763" t="s">
        <v>6879</v>
      </c>
      <c r="U863" s="405"/>
      <c r="V863" s="437"/>
      <c r="W863" s="407"/>
      <c r="X863" s="405"/>
      <c r="Y863" s="403"/>
      <c r="Z863" s="407"/>
      <c r="AA863" s="403"/>
      <c r="AB863" s="406"/>
      <c r="AC863" s="403"/>
      <c r="AD863" s="407"/>
      <c r="AE863" s="406"/>
      <c r="AF863" s="407"/>
      <c r="AG863" s="407"/>
      <c r="AH863" s="399"/>
      <c r="AI863" s="400"/>
      <c r="AJ863" s="399" t="s">
        <v>1787</v>
      </c>
      <c r="AK863" s="409" t="s">
        <v>9528</v>
      </c>
      <c r="AL863" s="409"/>
      <c r="AM863" s="765" t="s">
        <v>3100</v>
      </c>
      <c r="AN863" s="765" t="s">
        <v>3101</v>
      </c>
      <c r="AO863" s="399" t="s">
        <v>1787</v>
      </c>
      <c r="AP863" s="399"/>
      <c r="AQ863" s="409" t="s">
        <v>115</v>
      </c>
      <c r="AR863" s="399"/>
      <c r="AS863" s="399"/>
      <c r="AT863" s="399"/>
      <c r="AU863" s="399"/>
      <c r="AV863" s="399" t="str">
        <f t="shared" si="123"/>
        <v/>
      </c>
      <c r="AW863" s="399"/>
      <c r="AX863" s="409" t="s">
        <v>3104</v>
      </c>
      <c r="AY863" s="399" t="str">
        <f t="shared" si="124"/>
        <v/>
      </c>
      <c r="AZ863" s="409" t="s">
        <v>3105</v>
      </c>
      <c r="BA863" s="409">
        <v>0</v>
      </c>
      <c r="BB863" s="399"/>
      <c r="BC863" s="399" t="s">
        <v>1787</v>
      </c>
      <c r="BD863" s="409" t="s">
        <v>3162</v>
      </c>
      <c r="BE863" s="411"/>
      <c r="BF863" s="411" t="s">
        <v>1787</v>
      </c>
      <c r="BG863" s="411"/>
      <c r="BH863" s="411"/>
      <c r="BI863" s="411"/>
      <c r="BJ863" s="409" t="s">
        <v>3106</v>
      </c>
      <c r="BK863" s="409"/>
      <c r="BL863" s="409"/>
      <c r="BM863" s="409" t="s">
        <v>9529</v>
      </c>
      <c r="BN863" s="399" t="s">
        <v>1787</v>
      </c>
      <c r="BO863" s="399" t="s">
        <v>1787</v>
      </c>
      <c r="BP863" s="399" t="s">
        <v>1787</v>
      </c>
      <c r="BQ863" s="399" t="s">
        <v>1787</v>
      </c>
      <c r="BR863" s="399" t="s">
        <v>1787</v>
      </c>
      <c r="BS863" s="407"/>
      <c r="BT863" s="407"/>
      <c r="BU863" s="412"/>
      <c r="BV863" s="46" t="str">
        <f t="shared" si="8"/>
        <v/>
      </c>
      <c r="BW863" s="46" t="str">
        <f t="shared" si="9"/>
        <v/>
      </c>
      <c r="BX863" s="46" t="str">
        <f t="shared" si="10"/>
        <v/>
      </c>
      <c r="BY863" s="43">
        <f t="shared" si="11"/>
        <v>0</v>
      </c>
      <c r="BZ863" s="46">
        <f t="shared" si="12"/>
        <v>1</v>
      </c>
      <c r="CA863" s="46">
        <f t="shared" si="13"/>
        <v>0</v>
      </c>
      <c r="CB863" s="46">
        <f t="shared" si="14"/>
        <v>1</v>
      </c>
      <c r="CC863" s="46">
        <f t="shared" si="15"/>
        <v>1</v>
      </c>
      <c r="CD863" s="46">
        <f t="shared" si="16"/>
        <v>1</v>
      </c>
      <c r="CE863" s="46">
        <f t="shared" si="17"/>
        <v>0</v>
      </c>
      <c r="CF863" s="46">
        <f t="shared" si="18"/>
        <v>0</v>
      </c>
      <c r="CG863" s="46" t="str">
        <f ca="1">IFERROR(__xludf.DUMMYFUNCTION("if(OR(BH863="""",LEFT(BH863,2)=""LA""),"""",IMPORTXML(CONCATENATE(""https://loinc.org/"",BH863,""/""),""//span[@id='lcn']""))"),"")</f>
        <v/>
      </c>
      <c r="CH863" s="46"/>
      <c r="CI863" s="46"/>
      <c r="CJ863" s="46"/>
      <c r="CK863" s="46"/>
      <c r="CL863" s="46"/>
      <c r="CM863" s="46"/>
      <c r="CN863" s="46"/>
      <c r="CO863" s="46"/>
      <c r="CP863" s="46"/>
      <c r="CQ863" s="46"/>
      <c r="CR863" s="46"/>
      <c r="CS863" s="46"/>
      <c r="CT863" s="46"/>
      <c r="CU863" s="46"/>
    </row>
    <row r="864" spans="1:99" ht="12.75" customHeight="1">
      <c r="A864" s="409">
        <v>2276</v>
      </c>
      <c r="B864" s="399" t="s">
        <v>9530</v>
      </c>
      <c r="C864" s="399">
        <f t="shared" si="117"/>
        <v>2276</v>
      </c>
      <c r="D864" s="399" t="str">
        <f t="shared" si="118"/>
        <v>manufacturer</v>
      </c>
      <c r="E864" s="399" t="str">
        <f t="shared" si="119"/>
        <v>manufacturer</v>
      </c>
      <c r="F864" s="399" t="str">
        <f t="shared" si="135"/>
        <v>Data Element</v>
      </c>
      <c r="G864" s="400">
        <f t="shared" si="129"/>
        <v>12</v>
      </c>
      <c r="H864" s="400" t="str">
        <f t="shared" si="133"/>
        <v/>
      </c>
      <c r="I864" s="400"/>
      <c r="J864" s="400"/>
      <c r="K864" s="761" t="s">
        <v>9498</v>
      </c>
      <c r="L864" s="402" t="s">
        <v>961</v>
      </c>
      <c r="M864" s="400"/>
      <c r="N864" s="762" t="s">
        <v>9499</v>
      </c>
      <c r="O864" s="437" t="s">
        <v>9531</v>
      </c>
      <c r="P864" s="437"/>
      <c r="Q864" s="407" t="s">
        <v>9530</v>
      </c>
      <c r="R864" s="403" t="s">
        <v>9532</v>
      </c>
      <c r="S864" s="421" t="s">
        <v>9533</v>
      </c>
      <c r="T864" s="763" t="s">
        <v>3121</v>
      </c>
      <c r="U864" s="405"/>
      <c r="V864" s="437"/>
      <c r="W864" s="403"/>
      <c r="X864" s="405"/>
      <c r="Y864" s="403"/>
      <c r="Z864" s="407"/>
      <c r="AA864" s="403"/>
      <c r="AB864" s="406"/>
      <c r="AC864" s="403"/>
      <c r="AD864" s="407"/>
      <c r="AE864" s="406"/>
      <c r="AF864" s="407"/>
      <c r="AG864" s="407"/>
      <c r="AH864" s="399"/>
      <c r="AI864" s="400"/>
      <c r="AJ864" s="399" t="s">
        <v>1787</v>
      </c>
      <c r="AK864" s="766" t="s">
        <v>9534</v>
      </c>
      <c r="AL864" s="409"/>
      <c r="AM864" s="765" t="s">
        <v>3100</v>
      </c>
      <c r="AN864" s="765" t="s">
        <v>3101</v>
      </c>
      <c r="AO864" s="399" t="s">
        <v>1787</v>
      </c>
      <c r="AP864" s="399"/>
      <c r="AQ864" s="409" t="s">
        <v>115</v>
      </c>
      <c r="AR864" s="399"/>
      <c r="AS864" s="399"/>
      <c r="AT864" s="399"/>
      <c r="AU864" s="399"/>
      <c r="AV864" s="399" t="str">
        <f t="shared" si="123"/>
        <v/>
      </c>
      <c r="AW864" s="399"/>
      <c r="AX864" s="409" t="s">
        <v>3104</v>
      </c>
      <c r="AY864" s="399" t="str">
        <f t="shared" si="124"/>
        <v/>
      </c>
      <c r="AZ864" s="409" t="s">
        <v>3105</v>
      </c>
      <c r="BA864" s="409">
        <v>0</v>
      </c>
      <c r="BB864" s="399"/>
      <c r="BC864" s="399" t="s">
        <v>1787</v>
      </c>
      <c r="BD864" s="409" t="s">
        <v>3162</v>
      </c>
      <c r="BE864" s="411"/>
      <c r="BF864" s="411" t="s">
        <v>1787</v>
      </c>
      <c r="BG864" s="411"/>
      <c r="BH864" s="411"/>
      <c r="BI864" s="411"/>
      <c r="BJ864" s="409" t="s">
        <v>3106</v>
      </c>
      <c r="BK864" s="409"/>
      <c r="BL864" s="409"/>
      <c r="BM864" s="409" t="s">
        <v>9535</v>
      </c>
      <c r="BN864" s="399" t="s">
        <v>1787</v>
      </c>
      <c r="BO864" s="399" t="s">
        <v>1787</v>
      </c>
      <c r="BP864" s="399" t="s">
        <v>1787</v>
      </c>
      <c r="BQ864" s="399" t="s">
        <v>1787</v>
      </c>
      <c r="BR864" s="399" t="s">
        <v>1787</v>
      </c>
      <c r="BS864" s="407"/>
      <c r="BT864" s="407"/>
      <c r="BU864" s="412"/>
      <c r="BV864" s="46" t="str">
        <f t="shared" si="8"/>
        <v/>
      </c>
      <c r="BW864" s="46" t="str">
        <f t="shared" si="9"/>
        <v/>
      </c>
      <c r="BX864" s="46" t="str">
        <f t="shared" si="10"/>
        <v/>
      </c>
      <c r="BY864" s="43">
        <f t="shared" si="11"/>
        <v>0</v>
      </c>
      <c r="BZ864" s="46">
        <f t="shared" si="12"/>
        <v>1</v>
      </c>
      <c r="CA864" s="46">
        <f t="shared" si="13"/>
        <v>0</v>
      </c>
      <c r="CB864" s="46">
        <f t="shared" si="14"/>
        <v>1</v>
      </c>
      <c r="CC864" s="46">
        <f t="shared" si="15"/>
        <v>1</v>
      </c>
      <c r="CD864" s="46">
        <f t="shared" si="16"/>
        <v>1</v>
      </c>
      <c r="CE864" s="46">
        <f t="shared" si="17"/>
        <v>0</v>
      </c>
      <c r="CF864" s="46">
        <f t="shared" si="18"/>
        <v>0</v>
      </c>
      <c r="CG864" s="46" t="str">
        <f ca="1">IFERROR(__xludf.DUMMYFUNCTION("if(OR(BH864="""",LEFT(BH864,2)=""LA""),"""",IMPORTXML(CONCATENATE(""https://loinc.org/"",BH864,""/""),""//span[@id='lcn']""))"),"")</f>
        <v/>
      </c>
      <c r="CH864" s="46"/>
      <c r="CI864" s="46"/>
      <c r="CJ864" s="46"/>
      <c r="CK864" s="46"/>
      <c r="CL864" s="46"/>
      <c r="CM864" s="46"/>
      <c r="CN864" s="46"/>
      <c r="CO864" s="46"/>
      <c r="CP864" s="46"/>
      <c r="CQ864" s="46"/>
      <c r="CR864" s="46"/>
      <c r="CS864" s="46"/>
      <c r="CT864" s="46"/>
      <c r="CU864" s="46"/>
    </row>
    <row r="865" spans="1:99" ht="12.75" customHeight="1">
      <c r="A865" s="409">
        <v>2277</v>
      </c>
      <c r="B865" s="399" t="s">
        <v>9536</v>
      </c>
      <c r="C865" s="399">
        <f t="shared" si="117"/>
        <v>2277</v>
      </c>
      <c r="D865" s="399" t="str">
        <f t="shared" si="118"/>
        <v>Duration of action</v>
      </c>
      <c r="E865" s="399" t="str">
        <f t="shared" si="119"/>
        <v>Duration of action</v>
      </c>
      <c r="F865" s="399" t="str">
        <f t="shared" si="135"/>
        <v>Data Element</v>
      </c>
      <c r="G865" s="400">
        <f t="shared" si="129"/>
        <v>18</v>
      </c>
      <c r="H865" s="400" t="str">
        <f t="shared" si="133"/>
        <v/>
      </c>
      <c r="I865" s="400"/>
      <c r="J865" s="400"/>
      <c r="K865" s="761" t="s">
        <v>9498</v>
      </c>
      <c r="L865" s="402" t="s">
        <v>961</v>
      </c>
      <c r="M865" s="400"/>
      <c r="N865" s="762" t="s">
        <v>9499</v>
      </c>
      <c r="O865" s="437" t="s">
        <v>9537</v>
      </c>
      <c r="P865" s="437"/>
      <c r="Q865" s="407" t="s">
        <v>9536</v>
      </c>
      <c r="R865" s="407" t="s">
        <v>9536</v>
      </c>
      <c r="S865" s="407" t="s">
        <v>9538</v>
      </c>
      <c r="T865" s="405" t="s">
        <v>9539</v>
      </c>
      <c r="U865" s="405"/>
      <c r="V865" s="437"/>
      <c r="W865" s="403"/>
      <c r="X865" s="403"/>
      <c r="Y865" s="403"/>
      <c r="Z865" s="407"/>
      <c r="AA865" s="407"/>
      <c r="AB865" s="408"/>
      <c r="AC865" s="407"/>
      <c r="AD865" s="407"/>
      <c r="AE865" s="408"/>
      <c r="AF865" s="407"/>
      <c r="AG865" s="407"/>
      <c r="AH865" s="399"/>
      <c r="AI865" s="400"/>
      <c r="AJ865" s="399" t="s">
        <v>1787</v>
      </c>
      <c r="AK865" s="409" t="s">
        <v>9540</v>
      </c>
      <c r="AL865" s="409"/>
      <c r="AM865" s="409" t="s">
        <v>3314</v>
      </c>
      <c r="AN865" s="409" t="s">
        <v>3101</v>
      </c>
      <c r="AO865" s="399" t="s">
        <v>1787</v>
      </c>
      <c r="AP865" s="399"/>
      <c r="AQ865" s="409" t="s">
        <v>115</v>
      </c>
      <c r="AR865" s="399"/>
      <c r="AS865" s="399"/>
      <c r="AT865" s="399"/>
      <c r="AU865" s="399"/>
      <c r="AV865" s="399" t="str">
        <f t="shared" si="123"/>
        <v/>
      </c>
      <c r="AW865" s="399"/>
      <c r="AX865" s="409" t="s">
        <v>3104</v>
      </c>
      <c r="AY865" s="399" t="str">
        <f t="shared" si="124"/>
        <v/>
      </c>
      <c r="AZ865" s="399"/>
      <c r="BA865" s="409">
        <v>0</v>
      </c>
      <c r="BB865" s="399"/>
      <c r="BC865" s="399" t="s">
        <v>1787</v>
      </c>
      <c r="BD865" s="399" t="s">
        <v>1787</v>
      </c>
      <c r="BE865" s="411"/>
      <c r="BF865" s="411" t="s">
        <v>1787</v>
      </c>
      <c r="BG865" s="411"/>
      <c r="BH865" s="411"/>
      <c r="BI865" s="411"/>
      <c r="BJ865" s="409" t="s">
        <v>3106</v>
      </c>
      <c r="BK865" s="399" t="s">
        <v>1787</v>
      </c>
      <c r="BL865" s="399"/>
      <c r="BM865" s="399" t="s">
        <v>1787</v>
      </c>
      <c r="BN865" s="399" t="s">
        <v>1787</v>
      </c>
      <c r="BO865" s="399" t="s">
        <v>1787</v>
      </c>
      <c r="BP865" s="399" t="s">
        <v>1787</v>
      </c>
      <c r="BQ865" s="399" t="s">
        <v>1787</v>
      </c>
      <c r="BR865" s="399" t="s">
        <v>1787</v>
      </c>
      <c r="BS865" s="407"/>
      <c r="BT865" s="407"/>
      <c r="BU865" s="412"/>
      <c r="BV865" s="46" t="str">
        <f t="shared" si="8"/>
        <v/>
      </c>
      <c r="BW865" s="46" t="str">
        <f t="shared" si="9"/>
        <v/>
      </c>
      <c r="BX865" s="46" t="str">
        <f t="shared" si="10"/>
        <v/>
      </c>
      <c r="BY865" s="43">
        <f t="shared" si="11"/>
        <v>0</v>
      </c>
      <c r="BZ865" s="46">
        <f t="shared" si="12"/>
        <v>1</v>
      </c>
      <c r="CA865" s="46">
        <f t="shared" si="13"/>
        <v>0</v>
      </c>
      <c r="CB865" s="46">
        <f t="shared" si="14"/>
        <v>0</v>
      </c>
      <c r="CC865" s="46">
        <f t="shared" si="15"/>
        <v>0</v>
      </c>
      <c r="CD865" s="46">
        <f t="shared" si="16"/>
        <v>0</v>
      </c>
      <c r="CE865" s="46">
        <f t="shared" si="17"/>
        <v>0</v>
      </c>
      <c r="CF865" s="46">
        <f t="shared" si="18"/>
        <v>1</v>
      </c>
      <c r="CG865" s="46" t="str">
        <f ca="1">IFERROR(__xludf.DUMMYFUNCTION("if(OR(BH865="""",LEFT(BH865,2)=""LA""),"""",IMPORTXML(CONCATENATE(""https://loinc.org/"",BH865,""/""),""//span[@id='lcn']""))"),"")</f>
        <v/>
      </c>
      <c r="CH865" s="46"/>
      <c r="CI865" s="46"/>
      <c r="CJ865" s="46"/>
      <c r="CK865" s="46"/>
      <c r="CL865" s="46"/>
      <c r="CM865" s="46"/>
      <c r="CN865" s="46"/>
      <c r="CO865" s="46"/>
      <c r="CP865" s="46"/>
      <c r="CQ865" s="46"/>
      <c r="CR865" s="46"/>
      <c r="CS865" s="46"/>
      <c r="CT865" s="46"/>
      <c r="CU865" s="46"/>
    </row>
    <row r="866" spans="1:99" ht="12.75" customHeight="1">
      <c r="A866" s="409">
        <v>2278</v>
      </c>
      <c r="B866" s="399" t="s">
        <v>9541</v>
      </c>
      <c r="C866" s="399">
        <f t="shared" si="117"/>
        <v>2278</v>
      </c>
      <c r="D866" s="399" t="str">
        <f t="shared" si="118"/>
        <v>strength</v>
      </c>
      <c r="E866" s="399" t="str">
        <f t="shared" si="119"/>
        <v>strength</v>
      </c>
      <c r="F866" s="399" t="str">
        <f t="shared" si="135"/>
        <v>Data Element</v>
      </c>
      <c r="G866" s="400">
        <f t="shared" si="129"/>
        <v>8</v>
      </c>
      <c r="H866" s="400" t="str">
        <f t="shared" si="133"/>
        <v/>
      </c>
      <c r="I866" s="400"/>
      <c r="J866" s="400"/>
      <c r="K866" s="761" t="s">
        <v>9498</v>
      </c>
      <c r="L866" s="402" t="s">
        <v>961</v>
      </c>
      <c r="M866" s="400"/>
      <c r="N866" s="762" t="s">
        <v>9499</v>
      </c>
      <c r="O866" s="437" t="s">
        <v>9542</v>
      </c>
      <c r="P866" s="437"/>
      <c r="Q866" s="407" t="s">
        <v>9541</v>
      </c>
      <c r="R866" s="403" t="s">
        <v>9543</v>
      </c>
      <c r="S866" s="407" t="s">
        <v>9544</v>
      </c>
      <c r="T866" s="405" t="s">
        <v>1318</v>
      </c>
      <c r="U866" s="405"/>
      <c r="V866" s="437"/>
      <c r="W866" s="403"/>
      <c r="X866" s="407"/>
      <c r="Y866" s="403"/>
      <c r="Z866" s="407"/>
      <c r="AA866" s="403"/>
      <c r="AB866" s="406"/>
      <c r="AC866" s="403"/>
      <c r="AD866" s="407"/>
      <c r="AE866" s="406"/>
      <c r="AF866" s="407"/>
      <c r="AG866" s="407"/>
      <c r="AH866" s="399"/>
      <c r="AI866" s="400"/>
      <c r="AJ866" s="399" t="s">
        <v>1787</v>
      </c>
      <c r="AK866" s="475" t="s">
        <v>9545</v>
      </c>
      <c r="AL866" s="409"/>
      <c r="AM866" s="765" t="s">
        <v>3100</v>
      </c>
      <c r="AN866" s="765" t="s">
        <v>3101</v>
      </c>
      <c r="AO866" s="399" t="s">
        <v>1787</v>
      </c>
      <c r="AP866" s="399"/>
      <c r="AQ866" s="409" t="s">
        <v>115</v>
      </c>
      <c r="AR866" s="399"/>
      <c r="AS866" s="399"/>
      <c r="AT866" s="399"/>
      <c r="AU866" s="399"/>
      <c r="AV866" s="399" t="str">
        <f t="shared" si="123"/>
        <v/>
      </c>
      <c r="AW866" s="399"/>
      <c r="AX866" s="409" t="s">
        <v>3104</v>
      </c>
      <c r="AY866" s="399" t="str">
        <f t="shared" si="124"/>
        <v/>
      </c>
      <c r="AZ866" s="409" t="s">
        <v>3105</v>
      </c>
      <c r="BA866" s="409">
        <v>0</v>
      </c>
      <c r="BB866" s="399"/>
      <c r="BC866" s="399" t="s">
        <v>1787</v>
      </c>
      <c r="BD866" s="399" t="s">
        <v>1787</v>
      </c>
      <c r="BE866" s="411"/>
      <c r="BF866" s="411" t="s">
        <v>1787</v>
      </c>
      <c r="BG866" s="411"/>
      <c r="BH866" s="411"/>
      <c r="BI866" s="411"/>
      <c r="BJ866" s="409" t="s">
        <v>3106</v>
      </c>
      <c r="BK866" s="399" t="s">
        <v>1787</v>
      </c>
      <c r="BL866" s="399"/>
      <c r="BM866" s="399" t="s">
        <v>1787</v>
      </c>
      <c r="BN866" s="399" t="s">
        <v>1787</v>
      </c>
      <c r="BO866" s="399" t="s">
        <v>1787</v>
      </c>
      <c r="BP866" s="399" t="s">
        <v>1787</v>
      </c>
      <c r="BQ866" s="399" t="s">
        <v>1787</v>
      </c>
      <c r="BR866" s="399" t="s">
        <v>1787</v>
      </c>
      <c r="BS866" s="407"/>
      <c r="BT866" s="407"/>
      <c r="BU866" s="412"/>
      <c r="BV866" s="46" t="str">
        <f t="shared" si="8"/>
        <v/>
      </c>
      <c r="BW866" s="46" t="str">
        <f t="shared" si="9"/>
        <v/>
      </c>
      <c r="BX866" s="46" t="str">
        <f t="shared" si="10"/>
        <v/>
      </c>
      <c r="BY866" s="43">
        <f t="shared" si="11"/>
        <v>0</v>
      </c>
      <c r="BZ866" s="46">
        <f t="shared" si="12"/>
        <v>1</v>
      </c>
      <c r="CA866" s="46">
        <f t="shared" si="13"/>
        <v>0</v>
      </c>
      <c r="CB866" s="46">
        <f t="shared" si="14"/>
        <v>1</v>
      </c>
      <c r="CC866" s="46">
        <f t="shared" si="15"/>
        <v>1</v>
      </c>
      <c r="CD866" s="46">
        <f t="shared" si="16"/>
        <v>1</v>
      </c>
      <c r="CE866" s="46">
        <f t="shared" si="17"/>
        <v>0</v>
      </c>
      <c r="CF866" s="46">
        <f t="shared" si="18"/>
        <v>0</v>
      </c>
      <c r="CG866" s="46" t="str">
        <f ca="1">IFERROR(__xludf.DUMMYFUNCTION("if(OR(BH866="""",LEFT(BH866,2)=""LA""),"""",IMPORTXML(CONCATENATE(""https://loinc.org/"",BH866,""/""),""//span[@id='lcn']""))"),"")</f>
        <v/>
      </c>
      <c r="CH866" s="46"/>
      <c r="CI866" s="46"/>
      <c r="CJ866" s="46"/>
      <c r="CK866" s="46"/>
      <c r="CL866" s="46"/>
      <c r="CM866" s="46"/>
      <c r="CN866" s="46"/>
      <c r="CO866" s="46"/>
      <c r="CP866" s="46"/>
      <c r="CQ866" s="46"/>
      <c r="CR866" s="46"/>
      <c r="CS866" s="46"/>
      <c r="CT866" s="46"/>
      <c r="CU866" s="46"/>
    </row>
    <row r="867" spans="1:99" ht="12.75" customHeight="1">
      <c r="A867" s="409">
        <v>2279</v>
      </c>
      <c r="B867" s="399" t="s">
        <v>9546</v>
      </c>
      <c r="C867" s="399">
        <f t="shared" si="117"/>
        <v>2279</v>
      </c>
      <c r="D867" s="399">
        <f t="shared" si="118"/>
        <v>0</v>
      </c>
      <c r="E867" s="399">
        <f t="shared" si="119"/>
        <v>0</v>
      </c>
      <c r="F867" s="399" t="str">
        <f t="shared" si="135"/>
        <v>Data Element</v>
      </c>
      <c r="G867" s="400">
        <f t="shared" si="129"/>
        <v>15</v>
      </c>
      <c r="H867" s="400" t="str">
        <f t="shared" si="133"/>
        <v/>
      </c>
      <c r="I867" s="400"/>
      <c r="J867" s="400"/>
      <c r="K867" s="761" t="s">
        <v>9498</v>
      </c>
      <c r="L867" s="402" t="s">
        <v>961</v>
      </c>
      <c r="M867" s="400"/>
      <c r="N867" s="762" t="s">
        <v>9499</v>
      </c>
      <c r="O867" s="437" t="s">
        <v>9547</v>
      </c>
      <c r="P867" s="437"/>
      <c r="Q867" s="407"/>
      <c r="R867" s="407" t="s">
        <v>9546</v>
      </c>
      <c r="S867" s="407"/>
      <c r="T867" s="405" t="s">
        <v>3121</v>
      </c>
      <c r="U867" s="405"/>
      <c r="V867" s="437"/>
      <c r="W867" s="403"/>
      <c r="X867" s="403"/>
      <c r="Y867" s="403"/>
      <c r="Z867" s="407"/>
      <c r="AA867" s="403"/>
      <c r="AB867" s="406"/>
      <c r="AC867" s="403"/>
      <c r="AD867" s="407"/>
      <c r="AE867" s="406"/>
      <c r="AF867" s="407"/>
      <c r="AG867" s="407"/>
      <c r="AH867" s="399"/>
      <c r="AI867" s="400"/>
      <c r="AJ867" s="399" t="s">
        <v>1787</v>
      </c>
      <c r="AK867" s="475" t="s">
        <v>9545</v>
      </c>
      <c r="AL867" s="409"/>
      <c r="AM867" s="765" t="s">
        <v>3100</v>
      </c>
      <c r="AN867" s="765" t="s">
        <v>3101</v>
      </c>
      <c r="AO867" s="399" t="s">
        <v>1787</v>
      </c>
      <c r="AP867" s="399"/>
      <c r="AQ867" s="409" t="s">
        <v>115</v>
      </c>
      <c r="AR867" s="410" t="s">
        <v>9548</v>
      </c>
      <c r="AS867" s="410"/>
      <c r="AT867" s="399"/>
      <c r="AU867" s="399"/>
      <c r="AV867" s="399" t="str">
        <f t="shared" si="123"/>
        <v/>
      </c>
      <c r="AW867" s="399"/>
      <c r="AX867" s="409" t="s">
        <v>3104</v>
      </c>
      <c r="AY867" s="399" t="str">
        <f t="shared" si="124"/>
        <v>"0"-&gt;"Unit of measure"</v>
      </c>
      <c r="AZ867" s="409" t="s">
        <v>3105</v>
      </c>
      <c r="BA867" s="409">
        <v>0</v>
      </c>
      <c r="BB867" s="399"/>
      <c r="BC867" s="399" t="s">
        <v>1787</v>
      </c>
      <c r="BD867" s="409" t="s">
        <v>3162</v>
      </c>
      <c r="BE867" s="411"/>
      <c r="BF867" s="411" t="s">
        <v>1787</v>
      </c>
      <c r="BG867" s="411"/>
      <c r="BH867" s="411"/>
      <c r="BI867" s="411"/>
      <c r="BJ867" s="409" t="s">
        <v>3106</v>
      </c>
      <c r="BK867" s="409"/>
      <c r="BL867" s="409"/>
      <c r="BM867" s="409" t="s">
        <v>9549</v>
      </c>
      <c r="BN867" s="399" t="s">
        <v>1787</v>
      </c>
      <c r="BO867" s="399" t="s">
        <v>1787</v>
      </c>
      <c r="BP867" s="399" t="s">
        <v>1787</v>
      </c>
      <c r="BQ867" s="399" t="s">
        <v>1787</v>
      </c>
      <c r="BR867" s="399" t="s">
        <v>1787</v>
      </c>
      <c r="BS867" s="407"/>
      <c r="BT867" s="407"/>
      <c r="BU867" s="412"/>
      <c r="BV867" s="46" t="str">
        <f t="shared" si="8"/>
        <v/>
      </c>
      <c r="BW867" s="46" t="str">
        <f t="shared" si="9"/>
        <v/>
      </c>
      <c r="BX867" s="46" t="str">
        <f t="shared" si="10"/>
        <v/>
      </c>
      <c r="BY867" s="43">
        <f t="shared" si="11"/>
        <v>0</v>
      </c>
      <c r="BZ867" s="46">
        <f t="shared" si="12"/>
        <v>1</v>
      </c>
      <c r="CA867" s="46">
        <f t="shared" si="13"/>
        <v>1</v>
      </c>
      <c r="CB867" s="46">
        <f t="shared" si="14"/>
        <v>1</v>
      </c>
      <c r="CC867" s="46">
        <f t="shared" si="15"/>
        <v>1</v>
      </c>
      <c r="CD867" s="46">
        <f t="shared" si="16"/>
        <v>1</v>
      </c>
      <c r="CE867" s="46">
        <f t="shared" si="17"/>
        <v>0</v>
      </c>
      <c r="CF867" s="46">
        <f t="shared" si="18"/>
        <v>0</v>
      </c>
      <c r="CG867" s="46" t="str">
        <f ca="1">IFERROR(__xludf.DUMMYFUNCTION("if(OR(BH867="""",LEFT(BH867,2)=""LA""),"""",IMPORTXML(CONCATENATE(""https://loinc.org/"",BH867,""/""),""//span[@id='lcn']""))"),"")</f>
        <v/>
      </c>
      <c r="CH867" s="46"/>
      <c r="CI867" s="46"/>
      <c r="CJ867" s="46"/>
      <c r="CK867" s="46"/>
      <c r="CL867" s="46"/>
      <c r="CM867" s="46"/>
      <c r="CN867" s="46"/>
      <c r="CO867" s="46"/>
      <c r="CP867" s="46"/>
      <c r="CQ867" s="46"/>
      <c r="CR867" s="46"/>
      <c r="CS867" s="46"/>
      <c r="CT867" s="46"/>
      <c r="CU867" s="46"/>
    </row>
    <row r="868" spans="1:99" ht="12.75" customHeight="1">
      <c r="A868" s="409">
        <v>2280</v>
      </c>
      <c r="B868" s="399" t="s">
        <v>9550</v>
      </c>
      <c r="C868" s="399">
        <f t="shared" si="117"/>
        <v>2280</v>
      </c>
      <c r="D868" s="399">
        <f t="shared" si="118"/>
        <v>0</v>
      </c>
      <c r="E868" s="399">
        <f t="shared" si="119"/>
        <v>0</v>
      </c>
      <c r="F868" s="399" t="str">
        <f t="shared" si="135"/>
        <v>Data Element</v>
      </c>
      <c r="G868" s="400">
        <f t="shared" si="129"/>
        <v>5</v>
      </c>
      <c r="H868" s="400" t="str">
        <f t="shared" si="133"/>
        <v/>
      </c>
      <c r="I868" s="400"/>
      <c r="J868" s="400"/>
      <c r="K868" s="761" t="s">
        <v>9498</v>
      </c>
      <c r="L868" s="402" t="s">
        <v>961</v>
      </c>
      <c r="M868" s="400"/>
      <c r="N868" s="762" t="s">
        <v>9499</v>
      </c>
      <c r="O868" s="437" t="s">
        <v>9551</v>
      </c>
      <c r="P868" s="437"/>
      <c r="Q868" s="407"/>
      <c r="R868" s="407" t="s">
        <v>9550</v>
      </c>
      <c r="S868" s="407"/>
      <c r="T868" s="405" t="s">
        <v>6879</v>
      </c>
      <c r="U868" s="405"/>
      <c r="V868" s="437"/>
      <c r="W868" s="403"/>
      <c r="X868" s="403"/>
      <c r="Y868" s="403"/>
      <c r="Z868" s="407"/>
      <c r="AA868" s="403"/>
      <c r="AB868" s="406"/>
      <c r="AC868" s="764"/>
      <c r="AD868" s="403"/>
      <c r="AE868" s="406"/>
      <c r="AF868" s="407"/>
      <c r="AG868" s="407"/>
      <c r="AH868" s="399"/>
      <c r="AI868" s="400"/>
      <c r="AJ868" s="399" t="s">
        <v>1787</v>
      </c>
      <c r="AK868" s="475" t="s">
        <v>9552</v>
      </c>
      <c r="AL868" s="409"/>
      <c r="AM868" s="409" t="s">
        <v>3100</v>
      </c>
      <c r="AN868" s="409" t="s">
        <v>3101</v>
      </c>
      <c r="AO868" s="399" t="s">
        <v>1787</v>
      </c>
      <c r="AP868" s="399"/>
      <c r="AQ868" s="409" t="s">
        <v>115</v>
      </c>
      <c r="AR868" s="399"/>
      <c r="AS868" s="399"/>
      <c r="AT868" s="399"/>
      <c r="AU868" s="399"/>
      <c r="AV868" s="399" t="str">
        <f t="shared" si="123"/>
        <v/>
      </c>
      <c r="AW868" s="399"/>
      <c r="AX868" s="409" t="s">
        <v>3104</v>
      </c>
      <c r="AY868" s="399" t="str">
        <f t="shared" si="124"/>
        <v>"0"-&gt;"Batch"</v>
      </c>
      <c r="AZ868" s="409" t="s">
        <v>3105</v>
      </c>
      <c r="BA868" s="409">
        <v>0</v>
      </c>
      <c r="BB868" s="399"/>
      <c r="BC868" s="399" t="s">
        <v>1787</v>
      </c>
      <c r="BD868" s="399" t="s">
        <v>1787</v>
      </c>
      <c r="BE868" s="411"/>
      <c r="BF868" s="411" t="s">
        <v>1787</v>
      </c>
      <c r="BG868" s="411"/>
      <c r="BH868" s="411"/>
      <c r="BI868" s="411"/>
      <c r="BJ868" s="409" t="s">
        <v>3106</v>
      </c>
      <c r="BK868" s="399" t="s">
        <v>1787</v>
      </c>
      <c r="BL868" s="399"/>
      <c r="BM868" s="399" t="s">
        <v>1787</v>
      </c>
      <c r="BN868" s="399" t="s">
        <v>1787</v>
      </c>
      <c r="BO868" s="399" t="s">
        <v>1787</v>
      </c>
      <c r="BP868" s="399" t="s">
        <v>1787</v>
      </c>
      <c r="BQ868" s="399" t="s">
        <v>1787</v>
      </c>
      <c r="BR868" s="399" t="s">
        <v>1787</v>
      </c>
      <c r="BS868" s="407"/>
      <c r="BT868" s="407"/>
      <c r="BU868" s="412"/>
      <c r="BV868" s="46" t="str">
        <f t="shared" si="8"/>
        <v/>
      </c>
      <c r="BW868" s="46" t="str">
        <f t="shared" si="9"/>
        <v/>
      </c>
      <c r="BX868" s="46" t="str">
        <f t="shared" si="10"/>
        <v/>
      </c>
      <c r="BY868" s="43">
        <f t="shared" si="11"/>
        <v>0</v>
      </c>
      <c r="BZ868" s="46">
        <f t="shared" si="12"/>
        <v>1</v>
      </c>
      <c r="CA868" s="46">
        <f t="shared" si="13"/>
        <v>0</v>
      </c>
      <c r="CB868" s="46">
        <f t="shared" si="14"/>
        <v>1</v>
      </c>
      <c r="CC868" s="46">
        <f t="shared" si="15"/>
        <v>1</v>
      </c>
      <c r="CD868" s="46">
        <f t="shared" si="16"/>
        <v>1</v>
      </c>
      <c r="CE868" s="46">
        <f t="shared" si="17"/>
        <v>0</v>
      </c>
      <c r="CF868" s="46">
        <f t="shared" si="18"/>
        <v>0</v>
      </c>
      <c r="CG868" s="46" t="str">
        <f ca="1">IFERROR(__xludf.DUMMYFUNCTION("if(OR(BH868="""",LEFT(BH868,2)=""LA""),"""",IMPORTXML(CONCATENATE(""https://loinc.org/"",BH868,""/""),""//span[@id='lcn']""))"),"")</f>
        <v/>
      </c>
      <c r="CH868" s="46"/>
      <c r="CI868" s="46"/>
      <c r="CJ868" s="46"/>
      <c r="CK868" s="46"/>
      <c r="CL868" s="46"/>
      <c r="CM868" s="46"/>
      <c r="CN868" s="46"/>
      <c r="CO868" s="46"/>
      <c r="CP868" s="46"/>
      <c r="CQ868" s="46"/>
      <c r="CR868" s="46"/>
      <c r="CS868" s="46"/>
      <c r="CT868" s="46"/>
      <c r="CU868" s="46"/>
    </row>
    <row r="869" spans="1:99" ht="12.75" customHeight="1">
      <c r="A869" s="409">
        <v>2281</v>
      </c>
      <c r="B869" s="399" t="s">
        <v>9553</v>
      </c>
      <c r="C869" s="399">
        <f t="shared" si="117"/>
        <v>2281</v>
      </c>
      <c r="D869" s="399" t="str">
        <f t="shared" si="118"/>
        <v>Frequency</v>
      </c>
      <c r="E869" s="399" t="str">
        <f t="shared" si="119"/>
        <v>Frequency</v>
      </c>
      <c r="F869" s="399" t="str">
        <f t="shared" si="135"/>
        <v>Data Element</v>
      </c>
      <c r="G869" s="400">
        <f t="shared" si="129"/>
        <v>9</v>
      </c>
      <c r="H869" s="400" t="str">
        <f t="shared" si="133"/>
        <v/>
      </c>
      <c r="I869" s="400"/>
      <c r="J869" s="400"/>
      <c r="K869" s="761" t="s">
        <v>9554</v>
      </c>
      <c r="L869" s="402" t="s">
        <v>961</v>
      </c>
      <c r="M869" s="400"/>
      <c r="N869" s="762" t="s">
        <v>9555</v>
      </c>
      <c r="O869" s="767" t="s">
        <v>9556</v>
      </c>
      <c r="P869" s="767"/>
      <c r="Q869" s="470" t="s">
        <v>9553</v>
      </c>
      <c r="R869" s="407" t="s">
        <v>9553</v>
      </c>
      <c r="S869" s="407"/>
      <c r="T869" s="407" t="s">
        <v>9539</v>
      </c>
      <c r="U869" s="405"/>
      <c r="V869" s="437"/>
      <c r="W869" s="403"/>
      <c r="X869" s="768"/>
      <c r="Y869" s="407"/>
      <c r="Z869" s="407" t="s">
        <v>113</v>
      </c>
      <c r="AA869" s="407" t="s">
        <v>1889</v>
      </c>
      <c r="AB869" s="432"/>
      <c r="AC869" s="769"/>
      <c r="AD869" s="403"/>
      <c r="AE869" s="406"/>
      <c r="AF869" s="407"/>
      <c r="AG869" s="420" t="s">
        <v>6102</v>
      </c>
      <c r="AH869" s="399"/>
      <c r="AI869" s="400"/>
      <c r="AJ869" s="399" t="s">
        <v>1787</v>
      </c>
      <c r="AK869" s="409" t="s">
        <v>9557</v>
      </c>
      <c r="AL869" s="409" t="s">
        <v>9558</v>
      </c>
      <c r="AM869" s="409" t="s">
        <v>3100</v>
      </c>
      <c r="AN869" s="409" t="s">
        <v>3101</v>
      </c>
      <c r="AO869" s="399" t="s">
        <v>1787</v>
      </c>
      <c r="AP869" s="399"/>
      <c r="AQ869" s="409" t="s">
        <v>115</v>
      </c>
      <c r="AR869" s="399"/>
      <c r="AS869" s="399"/>
      <c r="AT869" s="399"/>
      <c r="AU869" s="399"/>
      <c r="AV869" s="399" t="str">
        <f t="shared" si="123"/>
        <v/>
      </c>
      <c r="AW869" s="399"/>
      <c r="AX869" s="409" t="s">
        <v>3104</v>
      </c>
      <c r="AY869" s="399" t="str">
        <f t="shared" si="124"/>
        <v/>
      </c>
      <c r="AZ869" s="409" t="s">
        <v>3105</v>
      </c>
      <c r="BA869" s="409">
        <v>0</v>
      </c>
      <c r="BB869" s="399"/>
      <c r="BC869" s="399" t="s">
        <v>1787</v>
      </c>
      <c r="BD869" s="409" t="s">
        <v>3162</v>
      </c>
      <c r="BE869" s="411"/>
      <c r="BF869" s="411" t="s">
        <v>1787</v>
      </c>
      <c r="BG869" s="411"/>
      <c r="BH869" s="411"/>
      <c r="BI869" s="411"/>
      <c r="BJ869" s="409" t="s">
        <v>3106</v>
      </c>
      <c r="BK869" s="435"/>
      <c r="BL869" s="399"/>
      <c r="BM869" s="435" t="s">
        <v>9559</v>
      </c>
      <c r="BN869" s="399" t="s">
        <v>1787</v>
      </c>
      <c r="BO869" s="399" t="s">
        <v>1787</v>
      </c>
      <c r="BP869" s="399" t="s">
        <v>1787</v>
      </c>
      <c r="BQ869" s="399" t="s">
        <v>1787</v>
      </c>
      <c r="BR869" s="399" t="s">
        <v>1787</v>
      </c>
      <c r="BS869" s="407"/>
      <c r="BT869" s="407"/>
      <c r="BU869" s="412"/>
      <c r="BV869" s="46" t="str">
        <f t="shared" si="8"/>
        <v/>
      </c>
      <c r="BW869" s="46" t="str">
        <f t="shared" si="9"/>
        <v/>
      </c>
      <c r="BX869" s="46" t="str">
        <f t="shared" si="10"/>
        <v/>
      </c>
      <c r="BY869" s="43">
        <f t="shared" si="11"/>
        <v>0</v>
      </c>
      <c r="BZ869" s="46">
        <f t="shared" si="12"/>
        <v>1</v>
      </c>
      <c r="CA869" s="46">
        <f t="shared" si="13"/>
        <v>0</v>
      </c>
      <c r="CB869" s="46">
        <f t="shared" si="14"/>
        <v>1</v>
      </c>
      <c r="CC869" s="46">
        <f t="shared" si="15"/>
        <v>1</v>
      </c>
      <c r="CD869" s="46">
        <f t="shared" si="16"/>
        <v>1</v>
      </c>
      <c r="CE869" s="46">
        <f t="shared" si="17"/>
        <v>0</v>
      </c>
      <c r="CF869" s="46">
        <f t="shared" si="18"/>
        <v>0</v>
      </c>
      <c r="CG869" s="46" t="str">
        <f ca="1">IFERROR(__xludf.DUMMYFUNCTION("if(OR(BH869="""",LEFT(BH869,2)=""LA""),"""",IMPORTXML(CONCATENATE(""https://loinc.org/"",BH869,""/""),""//span[@id='lcn']""))"),"")</f>
        <v/>
      </c>
      <c r="CH869" s="46"/>
      <c r="CI869" s="46"/>
      <c r="CJ869" s="46"/>
      <c r="CK869" s="46"/>
      <c r="CL869" s="46"/>
      <c r="CM869" s="46"/>
      <c r="CN869" s="46"/>
      <c r="CO869" s="46"/>
      <c r="CP869" s="46"/>
      <c r="CQ869" s="46"/>
      <c r="CR869" s="46"/>
      <c r="CS869" s="46"/>
      <c r="CT869" s="46"/>
      <c r="CU869" s="46"/>
    </row>
    <row r="870" spans="1:99" ht="12.75" customHeight="1">
      <c r="A870" s="409">
        <v>2282</v>
      </c>
      <c r="B870" s="399" t="s">
        <v>9560</v>
      </c>
      <c r="C870" s="399">
        <f t="shared" si="117"/>
        <v>2282</v>
      </c>
      <c r="D870" s="399" t="str">
        <f t="shared" si="118"/>
        <v>Drug name</v>
      </c>
      <c r="E870" s="399" t="str">
        <f t="shared" si="119"/>
        <v>Drug name</v>
      </c>
      <c r="F870" s="399" t="str">
        <f t="shared" si="135"/>
        <v>Data Element</v>
      </c>
      <c r="G870" s="400">
        <f t="shared" si="129"/>
        <v>9</v>
      </c>
      <c r="H870" s="400" t="str">
        <f t="shared" si="133"/>
        <v/>
      </c>
      <c r="I870" s="400"/>
      <c r="J870" s="400"/>
      <c r="K870" s="761" t="s">
        <v>9498</v>
      </c>
      <c r="L870" s="402" t="s">
        <v>961</v>
      </c>
      <c r="M870" s="400"/>
      <c r="N870" s="762" t="s">
        <v>9499</v>
      </c>
      <c r="O870" s="437" t="s">
        <v>9561</v>
      </c>
      <c r="P870" s="437"/>
      <c r="Q870" s="407" t="s">
        <v>9560</v>
      </c>
      <c r="R870" s="407" t="s">
        <v>6739</v>
      </c>
      <c r="S870" s="407"/>
      <c r="T870" s="407" t="s">
        <v>3121</v>
      </c>
      <c r="U870" s="405"/>
      <c r="V870" s="437"/>
      <c r="W870" s="403"/>
      <c r="X870" s="407"/>
      <c r="Y870" s="407"/>
      <c r="Z870" s="407"/>
      <c r="AA870" s="407"/>
      <c r="AB870" s="408"/>
      <c r="AC870" s="407"/>
      <c r="AD870" s="407"/>
      <c r="AE870" s="408"/>
      <c r="AF870" s="407"/>
      <c r="AG870" s="403" t="s">
        <v>4489</v>
      </c>
      <c r="AH870" s="399"/>
      <c r="AI870" s="400"/>
      <c r="AJ870" s="399" t="s">
        <v>1787</v>
      </c>
      <c r="AK870" s="475" t="s">
        <v>9562</v>
      </c>
      <c r="AL870" s="409"/>
      <c r="AM870" s="765" t="s">
        <v>3100</v>
      </c>
      <c r="AN870" s="765" t="s">
        <v>3101</v>
      </c>
      <c r="AO870" s="399" t="s">
        <v>1787</v>
      </c>
      <c r="AP870" s="399"/>
      <c r="AQ870" s="409" t="s">
        <v>115</v>
      </c>
      <c r="AR870" s="399"/>
      <c r="AS870" s="399"/>
      <c r="AT870" s="399"/>
      <c r="AU870" s="399"/>
      <c r="AV870" s="399" t="str">
        <f t="shared" si="123"/>
        <v/>
      </c>
      <c r="AW870" s="399"/>
      <c r="AX870" s="409" t="s">
        <v>3104</v>
      </c>
      <c r="AY870" s="399" t="str">
        <f t="shared" si="124"/>
        <v/>
      </c>
      <c r="AZ870" s="409" t="s">
        <v>3105</v>
      </c>
      <c r="BA870" s="409">
        <v>0</v>
      </c>
      <c r="BB870" s="399"/>
      <c r="BC870" s="399" t="s">
        <v>1787</v>
      </c>
      <c r="BD870" s="399" t="s">
        <v>1787</v>
      </c>
      <c r="BE870" s="411"/>
      <c r="BF870" s="411" t="s">
        <v>1787</v>
      </c>
      <c r="BG870" s="411"/>
      <c r="BH870" s="411"/>
      <c r="BI870" s="411"/>
      <c r="BJ870" s="409" t="s">
        <v>3106</v>
      </c>
      <c r="BK870" s="399" t="s">
        <v>1787</v>
      </c>
      <c r="BL870" s="399"/>
      <c r="BM870" s="399" t="s">
        <v>1787</v>
      </c>
      <c r="BN870" s="399" t="s">
        <v>1787</v>
      </c>
      <c r="BO870" s="399" t="s">
        <v>1787</v>
      </c>
      <c r="BP870" s="399" t="s">
        <v>1787</v>
      </c>
      <c r="BQ870" s="399" t="s">
        <v>1787</v>
      </c>
      <c r="BR870" s="399" t="s">
        <v>1787</v>
      </c>
      <c r="BS870" s="407"/>
      <c r="BT870" s="407"/>
      <c r="BU870" s="412"/>
      <c r="BV870" s="46" t="str">
        <f t="shared" si="8"/>
        <v/>
      </c>
      <c r="BW870" s="46" t="str">
        <f t="shared" si="9"/>
        <v/>
      </c>
      <c r="BX870" s="46" t="str">
        <f t="shared" si="10"/>
        <v/>
      </c>
      <c r="BY870" s="43">
        <f t="shared" si="11"/>
        <v>0</v>
      </c>
      <c r="BZ870" s="46">
        <f t="shared" si="12"/>
        <v>1</v>
      </c>
      <c r="CA870" s="46">
        <f t="shared" si="13"/>
        <v>0</v>
      </c>
      <c r="CB870" s="46">
        <f t="shared" si="14"/>
        <v>1</v>
      </c>
      <c r="CC870" s="46">
        <f t="shared" si="15"/>
        <v>1</v>
      </c>
      <c r="CD870" s="46">
        <f t="shared" si="16"/>
        <v>1</v>
      </c>
      <c r="CE870" s="46">
        <f t="shared" si="17"/>
        <v>0</v>
      </c>
      <c r="CF870" s="46">
        <f t="shared" si="18"/>
        <v>0</v>
      </c>
      <c r="CG870" s="46" t="str">
        <f ca="1">IFERROR(__xludf.DUMMYFUNCTION("if(OR(BH870="""",LEFT(BH870,2)=""LA""),"""",IMPORTXML(CONCATENATE(""https://loinc.org/"",BH870,""/""),""//span[@id='lcn']""))"),"")</f>
        <v/>
      </c>
      <c r="CH870" s="46"/>
      <c r="CI870" s="46"/>
      <c r="CJ870" s="46"/>
      <c r="CK870" s="46"/>
      <c r="CL870" s="46"/>
      <c r="CM870" s="46"/>
      <c r="CN870" s="46"/>
      <c r="CO870" s="46"/>
      <c r="CP870" s="46"/>
      <c r="CQ870" s="46"/>
      <c r="CR870" s="46"/>
      <c r="CS870" s="46"/>
      <c r="CT870" s="46"/>
      <c r="CU870" s="46"/>
    </row>
    <row r="871" spans="1:99" ht="12.75" customHeight="1">
      <c r="A871" s="409">
        <v>2283</v>
      </c>
      <c r="B871" s="399" t="s">
        <v>9563</v>
      </c>
      <c r="C871" s="399">
        <f t="shared" si="117"/>
        <v>2283</v>
      </c>
      <c r="D871" s="399" t="str">
        <f t="shared" si="118"/>
        <v>Partner communication consent</v>
      </c>
      <c r="E871" s="399" t="str">
        <f t="shared" si="119"/>
        <v>Partner communication consent</v>
      </c>
      <c r="F871" s="399" t="str">
        <f t="shared" si="135"/>
        <v>Data Element</v>
      </c>
      <c r="G871" s="400">
        <f t="shared" si="129"/>
        <v>29</v>
      </c>
      <c r="H871" s="400" t="str">
        <f t="shared" si="133"/>
        <v/>
      </c>
      <c r="I871" s="400"/>
      <c r="J871" s="400"/>
      <c r="K871" s="402" t="s">
        <v>9564</v>
      </c>
      <c r="L871" s="402" t="s">
        <v>7251</v>
      </c>
      <c r="M871" s="400"/>
      <c r="N871" s="770" t="s">
        <v>9565</v>
      </c>
      <c r="O871" s="403" t="s">
        <v>9566</v>
      </c>
      <c r="P871" s="403"/>
      <c r="Q871" s="420" t="s">
        <v>9563</v>
      </c>
      <c r="R871" s="403"/>
      <c r="S871" s="403" t="s">
        <v>9567</v>
      </c>
      <c r="T871" s="405" t="s">
        <v>3169</v>
      </c>
      <c r="U871" s="407"/>
      <c r="V871" s="403" t="s">
        <v>3170</v>
      </c>
      <c r="W871" s="407"/>
      <c r="X871" s="403"/>
      <c r="Y871" s="403"/>
      <c r="Z871" s="403"/>
      <c r="AA871" s="403" t="s">
        <v>3178</v>
      </c>
      <c r="AB871" s="406"/>
      <c r="AC871" s="403"/>
      <c r="AD871" s="403"/>
      <c r="AE871" s="406"/>
      <c r="AF871" s="403"/>
      <c r="AG871" s="403"/>
      <c r="AH871" s="399"/>
      <c r="AI871" s="400"/>
      <c r="AJ871" s="399" t="s">
        <v>1787</v>
      </c>
      <c r="AK871" s="409" t="s">
        <v>6825</v>
      </c>
      <c r="AL871" s="409" t="s">
        <v>3313</v>
      </c>
      <c r="AM871" s="409" t="s">
        <v>3314</v>
      </c>
      <c r="AN871" s="409" t="s">
        <v>3101</v>
      </c>
      <c r="AO871" s="399" t="s">
        <v>1787</v>
      </c>
      <c r="AP871" s="409" t="s">
        <v>6824</v>
      </c>
      <c r="AQ871" s="409" t="s">
        <v>3424</v>
      </c>
      <c r="AR871" s="399"/>
      <c r="AS871" s="399"/>
      <c r="AT871" s="399"/>
      <c r="AU871" s="399"/>
      <c r="AV871" s="399" t="str">
        <f t="shared" si="123"/>
        <v/>
      </c>
      <c r="AW871" s="399"/>
      <c r="AX871" s="409" t="s">
        <v>5194</v>
      </c>
      <c r="AY871" s="399" t="str">
        <f t="shared" si="124"/>
        <v/>
      </c>
      <c r="AZ871" s="399"/>
      <c r="BA871" s="409" t="s">
        <v>3125</v>
      </c>
      <c r="BB871" s="399"/>
      <c r="BC871" s="399" t="s">
        <v>1787</v>
      </c>
      <c r="BD871" s="399" t="s">
        <v>1787</v>
      </c>
      <c r="BE871" s="411"/>
      <c r="BF871" s="411" t="s">
        <v>1787</v>
      </c>
      <c r="BG871" s="411"/>
      <c r="BH871" s="411"/>
      <c r="BI871" s="411"/>
      <c r="BJ871" s="409" t="s">
        <v>3106</v>
      </c>
      <c r="BK871" s="399" t="s">
        <v>1787</v>
      </c>
      <c r="BL871" s="399"/>
      <c r="BM871" s="399" t="s">
        <v>1787</v>
      </c>
      <c r="BN871" s="399" t="s">
        <v>1787</v>
      </c>
      <c r="BO871" s="399" t="s">
        <v>1787</v>
      </c>
      <c r="BP871" s="399" t="s">
        <v>1787</v>
      </c>
      <c r="BQ871" s="399" t="s">
        <v>1787</v>
      </c>
      <c r="BR871" s="399" t="s">
        <v>1787</v>
      </c>
      <c r="BS871" s="407"/>
      <c r="BT871" s="407"/>
      <c r="BU871" s="412"/>
      <c r="BV871" s="46" t="str">
        <f t="shared" si="8"/>
        <v>Patient</v>
      </c>
      <c r="BW871" s="46" t="str">
        <f t="shared" si="9"/>
        <v/>
      </c>
      <c r="BX871" s="46" t="str">
        <f t="shared" si="10"/>
        <v>Patient</v>
      </c>
      <c r="BY871" s="43" t="str">
        <f t="shared" si="11"/>
        <v>WHO-STI Patient</v>
      </c>
      <c r="BZ871" s="46">
        <f t="shared" si="12"/>
        <v>1</v>
      </c>
      <c r="CA871" s="46">
        <f t="shared" si="13"/>
        <v>0</v>
      </c>
      <c r="CB871" s="46">
        <f t="shared" si="14"/>
        <v>0</v>
      </c>
      <c r="CC871" s="46">
        <f t="shared" si="15"/>
        <v>0</v>
      </c>
      <c r="CD871" s="46">
        <f t="shared" si="16"/>
        <v>0</v>
      </c>
      <c r="CE871" s="46">
        <f t="shared" si="17"/>
        <v>0</v>
      </c>
      <c r="CF871" s="46">
        <f t="shared" si="18"/>
        <v>1</v>
      </c>
      <c r="CG871" s="46" t="str">
        <f ca="1">IFERROR(__xludf.DUMMYFUNCTION("if(OR(BH871="""",LEFT(BH871,2)=""LA""),"""",IMPORTXML(CONCATENATE(""https://loinc.org/"",BH871,""/""),""//span[@id='lcn']""))"),"")</f>
        <v/>
      </c>
      <c r="CH871" s="46"/>
      <c r="CI871" s="46"/>
      <c r="CJ871" s="46"/>
      <c r="CK871" s="46"/>
      <c r="CL871" s="46"/>
      <c r="CM871" s="46"/>
      <c r="CN871" s="46"/>
      <c r="CO871" s="46"/>
      <c r="CP871" s="46"/>
      <c r="CQ871" s="46"/>
      <c r="CR871" s="46"/>
      <c r="CS871" s="46"/>
      <c r="CT871" s="46"/>
      <c r="CU871" s="46"/>
    </row>
    <row r="872" spans="1:99" ht="12.75" customHeight="1">
      <c r="A872" s="409">
        <v>2284</v>
      </c>
      <c r="B872" s="399" t="s">
        <v>9568</v>
      </c>
      <c r="C872" s="399">
        <f t="shared" si="117"/>
        <v>2284</v>
      </c>
      <c r="D872" s="399" t="str">
        <f t="shared" si="118"/>
        <v>Partner name</v>
      </c>
      <c r="E872" s="399" t="str">
        <f t="shared" si="119"/>
        <v>Partner name</v>
      </c>
      <c r="F872" s="399" t="str">
        <f t="shared" si="135"/>
        <v>Data Element</v>
      </c>
      <c r="G872" s="400">
        <f t="shared" si="129"/>
        <v>12</v>
      </c>
      <c r="H872" s="400" t="str">
        <f t="shared" si="133"/>
        <v/>
      </c>
      <c r="I872" s="400"/>
      <c r="J872" s="400"/>
      <c r="K872" s="402" t="s">
        <v>9564</v>
      </c>
      <c r="L872" s="402" t="s">
        <v>7251</v>
      </c>
      <c r="M872" s="400"/>
      <c r="N872" s="770" t="s">
        <v>9565</v>
      </c>
      <c r="O872" s="403" t="s">
        <v>9569</v>
      </c>
      <c r="P872" s="403"/>
      <c r="Q872" s="404" t="s">
        <v>9568</v>
      </c>
      <c r="R872" s="403"/>
      <c r="S872" s="403" t="s">
        <v>9570</v>
      </c>
      <c r="T872" s="405" t="s">
        <v>9571</v>
      </c>
      <c r="U872" s="407"/>
      <c r="V872" s="404"/>
      <c r="W872" s="407"/>
      <c r="X872" s="403"/>
      <c r="Y872" s="403"/>
      <c r="Z872" s="403"/>
      <c r="AA872" s="403" t="s">
        <v>1889</v>
      </c>
      <c r="AB872" s="406"/>
      <c r="AC872" s="403"/>
      <c r="AD872" s="403"/>
      <c r="AE872" s="406"/>
      <c r="AF872" s="403"/>
      <c r="AG872" s="403"/>
      <c r="AH872" s="399"/>
      <c r="AI872" s="400"/>
      <c r="AJ872" s="399" t="s">
        <v>1787</v>
      </c>
      <c r="AK872" s="409" t="s">
        <v>6709</v>
      </c>
      <c r="AL872" s="409"/>
      <c r="AM872" s="409" t="s">
        <v>3100</v>
      </c>
      <c r="AN872" s="409" t="s">
        <v>3101</v>
      </c>
      <c r="AO872" s="399" t="s">
        <v>1787</v>
      </c>
      <c r="AP872" s="409" t="s">
        <v>6704</v>
      </c>
      <c r="AQ872" s="409" t="s">
        <v>3424</v>
      </c>
      <c r="AR872" s="399"/>
      <c r="AS872" s="399"/>
      <c r="AT872" s="399"/>
      <c r="AU872" s="399"/>
      <c r="AV872" s="399" t="str">
        <f t="shared" si="123"/>
        <v/>
      </c>
      <c r="AW872" s="399"/>
      <c r="AX872" s="409" t="s">
        <v>5194</v>
      </c>
      <c r="AY872" s="399" t="str">
        <f t="shared" si="124"/>
        <v/>
      </c>
      <c r="AZ872" s="399"/>
      <c r="BA872" s="409" t="s">
        <v>3125</v>
      </c>
      <c r="BB872" s="399"/>
      <c r="BC872" s="399" t="s">
        <v>1787</v>
      </c>
      <c r="BD872" s="399" t="s">
        <v>1787</v>
      </c>
      <c r="BE872" s="411"/>
      <c r="BF872" s="411" t="s">
        <v>1787</v>
      </c>
      <c r="BG872" s="411"/>
      <c r="BH872" s="411"/>
      <c r="BI872" s="411"/>
      <c r="BJ872" s="409" t="s">
        <v>3106</v>
      </c>
      <c r="BK872" s="399" t="s">
        <v>1787</v>
      </c>
      <c r="BL872" s="399"/>
      <c r="BM872" s="399" t="s">
        <v>1787</v>
      </c>
      <c r="BN872" s="399" t="s">
        <v>1787</v>
      </c>
      <c r="BO872" s="399" t="s">
        <v>1787</v>
      </c>
      <c r="BP872" s="399" t="s">
        <v>1787</v>
      </c>
      <c r="BQ872" s="399" t="s">
        <v>1787</v>
      </c>
      <c r="BR872" s="399" t="s">
        <v>1787</v>
      </c>
      <c r="BS872" s="407"/>
      <c r="BT872" s="407"/>
      <c r="BU872" s="412"/>
      <c r="BV872" s="46" t="str">
        <f t="shared" si="8"/>
        <v>Communication</v>
      </c>
      <c r="BW872" s="46" t="str">
        <f t="shared" si="9"/>
        <v/>
      </c>
      <c r="BX872" s="46" t="str">
        <f t="shared" si="10"/>
        <v>Communication</v>
      </c>
      <c r="BY872" s="43" t="str">
        <f t="shared" si="11"/>
        <v>WHO-STI Communication (Partner)</v>
      </c>
      <c r="BZ872" s="46">
        <f t="shared" si="12"/>
        <v>1</v>
      </c>
      <c r="CA872" s="46">
        <f t="shared" si="13"/>
        <v>0</v>
      </c>
      <c r="CB872" s="46">
        <f t="shared" si="14"/>
        <v>1</v>
      </c>
      <c r="CC872" s="46">
        <f t="shared" si="15"/>
        <v>1</v>
      </c>
      <c r="CD872" s="46">
        <f t="shared" si="16"/>
        <v>1</v>
      </c>
      <c r="CE872" s="46">
        <f t="shared" si="17"/>
        <v>0</v>
      </c>
      <c r="CF872" s="46">
        <f t="shared" si="18"/>
        <v>0</v>
      </c>
      <c r="CG872" s="46" t="str">
        <f ca="1">IFERROR(__xludf.DUMMYFUNCTION("if(OR(BH872="""",LEFT(BH872,2)=""LA""),"""",IMPORTXML(CONCATENATE(""https://loinc.org/"",BH872,""/""),""//span[@id='lcn']""))"),"")</f>
        <v/>
      </c>
      <c r="CH872" s="46"/>
      <c r="CI872" s="46"/>
      <c r="CJ872" s="46"/>
      <c r="CK872" s="46"/>
      <c r="CL872" s="46"/>
      <c r="CM872" s="46"/>
      <c r="CN872" s="46"/>
      <c r="CO872" s="46"/>
      <c r="CP872" s="46"/>
      <c r="CQ872" s="46"/>
      <c r="CR872" s="46"/>
      <c r="CS872" s="46"/>
      <c r="CT872" s="46"/>
      <c r="CU872" s="46"/>
    </row>
    <row r="873" spans="1:99" ht="12.75" customHeight="1">
      <c r="A873" s="409">
        <v>2285</v>
      </c>
      <c r="B873" s="409" t="s">
        <v>9572</v>
      </c>
      <c r="C873" s="399">
        <f t="shared" si="117"/>
        <v>2285</v>
      </c>
      <c r="D873" s="399" t="str">
        <f t="shared" si="118"/>
        <v>Contacting of partner</v>
      </c>
      <c r="E873" s="399" t="str">
        <f t="shared" si="119"/>
        <v>Contacting of partner</v>
      </c>
      <c r="F873" s="399" t="str">
        <f t="shared" si="135"/>
        <v>Data Element</v>
      </c>
      <c r="G873" s="400">
        <f t="shared" si="129"/>
        <v>23</v>
      </c>
      <c r="H873" s="400" t="str">
        <f t="shared" si="133"/>
        <v/>
      </c>
      <c r="I873" s="400"/>
      <c r="J873" s="400"/>
      <c r="K873" s="402" t="s">
        <v>9564</v>
      </c>
      <c r="L873" s="402" t="s">
        <v>7251</v>
      </c>
      <c r="M873" s="400"/>
      <c r="N873" s="770" t="s">
        <v>9565</v>
      </c>
      <c r="O873" s="403" t="s">
        <v>9573</v>
      </c>
      <c r="P873" s="403"/>
      <c r="Q873" s="431" t="s">
        <v>9574</v>
      </c>
      <c r="R873" s="403"/>
      <c r="S873" s="403" t="s">
        <v>9575</v>
      </c>
      <c r="T873" s="405" t="s">
        <v>3169</v>
      </c>
      <c r="U873" s="407"/>
      <c r="V873" s="404" t="s">
        <v>3170</v>
      </c>
      <c r="W873" s="407"/>
      <c r="X873" s="407"/>
      <c r="Y873" s="407"/>
      <c r="Z873" s="403"/>
      <c r="AA873" s="403" t="s">
        <v>7192</v>
      </c>
      <c r="AB873" s="406"/>
      <c r="AC873" s="403"/>
      <c r="AD873" s="403"/>
      <c r="AE873" s="406"/>
      <c r="AF873" s="403"/>
      <c r="AG873" s="403"/>
      <c r="AH873" s="399"/>
      <c r="AI873" s="400"/>
      <c r="AJ873" s="399" t="s">
        <v>1787</v>
      </c>
      <c r="AK873" s="409" t="s">
        <v>6827</v>
      </c>
      <c r="AL873" s="409" t="s">
        <v>3313</v>
      </c>
      <c r="AM873" s="409" t="s">
        <v>3314</v>
      </c>
      <c r="AN873" s="409" t="s">
        <v>3101</v>
      </c>
      <c r="AO873" s="399" t="s">
        <v>1787</v>
      </c>
      <c r="AP873" s="409" t="s">
        <v>6824</v>
      </c>
      <c r="AQ873" s="409" t="s">
        <v>3424</v>
      </c>
      <c r="AR873" s="399"/>
      <c r="AS873" s="399"/>
      <c r="AT873" s="399"/>
      <c r="AU873" s="399"/>
      <c r="AV873" s="399" t="str">
        <f t="shared" si="123"/>
        <v/>
      </c>
      <c r="AW873" s="399"/>
      <c r="AX873" s="409" t="s">
        <v>5194</v>
      </c>
      <c r="AY873" s="399" t="str">
        <f t="shared" si="124"/>
        <v>"Contacting of partner"-&gt;"Need to contact partner"</v>
      </c>
      <c r="AZ873" s="399"/>
      <c r="BA873" s="409" t="s">
        <v>3125</v>
      </c>
      <c r="BB873" s="399"/>
      <c r="BC873" s="399" t="s">
        <v>1787</v>
      </c>
      <c r="BD873" s="409" t="s">
        <v>9576</v>
      </c>
      <c r="BE873" s="411"/>
      <c r="BF873" s="411" t="s">
        <v>1787</v>
      </c>
      <c r="BG873" s="434" t="s">
        <v>9577</v>
      </c>
      <c r="BH873" s="411"/>
      <c r="BI873" s="411"/>
      <c r="BJ873" s="399" t="s">
        <v>1787</v>
      </c>
      <c r="BK873" s="399" t="s">
        <v>1787</v>
      </c>
      <c r="BL873" s="399"/>
      <c r="BM873" s="409" t="s">
        <v>9578</v>
      </c>
      <c r="BN873" s="399" t="s">
        <v>1787</v>
      </c>
      <c r="BO873" s="399" t="s">
        <v>1787</v>
      </c>
      <c r="BP873" s="399" t="s">
        <v>1787</v>
      </c>
      <c r="BQ873" s="399" t="s">
        <v>1787</v>
      </c>
      <c r="BR873" s="399" t="s">
        <v>1787</v>
      </c>
      <c r="BS873" s="407"/>
      <c r="BT873" s="407"/>
      <c r="BU873" s="412"/>
      <c r="BV873" s="46" t="str">
        <f t="shared" si="8"/>
        <v>Patient</v>
      </c>
      <c r="BW873" s="46" t="str">
        <f t="shared" si="9"/>
        <v/>
      </c>
      <c r="BX873" s="46" t="str">
        <f t="shared" si="10"/>
        <v>Patient</v>
      </c>
      <c r="BY873" s="43" t="str">
        <f t="shared" si="11"/>
        <v>WHO-STI Patient</v>
      </c>
      <c r="BZ873" s="46">
        <f t="shared" si="12"/>
        <v>1</v>
      </c>
      <c r="CA873" s="46">
        <f t="shared" si="13"/>
        <v>0</v>
      </c>
      <c r="CB873" s="46">
        <f t="shared" si="14"/>
        <v>0</v>
      </c>
      <c r="CC873" s="46">
        <f t="shared" si="15"/>
        <v>0</v>
      </c>
      <c r="CD873" s="46">
        <f t="shared" si="16"/>
        <v>0</v>
      </c>
      <c r="CE873" s="46">
        <f t="shared" si="17"/>
        <v>0</v>
      </c>
      <c r="CF873" s="46">
        <f t="shared" si="18"/>
        <v>1</v>
      </c>
      <c r="CG873" s="46" t="str">
        <f ca="1">IFERROR(__xludf.DUMMYFUNCTION("if(OR(BH873="""",LEFT(BH873,2)=""LA""),"""",IMPORTXML(CONCATENATE(""https://loinc.org/"",BH873,""/""),""//span[@id='lcn']""))"),"")</f>
        <v/>
      </c>
      <c r="CH873" s="46"/>
      <c r="CI873" s="46"/>
      <c r="CJ873" s="46"/>
      <c r="CK873" s="46"/>
      <c r="CL873" s="46"/>
      <c r="CM873" s="46"/>
      <c r="CN873" s="46"/>
      <c r="CO873" s="46"/>
      <c r="CP873" s="46"/>
      <c r="CQ873" s="46"/>
      <c r="CR873" s="46"/>
      <c r="CS873" s="46"/>
      <c r="CT873" s="46"/>
      <c r="CU873" s="46"/>
    </row>
    <row r="874" spans="1:99" ht="12.75" customHeight="1">
      <c r="A874" s="409">
        <v>2286</v>
      </c>
      <c r="B874" s="409" t="s">
        <v>9579</v>
      </c>
      <c r="C874" s="399">
        <f t="shared" si="117"/>
        <v>2286</v>
      </c>
      <c r="D874" s="399" t="str">
        <f t="shared" si="118"/>
        <v>Communication method</v>
      </c>
      <c r="E874" s="399" t="str">
        <f t="shared" si="119"/>
        <v>Communication method</v>
      </c>
      <c r="F874" s="399" t="str">
        <f t="shared" si="135"/>
        <v>Data Element</v>
      </c>
      <c r="G874" s="400">
        <f t="shared" si="129"/>
        <v>28</v>
      </c>
      <c r="H874" s="400" t="str">
        <f t="shared" si="133"/>
        <v/>
      </c>
      <c r="I874" s="400"/>
      <c r="J874" s="400"/>
      <c r="K874" s="402" t="s">
        <v>9564</v>
      </c>
      <c r="L874" s="402" t="s">
        <v>7251</v>
      </c>
      <c r="M874" s="400"/>
      <c r="N874" s="771" t="s">
        <v>9580</v>
      </c>
      <c r="O874" s="403" t="s">
        <v>9581</v>
      </c>
      <c r="P874" s="403"/>
      <c r="Q874" s="404" t="s">
        <v>6971</v>
      </c>
      <c r="R874" s="403"/>
      <c r="S874" s="405" t="s">
        <v>6977</v>
      </c>
      <c r="T874" s="405" t="s">
        <v>3121</v>
      </c>
      <c r="U874" s="407"/>
      <c r="V874" s="404"/>
      <c r="W874" s="407"/>
      <c r="X874" s="407"/>
      <c r="Y874" s="403"/>
      <c r="Z874" s="403"/>
      <c r="AA874" s="403" t="s">
        <v>7192</v>
      </c>
      <c r="AB874" s="406"/>
      <c r="AC874" s="403"/>
      <c r="AD874" s="403"/>
      <c r="AE874" s="406"/>
      <c r="AF874" s="403"/>
      <c r="AG874" s="403"/>
      <c r="AH874" s="399"/>
      <c r="AI874" s="400"/>
      <c r="AJ874" s="399" t="s">
        <v>1787</v>
      </c>
      <c r="AK874" s="409" t="s">
        <v>6705</v>
      </c>
      <c r="AL874" s="409"/>
      <c r="AM874" s="409" t="s">
        <v>3100</v>
      </c>
      <c r="AN874" s="409" t="s">
        <v>3101</v>
      </c>
      <c r="AO874" s="399" t="s">
        <v>1787</v>
      </c>
      <c r="AP874" s="409" t="s">
        <v>6704</v>
      </c>
      <c r="AQ874" s="409" t="s">
        <v>3424</v>
      </c>
      <c r="AR874" s="630" t="s">
        <v>9582</v>
      </c>
      <c r="AS874" s="399"/>
      <c r="AT874" s="399"/>
      <c r="AU874" s="399"/>
      <c r="AV874" s="399" t="str">
        <f t="shared" si="123"/>
        <v/>
      </c>
      <c r="AW874" s="399"/>
      <c r="AX874" s="409" t="s">
        <v>5194</v>
      </c>
      <c r="AY874" s="399" t="str">
        <f t="shared" si="124"/>
        <v>"Communication method"-&gt;"Partner Communication method"</v>
      </c>
      <c r="AZ874" s="399"/>
      <c r="BA874" s="409" t="s">
        <v>3125</v>
      </c>
      <c r="BB874" s="399"/>
      <c r="BC874" s="399" t="s">
        <v>1787</v>
      </c>
      <c r="BD874" s="399" t="s">
        <v>1787</v>
      </c>
      <c r="BE874" s="411"/>
      <c r="BF874" s="411" t="s">
        <v>1787</v>
      </c>
      <c r="BG874" s="411"/>
      <c r="BH874" s="411"/>
      <c r="BI874" s="411"/>
      <c r="BJ874" s="409" t="s">
        <v>3106</v>
      </c>
      <c r="BK874" s="399" t="s">
        <v>1787</v>
      </c>
      <c r="BL874" s="399"/>
      <c r="BM874" s="399" t="s">
        <v>1787</v>
      </c>
      <c r="BN874" s="399" t="s">
        <v>1787</v>
      </c>
      <c r="BO874" s="399" t="s">
        <v>1787</v>
      </c>
      <c r="BP874" s="399" t="s">
        <v>1787</v>
      </c>
      <c r="BQ874" s="399" t="s">
        <v>1787</v>
      </c>
      <c r="BR874" s="399" t="s">
        <v>1787</v>
      </c>
      <c r="BS874" s="407"/>
      <c r="BT874" s="407"/>
      <c r="BU874" s="412"/>
      <c r="BV874" s="46" t="str">
        <f t="shared" si="8"/>
        <v>Communication</v>
      </c>
      <c r="BW874" s="46" t="str">
        <f t="shared" si="9"/>
        <v/>
      </c>
      <c r="BX874" s="46" t="str">
        <f t="shared" si="10"/>
        <v>Communication</v>
      </c>
      <c r="BY874" s="43" t="str">
        <f t="shared" si="11"/>
        <v>WHO-STI Communication (Partner)</v>
      </c>
      <c r="BZ874" s="46">
        <f t="shared" si="12"/>
        <v>1</v>
      </c>
      <c r="CA874" s="46">
        <f t="shared" si="13"/>
        <v>1</v>
      </c>
      <c r="CB874" s="46">
        <f t="shared" si="14"/>
        <v>1</v>
      </c>
      <c r="CC874" s="46">
        <f t="shared" si="15"/>
        <v>1</v>
      </c>
      <c r="CD874" s="46">
        <f t="shared" si="16"/>
        <v>1</v>
      </c>
      <c r="CE874" s="46">
        <f t="shared" si="17"/>
        <v>0</v>
      </c>
      <c r="CF874" s="46">
        <f t="shared" si="18"/>
        <v>0</v>
      </c>
      <c r="CG874" s="46" t="str">
        <f ca="1">IFERROR(__xludf.DUMMYFUNCTION("if(OR(BH874="""",LEFT(BH874,2)=""LA""),"""",IMPORTXML(CONCATENATE(""https://loinc.org/"",BH874,""/""),""//span[@id='lcn']""))"),"")</f>
        <v/>
      </c>
      <c r="CH874" s="46"/>
      <c r="CI874" s="46"/>
      <c r="CJ874" s="46"/>
      <c r="CK874" s="46"/>
      <c r="CL874" s="46"/>
      <c r="CM874" s="46"/>
      <c r="CN874" s="46"/>
      <c r="CO874" s="46"/>
      <c r="CP874" s="46"/>
      <c r="CQ874" s="46"/>
      <c r="CR874" s="46"/>
      <c r="CS874" s="46"/>
      <c r="CT874" s="46"/>
      <c r="CU874" s="46"/>
    </row>
    <row r="875" spans="1:99" ht="12.75" customHeight="1">
      <c r="A875" s="409">
        <v>2287</v>
      </c>
      <c r="B875" s="409" t="s">
        <v>9583</v>
      </c>
      <c r="C875" s="399">
        <f t="shared" si="117"/>
        <v>2287</v>
      </c>
      <c r="D875" s="399" t="str">
        <f t="shared" si="118"/>
        <v>Communication date</v>
      </c>
      <c r="E875" s="399" t="str">
        <f t="shared" si="119"/>
        <v>Communication date</v>
      </c>
      <c r="F875" s="399" t="str">
        <f t="shared" si="135"/>
        <v>Data Element</v>
      </c>
      <c r="G875" s="400">
        <f t="shared" si="129"/>
        <v>30</v>
      </c>
      <c r="H875" s="400" t="str">
        <f t="shared" si="133"/>
        <v/>
      </c>
      <c r="I875" s="400"/>
      <c r="J875" s="400"/>
      <c r="K875" s="402" t="s">
        <v>9564</v>
      </c>
      <c r="L875" s="402" t="s">
        <v>7251</v>
      </c>
      <c r="M875" s="400"/>
      <c r="N875" s="771" t="s">
        <v>9580</v>
      </c>
      <c r="O875" s="403" t="s">
        <v>9584</v>
      </c>
      <c r="P875" s="403"/>
      <c r="Q875" s="431" t="s">
        <v>7115</v>
      </c>
      <c r="R875" s="403"/>
      <c r="S875" s="405" t="s">
        <v>9585</v>
      </c>
      <c r="T875" s="405" t="s">
        <v>3158</v>
      </c>
      <c r="U875" s="403"/>
      <c r="V875" s="431"/>
      <c r="W875" s="403"/>
      <c r="X875" s="407"/>
      <c r="Y875" s="403"/>
      <c r="Z875" s="403"/>
      <c r="AA875" s="403" t="s">
        <v>7192</v>
      </c>
      <c r="AB875" s="406"/>
      <c r="AC875" s="403"/>
      <c r="AD875" s="403"/>
      <c r="AE875" s="406"/>
      <c r="AF875" s="403"/>
      <c r="AG875" s="403"/>
      <c r="AH875" s="399"/>
      <c r="AI875" s="400"/>
      <c r="AJ875" s="399" t="s">
        <v>1787</v>
      </c>
      <c r="AK875" s="409" t="s">
        <v>6711</v>
      </c>
      <c r="AL875" s="409"/>
      <c r="AM875" s="409" t="s">
        <v>3100</v>
      </c>
      <c r="AN875" s="409" t="s">
        <v>3101</v>
      </c>
      <c r="AO875" s="399" t="s">
        <v>1787</v>
      </c>
      <c r="AP875" s="409" t="s">
        <v>6704</v>
      </c>
      <c r="AQ875" s="409" t="s">
        <v>3424</v>
      </c>
      <c r="AR875" s="399"/>
      <c r="AS875" s="399"/>
      <c r="AT875" s="399"/>
      <c r="AU875" s="399"/>
      <c r="AV875" s="399" t="str">
        <f t="shared" si="123"/>
        <v/>
      </c>
      <c r="AW875" s="399"/>
      <c r="AX875" s="409" t="s">
        <v>5194</v>
      </c>
      <c r="AY875" s="399" t="str">
        <f t="shared" si="124"/>
        <v>"Communication date"-&gt;"Partner Communication dateTime"</v>
      </c>
      <c r="AZ875" s="399"/>
      <c r="BA875" s="409" t="s">
        <v>3125</v>
      </c>
      <c r="BB875" s="399"/>
      <c r="BC875" s="409"/>
      <c r="BD875" s="399" t="s">
        <v>1787</v>
      </c>
      <c r="BE875" s="411"/>
      <c r="BF875" s="411" t="s">
        <v>1787</v>
      </c>
      <c r="BG875" s="411"/>
      <c r="BH875" s="411"/>
      <c r="BI875" s="411"/>
      <c r="BJ875" s="409" t="s">
        <v>3106</v>
      </c>
      <c r="BK875" s="399" t="s">
        <v>1787</v>
      </c>
      <c r="BL875" s="399"/>
      <c r="BM875" s="399" t="s">
        <v>1787</v>
      </c>
      <c r="BN875" s="399" t="s">
        <v>1787</v>
      </c>
      <c r="BO875" s="399" t="s">
        <v>1787</v>
      </c>
      <c r="BP875" s="399" t="s">
        <v>1787</v>
      </c>
      <c r="BQ875" s="399" t="s">
        <v>1787</v>
      </c>
      <c r="BR875" s="399" t="s">
        <v>1787</v>
      </c>
      <c r="BS875" s="407"/>
      <c r="BT875" s="407"/>
      <c r="BU875" s="412"/>
      <c r="BV875" s="46" t="str">
        <f t="shared" si="8"/>
        <v>Communication</v>
      </c>
      <c r="BW875" s="46" t="str">
        <f t="shared" si="9"/>
        <v/>
      </c>
      <c r="BX875" s="46" t="str">
        <f t="shared" si="10"/>
        <v>Communication</v>
      </c>
      <c r="BY875" s="43" t="str">
        <f t="shared" si="11"/>
        <v>WHO-STI Communication (Partner)</v>
      </c>
      <c r="BZ875" s="46">
        <f t="shared" si="12"/>
        <v>1</v>
      </c>
      <c r="CA875" s="46">
        <f t="shared" si="13"/>
        <v>0</v>
      </c>
      <c r="CB875" s="46">
        <f t="shared" si="14"/>
        <v>1</v>
      </c>
      <c r="CC875" s="46">
        <f t="shared" si="15"/>
        <v>1</v>
      </c>
      <c r="CD875" s="46">
        <f t="shared" si="16"/>
        <v>1</v>
      </c>
      <c r="CE875" s="46">
        <f t="shared" si="17"/>
        <v>0</v>
      </c>
      <c r="CF875" s="46">
        <f t="shared" si="18"/>
        <v>0</v>
      </c>
      <c r="CG875" s="46" t="str">
        <f ca="1">IFERROR(__xludf.DUMMYFUNCTION("if(OR(BH875="""",LEFT(BH875,2)=""LA""),"""",IMPORTXML(CONCATENATE(""https://loinc.org/"",BH875,""/""),""//span[@id='lcn']""))"),"")</f>
        <v/>
      </c>
      <c r="CH875" s="46"/>
      <c r="CI875" s="46"/>
      <c r="CJ875" s="46"/>
      <c r="CK875" s="46"/>
      <c r="CL875" s="46"/>
      <c r="CM875" s="46"/>
      <c r="CN875" s="46"/>
      <c r="CO875" s="46"/>
      <c r="CP875" s="46"/>
      <c r="CQ875" s="46"/>
      <c r="CR875" s="46"/>
      <c r="CS875" s="46"/>
      <c r="CT875" s="46"/>
      <c r="CU875" s="46"/>
    </row>
    <row r="876" spans="1:99" ht="12.75" customHeight="1">
      <c r="A876" s="409">
        <v>2290</v>
      </c>
      <c r="B876" s="399" t="s">
        <v>9586</v>
      </c>
      <c r="C876" s="399">
        <f t="shared" si="117"/>
        <v>2290</v>
      </c>
      <c r="D876" s="399" t="str">
        <f t="shared" si="118"/>
        <v>Contact with partner by the facility staff</v>
      </c>
      <c r="E876" s="399" t="str">
        <f t="shared" si="119"/>
        <v>Contact with partner by the facility staff</v>
      </c>
      <c r="F876" s="399" t="str">
        <f t="shared" si="135"/>
        <v>Data Element</v>
      </c>
      <c r="G876" s="400">
        <f t="shared" si="129"/>
        <v>42</v>
      </c>
      <c r="H876" s="400" t="str">
        <f t="shared" si="133"/>
        <v/>
      </c>
      <c r="I876" s="400"/>
      <c r="J876" s="400"/>
      <c r="K876" s="402" t="s">
        <v>9564</v>
      </c>
      <c r="L876" s="402" t="s">
        <v>7251</v>
      </c>
      <c r="M876" s="400"/>
      <c r="N876" s="771" t="s">
        <v>9580</v>
      </c>
      <c r="O876" s="403" t="s">
        <v>9587</v>
      </c>
      <c r="P876" s="403"/>
      <c r="Q876" s="403" t="s">
        <v>9586</v>
      </c>
      <c r="R876" s="403"/>
      <c r="S876" s="403" t="s">
        <v>9588</v>
      </c>
      <c r="T876" s="405" t="s">
        <v>3169</v>
      </c>
      <c r="U876" s="403"/>
      <c r="V876" s="404" t="s">
        <v>3170</v>
      </c>
      <c r="W876" s="403"/>
      <c r="X876" s="403"/>
      <c r="Y876" s="403"/>
      <c r="Z876" s="403"/>
      <c r="AA876" s="403"/>
      <c r="AB876" s="406"/>
      <c r="AC876" s="403"/>
      <c r="AD876" s="403"/>
      <c r="AE876" s="406"/>
      <c r="AF876" s="403"/>
      <c r="AG876" s="403"/>
      <c r="AH876" s="399"/>
      <c r="AI876" s="400"/>
      <c r="AJ876" s="399" t="s">
        <v>1787</v>
      </c>
      <c r="AK876" s="409" t="s">
        <v>6713</v>
      </c>
      <c r="AL876" s="409"/>
      <c r="AM876" s="409" t="s">
        <v>3100</v>
      </c>
      <c r="AN876" s="409" t="s">
        <v>3101</v>
      </c>
      <c r="AO876" s="399"/>
      <c r="AP876" s="409" t="s">
        <v>6704</v>
      </c>
      <c r="AQ876" s="409" t="s">
        <v>3424</v>
      </c>
      <c r="AR876" s="399"/>
      <c r="AS876" s="399"/>
      <c r="AT876" s="399"/>
      <c r="AU876" s="399" t="s">
        <v>6960</v>
      </c>
      <c r="AV876" s="399" t="str">
        <f t="shared" si="123"/>
        <v>Changed</v>
      </c>
      <c r="AW876" s="399"/>
      <c r="AX876" s="409" t="s">
        <v>5194</v>
      </c>
      <c r="AY876" s="399" t="str">
        <f t="shared" si="124"/>
        <v/>
      </c>
      <c r="AZ876" s="399"/>
      <c r="BA876" s="409" t="s">
        <v>3125</v>
      </c>
      <c r="BB876" s="399"/>
      <c r="BC876" s="409"/>
      <c r="BD876" s="409"/>
      <c r="BE876" s="411"/>
      <c r="BF876" s="411" t="s">
        <v>1787</v>
      </c>
      <c r="BG876" s="411"/>
      <c r="BH876" s="411"/>
      <c r="BI876" s="411"/>
      <c r="BJ876" s="409" t="s">
        <v>3106</v>
      </c>
      <c r="BK876" s="399" t="s">
        <v>1787</v>
      </c>
      <c r="BL876" s="399"/>
      <c r="BM876" s="409" t="s">
        <v>9589</v>
      </c>
      <c r="BN876" s="399" t="s">
        <v>1787</v>
      </c>
      <c r="BO876" s="399" t="s">
        <v>1787</v>
      </c>
      <c r="BP876" s="399" t="s">
        <v>1787</v>
      </c>
      <c r="BQ876" s="399" t="s">
        <v>1787</v>
      </c>
      <c r="BR876" s="399" t="s">
        <v>1787</v>
      </c>
      <c r="BS876" s="407"/>
      <c r="BT876" s="407"/>
      <c r="BU876" s="412"/>
      <c r="BV876" s="46" t="str">
        <f t="shared" si="8"/>
        <v>Communication</v>
      </c>
      <c r="BW876" s="46" t="str">
        <f t="shared" si="9"/>
        <v/>
      </c>
      <c r="BX876" s="46" t="str">
        <f t="shared" si="10"/>
        <v>Communication</v>
      </c>
      <c r="BY876" s="43" t="str">
        <f t="shared" si="11"/>
        <v>WHO-STI Communication (Partner)</v>
      </c>
      <c r="BZ876" s="46">
        <f t="shared" si="12"/>
        <v>1</v>
      </c>
      <c r="CA876" s="46">
        <f t="shared" si="13"/>
        <v>0</v>
      </c>
      <c r="CB876" s="46">
        <f t="shared" si="14"/>
        <v>1</v>
      </c>
      <c r="CC876" s="46">
        <f t="shared" si="15"/>
        <v>1</v>
      </c>
      <c r="CD876" s="46">
        <f t="shared" si="16"/>
        <v>1</v>
      </c>
      <c r="CE876" s="46">
        <f t="shared" si="17"/>
        <v>0</v>
      </c>
      <c r="CF876" s="46">
        <f t="shared" si="18"/>
        <v>0</v>
      </c>
      <c r="CG876" s="46" t="str">
        <f ca="1">IFERROR(__xludf.DUMMYFUNCTION("if(OR(BH876="""",LEFT(BH876,2)=""LA""),"""",IMPORTXML(CONCATENATE(""https://loinc.org/"",BH876,""/""),""//span[@id='lcn']""))"),"")</f>
        <v/>
      </c>
      <c r="CH876" s="46"/>
      <c r="CI876" s="46"/>
      <c r="CJ876" s="46"/>
      <c r="CK876" s="46"/>
      <c r="CL876" s="46"/>
      <c r="CM876" s="46"/>
      <c r="CN876" s="46"/>
      <c r="CO876" s="46"/>
      <c r="CP876" s="46"/>
      <c r="CQ876" s="46"/>
      <c r="CR876" s="46"/>
      <c r="CS876" s="46"/>
      <c r="CT876" s="46"/>
      <c r="CU876" s="46"/>
    </row>
    <row r="877" spans="1:99" ht="12.75" customHeight="1">
      <c r="A877" s="409">
        <v>2291</v>
      </c>
      <c r="B877" s="399" t="s">
        <v>7033</v>
      </c>
      <c r="C877" s="399">
        <f t="shared" si="117"/>
        <v>2291</v>
      </c>
      <c r="D877" s="399" t="str">
        <f t="shared" si="118"/>
        <v>Reason contact not made</v>
      </c>
      <c r="E877" s="399" t="str">
        <f t="shared" si="119"/>
        <v>Reason contact not made</v>
      </c>
      <c r="F877" s="399" t="str">
        <f t="shared" si="135"/>
        <v>Data Element</v>
      </c>
      <c r="G877" s="400">
        <f t="shared" si="129"/>
        <v>23</v>
      </c>
      <c r="H877" s="400" t="str">
        <f t="shared" si="133"/>
        <v/>
      </c>
      <c r="I877" s="400"/>
      <c r="J877" s="400"/>
      <c r="K877" s="402" t="s">
        <v>9564</v>
      </c>
      <c r="L877" s="402" t="s">
        <v>7251</v>
      </c>
      <c r="M877" s="400"/>
      <c r="N877" s="771" t="s">
        <v>9580</v>
      </c>
      <c r="O877" s="403" t="s">
        <v>9590</v>
      </c>
      <c r="P877" s="403"/>
      <c r="Q877" s="404" t="s">
        <v>7033</v>
      </c>
      <c r="R877" s="403"/>
      <c r="S877" s="403" t="s">
        <v>9591</v>
      </c>
      <c r="T877" s="403" t="s">
        <v>3121</v>
      </c>
      <c r="U877" s="403"/>
      <c r="V877" s="404"/>
      <c r="W877" s="403"/>
      <c r="X877" s="403"/>
      <c r="Y877" s="403"/>
      <c r="Z877" s="403"/>
      <c r="AA877" s="403"/>
      <c r="AB877" s="406"/>
      <c r="AC877" s="403"/>
      <c r="AD877" s="403"/>
      <c r="AE877" s="406"/>
      <c r="AF877" s="403"/>
      <c r="AG877" s="403"/>
      <c r="AH877" s="399"/>
      <c r="AI877" s="400"/>
      <c r="AJ877" s="399" t="s">
        <v>1787</v>
      </c>
      <c r="AK877" s="409" t="s">
        <v>6714</v>
      </c>
      <c r="AL877" s="409"/>
      <c r="AM877" s="409" t="s">
        <v>3100</v>
      </c>
      <c r="AN877" s="409" t="s">
        <v>3101</v>
      </c>
      <c r="AO877" s="399" t="s">
        <v>1787</v>
      </c>
      <c r="AP877" s="409" t="s">
        <v>6704</v>
      </c>
      <c r="AQ877" s="409" t="s">
        <v>3424</v>
      </c>
      <c r="AR877" s="630" t="s">
        <v>9592</v>
      </c>
      <c r="AS877" s="399"/>
      <c r="AT877" s="399"/>
      <c r="AU877" s="399"/>
      <c r="AV877" s="399" t="str">
        <f t="shared" si="123"/>
        <v/>
      </c>
      <c r="AW877" s="399"/>
      <c r="AX877" s="409" t="s">
        <v>5194</v>
      </c>
      <c r="AY877" s="399" t="str">
        <f t="shared" si="124"/>
        <v/>
      </c>
      <c r="AZ877" s="399"/>
      <c r="BA877" s="409" t="s">
        <v>3125</v>
      </c>
      <c r="BB877" s="399"/>
      <c r="BC877" s="399" t="s">
        <v>1787</v>
      </c>
      <c r="BD877" s="399" t="s">
        <v>1787</v>
      </c>
      <c r="BE877" s="411"/>
      <c r="BF877" s="411" t="s">
        <v>1787</v>
      </c>
      <c r="BG877" s="411"/>
      <c r="BH877" s="411"/>
      <c r="BI877" s="411"/>
      <c r="BJ877" s="409" t="s">
        <v>3106</v>
      </c>
      <c r="BK877" s="399" t="s">
        <v>1787</v>
      </c>
      <c r="BL877" s="399"/>
      <c r="BM877" s="399" t="s">
        <v>1787</v>
      </c>
      <c r="BN877" s="627" t="s">
        <v>9593</v>
      </c>
      <c r="BO877" s="399" t="s">
        <v>1787</v>
      </c>
      <c r="BP877" s="399" t="s">
        <v>1787</v>
      </c>
      <c r="BQ877" s="399" t="s">
        <v>1787</v>
      </c>
      <c r="BR877" s="399" t="s">
        <v>1787</v>
      </c>
      <c r="BS877" s="407"/>
      <c r="BT877" s="407"/>
      <c r="BU877" s="412"/>
      <c r="BV877" s="46" t="str">
        <f t="shared" si="8"/>
        <v>Communication</v>
      </c>
      <c r="BW877" s="46" t="str">
        <f t="shared" si="9"/>
        <v/>
      </c>
      <c r="BX877" s="46" t="str">
        <f t="shared" si="10"/>
        <v>Communication</v>
      </c>
      <c r="BY877" s="43" t="str">
        <f t="shared" si="11"/>
        <v>WHO-STI Communication (Partner)</v>
      </c>
      <c r="BZ877" s="46">
        <f t="shared" si="12"/>
        <v>1</v>
      </c>
      <c r="CA877" s="46">
        <f t="shared" si="13"/>
        <v>1</v>
      </c>
      <c r="CB877" s="46">
        <f t="shared" si="14"/>
        <v>1</v>
      </c>
      <c r="CC877" s="46">
        <f t="shared" si="15"/>
        <v>1</v>
      </c>
      <c r="CD877" s="46">
        <f t="shared" si="16"/>
        <v>1</v>
      </c>
      <c r="CE877" s="46">
        <f t="shared" si="17"/>
        <v>0</v>
      </c>
      <c r="CF877" s="46">
        <f t="shared" si="18"/>
        <v>0</v>
      </c>
      <c r="CG877" s="46" t="str">
        <f ca="1">IFERROR(__xludf.DUMMYFUNCTION("if(OR(BH877="""",LEFT(BH877,2)=""LA""),"""",IMPORTXML(CONCATENATE(""https://loinc.org/"",BH877,""/""),""//span[@id='lcn']""))"),"")</f>
        <v/>
      </c>
      <c r="CH877" s="46"/>
      <c r="CI877" s="46"/>
      <c r="CJ877" s="46"/>
      <c r="CK877" s="46"/>
      <c r="CL877" s="46"/>
      <c r="CM877" s="46"/>
      <c r="CN877" s="46"/>
      <c r="CO877" s="46"/>
      <c r="CP877" s="46"/>
      <c r="CQ877" s="46"/>
      <c r="CR877" s="46"/>
      <c r="CS877" s="46"/>
      <c r="CT877" s="46"/>
      <c r="CU877" s="46"/>
    </row>
    <row r="878" spans="1:99" ht="12.75" customHeight="1">
      <c r="A878" s="409">
        <v>2292</v>
      </c>
      <c r="B878" s="399" t="s">
        <v>9594</v>
      </c>
      <c r="C878" s="399">
        <f t="shared" si="117"/>
        <v>2292</v>
      </c>
      <c r="D878" s="399" t="str">
        <f t="shared" si="118"/>
        <v>Contact notes</v>
      </c>
      <c r="E878" s="399" t="str">
        <f t="shared" si="119"/>
        <v>Contact notes</v>
      </c>
      <c r="F878" s="399" t="str">
        <f t="shared" si="135"/>
        <v>Data Element</v>
      </c>
      <c r="G878" s="400">
        <f t="shared" si="129"/>
        <v>13</v>
      </c>
      <c r="H878" s="400" t="str">
        <f t="shared" si="133"/>
        <v/>
      </c>
      <c r="I878" s="400"/>
      <c r="J878" s="400"/>
      <c r="K878" s="402" t="s">
        <v>9564</v>
      </c>
      <c r="L878" s="402" t="s">
        <v>7251</v>
      </c>
      <c r="M878" s="400"/>
      <c r="N878" s="771" t="s">
        <v>9580</v>
      </c>
      <c r="O878" s="403" t="s">
        <v>9595</v>
      </c>
      <c r="P878" s="403"/>
      <c r="Q878" s="404" t="s">
        <v>9594</v>
      </c>
      <c r="R878" s="403"/>
      <c r="S878" s="403" t="s">
        <v>9596</v>
      </c>
      <c r="T878" s="403"/>
      <c r="U878" s="403"/>
      <c r="V878" s="404"/>
      <c r="W878" s="403"/>
      <c r="X878" s="403"/>
      <c r="Y878" s="403"/>
      <c r="Z878" s="403"/>
      <c r="AA878" s="403" t="s">
        <v>1889</v>
      </c>
      <c r="AB878" s="406"/>
      <c r="AC878" s="403"/>
      <c r="AD878" s="403"/>
      <c r="AE878" s="406"/>
      <c r="AF878" s="403"/>
      <c r="AG878" s="403"/>
      <c r="AH878" s="399"/>
      <c r="AI878" s="400"/>
      <c r="AJ878" s="399" t="s">
        <v>1787</v>
      </c>
      <c r="AK878" s="409" t="s">
        <v>6707</v>
      </c>
      <c r="AL878" s="409"/>
      <c r="AM878" s="409" t="s">
        <v>3100</v>
      </c>
      <c r="AN878" s="409" t="s">
        <v>3101</v>
      </c>
      <c r="AO878" s="399" t="s">
        <v>1787</v>
      </c>
      <c r="AP878" s="409" t="s">
        <v>6704</v>
      </c>
      <c r="AQ878" s="409" t="s">
        <v>3424</v>
      </c>
      <c r="AR878" s="399"/>
      <c r="AS878" s="399"/>
      <c r="AT878" s="399"/>
      <c r="AU878" s="399"/>
      <c r="AV878" s="399" t="str">
        <f t="shared" si="123"/>
        <v/>
      </c>
      <c r="AW878" s="399"/>
      <c r="AX878" s="409" t="s">
        <v>5194</v>
      </c>
      <c r="AY878" s="399" t="str">
        <f t="shared" si="124"/>
        <v/>
      </c>
      <c r="AZ878" s="399"/>
      <c r="BA878" s="409" t="s">
        <v>3125</v>
      </c>
      <c r="BB878" s="399"/>
      <c r="BC878" s="399" t="s">
        <v>1787</v>
      </c>
      <c r="BD878" s="399" t="s">
        <v>1787</v>
      </c>
      <c r="BE878" s="411"/>
      <c r="BF878" s="411" t="s">
        <v>1787</v>
      </c>
      <c r="BG878" s="411"/>
      <c r="BH878" s="411"/>
      <c r="BI878" s="411"/>
      <c r="BJ878" s="409" t="s">
        <v>3106</v>
      </c>
      <c r="BK878" s="399" t="s">
        <v>1787</v>
      </c>
      <c r="BL878" s="399"/>
      <c r="BM878" s="399" t="s">
        <v>1787</v>
      </c>
      <c r="BN878" s="399" t="s">
        <v>1787</v>
      </c>
      <c r="BO878" s="399" t="s">
        <v>1787</v>
      </c>
      <c r="BP878" s="399" t="s">
        <v>1787</v>
      </c>
      <c r="BQ878" s="399" t="s">
        <v>1787</v>
      </c>
      <c r="BR878" s="399" t="s">
        <v>1787</v>
      </c>
      <c r="BS878" s="407"/>
      <c r="BT878" s="407"/>
      <c r="BU878" s="412"/>
      <c r="BV878" s="46" t="str">
        <f t="shared" si="8"/>
        <v>Communication</v>
      </c>
      <c r="BW878" s="46" t="str">
        <f t="shared" si="9"/>
        <v/>
      </c>
      <c r="BX878" s="46" t="str">
        <f t="shared" si="10"/>
        <v>Communication</v>
      </c>
      <c r="BY878" s="43" t="str">
        <f t="shared" si="11"/>
        <v>WHO-STI Communication (Partner)</v>
      </c>
      <c r="BZ878" s="46">
        <f t="shared" si="12"/>
        <v>1</v>
      </c>
      <c r="CA878" s="46">
        <f t="shared" si="13"/>
        <v>0</v>
      </c>
      <c r="CB878" s="46">
        <f t="shared" si="14"/>
        <v>1</v>
      </c>
      <c r="CC878" s="46">
        <f t="shared" si="15"/>
        <v>1</v>
      </c>
      <c r="CD878" s="46">
        <f t="shared" si="16"/>
        <v>1</v>
      </c>
      <c r="CE878" s="46">
        <f t="shared" si="17"/>
        <v>0</v>
      </c>
      <c r="CF878" s="46">
        <f t="shared" si="18"/>
        <v>0</v>
      </c>
      <c r="CG878" s="46" t="str">
        <f ca="1">IFERROR(__xludf.DUMMYFUNCTION("if(OR(BH878="""",LEFT(BH878,2)=""LA""),"""",IMPORTXML(CONCATENATE(""https://loinc.org/"",BH878,""/""),""//span[@id='lcn']""))"),"")</f>
        <v/>
      </c>
      <c r="CH878" s="46"/>
      <c r="CI878" s="46"/>
      <c r="CJ878" s="46"/>
      <c r="CK878" s="46"/>
      <c r="CL878" s="46"/>
      <c r="CM878" s="46"/>
      <c r="CN878" s="46"/>
      <c r="CO878" s="46"/>
      <c r="CP878" s="46"/>
      <c r="CQ878" s="46"/>
      <c r="CR878" s="46"/>
      <c r="CS878" s="46"/>
      <c r="CT878" s="46"/>
      <c r="CU878" s="46"/>
    </row>
    <row r="879" spans="1:99" ht="12.75" customHeight="1">
      <c r="A879" s="399">
        <v>1802</v>
      </c>
      <c r="B879" s="399" t="s">
        <v>6954</v>
      </c>
      <c r="C879" s="399">
        <f t="shared" si="117"/>
        <v>1802</v>
      </c>
      <c r="D879" s="399" t="str">
        <f t="shared" si="118"/>
        <v>Contact client</v>
      </c>
      <c r="E879" s="399" t="str">
        <f t="shared" si="119"/>
        <v>Contact client</v>
      </c>
      <c r="F879" s="409" t="s">
        <v>3164</v>
      </c>
      <c r="G879" s="400">
        <f t="shared" si="129"/>
        <v>14</v>
      </c>
      <c r="H879" s="400" t="str">
        <f t="shared" si="133"/>
        <v/>
      </c>
      <c r="I879" s="400"/>
      <c r="J879" s="400"/>
      <c r="K879" s="402" t="s">
        <v>6955</v>
      </c>
      <c r="L879" s="402" t="s">
        <v>6096</v>
      </c>
      <c r="M879" s="400"/>
      <c r="N879" s="772" t="s">
        <v>6956</v>
      </c>
      <c r="O879" s="407"/>
      <c r="P879" s="407"/>
      <c r="Q879" s="407" t="s">
        <v>6954</v>
      </c>
      <c r="R879" s="407"/>
      <c r="S879" s="407"/>
      <c r="T879" s="407" t="s">
        <v>3169</v>
      </c>
      <c r="U879" s="407"/>
      <c r="V879" s="407" t="s">
        <v>3170</v>
      </c>
      <c r="W879" s="407"/>
      <c r="X879" s="407"/>
      <c r="Y879" s="407"/>
      <c r="Z879" s="407"/>
      <c r="AA879" s="407"/>
      <c r="AB879" s="408"/>
      <c r="AC879" s="407"/>
      <c r="AD879" s="407"/>
      <c r="AE879" s="408"/>
      <c r="AF879" s="407"/>
      <c r="AG879" s="407"/>
      <c r="AH879" s="399"/>
      <c r="AI879" s="400"/>
      <c r="AJ879" s="399"/>
      <c r="AK879" s="399"/>
      <c r="AL879" s="399"/>
      <c r="AM879" s="399"/>
      <c r="AN879" s="399"/>
      <c r="AO879" s="399"/>
      <c r="AP879" s="399"/>
      <c r="AQ879" s="409" t="s">
        <v>115</v>
      </c>
      <c r="AR879" s="399"/>
      <c r="AS879" s="399"/>
      <c r="AT879" s="399"/>
      <c r="AU879" s="399" t="s">
        <v>6954</v>
      </c>
      <c r="AV879" s="399" t="str">
        <f t="shared" si="123"/>
        <v>Same</v>
      </c>
      <c r="AW879" s="399"/>
      <c r="AX879" s="409" t="s">
        <v>3104</v>
      </c>
      <c r="AY879" s="399" t="str">
        <f t="shared" si="124"/>
        <v/>
      </c>
      <c r="AZ879" s="409" t="s">
        <v>3105</v>
      </c>
      <c r="BA879" s="409">
        <v>0</v>
      </c>
      <c r="BB879" s="399"/>
      <c r="BC879" s="399"/>
      <c r="BD879" s="399"/>
      <c r="BE879" s="411"/>
      <c r="BF879" s="411"/>
      <c r="BG879" s="411"/>
      <c r="BH879" s="411"/>
      <c r="BI879" s="411"/>
      <c r="BJ879" s="409" t="s">
        <v>3106</v>
      </c>
      <c r="BK879" s="399"/>
      <c r="BL879" s="399"/>
      <c r="BM879" s="399"/>
      <c r="BN879" s="399"/>
      <c r="BO879" s="399"/>
      <c r="BP879" s="399"/>
      <c r="BQ879" s="399"/>
      <c r="BR879" s="399"/>
      <c r="BS879" s="407"/>
      <c r="BT879" s="407"/>
      <c r="BU879" s="412"/>
      <c r="BV879" s="46" t="str">
        <f t="shared" si="8"/>
        <v/>
      </c>
      <c r="BW879" s="46" t="str">
        <f t="shared" si="9"/>
        <v/>
      </c>
      <c r="BX879" s="46" t="str">
        <f t="shared" si="10"/>
        <v/>
      </c>
      <c r="BY879" s="43" t="str">
        <f t="shared" si="11"/>
        <v/>
      </c>
      <c r="BZ879" s="46">
        <f t="shared" si="12"/>
        <v>1</v>
      </c>
      <c r="CA879" s="46" t="str">
        <f t="shared" si="13"/>
        <v/>
      </c>
      <c r="CB879" s="46">
        <f t="shared" si="14"/>
        <v>1</v>
      </c>
      <c r="CC879" s="46">
        <f t="shared" si="15"/>
        <v>1</v>
      </c>
      <c r="CD879" s="46">
        <f t="shared" si="16"/>
        <v>1</v>
      </c>
      <c r="CE879" s="46">
        <f t="shared" si="17"/>
        <v>0</v>
      </c>
      <c r="CF879" s="46">
        <f t="shared" si="18"/>
        <v>0</v>
      </c>
      <c r="CG879" s="46" t="str">
        <f ca="1">IFERROR(__xludf.DUMMYFUNCTION("if(OR(BH879="""",LEFT(BH879,2)=""LA""),"""",IMPORTXML(CONCATENATE(""https://loinc.org/"",BH879,""/""),""//span[@id='lcn']""))"),"")</f>
        <v/>
      </c>
      <c r="CH879" s="46"/>
      <c r="CI879" s="46"/>
      <c r="CJ879" s="46"/>
      <c r="CK879" s="46"/>
      <c r="CL879" s="46"/>
      <c r="CM879" s="46"/>
      <c r="CN879" s="46"/>
      <c r="CO879" s="46"/>
      <c r="CP879" s="46"/>
      <c r="CQ879" s="46"/>
      <c r="CR879" s="46"/>
      <c r="CS879" s="46"/>
      <c r="CT879" s="46"/>
      <c r="CU879" s="46"/>
    </row>
    <row r="880" spans="1:99" ht="12.75" customHeight="1">
      <c r="A880" s="399">
        <v>1803</v>
      </c>
      <c r="B880" s="399" t="s">
        <v>6957</v>
      </c>
      <c r="C880" s="399">
        <f t="shared" si="117"/>
        <v>1803</v>
      </c>
      <c r="D880" s="399" t="str">
        <f t="shared" si="118"/>
        <v>Communication made</v>
      </c>
      <c r="E880" s="399" t="str">
        <f t="shared" si="119"/>
        <v>Communication made</v>
      </c>
      <c r="F880" s="399" t="str">
        <f t="shared" ref="F880:F883" si="136">IF(AND(ISBLANK(V880)=FALSE,OR(T880="MC",T880="")),"Input Option","Data Element")</f>
        <v>Data Element</v>
      </c>
      <c r="G880" s="400">
        <f t="shared" si="129"/>
        <v>18</v>
      </c>
      <c r="H880" s="400" t="str">
        <f t="shared" si="133"/>
        <v/>
      </c>
      <c r="I880" s="400"/>
      <c r="J880" s="400"/>
      <c r="K880" s="402" t="s">
        <v>6955</v>
      </c>
      <c r="L880" s="402" t="s">
        <v>6096</v>
      </c>
      <c r="M880" s="400"/>
      <c r="N880" s="773" t="s">
        <v>6958</v>
      </c>
      <c r="O880" s="407"/>
      <c r="P880" s="407"/>
      <c r="Q880" s="407" t="s">
        <v>6957</v>
      </c>
      <c r="R880" s="407" t="s">
        <v>6960</v>
      </c>
      <c r="S880" s="407"/>
      <c r="T880" s="407" t="s">
        <v>3169</v>
      </c>
      <c r="U880" s="407"/>
      <c r="V880" s="407" t="s">
        <v>3170</v>
      </c>
      <c r="W880" s="407"/>
      <c r="X880" s="407"/>
      <c r="Y880" s="407"/>
      <c r="Z880" s="407"/>
      <c r="AA880" s="407"/>
      <c r="AB880" s="408"/>
      <c r="AC880" s="407"/>
      <c r="AD880" s="407"/>
      <c r="AE880" s="408"/>
      <c r="AF880" s="407"/>
      <c r="AG880" s="407"/>
      <c r="AH880" s="399"/>
      <c r="AI880" s="400"/>
      <c r="AJ880" s="399"/>
      <c r="AK880" s="409" t="s">
        <v>6713</v>
      </c>
      <c r="AL880" s="409"/>
      <c r="AM880" s="409" t="s">
        <v>3100</v>
      </c>
      <c r="AN880" s="409" t="s">
        <v>3101</v>
      </c>
      <c r="AO880" s="399"/>
      <c r="AP880" s="399"/>
      <c r="AQ880" s="409" t="s">
        <v>115</v>
      </c>
      <c r="AR880" s="399"/>
      <c r="AS880" s="399"/>
      <c r="AT880" s="399"/>
      <c r="AU880" s="399" t="s">
        <v>6957</v>
      </c>
      <c r="AV880" s="399" t="str">
        <f t="shared" si="123"/>
        <v>Same</v>
      </c>
      <c r="AW880" s="399"/>
      <c r="AX880" s="409" t="s">
        <v>3104</v>
      </c>
      <c r="AY880" s="399" t="str">
        <f t="shared" si="124"/>
        <v/>
      </c>
      <c r="AZ880" s="409" t="s">
        <v>3105</v>
      </c>
      <c r="BA880" s="409">
        <v>0</v>
      </c>
      <c r="BB880" s="399"/>
      <c r="BC880" s="399"/>
      <c r="BD880" s="399"/>
      <c r="BE880" s="411"/>
      <c r="BF880" s="411"/>
      <c r="BG880" s="411"/>
      <c r="BH880" s="411"/>
      <c r="BI880" s="411"/>
      <c r="BJ880" s="409" t="s">
        <v>3106</v>
      </c>
      <c r="BK880" s="399"/>
      <c r="BL880" s="399"/>
      <c r="BM880" s="399"/>
      <c r="BN880" s="399"/>
      <c r="BO880" s="399"/>
      <c r="BP880" s="399"/>
      <c r="BQ880" s="399"/>
      <c r="BR880" s="399"/>
      <c r="BS880" s="407"/>
      <c r="BT880" s="407"/>
      <c r="BU880" s="412"/>
      <c r="BV880" s="46" t="str">
        <f t="shared" si="8"/>
        <v/>
      </c>
      <c r="BW880" s="46" t="str">
        <f t="shared" si="9"/>
        <v/>
      </c>
      <c r="BX880" s="46" t="str">
        <f t="shared" si="10"/>
        <v/>
      </c>
      <c r="BY880" s="43">
        <f t="shared" si="11"/>
        <v>0</v>
      </c>
      <c r="BZ880" s="46">
        <f t="shared" si="12"/>
        <v>1</v>
      </c>
      <c r="CA880" s="46">
        <f t="shared" si="13"/>
        <v>0</v>
      </c>
      <c r="CB880" s="46">
        <f t="shared" si="14"/>
        <v>1</v>
      </c>
      <c r="CC880" s="46">
        <f t="shared" si="15"/>
        <v>1</v>
      </c>
      <c r="CD880" s="46">
        <f t="shared" si="16"/>
        <v>1</v>
      </c>
      <c r="CE880" s="46">
        <f t="shared" si="17"/>
        <v>0</v>
      </c>
      <c r="CF880" s="46">
        <f t="shared" si="18"/>
        <v>0</v>
      </c>
      <c r="CG880" s="46" t="str">
        <f ca="1">IFERROR(__xludf.DUMMYFUNCTION("if(OR(BH880="""",LEFT(BH880,2)=""LA""),"""",IMPORTXML(CONCATENATE(""https://loinc.org/"",BH880,""/""),""//span[@id='lcn']""))"),"")</f>
        <v/>
      </c>
      <c r="CH880" s="46"/>
      <c r="CI880" s="46"/>
      <c r="CJ880" s="46"/>
      <c r="CK880" s="46"/>
      <c r="CL880" s="46"/>
      <c r="CM880" s="46"/>
      <c r="CN880" s="46"/>
      <c r="CO880" s="46"/>
      <c r="CP880" s="46"/>
      <c r="CQ880" s="46"/>
      <c r="CR880" s="46"/>
      <c r="CS880" s="46"/>
      <c r="CT880" s="46"/>
      <c r="CU880" s="46"/>
    </row>
    <row r="881" spans="1:99" ht="12.75" customHeight="1">
      <c r="A881" s="399">
        <v>1804</v>
      </c>
      <c r="B881" s="399" t="s">
        <v>6971</v>
      </c>
      <c r="C881" s="399">
        <f t="shared" si="117"/>
        <v>1804</v>
      </c>
      <c r="D881" s="399" t="str">
        <f t="shared" si="118"/>
        <v>Communication method</v>
      </c>
      <c r="E881" s="399" t="str">
        <f t="shared" si="119"/>
        <v>Communication method</v>
      </c>
      <c r="F881" s="399" t="str">
        <f t="shared" si="136"/>
        <v>Data Element</v>
      </c>
      <c r="G881" s="400">
        <f t="shared" si="129"/>
        <v>20</v>
      </c>
      <c r="H881" s="400" t="str">
        <f t="shared" si="133"/>
        <v/>
      </c>
      <c r="I881" s="400"/>
      <c r="J881" s="400"/>
      <c r="K881" s="402" t="s">
        <v>6955</v>
      </c>
      <c r="L881" s="402" t="s">
        <v>6096</v>
      </c>
      <c r="M881" s="400"/>
      <c r="N881" s="773" t="s">
        <v>6958</v>
      </c>
      <c r="O881" s="407"/>
      <c r="P881" s="407"/>
      <c r="Q881" s="407" t="s">
        <v>6971</v>
      </c>
      <c r="R881" s="407" t="s">
        <v>6977</v>
      </c>
      <c r="S881" s="407"/>
      <c r="T881" s="407"/>
      <c r="U881" s="407"/>
      <c r="V881" s="407"/>
      <c r="W881" s="407"/>
      <c r="X881" s="407"/>
      <c r="Y881" s="407"/>
      <c r="Z881" s="407"/>
      <c r="AA881" s="407"/>
      <c r="AB881" s="408"/>
      <c r="AC881" s="407"/>
      <c r="AD881" s="407"/>
      <c r="AE881" s="408"/>
      <c r="AF881" s="407"/>
      <c r="AG881" s="407"/>
      <c r="AH881" s="399"/>
      <c r="AI881" s="400"/>
      <c r="AJ881" s="399"/>
      <c r="AK881" s="409" t="s">
        <v>6705</v>
      </c>
      <c r="AL881" s="409"/>
      <c r="AM881" s="409" t="s">
        <v>3100</v>
      </c>
      <c r="AN881" s="409" t="s">
        <v>3101</v>
      </c>
      <c r="AO881" s="399"/>
      <c r="AP881" s="399"/>
      <c r="AQ881" s="409" t="s">
        <v>115</v>
      </c>
      <c r="AR881" s="415" t="s">
        <v>9597</v>
      </c>
      <c r="AS881" s="409"/>
      <c r="AT881" s="399"/>
      <c r="AU881" s="399" t="s">
        <v>6971</v>
      </c>
      <c r="AV881" s="399" t="str">
        <f t="shared" si="123"/>
        <v>Same</v>
      </c>
      <c r="AW881" s="399"/>
      <c r="AX881" s="409" t="s">
        <v>3104</v>
      </c>
      <c r="AY881" s="399" t="str">
        <f t="shared" si="124"/>
        <v/>
      </c>
      <c r="AZ881" s="409" t="s">
        <v>3105</v>
      </c>
      <c r="BA881" s="409">
        <v>0</v>
      </c>
      <c r="BB881" s="399"/>
      <c r="BC881" s="399"/>
      <c r="BD881" s="399"/>
      <c r="BE881" s="411"/>
      <c r="BF881" s="411"/>
      <c r="BG881" s="411"/>
      <c r="BH881" s="411"/>
      <c r="BI881" s="411"/>
      <c r="BJ881" s="409" t="s">
        <v>3106</v>
      </c>
      <c r="BK881" s="399"/>
      <c r="BL881" s="399"/>
      <c r="BM881" s="399"/>
      <c r="BN881" s="399"/>
      <c r="BO881" s="399"/>
      <c r="BP881" s="399"/>
      <c r="BQ881" s="399"/>
      <c r="BR881" s="399"/>
      <c r="BS881" s="407"/>
      <c r="BT881" s="407"/>
      <c r="BU881" s="412"/>
      <c r="BV881" s="46" t="str">
        <f t="shared" si="8"/>
        <v/>
      </c>
      <c r="BW881" s="46" t="str">
        <f t="shared" si="9"/>
        <v/>
      </c>
      <c r="BX881" s="46" t="str">
        <f t="shared" si="10"/>
        <v/>
      </c>
      <c r="BY881" s="43">
        <f t="shared" si="11"/>
        <v>0</v>
      </c>
      <c r="BZ881" s="46">
        <f t="shared" si="12"/>
        <v>1</v>
      </c>
      <c r="CA881" s="46">
        <f t="shared" si="13"/>
        <v>1</v>
      </c>
      <c r="CB881" s="46">
        <f t="shared" si="14"/>
        <v>1</v>
      </c>
      <c r="CC881" s="46">
        <f t="shared" si="15"/>
        <v>1</v>
      </c>
      <c r="CD881" s="46">
        <f t="shared" si="16"/>
        <v>1</v>
      </c>
      <c r="CE881" s="46">
        <f t="shared" si="17"/>
        <v>0</v>
      </c>
      <c r="CF881" s="46">
        <f t="shared" si="18"/>
        <v>0</v>
      </c>
      <c r="CG881" s="46" t="str">
        <f ca="1">IFERROR(__xludf.DUMMYFUNCTION("if(OR(BH881="""",LEFT(BH881,2)=""LA""),"""",IMPORTXML(CONCATENATE(""https://loinc.org/"",BH881,""/""),""//span[@id='lcn']""))"),"")</f>
        <v/>
      </c>
      <c r="CH881" s="46"/>
      <c r="CI881" s="46"/>
      <c r="CJ881" s="46"/>
      <c r="CK881" s="46"/>
      <c r="CL881" s="46"/>
      <c r="CM881" s="46"/>
      <c r="CN881" s="46"/>
      <c r="CO881" s="46"/>
      <c r="CP881" s="46"/>
      <c r="CQ881" s="46"/>
      <c r="CR881" s="46"/>
      <c r="CS881" s="46"/>
      <c r="CT881" s="46"/>
      <c r="CU881" s="46"/>
    </row>
    <row r="882" spans="1:99" ht="12.75" customHeight="1">
      <c r="A882" s="399">
        <v>1808</v>
      </c>
      <c r="B882" s="399" t="s">
        <v>7005</v>
      </c>
      <c r="C882" s="399">
        <f t="shared" si="117"/>
        <v>1808</v>
      </c>
      <c r="D882" s="399" t="str">
        <f t="shared" si="118"/>
        <v>Communication dateTime</v>
      </c>
      <c r="E882" s="399" t="str">
        <f t="shared" si="119"/>
        <v>Communication dateTime</v>
      </c>
      <c r="F882" s="399" t="str">
        <f t="shared" si="136"/>
        <v>Data Element</v>
      </c>
      <c r="G882" s="400">
        <f t="shared" si="129"/>
        <v>22</v>
      </c>
      <c r="H882" s="400" t="str">
        <f t="shared" si="133"/>
        <v/>
      </c>
      <c r="I882" s="400"/>
      <c r="J882" s="400"/>
      <c r="K882" s="402" t="s">
        <v>6955</v>
      </c>
      <c r="L882" s="402" t="s">
        <v>6096</v>
      </c>
      <c r="M882" s="400"/>
      <c r="N882" s="773" t="s">
        <v>6958</v>
      </c>
      <c r="O882" s="407"/>
      <c r="P882" s="407"/>
      <c r="Q882" s="407" t="s">
        <v>7005</v>
      </c>
      <c r="R882" s="407"/>
      <c r="S882" s="407"/>
      <c r="T882" s="407" t="s">
        <v>3513</v>
      </c>
      <c r="U882" s="407"/>
      <c r="V882" s="407"/>
      <c r="W882" s="407"/>
      <c r="X882" s="407"/>
      <c r="Y882" s="407"/>
      <c r="Z882" s="407"/>
      <c r="AA882" s="407"/>
      <c r="AB882" s="408"/>
      <c r="AC882" s="407"/>
      <c r="AD882" s="407"/>
      <c r="AE882" s="408"/>
      <c r="AF882" s="407"/>
      <c r="AG882" s="407"/>
      <c r="AH882" s="399"/>
      <c r="AI882" s="400"/>
      <c r="AJ882" s="399"/>
      <c r="AK882" s="409" t="s">
        <v>6711</v>
      </c>
      <c r="AL882" s="409"/>
      <c r="AM882" s="409" t="s">
        <v>3100</v>
      </c>
      <c r="AN882" s="409" t="s">
        <v>3101</v>
      </c>
      <c r="AO882" s="399"/>
      <c r="AP882" s="399"/>
      <c r="AQ882" s="409" t="s">
        <v>115</v>
      </c>
      <c r="AR882" s="399"/>
      <c r="AS882" s="399"/>
      <c r="AT882" s="399"/>
      <c r="AU882" s="399" t="s">
        <v>7005</v>
      </c>
      <c r="AV882" s="399" t="str">
        <f t="shared" si="123"/>
        <v>Same</v>
      </c>
      <c r="AW882" s="399"/>
      <c r="AX882" s="409" t="s">
        <v>3104</v>
      </c>
      <c r="AY882" s="399" t="str">
        <f t="shared" si="124"/>
        <v/>
      </c>
      <c r="AZ882" s="409" t="s">
        <v>3105</v>
      </c>
      <c r="BA882" s="409">
        <v>0</v>
      </c>
      <c r="BB882" s="399"/>
      <c r="BC882" s="399"/>
      <c r="BD882" s="399"/>
      <c r="BE882" s="411"/>
      <c r="BF882" s="411"/>
      <c r="BG882" s="411"/>
      <c r="BH882" s="411"/>
      <c r="BI882" s="411"/>
      <c r="BJ882" s="409" t="s">
        <v>3106</v>
      </c>
      <c r="BK882" s="399"/>
      <c r="BL882" s="399"/>
      <c r="BM882" s="399"/>
      <c r="BN882" s="399"/>
      <c r="BO882" s="399"/>
      <c r="BP882" s="399"/>
      <c r="BQ882" s="399"/>
      <c r="BR882" s="399"/>
      <c r="BS882" s="407"/>
      <c r="BT882" s="407"/>
      <c r="BU882" s="412"/>
      <c r="BV882" s="46" t="str">
        <f t="shared" si="8"/>
        <v/>
      </c>
      <c r="BW882" s="46" t="str">
        <f t="shared" si="9"/>
        <v/>
      </c>
      <c r="BX882" s="46" t="str">
        <f t="shared" si="10"/>
        <v/>
      </c>
      <c r="BY882" s="43">
        <f t="shared" si="11"/>
        <v>0</v>
      </c>
      <c r="BZ882" s="46">
        <f t="shared" si="12"/>
        <v>1</v>
      </c>
      <c r="CA882" s="46">
        <f t="shared" si="13"/>
        <v>0</v>
      </c>
      <c r="CB882" s="46">
        <f t="shared" si="14"/>
        <v>1</v>
      </c>
      <c r="CC882" s="46">
        <f t="shared" si="15"/>
        <v>1</v>
      </c>
      <c r="CD882" s="46">
        <f t="shared" si="16"/>
        <v>1</v>
      </c>
      <c r="CE882" s="46">
        <f t="shared" si="17"/>
        <v>0</v>
      </c>
      <c r="CF882" s="46">
        <f t="shared" si="18"/>
        <v>0</v>
      </c>
      <c r="CG882" s="46" t="str">
        <f ca="1">IFERROR(__xludf.DUMMYFUNCTION("if(OR(BH882="""",LEFT(BH882,2)=""LA""),"""",IMPORTXML(CONCATENATE(""https://loinc.org/"",BH882,""/""),""//span[@id='lcn']""))"),"")</f>
        <v/>
      </c>
      <c r="CH882" s="46"/>
      <c r="CI882" s="46"/>
      <c r="CJ882" s="46"/>
      <c r="CK882" s="46"/>
      <c r="CL882" s="46"/>
      <c r="CM882" s="46"/>
      <c r="CN882" s="46"/>
      <c r="CO882" s="46"/>
      <c r="CP882" s="46"/>
      <c r="CQ882" s="46"/>
      <c r="CR882" s="46"/>
      <c r="CS882" s="46"/>
      <c r="CT882" s="46"/>
      <c r="CU882" s="46"/>
    </row>
    <row r="883" spans="1:99" ht="12.75" customHeight="1">
      <c r="A883" s="399">
        <v>1812</v>
      </c>
      <c r="B883" s="399" t="s">
        <v>7038</v>
      </c>
      <c r="C883" s="399">
        <f t="shared" si="117"/>
        <v>1812</v>
      </c>
      <c r="D883" s="399" t="str">
        <f t="shared" si="118"/>
        <v>Reason for removal from list</v>
      </c>
      <c r="E883" s="399" t="str">
        <f t="shared" si="119"/>
        <v>Reason for removal from list</v>
      </c>
      <c r="F883" s="399" t="str">
        <f t="shared" si="136"/>
        <v>Data Element</v>
      </c>
      <c r="G883" s="400">
        <f t="shared" si="129"/>
        <v>28</v>
      </c>
      <c r="H883" s="400" t="str">
        <f t="shared" si="133"/>
        <v/>
      </c>
      <c r="I883" s="400"/>
      <c r="J883" s="400"/>
      <c r="K883" s="402" t="s">
        <v>6955</v>
      </c>
      <c r="L883" s="402" t="s">
        <v>6096</v>
      </c>
      <c r="M883" s="400"/>
      <c r="N883" s="773" t="s">
        <v>6958</v>
      </c>
      <c r="O883" s="407"/>
      <c r="P883" s="407"/>
      <c r="Q883" s="467" t="s">
        <v>7038</v>
      </c>
      <c r="R883" s="407" t="s">
        <v>7038</v>
      </c>
      <c r="S883" s="407"/>
      <c r="T883" s="407" t="s">
        <v>7038</v>
      </c>
      <c r="U883" s="407"/>
      <c r="V883" s="407"/>
      <c r="W883" s="407"/>
      <c r="X883" s="407"/>
      <c r="Y883" s="407"/>
      <c r="Z883" s="407"/>
      <c r="AA883" s="407"/>
      <c r="AB883" s="408"/>
      <c r="AC883" s="407"/>
      <c r="AD883" s="407"/>
      <c r="AE883" s="408"/>
      <c r="AF883" s="407"/>
      <c r="AG883" s="407"/>
      <c r="AH883" s="399"/>
      <c r="AI883" s="400"/>
      <c r="AJ883" s="399"/>
      <c r="AK883" s="409" t="s">
        <v>6714</v>
      </c>
      <c r="AL883" s="409"/>
      <c r="AM883" s="409" t="s">
        <v>3100</v>
      </c>
      <c r="AN883" s="409" t="s">
        <v>3101</v>
      </c>
      <c r="AO883" s="399"/>
      <c r="AP883" s="399"/>
      <c r="AQ883" s="409" t="s">
        <v>115</v>
      </c>
      <c r="AR883" s="399"/>
      <c r="AS883" s="399"/>
      <c r="AT883" s="399"/>
      <c r="AU883" s="399" t="s">
        <v>7038</v>
      </c>
      <c r="AV883" s="399" t="str">
        <f t="shared" si="123"/>
        <v>Same</v>
      </c>
      <c r="AW883" s="399"/>
      <c r="AX883" s="409" t="s">
        <v>3104</v>
      </c>
      <c r="AY883" s="399" t="str">
        <f t="shared" si="124"/>
        <v/>
      </c>
      <c r="AZ883" s="409" t="s">
        <v>3105</v>
      </c>
      <c r="BA883" s="409">
        <v>0</v>
      </c>
      <c r="BB883" s="399"/>
      <c r="BC883" s="399"/>
      <c r="BD883" s="399"/>
      <c r="BE883" s="411"/>
      <c r="BF883" s="411"/>
      <c r="BG883" s="411"/>
      <c r="BH883" s="411"/>
      <c r="BI883" s="411"/>
      <c r="BJ883" s="409" t="s">
        <v>3106</v>
      </c>
      <c r="BK883" s="399"/>
      <c r="BL883" s="399"/>
      <c r="BM883" s="399"/>
      <c r="BN883" s="399"/>
      <c r="BO883" s="399"/>
      <c r="BP883" s="399"/>
      <c r="BQ883" s="399"/>
      <c r="BR883" s="399"/>
      <c r="BS883" s="407"/>
      <c r="BT883" s="407"/>
      <c r="BU883" s="412"/>
      <c r="BV883" s="46" t="str">
        <f t="shared" si="8"/>
        <v/>
      </c>
      <c r="BW883" s="46" t="str">
        <f t="shared" si="9"/>
        <v/>
      </c>
      <c r="BX883" s="46" t="str">
        <f t="shared" si="10"/>
        <v/>
      </c>
      <c r="BY883" s="43">
        <f t="shared" si="11"/>
        <v>0</v>
      </c>
      <c r="BZ883" s="46">
        <f t="shared" si="12"/>
        <v>1</v>
      </c>
      <c r="CA883" s="46">
        <f t="shared" si="13"/>
        <v>0</v>
      </c>
      <c r="CB883" s="46">
        <f t="shared" si="14"/>
        <v>1</v>
      </c>
      <c r="CC883" s="46">
        <f t="shared" si="15"/>
        <v>1</v>
      </c>
      <c r="CD883" s="46">
        <f t="shared" si="16"/>
        <v>1</v>
      </c>
      <c r="CE883" s="46">
        <f t="shared" si="17"/>
        <v>0</v>
      </c>
      <c r="CF883" s="46">
        <f t="shared" si="18"/>
        <v>0</v>
      </c>
      <c r="CG883" s="46" t="str">
        <f ca="1">IFERROR(__xludf.DUMMYFUNCTION("if(OR(BH883="""",LEFT(BH883,2)=""LA""),"""",IMPORTXML(CONCATENATE(""https://loinc.org/"",BH883,""/""),""//span[@id='lcn']""))"),"")</f>
        <v/>
      </c>
      <c r="CH883" s="46"/>
      <c r="CI883" s="46"/>
      <c r="CJ883" s="46"/>
      <c r="CK883" s="46"/>
      <c r="CL883" s="46"/>
      <c r="CM883" s="46"/>
      <c r="CN883" s="46"/>
      <c r="CO883" s="46"/>
      <c r="CP883" s="46"/>
      <c r="CQ883" s="46"/>
      <c r="CR883" s="46"/>
      <c r="CS883" s="46"/>
      <c r="CT883" s="46"/>
      <c r="CU883" s="46"/>
    </row>
    <row r="884" spans="1:99" ht="12.75" customHeight="1">
      <c r="A884" s="399">
        <v>1813</v>
      </c>
      <c r="B884" s="399" t="s">
        <v>7044</v>
      </c>
      <c r="C884" s="399">
        <f t="shared" si="117"/>
        <v>1813</v>
      </c>
      <c r="D884" s="399">
        <f t="shared" si="118"/>
        <v>0</v>
      </c>
      <c r="E884" s="399">
        <f t="shared" si="119"/>
        <v>0</v>
      </c>
      <c r="F884" s="409" t="s">
        <v>3164</v>
      </c>
      <c r="G884" s="400">
        <f t="shared" si="129"/>
        <v>29</v>
      </c>
      <c r="H884" s="400" t="str">
        <f t="shared" si="133"/>
        <v/>
      </c>
      <c r="I884" s="400"/>
      <c r="J884" s="400"/>
      <c r="K884" s="402" t="s">
        <v>6955</v>
      </c>
      <c r="L884" s="402" t="s">
        <v>6096</v>
      </c>
      <c r="M884" s="400"/>
      <c r="N884" s="773" t="s">
        <v>6958</v>
      </c>
      <c r="O884" s="407"/>
      <c r="P884" s="407"/>
      <c r="Q884" s="407"/>
      <c r="R884" s="407" t="s">
        <v>7044</v>
      </c>
      <c r="S884" s="407"/>
      <c r="T884" s="407"/>
      <c r="U884" s="407"/>
      <c r="V884" s="407"/>
      <c r="W884" s="407"/>
      <c r="X884" s="407"/>
      <c r="Y884" s="407"/>
      <c r="Z884" s="407"/>
      <c r="AA884" s="407"/>
      <c r="AB884" s="408"/>
      <c r="AC884" s="407"/>
      <c r="AD884" s="407"/>
      <c r="AE884" s="408"/>
      <c r="AF884" s="407"/>
      <c r="AG884" s="407"/>
      <c r="AH884" s="399"/>
      <c r="AI884" s="400"/>
      <c r="AJ884" s="399"/>
      <c r="AK884" s="409" t="s">
        <v>7184</v>
      </c>
      <c r="AL884" s="409"/>
      <c r="AM884" s="409" t="s">
        <v>3100</v>
      </c>
      <c r="AN884" s="409" t="s">
        <v>3101</v>
      </c>
      <c r="AO884" s="399"/>
      <c r="AP884" s="409" t="s">
        <v>3102</v>
      </c>
      <c r="AQ884" s="409" t="s">
        <v>115</v>
      </c>
      <c r="AR884" s="399"/>
      <c r="AS884" s="399"/>
      <c r="AT884" s="399"/>
      <c r="AU884" s="399" t="s">
        <v>7044</v>
      </c>
      <c r="AV884" s="399" t="str">
        <f t="shared" si="123"/>
        <v>Same</v>
      </c>
      <c r="AW884" s="399"/>
      <c r="AX884" s="409" t="s">
        <v>3104</v>
      </c>
      <c r="AY884" s="399" t="str">
        <f t="shared" si="124"/>
        <v>"0"-&gt;"Informed patient is deceased."</v>
      </c>
      <c r="AZ884" s="409" t="s">
        <v>3105</v>
      </c>
      <c r="BA884" s="409">
        <v>0</v>
      </c>
      <c r="BB884" s="399"/>
      <c r="BC884" s="399"/>
      <c r="BD884" s="409" t="s">
        <v>9598</v>
      </c>
      <c r="BE884" s="411"/>
      <c r="BF884" s="411"/>
      <c r="BG884" s="411"/>
      <c r="BH884" s="411"/>
      <c r="BI884" s="411"/>
      <c r="BJ884" s="409" t="s">
        <v>3106</v>
      </c>
      <c r="BK884" s="399"/>
      <c r="BL884" s="399"/>
      <c r="BM884" s="409" t="s">
        <v>9599</v>
      </c>
      <c r="BN884" s="399"/>
      <c r="BO884" s="399"/>
      <c r="BP884" s="399"/>
      <c r="BQ884" s="399"/>
      <c r="BR884" s="399"/>
      <c r="BS884" s="407"/>
      <c r="BT884" s="407"/>
      <c r="BU884" s="412"/>
      <c r="BV884" s="46" t="str">
        <f t="shared" si="8"/>
        <v/>
      </c>
      <c r="BW884" s="46" t="str">
        <f t="shared" si="9"/>
        <v/>
      </c>
      <c r="BX884" s="46" t="str">
        <f t="shared" si="10"/>
        <v/>
      </c>
      <c r="BY884" s="43" t="str">
        <f t="shared" si="11"/>
        <v/>
      </c>
      <c r="BZ884" s="46">
        <f t="shared" si="12"/>
        <v>1</v>
      </c>
      <c r="CA884" s="46" t="str">
        <f t="shared" si="13"/>
        <v/>
      </c>
      <c r="CB884" s="46">
        <f t="shared" si="14"/>
        <v>1</v>
      </c>
      <c r="CC884" s="46">
        <f t="shared" si="15"/>
        <v>1</v>
      </c>
      <c r="CD884" s="46">
        <f t="shared" si="16"/>
        <v>1</v>
      </c>
      <c r="CE884" s="46">
        <f t="shared" si="17"/>
        <v>0</v>
      </c>
      <c r="CF884" s="46">
        <f t="shared" si="18"/>
        <v>0</v>
      </c>
      <c r="CG884" s="46" t="str">
        <f ca="1">IFERROR(__xludf.DUMMYFUNCTION("if(OR(BH884="""",LEFT(BH884,2)=""LA""),"""",IMPORTXML(CONCATENATE(""https://loinc.org/"",BH884,""/""),""//span[@id='lcn']""))"),"")</f>
        <v/>
      </c>
      <c r="CH884" s="46"/>
      <c r="CI884" s="46"/>
      <c r="CJ884" s="46"/>
      <c r="CK884" s="46"/>
      <c r="CL884" s="46"/>
      <c r="CM884" s="46"/>
      <c r="CN884" s="46"/>
      <c r="CO884" s="46"/>
      <c r="CP884" s="46"/>
      <c r="CQ884" s="46"/>
      <c r="CR884" s="46"/>
      <c r="CS884" s="46"/>
      <c r="CT884" s="46"/>
      <c r="CU884" s="46"/>
    </row>
    <row r="885" spans="1:99" ht="12.75" customHeight="1">
      <c r="A885" s="399">
        <v>1814</v>
      </c>
      <c r="B885" s="399" t="s">
        <v>6960</v>
      </c>
      <c r="C885" s="399">
        <f t="shared" si="117"/>
        <v>1814</v>
      </c>
      <c r="D885" s="399" t="str">
        <f t="shared" si="118"/>
        <v>Communication sent</v>
      </c>
      <c r="E885" s="399" t="str">
        <f t="shared" si="119"/>
        <v>Communication sent</v>
      </c>
      <c r="F885" s="399" t="str">
        <f t="shared" ref="F885:F887" si="137">IF(AND(ISBLANK(V885)=FALSE,OR(T885="MC",T885="")),"Input Option","Data Element")</f>
        <v>Data Element</v>
      </c>
      <c r="G885" s="400">
        <f t="shared" si="129"/>
        <v>18</v>
      </c>
      <c r="H885" s="400" t="str">
        <f t="shared" si="133"/>
        <v/>
      </c>
      <c r="I885" s="400"/>
      <c r="J885" s="400"/>
      <c r="K885" s="402" t="s">
        <v>6955</v>
      </c>
      <c r="L885" s="402" t="s">
        <v>6096</v>
      </c>
      <c r="M885" s="400"/>
      <c r="N885" s="772" t="s">
        <v>7058</v>
      </c>
      <c r="O885" s="407" t="s">
        <v>7059</v>
      </c>
      <c r="P885" s="407" t="s">
        <v>7060</v>
      </c>
      <c r="Q885" s="407" t="s">
        <v>6960</v>
      </c>
      <c r="R885" s="407"/>
      <c r="S885" s="432" t="s">
        <v>7062</v>
      </c>
      <c r="T885" s="421"/>
      <c r="U885" s="407"/>
      <c r="V885" s="407"/>
      <c r="W885" s="407"/>
      <c r="X885" s="407"/>
      <c r="Y885" s="407"/>
      <c r="Z885" s="407"/>
      <c r="AA885" s="407"/>
      <c r="AB885" s="408"/>
      <c r="AC885" s="407"/>
      <c r="AD885" s="407"/>
      <c r="AE885" s="408"/>
      <c r="AF885" s="407"/>
      <c r="AG885" s="407"/>
      <c r="AH885" s="399"/>
      <c r="AI885" s="400"/>
      <c r="AJ885" s="399"/>
      <c r="AK885" s="409" t="s">
        <v>6713</v>
      </c>
      <c r="AL885" s="409"/>
      <c r="AM885" s="409" t="s">
        <v>3100</v>
      </c>
      <c r="AN885" s="409" t="s">
        <v>3101</v>
      </c>
      <c r="AO885" s="409" t="s">
        <v>9600</v>
      </c>
      <c r="AP885" s="399"/>
      <c r="AQ885" s="409" t="s">
        <v>115</v>
      </c>
      <c r="AR885" s="399"/>
      <c r="AS885" s="399"/>
      <c r="AT885" s="399"/>
      <c r="AU885" s="399" t="s">
        <v>6960</v>
      </c>
      <c r="AV885" s="399" t="str">
        <f t="shared" si="123"/>
        <v>Same</v>
      </c>
      <c r="AW885" s="399"/>
      <c r="AX885" s="409" t="s">
        <v>3104</v>
      </c>
      <c r="AY885" s="399" t="str">
        <f t="shared" si="124"/>
        <v/>
      </c>
      <c r="AZ885" s="399"/>
      <c r="BA885" s="409">
        <v>0</v>
      </c>
      <c r="BB885" s="399"/>
      <c r="BC885" s="409"/>
      <c r="BD885" s="409"/>
      <c r="BE885" s="411"/>
      <c r="BF885" s="411"/>
      <c r="BG885" s="411"/>
      <c r="BH885" s="411"/>
      <c r="BI885" s="411"/>
      <c r="BJ885" s="409"/>
      <c r="BK885" s="399"/>
      <c r="BL885" s="399"/>
      <c r="BM885" s="409" t="s">
        <v>9601</v>
      </c>
      <c r="BN885" s="399"/>
      <c r="BO885" s="399"/>
      <c r="BP885" s="399"/>
      <c r="BQ885" s="399"/>
      <c r="BR885" s="399"/>
      <c r="BS885" s="407"/>
      <c r="BT885" s="407"/>
      <c r="BU885" s="412"/>
      <c r="BV885" s="46" t="str">
        <f t="shared" si="8"/>
        <v/>
      </c>
      <c r="BW885" s="46" t="str">
        <f t="shared" si="9"/>
        <v/>
      </c>
      <c r="BX885" s="46" t="str">
        <f t="shared" si="10"/>
        <v/>
      </c>
      <c r="BY885" s="43">
        <f t="shared" si="11"/>
        <v>0</v>
      </c>
      <c r="BZ885" s="46">
        <f t="shared" si="12"/>
        <v>1</v>
      </c>
      <c r="CA885" s="46">
        <f t="shared" si="13"/>
        <v>0</v>
      </c>
      <c r="CB885" s="46">
        <f t="shared" si="14"/>
        <v>0</v>
      </c>
      <c r="CC885" s="46">
        <f t="shared" si="15"/>
        <v>1</v>
      </c>
      <c r="CD885" s="46">
        <f t="shared" si="16"/>
        <v>0</v>
      </c>
      <c r="CE885" s="46">
        <f t="shared" si="17"/>
        <v>1</v>
      </c>
      <c r="CF885" s="46">
        <f t="shared" si="18"/>
        <v>0</v>
      </c>
      <c r="CG885" s="46" t="str">
        <f ca="1">IFERROR(__xludf.DUMMYFUNCTION("if(OR(BH885="""",LEFT(BH885,2)=""LA""),"""",IMPORTXML(CONCATENATE(""https://loinc.org/"",BH885,""/""),""//span[@id='lcn']""))"),"")</f>
        <v/>
      </c>
      <c r="CH885" s="46"/>
      <c r="CI885" s="46"/>
      <c r="CJ885" s="46"/>
      <c r="CK885" s="46"/>
      <c r="CL885" s="46"/>
      <c r="CM885" s="46"/>
      <c r="CN885" s="46"/>
      <c r="CO885" s="46"/>
      <c r="CP885" s="46"/>
      <c r="CQ885" s="46"/>
      <c r="CR885" s="46"/>
      <c r="CS885" s="46"/>
      <c r="CT885" s="46"/>
      <c r="CU885" s="46"/>
    </row>
    <row r="886" spans="1:99" ht="12.75" customHeight="1">
      <c r="A886" s="399">
        <v>1817</v>
      </c>
      <c r="B886" s="399" t="s">
        <v>7031</v>
      </c>
      <c r="C886" s="399">
        <f t="shared" si="117"/>
        <v>1817</v>
      </c>
      <c r="D886" s="399">
        <f t="shared" si="118"/>
        <v>0</v>
      </c>
      <c r="E886" s="399">
        <f t="shared" si="119"/>
        <v>0</v>
      </c>
      <c r="F886" s="399" t="str">
        <f t="shared" si="137"/>
        <v>Data Element</v>
      </c>
      <c r="G886" s="400">
        <f t="shared" si="129"/>
        <v>25</v>
      </c>
      <c r="H886" s="400" t="str">
        <f t="shared" si="133"/>
        <v/>
      </c>
      <c r="I886" s="400"/>
      <c r="J886" s="400"/>
      <c r="K886" s="402" t="s">
        <v>6955</v>
      </c>
      <c r="L886" s="402" t="s">
        <v>6096</v>
      </c>
      <c r="M886" s="400"/>
      <c r="N886" s="772" t="s">
        <v>7058</v>
      </c>
      <c r="O886" s="407"/>
      <c r="P886" s="407"/>
      <c r="Q886" s="407"/>
      <c r="R886" s="407" t="s">
        <v>7031</v>
      </c>
      <c r="S886" s="407"/>
      <c r="T886" s="407"/>
      <c r="U886" s="407"/>
      <c r="V886" s="407"/>
      <c r="W886" s="407"/>
      <c r="X886" s="407"/>
      <c r="Y886" s="407"/>
      <c r="Z886" s="407"/>
      <c r="AA886" s="407"/>
      <c r="AB886" s="408"/>
      <c r="AC886" s="407"/>
      <c r="AD886" s="407"/>
      <c r="AE886" s="408"/>
      <c r="AF886" s="407"/>
      <c r="AG886" s="407"/>
      <c r="AH886" s="399"/>
      <c r="AI886" s="400"/>
      <c r="AJ886" s="399"/>
      <c r="AK886" s="409" t="s">
        <v>9602</v>
      </c>
      <c r="AL886" s="409" t="s">
        <v>3423</v>
      </c>
      <c r="AM886" s="409" t="s">
        <v>3100</v>
      </c>
      <c r="AN886" s="409" t="s">
        <v>3101</v>
      </c>
      <c r="AO886" s="399"/>
      <c r="AP886" s="399"/>
      <c r="AQ886" s="409" t="s">
        <v>115</v>
      </c>
      <c r="AR886" s="399"/>
      <c r="AS886" s="399"/>
      <c r="AT886" s="399"/>
      <c r="AU886" s="399" t="s">
        <v>7031</v>
      </c>
      <c r="AV886" s="399" t="str">
        <f t="shared" si="123"/>
        <v>Same</v>
      </c>
      <c r="AW886" s="399"/>
      <c r="AX886" s="409" t="s">
        <v>3104</v>
      </c>
      <c r="AY886" s="399" t="str">
        <f t="shared" si="124"/>
        <v>"0"-&gt;"Message received on error"</v>
      </c>
      <c r="AZ886" s="409" t="s">
        <v>3105</v>
      </c>
      <c r="BA886" s="409">
        <v>0</v>
      </c>
      <c r="BB886" s="399"/>
      <c r="BC886" s="399"/>
      <c r="BD886" s="399"/>
      <c r="BE886" s="411"/>
      <c r="BF886" s="411"/>
      <c r="BG886" s="411"/>
      <c r="BH886" s="411"/>
      <c r="BI886" s="411"/>
      <c r="BJ886" s="409" t="s">
        <v>3106</v>
      </c>
      <c r="BK886" s="399"/>
      <c r="BL886" s="399"/>
      <c r="BM886" s="399"/>
      <c r="BN886" s="399"/>
      <c r="BO886" s="399"/>
      <c r="BP886" s="399"/>
      <c r="BQ886" s="399"/>
      <c r="BR886" s="399"/>
      <c r="BS886" s="407"/>
      <c r="BT886" s="407"/>
      <c r="BU886" s="412"/>
      <c r="BV886" s="46" t="str">
        <f t="shared" si="8"/>
        <v/>
      </c>
      <c r="BW886" s="46" t="str">
        <f t="shared" si="9"/>
        <v/>
      </c>
      <c r="BX886" s="46" t="str">
        <f t="shared" si="10"/>
        <v/>
      </c>
      <c r="BY886" s="43">
        <f t="shared" si="11"/>
        <v>0</v>
      </c>
      <c r="BZ886" s="46">
        <f t="shared" si="12"/>
        <v>1</v>
      </c>
      <c r="CA886" s="46">
        <f t="shared" si="13"/>
        <v>0</v>
      </c>
      <c r="CB886" s="46">
        <f t="shared" si="14"/>
        <v>1</v>
      </c>
      <c r="CC886" s="46">
        <f t="shared" si="15"/>
        <v>1</v>
      </c>
      <c r="CD886" s="46">
        <f t="shared" si="16"/>
        <v>1</v>
      </c>
      <c r="CE886" s="46">
        <f t="shared" si="17"/>
        <v>0</v>
      </c>
      <c r="CF886" s="46">
        <f t="shared" si="18"/>
        <v>0</v>
      </c>
      <c r="CG886" s="46" t="str">
        <f ca="1">IFERROR(__xludf.DUMMYFUNCTION("if(OR(BH886="""",LEFT(BH886,2)=""LA""),"""",IMPORTXML(CONCATENATE(""https://loinc.org/"",BH886,""/""),""//span[@id='lcn']""))"),"")</f>
        <v/>
      </c>
      <c r="CH886" s="46"/>
      <c r="CI886" s="46"/>
      <c r="CJ886" s="46"/>
      <c r="CK886" s="46"/>
      <c r="CL886" s="46"/>
      <c r="CM886" s="46"/>
      <c r="CN886" s="46"/>
      <c r="CO886" s="46"/>
      <c r="CP886" s="46"/>
      <c r="CQ886" s="46"/>
      <c r="CR886" s="46"/>
      <c r="CS886" s="46"/>
      <c r="CT886" s="46"/>
      <c r="CU886" s="46"/>
    </row>
    <row r="887" spans="1:99" ht="12.75" customHeight="1">
      <c r="A887" s="399">
        <v>1819</v>
      </c>
      <c r="B887" s="409" t="s">
        <v>7136</v>
      </c>
      <c r="C887" s="399">
        <f t="shared" si="117"/>
        <v>1819</v>
      </c>
      <c r="D887" s="399">
        <f t="shared" si="118"/>
        <v>0</v>
      </c>
      <c r="E887" s="399">
        <f t="shared" si="119"/>
        <v>0</v>
      </c>
      <c r="F887" s="399" t="str">
        <f t="shared" si="137"/>
        <v>Data Element</v>
      </c>
      <c r="G887" s="400">
        <f t="shared" si="129"/>
        <v>59</v>
      </c>
      <c r="H887" s="400" t="str">
        <f t="shared" si="133"/>
        <v/>
      </c>
      <c r="I887" s="400"/>
      <c r="J887" s="400"/>
      <c r="K887" s="402" t="s">
        <v>6955</v>
      </c>
      <c r="L887" s="402" t="s">
        <v>6096</v>
      </c>
      <c r="M887" s="400"/>
      <c r="N887" s="772" t="s">
        <v>7058</v>
      </c>
      <c r="O887" s="407"/>
      <c r="P887" s="407"/>
      <c r="Q887" s="407"/>
      <c r="R887" s="432" t="s">
        <v>7036</v>
      </c>
      <c r="S887" s="421"/>
      <c r="T887" s="407"/>
      <c r="U887" s="407"/>
      <c r="V887" s="407"/>
      <c r="W887" s="407"/>
      <c r="X887" s="407"/>
      <c r="Y887" s="407"/>
      <c r="Z887" s="407"/>
      <c r="AA887" s="407"/>
      <c r="AB887" s="408"/>
      <c r="AC887" s="407"/>
      <c r="AD887" s="407"/>
      <c r="AE887" s="408"/>
      <c r="AF887" s="407"/>
      <c r="AG887" s="407"/>
      <c r="AH887" s="399"/>
      <c r="AI887" s="400"/>
      <c r="AJ887" s="399"/>
      <c r="AK887" s="409" t="s">
        <v>6714</v>
      </c>
      <c r="AL887" s="409"/>
      <c r="AM887" s="409" t="s">
        <v>3100</v>
      </c>
      <c r="AN887" s="409" t="s">
        <v>3101</v>
      </c>
      <c r="AO887" s="399"/>
      <c r="AP887" s="399"/>
      <c r="AQ887" s="409" t="s">
        <v>115</v>
      </c>
      <c r="AR887" s="410" t="s">
        <v>9592</v>
      </c>
      <c r="AS887" s="410"/>
      <c r="AT887" s="399"/>
      <c r="AU887" s="399" t="s">
        <v>7036</v>
      </c>
      <c r="AV887" s="399" t="str">
        <f t="shared" si="123"/>
        <v>Changed</v>
      </c>
      <c r="AW887" s="399"/>
      <c r="AX887" s="409" t="s">
        <v>3104</v>
      </c>
      <c r="AY887" s="399" t="str">
        <f t="shared" si="124"/>
        <v>"0"-&gt;"Reason not contacted if client gave consent to be contacted"</v>
      </c>
      <c r="AZ887" s="409" t="s">
        <v>3105</v>
      </c>
      <c r="BA887" s="409">
        <v>0</v>
      </c>
      <c r="BB887" s="399"/>
      <c r="BC887" s="399"/>
      <c r="BD887" s="399"/>
      <c r="BE887" s="411"/>
      <c r="BF887" s="411"/>
      <c r="BG887" s="411"/>
      <c r="BH887" s="411"/>
      <c r="BI887" s="411"/>
      <c r="BJ887" s="409" t="s">
        <v>3106</v>
      </c>
      <c r="BK887" s="399"/>
      <c r="BL887" s="399"/>
      <c r="BM887" s="399"/>
      <c r="BN887" s="399"/>
      <c r="BO887" s="399"/>
      <c r="BP887" s="399"/>
      <c r="BQ887" s="399"/>
      <c r="BR887" s="399"/>
      <c r="BS887" s="407"/>
      <c r="BT887" s="407"/>
      <c r="BU887" s="412"/>
      <c r="BV887" s="46" t="str">
        <f t="shared" si="8"/>
        <v/>
      </c>
      <c r="BW887" s="46" t="str">
        <f t="shared" si="9"/>
        <v/>
      </c>
      <c r="BX887" s="46" t="str">
        <f t="shared" si="10"/>
        <v/>
      </c>
      <c r="BY887" s="43">
        <f t="shared" si="11"/>
        <v>0</v>
      </c>
      <c r="BZ887" s="46">
        <f t="shared" si="12"/>
        <v>1</v>
      </c>
      <c r="CA887" s="46">
        <f t="shared" si="13"/>
        <v>1</v>
      </c>
      <c r="CB887" s="46">
        <f t="shared" si="14"/>
        <v>1</v>
      </c>
      <c r="CC887" s="46">
        <f t="shared" si="15"/>
        <v>1</v>
      </c>
      <c r="CD887" s="46">
        <f t="shared" si="16"/>
        <v>1</v>
      </c>
      <c r="CE887" s="46">
        <f t="shared" si="17"/>
        <v>0</v>
      </c>
      <c r="CF887" s="46">
        <f t="shared" si="18"/>
        <v>0</v>
      </c>
      <c r="CG887" s="46" t="str">
        <f ca="1">IFERROR(__xludf.DUMMYFUNCTION("if(OR(BH887="""",LEFT(BH887,2)=""LA""),"""",IMPORTXML(CONCATENATE(""https://loinc.org/"",BH887,""/""),""//span[@id='lcn']""))"),"")</f>
        <v/>
      </c>
      <c r="CH887" s="46"/>
      <c r="CI887" s="46"/>
      <c r="CJ887" s="46"/>
      <c r="CK887" s="46"/>
      <c r="CL887" s="46"/>
      <c r="CM887" s="46"/>
      <c r="CN887" s="46"/>
      <c r="CO887" s="46"/>
      <c r="CP887" s="46"/>
      <c r="CQ887" s="46"/>
      <c r="CR887" s="46"/>
      <c r="CS887" s="46"/>
      <c r="CT887" s="46"/>
      <c r="CU887" s="46"/>
    </row>
    <row r="888" spans="1:99" ht="12.75" customHeight="1">
      <c r="A888" s="399">
        <v>1826</v>
      </c>
      <c r="B888" s="399" t="s">
        <v>7164</v>
      </c>
      <c r="C888" s="399">
        <f t="shared" si="117"/>
        <v>1826</v>
      </c>
      <c r="D888" s="399" t="e">
        <f t="shared" ca="1" si="118"/>
        <v>#NAME?</v>
      </c>
      <c r="E888" s="399">
        <f t="shared" si="119"/>
        <v>0</v>
      </c>
      <c r="F888" s="409" t="s">
        <v>180</v>
      </c>
      <c r="G888" s="400">
        <f t="shared" si="129"/>
        <v>45</v>
      </c>
      <c r="H888" s="399" t="str">
        <f t="shared" si="133"/>
        <v>Reason not contacted if client gave consent to be contacted</v>
      </c>
      <c r="I888" s="400"/>
      <c r="J888" s="400"/>
      <c r="K888" s="402" t="s">
        <v>6955</v>
      </c>
      <c r="L888" s="402" t="s">
        <v>6096</v>
      </c>
      <c r="M888" s="400"/>
      <c r="N888" s="772" t="s">
        <v>7058</v>
      </c>
      <c r="O888" s="407"/>
      <c r="P888" s="407"/>
      <c r="Q888" s="407"/>
      <c r="R888" s="407" t="s">
        <v>7165</v>
      </c>
      <c r="S888" s="407"/>
      <c r="T888" s="407"/>
      <c r="U888" s="407"/>
      <c r="V888" s="407"/>
      <c r="W888" s="407"/>
      <c r="X888" s="407"/>
      <c r="Y888" s="407"/>
      <c r="Z888" s="407"/>
      <c r="AA888" s="407"/>
      <c r="AB888" s="408"/>
      <c r="AC888" s="407"/>
      <c r="AD888" s="407"/>
      <c r="AE888" s="408"/>
      <c r="AF888" s="407"/>
      <c r="AG888" s="407"/>
      <c r="AH888" s="399"/>
      <c r="AI888" s="400"/>
      <c r="AJ888" s="399"/>
      <c r="AK888" s="399"/>
      <c r="AL888" s="399"/>
      <c r="AM888" s="399"/>
      <c r="AN888" s="399"/>
      <c r="AO888" s="399"/>
      <c r="AP888" s="399"/>
      <c r="AQ888" s="409" t="s">
        <v>115</v>
      </c>
      <c r="AR888" s="399"/>
      <c r="AS888" s="399"/>
      <c r="AT888" s="399"/>
      <c r="AU888" s="399" t="s">
        <v>7164</v>
      </c>
      <c r="AV888" s="399" t="str">
        <f t="shared" si="123"/>
        <v>Same</v>
      </c>
      <c r="AW888" s="399"/>
      <c r="AX888" s="409" t="s">
        <v>3104</v>
      </c>
      <c r="AY888" s="399" t="e">
        <f t="shared" ca="1" si="124"/>
        <v>#NAME?</v>
      </c>
      <c r="AZ888" s="409" t="s">
        <v>3105</v>
      </c>
      <c r="BA888" s="409">
        <v>0</v>
      </c>
      <c r="BB888" s="415" t="s">
        <v>3131</v>
      </c>
      <c r="BC888" s="409" t="s">
        <v>9603</v>
      </c>
      <c r="BD888" s="399"/>
      <c r="BE888" s="411"/>
      <c r="BF888" s="411"/>
      <c r="BG888" s="411"/>
      <c r="BH888" s="411"/>
      <c r="BI888" s="411"/>
      <c r="BJ888" s="409" t="s">
        <v>3133</v>
      </c>
      <c r="BK888" s="399"/>
      <c r="BL888" s="399"/>
      <c r="BM888" s="399"/>
      <c r="BN888" s="399"/>
      <c r="BO888" s="399"/>
      <c r="BP888" s="399"/>
      <c r="BQ888" s="399"/>
      <c r="BR888" s="399"/>
      <c r="BS888" s="407"/>
      <c r="BT888" s="407"/>
      <c r="BU888" s="412"/>
      <c r="BV888" s="46" t="str">
        <f t="shared" si="8"/>
        <v/>
      </c>
      <c r="BW888" s="46">
        <f t="shared" si="9"/>
        <v>0</v>
      </c>
      <c r="BX888" s="46">
        <f t="shared" si="10"/>
        <v>0</v>
      </c>
      <c r="BY888" s="43">
        <f t="shared" si="11"/>
        <v>0</v>
      </c>
      <c r="BZ888" s="46">
        <f t="shared" si="12"/>
        <v>1</v>
      </c>
      <c r="CA888" s="46" t="str">
        <f t="shared" si="13"/>
        <v/>
      </c>
      <c r="CB888" s="46">
        <f t="shared" si="14"/>
        <v>1</v>
      </c>
      <c r="CC888" s="46">
        <f t="shared" si="15"/>
        <v>1</v>
      </c>
      <c r="CD888" s="46">
        <f t="shared" si="16"/>
        <v>1</v>
      </c>
      <c r="CE888" s="46">
        <f t="shared" si="17"/>
        <v>0</v>
      </c>
      <c r="CF888" s="46">
        <f t="shared" si="18"/>
        <v>0</v>
      </c>
      <c r="CG888" s="46" t="str">
        <f ca="1">IFERROR(__xludf.DUMMYFUNCTION("if(OR(BH888="""",LEFT(BH888,2)=""LA""),"""",IMPORTXML(CONCATENATE(""https://loinc.org/"",BH888,""/""),""//span[@id='lcn']""))"),"")</f>
        <v/>
      </c>
      <c r="CH888" s="46"/>
      <c r="CI888" s="46"/>
      <c r="CJ888" s="46"/>
      <c r="CK888" s="46"/>
      <c r="CL888" s="46"/>
      <c r="CM888" s="46"/>
      <c r="CN888" s="46"/>
      <c r="CO888" s="46"/>
      <c r="CP888" s="46"/>
      <c r="CQ888" s="46"/>
      <c r="CR888" s="46"/>
      <c r="CS888" s="46"/>
      <c r="CT888" s="46"/>
      <c r="CU888" s="46"/>
    </row>
    <row r="889" spans="1:99" ht="12.75" customHeight="1">
      <c r="A889" s="399">
        <v>1827</v>
      </c>
      <c r="B889" s="399" t="s">
        <v>7166</v>
      </c>
      <c r="C889" s="399">
        <f t="shared" si="117"/>
        <v>1827</v>
      </c>
      <c r="D889" s="399" t="e">
        <f t="shared" ca="1" si="118"/>
        <v>#NAME?</v>
      </c>
      <c r="E889" s="399">
        <f t="shared" si="119"/>
        <v>0</v>
      </c>
      <c r="F889" s="409" t="s">
        <v>180</v>
      </c>
      <c r="G889" s="400">
        <f t="shared" si="129"/>
        <v>45</v>
      </c>
      <c r="H889" s="399" t="str">
        <f t="shared" si="133"/>
        <v>Reason not contacted if client gave consent to be contacted</v>
      </c>
      <c r="I889" s="400"/>
      <c r="J889" s="400"/>
      <c r="K889" s="402" t="s">
        <v>6955</v>
      </c>
      <c r="L889" s="402" t="s">
        <v>6096</v>
      </c>
      <c r="M889" s="400"/>
      <c r="N889" s="772" t="s">
        <v>7058</v>
      </c>
      <c r="O889" s="407"/>
      <c r="P889" s="407"/>
      <c r="Q889" s="407"/>
      <c r="R889" s="407" t="s">
        <v>7167</v>
      </c>
      <c r="S889" s="407"/>
      <c r="T889" s="407"/>
      <c r="U889" s="407"/>
      <c r="V889" s="407"/>
      <c r="W889" s="407"/>
      <c r="X889" s="407"/>
      <c r="Y889" s="407"/>
      <c r="Z889" s="407"/>
      <c r="AA889" s="407"/>
      <c r="AB889" s="408"/>
      <c r="AC889" s="407"/>
      <c r="AD889" s="407"/>
      <c r="AE889" s="408"/>
      <c r="AF889" s="407"/>
      <c r="AG889" s="407"/>
      <c r="AH889" s="399"/>
      <c r="AI889" s="400"/>
      <c r="AJ889" s="399"/>
      <c r="AK889" s="399"/>
      <c r="AL889" s="399"/>
      <c r="AM889" s="399"/>
      <c r="AN889" s="399"/>
      <c r="AO889" s="399"/>
      <c r="AP889" s="399"/>
      <c r="AQ889" s="409" t="s">
        <v>115</v>
      </c>
      <c r="AR889" s="399"/>
      <c r="AS889" s="399"/>
      <c r="AT889" s="399"/>
      <c r="AU889" s="399" t="s">
        <v>7166</v>
      </c>
      <c r="AV889" s="399" t="str">
        <f t="shared" si="123"/>
        <v>Same</v>
      </c>
      <c r="AW889" s="399"/>
      <c r="AX889" s="409" t="s">
        <v>3104</v>
      </c>
      <c r="AY889" s="399" t="e">
        <f t="shared" ca="1" si="124"/>
        <v>#NAME?</v>
      </c>
      <c r="AZ889" s="409" t="s">
        <v>3105</v>
      </c>
      <c r="BA889" s="409">
        <v>0</v>
      </c>
      <c r="BB889" s="415" t="s">
        <v>3131</v>
      </c>
      <c r="BC889" s="409" t="s">
        <v>9604</v>
      </c>
      <c r="BD889" s="409" t="s">
        <v>3162</v>
      </c>
      <c r="BE889" s="411"/>
      <c r="BF889" s="411"/>
      <c r="BG889" s="411"/>
      <c r="BH889" s="411"/>
      <c r="BI889" s="411"/>
      <c r="BJ889" s="409" t="s">
        <v>3133</v>
      </c>
      <c r="BK889" s="399"/>
      <c r="BL889" s="399"/>
      <c r="BM889" s="409" t="s">
        <v>9605</v>
      </c>
      <c r="BN889" s="399"/>
      <c r="BO889" s="399"/>
      <c r="BP889" s="399"/>
      <c r="BQ889" s="399"/>
      <c r="BR889" s="399"/>
      <c r="BS889" s="407"/>
      <c r="BT889" s="407"/>
      <c r="BU889" s="412"/>
      <c r="BV889" s="46" t="str">
        <f t="shared" si="8"/>
        <v/>
      </c>
      <c r="BW889" s="46">
        <f t="shared" si="9"/>
        <v>0</v>
      </c>
      <c r="BX889" s="46">
        <f t="shared" si="10"/>
        <v>0</v>
      </c>
      <c r="BY889" s="43">
        <f t="shared" si="11"/>
        <v>0</v>
      </c>
      <c r="BZ889" s="46">
        <f t="shared" si="12"/>
        <v>1</v>
      </c>
      <c r="CA889" s="46" t="str">
        <f t="shared" si="13"/>
        <v/>
      </c>
      <c r="CB889" s="46">
        <f t="shared" si="14"/>
        <v>1</v>
      </c>
      <c r="CC889" s="46">
        <f t="shared" si="15"/>
        <v>1</v>
      </c>
      <c r="CD889" s="46">
        <f t="shared" si="16"/>
        <v>1</v>
      </c>
      <c r="CE889" s="46">
        <f t="shared" si="17"/>
        <v>0</v>
      </c>
      <c r="CF889" s="46">
        <f t="shared" si="18"/>
        <v>0</v>
      </c>
      <c r="CG889" s="46" t="str">
        <f ca="1">IFERROR(__xludf.DUMMYFUNCTION("if(OR(BH889="""",LEFT(BH889,2)=""LA""),"""",IMPORTXML(CONCATENATE(""https://loinc.org/"",BH889,""/""),""//span[@id='lcn']""))"),"")</f>
        <v/>
      </c>
      <c r="CH889" s="46"/>
      <c r="CI889" s="46"/>
      <c r="CJ889" s="46"/>
      <c r="CK889" s="46"/>
      <c r="CL889" s="46"/>
      <c r="CM889" s="46"/>
      <c r="CN889" s="46"/>
      <c r="CO889" s="46"/>
      <c r="CP889" s="46"/>
      <c r="CQ889" s="46"/>
      <c r="CR889" s="46"/>
      <c r="CS889" s="46"/>
      <c r="CT889" s="46"/>
      <c r="CU889" s="46"/>
    </row>
    <row r="890" spans="1:99" ht="12.75" customHeight="1">
      <c r="A890" s="399">
        <v>1828</v>
      </c>
      <c r="B890" s="399" t="s">
        <v>7168</v>
      </c>
      <c r="C890" s="399">
        <f t="shared" si="117"/>
        <v>1828</v>
      </c>
      <c r="D890" s="399" t="e">
        <f t="shared" ca="1" si="118"/>
        <v>#NAME?</v>
      </c>
      <c r="E890" s="399">
        <f t="shared" si="119"/>
        <v>0</v>
      </c>
      <c r="F890" s="409" t="s">
        <v>180</v>
      </c>
      <c r="G890" s="400">
        <f t="shared" si="129"/>
        <v>45</v>
      </c>
      <c r="H890" s="399" t="str">
        <f t="shared" si="133"/>
        <v>Reason not contacted if client gave consent to be contacted</v>
      </c>
      <c r="I890" s="400"/>
      <c r="J890" s="400"/>
      <c r="K890" s="402" t="s">
        <v>6955</v>
      </c>
      <c r="L890" s="402" t="s">
        <v>6096</v>
      </c>
      <c r="M890" s="400"/>
      <c r="N890" s="772" t="s">
        <v>7058</v>
      </c>
      <c r="O890" s="407"/>
      <c r="P890" s="407"/>
      <c r="Q890" s="407"/>
      <c r="R890" s="407" t="s">
        <v>7169</v>
      </c>
      <c r="S890" s="407"/>
      <c r="T890" s="407"/>
      <c r="U890" s="407"/>
      <c r="V890" s="407"/>
      <c r="W890" s="407"/>
      <c r="X890" s="407"/>
      <c r="Y890" s="407"/>
      <c r="Z890" s="407"/>
      <c r="AA890" s="407"/>
      <c r="AB890" s="408"/>
      <c r="AC890" s="407"/>
      <c r="AD890" s="407"/>
      <c r="AE890" s="408"/>
      <c r="AF890" s="407"/>
      <c r="AG890" s="407"/>
      <c r="AH890" s="399"/>
      <c r="AI890" s="400"/>
      <c r="AJ890" s="399"/>
      <c r="AK890" s="399"/>
      <c r="AL890" s="399"/>
      <c r="AM890" s="399"/>
      <c r="AN890" s="399"/>
      <c r="AO890" s="399"/>
      <c r="AP890" s="399"/>
      <c r="AQ890" s="409" t="s">
        <v>115</v>
      </c>
      <c r="AR890" s="399"/>
      <c r="AS890" s="399"/>
      <c r="AT890" s="399"/>
      <c r="AU890" s="399" t="s">
        <v>7168</v>
      </c>
      <c r="AV890" s="399" t="str">
        <f t="shared" si="123"/>
        <v>Same</v>
      </c>
      <c r="AW890" s="399"/>
      <c r="AX890" s="409" t="s">
        <v>3104</v>
      </c>
      <c r="AY890" s="399" t="e">
        <f t="shared" ca="1" si="124"/>
        <v>#NAME?</v>
      </c>
      <c r="AZ890" s="409" t="s">
        <v>3105</v>
      </c>
      <c r="BA890" s="409">
        <v>0</v>
      </c>
      <c r="BB890" s="415" t="s">
        <v>9592</v>
      </c>
      <c r="BC890" s="409" t="s">
        <v>9606</v>
      </c>
      <c r="BD890" s="399"/>
      <c r="BE890" s="411"/>
      <c r="BF890" s="411"/>
      <c r="BG890" s="411"/>
      <c r="BH890" s="411"/>
      <c r="BI890" s="411"/>
      <c r="BJ890" s="399"/>
      <c r="BK890" s="399"/>
      <c r="BL890" s="399"/>
      <c r="BM890" s="399"/>
      <c r="BN890" s="399"/>
      <c r="BO890" s="399"/>
      <c r="BP890" s="399"/>
      <c r="BQ890" s="399"/>
      <c r="BR890" s="399"/>
      <c r="BS890" s="407"/>
      <c r="BT890" s="407"/>
      <c r="BU890" s="412"/>
      <c r="BV890" s="46" t="str">
        <f t="shared" si="8"/>
        <v/>
      </c>
      <c r="BW890" s="46">
        <f t="shared" si="9"/>
        <v>0</v>
      </c>
      <c r="BX890" s="46">
        <f t="shared" si="10"/>
        <v>0</v>
      </c>
      <c r="BY890" s="43">
        <f t="shared" si="11"/>
        <v>0</v>
      </c>
      <c r="BZ890" s="46">
        <f t="shared" si="12"/>
        <v>1</v>
      </c>
      <c r="CA890" s="46" t="str">
        <f t="shared" si="13"/>
        <v/>
      </c>
      <c r="CB890" s="46">
        <f t="shared" si="14"/>
        <v>1</v>
      </c>
      <c r="CC890" s="46">
        <f t="shared" si="15"/>
        <v>1</v>
      </c>
      <c r="CD890" s="46">
        <f t="shared" si="16"/>
        <v>1</v>
      </c>
      <c r="CE890" s="46">
        <f t="shared" si="17"/>
        <v>0</v>
      </c>
      <c r="CF890" s="46">
        <f t="shared" si="18"/>
        <v>0</v>
      </c>
      <c r="CG890" s="46" t="str">
        <f ca="1">IFERROR(__xludf.DUMMYFUNCTION("if(OR(BH890="""",LEFT(BH890,2)=""LA""),"""",IMPORTXML(CONCATENATE(""https://loinc.org/"",BH890,""/""),""//span[@id='lcn']""))"),"")</f>
        <v/>
      </c>
      <c r="CH890" s="46"/>
      <c r="CI890" s="46"/>
      <c r="CJ890" s="46"/>
      <c r="CK890" s="46"/>
      <c r="CL890" s="46"/>
      <c r="CM890" s="46"/>
      <c r="CN890" s="46"/>
      <c r="CO890" s="46"/>
      <c r="CP890" s="46"/>
      <c r="CQ890" s="46"/>
      <c r="CR890" s="46"/>
      <c r="CS890" s="46"/>
      <c r="CT890" s="46"/>
      <c r="CU890" s="46"/>
    </row>
    <row r="891" spans="1:99" ht="12.75" customHeight="1">
      <c r="A891" s="399">
        <v>1829</v>
      </c>
      <c r="B891" s="399" t="s">
        <v>7171</v>
      </c>
      <c r="C891" s="399">
        <f t="shared" si="117"/>
        <v>1829</v>
      </c>
      <c r="D891" s="399" t="e">
        <f t="shared" ca="1" si="118"/>
        <v>#NAME?</v>
      </c>
      <c r="E891" s="399">
        <f t="shared" si="119"/>
        <v>0</v>
      </c>
      <c r="F891" s="409" t="s">
        <v>180</v>
      </c>
      <c r="G891" s="400">
        <f t="shared" si="129"/>
        <v>24</v>
      </c>
      <c r="H891" s="399" t="str">
        <f t="shared" si="133"/>
        <v>Reason not contacted if client gave consent to be contacted</v>
      </c>
      <c r="I891" s="400"/>
      <c r="J891" s="400"/>
      <c r="K891" s="402" t="s">
        <v>6955</v>
      </c>
      <c r="L891" s="402" t="s">
        <v>6096</v>
      </c>
      <c r="M891" s="400"/>
      <c r="N891" s="772" t="s">
        <v>7058</v>
      </c>
      <c r="O891" s="407"/>
      <c r="P891" s="407"/>
      <c r="Q891" s="407"/>
      <c r="R891" s="407" t="s">
        <v>7172</v>
      </c>
      <c r="S891" s="407"/>
      <c r="T891" s="407"/>
      <c r="U891" s="407"/>
      <c r="V891" s="407"/>
      <c r="W891" s="407"/>
      <c r="X891" s="407"/>
      <c r="Y891" s="407"/>
      <c r="Z891" s="407"/>
      <c r="AA891" s="407"/>
      <c r="AB891" s="408"/>
      <c r="AC891" s="407"/>
      <c r="AD891" s="407"/>
      <c r="AE891" s="408"/>
      <c r="AF891" s="407"/>
      <c r="AG891" s="407"/>
      <c r="AH891" s="399"/>
      <c r="AI891" s="400"/>
      <c r="AJ891" s="399"/>
      <c r="AK891" s="399"/>
      <c r="AL891" s="399"/>
      <c r="AM891" s="399"/>
      <c r="AN891" s="399"/>
      <c r="AO891" s="399"/>
      <c r="AP891" s="399"/>
      <c r="AQ891" s="409" t="s">
        <v>115</v>
      </c>
      <c r="AR891" s="399"/>
      <c r="AS891" s="399"/>
      <c r="AT891" s="399"/>
      <c r="AU891" s="399" t="s">
        <v>7171</v>
      </c>
      <c r="AV891" s="399" t="str">
        <f t="shared" si="123"/>
        <v>Same</v>
      </c>
      <c r="AW891" s="399"/>
      <c r="AX891" s="409" t="s">
        <v>3104</v>
      </c>
      <c r="AY891" s="399" t="e">
        <f t="shared" ca="1" si="124"/>
        <v>#NAME?</v>
      </c>
      <c r="AZ891" s="409" t="s">
        <v>3105</v>
      </c>
      <c r="BA891" s="409">
        <v>0</v>
      </c>
      <c r="BB891" s="415" t="s">
        <v>3131</v>
      </c>
      <c r="BC891" s="409" t="s">
        <v>7174</v>
      </c>
      <c r="BD891" s="409" t="s">
        <v>3162</v>
      </c>
      <c r="BE891" s="411"/>
      <c r="BF891" s="411"/>
      <c r="BG891" s="411"/>
      <c r="BH891" s="411"/>
      <c r="BI891" s="411"/>
      <c r="BJ891" s="409" t="s">
        <v>3133</v>
      </c>
      <c r="BK891" s="399"/>
      <c r="BL891" s="399"/>
      <c r="BM891" s="409" t="s">
        <v>9607</v>
      </c>
      <c r="BN891" s="399"/>
      <c r="BO891" s="399"/>
      <c r="BP891" s="399"/>
      <c r="BQ891" s="399"/>
      <c r="BR891" s="399"/>
      <c r="BS891" s="407"/>
      <c r="BT891" s="407"/>
      <c r="BU891" s="412"/>
      <c r="BV891" s="46" t="str">
        <f t="shared" si="8"/>
        <v/>
      </c>
      <c r="BW891" s="46">
        <f t="shared" si="9"/>
        <v>0</v>
      </c>
      <c r="BX891" s="46">
        <f t="shared" si="10"/>
        <v>0</v>
      </c>
      <c r="BY891" s="43">
        <f t="shared" si="11"/>
        <v>0</v>
      </c>
      <c r="BZ891" s="46">
        <f t="shared" si="12"/>
        <v>1</v>
      </c>
      <c r="CA891" s="46" t="str">
        <f t="shared" si="13"/>
        <v/>
      </c>
      <c r="CB891" s="46">
        <f t="shared" si="14"/>
        <v>1</v>
      </c>
      <c r="CC891" s="46">
        <f t="shared" si="15"/>
        <v>1</v>
      </c>
      <c r="CD891" s="46">
        <f t="shared" si="16"/>
        <v>1</v>
      </c>
      <c r="CE891" s="46">
        <f t="shared" si="17"/>
        <v>0</v>
      </c>
      <c r="CF891" s="46">
        <f t="shared" si="18"/>
        <v>0</v>
      </c>
      <c r="CG891" s="46" t="str">
        <f ca="1">IFERROR(__xludf.DUMMYFUNCTION("if(OR(BH891="""",LEFT(BH891,2)=""LA""),"""",IMPORTXML(CONCATENATE(""https://loinc.org/"",BH891,""/""),""//span[@id='lcn']""))"),"")</f>
        <v/>
      </c>
      <c r="CH891" s="46"/>
      <c r="CI891" s="46"/>
      <c r="CJ891" s="46"/>
      <c r="CK891" s="46"/>
      <c r="CL891" s="46"/>
      <c r="CM891" s="46"/>
      <c r="CN891" s="46"/>
      <c r="CO891" s="46"/>
      <c r="CP891" s="46"/>
      <c r="CQ891" s="46"/>
      <c r="CR891" s="46"/>
      <c r="CS891" s="46"/>
      <c r="CT891" s="46"/>
      <c r="CU891" s="46"/>
    </row>
    <row r="892" spans="1:99" ht="12.75" customHeight="1">
      <c r="A892" s="399">
        <v>1830</v>
      </c>
      <c r="B892" s="399" t="s">
        <v>7174</v>
      </c>
      <c r="C892" s="399">
        <f t="shared" si="117"/>
        <v>1830</v>
      </c>
      <c r="D892" s="399" t="str">
        <f t="shared" si="118"/>
        <v>Deceased</v>
      </c>
      <c r="E892" s="399" t="str">
        <f t="shared" si="119"/>
        <v>Deceased</v>
      </c>
      <c r="F892" s="399" t="str">
        <f t="shared" ref="F892:F910" si="138">IF(AND(ISBLANK(V892)=FALSE,OR(T892="MC",T892="")),"Input Option","Data Element")</f>
        <v>Data Element</v>
      </c>
      <c r="G892" s="400">
        <f t="shared" si="129"/>
        <v>8</v>
      </c>
      <c r="H892" s="400" t="str">
        <f t="shared" si="133"/>
        <v/>
      </c>
      <c r="I892" s="400"/>
      <c r="J892" s="400"/>
      <c r="K892" s="402" t="s">
        <v>6955</v>
      </c>
      <c r="L892" s="402" t="s">
        <v>6096</v>
      </c>
      <c r="M892" s="400"/>
      <c r="N892" s="772" t="s">
        <v>7058</v>
      </c>
      <c r="O892" s="407" t="s">
        <v>7180</v>
      </c>
      <c r="P892" s="407" t="s">
        <v>7181</v>
      </c>
      <c r="Q892" s="407" t="s">
        <v>7174</v>
      </c>
      <c r="R892" s="407" t="s">
        <v>7174</v>
      </c>
      <c r="S892" s="407" t="s">
        <v>7183</v>
      </c>
      <c r="T892" s="407" t="s">
        <v>3169</v>
      </c>
      <c r="U892" s="407"/>
      <c r="V892" s="407" t="s">
        <v>3170</v>
      </c>
      <c r="W892" s="407"/>
      <c r="X892" s="407"/>
      <c r="Y892" s="407"/>
      <c r="Z892" s="407"/>
      <c r="AA892" s="407"/>
      <c r="AB892" s="408"/>
      <c r="AC892" s="407"/>
      <c r="AD892" s="407"/>
      <c r="AE892" s="408"/>
      <c r="AF892" s="407"/>
      <c r="AG892" s="407"/>
      <c r="AH892" s="399"/>
      <c r="AI892" s="400"/>
      <c r="AJ892" s="399"/>
      <c r="AK892" s="399" t="s">
        <v>7184</v>
      </c>
      <c r="AL892" s="409" t="s">
        <v>3313</v>
      </c>
      <c r="AM892" s="399" t="s">
        <v>3100</v>
      </c>
      <c r="AN892" s="399" t="s">
        <v>3101</v>
      </c>
      <c r="AO892" s="399"/>
      <c r="AP892" s="409" t="s">
        <v>3102</v>
      </c>
      <c r="AQ892" s="409" t="s">
        <v>115</v>
      </c>
      <c r="AR892" s="399"/>
      <c r="AS892" s="399"/>
      <c r="AT892" s="399"/>
      <c r="AU892" s="399" t="s">
        <v>7174</v>
      </c>
      <c r="AV892" s="399" t="str">
        <f t="shared" si="123"/>
        <v>Same</v>
      </c>
      <c r="AW892" s="399"/>
      <c r="AX892" s="409" t="s">
        <v>3104</v>
      </c>
      <c r="AY892" s="399" t="str">
        <f t="shared" si="124"/>
        <v/>
      </c>
      <c r="AZ892" s="409" t="s">
        <v>3105</v>
      </c>
      <c r="BA892" s="409">
        <v>0</v>
      </c>
      <c r="BB892" s="399"/>
      <c r="BC892" s="399"/>
      <c r="BD892" s="409" t="s">
        <v>3162</v>
      </c>
      <c r="BE892" s="411" t="s">
        <v>7185</v>
      </c>
      <c r="BF892" s="411" t="s">
        <v>7186</v>
      </c>
      <c r="BG892" s="411" t="s">
        <v>9608</v>
      </c>
      <c r="BH892" s="411"/>
      <c r="BI892" s="411"/>
      <c r="BJ892" s="399"/>
      <c r="BK892" s="399"/>
      <c r="BL892" s="399"/>
      <c r="BM892" s="399"/>
      <c r="BN892" s="399"/>
      <c r="BO892" s="399">
        <v>159</v>
      </c>
      <c r="BP892" s="399"/>
      <c r="BQ892" s="399"/>
      <c r="BR892" s="399"/>
      <c r="BS892" s="407"/>
      <c r="BT892" s="407"/>
      <c r="BU892" s="412"/>
      <c r="BV892" s="46" t="str">
        <f t="shared" si="8"/>
        <v/>
      </c>
      <c r="BW892" s="46" t="str">
        <f t="shared" si="9"/>
        <v/>
      </c>
      <c r="BX892" s="46" t="str">
        <f t="shared" si="10"/>
        <v/>
      </c>
      <c r="BY892" s="43" t="str">
        <f t="shared" si="11"/>
        <v>WHO-Core Patient</v>
      </c>
      <c r="BZ892" s="46">
        <f t="shared" si="12"/>
        <v>1</v>
      </c>
      <c r="CA892" s="46">
        <f t="shared" si="13"/>
        <v>0</v>
      </c>
      <c r="CB892" s="46">
        <f t="shared" si="14"/>
        <v>1</v>
      </c>
      <c r="CC892" s="46">
        <f t="shared" si="15"/>
        <v>1</v>
      </c>
      <c r="CD892" s="46">
        <f t="shared" si="16"/>
        <v>1</v>
      </c>
      <c r="CE892" s="46">
        <f t="shared" si="17"/>
        <v>0</v>
      </c>
      <c r="CF892" s="46">
        <f t="shared" si="18"/>
        <v>0</v>
      </c>
      <c r="CG892" s="46" t="str">
        <f ca="1">IFERROR(__xludf.DUMMYFUNCTION("if(OR(BH892="""",LEFT(BH892,2)=""LA""),"""",IMPORTXML(CONCATENATE(""https://loinc.org/"",BH892,""/""),""//span[@id='lcn']""))"),"")</f>
        <v/>
      </c>
      <c r="CH892" s="46"/>
      <c r="CI892" s="46"/>
      <c r="CJ892" s="46"/>
      <c r="CK892" s="46"/>
      <c r="CL892" s="46"/>
      <c r="CM892" s="46"/>
      <c r="CN892" s="46"/>
      <c r="CO892" s="46"/>
      <c r="CP892" s="46"/>
      <c r="CQ892" s="46"/>
      <c r="CR892" s="46"/>
      <c r="CS892" s="46"/>
      <c r="CT892" s="46"/>
      <c r="CU892" s="46"/>
    </row>
    <row r="893" spans="1:99" ht="12.75" customHeight="1">
      <c r="A893" s="399">
        <v>1831</v>
      </c>
      <c r="B893" s="399" t="s">
        <v>7187</v>
      </c>
      <c r="C893" s="399">
        <f t="shared" si="117"/>
        <v>1831</v>
      </c>
      <c r="D893" s="399" t="str">
        <f t="shared" si="118"/>
        <v>Date_of_Death</v>
      </c>
      <c r="E893" s="399" t="str">
        <f t="shared" si="119"/>
        <v>Date_of_Death</v>
      </c>
      <c r="F893" s="399" t="str">
        <f t="shared" si="138"/>
        <v>Data Element</v>
      </c>
      <c r="G893" s="400">
        <f t="shared" si="129"/>
        <v>13</v>
      </c>
      <c r="H893" s="400" t="str">
        <f t="shared" si="133"/>
        <v/>
      </c>
      <c r="I893" s="400"/>
      <c r="J893" s="400"/>
      <c r="K893" s="402" t="s">
        <v>6955</v>
      </c>
      <c r="L893" s="402" t="s">
        <v>6096</v>
      </c>
      <c r="M893" s="400"/>
      <c r="N893" s="772" t="s">
        <v>7058</v>
      </c>
      <c r="O893" s="407"/>
      <c r="P893" s="407"/>
      <c r="Q893" s="774" t="s">
        <v>7187</v>
      </c>
      <c r="R893" s="774" t="s">
        <v>7188</v>
      </c>
      <c r="S893" s="431" t="s">
        <v>7189</v>
      </c>
      <c r="T893" s="774" t="s">
        <v>140</v>
      </c>
      <c r="U893" s="774"/>
      <c r="V893" s="774"/>
      <c r="W893" s="774"/>
      <c r="X893" s="774" t="s">
        <v>113</v>
      </c>
      <c r="Y893" s="432" t="s">
        <v>9609</v>
      </c>
      <c r="Z893" s="407"/>
      <c r="AA893" s="407" t="s">
        <v>7192</v>
      </c>
      <c r="AB893" s="432" t="s">
        <v>7193</v>
      </c>
      <c r="AC893" s="421"/>
      <c r="AD893" s="407"/>
      <c r="AE893" s="408"/>
      <c r="AF893" s="407"/>
      <c r="AG893" s="407"/>
      <c r="AH893" s="399"/>
      <c r="AI893" s="400"/>
      <c r="AJ893" s="399"/>
      <c r="AK893" s="409" t="s">
        <v>7184</v>
      </c>
      <c r="AL893" s="409" t="s">
        <v>3513</v>
      </c>
      <c r="AM893" s="409" t="s">
        <v>3100</v>
      </c>
      <c r="AN893" s="399" t="s">
        <v>3101</v>
      </c>
      <c r="AO893" s="399"/>
      <c r="AP893" s="409" t="s">
        <v>3102</v>
      </c>
      <c r="AQ893" s="409" t="s">
        <v>115</v>
      </c>
      <c r="AR893" s="399"/>
      <c r="AS893" s="399"/>
      <c r="AT893" s="399"/>
      <c r="AU893" s="399" t="s">
        <v>7187</v>
      </c>
      <c r="AV893" s="399" t="str">
        <f t="shared" si="123"/>
        <v>Same</v>
      </c>
      <c r="AW893" s="399"/>
      <c r="AX893" s="409" t="s">
        <v>3104</v>
      </c>
      <c r="AY893" s="399" t="str">
        <f t="shared" si="124"/>
        <v/>
      </c>
      <c r="AZ893" s="409" t="s">
        <v>3105</v>
      </c>
      <c r="BA893" s="409">
        <v>0</v>
      </c>
      <c r="BB893" s="399"/>
      <c r="BC893" s="409"/>
      <c r="BD893" s="409" t="s">
        <v>3162</v>
      </c>
      <c r="BE893" s="411"/>
      <c r="BF893" s="411"/>
      <c r="BG893" s="434" t="s">
        <v>9610</v>
      </c>
      <c r="BH893" s="411"/>
      <c r="BI893" s="411"/>
      <c r="BJ893" s="399"/>
      <c r="BK893" s="399"/>
      <c r="BL893" s="399"/>
      <c r="BM893" s="399"/>
      <c r="BN893" s="399"/>
      <c r="BO893" s="399"/>
      <c r="BP893" s="399"/>
      <c r="BQ893" s="399"/>
      <c r="BR893" s="399"/>
      <c r="BS893" s="407"/>
      <c r="BT893" s="407"/>
      <c r="BU893" s="412"/>
      <c r="BV893" s="46" t="str">
        <f t="shared" si="8"/>
        <v/>
      </c>
      <c r="BW893" s="46" t="str">
        <f t="shared" si="9"/>
        <v/>
      </c>
      <c r="BX893" s="46" t="str">
        <f t="shared" si="10"/>
        <v/>
      </c>
      <c r="BY893" s="43" t="str">
        <f t="shared" si="11"/>
        <v>WHO-Core Patient</v>
      </c>
      <c r="BZ893" s="46">
        <f t="shared" si="12"/>
        <v>1</v>
      </c>
      <c r="CA893" s="46">
        <f t="shared" si="13"/>
        <v>0</v>
      </c>
      <c r="CB893" s="46">
        <f t="shared" si="14"/>
        <v>1</v>
      </c>
      <c r="CC893" s="46">
        <f t="shared" si="15"/>
        <v>1</v>
      </c>
      <c r="CD893" s="46">
        <f t="shared" si="16"/>
        <v>1</v>
      </c>
      <c r="CE893" s="46">
        <f t="shared" si="17"/>
        <v>0</v>
      </c>
      <c r="CF893" s="46">
        <f t="shared" si="18"/>
        <v>0</v>
      </c>
      <c r="CG893" s="46" t="str">
        <f ca="1">IFERROR(__xludf.DUMMYFUNCTION("if(OR(BH893="""",LEFT(BH893,2)=""LA""),"""",IMPORTXML(CONCATENATE(""https://loinc.org/"",BH893,""/""),""//span[@id='lcn']""))"),"")</f>
        <v/>
      </c>
      <c r="CH893" s="46"/>
      <c r="CI893" s="46"/>
      <c r="CJ893" s="46"/>
      <c r="CK893" s="46"/>
      <c r="CL893" s="46"/>
      <c r="CM893" s="46"/>
      <c r="CN893" s="46"/>
      <c r="CO893" s="46"/>
      <c r="CP893" s="46"/>
      <c r="CQ893" s="46"/>
      <c r="CR893" s="46"/>
      <c r="CS893" s="46"/>
      <c r="CT893" s="46"/>
      <c r="CU893" s="46"/>
    </row>
    <row r="894" spans="1:99" ht="12.75" customHeight="1">
      <c r="A894" s="399">
        <v>1832</v>
      </c>
      <c r="B894" s="399" t="s">
        <v>7196</v>
      </c>
      <c r="C894" s="399">
        <f t="shared" si="117"/>
        <v>1832</v>
      </c>
      <c r="D894" s="399" t="str">
        <f t="shared" si="118"/>
        <v>Cause_Death</v>
      </c>
      <c r="E894" s="399" t="str">
        <f t="shared" si="119"/>
        <v>Cause_Death</v>
      </c>
      <c r="F894" s="399" t="str">
        <f t="shared" si="138"/>
        <v>Data Element</v>
      </c>
      <c r="G894" s="400">
        <f t="shared" si="129"/>
        <v>11</v>
      </c>
      <c r="H894" s="400" t="str">
        <f t="shared" si="133"/>
        <v/>
      </c>
      <c r="I894" s="400"/>
      <c r="J894" s="400"/>
      <c r="K894" s="402" t="s">
        <v>6955</v>
      </c>
      <c r="L894" s="402" t="s">
        <v>6096</v>
      </c>
      <c r="M894" s="400"/>
      <c r="N894" s="772" t="s">
        <v>7058</v>
      </c>
      <c r="O894" s="407" t="s">
        <v>7197</v>
      </c>
      <c r="P894" s="407" t="s">
        <v>7198</v>
      </c>
      <c r="Q894" s="774" t="s">
        <v>7196</v>
      </c>
      <c r="R894" s="774" t="s">
        <v>7199</v>
      </c>
      <c r="S894" s="431" t="s">
        <v>7200</v>
      </c>
      <c r="T894" s="774" t="s">
        <v>111</v>
      </c>
      <c r="U894" s="774"/>
      <c r="V894" s="774"/>
      <c r="W894" s="774"/>
      <c r="X894" s="774"/>
      <c r="Y894" s="407"/>
      <c r="Z894" s="407"/>
      <c r="AA894" s="407" t="s">
        <v>7192</v>
      </c>
      <c r="AB894" s="432" t="s">
        <v>7193</v>
      </c>
      <c r="AC894" s="421"/>
      <c r="AD894" s="407"/>
      <c r="AE894" s="408"/>
      <c r="AF894" s="407"/>
      <c r="AG894" s="407"/>
      <c r="AH894" s="399"/>
      <c r="AI894" s="400"/>
      <c r="AJ894" s="399"/>
      <c r="AK894" s="409" t="s">
        <v>9611</v>
      </c>
      <c r="AL894" s="409" t="s">
        <v>3423</v>
      </c>
      <c r="AM894" s="409" t="s">
        <v>3314</v>
      </c>
      <c r="AN894" s="409" t="s">
        <v>3101</v>
      </c>
      <c r="AO894" s="399"/>
      <c r="AP894" s="409" t="s">
        <v>3102</v>
      </c>
      <c r="AQ894" s="409" t="s">
        <v>115</v>
      </c>
      <c r="AR894" s="399"/>
      <c r="AS894" s="399"/>
      <c r="AT894" s="399"/>
      <c r="AU894" s="399" t="s">
        <v>7196</v>
      </c>
      <c r="AV894" s="399" t="str">
        <f t="shared" si="123"/>
        <v>Same</v>
      </c>
      <c r="AW894" s="399"/>
      <c r="AX894" s="409" t="s">
        <v>3104</v>
      </c>
      <c r="AY894" s="399" t="str">
        <f t="shared" si="124"/>
        <v/>
      </c>
      <c r="AZ894" s="399"/>
      <c r="BA894" s="409">
        <v>0</v>
      </c>
      <c r="BB894" s="399"/>
      <c r="BC894" s="409"/>
      <c r="BD894" s="409" t="s">
        <v>3162</v>
      </c>
      <c r="BE894" s="411"/>
      <c r="BF894" s="411"/>
      <c r="BG894" s="411" t="s">
        <v>9612</v>
      </c>
      <c r="BH894" s="434" t="s">
        <v>9613</v>
      </c>
      <c r="BI894" s="411"/>
      <c r="BJ894" s="399"/>
      <c r="BK894" s="399"/>
      <c r="BL894" s="399"/>
      <c r="BM894" s="399"/>
      <c r="BN894" s="399"/>
      <c r="BO894" s="399">
        <v>1599</v>
      </c>
      <c r="BP894" s="399"/>
      <c r="BQ894" s="399"/>
      <c r="BR894" s="399"/>
      <c r="BS894" s="407"/>
      <c r="BT894" s="407"/>
      <c r="BU894" s="412"/>
      <c r="BV894" s="46" t="str">
        <f t="shared" si="8"/>
        <v/>
      </c>
      <c r="BW894" s="46" t="str">
        <f t="shared" si="9"/>
        <v/>
      </c>
      <c r="BX894" s="46" t="str">
        <f t="shared" si="10"/>
        <v/>
      </c>
      <c r="BY894" s="43" t="str">
        <f t="shared" si="11"/>
        <v>WHO-Core Patient</v>
      </c>
      <c r="BZ894" s="46">
        <f t="shared" si="12"/>
        <v>1</v>
      </c>
      <c r="CA894" s="46">
        <f t="shared" si="13"/>
        <v>0</v>
      </c>
      <c r="CB894" s="46">
        <f t="shared" si="14"/>
        <v>0</v>
      </c>
      <c r="CC894" s="46">
        <f t="shared" si="15"/>
        <v>0</v>
      </c>
      <c r="CD894" s="46">
        <f t="shared" si="16"/>
        <v>0</v>
      </c>
      <c r="CE894" s="46">
        <f t="shared" si="17"/>
        <v>0</v>
      </c>
      <c r="CF894" s="46">
        <f t="shared" si="18"/>
        <v>1</v>
      </c>
      <c r="CG894" s="46" t="str">
        <f ca="1">IFERROR(__xludf.DUMMYFUNCTION("if(OR(BH894="""",LEFT(BH894,2)=""LA""),"""",IMPORTXML(CONCATENATE(""https://loinc.org/"",BH894,""/""),""//span[@id='lcn']""))"),"#N/A")</f>
        <v>#N/A</v>
      </c>
      <c r="CH894" s="46"/>
      <c r="CI894" s="46"/>
      <c r="CJ894" s="46"/>
      <c r="CK894" s="46"/>
      <c r="CL894" s="46"/>
      <c r="CM894" s="46"/>
      <c r="CN894" s="46"/>
      <c r="CO894" s="46"/>
      <c r="CP894" s="46"/>
      <c r="CQ894" s="46"/>
      <c r="CR894" s="46"/>
      <c r="CS894" s="46"/>
      <c r="CT894" s="46"/>
      <c r="CU894" s="46"/>
    </row>
    <row r="895" spans="1:99" ht="12.75" customHeight="1">
      <c r="A895" s="409">
        <v>2293</v>
      </c>
      <c r="B895" s="399" t="s">
        <v>9614</v>
      </c>
      <c r="C895" s="399">
        <f t="shared" si="117"/>
        <v>2293</v>
      </c>
      <c r="D895" s="399">
        <f t="shared" si="118"/>
        <v>0</v>
      </c>
      <c r="E895" s="399">
        <f t="shared" si="119"/>
        <v>0</v>
      </c>
      <c r="F895" s="399" t="str">
        <f t="shared" si="138"/>
        <v>Data Element</v>
      </c>
      <c r="G895" s="400">
        <f t="shared" si="129"/>
        <v>28</v>
      </c>
      <c r="H895" s="400" t="str">
        <f t="shared" si="133"/>
        <v/>
      </c>
      <c r="I895" s="400"/>
      <c r="J895" s="400"/>
      <c r="K895" s="402" t="s">
        <v>9615</v>
      </c>
      <c r="L895" s="402" t="s">
        <v>2745</v>
      </c>
      <c r="M895" s="400"/>
      <c r="N895" s="762" t="s">
        <v>9616</v>
      </c>
      <c r="O895" s="407"/>
      <c r="P895" s="407"/>
      <c r="Q895" s="407"/>
      <c r="R895" s="407" t="s">
        <v>9617</v>
      </c>
      <c r="S895" s="407" t="s">
        <v>9618</v>
      </c>
      <c r="T895" s="407" t="s">
        <v>3121</v>
      </c>
      <c r="U895" s="407"/>
      <c r="V895" s="407"/>
      <c r="W895" s="407"/>
      <c r="X895" s="774"/>
      <c r="Y895" s="407"/>
      <c r="Z895" s="407"/>
      <c r="AA895" s="407"/>
      <c r="AB895" s="408"/>
      <c r="AC895" s="407"/>
      <c r="AD895" s="407"/>
      <c r="AE895" s="408"/>
      <c r="AF895" s="407"/>
      <c r="AG895" s="407"/>
      <c r="AH895" s="399"/>
      <c r="AI895" s="400"/>
      <c r="AJ895" s="399" t="s">
        <v>1787</v>
      </c>
      <c r="AK895" s="409" t="s">
        <v>4075</v>
      </c>
      <c r="AL895" s="399"/>
      <c r="AM895" s="413" t="s">
        <v>3100</v>
      </c>
      <c r="AN895" s="409" t="s">
        <v>3101</v>
      </c>
      <c r="AO895" s="399" t="s">
        <v>1787</v>
      </c>
      <c r="AP895" s="399"/>
      <c r="AQ895" s="409" t="s">
        <v>115</v>
      </c>
      <c r="AR895" s="410" t="s">
        <v>9619</v>
      </c>
      <c r="AS895" s="410"/>
      <c r="AT895" s="399"/>
      <c r="AU895" s="399"/>
      <c r="AV895" s="399" t="str">
        <f t="shared" si="123"/>
        <v/>
      </c>
      <c r="AW895" s="399"/>
      <c r="AX895" s="409" t="s">
        <v>3104</v>
      </c>
      <c r="AY895" s="399" t="str">
        <f t="shared" si="124"/>
        <v>"0"-&gt;"Location - Services provided"</v>
      </c>
      <c r="AZ895" s="409" t="s">
        <v>3105</v>
      </c>
      <c r="BA895" s="409">
        <v>0</v>
      </c>
      <c r="BB895" s="399"/>
      <c r="BC895" s="399" t="s">
        <v>1787</v>
      </c>
      <c r="BD895" s="399" t="s">
        <v>1787</v>
      </c>
      <c r="BE895" s="411"/>
      <c r="BF895" s="411" t="s">
        <v>1787</v>
      </c>
      <c r="BG895" s="411"/>
      <c r="BH895" s="411"/>
      <c r="BI895" s="411"/>
      <c r="BJ895" s="409" t="s">
        <v>3106</v>
      </c>
      <c r="BK895" s="399" t="s">
        <v>1787</v>
      </c>
      <c r="BL895" s="399"/>
      <c r="BM895" s="399" t="s">
        <v>1787</v>
      </c>
      <c r="BN895" s="399" t="s">
        <v>1787</v>
      </c>
      <c r="BO895" s="399" t="s">
        <v>1787</v>
      </c>
      <c r="BP895" s="399" t="s">
        <v>1787</v>
      </c>
      <c r="BQ895" s="399" t="s">
        <v>1787</v>
      </c>
      <c r="BR895" s="399" t="s">
        <v>1787</v>
      </c>
      <c r="BS895" s="407"/>
      <c r="BT895" s="407"/>
      <c r="BU895" s="412"/>
      <c r="BV895" s="46" t="str">
        <f t="shared" si="8"/>
        <v/>
      </c>
      <c r="BW895" s="46" t="str">
        <f t="shared" si="9"/>
        <v/>
      </c>
      <c r="BX895" s="46" t="str">
        <f t="shared" si="10"/>
        <v/>
      </c>
      <c r="BY895" s="43">
        <f t="shared" si="11"/>
        <v>0</v>
      </c>
      <c r="BZ895" s="46">
        <f t="shared" si="12"/>
        <v>1</v>
      </c>
      <c r="CA895" s="46">
        <f t="shared" si="13"/>
        <v>1</v>
      </c>
      <c r="CB895" s="46">
        <f t="shared" si="14"/>
        <v>1</v>
      </c>
      <c r="CC895" s="46">
        <f t="shared" si="15"/>
        <v>1</v>
      </c>
      <c r="CD895" s="46">
        <f t="shared" si="16"/>
        <v>1</v>
      </c>
      <c r="CE895" s="46">
        <f t="shared" si="17"/>
        <v>0</v>
      </c>
      <c r="CF895" s="46">
        <f t="shared" si="18"/>
        <v>0</v>
      </c>
      <c r="CG895" s="46" t="str">
        <f ca="1">IFERROR(__xludf.DUMMYFUNCTION("if(OR(BH895="""",LEFT(BH895,2)=""LA""),"""",IMPORTXML(CONCATENATE(""https://loinc.org/"",BH895,""/""),""//span[@id='lcn']""))"),"")</f>
        <v/>
      </c>
      <c r="CH895" s="46"/>
      <c r="CI895" s="46"/>
      <c r="CJ895" s="46"/>
      <c r="CK895" s="46"/>
      <c r="CL895" s="46"/>
      <c r="CM895" s="46"/>
      <c r="CN895" s="46"/>
      <c r="CO895" s="46"/>
      <c r="CP895" s="46"/>
      <c r="CQ895" s="46"/>
      <c r="CR895" s="46"/>
      <c r="CS895" s="46"/>
      <c r="CT895" s="46"/>
      <c r="CU895" s="46"/>
    </row>
    <row r="896" spans="1:99" ht="12.75" customHeight="1">
      <c r="A896" s="409">
        <v>2294</v>
      </c>
      <c r="B896" s="409" t="s">
        <v>9620</v>
      </c>
      <c r="C896" s="399">
        <f t="shared" si="117"/>
        <v>2294</v>
      </c>
      <c r="D896" s="399">
        <f t="shared" si="118"/>
        <v>0</v>
      </c>
      <c r="E896" s="399">
        <f t="shared" si="119"/>
        <v>0</v>
      </c>
      <c r="F896" s="399" t="str">
        <f t="shared" si="138"/>
        <v>Data Element</v>
      </c>
      <c r="G896" s="400">
        <f t="shared" si="129"/>
        <v>41</v>
      </c>
      <c r="H896" s="400" t="str">
        <f t="shared" si="133"/>
        <v/>
      </c>
      <c r="I896" s="400"/>
      <c r="J896" s="400"/>
      <c r="K896" s="402" t="s">
        <v>9615</v>
      </c>
      <c r="L896" s="402" t="s">
        <v>2745</v>
      </c>
      <c r="M896" s="400"/>
      <c r="N896" s="762" t="s">
        <v>9616</v>
      </c>
      <c r="O896" s="407"/>
      <c r="P896" s="407"/>
      <c r="Q896" s="407"/>
      <c r="R896" s="407" t="s">
        <v>9621</v>
      </c>
      <c r="S896" s="407" t="s">
        <v>9622</v>
      </c>
      <c r="T896" s="407" t="s">
        <v>3121</v>
      </c>
      <c r="U896" s="407"/>
      <c r="V896" s="407"/>
      <c r="W896" s="407"/>
      <c r="X896" s="774"/>
      <c r="Y896" s="407"/>
      <c r="Z896" s="407"/>
      <c r="AA896" s="407"/>
      <c r="AB896" s="408"/>
      <c r="AC896" s="407"/>
      <c r="AD896" s="407"/>
      <c r="AE896" s="408"/>
      <c r="AF896" s="407"/>
      <c r="AG896" s="407"/>
      <c r="AH896" s="399"/>
      <c r="AI896" s="400"/>
      <c r="AJ896" s="399" t="s">
        <v>1787</v>
      </c>
      <c r="AK896" s="409" t="s">
        <v>4075</v>
      </c>
      <c r="AL896" s="399"/>
      <c r="AM896" s="413" t="s">
        <v>3100</v>
      </c>
      <c r="AN896" s="409" t="s">
        <v>3101</v>
      </c>
      <c r="AO896" s="399" t="s">
        <v>1787</v>
      </c>
      <c r="AP896" s="399"/>
      <c r="AQ896" s="409" t="s">
        <v>115</v>
      </c>
      <c r="AR896" s="399"/>
      <c r="AS896" s="399"/>
      <c r="AT896" s="399"/>
      <c r="AU896" s="399"/>
      <c r="AV896" s="399" t="str">
        <f t="shared" si="123"/>
        <v/>
      </c>
      <c r="AW896" s="399"/>
      <c r="AX896" s="409" t="s">
        <v>3104</v>
      </c>
      <c r="AY896" s="399" t="str">
        <f t="shared" si="124"/>
        <v>"0"-&gt;"Location - Contraception Methods provided"</v>
      </c>
      <c r="AZ896" s="409" t="s">
        <v>3105</v>
      </c>
      <c r="BA896" s="409">
        <v>0</v>
      </c>
      <c r="BB896" s="399"/>
      <c r="BC896" s="399" t="s">
        <v>1787</v>
      </c>
      <c r="BD896" s="399" t="s">
        <v>1787</v>
      </c>
      <c r="BE896" s="411"/>
      <c r="BF896" s="411" t="s">
        <v>1787</v>
      </c>
      <c r="BG896" s="411"/>
      <c r="BH896" s="411"/>
      <c r="BI896" s="411"/>
      <c r="BJ896" s="409" t="s">
        <v>3106</v>
      </c>
      <c r="BK896" s="399" t="s">
        <v>1787</v>
      </c>
      <c r="BL896" s="399"/>
      <c r="BM896" s="399" t="s">
        <v>1787</v>
      </c>
      <c r="BN896" s="399" t="s">
        <v>1787</v>
      </c>
      <c r="BO896" s="399" t="s">
        <v>1787</v>
      </c>
      <c r="BP896" s="399" t="s">
        <v>1787</v>
      </c>
      <c r="BQ896" s="399" t="s">
        <v>1787</v>
      </c>
      <c r="BR896" s="399" t="s">
        <v>1787</v>
      </c>
      <c r="BS896" s="407"/>
      <c r="BT896" s="407"/>
      <c r="BU896" s="412"/>
      <c r="BV896" s="46" t="str">
        <f t="shared" si="8"/>
        <v/>
      </c>
      <c r="BW896" s="46" t="str">
        <f t="shared" si="9"/>
        <v/>
      </c>
      <c r="BX896" s="46" t="str">
        <f t="shared" si="10"/>
        <v/>
      </c>
      <c r="BY896" s="43">
        <f t="shared" si="11"/>
        <v>0</v>
      </c>
      <c r="BZ896" s="46">
        <f t="shared" si="12"/>
        <v>1</v>
      </c>
      <c r="CA896" s="46">
        <f t="shared" si="13"/>
        <v>0</v>
      </c>
      <c r="CB896" s="46">
        <f t="shared" si="14"/>
        <v>1</v>
      </c>
      <c r="CC896" s="46">
        <f t="shared" si="15"/>
        <v>1</v>
      </c>
      <c r="CD896" s="46">
        <f t="shared" si="16"/>
        <v>1</v>
      </c>
      <c r="CE896" s="46">
        <f t="shared" si="17"/>
        <v>0</v>
      </c>
      <c r="CF896" s="46">
        <f t="shared" si="18"/>
        <v>0</v>
      </c>
      <c r="CG896" s="46" t="str">
        <f ca="1">IFERROR(__xludf.DUMMYFUNCTION("if(OR(BH896="""",LEFT(BH896,2)=""LA""),"""",IMPORTXML(CONCATENATE(""https://loinc.org/"",BH896,""/""),""//span[@id='lcn']""))"),"")</f>
        <v/>
      </c>
      <c r="CH896" s="46"/>
      <c r="CI896" s="46"/>
      <c r="CJ896" s="46"/>
      <c r="CK896" s="46"/>
      <c r="CL896" s="46"/>
      <c r="CM896" s="46"/>
      <c r="CN896" s="46"/>
      <c r="CO896" s="46"/>
      <c r="CP896" s="46"/>
      <c r="CQ896" s="46"/>
      <c r="CR896" s="46"/>
      <c r="CS896" s="46"/>
      <c r="CT896" s="46"/>
      <c r="CU896" s="46"/>
    </row>
    <row r="897" spans="1:99" ht="12.75" customHeight="1">
      <c r="A897" s="409">
        <v>2295</v>
      </c>
      <c r="B897" s="399" t="s">
        <v>9623</v>
      </c>
      <c r="C897" s="399">
        <f t="shared" si="117"/>
        <v>2295</v>
      </c>
      <c r="D897" s="399">
        <f t="shared" si="118"/>
        <v>0</v>
      </c>
      <c r="E897" s="399">
        <f t="shared" si="119"/>
        <v>0</v>
      </c>
      <c r="F897" s="399" t="str">
        <f t="shared" si="138"/>
        <v>Data Element</v>
      </c>
      <c r="G897" s="400">
        <f t="shared" si="129"/>
        <v>31</v>
      </c>
      <c r="H897" s="400" t="str">
        <f t="shared" si="133"/>
        <v/>
      </c>
      <c r="I897" s="400"/>
      <c r="J897" s="400"/>
      <c r="K897" s="402" t="s">
        <v>9615</v>
      </c>
      <c r="L897" s="402" t="s">
        <v>2745</v>
      </c>
      <c r="M897" s="400"/>
      <c r="N897" s="762" t="s">
        <v>9616</v>
      </c>
      <c r="O897" s="407"/>
      <c r="P897" s="407"/>
      <c r="Q897" s="407"/>
      <c r="R897" s="407" t="s">
        <v>9624</v>
      </c>
      <c r="S897" s="407" t="s">
        <v>9625</v>
      </c>
      <c r="T897" s="407"/>
      <c r="U897" s="407"/>
      <c r="V897" s="407"/>
      <c r="W897" s="407"/>
      <c r="X897" s="774"/>
      <c r="Y897" s="407"/>
      <c r="Z897" s="407"/>
      <c r="AA897" s="407"/>
      <c r="AB897" s="408"/>
      <c r="AC897" s="407"/>
      <c r="AD897" s="407"/>
      <c r="AE897" s="408"/>
      <c r="AF897" s="407"/>
      <c r="AG897" s="407"/>
      <c r="AH897" s="399"/>
      <c r="AI897" s="400"/>
      <c r="AJ897" s="399" t="s">
        <v>1787</v>
      </c>
      <c r="AK897" s="409" t="s">
        <v>6836</v>
      </c>
      <c r="AL897" s="409"/>
      <c r="AM897" s="409" t="s">
        <v>3100</v>
      </c>
      <c r="AN897" s="409" t="s">
        <v>3101</v>
      </c>
      <c r="AO897" s="399" t="s">
        <v>1787</v>
      </c>
      <c r="AP897" s="399"/>
      <c r="AQ897" s="409" t="s">
        <v>115</v>
      </c>
      <c r="AR897" s="399"/>
      <c r="AS897" s="399"/>
      <c r="AT897" s="399"/>
      <c r="AU897" s="399"/>
      <c r="AV897" s="399" t="str">
        <f t="shared" si="123"/>
        <v/>
      </c>
      <c r="AW897" s="399"/>
      <c r="AX897" s="409" t="s">
        <v>3104</v>
      </c>
      <c r="AY897" s="399" t="str">
        <f t="shared" si="124"/>
        <v>"0"-&gt;"Location - Facility Identifier "</v>
      </c>
      <c r="AZ897" s="409" t="s">
        <v>3105</v>
      </c>
      <c r="BA897" s="409">
        <v>0</v>
      </c>
      <c r="BB897" s="399"/>
      <c r="BC897" s="399" t="s">
        <v>1787</v>
      </c>
      <c r="BD897" s="399" t="s">
        <v>1787</v>
      </c>
      <c r="BE897" s="411"/>
      <c r="BF897" s="411" t="s">
        <v>1787</v>
      </c>
      <c r="BG897" s="411"/>
      <c r="BH897" s="411"/>
      <c r="BI897" s="411"/>
      <c r="BJ897" s="409" t="s">
        <v>3106</v>
      </c>
      <c r="BK897" s="399" t="s">
        <v>1787</v>
      </c>
      <c r="BL897" s="399"/>
      <c r="BM897" s="399" t="s">
        <v>1787</v>
      </c>
      <c r="BN897" s="399" t="s">
        <v>1787</v>
      </c>
      <c r="BO897" s="399" t="s">
        <v>1787</v>
      </c>
      <c r="BP897" s="399" t="s">
        <v>1787</v>
      </c>
      <c r="BQ897" s="399" t="s">
        <v>1787</v>
      </c>
      <c r="BR897" s="399" t="s">
        <v>1787</v>
      </c>
      <c r="BS897" s="407"/>
      <c r="BT897" s="407"/>
      <c r="BU897" s="412"/>
      <c r="BV897" s="46" t="str">
        <f t="shared" si="8"/>
        <v/>
      </c>
      <c r="BW897" s="46" t="str">
        <f t="shared" si="9"/>
        <v/>
      </c>
      <c r="BX897" s="46" t="str">
        <f t="shared" si="10"/>
        <v/>
      </c>
      <c r="BY897" s="43">
        <f t="shared" si="11"/>
        <v>0</v>
      </c>
      <c r="BZ897" s="46">
        <f t="shared" si="12"/>
        <v>1</v>
      </c>
      <c r="CA897" s="46">
        <f t="shared" si="13"/>
        <v>0</v>
      </c>
      <c r="CB897" s="46">
        <f t="shared" si="14"/>
        <v>1</v>
      </c>
      <c r="CC897" s="46">
        <f t="shared" si="15"/>
        <v>1</v>
      </c>
      <c r="CD897" s="46">
        <f t="shared" si="16"/>
        <v>1</v>
      </c>
      <c r="CE897" s="46">
        <f t="shared" si="17"/>
        <v>0</v>
      </c>
      <c r="CF897" s="46">
        <f t="shared" si="18"/>
        <v>0</v>
      </c>
      <c r="CG897" s="46" t="str">
        <f ca="1">IFERROR(__xludf.DUMMYFUNCTION("if(OR(BH897="""",LEFT(BH897,2)=""LA""),"""",IMPORTXML(CONCATENATE(""https://loinc.org/"",BH897,""/""),""//span[@id='lcn']""))"),"")</f>
        <v/>
      </c>
      <c r="CH897" s="46"/>
      <c r="CI897" s="46"/>
      <c r="CJ897" s="46"/>
      <c r="CK897" s="46"/>
      <c r="CL897" s="46"/>
      <c r="CM897" s="46"/>
      <c r="CN897" s="46"/>
      <c r="CO897" s="46"/>
      <c r="CP897" s="46"/>
      <c r="CQ897" s="46"/>
      <c r="CR897" s="46"/>
      <c r="CS897" s="46"/>
      <c r="CT897" s="46"/>
      <c r="CU897" s="46"/>
    </row>
    <row r="898" spans="1:99" ht="12.75" customHeight="1">
      <c r="A898" s="409">
        <v>2296</v>
      </c>
      <c r="B898" s="399" t="s">
        <v>9626</v>
      </c>
      <c r="C898" s="399">
        <f t="shared" si="117"/>
        <v>2296</v>
      </c>
      <c r="D898" s="399">
        <f t="shared" si="118"/>
        <v>0</v>
      </c>
      <c r="E898" s="399">
        <f t="shared" si="119"/>
        <v>0</v>
      </c>
      <c r="F898" s="399" t="str">
        <f t="shared" si="138"/>
        <v>Data Element</v>
      </c>
      <c r="G898" s="400">
        <f t="shared" si="129"/>
        <v>24</v>
      </c>
      <c r="H898" s="400" t="str">
        <f t="shared" si="133"/>
        <v/>
      </c>
      <c r="I898" s="400"/>
      <c r="J898" s="400"/>
      <c r="K898" s="402" t="s">
        <v>9615</v>
      </c>
      <c r="L898" s="402" t="s">
        <v>2745</v>
      </c>
      <c r="M898" s="400"/>
      <c r="N898" s="762" t="s">
        <v>9616</v>
      </c>
      <c r="O898" s="407"/>
      <c r="P898" s="407"/>
      <c r="Q898" s="407"/>
      <c r="R898" s="407" t="s">
        <v>9627</v>
      </c>
      <c r="S898" s="407" t="s">
        <v>9628</v>
      </c>
      <c r="T898" s="407"/>
      <c r="U898" s="407"/>
      <c r="V898" s="407"/>
      <c r="W898" s="407"/>
      <c r="X898" s="774"/>
      <c r="Y898" s="407"/>
      <c r="Z898" s="407"/>
      <c r="AA898" s="407"/>
      <c r="AB898" s="408"/>
      <c r="AC898" s="407"/>
      <c r="AD898" s="407"/>
      <c r="AE898" s="408"/>
      <c r="AF898" s="407"/>
      <c r="AG898" s="407"/>
      <c r="AH898" s="399"/>
      <c r="AI898" s="400"/>
      <c r="AJ898" s="399" t="s">
        <v>1787</v>
      </c>
      <c r="AK898" s="409" t="s">
        <v>9629</v>
      </c>
      <c r="AL898" s="409"/>
      <c r="AM898" s="409" t="s">
        <v>3100</v>
      </c>
      <c r="AN898" s="409" t="s">
        <v>3101</v>
      </c>
      <c r="AO898" s="399" t="s">
        <v>1787</v>
      </c>
      <c r="AP898" s="399"/>
      <c r="AQ898" s="409" t="s">
        <v>115</v>
      </c>
      <c r="AR898" s="399"/>
      <c r="AS898" s="399"/>
      <c r="AT898" s="399"/>
      <c r="AU898" s="399"/>
      <c r="AV898" s="399" t="str">
        <f t="shared" si="123"/>
        <v/>
      </c>
      <c r="AW898" s="399"/>
      <c r="AX898" s="409" t="s">
        <v>3104</v>
      </c>
      <c r="AY898" s="399" t="str">
        <f t="shared" si="124"/>
        <v>"0"-&gt;"Location - Facility name"</v>
      </c>
      <c r="AZ898" s="409" t="s">
        <v>3105</v>
      </c>
      <c r="BA898" s="409">
        <v>0</v>
      </c>
      <c r="BB898" s="399"/>
      <c r="BC898" s="399" t="s">
        <v>1787</v>
      </c>
      <c r="BD898" s="399" t="s">
        <v>1787</v>
      </c>
      <c r="BE898" s="411"/>
      <c r="BF898" s="411" t="s">
        <v>1787</v>
      </c>
      <c r="BG898" s="411"/>
      <c r="BH898" s="411"/>
      <c r="BI898" s="411"/>
      <c r="BJ898" s="409" t="s">
        <v>3106</v>
      </c>
      <c r="BK898" s="399" t="s">
        <v>1787</v>
      </c>
      <c r="BL898" s="399"/>
      <c r="BM898" s="399" t="s">
        <v>1787</v>
      </c>
      <c r="BN898" s="399" t="s">
        <v>1787</v>
      </c>
      <c r="BO898" s="399" t="s">
        <v>1787</v>
      </c>
      <c r="BP898" s="399" t="s">
        <v>1787</v>
      </c>
      <c r="BQ898" s="399" t="s">
        <v>1787</v>
      </c>
      <c r="BR898" s="399" t="s">
        <v>1787</v>
      </c>
      <c r="BS898" s="407"/>
      <c r="BT898" s="407"/>
      <c r="BU898" s="412"/>
      <c r="BV898" s="46" t="str">
        <f t="shared" si="8"/>
        <v/>
      </c>
      <c r="BW898" s="46" t="str">
        <f t="shared" si="9"/>
        <v/>
      </c>
      <c r="BX898" s="46" t="str">
        <f t="shared" si="10"/>
        <v/>
      </c>
      <c r="BY898" s="43">
        <f t="shared" si="11"/>
        <v>0</v>
      </c>
      <c r="BZ898" s="46">
        <f t="shared" si="12"/>
        <v>1</v>
      </c>
      <c r="CA898" s="46">
        <f t="shared" si="13"/>
        <v>0</v>
      </c>
      <c r="CB898" s="46">
        <f t="shared" si="14"/>
        <v>1</v>
      </c>
      <c r="CC898" s="46">
        <f t="shared" si="15"/>
        <v>1</v>
      </c>
      <c r="CD898" s="46">
        <f t="shared" si="16"/>
        <v>1</v>
      </c>
      <c r="CE898" s="46">
        <f t="shared" si="17"/>
        <v>0</v>
      </c>
      <c r="CF898" s="46">
        <f t="shared" si="18"/>
        <v>0</v>
      </c>
      <c r="CG898" s="46" t="str">
        <f ca="1">IFERROR(__xludf.DUMMYFUNCTION("if(OR(BH898="""",LEFT(BH898,2)=""LA""),"""",IMPORTXML(CONCATENATE(""https://loinc.org/"",BH898,""/""),""//span[@id='lcn']""))"),"")</f>
        <v/>
      </c>
      <c r="CH898" s="46"/>
      <c r="CI898" s="46"/>
      <c r="CJ898" s="46"/>
      <c r="CK898" s="46"/>
      <c r="CL898" s="46"/>
      <c r="CM898" s="46"/>
      <c r="CN898" s="46"/>
      <c r="CO898" s="46"/>
      <c r="CP898" s="46"/>
      <c r="CQ898" s="46"/>
      <c r="CR898" s="46"/>
      <c r="CS898" s="46"/>
      <c r="CT898" s="46"/>
      <c r="CU898" s="46"/>
    </row>
    <row r="899" spans="1:99" ht="12.75" customHeight="1">
      <c r="A899" s="409">
        <v>2297</v>
      </c>
      <c r="B899" s="399" t="s">
        <v>9630</v>
      </c>
      <c r="C899" s="399">
        <f t="shared" si="117"/>
        <v>2297</v>
      </c>
      <c r="D899" s="399">
        <f t="shared" si="118"/>
        <v>0</v>
      </c>
      <c r="E899" s="399">
        <f t="shared" si="119"/>
        <v>0</v>
      </c>
      <c r="F899" s="399" t="str">
        <f t="shared" si="138"/>
        <v>Data Element</v>
      </c>
      <c r="G899" s="400">
        <f t="shared" si="129"/>
        <v>29</v>
      </c>
      <c r="H899" s="400" t="str">
        <f t="shared" si="133"/>
        <v/>
      </c>
      <c r="I899" s="400"/>
      <c r="J899" s="400"/>
      <c r="K899" s="402" t="s">
        <v>9615</v>
      </c>
      <c r="L899" s="402" t="s">
        <v>2745</v>
      </c>
      <c r="M899" s="400"/>
      <c r="N899" s="762" t="s">
        <v>9616</v>
      </c>
      <c r="O899" s="407"/>
      <c r="P899" s="407"/>
      <c r="Q899" s="407"/>
      <c r="R899" s="407" t="s">
        <v>9631</v>
      </c>
      <c r="S899" s="407"/>
      <c r="T899" s="407"/>
      <c r="U899" s="407"/>
      <c r="V899" s="407"/>
      <c r="W899" s="407"/>
      <c r="X899" s="774"/>
      <c r="Y899" s="407"/>
      <c r="Z899" s="407"/>
      <c r="AA899" s="407"/>
      <c r="AB899" s="408"/>
      <c r="AC899" s="407"/>
      <c r="AD899" s="407"/>
      <c r="AE899" s="408"/>
      <c r="AF899" s="407"/>
      <c r="AG899" s="407"/>
      <c r="AH899" s="399"/>
      <c r="AI899" s="400"/>
      <c r="AJ899" s="399" t="s">
        <v>1787</v>
      </c>
      <c r="AK899" s="409" t="s">
        <v>9632</v>
      </c>
      <c r="AL899" s="409"/>
      <c r="AM899" s="409" t="s">
        <v>3314</v>
      </c>
      <c r="AN899" s="409" t="s">
        <v>3101</v>
      </c>
      <c r="AO899" s="399" t="s">
        <v>1787</v>
      </c>
      <c r="AP899" s="399"/>
      <c r="AQ899" s="409" t="s">
        <v>115</v>
      </c>
      <c r="AR899" s="399"/>
      <c r="AS899" s="399"/>
      <c r="AT899" s="399"/>
      <c r="AU899" s="399"/>
      <c r="AV899" s="399" t="str">
        <f t="shared" si="123"/>
        <v/>
      </c>
      <c r="AW899" s="399"/>
      <c r="AX899" s="409" t="s">
        <v>3104</v>
      </c>
      <c r="AY899" s="399" t="str">
        <f t="shared" si="124"/>
        <v>"0"-&gt;"Location - Facility open date"</v>
      </c>
      <c r="AZ899" s="399"/>
      <c r="BA899" s="409">
        <v>0</v>
      </c>
      <c r="BB899" s="399"/>
      <c r="BC899" s="399" t="s">
        <v>1787</v>
      </c>
      <c r="BD899" s="399" t="s">
        <v>1787</v>
      </c>
      <c r="BE899" s="411"/>
      <c r="BF899" s="411" t="s">
        <v>1787</v>
      </c>
      <c r="BG899" s="411"/>
      <c r="BH899" s="411"/>
      <c r="BI899" s="411"/>
      <c r="BJ899" s="409" t="s">
        <v>3106</v>
      </c>
      <c r="BK899" s="399" t="s">
        <v>1787</v>
      </c>
      <c r="BL899" s="399"/>
      <c r="BM899" s="399" t="s">
        <v>1787</v>
      </c>
      <c r="BN899" s="399" t="s">
        <v>1787</v>
      </c>
      <c r="BO899" s="399" t="s">
        <v>1787</v>
      </c>
      <c r="BP899" s="399" t="s">
        <v>1787</v>
      </c>
      <c r="BQ899" s="399" t="s">
        <v>1787</v>
      </c>
      <c r="BR899" s="399" t="s">
        <v>1787</v>
      </c>
      <c r="BS899" s="407"/>
      <c r="BT899" s="407"/>
      <c r="BU899" s="412"/>
      <c r="BV899" s="46" t="str">
        <f t="shared" si="8"/>
        <v/>
      </c>
      <c r="BW899" s="46" t="str">
        <f t="shared" si="9"/>
        <v/>
      </c>
      <c r="BX899" s="46" t="str">
        <f t="shared" si="10"/>
        <v/>
      </c>
      <c r="BY899" s="43">
        <f t="shared" si="11"/>
        <v>0</v>
      </c>
      <c r="BZ899" s="46">
        <f t="shared" si="12"/>
        <v>1</v>
      </c>
      <c r="CA899" s="46">
        <f t="shared" si="13"/>
        <v>0</v>
      </c>
      <c r="CB899" s="46">
        <f t="shared" si="14"/>
        <v>0</v>
      </c>
      <c r="CC899" s="46">
        <f t="shared" si="15"/>
        <v>0</v>
      </c>
      <c r="CD899" s="46">
        <f t="shared" si="16"/>
        <v>0</v>
      </c>
      <c r="CE899" s="46">
        <f t="shared" si="17"/>
        <v>0</v>
      </c>
      <c r="CF899" s="46">
        <f t="shared" si="18"/>
        <v>1</v>
      </c>
      <c r="CG899" s="46" t="str">
        <f ca="1">IFERROR(__xludf.DUMMYFUNCTION("if(OR(BH899="""",LEFT(BH899,2)=""LA""),"""",IMPORTXML(CONCATENATE(""https://loinc.org/"",BH899,""/""),""//span[@id='lcn']""))"),"")</f>
        <v/>
      </c>
      <c r="CH899" s="46"/>
      <c r="CI899" s="46"/>
      <c r="CJ899" s="46"/>
      <c r="CK899" s="46"/>
      <c r="CL899" s="46"/>
      <c r="CM899" s="46"/>
      <c r="CN899" s="46"/>
      <c r="CO899" s="46"/>
      <c r="CP899" s="46"/>
      <c r="CQ899" s="46"/>
      <c r="CR899" s="46"/>
      <c r="CS899" s="46"/>
      <c r="CT899" s="46"/>
      <c r="CU899" s="46"/>
    </row>
    <row r="900" spans="1:99" ht="12.75" customHeight="1">
      <c r="A900" s="409">
        <v>2298</v>
      </c>
      <c r="B900" s="399" t="s">
        <v>9633</v>
      </c>
      <c r="C900" s="399">
        <f t="shared" si="117"/>
        <v>2298</v>
      </c>
      <c r="D900" s="399">
        <f t="shared" si="118"/>
        <v>0</v>
      </c>
      <c r="E900" s="399">
        <f t="shared" si="119"/>
        <v>0</v>
      </c>
      <c r="F900" s="399" t="str">
        <f t="shared" si="138"/>
        <v>Data Element</v>
      </c>
      <c r="G900" s="400">
        <f t="shared" si="129"/>
        <v>20</v>
      </c>
      <c r="H900" s="400" t="str">
        <f t="shared" si="133"/>
        <v/>
      </c>
      <c r="I900" s="400"/>
      <c r="J900" s="400"/>
      <c r="K900" s="402" t="s">
        <v>9615</v>
      </c>
      <c r="L900" s="402" t="s">
        <v>2745</v>
      </c>
      <c r="M900" s="400"/>
      <c r="N900" s="762" t="s">
        <v>9616</v>
      </c>
      <c r="O900" s="407"/>
      <c r="P900" s="407"/>
      <c r="Q900" s="407"/>
      <c r="R900" s="407" t="s">
        <v>9634</v>
      </c>
      <c r="S900" s="407" t="s">
        <v>9635</v>
      </c>
      <c r="T900" s="407"/>
      <c r="U900" s="407"/>
      <c r="V900" s="407"/>
      <c r="W900" s="407"/>
      <c r="X900" s="774"/>
      <c r="Y900" s="407"/>
      <c r="Z900" s="407"/>
      <c r="AA900" s="407"/>
      <c r="AB900" s="408"/>
      <c r="AC900" s="407"/>
      <c r="AD900" s="407"/>
      <c r="AE900" s="408"/>
      <c r="AF900" s="407"/>
      <c r="AG900" s="407"/>
      <c r="AH900" s="399"/>
      <c r="AI900" s="400"/>
      <c r="AJ900" s="399" t="s">
        <v>1787</v>
      </c>
      <c r="AK900" s="409" t="s">
        <v>9636</v>
      </c>
      <c r="AL900" s="409"/>
      <c r="AM900" s="409" t="s">
        <v>3100</v>
      </c>
      <c r="AN900" s="409" t="s">
        <v>3101</v>
      </c>
      <c r="AO900" s="399" t="s">
        <v>1787</v>
      </c>
      <c r="AP900" s="399"/>
      <c r="AQ900" s="409" t="s">
        <v>115</v>
      </c>
      <c r="AR900" s="399"/>
      <c r="AS900" s="399"/>
      <c r="AT900" s="399"/>
      <c r="AU900" s="399"/>
      <c r="AV900" s="399" t="str">
        <f t="shared" si="123"/>
        <v/>
      </c>
      <c r="AW900" s="399"/>
      <c r="AX900" s="409" t="s">
        <v>3104</v>
      </c>
      <c r="AY900" s="399" t="str">
        <f t="shared" si="124"/>
        <v>"0"-&gt;"Location - Ownership"</v>
      </c>
      <c r="AZ900" s="409" t="s">
        <v>3105</v>
      </c>
      <c r="BA900" s="409">
        <v>0</v>
      </c>
      <c r="BB900" s="399"/>
      <c r="BC900" s="399" t="s">
        <v>1787</v>
      </c>
      <c r="BD900" s="399" t="s">
        <v>1787</v>
      </c>
      <c r="BE900" s="411"/>
      <c r="BF900" s="411" t="s">
        <v>1787</v>
      </c>
      <c r="BG900" s="411"/>
      <c r="BH900" s="411"/>
      <c r="BI900" s="411"/>
      <c r="BJ900" s="409" t="s">
        <v>3106</v>
      </c>
      <c r="BK900" s="399" t="s">
        <v>1787</v>
      </c>
      <c r="BL900" s="399"/>
      <c r="BM900" s="399" t="s">
        <v>1787</v>
      </c>
      <c r="BN900" s="399" t="s">
        <v>1787</v>
      </c>
      <c r="BO900" s="399" t="s">
        <v>1787</v>
      </c>
      <c r="BP900" s="399" t="s">
        <v>1787</v>
      </c>
      <c r="BQ900" s="399" t="s">
        <v>1787</v>
      </c>
      <c r="BR900" s="399" t="s">
        <v>1787</v>
      </c>
      <c r="BS900" s="407"/>
      <c r="BT900" s="407"/>
      <c r="BU900" s="412"/>
      <c r="BV900" s="46" t="str">
        <f t="shared" si="8"/>
        <v/>
      </c>
      <c r="BW900" s="46" t="str">
        <f t="shared" si="9"/>
        <v/>
      </c>
      <c r="BX900" s="46" t="str">
        <f t="shared" si="10"/>
        <v/>
      </c>
      <c r="BY900" s="43">
        <f t="shared" si="11"/>
        <v>0</v>
      </c>
      <c r="BZ900" s="46">
        <f t="shared" si="12"/>
        <v>1</v>
      </c>
      <c r="CA900" s="46">
        <f t="shared" si="13"/>
        <v>0</v>
      </c>
      <c r="CB900" s="46">
        <f t="shared" si="14"/>
        <v>1</v>
      </c>
      <c r="CC900" s="46">
        <f t="shared" si="15"/>
        <v>1</v>
      </c>
      <c r="CD900" s="46">
        <f t="shared" si="16"/>
        <v>1</v>
      </c>
      <c r="CE900" s="46">
        <f t="shared" si="17"/>
        <v>0</v>
      </c>
      <c r="CF900" s="46">
        <f t="shared" si="18"/>
        <v>0</v>
      </c>
      <c r="CG900" s="46" t="str">
        <f ca="1">IFERROR(__xludf.DUMMYFUNCTION("if(OR(BH900="""",LEFT(BH900,2)=""LA""),"""",IMPORTXML(CONCATENATE(""https://loinc.org/"",BH900,""/""),""//span[@id='lcn']""))"),"")</f>
        <v/>
      </c>
      <c r="CH900" s="46"/>
      <c r="CI900" s="46"/>
      <c r="CJ900" s="46"/>
      <c r="CK900" s="46"/>
      <c r="CL900" s="46"/>
      <c r="CM900" s="46"/>
      <c r="CN900" s="46"/>
      <c r="CO900" s="46"/>
      <c r="CP900" s="46"/>
      <c r="CQ900" s="46"/>
      <c r="CR900" s="46"/>
      <c r="CS900" s="46"/>
      <c r="CT900" s="46"/>
      <c r="CU900" s="46"/>
    </row>
    <row r="901" spans="1:99" ht="12.75" customHeight="1">
      <c r="A901" s="409">
        <v>2299</v>
      </c>
      <c r="B901" s="399" t="s">
        <v>9637</v>
      </c>
      <c r="C901" s="399">
        <f t="shared" si="117"/>
        <v>2299</v>
      </c>
      <c r="D901" s="399">
        <f t="shared" si="118"/>
        <v>0</v>
      </c>
      <c r="E901" s="399">
        <f t="shared" si="119"/>
        <v>0</v>
      </c>
      <c r="F901" s="399" t="str">
        <f t="shared" si="138"/>
        <v>Data Element</v>
      </c>
      <c r="G901" s="400">
        <f t="shared" si="129"/>
        <v>19</v>
      </c>
      <c r="H901" s="400" t="str">
        <f t="shared" si="133"/>
        <v/>
      </c>
      <c r="I901" s="400"/>
      <c r="J901" s="400"/>
      <c r="K901" s="402" t="s">
        <v>9615</v>
      </c>
      <c r="L901" s="402" t="s">
        <v>2745</v>
      </c>
      <c r="M901" s="400"/>
      <c r="N901" s="762" t="s">
        <v>9616</v>
      </c>
      <c r="O901" s="407"/>
      <c r="P901" s="407"/>
      <c r="Q901" s="407"/>
      <c r="R901" s="407" t="s">
        <v>9638</v>
      </c>
      <c r="S901" s="432" t="s">
        <v>9639</v>
      </c>
      <c r="T901" s="421"/>
      <c r="U901" s="421"/>
      <c r="V901" s="421"/>
      <c r="W901" s="421"/>
      <c r="X901" s="774"/>
      <c r="Y901" s="407"/>
      <c r="Z901" s="407"/>
      <c r="AA901" s="407"/>
      <c r="AB901" s="408"/>
      <c r="AC901" s="407"/>
      <c r="AD901" s="407"/>
      <c r="AE901" s="408"/>
      <c r="AF901" s="407"/>
      <c r="AG901" s="407"/>
      <c r="AH901" s="399"/>
      <c r="AI901" s="400"/>
      <c r="AJ901" s="399" t="s">
        <v>1787</v>
      </c>
      <c r="AK901" s="409" t="s">
        <v>9640</v>
      </c>
      <c r="AL901" s="409"/>
      <c r="AM901" s="409" t="s">
        <v>3100</v>
      </c>
      <c r="AN901" s="409" t="s">
        <v>3101</v>
      </c>
      <c r="AO901" s="399" t="s">
        <v>1787</v>
      </c>
      <c r="AP901" s="399"/>
      <c r="AQ901" s="409" t="s">
        <v>115</v>
      </c>
      <c r="AR901" s="399"/>
      <c r="AS901" s="399"/>
      <c r="AT901" s="399"/>
      <c r="AU901" s="399"/>
      <c r="AV901" s="399" t="str">
        <f t="shared" si="123"/>
        <v/>
      </c>
      <c r="AW901" s="399"/>
      <c r="AX901" s="409" t="s">
        <v>3104</v>
      </c>
      <c r="AY901" s="399" t="str">
        <f t="shared" si="124"/>
        <v>"0"-&gt;"Location - fac_type"</v>
      </c>
      <c r="AZ901" s="409" t="s">
        <v>3105</v>
      </c>
      <c r="BA901" s="409">
        <v>0</v>
      </c>
      <c r="BB901" s="399"/>
      <c r="BC901" s="399" t="s">
        <v>1787</v>
      </c>
      <c r="BD901" s="399" t="s">
        <v>1787</v>
      </c>
      <c r="BE901" s="411"/>
      <c r="BF901" s="411" t="s">
        <v>1787</v>
      </c>
      <c r="BG901" s="411"/>
      <c r="BH901" s="411"/>
      <c r="BI901" s="411"/>
      <c r="BJ901" s="409" t="s">
        <v>3106</v>
      </c>
      <c r="BK901" s="399" t="s">
        <v>1787</v>
      </c>
      <c r="BL901" s="399"/>
      <c r="BM901" s="399" t="s">
        <v>1787</v>
      </c>
      <c r="BN901" s="399" t="s">
        <v>1787</v>
      </c>
      <c r="BO901" s="399" t="s">
        <v>1787</v>
      </c>
      <c r="BP901" s="399" t="s">
        <v>1787</v>
      </c>
      <c r="BQ901" s="399" t="s">
        <v>1787</v>
      </c>
      <c r="BR901" s="399" t="s">
        <v>1787</v>
      </c>
      <c r="BS901" s="407"/>
      <c r="BT901" s="407"/>
      <c r="BU901" s="412"/>
      <c r="BV901" s="46" t="str">
        <f t="shared" si="8"/>
        <v/>
      </c>
      <c r="BW901" s="46" t="str">
        <f t="shared" si="9"/>
        <v/>
      </c>
      <c r="BX901" s="46" t="str">
        <f t="shared" si="10"/>
        <v/>
      </c>
      <c r="BY901" s="43">
        <f t="shared" si="11"/>
        <v>0</v>
      </c>
      <c r="BZ901" s="46">
        <f t="shared" si="12"/>
        <v>1</v>
      </c>
      <c r="CA901" s="46">
        <f t="shared" si="13"/>
        <v>0</v>
      </c>
      <c r="CB901" s="46">
        <f t="shared" si="14"/>
        <v>1</v>
      </c>
      <c r="CC901" s="46">
        <f t="shared" si="15"/>
        <v>1</v>
      </c>
      <c r="CD901" s="46">
        <f t="shared" si="16"/>
        <v>1</v>
      </c>
      <c r="CE901" s="46">
        <f t="shared" si="17"/>
        <v>0</v>
      </c>
      <c r="CF901" s="46">
        <f t="shared" si="18"/>
        <v>0</v>
      </c>
      <c r="CG901" s="46" t="str">
        <f ca="1">IFERROR(__xludf.DUMMYFUNCTION("if(OR(BH901="""",LEFT(BH901,2)=""LA""),"""",IMPORTXML(CONCATENATE(""https://loinc.org/"",BH901,""/""),""//span[@id='lcn']""))"),"")</f>
        <v/>
      </c>
      <c r="CH901" s="46"/>
      <c r="CI901" s="46"/>
      <c r="CJ901" s="46"/>
      <c r="CK901" s="46"/>
      <c r="CL901" s="46"/>
      <c r="CM901" s="46"/>
      <c r="CN901" s="46"/>
      <c r="CO901" s="46"/>
      <c r="CP901" s="46"/>
      <c r="CQ901" s="46"/>
      <c r="CR901" s="46"/>
      <c r="CS901" s="46"/>
      <c r="CT901" s="46"/>
      <c r="CU901" s="46"/>
    </row>
    <row r="902" spans="1:99" ht="12.75" customHeight="1">
      <c r="A902" s="409">
        <v>2300</v>
      </c>
      <c r="B902" s="399" t="s">
        <v>9641</v>
      </c>
      <c r="C902" s="399">
        <f t="shared" si="117"/>
        <v>2300</v>
      </c>
      <c r="D902" s="399">
        <f t="shared" si="118"/>
        <v>0</v>
      </c>
      <c r="E902" s="399">
        <f t="shared" si="119"/>
        <v>0</v>
      </c>
      <c r="F902" s="399" t="str">
        <f t="shared" si="138"/>
        <v>Data Element</v>
      </c>
      <c r="G902" s="400">
        <f t="shared" si="129"/>
        <v>19</v>
      </c>
      <c r="H902" s="400" t="str">
        <f t="shared" si="133"/>
        <v/>
      </c>
      <c r="I902" s="400"/>
      <c r="J902" s="400"/>
      <c r="K902" s="402" t="s">
        <v>9615</v>
      </c>
      <c r="L902" s="402" t="s">
        <v>2745</v>
      </c>
      <c r="M902" s="400"/>
      <c r="N902" s="762" t="s">
        <v>9616</v>
      </c>
      <c r="O902" s="407"/>
      <c r="P902" s="407"/>
      <c r="Q902" s="407"/>
      <c r="R902" s="407" t="s">
        <v>9642</v>
      </c>
      <c r="S902" s="407"/>
      <c r="T902" s="407"/>
      <c r="U902" s="407"/>
      <c r="V902" s="407"/>
      <c r="W902" s="407"/>
      <c r="X902" s="774"/>
      <c r="Y902" s="407"/>
      <c r="Z902" s="407"/>
      <c r="AA902" s="407"/>
      <c r="AB902" s="408"/>
      <c r="AC902" s="407"/>
      <c r="AD902" s="407"/>
      <c r="AE902" s="408"/>
      <c r="AF902" s="407"/>
      <c r="AG902" s="407"/>
      <c r="AH902" s="399"/>
      <c r="AI902" s="400"/>
      <c r="AJ902" s="399" t="s">
        <v>1787</v>
      </c>
      <c r="AK902" s="409" t="s">
        <v>9643</v>
      </c>
      <c r="AL902" s="409"/>
      <c r="AM902" s="409" t="s">
        <v>3100</v>
      </c>
      <c r="AN902" s="409" t="s">
        <v>3101</v>
      </c>
      <c r="AO902" s="399" t="s">
        <v>1787</v>
      </c>
      <c r="AP902" s="399"/>
      <c r="AQ902" s="409" t="s">
        <v>115</v>
      </c>
      <c r="AR902" s="399"/>
      <c r="AS902" s="399"/>
      <c r="AT902" s="399"/>
      <c r="AU902" s="399"/>
      <c r="AV902" s="399" t="str">
        <f t="shared" si="123"/>
        <v/>
      </c>
      <c r="AW902" s="399"/>
      <c r="AX902" s="409" t="s">
        <v>3104</v>
      </c>
      <c r="AY902" s="399" t="str">
        <f t="shared" si="124"/>
        <v>"0"-&gt;"Location - Latitude"</v>
      </c>
      <c r="AZ902" s="409" t="s">
        <v>3105</v>
      </c>
      <c r="BA902" s="409">
        <v>0</v>
      </c>
      <c r="BB902" s="399"/>
      <c r="BC902" s="399" t="s">
        <v>1787</v>
      </c>
      <c r="BD902" s="399" t="s">
        <v>1787</v>
      </c>
      <c r="BE902" s="411"/>
      <c r="BF902" s="411" t="s">
        <v>1787</v>
      </c>
      <c r="BG902" s="411"/>
      <c r="BH902" s="411"/>
      <c r="BI902" s="411"/>
      <c r="BJ902" s="409" t="s">
        <v>3106</v>
      </c>
      <c r="BK902" s="399" t="s">
        <v>1787</v>
      </c>
      <c r="BL902" s="399"/>
      <c r="BM902" s="399" t="s">
        <v>1787</v>
      </c>
      <c r="BN902" s="399" t="s">
        <v>1787</v>
      </c>
      <c r="BO902" s="399" t="s">
        <v>1787</v>
      </c>
      <c r="BP902" s="399" t="s">
        <v>1787</v>
      </c>
      <c r="BQ902" s="399" t="s">
        <v>1787</v>
      </c>
      <c r="BR902" s="399" t="s">
        <v>1787</v>
      </c>
      <c r="BS902" s="407"/>
      <c r="BT902" s="407"/>
      <c r="BU902" s="412"/>
      <c r="BV902" s="46" t="str">
        <f t="shared" si="8"/>
        <v/>
      </c>
      <c r="BW902" s="46" t="str">
        <f t="shared" si="9"/>
        <v/>
      </c>
      <c r="BX902" s="46" t="str">
        <f t="shared" si="10"/>
        <v/>
      </c>
      <c r="BY902" s="43">
        <f t="shared" si="11"/>
        <v>0</v>
      </c>
      <c r="BZ902" s="46">
        <f t="shared" si="12"/>
        <v>1</v>
      </c>
      <c r="CA902" s="46">
        <f t="shared" si="13"/>
        <v>0</v>
      </c>
      <c r="CB902" s="46">
        <f t="shared" si="14"/>
        <v>1</v>
      </c>
      <c r="CC902" s="46">
        <f t="shared" si="15"/>
        <v>1</v>
      </c>
      <c r="CD902" s="46">
        <f t="shared" si="16"/>
        <v>1</v>
      </c>
      <c r="CE902" s="46">
        <f t="shared" si="17"/>
        <v>0</v>
      </c>
      <c r="CF902" s="46">
        <f t="shared" si="18"/>
        <v>0</v>
      </c>
      <c r="CG902" s="46" t="str">
        <f ca="1">IFERROR(__xludf.DUMMYFUNCTION("if(OR(BH902="""",LEFT(BH902,2)=""LA""),"""",IMPORTXML(CONCATENATE(""https://loinc.org/"",BH902,""/""),""//span[@id='lcn']""))"),"")</f>
        <v/>
      </c>
      <c r="CH902" s="46"/>
      <c r="CI902" s="46"/>
      <c r="CJ902" s="46"/>
      <c r="CK902" s="46"/>
      <c r="CL902" s="46"/>
      <c r="CM902" s="46"/>
      <c r="CN902" s="46"/>
      <c r="CO902" s="46"/>
      <c r="CP902" s="46"/>
      <c r="CQ902" s="46"/>
      <c r="CR902" s="46"/>
      <c r="CS902" s="46"/>
      <c r="CT902" s="46"/>
      <c r="CU902" s="46"/>
    </row>
    <row r="903" spans="1:99" ht="12.75" customHeight="1">
      <c r="A903" s="409">
        <v>2301</v>
      </c>
      <c r="B903" s="399" t="s">
        <v>9644</v>
      </c>
      <c r="C903" s="399">
        <f t="shared" si="117"/>
        <v>2301</v>
      </c>
      <c r="D903" s="399">
        <f t="shared" si="118"/>
        <v>0</v>
      </c>
      <c r="E903" s="399">
        <f t="shared" si="119"/>
        <v>0</v>
      </c>
      <c r="F903" s="399" t="str">
        <f t="shared" si="138"/>
        <v>Data Element</v>
      </c>
      <c r="G903" s="400">
        <f t="shared" si="129"/>
        <v>20</v>
      </c>
      <c r="H903" s="400" t="str">
        <f t="shared" si="133"/>
        <v/>
      </c>
      <c r="I903" s="400"/>
      <c r="J903" s="400"/>
      <c r="K903" s="402" t="s">
        <v>9615</v>
      </c>
      <c r="L903" s="402" t="s">
        <v>2745</v>
      </c>
      <c r="M903" s="400"/>
      <c r="N903" s="762" t="s">
        <v>9616</v>
      </c>
      <c r="O903" s="407"/>
      <c r="P903" s="407"/>
      <c r="Q903" s="407"/>
      <c r="R903" s="407" t="s">
        <v>9645</v>
      </c>
      <c r="S903" s="407"/>
      <c r="T903" s="407"/>
      <c r="U903" s="407"/>
      <c r="V903" s="407"/>
      <c r="W903" s="407"/>
      <c r="X903" s="774"/>
      <c r="Y903" s="407"/>
      <c r="Z903" s="407"/>
      <c r="AA903" s="407"/>
      <c r="AB903" s="408"/>
      <c r="AC903" s="407"/>
      <c r="AD903" s="407"/>
      <c r="AE903" s="408"/>
      <c r="AF903" s="407"/>
      <c r="AG903" s="407"/>
      <c r="AH903" s="399"/>
      <c r="AI903" s="400"/>
      <c r="AJ903" s="399" t="s">
        <v>1787</v>
      </c>
      <c r="AK903" s="409" t="s">
        <v>9646</v>
      </c>
      <c r="AL903" s="409"/>
      <c r="AM903" s="409" t="s">
        <v>3100</v>
      </c>
      <c r="AN903" s="409" t="s">
        <v>3101</v>
      </c>
      <c r="AO903" s="399" t="s">
        <v>1787</v>
      </c>
      <c r="AP903" s="399"/>
      <c r="AQ903" s="409" t="s">
        <v>115</v>
      </c>
      <c r="AR903" s="399"/>
      <c r="AS903" s="399"/>
      <c r="AT903" s="399"/>
      <c r="AU903" s="399"/>
      <c r="AV903" s="399" t="str">
        <f t="shared" si="123"/>
        <v/>
      </c>
      <c r="AW903" s="399"/>
      <c r="AX903" s="409" t="s">
        <v>3104</v>
      </c>
      <c r="AY903" s="399" t="str">
        <f t="shared" si="124"/>
        <v>"0"-&gt;"Location - Longitude"</v>
      </c>
      <c r="AZ903" s="409" t="s">
        <v>3105</v>
      </c>
      <c r="BA903" s="409">
        <v>0</v>
      </c>
      <c r="BB903" s="399"/>
      <c r="BC903" s="399" t="s">
        <v>1787</v>
      </c>
      <c r="BD903" s="399" t="s">
        <v>1787</v>
      </c>
      <c r="BE903" s="411"/>
      <c r="BF903" s="411" t="s">
        <v>1787</v>
      </c>
      <c r="BG903" s="411"/>
      <c r="BH903" s="411"/>
      <c r="BI903" s="411"/>
      <c r="BJ903" s="409" t="s">
        <v>3106</v>
      </c>
      <c r="BK903" s="399" t="s">
        <v>1787</v>
      </c>
      <c r="BL903" s="399"/>
      <c r="BM903" s="399" t="s">
        <v>1787</v>
      </c>
      <c r="BN903" s="399" t="s">
        <v>1787</v>
      </c>
      <c r="BO903" s="399" t="s">
        <v>1787</v>
      </c>
      <c r="BP903" s="399" t="s">
        <v>1787</v>
      </c>
      <c r="BQ903" s="399" t="s">
        <v>1787</v>
      </c>
      <c r="BR903" s="399" t="s">
        <v>1787</v>
      </c>
      <c r="BS903" s="407"/>
      <c r="BT903" s="407"/>
      <c r="BU903" s="412"/>
      <c r="BV903" s="46" t="str">
        <f t="shared" si="8"/>
        <v/>
      </c>
      <c r="BW903" s="46" t="str">
        <f t="shared" si="9"/>
        <v/>
      </c>
      <c r="BX903" s="46" t="str">
        <f t="shared" si="10"/>
        <v/>
      </c>
      <c r="BY903" s="43">
        <f t="shared" si="11"/>
        <v>0</v>
      </c>
      <c r="BZ903" s="46">
        <f t="shared" si="12"/>
        <v>1</v>
      </c>
      <c r="CA903" s="46">
        <f t="shared" si="13"/>
        <v>0</v>
      </c>
      <c r="CB903" s="46">
        <f t="shared" si="14"/>
        <v>1</v>
      </c>
      <c r="CC903" s="46">
        <f t="shared" si="15"/>
        <v>1</v>
      </c>
      <c r="CD903" s="46">
        <f t="shared" si="16"/>
        <v>1</v>
      </c>
      <c r="CE903" s="46">
        <f t="shared" si="17"/>
        <v>0</v>
      </c>
      <c r="CF903" s="46">
        <f t="shared" si="18"/>
        <v>0</v>
      </c>
      <c r="CG903" s="46" t="str">
        <f ca="1">IFERROR(__xludf.DUMMYFUNCTION("if(OR(BH903="""",LEFT(BH903,2)=""LA""),"""",IMPORTXML(CONCATENATE(""https://loinc.org/"",BH903,""/""),""//span[@id='lcn']""))"),"")</f>
        <v/>
      </c>
      <c r="CH903" s="46"/>
      <c r="CI903" s="46"/>
      <c r="CJ903" s="46"/>
      <c r="CK903" s="46"/>
      <c r="CL903" s="46"/>
      <c r="CM903" s="46"/>
      <c r="CN903" s="46"/>
      <c r="CO903" s="46"/>
      <c r="CP903" s="46"/>
      <c r="CQ903" s="46"/>
      <c r="CR903" s="46"/>
      <c r="CS903" s="46"/>
      <c r="CT903" s="46"/>
      <c r="CU903" s="46"/>
    </row>
    <row r="904" spans="1:99" ht="12.75" customHeight="1">
      <c r="A904" s="409">
        <v>2302</v>
      </c>
      <c r="B904" s="399" t="s">
        <v>9647</v>
      </c>
      <c r="C904" s="399">
        <f t="shared" si="117"/>
        <v>2302</v>
      </c>
      <c r="D904" s="399">
        <f t="shared" si="118"/>
        <v>0</v>
      </c>
      <c r="E904" s="399">
        <f t="shared" si="119"/>
        <v>0</v>
      </c>
      <c r="F904" s="399" t="str">
        <f t="shared" si="138"/>
        <v>Data Element</v>
      </c>
      <c r="G904" s="400">
        <f t="shared" si="129"/>
        <v>30</v>
      </c>
      <c r="H904" s="400" t="str">
        <f t="shared" si="133"/>
        <v/>
      </c>
      <c r="I904" s="400"/>
      <c r="J904" s="400"/>
      <c r="K904" s="402" t="s">
        <v>9615</v>
      </c>
      <c r="L904" s="402" t="s">
        <v>2745</v>
      </c>
      <c r="M904" s="400"/>
      <c r="N904" s="762" t="s">
        <v>9616</v>
      </c>
      <c r="O904" s="407"/>
      <c r="P904" s="407"/>
      <c r="Q904" s="407"/>
      <c r="R904" s="407" t="s">
        <v>9648</v>
      </c>
      <c r="S904" s="432" t="s">
        <v>9649</v>
      </c>
      <c r="T904" s="421"/>
      <c r="U904" s="421"/>
      <c r="V904" s="407"/>
      <c r="W904" s="407"/>
      <c r="X904" s="774"/>
      <c r="Y904" s="407"/>
      <c r="Z904" s="407"/>
      <c r="AA904" s="407"/>
      <c r="AB904" s="408"/>
      <c r="AC904" s="407"/>
      <c r="AD904" s="407"/>
      <c r="AE904" s="408"/>
      <c r="AF904" s="407"/>
      <c r="AG904" s="407"/>
      <c r="AH904" s="399"/>
      <c r="AI904" s="400"/>
      <c r="AJ904" s="399" t="s">
        <v>1787</v>
      </c>
      <c r="AK904" s="409" t="s">
        <v>9650</v>
      </c>
      <c r="AL904" s="409"/>
      <c r="AM904" s="409" t="s">
        <v>3314</v>
      </c>
      <c r="AN904" s="409" t="s">
        <v>3101</v>
      </c>
      <c r="AO904" s="399" t="s">
        <v>1787</v>
      </c>
      <c r="AP904" s="399"/>
      <c r="AQ904" s="409" t="s">
        <v>115</v>
      </c>
      <c r="AR904" s="399"/>
      <c r="AS904" s="399"/>
      <c r="AT904" s="399"/>
      <c r="AU904" s="399"/>
      <c r="AV904" s="399" t="str">
        <f t="shared" si="123"/>
        <v/>
      </c>
      <c r="AW904" s="399"/>
      <c r="AX904" s="409" t="s">
        <v>3104</v>
      </c>
      <c r="AY904" s="399" t="str">
        <f t="shared" si="124"/>
        <v>"0"-&gt;"Location - System rollout date"</v>
      </c>
      <c r="AZ904" s="399"/>
      <c r="BA904" s="409">
        <v>0</v>
      </c>
      <c r="BB904" s="399"/>
      <c r="BC904" s="399" t="s">
        <v>1787</v>
      </c>
      <c r="BD904" s="399" t="s">
        <v>1787</v>
      </c>
      <c r="BE904" s="411"/>
      <c r="BF904" s="411" t="s">
        <v>1787</v>
      </c>
      <c r="BG904" s="411"/>
      <c r="BH904" s="411"/>
      <c r="BI904" s="411"/>
      <c r="BJ904" s="409" t="s">
        <v>3106</v>
      </c>
      <c r="BK904" s="399" t="s">
        <v>1787</v>
      </c>
      <c r="BL904" s="399"/>
      <c r="BM904" s="399" t="s">
        <v>1787</v>
      </c>
      <c r="BN904" s="399" t="s">
        <v>1787</v>
      </c>
      <c r="BO904" s="399" t="s">
        <v>1787</v>
      </c>
      <c r="BP904" s="399" t="s">
        <v>1787</v>
      </c>
      <c r="BQ904" s="399" t="s">
        <v>1787</v>
      </c>
      <c r="BR904" s="399" t="s">
        <v>1787</v>
      </c>
      <c r="BS904" s="407"/>
      <c r="BT904" s="407"/>
      <c r="BU904" s="412"/>
      <c r="BV904" s="46" t="str">
        <f t="shared" si="8"/>
        <v/>
      </c>
      <c r="BW904" s="46" t="str">
        <f t="shared" si="9"/>
        <v/>
      </c>
      <c r="BX904" s="46" t="str">
        <f t="shared" si="10"/>
        <v/>
      </c>
      <c r="BY904" s="43">
        <f t="shared" si="11"/>
        <v>0</v>
      </c>
      <c r="BZ904" s="46">
        <f t="shared" si="12"/>
        <v>1</v>
      </c>
      <c r="CA904" s="46">
        <f t="shared" si="13"/>
        <v>0</v>
      </c>
      <c r="CB904" s="46">
        <f t="shared" si="14"/>
        <v>0</v>
      </c>
      <c r="CC904" s="46">
        <f t="shared" si="15"/>
        <v>0</v>
      </c>
      <c r="CD904" s="46">
        <f t="shared" si="16"/>
        <v>0</v>
      </c>
      <c r="CE904" s="46">
        <f t="shared" si="17"/>
        <v>0</v>
      </c>
      <c r="CF904" s="46">
        <f t="shared" si="18"/>
        <v>1</v>
      </c>
      <c r="CG904" s="46" t="str">
        <f ca="1">IFERROR(__xludf.DUMMYFUNCTION("if(OR(BH904="""",LEFT(BH904,2)=""LA""),"""",IMPORTXML(CONCATENATE(""https://loinc.org/"",BH904,""/""),""//span[@id='lcn']""))"),"")</f>
        <v/>
      </c>
      <c r="CH904" s="46"/>
      <c r="CI904" s="46"/>
      <c r="CJ904" s="46"/>
      <c r="CK904" s="46"/>
      <c r="CL904" s="46"/>
      <c r="CM904" s="46"/>
      <c r="CN904" s="46"/>
      <c r="CO904" s="46"/>
      <c r="CP904" s="46"/>
      <c r="CQ904" s="46"/>
      <c r="CR904" s="46"/>
      <c r="CS904" s="46"/>
      <c r="CT904" s="46"/>
      <c r="CU904" s="46"/>
    </row>
    <row r="905" spans="1:99" ht="12.75" customHeight="1">
      <c r="A905" s="409">
        <v>2303</v>
      </c>
      <c r="B905" s="399" t="s">
        <v>9651</v>
      </c>
      <c r="C905" s="399">
        <f t="shared" si="117"/>
        <v>2303</v>
      </c>
      <c r="D905" s="399">
        <f t="shared" si="118"/>
        <v>0</v>
      </c>
      <c r="E905" s="399">
        <f t="shared" si="119"/>
        <v>0</v>
      </c>
      <c r="F905" s="399" t="str">
        <f t="shared" si="138"/>
        <v>Data Element</v>
      </c>
      <c r="G905" s="400">
        <f t="shared" si="129"/>
        <v>33</v>
      </c>
      <c r="H905" s="400" t="str">
        <f t="shared" si="133"/>
        <v/>
      </c>
      <c r="I905" s="400"/>
      <c r="J905" s="400"/>
      <c r="K905" s="402" t="s">
        <v>9615</v>
      </c>
      <c r="L905" s="402" t="s">
        <v>2745</v>
      </c>
      <c r="M905" s="400"/>
      <c r="N905" s="762" t="s">
        <v>9616</v>
      </c>
      <c r="O905" s="407"/>
      <c r="P905" s="407"/>
      <c r="Q905" s="407"/>
      <c r="R905" s="407" t="s">
        <v>9652</v>
      </c>
      <c r="S905" s="407"/>
      <c r="T905" s="407"/>
      <c r="U905" s="407"/>
      <c r="V905" s="407"/>
      <c r="W905" s="407"/>
      <c r="X905" s="774"/>
      <c r="Y905" s="407"/>
      <c r="Z905" s="407"/>
      <c r="AA905" s="407"/>
      <c r="AB905" s="408"/>
      <c r="AC905" s="407"/>
      <c r="AD905" s="407"/>
      <c r="AE905" s="408"/>
      <c r="AF905" s="407"/>
      <c r="AG905" s="407"/>
      <c r="AH905" s="399"/>
      <c r="AI905" s="400"/>
      <c r="AJ905" s="399" t="s">
        <v>1787</v>
      </c>
      <c r="AK905" s="409" t="s">
        <v>9653</v>
      </c>
      <c r="AL905" s="409"/>
      <c r="AM905" s="409" t="s">
        <v>3100</v>
      </c>
      <c r="AN905" s="409" t="s">
        <v>3101</v>
      </c>
      <c r="AO905" s="399" t="s">
        <v>1787</v>
      </c>
      <c r="AP905" s="399"/>
      <c r="AQ905" s="409" t="s">
        <v>115</v>
      </c>
      <c r="AR905" s="399"/>
      <c r="AS905" s="399"/>
      <c r="AT905" s="399"/>
      <c r="AU905" s="399"/>
      <c r="AV905" s="399" t="str">
        <f t="shared" si="123"/>
        <v/>
      </c>
      <c r="AW905" s="399"/>
      <c r="AX905" s="409" t="s">
        <v>3104</v>
      </c>
      <c r="AY905" s="399" t="str">
        <f t="shared" si="124"/>
        <v>"0"-&gt;"Location - Administrative area 1 "</v>
      </c>
      <c r="AZ905" s="409" t="s">
        <v>3105</v>
      </c>
      <c r="BA905" s="409">
        <v>0</v>
      </c>
      <c r="BB905" s="399"/>
      <c r="BC905" s="399" t="s">
        <v>1787</v>
      </c>
      <c r="BD905" s="399" t="s">
        <v>1787</v>
      </c>
      <c r="BE905" s="411"/>
      <c r="BF905" s="411" t="s">
        <v>1787</v>
      </c>
      <c r="BG905" s="411"/>
      <c r="BH905" s="411"/>
      <c r="BI905" s="411"/>
      <c r="BJ905" s="409" t="s">
        <v>3106</v>
      </c>
      <c r="BK905" s="399" t="s">
        <v>1787</v>
      </c>
      <c r="BL905" s="399"/>
      <c r="BM905" s="399" t="s">
        <v>1787</v>
      </c>
      <c r="BN905" s="399" t="s">
        <v>1787</v>
      </c>
      <c r="BO905" s="399" t="s">
        <v>1787</v>
      </c>
      <c r="BP905" s="399" t="s">
        <v>1787</v>
      </c>
      <c r="BQ905" s="399" t="s">
        <v>1787</v>
      </c>
      <c r="BR905" s="399" t="s">
        <v>1787</v>
      </c>
      <c r="BS905" s="407"/>
      <c r="BT905" s="407"/>
      <c r="BU905" s="412"/>
      <c r="BV905" s="46" t="str">
        <f t="shared" si="8"/>
        <v/>
      </c>
      <c r="BW905" s="46" t="str">
        <f t="shared" si="9"/>
        <v/>
      </c>
      <c r="BX905" s="46" t="str">
        <f t="shared" si="10"/>
        <v/>
      </c>
      <c r="BY905" s="43">
        <f t="shared" si="11"/>
        <v>0</v>
      </c>
      <c r="BZ905" s="46">
        <f t="shared" si="12"/>
        <v>1</v>
      </c>
      <c r="CA905" s="46">
        <f t="shared" si="13"/>
        <v>0</v>
      </c>
      <c r="CB905" s="46">
        <f t="shared" si="14"/>
        <v>1</v>
      </c>
      <c r="CC905" s="46">
        <f t="shared" si="15"/>
        <v>1</v>
      </c>
      <c r="CD905" s="46">
        <f t="shared" si="16"/>
        <v>1</v>
      </c>
      <c r="CE905" s="46">
        <f t="shared" si="17"/>
        <v>0</v>
      </c>
      <c r="CF905" s="46">
        <f t="shared" si="18"/>
        <v>0</v>
      </c>
      <c r="CG905" s="46" t="str">
        <f ca="1">IFERROR(__xludf.DUMMYFUNCTION("if(OR(BH905="""",LEFT(BH905,2)=""LA""),"""",IMPORTXML(CONCATENATE(""https://loinc.org/"",BH905,""/""),""//span[@id='lcn']""))"),"")</f>
        <v/>
      </c>
      <c r="CH905" s="46"/>
      <c r="CI905" s="46"/>
      <c r="CJ905" s="46"/>
      <c r="CK905" s="46"/>
      <c r="CL905" s="46"/>
      <c r="CM905" s="46"/>
      <c r="CN905" s="46"/>
      <c r="CO905" s="46"/>
      <c r="CP905" s="46"/>
      <c r="CQ905" s="46"/>
      <c r="CR905" s="46"/>
      <c r="CS905" s="46"/>
      <c r="CT905" s="46"/>
      <c r="CU905" s="46"/>
    </row>
    <row r="906" spans="1:99" ht="12.75" customHeight="1">
      <c r="A906" s="409">
        <v>2304</v>
      </c>
      <c r="B906" s="399" t="s">
        <v>9654</v>
      </c>
      <c r="C906" s="399">
        <f t="shared" si="117"/>
        <v>2304</v>
      </c>
      <c r="D906" s="399">
        <f t="shared" si="118"/>
        <v>0</v>
      </c>
      <c r="E906" s="399">
        <f t="shared" si="119"/>
        <v>0</v>
      </c>
      <c r="F906" s="399" t="str">
        <f t="shared" si="138"/>
        <v>Data Element</v>
      </c>
      <c r="G906" s="400">
        <f t="shared" si="129"/>
        <v>31</v>
      </c>
      <c r="H906" s="400" t="str">
        <f t="shared" si="133"/>
        <v/>
      </c>
      <c r="I906" s="400"/>
      <c r="J906" s="400"/>
      <c r="K906" s="402" t="s">
        <v>9615</v>
      </c>
      <c r="L906" s="402" t="s">
        <v>2745</v>
      </c>
      <c r="M906" s="400"/>
      <c r="N906" s="762" t="s">
        <v>9616</v>
      </c>
      <c r="O906" s="407"/>
      <c r="P906" s="407"/>
      <c r="Q906" s="407"/>
      <c r="R906" s="407" t="s">
        <v>9655</v>
      </c>
      <c r="S906" s="407"/>
      <c r="T906" s="407"/>
      <c r="U906" s="407"/>
      <c r="V906" s="407"/>
      <c r="W906" s="407"/>
      <c r="X906" s="774"/>
      <c r="Y906" s="407"/>
      <c r="Z906" s="407"/>
      <c r="AA906" s="407"/>
      <c r="AB906" s="408"/>
      <c r="AC906" s="407"/>
      <c r="AD906" s="407"/>
      <c r="AE906" s="408"/>
      <c r="AF906" s="407"/>
      <c r="AG906" s="407"/>
      <c r="AH906" s="399"/>
      <c r="AI906" s="400"/>
      <c r="AJ906" s="399" t="s">
        <v>1787</v>
      </c>
      <c r="AK906" s="409" t="s">
        <v>9656</v>
      </c>
      <c r="AL906" s="409"/>
      <c r="AM906" s="409" t="s">
        <v>3314</v>
      </c>
      <c r="AN906" s="409" t="s">
        <v>3101</v>
      </c>
      <c r="AO906" s="399" t="s">
        <v>1787</v>
      </c>
      <c r="AP906" s="399"/>
      <c r="AQ906" s="409" t="s">
        <v>115</v>
      </c>
      <c r="AR906" s="399"/>
      <c r="AS906" s="399"/>
      <c r="AT906" s="399"/>
      <c r="AU906" s="399"/>
      <c r="AV906" s="399" t="str">
        <f t="shared" si="123"/>
        <v/>
      </c>
      <c r="AW906" s="399"/>
      <c r="AX906" s="409" t="s">
        <v>3104</v>
      </c>
      <c r="AY906" s="399" t="str">
        <f t="shared" si="124"/>
        <v>"0"-&gt;"Location - Catchment population"</v>
      </c>
      <c r="AZ906" s="399"/>
      <c r="BA906" s="409">
        <v>0</v>
      </c>
      <c r="BB906" s="399"/>
      <c r="BC906" s="399" t="s">
        <v>1787</v>
      </c>
      <c r="BD906" s="399" t="s">
        <v>1787</v>
      </c>
      <c r="BE906" s="411"/>
      <c r="BF906" s="411" t="s">
        <v>1787</v>
      </c>
      <c r="BG906" s="411"/>
      <c r="BH906" s="411"/>
      <c r="BI906" s="411"/>
      <c r="BJ906" s="409" t="s">
        <v>3106</v>
      </c>
      <c r="BK906" s="399" t="s">
        <v>1787</v>
      </c>
      <c r="BL906" s="399"/>
      <c r="BM906" s="399" t="s">
        <v>1787</v>
      </c>
      <c r="BN906" s="399" t="s">
        <v>1787</v>
      </c>
      <c r="BO906" s="399" t="s">
        <v>1787</v>
      </c>
      <c r="BP906" s="399" t="s">
        <v>1787</v>
      </c>
      <c r="BQ906" s="399" t="s">
        <v>1787</v>
      </c>
      <c r="BR906" s="399" t="s">
        <v>1787</v>
      </c>
      <c r="BS906" s="407"/>
      <c r="BT906" s="407"/>
      <c r="BU906" s="412"/>
      <c r="BV906" s="46" t="str">
        <f t="shared" si="8"/>
        <v/>
      </c>
      <c r="BW906" s="46" t="str">
        <f t="shared" si="9"/>
        <v/>
      </c>
      <c r="BX906" s="46" t="str">
        <f t="shared" si="10"/>
        <v/>
      </c>
      <c r="BY906" s="43">
        <f t="shared" si="11"/>
        <v>0</v>
      </c>
      <c r="BZ906" s="46">
        <f t="shared" si="12"/>
        <v>1</v>
      </c>
      <c r="CA906" s="46">
        <f t="shared" si="13"/>
        <v>0</v>
      </c>
      <c r="CB906" s="46">
        <f t="shared" si="14"/>
        <v>0</v>
      </c>
      <c r="CC906" s="46">
        <f t="shared" si="15"/>
        <v>0</v>
      </c>
      <c r="CD906" s="46">
        <f t="shared" si="16"/>
        <v>0</v>
      </c>
      <c r="CE906" s="46">
        <f t="shared" si="17"/>
        <v>0</v>
      </c>
      <c r="CF906" s="46">
        <f t="shared" si="18"/>
        <v>1</v>
      </c>
      <c r="CG906" s="46" t="str">
        <f ca="1">IFERROR(__xludf.DUMMYFUNCTION("if(OR(BH906="""",LEFT(BH906,2)=""LA""),"""",IMPORTXML(CONCATENATE(""https://loinc.org/"",BH906,""/""),""//span[@id='lcn']""))"),"")</f>
        <v/>
      </c>
      <c r="CH906" s="46"/>
      <c r="CI906" s="46"/>
      <c r="CJ906" s="46"/>
      <c r="CK906" s="46"/>
      <c r="CL906" s="46"/>
      <c r="CM906" s="46"/>
      <c r="CN906" s="46"/>
      <c r="CO906" s="46"/>
      <c r="CP906" s="46"/>
      <c r="CQ906" s="46"/>
      <c r="CR906" s="46"/>
      <c r="CS906" s="46"/>
      <c r="CT906" s="46"/>
      <c r="CU906" s="46"/>
    </row>
    <row r="907" spans="1:99" ht="12.75" customHeight="1">
      <c r="A907" s="409">
        <v>2305</v>
      </c>
      <c r="B907" s="399" t="s">
        <v>9657</v>
      </c>
      <c r="C907" s="399">
        <f t="shared" si="117"/>
        <v>2305</v>
      </c>
      <c r="D907" s="399">
        <f t="shared" si="118"/>
        <v>0</v>
      </c>
      <c r="E907" s="399">
        <f t="shared" si="119"/>
        <v>0</v>
      </c>
      <c r="F907" s="399" t="str">
        <f t="shared" si="138"/>
        <v>Data Element</v>
      </c>
      <c r="G907" s="400">
        <f t="shared" si="129"/>
        <v>32</v>
      </c>
      <c r="H907" s="400" t="str">
        <f t="shared" si="133"/>
        <v/>
      </c>
      <c r="I907" s="400"/>
      <c r="J907" s="400"/>
      <c r="K907" s="409" t="s">
        <v>9615</v>
      </c>
      <c r="L907" s="402" t="s">
        <v>2745</v>
      </c>
      <c r="M907" s="400"/>
      <c r="N907" s="762" t="s">
        <v>9616</v>
      </c>
      <c r="O907" s="407"/>
      <c r="P907" s="407"/>
      <c r="Q907" s="407"/>
      <c r="R907" s="407" t="s">
        <v>9658</v>
      </c>
      <c r="S907" s="407"/>
      <c r="T907" s="407"/>
      <c r="U907" s="407"/>
      <c r="V907" s="407"/>
      <c r="W907" s="407"/>
      <c r="X907" s="774"/>
      <c r="Y907" s="407"/>
      <c r="Z907" s="407"/>
      <c r="AA907" s="407"/>
      <c r="AB907" s="408"/>
      <c r="AC907" s="407"/>
      <c r="AD907" s="407"/>
      <c r="AE907" s="408"/>
      <c r="AF907" s="407"/>
      <c r="AG907" s="407"/>
      <c r="AH907" s="399"/>
      <c r="AI907" s="400"/>
      <c r="AJ907" s="399" t="s">
        <v>1787</v>
      </c>
      <c r="AK907" s="409" t="s">
        <v>4075</v>
      </c>
      <c r="AL907" s="409"/>
      <c r="AM907" s="409" t="s">
        <v>3100</v>
      </c>
      <c r="AN907" s="409" t="s">
        <v>3101</v>
      </c>
      <c r="AO907" s="399" t="s">
        <v>1787</v>
      </c>
      <c r="AP907" s="399"/>
      <c r="AQ907" s="409" t="s">
        <v>115</v>
      </c>
      <c r="AR907" s="399"/>
      <c r="AS907" s="399"/>
      <c r="AT907" s="399"/>
      <c r="AU907" s="399"/>
      <c r="AV907" s="399" t="str">
        <f t="shared" si="123"/>
        <v/>
      </c>
      <c r="AW907" s="399"/>
      <c r="AX907" s="409" t="s">
        <v>3104</v>
      </c>
      <c r="AY907" s="399" t="str">
        <f t="shared" si="124"/>
        <v>"0"-&gt;"Location - Rapid diagnostic test"</v>
      </c>
      <c r="AZ907" s="399"/>
      <c r="BA907" s="409">
        <v>0</v>
      </c>
      <c r="BB907" s="399"/>
      <c r="BC907" s="399" t="s">
        <v>1787</v>
      </c>
      <c r="BD907" s="399" t="s">
        <v>1787</v>
      </c>
      <c r="BE907" s="411"/>
      <c r="BF907" s="411" t="s">
        <v>1787</v>
      </c>
      <c r="BG907" s="411"/>
      <c r="BH907" s="411"/>
      <c r="BI907" s="411"/>
      <c r="BJ907" s="399" t="s">
        <v>1787</v>
      </c>
      <c r="BK907" s="399" t="s">
        <v>1787</v>
      </c>
      <c r="BL907" s="399"/>
      <c r="BM907" s="399" t="s">
        <v>1787</v>
      </c>
      <c r="BN907" s="399" t="s">
        <v>1787</v>
      </c>
      <c r="BO907" s="399" t="s">
        <v>1787</v>
      </c>
      <c r="BP907" s="399" t="s">
        <v>1787</v>
      </c>
      <c r="BQ907" s="399" t="s">
        <v>1787</v>
      </c>
      <c r="BR907" s="399" t="s">
        <v>1787</v>
      </c>
      <c r="BS907" s="407"/>
      <c r="BT907" s="407"/>
      <c r="BU907" s="412"/>
      <c r="BV907" s="46" t="str">
        <f t="shared" si="8"/>
        <v/>
      </c>
      <c r="BW907" s="46" t="str">
        <f t="shared" si="9"/>
        <v/>
      </c>
      <c r="BX907" s="46" t="str">
        <f t="shared" si="10"/>
        <v/>
      </c>
      <c r="BY907" s="43">
        <f t="shared" si="11"/>
        <v>0</v>
      </c>
      <c r="BZ907" s="46">
        <f t="shared" si="12"/>
        <v>1</v>
      </c>
      <c r="CA907" s="46">
        <f t="shared" si="13"/>
        <v>0</v>
      </c>
      <c r="CB907" s="46">
        <f t="shared" si="14"/>
        <v>0</v>
      </c>
      <c r="CC907" s="46">
        <f t="shared" si="15"/>
        <v>1</v>
      </c>
      <c r="CD907" s="46">
        <f t="shared" si="16"/>
        <v>0</v>
      </c>
      <c r="CE907" s="46">
        <f t="shared" si="17"/>
        <v>1</v>
      </c>
      <c r="CF907" s="46">
        <f t="shared" si="18"/>
        <v>0</v>
      </c>
      <c r="CG907" s="46" t="str">
        <f ca="1">IFERROR(__xludf.DUMMYFUNCTION("if(OR(BH907="""",LEFT(BH907,2)=""LA""),"""",IMPORTXML(CONCATENATE(""https://loinc.org/"",BH907,""/""),""//span[@id='lcn']""))"),"")</f>
        <v/>
      </c>
      <c r="CH907" s="46"/>
      <c r="CI907" s="46"/>
      <c r="CJ907" s="46"/>
      <c r="CK907" s="46"/>
      <c r="CL907" s="46"/>
      <c r="CM907" s="46"/>
      <c r="CN907" s="46"/>
      <c r="CO907" s="46"/>
      <c r="CP907" s="46"/>
      <c r="CQ907" s="46"/>
      <c r="CR907" s="46"/>
      <c r="CS907" s="46"/>
      <c r="CT907" s="46"/>
      <c r="CU907" s="46"/>
    </row>
    <row r="908" spans="1:99" ht="12.75" customHeight="1">
      <c r="A908" s="409">
        <v>2306</v>
      </c>
      <c r="B908" s="399" t="s">
        <v>9659</v>
      </c>
      <c r="C908" s="399">
        <f t="shared" si="117"/>
        <v>2306</v>
      </c>
      <c r="D908" s="399">
        <f t="shared" si="118"/>
        <v>0</v>
      </c>
      <c r="E908" s="399">
        <f t="shared" si="119"/>
        <v>0</v>
      </c>
      <c r="F908" s="399" t="str">
        <f t="shared" si="138"/>
        <v>Data Element</v>
      </c>
      <c r="G908" s="400">
        <f t="shared" si="129"/>
        <v>30</v>
      </c>
      <c r="H908" s="400" t="str">
        <f t="shared" si="133"/>
        <v/>
      </c>
      <c r="I908" s="400"/>
      <c r="J908" s="400"/>
      <c r="K908" s="402" t="s">
        <v>9615</v>
      </c>
      <c r="L908" s="402" t="s">
        <v>2745</v>
      </c>
      <c r="M908" s="400"/>
      <c r="N908" s="762" t="s">
        <v>9616</v>
      </c>
      <c r="O908" s="407"/>
      <c r="P908" s="407"/>
      <c r="Q908" s="407"/>
      <c r="R908" s="407" t="s">
        <v>9660</v>
      </c>
      <c r="S908" s="407"/>
      <c r="T908" s="407"/>
      <c r="U908" s="407"/>
      <c r="V908" s="407"/>
      <c r="W908" s="407"/>
      <c r="X908" s="774"/>
      <c r="Y908" s="407"/>
      <c r="Z908" s="407"/>
      <c r="AA908" s="407"/>
      <c r="AB908" s="408"/>
      <c r="AC908" s="407"/>
      <c r="AD908" s="407"/>
      <c r="AE908" s="408"/>
      <c r="AF908" s="407"/>
      <c r="AG908" s="407"/>
      <c r="AH908" s="399"/>
      <c r="AI908" s="400"/>
      <c r="AJ908" s="399" t="s">
        <v>1787</v>
      </c>
      <c r="AK908" s="409" t="s">
        <v>4075</v>
      </c>
      <c r="AL908" s="409"/>
      <c r="AM908" s="409" t="s">
        <v>3100</v>
      </c>
      <c r="AN908" s="409" t="s">
        <v>3101</v>
      </c>
      <c r="AO908" s="399" t="s">
        <v>1787</v>
      </c>
      <c r="AP908" s="399"/>
      <c r="AQ908" s="409" t="s">
        <v>115</v>
      </c>
      <c r="AR908" s="399"/>
      <c r="AS908" s="399"/>
      <c r="AT908" s="399"/>
      <c r="AU908" s="399"/>
      <c r="AV908" s="399" t="str">
        <f t="shared" si="123"/>
        <v/>
      </c>
      <c r="AW908" s="399"/>
      <c r="AX908" s="409" t="s">
        <v>3104</v>
      </c>
      <c r="AY908" s="399" t="str">
        <f t="shared" si="124"/>
        <v>"0"-&gt;"Location - Lab tests available"</v>
      </c>
      <c r="AZ908" s="399"/>
      <c r="BA908" s="409">
        <v>0</v>
      </c>
      <c r="BB908" s="399"/>
      <c r="BC908" s="399" t="s">
        <v>1787</v>
      </c>
      <c r="BD908" s="399" t="s">
        <v>1787</v>
      </c>
      <c r="BE908" s="411"/>
      <c r="BF908" s="411" t="s">
        <v>1787</v>
      </c>
      <c r="BG908" s="411"/>
      <c r="BH908" s="411"/>
      <c r="BI908" s="411"/>
      <c r="BJ908" s="399" t="s">
        <v>1787</v>
      </c>
      <c r="BK908" s="399" t="s">
        <v>1787</v>
      </c>
      <c r="BL908" s="399"/>
      <c r="BM908" s="399" t="s">
        <v>1787</v>
      </c>
      <c r="BN908" s="399" t="s">
        <v>1787</v>
      </c>
      <c r="BO908" s="399" t="s">
        <v>1787</v>
      </c>
      <c r="BP908" s="399" t="s">
        <v>1787</v>
      </c>
      <c r="BQ908" s="399" t="s">
        <v>1787</v>
      </c>
      <c r="BR908" s="399" t="s">
        <v>1787</v>
      </c>
      <c r="BS908" s="407"/>
      <c r="BT908" s="407"/>
      <c r="BU908" s="412"/>
      <c r="BV908" s="46" t="str">
        <f t="shared" si="8"/>
        <v/>
      </c>
      <c r="BW908" s="46" t="str">
        <f t="shared" si="9"/>
        <v/>
      </c>
      <c r="BX908" s="46" t="str">
        <f t="shared" si="10"/>
        <v/>
      </c>
      <c r="BY908" s="43">
        <f t="shared" si="11"/>
        <v>0</v>
      </c>
      <c r="BZ908" s="46">
        <f t="shared" si="12"/>
        <v>1</v>
      </c>
      <c r="CA908" s="46">
        <f t="shared" si="13"/>
        <v>0</v>
      </c>
      <c r="CB908" s="46">
        <f t="shared" si="14"/>
        <v>0</v>
      </c>
      <c r="CC908" s="46">
        <f t="shared" si="15"/>
        <v>1</v>
      </c>
      <c r="CD908" s="46">
        <f t="shared" si="16"/>
        <v>0</v>
      </c>
      <c r="CE908" s="46">
        <f t="shared" si="17"/>
        <v>1</v>
      </c>
      <c r="CF908" s="46">
        <f t="shared" si="18"/>
        <v>0</v>
      </c>
      <c r="CG908" s="46" t="str">
        <f ca="1">IFERROR(__xludf.DUMMYFUNCTION("if(OR(BH908="""",LEFT(BH908,2)=""LA""),"""",IMPORTXML(CONCATENATE(""https://loinc.org/"",BH908,""/""),""//span[@id='lcn']""))"),"")</f>
        <v/>
      </c>
      <c r="CH908" s="46"/>
      <c r="CI908" s="46"/>
      <c r="CJ908" s="46"/>
      <c r="CK908" s="46"/>
      <c r="CL908" s="46"/>
      <c r="CM908" s="46"/>
      <c r="CN908" s="46"/>
      <c r="CO908" s="46"/>
      <c r="CP908" s="46"/>
      <c r="CQ908" s="46"/>
      <c r="CR908" s="46"/>
      <c r="CS908" s="46"/>
      <c r="CT908" s="46"/>
      <c r="CU908" s="46"/>
    </row>
    <row r="909" spans="1:99" ht="12.75" customHeight="1">
      <c r="A909" s="409">
        <v>2307</v>
      </c>
      <c r="B909" s="409" t="s">
        <v>9661</v>
      </c>
      <c r="C909" s="399">
        <f t="shared" si="117"/>
        <v>2307</v>
      </c>
      <c r="D909" s="399">
        <f t="shared" si="118"/>
        <v>0</v>
      </c>
      <c r="E909" s="399">
        <f t="shared" si="119"/>
        <v>0</v>
      </c>
      <c r="F909" s="399" t="str">
        <f t="shared" si="138"/>
        <v>Data Element</v>
      </c>
      <c r="G909" s="400">
        <f t="shared" si="129"/>
        <v>61</v>
      </c>
      <c r="H909" s="400" t="str">
        <f t="shared" si="133"/>
        <v/>
      </c>
      <c r="I909" s="400"/>
      <c r="J909" s="400"/>
      <c r="K909" s="402" t="s">
        <v>9615</v>
      </c>
      <c r="L909" s="402" t="s">
        <v>2745</v>
      </c>
      <c r="M909" s="400"/>
      <c r="N909" s="762" t="s">
        <v>9616</v>
      </c>
      <c r="O909" s="407"/>
      <c r="P909" s="407"/>
      <c r="Q909" s="407"/>
      <c r="R909" s="467" t="s">
        <v>9662</v>
      </c>
      <c r="S909" s="407" t="s">
        <v>9663</v>
      </c>
      <c r="T909" s="407"/>
      <c r="U909" s="407"/>
      <c r="V909" s="407"/>
      <c r="W909" s="407"/>
      <c r="X909" s="774"/>
      <c r="Y909" s="407"/>
      <c r="Z909" s="407"/>
      <c r="AA909" s="407"/>
      <c r="AB909" s="408"/>
      <c r="AC909" s="407"/>
      <c r="AD909" s="407"/>
      <c r="AE909" s="408"/>
      <c r="AF909" s="407"/>
      <c r="AG909" s="407"/>
      <c r="AH909" s="399"/>
      <c r="AI909" s="400"/>
      <c r="AJ909" s="399" t="s">
        <v>1787</v>
      </c>
      <c r="AK909" s="409" t="s">
        <v>9664</v>
      </c>
      <c r="AL909" s="409"/>
      <c r="AM909" s="409" t="s">
        <v>3314</v>
      </c>
      <c r="AN909" s="409" t="s">
        <v>3101</v>
      </c>
      <c r="AO909" s="399" t="s">
        <v>1787</v>
      </c>
      <c r="AP909" s="399"/>
      <c r="AQ909" s="409" t="s">
        <v>115</v>
      </c>
      <c r="AR909" s="399"/>
      <c r="AS909" s="399"/>
      <c r="AT909" s="399"/>
      <c r="AU909" s="399"/>
      <c r="AV909" s="399" t="str">
        <f t="shared" si="123"/>
        <v/>
      </c>
      <c r="AW909" s="399"/>
      <c r="AX909" s="409" t="s">
        <v>3104</v>
      </c>
      <c r="AY909" s="399" t="str">
        <f t="shared" si="124"/>
        <v>"0"-&gt;"Location - Prevalence of gonococcal and chlamydial infections"</v>
      </c>
      <c r="AZ909" s="399"/>
      <c r="BA909" s="409">
        <v>0</v>
      </c>
      <c r="BB909" s="399"/>
      <c r="BC909" s="399" t="s">
        <v>1787</v>
      </c>
      <c r="BD909" s="409" t="s">
        <v>9665</v>
      </c>
      <c r="BE909" s="411"/>
      <c r="BF909" s="411" t="s">
        <v>1787</v>
      </c>
      <c r="BG909" s="411"/>
      <c r="BH909" s="411"/>
      <c r="BI909" s="411"/>
      <c r="BJ909" s="399" t="s">
        <v>1787</v>
      </c>
      <c r="BK909" s="409"/>
      <c r="BL909" s="409"/>
      <c r="BM909" s="409" t="s">
        <v>9666</v>
      </c>
      <c r="BN909" s="399" t="s">
        <v>1787</v>
      </c>
      <c r="BO909" s="399" t="s">
        <v>1787</v>
      </c>
      <c r="BP909" s="399" t="s">
        <v>1787</v>
      </c>
      <c r="BQ909" s="399" t="s">
        <v>1787</v>
      </c>
      <c r="BR909" s="399" t="s">
        <v>1787</v>
      </c>
      <c r="BS909" s="407"/>
      <c r="BT909" s="407"/>
      <c r="BU909" s="412"/>
      <c r="BV909" s="46" t="str">
        <f t="shared" si="8"/>
        <v/>
      </c>
      <c r="BW909" s="46" t="str">
        <f t="shared" si="9"/>
        <v/>
      </c>
      <c r="BX909" s="46" t="str">
        <f t="shared" si="10"/>
        <v/>
      </c>
      <c r="BY909" s="43">
        <f t="shared" si="11"/>
        <v>0</v>
      </c>
      <c r="BZ909" s="46">
        <f t="shared" si="12"/>
        <v>1</v>
      </c>
      <c r="CA909" s="46">
        <f t="shared" si="13"/>
        <v>0</v>
      </c>
      <c r="CB909" s="46">
        <f t="shared" si="14"/>
        <v>0</v>
      </c>
      <c r="CC909" s="46">
        <f t="shared" si="15"/>
        <v>0</v>
      </c>
      <c r="CD909" s="46">
        <f t="shared" si="16"/>
        <v>0</v>
      </c>
      <c r="CE909" s="46">
        <f t="shared" si="17"/>
        <v>0</v>
      </c>
      <c r="CF909" s="46">
        <f t="shared" si="18"/>
        <v>1</v>
      </c>
      <c r="CG909" s="46" t="str">
        <f ca="1">IFERROR(__xludf.DUMMYFUNCTION("if(OR(BH909="""",LEFT(BH909,2)=""LA""),"""",IMPORTXML(CONCATENATE(""https://loinc.org/"",BH909,""/""),""//span[@id='lcn']""))"),"")</f>
        <v/>
      </c>
      <c r="CH909" s="46"/>
      <c r="CI909" s="46"/>
      <c r="CJ909" s="46"/>
      <c r="CK909" s="46"/>
      <c r="CL909" s="46"/>
      <c r="CM909" s="46"/>
      <c r="CN909" s="46"/>
      <c r="CO909" s="46"/>
      <c r="CP909" s="46"/>
      <c r="CQ909" s="46"/>
      <c r="CR909" s="46"/>
      <c r="CS909" s="46"/>
      <c r="CT909" s="46"/>
      <c r="CU909" s="46"/>
    </row>
    <row r="910" spans="1:99" ht="12.75" customHeight="1">
      <c r="A910" s="409">
        <v>2308</v>
      </c>
      <c r="B910" s="399" t="s">
        <v>9667</v>
      </c>
      <c r="C910" s="399">
        <f t="shared" si="117"/>
        <v>2308</v>
      </c>
      <c r="D910" s="399">
        <f t="shared" si="118"/>
        <v>0</v>
      </c>
      <c r="E910" s="399">
        <f t="shared" si="119"/>
        <v>0</v>
      </c>
      <c r="F910" s="399" t="str">
        <f t="shared" si="138"/>
        <v>Data Element</v>
      </c>
      <c r="G910" s="400">
        <f t="shared" si="129"/>
        <v>32</v>
      </c>
      <c r="H910" s="400" t="str">
        <f t="shared" si="133"/>
        <v/>
      </c>
      <c r="I910" s="400"/>
      <c r="J910" s="400"/>
      <c r="K910" s="402" t="s">
        <v>9615</v>
      </c>
      <c r="L910" s="402" t="s">
        <v>2745</v>
      </c>
      <c r="M910" s="400"/>
      <c r="N910" s="762" t="s">
        <v>9616</v>
      </c>
      <c r="O910" s="407"/>
      <c r="P910" s="407"/>
      <c r="Q910" s="407"/>
      <c r="R910" s="407" t="s">
        <v>9668</v>
      </c>
      <c r="S910" s="407" t="s">
        <v>9669</v>
      </c>
      <c r="T910" s="407"/>
      <c r="U910" s="407"/>
      <c r="V910" s="407"/>
      <c r="W910" s="407"/>
      <c r="X910" s="774"/>
      <c r="Y910" s="407"/>
      <c r="Z910" s="407"/>
      <c r="AA910" s="407"/>
      <c r="AB910" s="408"/>
      <c r="AC910" s="407"/>
      <c r="AD910" s="407"/>
      <c r="AE910" s="408"/>
      <c r="AF910" s="407"/>
      <c r="AG910" s="407"/>
      <c r="AH910" s="399"/>
      <c r="AI910" s="400"/>
      <c r="AJ910" s="399" t="s">
        <v>1787</v>
      </c>
      <c r="AK910" s="409" t="s">
        <v>4075</v>
      </c>
      <c r="AL910" s="409"/>
      <c r="AM910" s="409" t="s">
        <v>3100</v>
      </c>
      <c r="AN910" s="409" t="s">
        <v>3101</v>
      </c>
      <c r="AO910" s="399" t="s">
        <v>1787</v>
      </c>
      <c r="AP910" s="399"/>
      <c r="AQ910" s="409" t="s">
        <v>115</v>
      </c>
      <c r="AR910" s="399"/>
      <c r="AS910" s="399"/>
      <c r="AT910" s="399"/>
      <c r="AU910" s="399"/>
      <c r="AV910" s="399" t="str">
        <f t="shared" si="123"/>
        <v/>
      </c>
      <c r="AW910" s="399"/>
      <c r="AX910" s="409" t="s">
        <v>3104</v>
      </c>
      <c r="AY910" s="399" t="str">
        <f t="shared" si="124"/>
        <v>"0"-&gt;"Location - Limited STI screening"</v>
      </c>
      <c r="AZ910" s="399"/>
      <c r="BA910" s="409">
        <v>0</v>
      </c>
      <c r="BB910" s="399"/>
      <c r="BC910" s="399" t="s">
        <v>1787</v>
      </c>
      <c r="BD910" s="399" t="s">
        <v>1787</v>
      </c>
      <c r="BE910" s="411"/>
      <c r="BF910" s="411" t="s">
        <v>1787</v>
      </c>
      <c r="BG910" s="411"/>
      <c r="BH910" s="411"/>
      <c r="BI910" s="411"/>
      <c r="BJ910" s="399" t="s">
        <v>1787</v>
      </c>
      <c r="BK910" s="399" t="s">
        <v>1787</v>
      </c>
      <c r="BL910" s="399"/>
      <c r="BM910" s="399" t="s">
        <v>1787</v>
      </c>
      <c r="BN910" s="399" t="s">
        <v>1787</v>
      </c>
      <c r="BO910" s="399" t="s">
        <v>1787</v>
      </c>
      <c r="BP910" s="399" t="s">
        <v>1787</v>
      </c>
      <c r="BQ910" s="399" t="s">
        <v>1787</v>
      </c>
      <c r="BR910" s="399" t="s">
        <v>1787</v>
      </c>
      <c r="BS910" s="407"/>
      <c r="BT910" s="407"/>
      <c r="BU910" s="412"/>
      <c r="BV910" s="46" t="str">
        <f t="shared" si="8"/>
        <v/>
      </c>
      <c r="BW910" s="46" t="str">
        <f t="shared" si="9"/>
        <v/>
      </c>
      <c r="BX910" s="46" t="str">
        <f t="shared" si="10"/>
        <v/>
      </c>
      <c r="BY910" s="43">
        <f t="shared" si="11"/>
        <v>0</v>
      </c>
      <c r="BZ910" s="46">
        <f t="shared" si="12"/>
        <v>1</v>
      </c>
      <c r="CA910" s="46">
        <f t="shared" si="13"/>
        <v>0</v>
      </c>
      <c r="CB910" s="46">
        <f t="shared" si="14"/>
        <v>0</v>
      </c>
      <c r="CC910" s="46">
        <f t="shared" si="15"/>
        <v>1</v>
      </c>
      <c r="CD910" s="46">
        <f t="shared" si="16"/>
        <v>0</v>
      </c>
      <c r="CE910" s="46">
        <f t="shared" si="17"/>
        <v>1</v>
      </c>
      <c r="CF910" s="46">
        <f t="shared" si="18"/>
        <v>0</v>
      </c>
      <c r="CG910" s="46" t="str">
        <f ca="1">IFERROR(__xludf.DUMMYFUNCTION("if(OR(BH910="""",LEFT(BH910,2)=""LA""),"""",IMPORTXML(CONCATENATE(""https://loinc.org/"",BH910,""/""),""//span[@id='lcn']""))"),"")</f>
        <v/>
      </c>
      <c r="CH910" s="46"/>
      <c r="CI910" s="46"/>
      <c r="CJ910" s="46"/>
      <c r="CK910" s="46"/>
      <c r="CL910" s="46"/>
      <c r="CM910" s="46"/>
      <c r="CN910" s="46"/>
      <c r="CO910" s="46"/>
      <c r="CP910" s="46"/>
      <c r="CQ910" s="46"/>
      <c r="CR910" s="46"/>
      <c r="CS910" s="46"/>
      <c r="CT910" s="46"/>
      <c r="CU910" s="46"/>
    </row>
    <row r="911" spans="1:99" ht="12.75" customHeight="1">
      <c r="A911" s="409">
        <v>2309</v>
      </c>
      <c r="B911" s="399" t="s">
        <v>9670</v>
      </c>
      <c r="C911" s="399">
        <f t="shared" si="117"/>
        <v>2309</v>
      </c>
      <c r="D911" s="399" t="str">
        <f t="shared" si="118"/>
        <v>HIV</v>
      </c>
      <c r="E911" s="399" t="str">
        <f t="shared" si="119"/>
        <v>HIV</v>
      </c>
      <c r="F911" s="409" t="s">
        <v>96</v>
      </c>
      <c r="G911" s="400">
        <f t="shared" si="129"/>
        <v>19</v>
      </c>
      <c r="H911" s="400" t="str">
        <f t="shared" si="133"/>
        <v/>
      </c>
      <c r="I911" s="400"/>
      <c r="J911" s="400"/>
      <c r="K911" s="402" t="s">
        <v>9615</v>
      </c>
      <c r="L911" s="402" t="s">
        <v>2745</v>
      </c>
      <c r="M911" s="402" t="s">
        <v>6789</v>
      </c>
      <c r="N911" s="762" t="s">
        <v>9616</v>
      </c>
      <c r="O911" s="407"/>
      <c r="P911" s="407"/>
      <c r="Q911" s="407"/>
      <c r="R911" s="407" t="s">
        <v>9670</v>
      </c>
      <c r="S911" s="407"/>
      <c r="T911" s="407"/>
      <c r="U911" s="407"/>
      <c r="V911" s="407" t="s">
        <v>887</v>
      </c>
      <c r="W911" s="407"/>
      <c r="X911" s="774"/>
      <c r="Y911" s="407"/>
      <c r="Z911" s="407"/>
      <c r="AA911" s="407"/>
      <c r="AB911" s="408"/>
      <c r="AC911" s="407"/>
      <c r="AD911" s="407"/>
      <c r="AE911" s="408"/>
      <c r="AF911" s="407"/>
      <c r="AG911" s="407"/>
      <c r="AH911" s="399"/>
      <c r="AI911" s="400"/>
      <c r="AJ911" s="399" t="s">
        <v>1787</v>
      </c>
      <c r="AK911" s="409" t="s">
        <v>4075</v>
      </c>
      <c r="AL911" s="409"/>
      <c r="AM911" s="409" t="s">
        <v>3100</v>
      </c>
      <c r="AN911" s="409" t="s">
        <v>3101</v>
      </c>
      <c r="AO911" s="399" t="s">
        <v>1787</v>
      </c>
      <c r="AP911" s="399"/>
      <c r="AQ911" s="409" t="s">
        <v>115</v>
      </c>
      <c r="AR911" s="399"/>
      <c r="AS911" s="399"/>
      <c r="AT911" s="399"/>
      <c r="AU911" s="399"/>
      <c r="AV911" s="399" t="str">
        <f t="shared" si="123"/>
        <v/>
      </c>
      <c r="AW911" s="399"/>
      <c r="AX911" s="409" t="s">
        <v>3104</v>
      </c>
      <c r="AY911" s="399" t="str">
        <f t="shared" si="124"/>
        <v>"HIV"-&gt;"Counseling provided"</v>
      </c>
      <c r="AZ911" s="409" t="s">
        <v>3105</v>
      </c>
      <c r="BA911" s="409">
        <v>0</v>
      </c>
      <c r="BB911" s="399"/>
      <c r="BC911" s="399" t="s">
        <v>1787</v>
      </c>
      <c r="BD911" s="409" t="s">
        <v>887</v>
      </c>
      <c r="BE911" s="411" t="s">
        <v>5260</v>
      </c>
      <c r="BF911" s="411" t="s">
        <v>1787</v>
      </c>
      <c r="BG911" s="411"/>
      <c r="BH911" s="411"/>
      <c r="BI911" s="411"/>
      <c r="BJ911" s="399" t="s">
        <v>1787</v>
      </c>
      <c r="BK911" s="399" t="s">
        <v>1787</v>
      </c>
      <c r="BL911" s="399"/>
      <c r="BM911" s="399" t="s">
        <v>1787</v>
      </c>
      <c r="BN911" s="399" t="s">
        <v>1787</v>
      </c>
      <c r="BO911" s="399" t="s">
        <v>1787</v>
      </c>
      <c r="BP911" s="399" t="s">
        <v>1787</v>
      </c>
      <c r="BQ911" s="399" t="s">
        <v>1787</v>
      </c>
      <c r="BR911" s="399" t="s">
        <v>1787</v>
      </c>
      <c r="BS911" s="407"/>
      <c r="BT911" s="407"/>
      <c r="BU911" s="412"/>
      <c r="BV911" s="46" t="str">
        <f t="shared" si="8"/>
        <v/>
      </c>
      <c r="BW911" s="46" t="str">
        <f t="shared" si="9"/>
        <v/>
      </c>
      <c r="BX911" s="46" t="str">
        <f t="shared" si="10"/>
        <v/>
      </c>
      <c r="BY911" s="43">
        <f t="shared" si="11"/>
        <v>0</v>
      </c>
      <c r="BZ911" s="46">
        <f t="shared" si="12"/>
        <v>1</v>
      </c>
      <c r="CA911" s="46">
        <f t="shared" si="13"/>
        <v>0</v>
      </c>
      <c r="CB911" s="46">
        <f t="shared" si="14"/>
        <v>1</v>
      </c>
      <c r="CC911" s="46">
        <f t="shared" si="15"/>
        <v>1</v>
      </c>
      <c r="CD911" s="46">
        <f t="shared" si="16"/>
        <v>1</v>
      </c>
      <c r="CE911" s="46">
        <f t="shared" si="17"/>
        <v>0</v>
      </c>
      <c r="CF911" s="46">
        <f t="shared" si="18"/>
        <v>0</v>
      </c>
      <c r="CG911" s="46" t="str">
        <f ca="1">IFERROR(__xludf.DUMMYFUNCTION("if(OR(BH911="""",LEFT(BH911,2)=""LA""),"""",IMPORTXML(CONCATENATE(""https://loinc.org/"",BH911,""/""),""//span[@id='lcn']""))"),"")</f>
        <v/>
      </c>
      <c r="CH911" s="46"/>
      <c r="CI911" s="46"/>
      <c r="CJ911" s="46"/>
      <c r="CK911" s="46"/>
      <c r="CL911" s="46"/>
      <c r="CM911" s="46"/>
      <c r="CN911" s="46"/>
      <c r="CO911" s="46"/>
      <c r="CP911" s="46"/>
      <c r="CQ911" s="46"/>
      <c r="CR911" s="46"/>
      <c r="CS911" s="46"/>
      <c r="CT911" s="46"/>
      <c r="CU911" s="46"/>
    </row>
    <row r="912" spans="1:99" ht="12.75" customHeight="1">
      <c r="A912" s="409">
        <v>2310</v>
      </c>
      <c r="B912" s="399" t="s">
        <v>9671</v>
      </c>
      <c r="C912" s="399">
        <f t="shared" si="117"/>
        <v>2310</v>
      </c>
      <c r="D912" s="399" t="str">
        <f t="shared" si="118"/>
        <v>True/False</v>
      </c>
      <c r="E912" s="399" t="str">
        <f t="shared" si="119"/>
        <v>True/False</v>
      </c>
      <c r="F912" s="399" t="str">
        <f>IF(AND(ISBLANK(V912)=FALSE,OR(T912="MC",T912="")),"Input Option","Data Element")</f>
        <v>Data Element</v>
      </c>
      <c r="G912" s="400">
        <f t="shared" si="129"/>
        <v>23</v>
      </c>
      <c r="H912" s="400" t="str">
        <f t="shared" si="133"/>
        <v/>
      </c>
      <c r="I912" s="400"/>
      <c r="J912" s="400"/>
      <c r="K912" s="402" t="s">
        <v>9615</v>
      </c>
      <c r="L912" s="402" t="s">
        <v>2745</v>
      </c>
      <c r="M912" s="402" t="s">
        <v>6789</v>
      </c>
      <c r="N912" s="762" t="s">
        <v>9616</v>
      </c>
      <c r="O912" s="407"/>
      <c r="P912" s="407"/>
      <c r="Q912" s="407"/>
      <c r="R912" s="407" t="s">
        <v>9671</v>
      </c>
      <c r="S912" s="407" t="s">
        <v>9672</v>
      </c>
      <c r="T912" s="407" t="s">
        <v>3169</v>
      </c>
      <c r="U912" s="407"/>
      <c r="V912" s="407" t="s">
        <v>3170</v>
      </c>
      <c r="W912" s="407"/>
      <c r="X912" s="774"/>
      <c r="Y912" s="407"/>
      <c r="Z912" s="407"/>
      <c r="AA912" s="407"/>
      <c r="AB912" s="408"/>
      <c r="AC912" s="407"/>
      <c r="AD912" s="407"/>
      <c r="AE912" s="408"/>
      <c r="AF912" s="407"/>
      <c r="AG912" s="407"/>
      <c r="AH912" s="399"/>
      <c r="AI912" s="400"/>
      <c r="AJ912" s="399" t="s">
        <v>1787</v>
      </c>
      <c r="AK912" s="409" t="s">
        <v>4075</v>
      </c>
      <c r="AL912" s="409"/>
      <c r="AM912" s="409" t="s">
        <v>3100</v>
      </c>
      <c r="AN912" s="409" t="s">
        <v>3101</v>
      </c>
      <c r="AO912" s="399" t="s">
        <v>1787</v>
      </c>
      <c r="AP912" s="399"/>
      <c r="AQ912" s="409" t="s">
        <v>115</v>
      </c>
      <c r="AR912" s="399"/>
      <c r="AS912" s="399"/>
      <c r="AT912" s="399"/>
      <c r="AU912" s="399"/>
      <c r="AV912" s="399" t="str">
        <f t="shared" si="123"/>
        <v/>
      </c>
      <c r="AW912" s="399"/>
      <c r="AX912" s="409" t="s">
        <v>3104</v>
      </c>
      <c r="AY912" s="399" t="str">
        <f t="shared" si="124"/>
        <v>"True/False"-&gt;"Provides HIV counseling"</v>
      </c>
      <c r="AZ912" s="399"/>
      <c r="BA912" s="409">
        <v>0</v>
      </c>
      <c r="BB912" s="399"/>
      <c r="BC912" s="399" t="s">
        <v>1787</v>
      </c>
      <c r="BD912" s="409" t="s">
        <v>4678</v>
      </c>
      <c r="BE912" s="411" t="s">
        <v>5260</v>
      </c>
      <c r="BF912" s="411" t="s">
        <v>1787</v>
      </c>
      <c r="BG912" s="411"/>
      <c r="BH912" s="411"/>
      <c r="BI912" s="411"/>
      <c r="BJ912" s="399" t="s">
        <v>1787</v>
      </c>
      <c r="BK912" s="409"/>
      <c r="BL912" s="409"/>
      <c r="BM912" s="409" t="s">
        <v>9673</v>
      </c>
      <c r="BN912" s="399" t="s">
        <v>1787</v>
      </c>
      <c r="BO912" s="399" t="s">
        <v>1787</v>
      </c>
      <c r="BP912" s="399" t="s">
        <v>1787</v>
      </c>
      <c r="BQ912" s="399" t="s">
        <v>1787</v>
      </c>
      <c r="BR912" s="399" t="s">
        <v>1787</v>
      </c>
      <c r="BS912" s="407"/>
      <c r="BT912" s="407"/>
      <c r="BU912" s="412"/>
      <c r="BV912" s="46" t="str">
        <f t="shared" si="8"/>
        <v/>
      </c>
      <c r="BW912" s="46" t="str">
        <f t="shared" si="9"/>
        <v/>
      </c>
      <c r="BX912" s="46" t="str">
        <f t="shared" si="10"/>
        <v/>
      </c>
      <c r="BY912" s="43">
        <f t="shared" si="11"/>
        <v>0</v>
      </c>
      <c r="BZ912" s="46">
        <f t="shared" si="12"/>
        <v>1</v>
      </c>
      <c r="CA912" s="46">
        <f t="shared" si="13"/>
        <v>0</v>
      </c>
      <c r="CB912" s="46">
        <f t="shared" si="14"/>
        <v>1</v>
      </c>
      <c r="CC912" s="46">
        <f t="shared" si="15"/>
        <v>1</v>
      </c>
      <c r="CD912" s="46">
        <f t="shared" si="16"/>
        <v>1</v>
      </c>
      <c r="CE912" s="46">
        <f t="shared" si="17"/>
        <v>0</v>
      </c>
      <c r="CF912" s="46">
        <f t="shared" si="18"/>
        <v>0</v>
      </c>
      <c r="CG912" s="46" t="str">
        <f ca="1">IFERROR(__xludf.DUMMYFUNCTION("if(OR(BH912="""",LEFT(BH912,2)=""LA""),"""",IMPORTXML(CONCATENATE(""https://loinc.org/"",BH912,""/""),""//span[@id='lcn']""))"),"")</f>
        <v/>
      </c>
      <c r="CH912" s="46"/>
      <c r="CI912" s="46"/>
      <c r="CJ912" s="46"/>
      <c r="CK912" s="46"/>
      <c r="CL912" s="46"/>
      <c r="CM912" s="46"/>
      <c r="CN912" s="46"/>
      <c r="CO912" s="46"/>
      <c r="CP912" s="46"/>
      <c r="CQ912" s="46"/>
      <c r="CR912" s="46"/>
      <c r="CS912" s="46"/>
      <c r="CT912" s="46"/>
      <c r="CU912" s="46"/>
    </row>
    <row r="913" spans="1:99" ht="12.75" customHeight="1">
      <c r="A913" s="409">
        <v>2311</v>
      </c>
      <c r="B913" s="409" t="s">
        <v>9674</v>
      </c>
      <c r="C913" s="399">
        <f t="shared" si="117"/>
        <v>2311</v>
      </c>
      <c r="D913" s="399" t="str">
        <f t="shared" si="118"/>
        <v>GBV</v>
      </c>
      <c r="E913" s="399" t="str">
        <f t="shared" si="119"/>
        <v>GBV</v>
      </c>
      <c r="F913" s="409" t="s">
        <v>96</v>
      </c>
      <c r="G913" s="400">
        <f t="shared" si="129"/>
        <v>23</v>
      </c>
      <c r="H913" s="400" t="str">
        <f t="shared" si="133"/>
        <v/>
      </c>
      <c r="I913" s="400"/>
      <c r="J913" s="400"/>
      <c r="K913" s="402" t="s">
        <v>9615</v>
      </c>
      <c r="L913" s="402" t="s">
        <v>2745</v>
      </c>
      <c r="M913" s="402" t="s">
        <v>6789</v>
      </c>
      <c r="N913" s="762" t="s">
        <v>9616</v>
      </c>
      <c r="O913" s="407"/>
      <c r="P913" s="407"/>
      <c r="Q913" s="407"/>
      <c r="R913" s="407"/>
      <c r="S913" s="407"/>
      <c r="T913" s="407"/>
      <c r="U913" s="407"/>
      <c r="V913" s="407" t="s">
        <v>9675</v>
      </c>
      <c r="W913" s="407"/>
      <c r="X913" s="774"/>
      <c r="Y913" s="407"/>
      <c r="Z913" s="407"/>
      <c r="AA913" s="407"/>
      <c r="AB913" s="408"/>
      <c r="AC913" s="407"/>
      <c r="AD913" s="407"/>
      <c r="AE913" s="408"/>
      <c r="AF913" s="407"/>
      <c r="AG913" s="407"/>
      <c r="AH913" s="399"/>
      <c r="AI913" s="400"/>
      <c r="AJ913" s="399" t="s">
        <v>1787</v>
      </c>
      <c r="AK913" s="409" t="s">
        <v>4075</v>
      </c>
      <c r="AL913" s="409"/>
      <c r="AM913" s="409" t="s">
        <v>3100</v>
      </c>
      <c r="AN913" s="409" t="s">
        <v>3101</v>
      </c>
      <c r="AO913" s="399" t="s">
        <v>1787</v>
      </c>
      <c r="AP913" s="399"/>
      <c r="AQ913" s="409" t="s">
        <v>115</v>
      </c>
      <c r="AR913" s="399"/>
      <c r="AS913" s="399"/>
      <c r="AT913" s="399"/>
      <c r="AU913" s="399"/>
      <c r="AV913" s="399" t="str">
        <f t="shared" si="123"/>
        <v/>
      </c>
      <c r="AW913" s="399"/>
      <c r="AX913" s="409" t="s">
        <v>3104</v>
      </c>
      <c r="AY913" s="399" t="str">
        <f t="shared" si="124"/>
        <v>"GBV"-&gt;"Provides GBV counseling"</v>
      </c>
      <c r="AZ913" s="399"/>
      <c r="BA913" s="409">
        <v>0</v>
      </c>
      <c r="BB913" s="399"/>
      <c r="BC913" s="399" t="s">
        <v>1787</v>
      </c>
      <c r="BD913" s="409" t="s">
        <v>4678</v>
      </c>
      <c r="BE913" s="411"/>
      <c r="BF913" s="411" t="s">
        <v>1787</v>
      </c>
      <c r="BG913" s="411"/>
      <c r="BH913" s="411"/>
      <c r="BI913" s="411"/>
      <c r="BJ913" s="399" t="s">
        <v>1787</v>
      </c>
      <c r="BK913" s="409"/>
      <c r="BL913" s="409"/>
      <c r="BM913" s="409" t="s">
        <v>9676</v>
      </c>
      <c r="BN913" s="399" t="s">
        <v>1787</v>
      </c>
      <c r="BO913" s="399" t="s">
        <v>1787</v>
      </c>
      <c r="BP913" s="399" t="s">
        <v>1787</v>
      </c>
      <c r="BQ913" s="399" t="s">
        <v>1787</v>
      </c>
      <c r="BR913" s="399" t="s">
        <v>1787</v>
      </c>
      <c r="BS913" s="407"/>
      <c r="BT913" s="407"/>
      <c r="BU913" s="412"/>
      <c r="BV913" s="46" t="str">
        <f t="shared" si="8"/>
        <v/>
      </c>
      <c r="BW913" s="46" t="str">
        <f t="shared" si="9"/>
        <v/>
      </c>
      <c r="BX913" s="46" t="str">
        <f t="shared" si="10"/>
        <v/>
      </c>
      <c r="BY913" s="43">
        <f t="shared" si="11"/>
        <v>0</v>
      </c>
      <c r="BZ913" s="46">
        <f t="shared" si="12"/>
        <v>1</v>
      </c>
      <c r="CA913" s="46">
        <f t="shared" si="13"/>
        <v>0</v>
      </c>
      <c r="CB913" s="46">
        <f t="shared" si="14"/>
        <v>0</v>
      </c>
      <c r="CC913" s="46">
        <f t="shared" si="15"/>
        <v>1</v>
      </c>
      <c r="CD913" s="46">
        <f t="shared" si="16"/>
        <v>0</v>
      </c>
      <c r="CE913" s="46">
        <f t="shared" si="17"/>
        <v>1</v>
      </c>
      <c r="CF913" s="46">
        <f t="shared" si="18"/>
        <v>0</v>
      </c>
      <c r="CG913" s="46" t="str">
        <f ca="1">IFERROR(__xludf.DUMMYFUNCTION("if(OR(BH913="""",LEFT(BH913,2)=""LA""),"""",IMPORTXML(CONCATENATE(""https://loinc.org/"",BH913,""/""),""//span[@id='lcn']""))"),"")</f>
        <v/>
      </c>
      <c r="CH913" s="46"/>
      <c r="CI913" s="46"/>
      <c r="CJ913" s="46"/>
      <c r="CK913" s="46"/>
      <c r="CL913" s="46"/>
      <c r="CM913" s="46"/>
      <c r="CN913" s="46"/>
      <c r="CO913" s="46"/>
      <c r="CP913" s="46"/>
      <c r="CQ913" s="46"/>
      <c r="CR913" s="46"/>
      <c r="CS913" s="46"/>
      <c r="CT913" s="46"/>
      <c r="CU913" s="46"/>
    </row>
    <row r="914" spans="1:99" ht="12.75" customHeight="1">
      <c r="A914" s="409">
        <v>2312</v>
      </c>
      <c r="B914" s="399" t="s">
        <v>9677</v>
      </c>
      <c r="C914" s="399">
        <f t="shared" si="117"/>
        <v>2312</v>
      </c>
      <c r="D914" s="399">
        <f t="shared" si="118"/>
        <v>0</v>
      </c>
      <c r="E914" s="399">
        <f t="shared" si="119"/>
        <v>0</v>
      </c>
      <c r="F914" s="399" t="str">
        <f t="shared" ref="F914:F919" si="139">IF(AND(ISBLANK(V914)=FALSE,OR(T914="MC",T914="")),"Input Option","Data Element")</f>
        <v>Data Element</v>
      </c>
      <c r="G914" s="400">
        <f t="shared" si="129"/>
        <v>24</v>
      </c>
      <c r="H914" s="400" t="str">
        <f t="shared" si="133"/>
        <v/>
      </c>
      <c r="I914" s="400"/>
      <c r="J914" s="400"/>
      <c r="K914" s="402" t="s">
        <v>9615</v>
      </c>
      <c r="L914" s="402" t="s">
        <v>2745</v>
      </c>
      <c r="M914" s="402"/>
      <c r="N914" s="762" t="s">
        <v>9616</v>
      </c>
      <c r="O914" s="407"/>
      <c r="P914" s="407"/>
      <c r="Q914" s="407"/>
      <c r="R914" s="432" t="s">
        <v>9677</v>
      </c>
      <c r="S914" s="407"/>
      <c r="T914" s="407"/>
      <c r="U914" s="407"/>
      <c r="V914" s="407"/>
      <c r="W914" s="407"/>
      <c r="X914" s="774"/>
      <c r="Y914" s="407"/>
      <c r="Z914" s="407"/>
      <c r="AA914" s="407"/>
      <c r="AB914" s="408"/>
      <c r="AC914" s="407"/>
      <c r="AD914" s="407"/>
      <c r="AE914" s="408"/>
      <c r="AF914" s="407"/>
      <c r="AG914" s="407"/>
      <c r="AH914" s="399"/>
      <c r="AI914" s="400"/>
      <c r="AJ914" s="399" t="s">
        <v>1787</v>
      </c>
      <c r="AK914" s="409" t="s">
        <v>9678</v>
      </c>
      <c r="AL914" s="409"/>
      <c r="AM914" s="409" t="s">
        <v>3314</v>
      </c>
      <c r="AN914" s="409" t="s">
        <v>3101</v>
      </c>
      <c r="AO914" s="399" t="s">
        <v>1787</v>
      </c>
      <c r="AP914" s="399"/>
      <c r="AQ914" s="409" t="s">
        <v>115</v>
      </c>
      <c r="AR914" s="399"/>
      <c r="AS914" s="399"/>
      <c r="AT914" s="399"/>
      <c r="AU914" s="399"/>
      <c r="AV914" s="399" t="str">
        <f t="shared" si="123"/>
        <v/>
      </c>
      <c r="AW914" s="399"/>
      <c r="AX914" s="409" t="s">
        <v>3104</v>
      </c>
      <c r="AY914" s="399" t="str">
        <f t="shared" si="124"/>
        <v>"0"-&gt;"Antimicrobial resistance"</v>
      </c>
      <c r="AZ914" s="399"/>
      <c r="BA914" s="409">
        <v>0</v>
      </c>
      <c r="BB914" s="399"/>
      <c r="BC914" s="399" t="s">
        <v>1787</v>
      </c>
      <c r="BD914" s="409" t="s">
        <v>3162</v>
      </c>
      <c r="BE914" s="411" t="s">
        <v>9679</v>
      </c>
      <c r="BF914" s="411" t="s">
        <v>1787</v>
      </c>
      <c r="BG914" s="411"/>
      <c r="BH914" s="411"/>
      <c r="BI914" s="411"/>
      <c r="BJ914" s="399" t="s">
        <v>1787</v>
      </c>
      <c r="BK914" s="399" t="s">
        <v>1787</v>
      </c>
      <c r="BL914" s="399"/>
      <c r="BM914" s="399" t="s">
        <v>1787</v>
      </c>
      <c r="BN914" s="399" t="s">
        <v>1787</v>
      </c>
      <c r="BO914" s="399" t="s">
        <v>1787</v>
      </c>
      <c r="BP914" s="399" t="s">
        <v>1787</v>
      </c>
      <c r="BQ914" s="399" t="s">
        <v>1787</v>
      </c>
      <c r="BR914" s="399" t="s">
        <v>1787</v>
      </c>
      <c r="BS914" s="407"/>
      <c r="BT914" s="407"/>
      <c r="BU914" s="412"/>
      <c r="BV914" s="46" t="str">
        <f t="shared" si="8"/>
        <v/>
      </c>
      <c r="BW914" s="46" t="str">
        <f t="shared" si="9"/>
        <v/>
      </c>
      <c r="BX914" s="46" t="str">
        <f t="shared" si="10"/>
        <v/>
      </c>
      <c r="BY914" s="43">
        <f t="shared" si="11"/>
        <v>0</v>
      </c>
      <c r="BZ914" s="46">
        <f t="shared" si="12"/>
        <v>1</v>
      </c>
      <c r="CA914" s="46">
        <f t="shared" si="13"/>
        <v>0</v>
      </c>
      <c r="CB914" s="46">
        <f t="shared" si="14"/>
        <v>0</v>
      </c>
      <c r="CC914" s="46">
        <f t="shared" si="15"/>
        <v>0</v>
      </c>
      <c r="CD914" s="46">
        <f t="shared" si="16"/>
        <v>0</v>
      </c>
      <c r="CE914" s="46">
        <f t="shared" si="17"/>
        <v>0</v>
      </c>
      <c r="CF914" s="46">
        <f t="shared" si="18"/>
        <v>1</v>
      </c>
      <c r="CG914" s="46" t="str">
        <f ca="1">IFERROR(__xludf.DUMMYFUNCTION("if(OR(BH914="""",LEFT(BH914,2)=""LA""),"""",IMPORTXML(CONCATENATE(""https://loinc.org/"",BH914,""/""),""//span[@id='lcn']""))"),"")</f>
        <v/>
      </c>
      <c r="CH914" s="46"/>
      <c r="CI914" s="46"/>
      <c r="CJ914" s="46"/>
      <c r="CK914" s="46"/>
      <c r="CL914" s="46"/>
      <c r="CM914" s="46"/>
      <c r="CN914" s="46"/>
      <c r="CO914" s="46"/>
      <c r="CP914" s="46"/>
      <c r="CQ914" s="46"/>
      <c r="CR914" s="46"/>
      <c r="CS914" s="46"/>
      <c r="CT914" s="46"/>
      <c r="CU914" s="46"/>
    </row>
    <row r="915" spans="1:99" ht="12.75" customHeight="1">
      <c r="A915" s="399">
        <v>1722</v>
      </c>
      <c r="B915" s="399" t="s">
        <v>6396</v>
      </c>
      <c r="C915" s="399">
        <f t="shared" si="117"/>
        <v>1722</v>
      </c>
      <c r="D915" s="399" t="str">
        <f t="shared" si="118"/>
        <v>Client address city</v>
      </c>
      <c r="E915" s="399" t="str">
        <f t="shared" si="119"/>
        <v>Client address city</v>
      </c>
      <c r="F915" s="399" t="str">
        <f t="shared" si="139"/>
        <v>Data Element</v>
      </c>
      <c r="G915" s="400">
        <f t="shared" si="129"/>
        <v>19</v>
      </c>
      <c r="H915" s="400" t="str">
        <f t="shared" si="133"/>
        <v/>
      </c>
      <c r="I915" s="400"/>
      <c r="J915" s="400"/>
      <c r="K915" s="402" t="s">
        <v>6392</v>
      </c>
      <c r="L915" s="402" t="s">
        <v>3093</v>
      </c>
      <c r="M915" s="400"/>
      <c r="N915" s="775" t="s">
        <v>3199</v>
      </c>
      <c r="O915" s="407"/>
      <c r="P915" s="529"/>
      <c r="Q915" s="763" t="s">
        <v>6396</v>
      </c>
      <c r="R915" s="776" t="s">
        <v>6397</v>
      </c>
      <c r="S915" s="763"/>
      <c r="T915" s="776"/>
      <c r="U915" s="763"/>
      <c r="V915" s="763"/>
      <c r="W915" s="763"/>
      <c r="X915" s="763"/>
      <c r="Y915" s="529"/>
      <c r="Z915" s="763"/>
      <c r="AA915" s="763"/>
      <c r="AB915" s="777"/>
      <c r="AC915" s="763"/>
      <c r="AD915" s="763"/>
      <c r="AE915" s="778"/>
      <c r="AF915" s="763"/>
      <c r="AG915" s="529"/>
      <c r="AH915" s="399"/>
      <c r="AI915" s="400"/>
      <c r="AJ915" s="399"/>
      <c r="AK915" s="399" t="s">
        <v>6397</v>
      </c>
      <c r="AL915" s="399"/>
      <c r="AM915" s="399" t="s">
        <v>3100</v>
      </c>
      <c r="AN915" s="399" t="s">
        <v>3101</v>
      </c>
      <c r="AO915" s="399"/>
      <c r="AP915" s="409" t="s">
        <v>3102</v>
      </c>
      <c r="AQ915" s="409" t="s">
        <v>115</v>
      </c>
      <c r="AR915" s="399"/>
      <c r="AS915" s="399"/>
      <c r="AT915" s="399"/>
      <c r="AU915" s="399" t="s">
        <v>6396</v>
      </c>
      <c r="AV915" s="399" t="str">
        <f t="shared" si="123"/>
        <v>Same</v>
      </c>
      <c r="AW915" s="399"/>
      <c r="AX915" s="409" t="s">
        <v>3104</v>
      </c>
      <c r="AY915" s="399" t="str">
        <f t="shared" si="124"/>
        <v/>
      </c>
      <c r="AZ915" s="409" t="s">
        <v>3105</v>
      </c>
      <c r="BA915" s="409">
        <v>0</v>
      </c>
      <c r="BB915" s="399"/>
      <c r="BC915" s="399"/>
      <c r="BD915" s="409" t="s">
        <v>9680</v>
      </c>
      <c r="BE915" s="411"/>
      <c r="BF915" s="411"/>
      <c r="BG915" s="411"/>
      <c r="BH915" s="411"/>
      <c r="BI915" s="411"/>
      <c r="BJ915" s="399" t="s">
        <v>3106</v>
      </c>
      <c r="BK915" s="399"/>
      <c r="BL915" s="399"/>
      <c r="BM915" s="409" t="s">
        <v>9681</v>
      </c>
      <c r="BN915" s="399"/>
      <c r="BO915" s="399"/>
      <c r="BP915" s="399"/>
      <c r="BQ915" s="399"/>
      <c r="BR915" s="399"/>
      <c r="BS915" s="407"/>
      <c r="BT915" s="407"/>
      <c r="BU915" s="412"/>
      <c r="BV915" s="46" t="str">
        <f t="shared" si="8"/>
        <v/>
      </c>
      <c r="BW915" s="46" t="str">
        <f t="shared" si="9"/>
        <v/>
      </c>
      <c r="BX915" s="46" t="str">
        <f t="shared" si="10"/>
        <v/>
      </c>
      <c r="BY915" s="43" t="str">
        <f t="shared" si="11"/>
        <v>WHO-Core Patient</v>
      </c>
      <c r="BZ915" s="46">
        <f t="shared" si="12"/>
        <v>1</v>
      </c>
      <c r="CA915" s="46">
        <f t="shared" si="13"/>
        <v>0</v>
      </c>
      <c r="CB915" s="46">
        <f t="shared" si="14"/>
        <v>1</v>
      </c>
      <c r="CC915" s="46">
        <f t="shared" si="15"/>
        <v>1</v>
      </c>
      <c r="CD915" s="46">
        <f t="shared" si="16"/>
        <v>1</v>
      </c>
      <c r="CE915" s="46">
        <f t="shared" si="17"/>
        <v>0</v>
      </c>
      <c r="CF915" s="46">
        <f t="shared" si="18"/>
        <v>0</v>
      </c>
      <c r="CG915" s="46" t="str">
        <f ca="1">IFERROR(__xludf.DUMMYFUNCTION("if(OR(BH915="""",LEFT(BH915,2)=""LA""),"""",IMPORTXML(CONCATENATE(""https://loinc.org/"",BH915,""/""),""//span[@id='lcn']""))"),"")</f>
        <v/>
      </c>
      <c r="CH915" s="46"/>
      <c r="CI915" s="46"/>
      <c r="CJ915" s="46"/>
      <c r="CK915" s="46"/>
      <c r="CL915" s="46"/>
      <c r="CM915" s="46"/>
      <c r="CN915" s="46"/>
      <c r="CO915" s="46"/>
      <c r="CP915" s="46"/>
      <c r="CQ915" s="46"/>
      <c r="CR915" s="46"/>
      <c r="CS915" s="46"/>
      <c r="CT915" s="46"/>
      <c r="CU915" s="46"/>
    </row>
    <row r="916" spans="1:99" ht="12.75" customHeight="1">
      <c r="A916" s="399">
        <v>1723</v>
      </c>
      <c r="B916" s="399" t="s">
        <v>6403</v>
      </c>
      <c r="C916" s="399">
        <f t="shared" si="117"/>
        <v>1723</v>
      </c>
      <c r="D916" s="399" t="str">
        <f t="shared" si="118"/>
        <v>Client address country</v>
      </c>
      <c r="E916" s="399" t="str">
        <f t="shared" si="119"/>
        <v>Client address country</v>
      </c>
      <c r="F916" s="399" t="str">
        <f t="shared" si="139"/>
        <v>Data Element</v>
      </c>
      <c r="G916" s="400">
        <f t="shared" si="129"/>
        <v>22</v>
      </c>
      <c r="H916" s="400" t="str">
        <f t="shared" si="133"/>
        <v/>
      </c>
      <c r="I916" s="400"/>
      <c r="J916" s="400"/>
      <c r="K916" s="402" t="s">
        <v>6392</v>
      </c>
      <c r="L916" s="402" t="s">
        <v>3093</v>
      </c>
      <c r="M916" s="400"/>
      <c r="N916" s="775" t="s">
        <v>3199</v>
      </c>
      <c r="O916" s="407"/>
      <c r="P916" s="529"/>
      <c r="Q916" s="763" t="s">
        <v>6403</v>
      </c>
      <c r="R916" s="776" t="s">
        <v>6405</v>
      </c>
      <c r="S916" s="763"/>
      <c r="T916" s="776"/>
      <c r="U916" s="763"/>
      <c r="V916" s="763"/>
      <c r="W916" s="763"/>
      <c r="X916" s="763"/>
      <c r="Y916" s="529"/>
      <c r="Z916" s="763"/>
      <c r="AA916" s="763"/>
      <c r="AB916" s="777"/>
      <c r="AC916" s="763"/>
      <c r="AD916" s="763"/>
      <c r="AE916" s="778"/>
      <c r="AF916" s="763"/>
      <c r="AG916" s="529"/>
      <c r="AH916" s="399"/>
      <c r="AI916" s="400"/>
      <c r="AJ916" s="399"/>
      <c r="AK916" s="399" t="s">
        <v>6405</v>
      </c>
      <c r="AL916" s="399"/>
      <c r="AM916" s="399" t="s">
        <v>3100</v>
      </c>
      <c r="AN916" s="399" t="s">
        <v>3101</v>
      </c>
      <c r="AO916" s="399"/>
      <c r="AP916" s="409" t="s">
        <v>3102</v>
      </c>
      <c r="AQ916" s="409" t="s">
        <v>115</v>
      </c>
      <c r="AR916" s="399"/>
      <c r="AS916" s="399"/>
      <c r="AT916" s="399"/>
      <c r="AU916" s="399" t="s">
        <v>6403</v>
      </c>
      <c r="AV916" s="399" t="str">
        <f t="shared" si="123"/>
        <v>Same</v>
      </c>
      <c r="AW916" s="399"/>
      <c r="AX916" s="409" t="s">
        <v>3104</v>
      </c>
      <c r="AY916" s="399" t="str">
        <f t="shared" si="124"/>
        <v/>
      </c>
      <c r="AZ916" s="409" t="s">
        <v>3105</v>
      </c>
      <c r="BA916" s="409">
        <v>0</v>
      </c>
      <c r="BB916" s="399"/>
      <c r="BC916" s="399"/>
      <c r="BD916" s="409" t="s">
        <v>9682</v>
      </c>
      <c r="BE916" s="411"/>
      <c r="BF916" s="411"/>
      <c r="BG916" s="411"/>
      <c r="BH916" s="411"/>
      <c r="BI916" s="411"/>
      <c r="BJ916" s="399" t="s">
        <v>3106</v>
      </c>
      <c r="BK916" s="399"/>
      <c r="BL916" s="399"/>
      <c r="BM916" s="399"/>
      <c r="BN916" s="399"/>
      <c r="BO916" s="399"/>
      <c r="BP916" s="399"/>
      <c r="BQ916" s="399"/>
      <c r="BR916" s="399"/>
      <c r="BS916" s="407"/>
      <c r="BT916" s="407"/>
      <c r="BU916" s="412"/>
      <c r="BV916" s="46" t="str">
        <f t="shared" si="8"/>
        <v/>
      </c>
      <c r="BW916" s="46" t="str">
        <f t="shared" si="9"/>
        <v/>
      </c>
      <c r="BX916" s="46" t="str">
        <f t="shared" si="10"/>
        <v/>
      </c>
      <c r="BY916" s="43" t="str">
        <f t="shared" si="11"/>
        <v>WHO-Core Patient</v>
      </c>
      <c r="BZ916" s="46">
        <f t="shared" si="12"/>
        <v>1</v>
      </c>
      <c r="CA916" s="46">
        <f t="shared" si="13"/>
        <v>0</v>
      </c>
      <c r="CB916" s="46">
        <f t="shared" si="14"/>
        <v>1</v>
      </c>
      <c r="CC916" s="46">
        <f t="shared" si="15"/>
        <v>1</v>
      </c>
      <c r="CD916" s="46">
        <f t="shared" si="16"/>
        <v>1</v>
      </c>
      <c r="CE916" s="46">
        <f t="shared" si="17"/>
        <v>0</v>
      </c>
      <c r="CF916" s="46">
        <f t="shared" si="18"/>
        <v>0</v>
      </c>
      <c r="CG916" s="46" t="str">
        <f ca="1">IFERROR(__xludf.DUMMYFUNCTION("if(OR(BH916="""",LEFT(BH916,2)=""LA""),"""",IMPORTXML(CONCATENATE(""https://loinc.org/"",BH916,""/""),""//span[@id='lcn']""))"),"")</f>
        <v/>
      </c>
      <c r="CH916" s="46"/>
      <c r="CI916" s="46"/>
      <c r="CJ916" s="46"/>
      <c r="CK916" s="46"/>
      <c r="CL916" s="46"/>
      <c r="CM916" s="46"/>
      <c r="CN916" s="46"/>
      <c r="CO916" s="46"/>
      <c r="CP916" s="46"/>
      <c r="CQ916" s="46"/>
      <c r="CR916" s="46"/>
      <c r="CS916" s="46"/>
      <c r="CT916" s="46"/>
      <c r="CU916" s="46"/>
    </row>
    <row r="917" spans="1:99" ht="12.75" customHeight="1">
      <c r="A917" s="399">
        <v>1724</v>
      </c>
      <c r="B917" s="399" t="s">
        <v>6406</v>
      </c>
      <c r="C917" s="399">
        <f t="shared" si="117"/>
        <v>1724</v>
      </c>
      <c r="D917" s="399" t="str">
        <f t="shared" si="118"/>
        <v>Client address postal code</v>
      </c>
      <c r="E917" s="399" t="str">
        <f t="shared" si="119"/>
        <v>Client address postal code</v>
      </c>
      <c r="F917" s="399" t="str">
        <f t="shared" si="139"/>
        <v>Data Element</v>
      </c>
      <c r="G917" s="400">
        <f t="shared" si="129"/>
        <v>26</v>
      </c>
      <c r="H917" s="400" t="str">
        <f t="shared" si="133"/>
        <v/>
      </c>
      <c r="I917" s="400"/>
      <c r="J917" s="400"/>
      <c r="K917" s="402" t="s">
        <v>6392</v>
      </c>
      <c r="L917" s="402" t="s">
        <v>3093</v>
      </c>
      <c r="M917" s="400"/>
      <c r="N917" s="775" t="s">
        <v>3199</v>
      </c>
      <c r="O917" s="407"/>
      <c r="P917" s="529"/>
      <c r="Q917" s="763" t="s">
        <v>6406</v>
      </c>
      <c r="R917" s="776" t="s">
        <v>6407</v>
      </c>
      <c r="S917" s="763"/>
      <c r="T917" s="776"/>
      <c r="U917" s="763"/>
      <c r="V917" s="763"/>
      <c r="W917" s="763"/>
      <c r="X917" s="763"/>
      <c r="Y917" s="529"/>
      <c r="Z917" s="763"/>
      <c r="AA917" s="763"/>
      <c r="AB917" s="777"/>
      <c r="AC917" s="763"/>
      <c r="AD917" s="763"/>
      <c r="AE917" s="778"/>
      <c r="AF917" s="763"/>
      <c r="AG917" s="529"/>
      <c r="AH917" s="399"/>
      <c r="AI917" s="400"/>
      <c r="AJ917" s="399"/>
      <c r="AK917" s="399" t="s">
        <v>6407</v>
      </c>
      <c r="AL917" s="399"/>
      <c r="AM917" s="399" t="s">
        <v>3100</v>
      </c>
      <c r="AN917" s="399" t="s">
        <v>3101</v>
      </c>
      <c r="AO917" s="399"/>
      <c r="AP917" s="409" t="s">
        <v>3102</v>
      </c>
      <c r="AQ917" s="409" t="s">
        <v>115</v>
      </c>
      <c r="AR917" s="399"/>
      <c r="AS917" s="399"/>
      <c r="AT917" s="399"/>
      <c r="AU917" s="399" t="s">
        <v>6406</v>
      </c>
      <c r="AV917" s="399" t="str">
        <f t="shared" si="123"/>
        <v>Same</v>
      </c>
      <c r="AW917" s="399"/>
      <c r="AX917" s="409" t="s">
        <v>3104</v>
      </c>
      <c r="AY917" s="399" t="str">
        <f t="shared" si="124"/>
        <v/>
      </c>
      <c r="AZ917" s="409" t="s">
        <v>3105</v>
      </c>
      <c r="BA917" s="409">
        <v>0</v>
      </c>
      <c r="BB917" s="399"/>
      <c r="BC917" s="399"/>
      <c r="BD917" s="409" t="s">
        <v>9682</v>
      </c>
      <c r="BE917" s="411"/>
      <c r="BF917" s="411"/>
      <c r="BG917" s="411"/>
      <c r="BH917" s="411"/>
      <c r="BI917" s="411"/>
      <c r="BJ917" s="399" t="s">
        <v>3106</v>
      </c>
      <c r="BK917" s="399"/>
      <c r="BL917" s="399"/>
      <c r="BM917" s="399" t="s">
        <v>6408</v>
      </c>
      <c r="BN917" s="399" t="s">
        <v>9683</v>
      </c>
      <c r="BO917" s="399"/>
      <c r="BP917" s="399"/>
      <c r="BQ917" s="399"/>
      <c r="BR917" s="399"/>
      <c r="BS917" s="407"/>
      <c r="BT917" s="407"/>
      <c r="BU917" s="412"/>
      <c r="BV917" s="46" t="str">
        <f t="shared" si="8"/>
        <v/>
      </c>
      <c r="BW917" s="46" t="str">
        <f t="shared" si="9"/>
        <v/>
      </c>
      <c r="BX917" s="46" t="str">
        <f t="shared" si="10"/>
        <v/>
      </c>
      <c r="BY917" s="43" t="str">
        <f t="shared" si="11"/>
        <v>WHO-Core Patient</v>
      </c>
      <c r="BZ917" s="46">
        <f t="shared" si="12"/>
        <v>1</v>
      </c>
      <c r="CA917" s="46">
        <f t="shared" si="13"/>
        <v>0</v>
      </c>
      <c r="CB917" s="46">
        <f t="shared" si="14"/>
        <v>1</v>
      </c>
      <c r="CC917" s="46">
        <f t="shared" si="15"/>
        <v>1</v>
      </c>
      <c r="CD917" s="46">
        <f t="shared" si="16"/>
        <v>1</v>
      </c>
      <c r="CE917" s="46">
        <f t="shared" si="17"/>
        <v>0</v>
      </c>
      <c r="CF917" s="46">
        <f t="shared" si="18"/>
        <v>0</v>
      </c>
      <c r="CG917" s="46" t="str">
        <f ca="1">IFERROR(__xludf.DUMMYFUNCTION("if(OR(BH917="""",LEFT(BH917,2)=""LA""),"""",IMPORTXML(CONCATENATE(""https://loinc.org/"",BH917,""/""),""//span[@id='lcn']""))"),"")</f>
        <v/>
      </c>
      <c r="CH917" s="46"/>
      <c r="CI917" s="46"/>
      <c r="CJ917" s="46"/>
      <c r="CK917" s="46"/>
      <c r="CL917" s="46"/>
      <c r="CM917" s="46"/>
      <c r="CN917" s="46"/>
      <c r="CO917" s="46"/>
      <c r="CP917" s="46"/>
      <c r="CQ917" s="46"/>
      <c r="CR917" s="46"/>
      <c r="CS917" s="46"/>
      <c r="CT917" s="46"/>
      <c r="CU917" s="46"/>
    </row>
    <row r="918" spans="1:99" ht="12.75" customHeight="1">
      <c r="A918" s="399">
        <v>1725</v>
      </c>
      <c r="B918" s="399" t="s">
        <v>6410</v>
      </c>
      <c r="C918" s="399">
        <f t="shared" si="117"/>
        <v>1725</v>
      </c>
      <c r="D918" s="399" t="str">
        <f t="shared" si="118"/>
        <v>Client address state</v>
      </c>
      <c r="E918" s="399" t="str">
        <f t="shared" si="119"/>
        <v>Client address state</v>
      </c>
      <c r="F918" s="399" t="str">
        <f t="shared" si="139"/>
        <v>Data Element</v>
      </c>
      <c r="G918" s="400">
        <f t="shared" si="129"/>
        <v>20</v>
      </c>
      <c r="H918" s="400" t="str">
        <f t="shared" si="133"/>
        <v/>
      </c>
      <c r="I918" s="400"/>
      <c r="J918" s="400"/>
      <c r="K918" s="402" t="s">
        <v>6392</v>
      </c>
      <c r="L918" s="402" t="s">
        <v>3093</v>
      </c>
      <c r="M918" s="400"/>
      <c r="N918" s="775" t="s">
        <v>3199</v>
      </c>
      <c r="O918" s="407"/>
      <c r="P918" s="529"/>
      <c r="Q918" s="776" t="s">
        <v>6410</v>
      </c>
      <c r="R918" s="776" t="s">
        <v>6411</v>
      </c>
      <c r="S918" s="763"/>
      <c r="T918" s="776" t="s">
        <v>111</v>
      </c>
      <c r="U918" s="763"/>
      <c r="V918" s="763"/>
      <c r="W918" s="763"/>
      <c r="X918" s="763"/>
      <c r="Y918" s="529"/>
      <c r="Z918" s="763"/>
      <c r="AA918" s="763"/>
      <c r="AB918" s="777"/>
      <c r="AC918" s="763"/>
      <c r="AD918" s="763"/>
      <c r="AE918" s="778"/>
      <c r="AF918" s="763"/>
      <c r="AG918" s="529"/>
      <c r="AH918" s="399"/>
      <c r="AI918" s="400"/>
      <c r="AJ918" s="399"/>
      <c r="AK918" s="399" t="s">
        <v>6411</v>
      </c>
      <c r="AL918" s="399"/>
      <c r="AM918" s="399" t="s">
        <v>3100</v>
      </c>
      <c r="AN918" s="399" t="s">
        <v>3101</v>
      </c>
      <c r="AO918" s="399"/>
      <c r="AP918" s="409" t="s">
        <v>3102</v>
      </c>
      <c r="AQ918" s="409" t="s">
        <v>115</v>
      </c>
      <c r="AR918" s="399"/>
      <c r="AS918" s="399"/>
      <c r="AT918" s="399"/>
      <c r="AU918" s="399" t="s">
        <v>6410</v>
      </c>
      <c r="AV918" s="399" t="str">
        <f t="shared" si="123"/>
        <v>Same</v>
      </c>
      <c r="AW918" s="399"/>
      <c r="AX918" s="409" t="s">
        <v>3104</v>
      </c>
      <c r="AY918" s="399" t="str">
        <f t="shared" si="124"/>
        <v/>
      </c>
      <c r="AZ918" s="409" t="s">
        <v>3105</v>
      </c>
      <c r="BA918" s="409">
        <v>0</v>
      </c>
      <c r="BB918" s="399"/>
      <c r="BC918" s="399"/>
      <c r="BD918" s="409" t="s">
        <v>9682</v>
      </c>
      <c r="BE918" s="411"/>
      <c r="BF918" s="411"/>
      <c r="BG918" s="411"/>
      <c r="BH918" s="411"/>
      <c r="BI918" s="411"/>
      <c r="BJ918" s="399" t="s">
        <v>3106</v>
      </c>
      <c r="BK918" s="399"/>
      <c r="BL918" s="399"/>
      <c r="BM918" s="399" t="s">
        <v>6408</v>
      </c>
      <c r="BN918" s="399" t="s">
        <v>9683</v>
      </c>
      <c r="BO918" s="399"/>
      <c r="BP918" s="399"/>
      <c r="BQ918" s="399"/>
      <c r="BR918" s="399"/>
      <c r="BS918" s="407"/>
      <c r="BT918" s="407"/>
      <c r="BU918" s="412"/>
      <c r="BV918" s="46" t="str">
        <f t="shared" si="8"/>
        <v/>
      </c>
      <c r="BW918" s="46" t="str">
        <f t="shared" si="9"/>
        <v/>
      </c>
      <c r="BX918" s="46" t="str">
        <f t="shared" si="10"/>
        <v/>
      </c>
      <c r="BY918" s="43" t="str">
        <f t="shared" si="11"/>
        <v>WHO-Core Patient</v>
      </c>
      <c r="BZ918" s="46">
        <f t="shared" si="12"/>
        <v>1</v>
      </c>
      <c r="CA918" s="46">
        <f t="shared" si="13"/>
        <v>0</v>
      </c>
      <c r="CB918" s="46">
        <f t="shared" si="14"/>
        <v>1</v>
      </c>
      <c r="CC918" s="46">
        <f t="shared" si="15"/>
        <v>1</v>
      </c>
      <c r="CD918" s="46">
        <f t="shared" si="16"/>
        <v>1</v>
      </c>
      <c r="CE918" s="46">
        <f t="shared" si="17"/>
        <v>0</v>
      </c>
      <c r="CF918" s="46">
        <f t="shared" si="18"/>
        <v>0</v>
      </c>
      <c r="CG918" s="46" t="str">
        <f ca="1">IFERROR(__xludf.DUMMYFUNCTION("if(OR(BH918="""",LEFT(BH918,2)=""LA""),"""",IMPORTXML(CONCATENATE(""https://loinc.org/"",BH918,""/""),""//span[@id='lcn']""))"),"")</f>
        <v/>
      </c>
      <c r="CH918" s="46"/>
      <c r="CI918" s="46"/>
      <c r="CJ918" s="46"/>
      <c r="CK918" s="46"/>
      <c r="CL918" s="46"/>
      <c r="CM918" s="46"/>
      <c r="CN918" s="46"/>
      <c r="CO918" s="46"/>
      <c r="CP918" s="46"/>
      <c r="CQ918" s="46"/>
      <c r="CR918" s="46"/>
      <c r="CS918" s="46"/>
      <c r="CT918" s="46"/>
      <c r="CU918" s="46"/>
    </row>
    <row r="919" spans="1:99" ht="12.75" customHeight="1">
      <c r="A919" s="399">
        <v>1726</v>
      </c>
      <c r="B919" s="399" t="s">
        <v>6412</v>
      </c>
      <c r="C919" s="399">
        <f t="shared" si="117"/>
        <v>1726</v>
      </c>
      <c r="D919" s="399" t="str">
        <f t="shared" si="118"/>
        <v>Client address use</v>
      </c>
      <c r="E919" s="399" t="str">
        <f t="shared" si="119"/>
        <v>Client address use</v>
      </c>
      <c r="F919" s="399" t="str">
        <f t="shared" si="139"/>
        <v>Data Element</v>
      </c>
      <c r="G919" s="400">
        <f t="shared" si="129"/>
        <v>18</v>
      </c>
      <c r="H919" s="400" t="str">
        <f t="shared" si="133"/>
        <v/>
      </c>
      <c r="I919" s="400"/>
      <c r="J919" s="400"/>
      <c r="K919" s="402" t="s">
        <v>6392</v>
      </c>
      <c r="L919" s="402" t="s">
        <v>3093</v>
      </c>
      <c r="M919" s="400"/>
      <c r="N919" s="775" t="s">
        <v>3199</v>
      </c>
      <c r="O919" s="407"/>
      <c r="P919" s="529"/>
      <c r="Q919" s="776" t="s">
        <v>6412</v>
      </c>
      <c r="R919" s="776" t="s">
        <v>6414</v>
      </c>
      <c r="S919" s="763"/>
      <c r="T919" s="776"/>
      <c r="U919" s="763"/>
      <c r="V919" s="763"/>
      <c r="W919" s="763"/>
      <c r="X919" s="763"/>
      <c r="Y919" s="529"/>
      <c r="Z919" s="763"/>
      <c r="AA919" s="763"/>
      <c r="AB919" s="777"/>
      <c r="AC919" s="763"/>
      <c r="AD919" s="763"/>
      <c r="AE919" s="778"/>
      <c r="AF919" s="763"/>
      <c r="AG919" s="529"/>
      <c r="AH919" s="399"/>
      <c r="AI919" s="400"/>
      <c r="AJ919" s="399"/>
      <c r="AK919" s="399" t="s">
        <v>6414</v>
      </c>
      <c r="AL919" s="399"/>
      <c r="AM919" s="399" t="s">
        <v>3100</v>
      </c>
      <c r="AN919" s="399" t="s">
        <v>3101</v>
      </c>
      <c r="AO919" s="399"/>
      <c r="AP919" s="409" t="s">
        <v>3102</v>
      </c>
      <c r="AQ919" s="409" t="s">
        <v>115</v>
      </c>
      <c r="AR919" s="399" t="s">
        <v>6415</v>
      </c>
      <c r="AS919" s="399"/>
      <c r="AT919" s="399"/>
      <c r="AU919" s="399" t="s">
        <v>6412</v>
      </c>
      <c r="AV919" s="399" t="str">
        <f t="shared" si="123"/>
        <v>Same</v>
      </c>
      <c r="AW919" s="399"/>
      <c r="AX919" s="409" t="s">
        <v>3104</v>
      </c>
      <c r="AY919" s="399" t="str">
        <f t="shared" si="124"/>
        <v/>
      </c>
      <c r="AZ919" s="409" t="s">
        <v>3105</v>
      </c>
      <c r="BA919" s="409">
        <v>0</v>
      </c>
      <c r="BB919" s="399"/>
      <c r="BC919" s="399"/>
      <c r="BD919" s="409" t="s">
        <v>9682</v>
      </c>
      <c r="BE919" s="411"/>
      <c r="BF919" s="411"/>
      <c r="BG919" s="411"/>
      <c r="BH919" s="411"/>
      <c r="BI919" s="411"/>
      <c r="BJ919" s="399" t="s">
        <v>3106</v>
      </c>
      <c r="BK919" s="399"/>
      <c r="BL919" s="399"/>
      <c r="BM919" s="399"/>
      <c r="BN919" s="399"/>
      <c r="BO919" s="399"/>
      <c r="BP919" s="399"/>
      <c r="BQ919" s="399"/>
      <c r="BR919" s="399"/>
      <c r="BS919" s="407"/>
      <c r="BT919" s="407"/>
      <c r="BU919" s="412"/>
      <c r="BV919" s="46" t="str">
        <f t="shared" si="8"/>
        <v/>
      </c>
      <c r="BW919" s="46" t="str">
        <f t="shared" si="9"/>
        <v/>
      </c>
      <c r="BX919" s="46" t="str">
        <f t="shared" si="10"/>
        <v/>
      </c>
      <c r="BY919" s="43" t="str">
        <f t="shared" si="11"/>
        <v>WHO-Core Patient</v>
      </c>
      <c r="BZ919" s="46">
        <f t="shared" si="12"/>
        <v>1</v>
      </c>
      <c r="CA919" s="46">
        <f t="shared" si="13"/>
        <v>1</v>
      </c>
      <c r="CB919" s="46">
        <f t="shared" si="14"/>
        <v>1</v>
      </c>
      <c r="CC919" s="46">
        <f t="shared" si="15"/>
        <v>1</v>
      </c>
      <c r="CD919" s="46">
        <f t="shared" si="16"/>
        <v>1</v>
      </c>
      <c r="CE919" s="46">
        <f t="shared" si="17"/>
        <v>0</v>
      </c>
      <c r="CF919" s="46">
        <f t="shared" si="18"/>
        <v>0</v>
      </c>
      <c r="CG919" s="46" t="str">
        <f ca="1">IFERROR(__xludf.DUMMYFUNCTION("if(OR(BH919="""",LEFT(BH919,2)=""LA""),"""",IMPORTXML(CONCATENATE(""https://loinc.org/"",BH919,""/""),""//span[@id='lcn']""))"),"")</f>
        <v/>
      </c>
      <c r="CH919" s="46"/>
      <c r="CI919" s="46"/>
      <c r="CJ919" s="46"/>
      <c r="CK919" s="46"/>
      <c r="CL919" s="46"/>
      <c r="CM919" s="46"/>
      <c r="CN919" s="46"/>
      <c r="CO919" s="46"/>
      <c r="CP919" s="46"/>
      <c r="CQ919" s="46"/>
      <c r="CR919" s="46"/>
      <c r="CS919" s="46"/>
      <c r="CT919" s="46"/>
      <c r="CU919" s="46"/>
    </row>
    <row r="920" spans="1:99" ht="12.75" customHeight="1">
      <c r="A920" s="409">
        <v>1834</v>
      </c>
      <c r="B920" s="399" t="s">
        <v>6420</v>
      </c>
      <c r="C920" s="399">
        <f t="shared" si="117"/>
        <v>1834</v>
      </c>
      <c r="D920" s="399"/>
      <c r="E920" s="399"/>
      <c r="F920" s="409" t="s">
        <v>6421</v>
      </c>
      <c r="G920" s="400">
        <f t="shared" si="129"/>
        <v>8</v>
      </c>
      <c r="H920" s="400" t="str">
        <f t="shared" si="133"/>
        <v/>
      </c>
      <c r="I920" s="400"/>
      <c r="J920" s="400"/>
      <c r="K920" s="402"/>
      <c r="L920" s="402" t="s">
        <v>3093</v>
      </c>
      <c r="M920" s="400"/>
      <c r="N920" s="775"/>
      <c r="O920" s="407"/>
      <c r="P920" s="529"/>
      <c r="Q920" s="763"/>
      <c r="R920" s="529"/>
      <c r="S920" s="763"/>
      <c r="T920" s="776"/>
      <c r="U920" s="776"/>
      <c r="V920" s="776"/>
      <c r="W920" s="763"/>
      <c r="X920" s="776"/>
      <c r="Y920" s="529"/>
      <c r="Z920" s="776"/>
      <c r="AA920" s="776"/>
      <c r="AB920" s="778"/>
      <c r="AC920" s="776"/>
      <c r="AD920" s="776"/>
      <c r="AE920" s="779"/>
      <c r="AF920" s="776"/>
      <c r="AG920" s="529"/>
      <c r="AH920" s="399"/>
      <c r="AI920" s="400"/>
      <c r="AJ920" s="399" t="s">
        <v>6420</v>
      </c>
      <c r="AK920" s="399" t="s">
        <v>6422</v>
      </c>
      <c r="AL920" s="399"/>
      <c r="AM920" s="399" t="s">
        <v>3100</v>
      </c>
      <c r="AN920" s="399" t="s">
        <v>3101</v>
      </c>
      <c r="AO920" s="399" t="s">
        <v>6423</v>
      </c>
      <c r="AP920" s="409" t="s">
        <v>3102</v>
      </c>
      <c r="AQ920" s="409" t="s">
        <v>115</v>
      </c>
      <c r="AR920" s="399"/>
      <c r="AS920" s="399"/>
      <c r="AT920" s="399"/>
      <c r="AU920" s="399" t="s">
        <v>6420</v>
      </c>
      <c r="AV920" s="399" t="str">
        <f t="shared" si="123"/>
        <v>Same</v>
      </c>
      <c r="AW920" s="399"/>
      <c r="AX920" s="409" t="s">
        <v>3104</v>
      </c>
      <c r="AY920" s="399"/>
      <c r="AZ920" s="409" t="s">
        <v>3105</v>
      </c>
      <c r="BA920" s="409">
        <v>0</v>
      </c>
      <c r="BB920" s="399"/>
      <c r="BC920" s="399"/>
      <c r="BD920" s="399"/>
      <c r="BE920" s="411"/>
      <c r="BF920" s="411"/>
      <c r="BG920" s="411"/>
      <c r="BH920" s="411"/>
      <c r="BI920" s="411"/>
      <c r="BJ920" s="399" t="s">
        <v>3106</v>
      </c>
      <c r="BK920" s="399"/>
      <c r="BL920" s="399"/>
      <c r="BM920" s="399"/>
      <c r="BN920" s="399"/>
      <c r="BO920" s="399"/>
      <c r="BP920" s="399"/>
      <c r="BQ920" s="399"/>
      <c r="BR920" s="399"/>
      <c r="BS920" s="407"/>
      <c r="BT920" s="407"/>
      <c r="BU920" s="412"/>
      <c r="BV920" s="46" t="str">
        <f t="shared" si="8"/>
        <v/>
      </c>
      <c r="BW920" s="46" t="str">
        <f t="shared" si="9"/>
        <v/>
      </c>
      <c r="BX920" s="46" t="str">
        <f t="shared" si="10"/>
        <v/>
      </c>
      <c r="BY920" s="43" t="str">
        <f t="shared" si="11"/>
        <v/>
      </c>
      <c r="BZ920" s="46">
        <f t="shared" si="12"/>
        <v>1</v>
      </c>
      <c r="CA920" s="46" t="str">
        <f t="shared" si="13"/>
        <v/>
      </c>
      <c r="CB920" s="46">
        <f t="shared" si="14"/>
        <v>1</v>
      </c>
      <c r="CC920" s="46">
        <f t="shared" si="15"/>
        <v>1</v>
      </c>
      <c r="CD920" s="46">
        <f t="shared" si="16"/>
        <v>1</v>
      </c>
      <c r="CE920" s="46">
        <f t="shared" si="17"/>
        <v>0</v>
      </c>
      <c r="CF920" s="46">
        <f t="shared" si="18"/>
        <v>0</v>
      </c>
      <c r="CG920" s="46" t="str">
        <f ca="1">IFERROR(__xludf.DUMMYFUNCTION("if(OR(BH920="""",LEFT(BH920,2)=""LA""),"""",IMPORTXML(CONCATENATE(""https://loinc.org/"",BH920,""/""),""//span[@id='lcn']""))"),"")</f>
        <v/>
      </c>
      <c r="CH920" s="46"/>
      <c r="CI920" s="46"/>
      <c r="CJ920" s="46"/>
      <c r="CK920" s="46"/>
      <c r="CL920" s="46"/>
      <c r="CM920" s="46"/>
      <c r="CN920" s="46"/>
      <c r="CO920" s="46"/>
      <c r="CP920" s="46"/>
      <c r="CQ920" s="46"/>
      <c r="CR920" s="46"/>
      <c r="CS920" s="46"/>
      <c r="CT920" s="46"/>
      <c r="CU920" s="46"/>
    </row>
    <row r="921" spans="1:99" ht="12.75" customHeight="1">
      <c r="A921" s="409">
        <v>1727</v>
      </c>
      <c r="B921" s="399" t="s">
        <v>6428</v>
      </c>
      <c r="C921" s="399">
        <f t="shared" si="117"/>
        <v>1727</v>
      </c>
      <c r="D921" s="399" t="str">
        <f>IF(F921="Input Option",CONCAT("       ",E921),E921)</f>
        <v>Telephone number</v>
      </c>
      <c r="E921" s="399" t="str">
        <f>IF(Q921="",IF(V921="",Q921,V921),Q921)</f>
        <v>Telephone number</v>
      </c>
      <c r="F921" s="399" t="str">
        <f>IF(AND(ISBLANK(V921)=FALSE,OR(T921="MC",T921="")),"Input Option","Data Element")</f>
        <v>Data Element</v>
      </c>
      <c r="G921" s="400">
        <f t="shared" si="129"/>
        <v>23</v>
      </c>
      <c r="H921" s="400" t="str">
        <f t="shared" si="133"/>
        <v/>
      </c>
      <c r="I921" s="400"/>
      <c r="J921" s="400"/>
      <c r="K921" s="402" t="s">
        <v>6392</v>
      </c>
      <c r="L921" s="402" t="s">
        <v>3093</v>
      </c>
      <c r="M921" s="400"/>
      <c r="N921" s="775" t="s">
        <v>3199</v>
      </c>
      <c r="O921" s="407"/>
      <c r="P921" s="529"/>
      <c r="Q921" s="763" t="s">
        <v>6431</v>
      </c>
      <c r="R921" s="529"/>
      <c r="S921" s="763"/>
      <c r="T921" s="776" t="s">
        <v>168</v>
      </c>
      <c r="U921" s="776"/>
      <c r="V921" s="776"/>
      <c r="W921" s="763"/>
      <c r="X921" s="776" t="s">
        <v>6433</v>
      </c>
      <c r="Y921" s="529"/>
      <c r="Z921" s="776" t="s">
        <v>6434</v>
      </c>
      <c r="AA921" s="776"/>
      <c r="AB921" s="778"/>
      <c r="AC921" s="776"/>
      <c r="AD921" s="776"/>
      <c r="AE921" s="779"/>
      <c r="AF921" s="776"/>
      <c r="AG921" s="529"/>
      <c r="AH921" s="399"/>
      <c r="AI921" s="400"/>
      <c r="AJ921" s="399"/>
      <c r="AK921" s="409" t="s">
        <v>6436</v>
      </c>
      <c r="AL921" s="399"/>
      <c r="AM921" s="399" t="s">
        <v>3100</v>
      </c>
      <c r="AN921" s="399" t="s">
        <v>3101</v>
      </c>
      <c r="AO921" s="399"/>
      <c r="AP921" s="409" t="s">
        <v>3102</v>
      </c>
      <c r="AQ921" s="409" t="s">
        <v>3424</v>
      </c>
      <c r="AR921" s="399"/>
      <c r="AS921" s="399"/>
      <c r="AT921" s="399"/>
      <c r="AU921" s="399" t="s">
        <v>6428</v>
      </c>
      <c r="AV921" s="399" t="str">
        <f t="shared" si="123"/>
        <v>Same</v>
      </c>
      <c r="AW921" s="399"/>
      <c r="AX921" s="409" t="s">
        <v>3104</v>
      </c>
      <c r="AY921" s="399" t="str">
        <f>IF(B921=D921,"",CONCATENATE(CHAR(34), D921,CHAR(34), "-&gt;", CHAR(34), B921,CHAR(34)))</f>
        <v>"Telephone number"-&gt;"Client Telephone number"</v>
      </c>
      <c r="AZ921" s="409" t="s">
        <v>3105</v>
      </c>
      <c r="BA921" s="409">
        <v>1</v>
      </c>
      <c r="BB921" s="399"/>
      <c r="BC921" s="399"/>
      <c r="BD921" s="409" t="s">
        <v>3162</v>
      </c>
      <c r="BE921" s="411"/>
      <c r="BF921" s="411"/>
      <c r="BG921" s="411"/>
      <c r="BH921" s="411"/>
      <c r="BI921" s="411"/>
      <c r="BJ921" s="399" t="s">
        <v>3106</v>
      </c>
      <c r="BK921" s="399"/>
      <c r="BL921" s="399"/>
      <c r="BM921" s="409" t="s">
        <v>9684</v>
      </c>
      <c r="BN921" s="399"/>
      <c r="BO921" s="399"/>
      <c r="BP921" s="399"/>
      <c r="BQ921" s="399" t="s">
        <v>6439</v>
      </c>
      <c r="BR921" s="399" t="s">
        <v>198</v>
      </c>
      <c r="BS921" s="407"/>
      <c r="BT921" s="407"/>
      <c r="BU921" s="412"/>
      <c r="BV921" s="46" t="str">
        <f t="shared" si="8"/>
        <v>Patient</v>
      </c>
      <c r="BW921" s="46" t="str">
        <f t="shared" si="9"/>
        <v/>
      </c>
      <c r="BX921" s="46" t="str">
        <f t="shared" si="10"/>
        <v>Patient</v>
      </c>
      <c r="BY921" s="43" t="str">
        <f t="shared" si="11"/>
        <v>WHO-Core Patient</v>
      </c>
      <c r="BZ921" s="46">
        <f t="shared" si="12"/>
        <v>1</v>
      </c>
      <c r="CA921" s="46">
        <f t="shared" si="13"/>
        <v>0</v>
      </c>
      <c r="CB921" s="46">
        <f t="shared" si="14"/>
        <v>1</v>
      </c>
      <c r="CC921" s="46">
        <f t="shared" si="15"/>
        <v>1</v>
      </c>
      <c r="CD921" s="46">
        <f t="shared" si="16"/>
        <v>1</v>
      </c>
      <c r="CE921" s="46">
        <f t="shared" si="17"/>
        <v>0</v>
      </c>
      <c r="CF921" s="46">
        <f t="shared" si="18"/>
        <v>0</v>
      </c>
      <c r="CG921" s="46" t="str">
        <f ca="1">IFERROR(__xludf.DUMMYFUNCTION("if(OR(BH921="""",LEFT(BH921,2)=""LA""),"""",IMPORTXML(CONCATENATE(""https://loinc.org/"",BH921,""/""),""//span[@id='lcn']""))"),"")</f>
        <v/>
      </c>
      <c r="CH921" s="46"/>
      <c r="CI921" s="46"/>
      <c r="CJ921" s="46"/>
      <c r="CK921" s="46"/>
      <c r="CL921" s="46"/>
      <c r="CM921" s="46"/>
      <c r="CN921" s="46"/>
      <c r="CO921" s="46"/>
      <c r="CP921" s="46"/>
      <c r="CQ921" s="46"/>
      <c r="CR921" s="46"/>
      <c r="CS921" s="46"/>
      <c r="CT921" s="46"/>
      <c r="CU921" s="46"/>
    </row>
    <row r="922" spans="1:99" ht="12.75" customHeight="1">
      <c r="A922" s="409">
        <v>1835</v>
      </c>
      <c r="B922" s="399" t="s">
        <v>6440</v>
      </c>
      <c r="C922" s="399">
        <f t="shared" si="117"/>
        <v>1835</v>
      </c>
      <c r="D922" s="399"/>
      <c r="E922" s="399"/>
      <c r="F922" s="409" t="s">
        <v>6421</v>
      </c>
      <c r="G922" s="400">
        <f t="shared" si="129"/>
        <v>8</v>
      </c>
      <c r="H922" s="400" t="str">
        <f t="shared" si="133"/>
        <v/>
      </c>
      <c r="I922" s="400"/>
      <c r="J922" s="400"/>
      <c r="K922" s="402"/>
      <c r="L922" s="402" t="s">
        <v>3093</v>
      </c>
      <c r="M922" s="400"/>
      <c r="N922" s="775"/>
      <c r="O922" s="407"/>
      <c r="P922" s="529"/>
      <c r="Q922" s="763"/>
      <c r="R922" s="529"/>
      <c r="S922" s="763"/>
      <c r="T922" s="776"/>
      <c r="U922" s="776"/>
      <c r="V922" s="776"/>
      <c r="W922" s="763"/>
      <c r="X922" s="776"/>
      <c r="Y922" s="529"/>
      <c r="Z922" s="776"/>
      <c r="AA922" s="776"/>
      <c r="AB922" s="778"/>
      <c r="AC922" s="776"/>
      <c r="AD922" s="776"/>
      <c r="AE922" s="779"/>
      <c r="AF922" s="776"/>
      <c r="AG922" s="529"/>
      <c r="AH922" s="399"/>
      <c r="AI922" s="400"/>
      <c r="AJ922" s="409" t="s">
        <v>9685</v>
      </c>
      <c r="AK922" s="399" t="s">
        <v>6422</v>
      </c>
      <c r="AL922" s="399"/>
      <c r="AM922" s="399" t="s">
        <v>3100</v>
      </c>
      <c r="AN922" s="399" t="s">
        <v>3101</v>
      </c>
      <c r="AO922" s="399" t="s">
        <v>6441</v>
      </c>
      <c r="AP922" s="409" t="s">
        <v>3102</v>
      </c>
      <c r="AQ922" s="409" t="s">
        <v>115</v>
      </c>
      <c r="AR922" s="399"/>
      <c r="AS922" s="399"/>
      <c r="AT922" s="399"/>
      <c r="AU922" s="399" t="s">
        <v>6440</v>
      </c>
      <c r="AV922" s="399" t="str">
        <f t="shared" si="123"/>
        <v>Same</v>
      </c>
      <c r="AW922" s="399"/>
      <c r="AX922" s="409" t="s">
        <v>3104</v>
      </c>
      <c r="AY922" s="399"/>
      <c r="AZ922" s="409" t="s">
        <v>3105</v>
      </c>
      <c r="BA922" s="409">
        <v>0</v>
      </c>
      <c r="BB922" s="399"/>
      <c r="BC922" s="399"/>
      <c r="BD922" s="399"/>
      <c r="BE922" s="411"/>
      <c r="BF922" s="411"/>
      <c r="BG922" s="411"/>
      <c r="BH922" s="411"/>
      <c r="BI922" s="411"/>
      <c r="BJ922" s="399" t="s">
        <v>3106</v>
      </c>
      <c r="BK922" s="399"/>
      <c r="BL922" s="399"/>
      <c r="BM922" s="399"/>
      <c r="BN922" s="399"/>
      <c r="BO922" s="399"/>
      <c r="BP922" s="399"/>
      <c r="BQ922" s="399"/>
      <c r="BR922" s="399"/>
      <c r="BS922" s="407"/>
      <c r="BT922" s="407"/>
      <c r="BU922" s="412"/>
      <c r="BV922" s="46" t="str">
        <f t="shared" si="8"/>
        <v/>
      </c>
      <c r="BW922" s="46" t="str">
        <f t="shared" si="9"/>
        <v/>
      </c>
      <c r="BX922" s="46" t="str">
        <f t="shared" si="10"/>
        <v/>
      </c>
      <c r="BY922" s="43" t="str">
        <f t="shared" si="11"/>
        <v/>
      </c>
      <c r="BZ922" s="46">
        <f t="shared" si="12"/>
        <v>1</v>
      </c>
      <c r="CA922" s="46" t="str">
        <f t="shared" si="13"/>
        <v/>
      </c>
      <c r="CB922" s="46">
        <f t="shared" si="14"/>
        <v>1</v>
      </c>
      <c r="CC922" s="46">
        <f t="shared" si="15"/>
        <v>1</v>
      </c>
      <c r="CD922" s="46">
        <f t="shared" si="16"/>
        <v>1</v>
      </c>
      <c r="CE922" s="46">
        <f t="shared" si="17"/>
        <v>0</v>
      </c>
      <c r="CF922" s="46">
        <f t="shared" si="18"/>
        <v>0</v>
      </c>
      <c r="CG922" s="46" t="str">
        <f ca="1">IFERROR(__xludf.DUMMYFUNCTION("if(OR(BH922="""",LEFT(BH922,2)=""LA""),"""",IMPORTXML(CONCATENATE(""https://loinc.org/"",BH922,""/""),""//span[@id='lcn']""))"),"")</f>
        <v/>
      </c>
      <c r="CH922" s="46"/>
      <c r="CI922" s="46"/>
      <c r="CJ922" s="46"/>
      <c r="CK922" s="46"/>
      <c r="CL922" s="46"/>
      <c r="CM922" s="46"/>
      <c r="CN922" s="46"/>
      <c r="CO922" s="46"/>
      <c r="CP922" s="46"/>
      <c r="CQ922" s="46"/>
      <c r="CR922" s="46"/>
      <c r="CS922" s="46"/>
      <c r="CT922" s="46"/>
      <c r="CU922" s="46"/>
    </row>
    <row r="923" spans="1:99" ht="12.75" customHeight="1">
      <c r="A923" s="399">
        <v>1728</v>
      </c>
      <c r="B923" s="399" t="s">
        <v>6444</v>
      </c>
      <c r="C923" s="399">
        <f t="shared" si="117"/>
        <v>1728</v>
      </c>
      <c r="D923" s="399" t="str">
        <f t="shared" ref="D923:D927" si="140">IF(F923="Input Option",CONCAT("       ",E923),E923)</f>
        <v>Telephone number -2</v>
      </c>
      <c r="E923" s="399" t="str">
        <f t="shared" ref="E923:E927" si="141">IF(Q923="",IF(V923="",Q923,V923),Q923)</f>
        <v>Telephone number -2</v>
      </c>
      <c r="F923" s="399" t="str">
        <f t="shared" ref="F923:F927" si="142">IF(AND(ISBLANK(V923)=FALSE,OR(T923="MC",T923="")),"Input Option","Data Element")</f>
        <v>Data Element</v>
      </c>
      <c r="G923" s="400">
        <f t="shared" si="129"/>
        <v>19</v>
      </c>
      <c r="H923" s="400" t="str">
        <f t="shared" si="133"/>
        <v/>
      </c>
      <c r="I923" s="400"/>
      <c r="J923" s="400"/>
      <c r="K923" s="402" t="s">
        <v>6392</v>
      </c>
      <c r="L923" s="402" t="s">
        <v>3093</v>
      </c>
      <c r="M923" s="400"/>
      <c r="N923" s="775" t="s">
        <v>3199</v>
      </c>
      <c r="O923" s="407"/>
      <c r="P923" s="529"/>
      <c r="Q923" s="763" t="s">
        <v>6444</v>
      </c>
      <c r="R923" s="529"/>
      <c r="S923" s="763"/>
      <c r="T923" s="776"/>
      <c r="U923" s="776"/>
      <c r="V923" s="776"/>
      <c r="W923" s="763"/>
      <c r="X923" s="776"/>
      <c r="Y923" s="529"/>
      <c r="Z923" s="776" t="s">
        <v>6434</v>
      </c>
      <c r="AA923" s="776"/>
      <c r="AB923" s="778"/>
      <c r="AC923" s="776"/>
      <c r="AD923" s="776"/>
      <c r="AE923" s="779"/>
      <c r="AF923" s="776"/>
      <c r="AG923" s="529"/>
      <c r="AH923" s="399"/>
      <c r="AI923" s="400"/>
      <c r="AJ923" s="399" t="s">
        <v>6448</v>
      </c>
      <c r="AK923" s="409" t="s">
        <v>6436</v>
      </c>
      <c r="AL923" s="399"/>
      <c r="AM923" s="399" t="s">
        <v>3100</v>
      </c>
      <c r="AN923" s="399" t="s">
        <v>3101</v>
      </c>
      <c r="AO923" s="399"/>
      <c r="AP923" s="409" t="s">
        <v>3102</v>
      </c>
      <c r="AQ923" s="409" t="s">
        <v>115</v>
      </c>
      <c r="AR923" s="399"/>
      <c r="AS923" s="399"/>
      <c r="AT923" s="399"/>
      <c r="AU923" s="399" t="s">
        <v>6444</v>
      </c>
      <c r="AV923" s="399" t="str">
        <f t="shared" si="123"/>
        <v>Same</v>
      </c>
      <c r="AW923" s="399"/>
      <c r="AX923" s="409" t="s">
        <v>3104</v>
      </c>
      <c r="AY923" s="399" t="str">
        <f t="shared" ref="AY923:AY927" si="143">IF(B923=D923,"",CONCATENATE(CHAR(34), D923,CHAR(34), "-&gt;", CHAR(34), B923,CHAR(34)))</f>
        <v/>
      </c>
      <c r="AZ923" s="409" t="s">
        <v>3105</v>
      </c>
      <c r="BA923" s="409">
        <v>0</v>
      </c>
      <c r="BB923" s="399"/>
      <c r="BC923" s="399"/>
      <c r="BD923" s="399"/>
      <c r="BE923" s="411"/>
      <c r="BF923" s="411"/>
      <c r="BG923" s="411"/>
      <c r="BH923" s="411"/>
      <c r="BI923" s="411"/>
      <c r="BJ923" s="399" t="s">
        <v>3106</v>
      </c>
      <c r="BK923" s="399"/>
      <c r="BL923" s="399"/>
      <c r="BM923" s="399"/>
      <c r="BN923" s="399" t="s">
        <v>9686</v>
      </c>
      <c r="BO923" s="399"/>
      <c r="BP923" s="399" t="s">
        <v>198</v>
      </c>
      <c r="BQ923" s="399" t="s">
        <v>6439</v>
      </c>
      <c r="BR923" s="399" t="s">
        <v>407</v>
      </c>
      <c r="BS923" s="407"/>
      <c r="BT923" s="407"/>
      <c r="BU923" s="412"/>
      <c r="BV923" s="46" t="str">
        <f t="shared" si="8"/>
        <v/>
      </c>
      <c r="BW923" s="46" t="str">
        <f t="shared" si="9"/>
        <v/>
      </c>
      <c r="BX923" s="46" t="str">
        <f t="shared" si="10"/>
        <v/>
      </c>
      <c r="BY923" s="43" t="str">
        <f t="shared" si="11"/>
        <v>WHO-Core Patient</v>
      </c>
      <c r="BZ923" s="46">
        <f t="shared" si="12"/>
        <v>1</v>
      </c>
      <c r="CA923" s="46">
        <f t="shared" si="13"/>
        <v>0</v>
      </c>
      <c r="CB923" s="46">
        <f t="shared" si="14"/>
        <v>1</v>
      </c>
      <c r="CC923" s="46">
        <f t="shared" si="15"/>
        <v>1</v>
      </c>
      <c r="CD923" s="46">
        <f t="shared" si="16"/>
        <v>1</v>
      </c>
      <c r="CE923" s="46">
        <f t="shared" si="17"/>
        <v>0</v>
      </c>
      <c r="CF923" s="46">
        <f t="shared" si="18"/>
        <v>0</v>
      </c>
      <c r="CG923" s="46" t="str">
        <f ca="1">IFERROR(__xludf.DUMMYFUNCTION("if(OR(BH923="""",LEFT(BH923,2)=""LA""),"""",IMPORTXML(CONCATENATE(""https://loinc.org/"",BH923,""/""),""//span[@id='lcn']""))"),"")</f>
        <v/>
      </c>
      <c r="CH923" s="46"/>
      <c r="CI923" s="46"/>
      <c r="CJ923" s="46"/>
      <c r="CK923" s="46"/>
      <c r="CL923" s="46"/>
      <c r="CM923" s="46"/>
      <c r="CN923" s="46"/>
      <c r="CO923" s="46"/>
      <c r="CP923" s="46"/>
      <c r="CQ923" s="46"/>
      <c r="CR923" s="46"/>
      <c r="CS923" s="46"/>
      <c r="CT923" s="46"/>
      <c r="CU923" s="46"/>
    </row>
    <row r="924" spans="1:99" ht="12.75" customHeight="1">
      <c r="A924" s="399">
        <v>1735</v>
      </c>
      <c r="B924" s="409" t="s">
        <v>9687</v>
      </c>
      <c r="C924" s="399">
        <f t="shared" si="117"/>
        <v>1735</v>
      </c>
      <c r="D924" s="399" t="str">
        <f t="shared" si="140"/>
        <v xml:space="preserve">Alternate contact name 
Name of next Of Kin </v>
      </c>
      <c r="E924" s="399" t="str">
        <f t="shared" si="141"/>
        <v xml:space="preserve">Alternate contact name 
Name of next Of Kin </v>
      </c>
      <c r="F924" s="399" t="str">
        <f t="shared" si="142"/>
        <v>Data Element</v>
      </c>
      <c r="G924" s="400">
        <f t="shared" si="129"/>
        <v>46</v>
      </c>
      <c r="H924" s="400" t="str">
        <f t="shared" si="133"/>
        <v/>
      </c>
      <c r="I924" s="400"/>
      <c r="J924" s="400"/>
      <c r="K924" s="402" t="s">
        <v>6392</v>
      </c>
      <c r="L924" s="402" t="s">
        <v>3093</v>
      </c>
      <c r="M924" s="400"/>
      <c r="N924" s="775" t="s">
        <v>3199</v>
      </c>
      <c r="O924" s="407"/>
      <c r="P924" s="529"/>
      <c r="Q924" s="763" t="s">
        <v>6484</v>
      </c>
      <c r="R924" s="776" t="s">
        <v>6485</v>
      </c>
      <c r="S924" s="776" t="s">
        <v>6487</v>
      </c>
      <c r="T924" s="776" t="s">
        <v>111</v>
      </c>
      <c r="U924" s="529"/>
      <c r="V924" s="529"/>
      <c r="W924" s="776" t="s">
        <v>113</v>
      </c>
      <c r="X924" s="776" t="s">
        <v>208</v>
      </c>
      <c r="Y924" s="529"/>
      <c r="Z924" s="529"/>
      <c r="AA924" s="529"/>
      <c r="AB924" s="778"/>
      <c r="AC924" s="529"/>
      <c r="AD924" s="529"/>
      <c r="AE924" s="778"/>
      <c r="AF924" s="529"/>
      <c r="AG924" s="529"/>
      <c r="AH924" s="399"/>
      <c r="AI924" s="400"/>
      <c r="AJ924" s="399"/>
      <c r="AK924" s="409" t="s">
        <v>6488</v>
      </c>
      <c r="AL924" s="399"/>
      <c r="AM924" s="399" t="s">
        <v>3100</v>
      </c>
      <c r="AN924" s="399" t="s">
        <v>3101</v>
      </c>
      <c r="AO924" s="399"/>
      <c r="AP924" s="409" t="s">
        <v>3102</v>
      </c>
      <c r="AQ924" s="409" t="s">
        <v>3424</v>
      </c>
      <c r="AR924" s="399"/>
      <c r="AS924" s="399"/>
      <c r="AT924" s="399"/>
      <c r="AU924" s="399" t="s">
        <v>6484</v>
      </c>
      <c r="AV924" s="399" t="str">
        <f t="shared" si="123"/>
        <v>Changed</v>
      </c>
      <c r="AW924" s="399"/>
      <c r="AX924" s="409" t="s">
        <v>3104</v>
      </c>
      <c r="AY924" s="399" t="str">
        <f t="shared" si="143"/>
        <v>"Alternate contact name 
Name of next Of Kin "-&gt;"Alternate contact name  - Name of next Of Kin "</v>
      </c>
      <c r="AZ924" s="409" t="s">
        <v>3105</v>
      </c>
      <c r="BA924" s="409">
        <v>1</v>
      </c>
      <c r="BB924" s="399"/>
      <c r="BC924" s="399"/>
      <c r="BD924" s="409" t="s">
        <v>3162</v>
      </c>
      <c r="BE924" s="411"/>
      <c r="BF924" s="411"/>
      <c r="BG924" s="411"/>
      <c r="BH924" s="411"/>
      <c r="BI924" s="411"/>
      <c r="BJ924" s="399" t="s">
        <v>3106</v>
      </c>
      <c r="BK924" s="409"/>
      <c r="BL924" s="409"/>
      <c r="BM924" s="409" t="s">
        <v>9688</v>
      </c>
      <c r="BN924" s="399"/>
      <c r="BO924" s="399"/>
      <c r="BP924" s="399" t="s">
        <v>115</v>
      </c>
      <c r="BQ924" s="399" t="s">
        <v>216</v>
      </c>
      <c r="BR924" s="399" t="s">
        <v>215</v>
      </c>
      <c r="BS924" s="407"/>
      <c r="BT924" s="407"/>
      <c r="BU924" s="412"/>
      <c r="BV924" s="46" t="str">
        <f t="shared" si="8"/>
        <v>Patient</v>
      </c>
      <c r="BW924" s="46" t="str">
        <f t="shared" si="9"/>
        <v/>
      </c>
      <c r="BX924" s="46" t="str">
        <f t="shared" si="10"/>
        <v>Patient</v>
      </c>
      <c r="BY924" s="43" t="str">
        <f t="shared" si="11"/>
        <v>WHO-Core Patient</v>
      </c>
      <c r="BZ924" s="46">
        <f t="shared" si="12"/>
        <v>1</v>
      </c>
      <c r="CA924" s="46">
        <f t="shared" si="13"/>
        <v>0</v>
      </c>
      <c r="CB924" s="46">
        <f t="shared" si="14"/>
        <v>1</v>
      </c>
      <c r="CC924" s="46">
        <f t="shared" si="15"/>
        <v>1</v>
      </c>
      <c r="CD924" s="46">
        <f t="shared" si="16"/>
        <v>1</v>
      </c>
      <c r="CE924" s="46">
        <f t="shared" si="17"/>
        <v>0</v>
      </c>
      <c r="CF924" s="46">
        <f t="shared" si="18"/>
        <v>0</v>
      </c>
      <c r="CG924" s="46" t="str">
        <f ca="1">IFERROR(__xludf.DUMMYFUNCTION("if(OR(BH924="""",LEFT(BH924,2)=""LA""),"""",IMPORTXML(CONCATENATE(""https://loinc.org/"",BH924,""/""),""//span[@id='lcn']""))"),"")</f>
        <v/>
      </c>
      <c r="CH924" s="46"/>
      <c r="CI924" s="46"/>
      <c r="CJ924" s="46"/>
      <c r="CK924" s="46"/>
      <c r="CL924" s="46"/>
      <c r="CM924" s="46"/>
      <c r="CN924" s="46"/>
      <c r="CO924" s="46"/>
      <c r="CP924" s="46"/>
      <c r="CQ924" s="46"/>
      <c r="CR924" s="46"/>
      <c r="CS924" s="46"/>
      <c r="CT924" s="46"/>
      <c r="CU924" s="46"/>
    </row>
    <row r="925" spans="1:99" ht="12.75" customHeight="1">
      <c r="A925" s="399">
        <v>1736</v>
      </c>
      <c r="B925" s="409" t="s">
        <v>9689</v>
      </c>
      <c r="C925" s="399">
        <f t="shared" si="117"/>
        <v>1736</v>
      </c>
      <c r="D925" s="399" t="str">
        <f t="shared" si="140"/>
        <v>Alternate contact phone number
Contact of next of Kin</v>
      </c>
      <c r="E925" s="399" t="str">
        <f t="shared" si="141"/>
        <v>Alternate contact phone number
Contact of next of Kin</v>
      </c>
      <c r="F925" s="399" t="str">
        <f t="shared" si="142"/>
        <v>Data Element</v>
      </c>
      <c r="G925" s="400">
        <f t="shared" si="129"/>
        <v>55</v>
      </c>
      <c r="H925" s="400" t="str">
        <f t="shared" si="133"/>
        <v/>
      </c>
      <c r="I925" s="400"/>
      <c r="J925" s="400"/>
      <c r="K925" s="402" t="s">
        <v>6392</v>
      </c>
      <c r="L925" s="402" t="s">
        <v>3093</v>
      </c>
      <c r="M925" s="400"/>
      <c r="N925" s="775" t="s">
        <v>3199</v>
      </c>
      <c r="O925" s="407"/>
      <c r="P925" s="529"/>
      <c r="Q925" s="763" t="s">
        <v>6491</v>
      </c>
      <c r="R925" s="776" t="s">
        <v>6492</v>
      </c>
      <c r="S925" s="776" t="s">
        <v>219</v>
      </c>
      <c r="T925" s="776" t="s">
        <v>168</v>
      </c>
      <c r="U925" s="529"/>
      <c r="V925" s="529"/>
      <c r="W925" s="776" t="s">
        <v>113</v>
      </c>
      <c r="X925" s="776" t="s">
        <v>6493</v>
      </c>
      <c r="Y925" s="529"/>
      <c r="Z925" s="529"/>
      <c r="AA925" s="529"/>
      <c r="AB925" s="778"/>
      <c r="AC925" s="529"/>
      <c r="AD925" s="529"/>
      <c r="AE925" s="778"/>
      <c r="AF925" s="529"/>
      <c r="AG925" s="529"/>
      <c r="AH925" s="399"/>
      <c r="AI925" s="400"/>
      <c r="AJ925" s="399"/>
      <c r="AK925" s="399" t="s">
        <v>6494</v>
      </c>
      <c r="AL925" s="399"/>
      <c r="AM925" s="399" t="s">
        <v>3100</v>
      </c>
      <c r="AN925" s="399" t="s">
        <v>3101</v>
      </c>
      <c r="AO925" s="399"/>
      <c r="AP925" s="409" t="s">
        <v>3102</v>
      </c>
      <c r="AQ925" s="409" t="s">
        <v>3424</v>
      </c>
      <c r="AR925" s="399"/>
      <c r="AS925" s="399"/>
      <c r="AT925" s="399"/>
      <c r="AU925" s="399" t="s">
        <v>6491</v>
      </c>
      <c r="AV925" s="399" t="str">
        <f t="shared" si="123"/>
        <v>Changed</v>
      </c>
      <c r="AW925" s="399"/>
      <c r="AX925" s="409" t="s">
        <v>3104</v>
      </c>
      <c r="AY925" s="399" t="str">
        <f t="shared" si="143"/>
        <v>"Alternate contact phone number
Contact of next of Kin"-&gt;"Alternate contact phone number - Contact of next of Kin"</v>
      </c>
      <c r="AZ925" s="409" t="s">
        <v>3105</v>
      </c>
      <c r="BA925" s="409">
        <v>1</v>
      </c>
      <c r="BB925" s="399"/>
      <c r="BC925" s="399"/>
      <c r="BD925" s="399"/>
      <c r="BE925" s="411"/>
      <c r="BF925" s="411"/>
      <c r="BG925" s="411"/>
      <c r="BH925" s="411"/>
      <c r="BI925" s="411"/>
      <c r="BJ925" s="399" t="s">
        <v>3106</v>
      </c>
      <c r="BK925" s="399"/>
      <c r="BL925" s="399"/>
      <c r="BM925" s="399"/>
      <c r="BN925" s="399"/>
      <c r="BO925" s="399"/>
      <c r="BP925" s="399" t="s">
        <v>214</v>
      </c>
      <c r="BQ925" s="399" t="s">
        <v>198</v>
      </c>
      <c r="BR925" s="399" t="s">
        <v>197</v>
      </c>
      <c r="BS925" s="407"/>
      <c r="BT925" s="407"/>
      <c r="BU925" s="412"/>
      <c r="BV925" s="46" t="str">
        <f t="shared" si="8"/>
        <v>Patient</v>
      </c>
      <c r="BW925" s="46" t="str">
        <f t="shared" si="9"/>
        <v/>
      </c>
      <c r="BX925" s="46" t="str">
        <f t="shared" si="10"/>
        <v>Patient</v>
      </c>
      <c r="BY925" s="43" t="str">
        <f t="shared" si="11"/>
        <v>WHO-Core Patient</v>
      </c>
      <c r="BZ925" s="46">
        <f t="shared" si="12"/>
        <v>1</v>
      </c>
      <c r="CA925" s="46">
        <f t="shared" si="13"/>
        <v>0</v>
      </c>
      <c r="CB925" s="46">
        <f t="shared" si="14"/>
        <v>1</v>
      </c>
      <c r="CC925" s="46">
        <f t="shared" si="15"/>
        <v>1</v>
      </c>
      <c r="CD925" s="46">
        <f t="shared" si="16"/>
        <v>1</v>
      </c>
      <c r="CE925" s="46">
        <f t="shared" si="17"/>
        <v>0</v>
      </c>
      <c r="CF925" s="46">
        <f t="shared" si="18"/>
        <v>0</v>
      </c>
      <c r="CG925" s="46" t="str">
        <f ca="1">IFERROR(__xludf.DUMMYFUNCTION("if(OR(BH925="""",LEFT(BH925,2)=""LA""),"""",IMPORTXML(CONCATENATE(""https://loinc.org/"",BH925,""/""),""//span[@id='lcn']""))"),"")</f>
        <v/>
      </c>
      <c r="CH925" s="46"/>
      <c r="CI925" s="46"/>
      <c r="CJ925" s="46"/>
      <c r="CK925" s="46"/>
      <c r="CL925" s="46"/>
      <c r="CM925" s="46"/>
      <c r="CN925" s="46"/>
      <c r="CO925" s="46"/>
      <c r="CP925" s="46"/>
      <c r="CQ925" s="46"/>
      <c r="CR925" s="46"/>
      <c r="CS925" s="46"/>
      <c r="CT925" s="46"/>
      <c r="CU925" s="46"/>
    </row>
    <row r="926" spans="1:99" ht="12.75" customHeight="1">
      <c r="A926" s="399">
        <v>1737</v>
      </c>
      <c r="B926" s="399" t="s">
        <v>6495</v>
      </c>
      <c r="C926" s="399">
        <f t="shared" si="117"/>
        <v>1737</v>
      </c>
      <c r="D926" s="399" t="str">
        <f t="shared" si="140"/>
        <v>Alternate contact address</v>
      </c>
      <c r="E926" s="399" t="str">
        <f t="shared" si="141"/>
        <v>Alternate contact address</v>
      </c>
      <c r="F926" s="399" t="str">
        <f t="shared" si="142"/>
        <v>Data Element</v>
      </c>
      <c r="G926" s="400">
        <f t="shared" si="129"/>
        <v>25</v>
      </c>
      <c r="H926" s="400" t="str">
        <f t="shared" si="133"/>
        <v/>
      </c>
      <c r="I926" s="400"/>
      <c r="J926" s="400"/>
      <c r="K926" s="402" t="s">
        <v>6392</v>
      </c>
      <c r="L926" s="402" t="s">
        <v>3093</v>
      </c>
      <c r="M926" s="400"/>
      <c r="N926" s="775" t="s">
        <v>3199</v>
      </c>
      <c r="O926" s="407"/>
      <c r="P926" s="529"/>
      <c r="Q926" s="763" t="s">
        <v>6495</v>
      </c>
      <c r="R926" s="776" t="s">
        <v>6497</v>
      </c>
      <c r="S926" s="776"/>
      <c r="T926" s="776" t="s">
        <v>111</v>
      </c>
      <c r="U926" s="529"/>
      <c r="V926" s="529"/>
      <c r="W926" s="776"/>
      <c r="X926" s="776"/>
      <c r="Y926" s="529"/>
      <c r="Z926" s="529"/>
      <c r="AA926" s="529"/>
      <c r="AB926" s="778"/>
      <c r="AC926" s="529"/>
      <c r="AD926" s="529"/>
      <c r="AE926" s="778"/>
      <c r="AF926" s="529"/>
      <c r="AG926" s="529"/>
      <c r="AH926" s="399"/>
      <c r="AI926" s="400"/>
      <c r="AJ926" s="399"/>
      <c r="AK926" s="409" t="s">
        <v>6815</v>
      </c>
      <c r="AL926" s="399"/>
      <c r="AM926" s="399" t="s">
        <v>3100</v>
      </c>
      <c r="AN926" s="399" t="s">
        <v>3101</v>
      </c>
      <c r="AO926" s="399"/>
      <c r="AP926" s="409" t="s">
        <v>3102</v>
      </c>
      <c r="AQ926" s="409" t="s">
        <v>3424</v>
      </c>
      <c r="AR926" s="399"/>
      <c r="AS926" s="399"/>
      <c r="AT926" s="399"/>
      <c r="AU926" s="399" t="s">
        <v>6495</v>
      </c>
      <c r="AV926" s="399" t="str">
        <f t="shared" si="123"/>
        <v>Same</v>
      </c>
      <c r="AW926" s="399"/>
      <c r="AX926" s="409" t="s">
        <v>3104</v>
      </c>
      <c r="AY926" s="399" t="str">
        <f t="shared" si="143"/>
        <v/>
      </c>
      <c r="AZ926" s="409" t="s">
        <v>3105</v>
      </c>
      <c r="BA926" s="409">
        <v>1</v>
      </c>
      <c r="BB926" s="399"/>
      <c r="BC926" s="399"/>
      <c r="BD926" s="399"/>
      <c r="BE926" s="411"/>
      <c r="BF926" s="411"/>
      <c r="BG926" s="411"/>
      <c r="BH926" s="411"/>
      <c r="BI926" s="411"/>
      <c r="BJ926" s="399" t="s">
        <v>3106</v>
      </c>
      <c r="BK926" s="399"/>
      <c r="BL926" s="399"/>
      <c r="BM926" s="399"/>
      <c r="BN926" s="399"/>
      <c r="BO926" s="399"/>
      <c r="BP926" s="399"/>
      <c r="BQ926" s="399"/>
      <c r="BR926" s="399"/>
      <c r="BS926" s="407"/>
      <c r="BT926" s="407"/>
      <c r="BU926" s="412"/>
      <c r="BV926" s="46" t="str">
        <f t="shared" si="8"/>
        <v>Patient</v>
      </c>
      <c r="BW926" s="46" t="str">
        <f t="shared" si="9"/>
        <v/>
      </c>
      <c r="BX926" s="46" t="str">
        <f t="shared" si="10"/>
        <v>Patient</v>
      </c>
      <c r="BY926" s="43" t="str">
        <f t="shared" si="11"/>
        <v>WHO-Core Patient</v>
      </c>
      <c r="BZ926" s="46">
        <f t="shared" si="12"/>
        <v>1</v>
      </c>
      <c r="CA926" s="46">
        <f t="shared" si="13"/>
        <v>0</v>
      </c>
      <c r="CB926" s="46">
        <f t="shared" si="14"/>
        <v>1</v>
      </c>
      <c r="CC926" s="46">
        <f t="shared" si="15"/>
        <v>1</v>
      </c>
      <c r="CD926" s="46">
        <f t="shared" si="16"/>
        <v>1</v>
      </c>
      <c r="CE926" s="46">
        <f t="shared" si="17"/>
        <v>0</v>
      </c>
      <c r="CF926" s="46">
        <f t="shared" si="18"/>
        <v>0</v>
      </c>
      <c r="CG926" s="46" t="str">
        <f ca="1">IFERROR(__xludf.DUMMYFUNCTION("if(OR(BH926="""",LEFT(BH926,2)=""LA""),"""",IMPORTXML(CONCATENATE(""https://loinc.org/"",BH926,""/""),""//span[@id='lcn']""))"),"")</f>
        <v/>
      </c>
      <c r="CH926" s="46"/>
      <c r="CI926" s="46"/>
      <c r="CJ926" s="46"/>
      <c r="CK926" s="46"/>
      <c r="CL926" s="46"/>
      <c r="CM926" s="46"/>
      <c r="CN926" s="46"/>
      <c r="CO926" s="46"/>
      <c r="CP926" s="46"/>
      <c r="CQ926" s="46"/>
      <c r="CR926" s="46"/>
      <c r="CS926" s="46"/>
      <c r="CT926" s="46"/>
      <c r="CU926" s="46"/>
    </row>
    <row r="927" spans="1:99" ht="12.75" customHeight="1">
      <c r="A927" s="399">
        <v>1738</v>
      </c>
      <c r="B927" s="399" t="s">
        <v>6499</v>
      </c>
      <c r="C927" s="399">
        <f t="shared" si="117"/>
        <v>1738</v>
      </c>
      <c r="D927" s="399" t="str">
        <f t="shared" si="140"/>
        <v>Alternate contact relationship</v>
      </c>
      <c r="E927" s="399" t="str">
        <f t="shared" si="141"/>
        <v>Alternate contact relationship</v>
      </c>
      <c r="F927" s="399" t="str">
        <f t="shared" si="142"/>
        <v>Data Element</v>
      </c>
      <c r="G927" s="400">
        <f t="shared" si="129"/>
        <v>30</v>
      </c>
      <c r="H927" s="400" t="str">
        <f t="shared" si="133"/>
        <v/>
      </c>
      <c r="I927" s="400"/>
      <c r="J927" s="400"/>
      <c r="K927" s="402" t="s">
        <v>6392</v>
      </c>
      <c r="L927" s="402" t="s">
        <v>3093</v>
      </c>
      <c r="M927" s="400"/>
      <c r="N927" s="775" t="s">
        <v>3199</v>
      </c>
      <c r="O927" s="407"/>
      <c r="P927" s="529"/>
      <c r="Q927" s="763" t="s">
        <v>6499</v>
      </c>
      <c r="R927" s="776"/>
      <c r="S927" s="776"/>
      <c r="T927" s="776" t="s">
        <v>111</v>
      </c>
      <c r="U927" s="529"/>
      <c r="V927" s="529"/>
      <c r="W927" s="776"/>
      <c r="X927" s="776"/>
      <c r="Y927" s="529"/>
      <c r="Z927" s="529"/>
      <c r="AA927" s="529"/>
      <c r="AB927" s="778"/>
      <c r="AC927" s="529"/>
      <c r="AD927" s="529"/>
      <c r="AE927" s="778"/>
      <c r="AF927" s="529"/>
      <c r="AG927" s="529"/>
      <c r="AH927" s="399"/>
      <c r="AI927" s="400"/>
      <c r="AJ927" s="399"/>
      <c r="AK927" s="399" t="s">
        <v>6501</v>
      </c>
      <c r="AL927" s="399"/>
      <c r="AM927" s="399" t="s">
        <v>3100</v>
      </c>
      <c r="AN927" s="399" t="s">
        <v>3101</v>
      </c>
      <c r="AO927" s="399"/>
      <c r="AP927" s="409" t="s">
        <v>3102</v>
      </c>
      <c r="AQ927" s="409" t="s">
        <v>3424</v>
      </c>
      <c r="AR927" s="399"/>
      <c r="AS927" s="399"/>
      <c r="AT927" s="399"/>
      <c r="AU927" s="399" t="s">
        <v>6499</v>
      </c>
      <c r="AV927" s="399" t="str">
        <f t="shared" si="123"/>
        <v>Same</v>
      </c>
      <c r="AW927" s="399"/>
      <c r="AX927" s="409" t="s">
        <v>3104</v>
      </c>
      <c r="AY927" s="399" t="str">
        <f t="shared" si="143"/>
        <v/>
      </c>
      <c r="AZ927" s="409" t="s">
        <v>3105</v>
      </c>
      <c r="BA927" s="409">
        <v>1</v>
      </c>
      <c r="BB927" s="399"/>
      <c r="BC927" s="399"/>
      <c r="BD927" s="399"/>
      <c r="BE927" s="411"/>
      <c r="BF927" s="411"/>
      <c r="BG927" s="411"/>
      <c r="BH927" s="411"/>
      <c r="BI927" s="411"/>
      <c r="BJ927" s="399" t="s">
        <v>3106</v>
      </c>
      <c r="BK927" s="399"/>
      <c r="BL927" s="399"/>
      <c r="BM927" s="399"/>
      <c r="BN927" s="399"/>
      <c r="BO927" s="399"/>
      <c r="BP927" s="399"/>
      <c r="BQ927" s="399"/>
      <c r="BR927" s="399"/>
      <c r="BS927" s="407"/>
      <c r="BT927" s="407"/>
      <c r="BU927" s="412"/>
      <c r="BV927" s="46" t="str">
        <f t="shared" si="8"/>
        <v>Patient</v>
      </c>
      <c r="BW927" s="46" t="str">
        <f t="shared" si="9"/>
        <v/>
      </c>
      <c r="BX927" s="46" t="str">
        <f t="shared" si="10"/>
        <v>Patient</v>
      </c>
      <c r="BY927" s="43" t="str">
        <f t="shared" si="11"/>
        <v>WHO-Core Patient</v>
      </c>
      <c r="BZ927" s="46">
        <f t="shared" si="12"/>
        <v>1</v>
      </c>
      <c r="CA927" s="46">
        <f t="shared" si="13"/>
        <v>0</v>
      </c>
      <c r="CB927" s="46">
        <f t="shared" si="14"/>
        <v>1</v>
      </c>
      <c r="CC927" s="46">
        <f t="shared" si="15"/>
        <v>1</v>
      </c>
      <c r="CD927" s="46">
        <f t="shared" si="16"/>
        <v>1</v>
      </c>
      <c r="CE927" s="46">
        <f t="shared" si="17"/>
        <v>0</v>
      </c>
      <c r="CF927" s="46">
        <f t="shared" si="18"/>
        <v>0</v>
      </c>
      <c r="CG927" s="46" t="str">
        <f ca="1">IFERROR(__xludf.DUMMYFUNCTION("if(OR(BH927="""",LEFT(BH927,2)=""LA""),"""",IMPORTXML(CONCATENATE(""https://loinc.org/"",BH927,""/""),""//span[@id='lcn']""))"),"")</f>
        <v/>
      </c>
      <c r="CH927" s="46"/>
      <c r="CI927" s="46"/>
      <c r="CJ927" s="46"/>
      <c r="CK927" s="46"/>
      <c r="CL927" s="46"/>
      <c r="CM927" s="46"/>
      <c r="CN927" s="46"/>
      <c r="CO927" s="46"/>
      <c r="CP927" s="46"/>
      <c r="CQ927" s="46"/>
      <c r="CR927" s="46"/>
      <c r="CS927" s="46"/>
      <c r="CT927" s="46"/>
      <c r="CU927" s="46"/>
    </row>
    <row r="928" spans="1:99" ht="12.75" customHeight="1">
      <c r="A928" s="409">
        <v>1833</v>
      </c>
      <c r="B928" s="399" t="s">
        <v>6502</v>
      </c>
      <c r="C928" s="399">
        <f t="shared" si="117"/>
        <v>1833</v>
      </c>
      <c r="D928" s="399"/>
      <c r="E928" s="399"/>
      <c r="F928" s="409" t="s">
        <v>6421</v>
      </c>
      <c r="G928" s="400">
        <f t="shared" si="129"/>
        <v>9</v>
      </c>
      <c r="H928" s="400" t="str">
        <f t="shared" si="133"/>
        <v/>
      </c>
      <c r="I928" s="400"/>
      <c r="J928" s="400"/>
      <c r="K928" s="402"/>
      <c r="L928" s="402" t="s">
        <v>3093</v>
      </c>
      <c r="M928" s="400"/>
      <c r="N928" s="775"/>
      <c r="O928" s="407"/>
      <c r="P928" s="529"/>
      <c r="Q928" s="780"/>
      <c r="R928" s="529"/>
      <c r="S928" s="781"/>
      <c r="T928" s="780"/>
      <c r="U928" s="529"/>
      <c r="V928" s="529"/>
      <c r="W928" s="780"/>
      <c r="X928" s="780"/>
      <c r="Y928" s="781"/>
      <c r="Z928" s="529"/>
      <c r="AA928" s="763"/>
      <c r="AB928" s="782"/>
      <c r="AC928" s="780"/>
      <c r="AD928" s="780"/>
      <c r="AE928" s="782"/>
      <c r="AF928" s="763"/>
      <c r="AG928" s="529"/>
      <c r="AH928" s="399"/>
      <c r="AI928" s="400"/>
      <c r="AJ928" s="399" t="s">
        <v>6502</v>
      </c>
      <c r="AK928" s="399" t="s">
        <v>6503</v>
      </c>
      <c r="AL928" s="399"/>
      <c r="AM928" s="399" t="s">
        <v>3100</v>
      </c>
      <c r="AN928" s="399" t="s">
        <v>3101</v>
      </c>
      <c r="AO928" s="399" t="s">
        <v>6504</v>
      </c>
      <c r="AP928" s="409" t="s">
        <v>3102</v>
      </c>
      <c r="AQ928" s="409" t="s">
        <v>115</v>
      </c>
      <c r="AR928" s="399"/>
      <c r="AS928" s="399"/>
      <c r="AT928" s="399"/>
      <c r="AU928" s="399" t="s">
        <v>6502</v>
      </c>
      <c r="AV928" s="399" t="str">
        <f t="shared" si="123"/>
        <v>Same</v>
      </c>
      <c r="AW928" s="399"/>
      <c r="AX928" s="409" t="s">
        <v>3104</v>
      </c>
      <c r="AY928" s="399"/>
      <c r="AZ928" s="409" t="s">
        <v>3105</v>
      </c>
      <c r="BA928" s="409">
        <v>0</v>
      </c>
      <c r="BB928" s="399"/>
      <c r="BC928" s="399"/>
      <c r="BD928" s="409" t="s">
        <v>3162</v>
      </c>
      <c r="BE928" s="411"/>
      <c r="BF928" s="411"/>
      <c r="BG928" s="411"/>
      <c r="BH928" s="411"/>
      <c r="BI928" s="411"/>
      <c r="BJ928" s="399" t="s">
        <v>3106</v>
      </c>
      <c r="BK928" s="409"/>
      <c r="BL928" s="409"/>
      <c r="BM928" s="409" t="s">
        <v>9690</v>
      </c>
      <c r="BN928" s="399"/>
      <c r="BO928" s="399"/>
      <c r="BP928" s="399"/>
      <c r="BQ928" s="399"/>
      <c r="BR928" s="399"/>
      <c r="BS928" s="407"/>
      <c r="BT928" s="407"/>
      <c r="BU928" s="412"/>
      <c r="BV928" s="46" t="str">
        <f t="shared" si="8"/>
        <v/>
      </c>
      <c r="BW928" s="46" t="str">
        <f t="shared" si="9"/>
        <v/>
      </c>
      <c r="BX928" s="46" t="str">
        <f t="shared" si="10"/>
        <v/>
      </c>
      <c r="BY928" s="43" t="str">
        <f t="shared" si="11"/>
        <v/>
      </c>
      <c r="BZ928" s="46">
        <f t="shared" si="12"/>
        <v>1</v>
      </c>
      <c r="CA928" s="46" t="str">
        <f t="shared" si="13"/>
        <v/>
      </c>
      <c r="CB928" s="46">
        <f t="shared" si="14"/>
        <v>1</v>
      </c>
      <c r="CC928" s="46">
        <f t="shared" si="15"/>
        <v>1</v>
      </c>
      <c r="CD928" s="46">
        <f t="shared" si="16"/>
        <v>1</v>
      </c>
      <c r="CE928" s="46">
        <f t="shared" si="17"/>
        <v>0</v>
      </c>
      <c r="CF928" s="46">
        <f t="shared" si="18"/>
        <v>0</v>
      </c>
      <c r="CG928" s="46" t="str">
        <f ca="1">IFERROR(__xludf.DUMMYFUNCTION("if(OR(BH928="""",LEFT(BH928,2)=""LA""),"""",IMPORTXML(CONCATENATE(""https://loinc.org/"",BH928,""/""),""//span[@id='lcn']""))"),"")</f>
        <v/>
      </c>
      <c r="CH928" s="46"/>
      <c r="CI928" s="46"/>
      <c r="CJ928" s="46"/>
      <c r="CK928" s="46"/>
      <c r="CL928" s="46"/>
      <c r="CM928" s="46"/>
      <c r="CN928" s="46"/>
      <c r="CO928" s="46"/>
      <c r="CP928" s="46"/>
      <c r="CQ928" s="46"/>
      <c r="CR928" s="46"/>
      <c r="CS928" s="46"/>
      <c r="CT928" s="46"/>
      <c r="CU928" s="46"/>
    </row>
    <row r="929" spans="1:99" ht="12.75" customHeight="1">
      <c r="A929" s="399">
        <v>1739</v>
      </c>
      <c r="B929" s="399" t="s">
        <v>6505</v>
      </c>
      <c r="C929" s="399">
        <f t="shared" si="117"/>
        <v>1739</v>
      </c>
      <c r="D929" s="399" t="str">
        <f t="shared" ref="D929:D946" si="144">IF(F929="Input Option",CONCAT("       ",E929),E929)</f>
        <v>Name of caretaker</v>
      </c>
      <c r="E929" s="399" t="str">
        <f t="shared" ref="E929:E946" si="145">IF(Q929="",IF(V929="",Q929,V929),Q929)</f>
        <v>Name of caretaker</v>
      </c>
      <c r="F929" s="399" t="str">
        <f t="shared" ref="F929:F946" si="146">IF(AND(ISBLANK(V929)=FALSE,OR(T929="MC",T929="")),"Input Option","Data Element")</f>
        <v>Data Element</v>
      </c>
      <c r="G929" s="400">
        <f t="shared" si="129"/>
        <v>17</v>
      </c>
      <c r="H929" s="400" t="str">
        <f t="shared" si="133"/>
        <v/>
      </c>
      <c r="I929" s="400"/>
      <c r="J929" s="400"/>
      <c r="K929" s="402" t="s">
        <v>6392</v>
      </c>
      <c r="L929" s="402" t="s">
        <v>3093</v>
      </c>
      <c r="M929" s="400"/>
      <c r="N929" s="775" t="s">
        <v>3199</v>
      </c>
      <c r="O929" s="407"/>
      <c r="P929" s="529"/>
      <c r="Q929" s="780" t="s">
        <v>6505</v>
      </c>
      <c r="R929" s="529"/>
      <c r="S929" s="781" t="s">
        <v>6507</v>
      </c>
      <c r="T929" s="780" t="s">
        <v>111</v>
      </c>
      <c r="U929" s="529"/>
      <c r="V929" s="529"/>
      <c r="W929" s="780"/>
      <c r="X929" s="780"/>
      <c r="Y929" s="781" t="s">
        <v>6508</v>
      </c>
      <c r="Z929" s="529"/>
      <c r="AA929" s="763" t="s">
        <v>3178</v>
      </c>
      <c r="AB929" s="782" t="s">
        <v>6509</v>
      </c>
      <c r="AC929" s="780"/>
      <c r="AD929" s="780"/>
      <c r="AE929" s="782"/>
      <c r="AF929" s="763"/>
      <c r="AG929" s="529"/>
      <c r="AH929" s="399"/>
      <c r="AI929" s="400"/>
      <c r="AJ929" s="409" t="s">
        <v>6510</v>
      </c>
      <c r="AK929" s="409" t="s">
        <v>6488</v>
      </c>
      <c r="AL929" s="409"/>
      <c r="AM929" s="409" t="s">
        <v>3100</v>
      </c>
      <c r="AN929" s="409" t="s">
        <v>3101</v>
      </c>
      <c r="AO929" s="399"/>
      <c r="AP929" s="409" t="s">
        <v>3102</v>
      </c>
      <c r="AQ929" s="409" t="s">
        <v>115</v>
      </c>
      <c r="AR929" s="399"/>
      <c r="AS929" s="399"/>
      <c r="AT929" s="399"/>
      <c r="AU929" s="399" t="s">
        <v>6505</v>
      </c>
      <c r="AV929" s="399" t="str">
        <f t="shared" si="123"/>
        <v>Same</v>
      </c>
      <c r="AW929" s="399"/>
      <c r="AX929" s="409" t="s">
        <v>3104</v>
      </c>
      <c r="AY929" s="399" t="str">
        <f t="shared" ref="AY929:AY946" si="147">IF(B929=D929,"",CONCATENATE(CHAR(34), D929,CHAR(34), "-&gt;", CHAR(34), B929,CHAR(34)))</f>
        <v/>
      </c>
      <c r="AZ929" s="409" t="s">
        <v>3105</v>
      </c>
      <c r="BA929" s="409">
        <v>0</v>
      </c>
      <c r="BB929" s="399"/>
      <c r="BC929" s="399"/>
      <c r="BD929" s="399"/>
      <c r="BE929" s="411"/>
      <c r="BF929" s="411"/>
      <c r="BG929" s="411"/>
      <c r="BH929" s="411"/>
      <c r="BI929" s="411"/>
      <c r="BJ929" s="399" t="s">
        <v>3106</v>
      </c>
      <c r="BK929" s="399"/>
      <c r="BL929" s="399"/>
      <c r="BM929" s="399"/>
      <c r="BN929" s="399"/>
      <c r="BO929" s="399"/>
      <c r="BP929" s="399" t="s">
        <v>6512</v>
      </c>
      <c r="BQ929" s="399" t="s">
        <v>6513</v>
      </c>
      <c r="BR929" s="399" t="s">
        <v>6514</v>
      </c>
      <c r="BS929" s="407"/>
      <c r="BT929" s="407"/>
      <c r="BU929" s="412"/>
      <c r="BV929" s="46" t="str">
        <f t="shared" si="8"/>
        <v/>
      </c>
      <c r="BW929" s="46" t="str">
        <f t="shared" si="9"/>
        <v/>
      </c>
      <c r="BX929" s="46" t="str">
        <f t="shared" si="10"/>
        <v/>
      </c>
      <c r="BY929" s="43" t="str">
        <f t="shared" si="11"/>
        <v>WHO-Core Patient</v>
      </c>
      <c r="BZ929" s="46">
        <f t="shared" si="12"/>
        <v>1</v>
      </c>
      <c r="CA929" s="46">
        <f t="shared" si="13"/>
        <v>0</v>
      </c>
      <c r="CB929" s="46">
        <f t="shared" si="14"/>
        <v>1</v>
      </c>
      <c r="CC929" s="46">
        <f t="shared" si="15"/>
        <v>1</v>
      </c>
      <c r="CD929" s="46">
        <f t="shared" si="16"/>
        <v>1</v>
      </c>
      <c r="CE929" s="46">
        <f t="shared" si="17"/>
        <v>0</v>
      </c>
      <c r="CF929" s="46">
        <f t="shared" si="18"/>
        <v>0</v>
      </c>
      <c r="CG929" s="46" t="str">
        <f ca="1">IFERROR(__xludf.DUMMYFUNCTION("if(OR(BH929="""",LEFT(BH929,2)=""LA""),"""",IMPORTXML(CONCATENATE(""https://loinc.org/"",BH929,""/""),""//span[@id='lcn']""))"),"")</f>
        <v/>
      </c>
      <c r="CH929" s="46"/>
      <c r="CI929" s="46"/>
      <c r="CJ929" s="46"/>
      <c r="CK929" s="46"/>
      <c r="CL929" s="46"/>
      <c r="CM929" s="46"/>
      <c r="CN929" s="46"/>
      <c r="CO929" s="46"/>
      <c r="CP929" s="46"/>
      <c r="CQ929" s="46"/>
      <c r="CR929" s="46"/>
      <c r="CS929" s="46"/>
      <c r="CT929" s="46"/>
      <c r="CU929" s="46"/>
    </row>
    <row r="930" spans="1:99" ht="12.75" customHeight="1">
      <c r="A930" s="399">
        <v>1740</v>
      </c>
      <c r="B930" s="399" t="s">
        <v>6516</v>
      </c>
      <c r="C930" s="399">
        <f t="shared" si="117"/>
        <v>1740</v>
      </c>
      <c r="D930" s="399" t="str">
        <f t="shared" si="144"/>
        <v>Phone number of caretaker</v>
      </c>
      <c r="E930" s="399" t="str">
        <f t="shared" si="145"/>
        <v>Phone number of caretaker</v>
      </c>
      <c r="F930" s="399" t="str">
        <f t="shared" si="146"/>
        <v>Data Element</v>
      </c>
      <c r="G930" s="400">
        <f t="shared" si="129"/>
        <v>25</v>
      </c>
      <c r="H930" s="400" t="str">
        <f t="shared" si="133"/>
        <v/>
      </c>
      <c r="I930" s="400"/>
      <c r="J930" s="400"/>
      <c r="K930" s="402" t="s">
        <v>6392</v>
      </c>
      <c r="L930" s="402" t="s">
        <v>3093</v>
      </c>
      <c r="M930" s="400"/>
      <c r="N930" s="775" t="s">
        <v>3199</v>
      </c>
      <c r="O930" s="407"/>
      <c r="P930" s="529"/>
      <c r="Q930" s="779" t="s">
        <v>6516</v>
      </c>
      <c r="R930" s="529"/>
      <c r="S930" s="776" t="s">
        <v>6517</v>
      </c>
      <c r="T930" s="783" t="s">
        <v>168</v>
      </c>
      <c r="U930" s="783"/>
      <c r="V930" s="783"/>
      <c r="W930" s="776"/>
      <c r="X930" s="776" t="s">
        <v>6518</v>
      </c>
      <c r="Y930" s="529"/>
      <c r="Z930" s="763"/>
      <c r="AA930" s="763" t="s">
        <v>3178</v>
      </c>
      <c r="AB930" s="782" t="s">
        <v>6509</v>
      </c>
      <c r="AC930" s="763"/>
      <c r="AD930" s="763"/>
      <c r="AE930" s="778"/>
      <c r="AF930" s="763"/>
      <c r="AG930" s="529"/>
      <c r="AH930" s="399"/>
      <c r="AI930" s="400"/>
      <c r="AJ930" s="409" t="s">
        <v>9691</v>
      </c>
      <c r="AK930" s="399" t="s">
        <v>6494</v>
      </c>
      <c r="AL930" s="409"/>
      <c r="AM930" s="409" t="s">
        <v>3100</v>
      </c>
      <c r="AN930" s="409" t="s">
        <v>3101</v>
      </c>
      <c r="AO930" s="399"/>
      <c r="AP930" s="409" t="s">
        <v>3102</v>
      </c>
      <c r="AQ930" s="409" t="s">
        <v>115</v>
      </c>
      <c r="AR930" s="399"/>
      <c r="AS930" s="399"/>
      <c r="AT930" s="399"/>
      <c r="AU930" s="399" t="s">
        <v>6516</v>
      </c>
      <c r="AV930" s="399" t="str">
        <f t="shared" si="123"/>
        <v>Same</v>
      </c>
      <c r="AW930" s="399"/>
      <c r="AX930" s="409" t="s">
        <v>3104</v>
      </c>
      <c r="AY930" s="399" t="str">
        <f t="shared" si="147"/>
        <v/>
      </c>
      <c r="AZ930" s="409" t="s">
        <v>3105</v>
      </c>
      <c r="BA930" s="409">
        <v>0</v>
      </c>
      <c r="BB930" s="399"/>
      <c r="BC930" s="399"/>
      <c r="BD930" s="409" t="s">
        <v>9692</v>
      </c>
      <c r="BE930" s="411"/>
      <c r="BF930" s="411"/>
      <c r="BG930" s="411"/>
      <c r="BH930" s="411"/>
      <c r="BI930" s="411"/>
      <c r="BJ930" s="399" t="s">
        <v>3106</v>
      </c>
      <c r="BK930" s="409"/>
      <c r="BL930" s="409"/>
      <c r="BM930" s="409" t="s">
        <v>9693</v>
      </c>
      <c r="BN930" s="399"/>
      <c r="BO930" s="399"/>
      <c r="BP930" s="399" t="s">
        <v>6512</v>
      </c>
      <c r="BQ930" s="399" t="s">
        <v>6521</v>
      </c>
      <c r="BR930" s="399"/>
      <c r="BS930" s="407"/>
      <c r="BT930" s="407"/>
      <c r="BU930" s="412"/>
      <c r="BV930" s="46" t="str">
        <f t="shared" si="8"/>
        <v/>
      </c>
      <c r="BW930" s="46" t="str">
        <f t="shared" si="9"/>
        <v/>
      </c>
      <c r="BX930" s="46" t="str">
        <f t="shared" si="10"/>
        <v/>
      </c>
      <c r="BY930" s="43" t="str">
        <f t="shared" si="11"/>
        <v>WHO-Core Patient</v>
      </c>
      <c r="BZ930" s="46">
        <f t="shared" si="12"/>
        <v>1</v>
      </c>
      <c r="CA930" s="46">
        <f t="shared" si="13"/>
        <v>0</v>
      </c>
      <c r="CB930" s="46">
        <f t="shared" si="14"/>
        <v>1</v>
      </c>
      <c r="CC930" s="46">
        <f t="shared" si="15"/>
        <v>1</v>
      </c>
      <c r="CD930" s="46">
        <f t="shared" si="16"/>
        <v>1</v>
      </c>
      <c r="CE930" s="46">
        <f t="shared" si="17"/>
        <v>0</v>
      </c>
      <c r="CF930" s="46">
        <f t="shared" si="18"/>
        <v>0</v>
      </c>
      <c r="CG930" s="46" t="str">
        <f ca="1">IFERROR(__xludf.DUMMYFUNCTION("if(OR(BH930="""",LEFT(BH930,2)=""LA""),"""",IMPORTXML(CONCATENATE(""https://loinc.org/"",BH930,""/""),""//span[@id='lcn']""))"),"")</f>
        <v/>
      </c>
      <c r="CH930" s="46"/>
      <c r="CI930" s="46"/>
      <c r="CJ930" s="46"/>
      <c r="CK930" s="46"/>
      <c r="CL930" s="46"/>
      <c r="CM930" s="46"/>
      <c r="CN930" s="46"/>
      <c r="CO930" s="46"/>
      <c r="CP930" s="46"/>
      <c r="CQ930" s="46"/>
      <c r="CR930" s="46"/>
      <c r="CS930" s="46"/>
      <c r="CT930" s="46"/>
      <c r="CU930" s="46"/>
    </row>
    <row r="931" spans="1:99" ht="12.75" customHeight="1">
      <c r="A931" s="399">
        <v>1746</v>
      </c>
      <c r="B931" s="399" t="s">
        <v>6523</v>
      </c>
      <c r="C931" s="399">
        <f t="shared" si="117"/>
        <v>1746</v>
      </c>
      <c r="D931" s="399" t="str">
        <f t="shared" si="144"/>
        <v>Highest level of education achieved</v>
      </c>
      <c r="E931" s="399" t="str">
        <f t="shared" si="145"/>
        <v>Highest level of education achieved</v>
      </c>
      <c r="F931" s="399" t="str">
        <f t="shared" si="146"/>
        <v>Data Element</v>
      </c>
      <c r="G931" s="400">
        <f t="shared" si="129"/>
        <v>35</v>
      </c>
      <c r="H931" s="400" t="str">
        <f t="shared" si="133"/>
        <v/>
      </c>
      <c r="I931" s="400"/>
      <c r="J931" s="400"/>
      <c r="K931" s="402" t="s">
        <v>6392</v>
      </c>
      <c r="L931" s="402" t="s">
        <v>3093</v>
      </c>
      <c r="M931" s="400"/>
      <c r="N931" s="775" t="s">
        <v>3199</v>
      </c>
      <c r="O931" s="407"/>
      <c r="P931" s="529"/>
      <c r="Q931" s="776" t="s">
        <v>6523</v>
      </c>
      <c r="R931" s="776" t="s">
        <v>6524</v>
      </c>
      <c r="S931" s="776" t="s">
        <v>6525</v>
      </c>
      <c r="T931" s="776" t="s">
        <v>3121</v>
      </c>
      <c r="U931" s="776"/>
      <c r="V931" s="776" t="s">
        <v>6532</v>
      </c>
      <c r="W931" s="763"/>
      <c r="X931" s="763"/>
      <c r="Y931" s="529"/>
      <c r="Z931" s="763"/>
      <c r="AA931" s="763" t="s">
        <v>1889</v>
      </c>
      <c r="AB931" s="777"/>
      <c r="AC931" s="763"/>
      <c r="AD931" s="763"/>
      <c r="AE931" s="778"/>
      <c r="AF931" s="763"/>
      <c r="AG931" s="529"/>
      <c r="AH931" s="399"/>
      <c r="AI931" s="400"/>
      <c r="AJ931" s="399" t="s">
        <v>3218</v>
      </c>
      <c r="AK931" s="399" t="s">
        <v>6528</v>
      </c>
      <c r="AL931" s="409" t="s">
        <v>3328</v>
      </c>
      <c r="AM931" s="409" t="s">
        <v>3314</v>
      </c>
      <c r="AN931" s="409" t="s">
        <v>3101</v>
      </c>
      <c r="AO931" s="399"/>
      <c r="AP931" s="409" t="s">
        <v>3102</v>
      </c>
      <c r="AQ931" s="409" t="s">
        <v>3130</v>
      </c>
      <c r="AR931" s="399"/>
      <c r="AS931" s="399"/>
      <c r="AT931" s="399"/>
      <c r="AU931" s="399" t="s">
        <v>6523</v>
      </c>
      <c r="AV931" s="399" t="str">
        <f t="shared" si="123"/>
        <v>Same</v>
      </c>
      <c r="AW931" s="399"/>
      <c r="AX931" s="409" t="s">
        <v>3104</v>
      </c>
      <c r="AY931" s="399" t="str">
        <f t="shared" si="147"/>
        <v/>
      </c>
      <c r="AZ931" s="409" t="s">
        <v>3105</v>
      </c>
      <c r="BA931" s="409">
        <v>1</v>
      </c>
      <c r="BB931" s="399"/>
      <c r="BC931" s="399"/>
      <c r="BD931" s="409" t="s">
        <v>3162</v>
      </c>
      <c r="BE931" s="411"/>
      <c r="BF931" s="411"/>
      <c r="BG931" s="411"/>
      <c r="BH931" s="411"/>
      <c r="BI931" s="411"/>
      <c r="BJ931" s="399" t="s">
        <v>3106</v>
      </c>
      <c r="BK931" s="409"/>
      <c r="BL931" s="409"/>
      <c r="BM931" s="409" t="s">
        <v>9694</v>
      </c>
      <c r="BN931" s="399"/>
      <c r="BO931" s="399"/>
      <c r="BP931" s="399"/>
      <c r="BQ931" s="399"/>
      <c r="BR931" s="399"/>
      <c r="BS931" s="407"/>
      <c r="BT931" s="407"/>
      <c r="BU931" s="412"/>
      <c r="BV931" s="46" t="str">
        <f t="shared" si="8"/>
        <v>Patient</v>
      </c>
      <c r="BW931" s="46" t="str">
        <f t="shared" si="9"/>
        <v/>
      </c>
      <c r="BX931" s="46" t="str">
        <f t="shared" si="10"/>
        <v>Patient</v>
      </c>
      <c r="BY931" s="43" t="str">
        <f t="shared" si="11"/>
        <v>WHO-Core Patient</v>
      </c>
      <c r="BZ931" s="46">
        <f t="shared" si="12"/>
        <v>1</v>
      </c>
      <c r="CA931" s="46">
        <f t="shared" si="13"/>
        <v>1</v>
      </c>
      <c r="CB931" s="46">
        <f t="shared" si="14"/>
        <v>0</v>
      </c>
      <c r="CC931" s="46">
        <f t="shared" si="15"/>
        <v>0</v>
      </c>
      <c r="CD931" s="46">
        <f t="shared" si="16"/>
        <v>0</v>
      </c>
      <c r="CE931" s="46">
        <f t="shared" si="17"/>
        <v>0</v>
      </c>
      <c r="CF931" s="46">
        <f t="shared" si="18"/>
        <v>1</v>
      </c>
      <c r="CG931" s="46" t="str">
        <f ca="1">IFERROR(__xludf.DUMMYFUNCTION("if(OR(BH931="""",LEFT(BH931,2)=""LA""),"""",IMPORTXML(CONCATENATE(""https://loinc.org/"",BH931,""/""),""//span[@id='lcn']""))"),"")</f>
        <v/>
      </c>
      <c r="CH931" s="46"/>
      <c r="CI931" s="46"/>
      <c r="CJ931" s="46"/>
      <c r="CK931" s="46"/>
      <c r="CL931" s="46"/>
      <c r="CM931" s="46"/>
      <c r="CN931" s="46"/>
      <c r="CO931" s="46"/>
      <c r="CP931" s="46"/>
      <c r="CQ931" s="46"/>
      <c r="CR931" s="46"/>
      <c r="CS931" s="46"/>
      <c r="CT931" s="46"/>
      <c r="CU931" s="46"/>
    </row>
    <row r="932" spans="1:99" ht="12.75" customHeight="1">
      <c r="A932" s="399">
        <v>1747</v>
      </c>
      <c r="B932" s="399" t="s">
        <v>6537</v>
      </c>
      <c r="C932" s="399">
        <f t="shared" si="117"/>
        <v>1747</v>
      </c>
      <c r="D932" s="399" t="e">
        <f t="shared" ca="1" si="144"/>
        <v>#NAME?</v>
      </c>
      <c r="E932" s="399" t="str">
        <f t="shared" si="145"/>
        <v>High School</v>
      </c>
      <c r="F932" s="399" t="str">
        <f t="shared" si="146"/>
        <v>Input Option</v>
      </c>
      <c r="G932" s="400">
        <f t="shared" si="129"/>
        <v>18</v>
      </c>
      <c r="H932" s="399" t="str">
        <f t="shared" si="133"/>
        <v>Highest level of education achieved</v>
      </c>
      <c r="I932" s="400"/>
      <c r="J932" s="400"/>
      <c r="K932" s="402" t="s">
        <v>6392</v>
      </c>
      <c r="L932" s="402" t="s">
        <v>3093</v>
      </c>
      <c r="M932" s="400"/>
      <c r="N932" s="775" t="s">
        <v>3199</v>
      </c>
      <c r="O932" s="407"/>
      <c r="P932" s="529"/>
      <c r="Q932" s="776"/>
      <c r="R932" s="776"/>
      <c r="S932" s="763"/>
      <c r="T932" s="776"/>
      <c r="U932" s="776"/>
      <c r="V932" s="776" t="s">
        <v>6540</v>
      </c>
      <c r="W932" s="763"/>
      <c r="X932" s="763"/>
      <c r="Y932" s="529"/>
      <c r="Z932" s="763"/>
      <c r="AA932" s="763"/>
      <c r="AB932" s="777"/>
      <c r="AC932" s="763"/>
      <c r="AD932" s="763"/>
      <c r="AE932" s="778"/>
      <c r="AF932" s="763"/>
      <c r="AG932" s="529"/>
      <c r="AH932" s="399"/>
      <c r="AI932" s="400"/>
      <c r="AJ932" s="399"/>
      <c r="AK932" s="399"/>
      <c r="AL932" s="399" t="s">
        <v>3218</v>
      </c>
      <c r="AM932" s="399"/>
      <c r="AN932" s="399"/>
      <c r="AO932" s="399"/>
      <c r="AP932" s="399"/>
      <c r="AQ932" s="409" t="s">
        <v>115</v>
      </c>
      <c r="AR932" s="399"/>
      <c r="AS932" s="399"/>
      <c r="AT932" s="399"/>
      <c r="AU932" s="399" t="s">
        <v>6537</v>
      </c>
      <c r="AV932" s="399" t="str">
        <f t="shared" si="123"/>
        <v>Same</v>
      </c>
      <c r="AW932" s="399"/>
      <c r="AX932" s="409" t="s">
        <v>3104</v>
      </c>
      <c r="AY932" s="399" t="e">
        <f t="shared" ca="1" si="147"/>
        <v>#NAME?</v>
      </c>
      <c r="AZ932" s="409" t="s">
        <v>3105</v>
      </c>
      <c r="BA932" s="409">
        <v>1</v>
      </c>
      <c r="BB932" s="399" t="s">
        <v>6533</v>
      </c>
      <c r="BC932" s="399" t="s">
        <v>6545</v>
      </c>
      <c r="BD932" s="409" t="s">
        <v>3162</v>
      </c>
      <c r="BE932" s="411"/>
      <c r="BF932" s="411"/>
      <c r="BG932" s="411"/>
      <c r="BH932" s="411"/>
      <c r="BI932" s="411"/>
      <c r="BJ932" s="399"/>
      <c r="BK932" s="409"/>
      <c r="BL932" s="409"/>
      <c r="BM932" s="409" t="s">
        <v>9695</v>
      </c>
      <c r="BN932" s="399"/>
      <c r="BO932" s="399"/>
      <c r="BP932" s="399"/>
      <c r="BQ932" s="399"/>
      <c r="BR932" s="399"/>
      <c r="BS932" s="407"/>
      <c r="BT932" s="407"/>
      <c r="BU932" s="412"/>
      <c r="BV932" s="46" t="str">
        <f t="shared" si="8"/>
        <v/>
      </c>
      <c r="BW932" s="46">
        <f t="shared" si="9"/>
        <v>0</v>
      </c>
      <c r="BX932" s="46">
        <f t="shared" si="10"/>
        <v>0</v>
      </c>
      <c r="BY932" s="43" t="str">
        <f t="shared" si="11"/>
        <v>WHO-Core Patient</v>
      </c>
      <c r="BZ932" s="46">
        <f t="shared" si="12"/>
        <v>1</v>
      </c>
      <c r="CA932" s="46" t="str">
        <f t="shared" si="13"/>
        <v/>
      </c>
      <c r="CB932" s="46">
        <f t="shared" si="14"/>
        <v>1</v>
      </c>
      <c r="CC932" s="46">
        <f t="shared" si="15"/>
        <v>1</v>
      </c>
      <c r="CD932" s="46">
        <f t="shared" si="16"/>
        <v>1</v>
      </c>
      <c r="CE932" s="46">
        <f t="shared" si="17"/>
        <v>0</v>
      </c>
      <c r="CF932" s="46">
        <f t="shared" si="18"/>
        <v>0</v>
      </c>
      <c r="CG932" s="46" t="str">
        <f ca="1">IFERROR(__xludf.DUMMYFUNCTION("if(OR(BH932="""",LEFT(BH932,2)=""LA""),"""",IMPORTXML(CONCATENATE(""https://loinc.org/"",BH932,""/""),""//span[@id='lcn']""))"),"")</f>
        <v/>
      </c>
      <c r="CH932" s="46"/>
      <c r="CI932" s="46"/>
      <c r="CJ932" s="46"/>
      <c r="CK932" s="46"/>
      <c r="CL932" s="46"/>
      <c r="CM932" s="46"/>
      <c r="CN932" s="46"/>
      <c r="CO932" s="46"/>
      <c r="CP932" s="46"/>
      <c r="CQ932" s="46"/>
      <c r="CR932" s="46"/>
      <c r="CS932" s="46"/>
      <c r="CT932" s="46"/>
      <c r="CU932" s="46"/>
    </row>
    <row r="933" spans="1:99" ht="12.75" customHeight="1">
      <c r="A933" s="399">
        <v>1748</v>
      </c>
      <c r="B933" s="399" t="s">
        <v>6547</v>
      </c>
      <c r="C933" s="399">
        <f t="shared" si="117"/>
        <v>1748</v>
      </c>
      <c r="D933" s="399" t="e">
        <f t="shared" ca="1" si="144"/>
        <v>#NAME?</v>
      </c>
      <c r="E933" s="399" t="str">
        <f t="shared" si="145"/>
        <v>Elementary education</v>
      </c>
      <c r="F933" s="399" t="str">
        <f t="shared" si="146"/>
        <v>Input Option</v>
      </c>
      <c r="G933" s="400">
        <f t="shared" si="129"/>
        <v>27</v>
      </c>
      <c r="H933" s="399" t="str">
        <f t="shared" si="133"/>
        <v>Highest level of education achieved</v>
      </c>
      <c r="I933" s="400"/>
      <c r="J933" s="400"/>
      <c r="K933" s="402" t="s">
        <v>6392</v>
      </c>
      <c r="L933" s="402" t="s">
        <v>3093</v>
      </c>
      <c r="M933" s="400"/>
      <c r="N933" s="775" t="s">
        <v>3199</v>
      </c>
      <c r="O933" s="407"/>
      <c r="P933" s="529"/>
      <c r="Q933" s="776"/>
      <c r="R933" s="776"/>
      <c r="S933" s="763"/>
      <c r="T933" s="776"/>
      <c r="U933" s="763"/>
      <c r="V933" s="763" t="s">
        <v>6551</v>
      </c>
      <c r="W933" s="763"/>
      <c r="X933" s="763"/>
      <c r="Y933" s="529"/>
      <c r="Z933" s="763"/>
      <c r="AA933" s="763"/>
      <c r="AB933" s="777"/>
      <c r="AC933" s="763"/>
      <c r="AD933" s="763"/>
      <c r="AE933" s="778"/>
      <c r="AF933" s="763"/>
      <c r="AG933" s="529"/>
      <c r="AH933" s="399"/>
      <c r="AI933" s="400"/>
      <c r="AJ933" s="399"/>
      <c r="AK933" s="399"/>
      <c r="AL933" s="399" t="s">
        <v>3218</v>
      </c>
      <c r="AM933" s="399"/>
      <c r="AN933" s="399"/>
      <c r="AO933" s="399"/>
      <c r="AP933" s="399"/>
      <c r="AQ933" s="409" t="s">
        <v>115</v>
      </c>
      <c r="AR933" s="399"/>
      <c r="AS933" s="399"/>
      <c r="AT933" s="399"/>
      <c r="AU933" s="399" t="s">
        <v>6547</v>
      </c>
      <c r="AV933" s="399" t="str">
        <f t="shared" si="123"/>
        <v>Same</v>
      </c>
      <c r="AW933" s="399"/>
      <c r="AX933" s="409" t="s">
        <v>3104</v>
      </c>
      <c r="AY933" s="399" t="e">
        <f t="shared" ca="1" si="147"/>
        <v>#NAME?</v>
      </c>
      <c r="AZ933" s="409" t="s">
        <v>3105</v>
      </c>
      <c r="BA933" s="409">
        <v>1</v>
      </c>
      <c r="BB933" s="399" t="s">
        <v>6533</v>
      </c>
      <c r="BC933" s="399" t="s">
        <v>6552</v>
      </c>
      <c r="BD933" s="409" t="s">
        <v>3162</v>
      </c>
      <c r="BE933" s="411"/>
      <c r="BF933" s="411"/>
      <c r="BG933" s="411"/>
      <c r="BH933" s="411"/>
      <c r="BI933" s="411"/>
      <c r="BJ933" s="399"/>
      <c r="BK933" s="409"/>
      <c r="BL933" s="409"/>
      <c r="BM933" s="409" t="s">
        <v>9696</v>
      </c>
      <c r="BN933" s="399"/>
      <c r="BO933" s="399"/>
      <c r="BP933" s="399"/>
      <c r="BQ933" s="399"/>
      <c r="BR933" s="399"/>
      <c r="BS933" s="407"/>
      <c r="BT933" s="407"/>
      <c r="BU933" s="412"/>
      <c r="BV933" s="46" t="str">
        <f t="shared" si="8"/>
        <v/>
      </c>
      <c r="BW933" s="46">
        <f t="shared" si="9"/>
        <v>0</v>
      </c>
      <c r="BX933" s="46">
        <f t="shared" si="10"/>
        <v>0</v>
      </c>
      <c r="BY933" s="43" t="str">
        <f t="shared" si="11"/>
        <v>WHO-Core Patient</v>
      </c>
      <c r="BZ933" s="46">
        <f t="shared" si="12"/>
        <v>1</v>
      </c>
      <c r="CA933" s="46" t="str">
        <f t="shared" si="13"/>
        <v/>
      </c>
      <c r="CB933" s="46">
        <f t="shared" si="14"/>
        <v>1</v>
      </c>
      <c r="CC933" s="46">
        <f t="shared" si="15"/>
        <v>1</v>
      </c>
      <c r="CD933" s="46">
        <f t="shared" si="16"/>
        <v>1</v>
      </c>
      <c r="CE933" s="46">
        <f t="shared" si="17"/>
        <v>0</v>
      </c>
      <c r="CF933" s="46">
        <f t="shared" si="18"/>
        <v>0</v>
      </c>
      <c r="CG933" s="46" t="str">
        <f ca="1">IFERROR(__xludf.DUMMYFUNCTION("if(OR(BH933="""",LEFT(BH933,2)=""LA""),"""",IMPORTXML(CONCATENATE(""https://loinc.org/"",BH933,""/""),""//span[@id='lcn']""))"),"")</f>
        <v/>
      </c>
      <c r="CH933" s="46"/>
      <c r="CI933" s="46"/>
      <c r="CJ933" s="46"/>
      <c r="CK933" s="46"/>
      <c r="CL933" s="46"/>
      <c r="CM933" s="46"/>
      <c r="CN933" s="46"/>
      <c r="CO933" s="46"/>
      <c r="CP933" s="46"/>
      <c r="CQ933" s="46"/>
      <c r="CR933" s="46"/>
      <c r="CS933" s="46"/>
      <c r="CT933" s="46"/>
      <c r="CU933" s="46"/>
    </row>
    <row r="934" spans="1:99" ht="12.75" customHeight="1">
      <c r="A934" s="399">
        <v>1749</v>
      </c>
      <c r="B934" s="399" t="s">
        <v>6554</v>
      </c>
      <c r="C934" s="399">
        <f t="shared" si="117"/>
        <v>1749</v>
      </c>
      <c r="D934" s="399" t="e">
        <f t="shared" ca="1" si="144"/>
        <v>#NAME?</v>
      </c>
      <c r="E934" s="399" t="str">
        <f t="shared" si="145"/>
        <v>No education</v>
      </c>
      <c r="F934" s="399" t="str">
        <f t="shared" si="146"/>
        <v>Input Option</v>
      </c>
      <c r="G934" s="400">
        <f t="shared" si="129"/>
        <v>19</v>
      </c>
      <c r="H934" s="399" t="str">
        <f t="shared" si="133"/>
        <v>Highest level of education achieved</v>
      </c>
      <c r="I934" s="400"/>
      <c r="J934" s="400"/>
      <c r="K934" s="402" t="s">
        <v>6392</v>
      </c>
      <c r="L934" s="402" t="s">
        <v>3093</v>
      </c>
      <c r="M934" s="400"/>
      <c r="N934" s="775" t="s">
        <v>3199</v>
      </c>
      <c r="O934" s="407"/>
      <c r="P934" s="529"/>
      <c r="Q934" s="776"/>
      <c r="R934" s="776"/>
      <c r="S934" s="763"/>
      <c r="T934" s="776"/>
      <c r="U934" s="763"/>
      <c r="V934" s="763" t="s">
        <v>6557</v>
      </c>
      <c r="W934" s="763"/>
      <c r="X934" s="763"/>
      <c r="Y934" s="529"/>
      <c r="Z934" s="763"/>
      <c r="AA934" s="763"/>
      <c r="AB934" s="777"/>
      <c r="AC934" s="763"/>
      <c r="AD934" s="763"/>
      <c r="AE934" s="778"/>
      <c r="AF934" s="763"/>
      <c r="AG934" s="529"/>
      <c r="AH934" s="399"/>
      <c r="AI934" s="400"/>
      <c r="AJ934" s="399"/>
      <c r="AK934" s="399"/>
      <c r="AL934" s="399" t="s">
        <v>3218</v>
      </c>
      <c r="AM934" s="399"/>
      <c r="AN934" s="399"/>
      <c r="AO934" s="399"/>
      <c r="AP934" s="399"/>
      <c r="AQ934" s="409" t="s">
        <v>3424</v>
      </c>
      <c r="AR934" s="399"/>
      <c r="AS934" s="399"/>
      <c r="AT934" s="399"/>
      <c r="AU934" s="399" t="s">
        <v>6554</v>
      </c>
      <c r="AV934" s="399" t="str">
        <f t="shared" si="123"/>
        <v>Same</v>
      </c>
      <c r="AW934" s="399"/>
      <c r="AX934" s="409" t="s">
        <v>3104</v>
      </c>
      <c r="AY934" s="399" t="e">
        <f t="shared" ca="1" si="147"/>
        <v>#NAME?</v>
      </c>
      <c r="AZ934" s="409" t="s">
        <v>3105</v>
      </c>
      <c r="BA934" s="409">
        <v>1</v>
      </c>
      <c r="BB934" s="415" t="s">
        <v>3131</v>
      </c>
      <c r="BC934" s="409" t="s">
        <v>9697</v>
      </c>
      <c r="BD934" s="409" t="s">
        <v>3162</v>
      </c>
      <c r="BE934" s="411"/>
      <c r="BF934" s="411"/>
      <c r="BG934" s="411"/>
      <c r="BH934" s="411"/>
      <c r="BI934" s="411"/>
      <c r="BJ934" s="399" t="s">
        <v>3133</v>
      </c>
      <c r="BK934" s="409"/>
      <c r="BL934" s="409"/>
      <c r="BM934" s="409" t="s">
        <v>9698</v>
      </c>
      <c r="BN934" s="399"/>
      <c r="BO934" s="399"/>
      <c r="BP934" s="399"/>
      <c r="BQ934" s="399"/>
      <c r="BR934" s="399"/>
      <c r="BS934" s="407"/>
      <c r="BT934" s="407"/>
      <c r="BU934" s="412"/>
      <c r="BV934" s="46" t="str">
        <f t="shared" si="8"/>
        <v/>
      </c>
      <c r="BW934" s="46">
        <f t="shared" si="9"/>
        <v>0</v>
      </c>
      <c r="BX934" s="46">
        <f t="shared" si="10"/>
        <v>0</v>
      </c>
      <c r="BY934" s="43" t="str">
        <f t="shared" si="11"/>
        <v>WHO-Core Patient</v>
      </c>
      <c r="BZ934" s="46">
        <f t="shared" si="12"/>
        <v>1</v>
      </c>
      <c r="CA934" s="46" t="str">
        <f t="shared" si="13"/>
        <v/>
      </c>
      <c r="CB934" s="46">
        <f t="shared" si="14"/>
        <v>1</v>
      </c>
      <c r="CC934" s="46">
        <f t="shared" si="15"/>
        <v>1</v>
      </c>
      <c r="CD934" s="46">
        <f t="shared" si="16"/>
        <v>1</v>
      </c>
      <c r="CE934" s="46">
        <f t="shared" si="17"/>
        <v>0</v>
      </c>
      <c r="CF934" s="46">
        <f t="shared" si="18"/>
        <v>0</v>
      </c>
      <c r="CG934" s="46" t="str">
        <f ca="1">IFERROR(__xludf.DUMMYFUNCTION("if(OR(BH934="""",LEFT(BH934,2)=""LA""),"""",IMPORTXML(CONCATENATE(""https://loinc.org/"",BH934,""/""),""//span[@id='lcn']""))"),"")</f>
        <v/>
      </c>
      <c r="CH934" s="46"/>
      <c r="CI934" s="46"/>
      <c r="CJ934" s="46"/>
      <c r="CK934" s="46"/>
      <c r="CL934" s="46"/>
      <c r="CM934" s="46"/>
      <c r="CN934" s="46"/>
      <c r="CO934" s="46"/>
      <c r="CP934" s="46"/>
      <c r="CQ934" s="46"/>
      <c r="CR934" s="46"/>
      <c r="CS934" s="46"/>
      <c r="CT934" s="46"/>
      <c r="CU934" s="46"/>
    </row>
    <row r="935" spans="1:99" ht="12.75" customHeight="1">
      <c r="A935" s="399">
        <v>1750</v>
      </c>
      <c r="B935" s="399" t="s">
        <v>516</v>
      </c>
      <c r="C935" s="399">
        <f t="shared" si="117"/>
        <v>1750</v>
      </c>
      <c r="D935" s="399" t="str">
        <f t="shared" si="144"/>
        <v>Occupation</v>
      </c>
      <c r="E935" s="399" t="str">
        <f t="shared" si="145"/>
        <v>Occupation</v>
      </c>
      <c r="F935" s="399" t="str">
        <f t="shared" si="146"/>
        <v>Data Element</v>
      </c>
      <c r="G935" s="400">
        <f t="shared" si="129"/>
        <v>10</v>
      </c>
      <c r="H935" s="400" t="str">
        <f t="shared" si="133"/>
        <v/>
      </c>
      <c r="I935" s="400"/>
      <c r="J935" s="400"/>
      <c r="K935" s="402" t="s">
        <v>6392</v>
      </c>
      <c r="L935" s="402" t="s">
        <v>3093</v>
      </c>
      <c r="M935" s="400"/>
      <c r="N935" s="775" t="s">
        <v>3199</v>
      </c>
      <c r="O935" s="407"/>
      <c r="P935" s="529"/>
      <c r="Q935" s="776" t="s">
        <v>516</v>
      </c>
      <c r="R935" s="776" t="s">
        <v>6560</v>
      </c>
      <c r="S935" s="763"/>
      <c r="T935" s="776" t="s">
        <v>3121</v>
      </c>
      <c r="U935" s="776"/>
      <c r="V935" s="776" t="s">
        <v>522</v>
      </c>
      <c r="W935" s="763"/>
      <c r="X935" s="763"/>
      <c r="Y935" s="529"/>
      <c r="Z935" s="763"/>
      <c r="AA935" s="763" t="s">
        <v>1889</v>
      </c>
      <c r="AB935" s="777"/>
      <c r="AC935" s="763"/>
      <c r="AD935" s="763"/>
      <c r="AE935" s="778"/>
      <c r="AF935" s="763"/>
      <c r="AG935" s="529"/>
      <c r="AH935" s="399"/>
      <c r="AI935" s="400"/>
      <c r="AJ935" s="399"/>
      <c r="AK935" s="784" t="s">
        <v>6823</v>
      </c>
      <c r="AL935" s="409" t="s">
        <v>3328</v>
      </c>
      <c r="AM935" s="785" t="s">
        <v>155</v>
      </c>
      <c r="AN935" s="409" t="s">
        <v>3101</v>
      </c>
      <c r="AO935" s="399"/>
      <c r="AP935" s="409" t="s">
        <v>3102</v>
      </c>
      <c r="AQ935" s="409" t="s">
        <v>3130</v>
      </c>
      <c r="AR935" s="399"/>
      <c r="AS935" s="409" t="s">
        <v>3413</v>
      </c>
      <c r="AT935" s="399"/>
      <c r="AU935" s="399" t="s">
        <v>516</v>
      </c>
      <c r="AV935" s="399" t="str">
        <f t="shared" si="123"/>
        <v>Same</v>
      </c>
      <c r="AW935" s="399"/>
      <c r="AX935" s="409" t="s">
        <v>3104</v>
      </c>
      <c r="AY935" s="399" t="str">
        <f t="shared" si="147"/>
        <v/>
      </c>
      <c r="AZ935" s="409" t="s">
        <v>3105</v>
      </c>
      <c r="BA935" s="409">
        <v>1</v>
      </c>
      <c r="BB935" s="399"/>
      <c r="BC935" s="399"/>
      <c r="BD935" s="409" t="s">
        <v>3162</v>
      </c>
      <c r="BE935" s="411"/>
      <c r="BF935" s="411"/>
      <c r="BG935" s="434" t="s">
        <v>9699</v>
      </c>
      <c r="BH935" s="411"/>
      <c r="BI935" s="411"/>
      <c r="BJ935" s="399"/>
      <c r="BK935" s="409"/>
      <c r="BL935" s="409"/>
      <c r="BM935" s="409" t="s">
        <v>9700</v>
      </c>
      <c r="BN935" s="399"/>
      <c r="BO935" s="399"/>
      <c r="BP935" s="399"/>
      <c r="BQ935" s="399"/>
      <c r="BR935" s="399"/>
      <c r="BS935" s="407"/>
      <c r="BT935" s="407"/>
      <c r="BU935" s="412"/>
      <c r="BV935" s="46" t="str">
        <f t="shared" si="8"/>
        <v>Patient</v>
      </c>
      <c r="BW935" s="46" t="str">
        <f t="shared" si="9"/>
        <v/>
      </c>
      <c r="BX935" s="46" t="str">
        <f t="shared" si="10"/>
        <v>Patient</v>
      </c>
      <c r="BY935" s="43" t="str">
        <f t="shared" si="11"/>
        <v>WHO-Core Patient</v>
      </c>
      <c r="BZ935" s="46">
        <f t="shared" si="12"/>
        <v>1</v>
      </c>
      <c r="CA935" s="46">
        <f t="shared" si="13"/>
        <v>1</v>
      </c>
      <c r="CB935" s="46">
        <f t="shared" si="14"/>
        <v>0</v>
      </c>
      <c r="CC935" s="46">
        <f t="shared" si="15"/>
        <v>0</v>
      </c>
      <c r="CD935" s="46">
        <f t="shared" si="16"/>
        <v>0</v>
      </c>
      <c r="CE935" s="46">
        <f t="shared" si="17"/>
        <v>0</v>
      </c>
      <c r="CF935" s="46">
        <f t="shared" si="18"/>
        <v>1</v>
      </c>
      <c r="CG935" s="46" t="str">
        <f ca="1">IFERROR(__xludf.DUMMYFUNCTION("if(OR(BH935="""",LEFT(BH935,2)=""LA""),"""",IMPORTXML(CONCATENATE(""https://loinc.org/"",BH935,""/""),""//span[@id='lcn']""))"),"")</f>
        <v/>
      </c>
      <c r="CH935" s="46"/>
      <c r="CI935" s="46"/>
      <c r="CJ935" s="46"/>
      <c r="CK935" s="46"/>
      <c r="CL935" s="46"/>
      <c r="CM935" s="46"/>
      <c r="CN935" s="46"/>
      <c r="CO935" s="46"/>
      <c r="CP935" s="46"/>
      <c r="CQ935" s="46"/>
      <c r="CR935" s="46"/>
      <c r="CS935" s="46"/>
      <c r="CT935" s="46"/>
      <c r="CU935" s="46"/>
    </row>
    <row r="936" spans="1:99" ht="12.75" customHeight="1">
      <c r="A936" s="399">
        <v>1751</v>
      </c>
      <c r="B936" s="399" t="s">
        <v>738</v>
      </c>
      <c r="C936" s="399">
        <f t="shared" si="117"/>
        <v>1751</v>
      </c>
      <c r="D936" s="399" t="e">
        <f t="shared" ca="1" si="144"/>
        <v>#NAME?</v>
      </c>
      <c r="E936" s="399" t="str">
        <f t="shared" si="145"/>
        <v>Unemployed</v>
      </c>
      <c r="F936" s="399" t="str">
        <f t="shared" si="146"/>
        <v>Input Option</v>
      </c>
      <c r="G936" s="400">
        <f t="shared" si="129"/>
        <v>17</v>
      </c>
      <c r="H936" s="399" t="str">
        <f t="shared" si="133"/>
        <v>Occupation</v>
      </c>
      <c r="I936" s="400"/>
      <c r="J936" s="400"/>
      <c r="K936" s="402" t="s">
        <v>6392</v>
      </c>
      <c r="L936" s="402" t="s">
        <v>3093</v>
      </c>
      <c r="M936" s="400"/>
      <c r="N936" s="775" t="s">
        <v>3199</v>
      </c>
      <c r="O936" s="407"/>
      <c r="P936" s="529"/>
      <c r="Q936" s="776"/>
      <c r="R936" s="776"/>
      <c r="S936" s="763"/>
      <c r="T936" s="776"/>
      <c r="U936" s="776"/>
      <c r="V936" s="776" t="s">
        <v>526</v>
      </c>
      <c r="W936" s="763"/>
      <c r="X936" s="763"/>
      <c r="Y936" s="529"/>
      <c r="Z936" s="763"/>
      <c r="AA936" s="763"/>
      <c r="AB936" s="777"/>
      <c r="AC936" s="763"/>
      <c r="AD936" s="763"/>
      <c r="AE936" s="778"/>
      <c r="AF936" s="763"/>
      <c r="AG936" s="529"/>
      <c r="AH936" s="399"/>
      <c r="AI936" s="400"/>
      <c r="AJ936" s="399"/>
      <c r="AK936" s="399"/>
      <c r="AL936" s="399"/>
      <c r="AM936" s="399"/>
      <c r="AN936" s="399"/>
      <c r="AO936" s="399"/>
      <c r="AP936" s="399"/>
      <c r="AQ936" s="409" t="s">
        <v>3130</v>
      </c>
      <c r="AR936" s="399"/>
      <c r="AS936" s="399"/>
      <c r="AT936" s="399"/>
      <c r="AU936" s="399" t="s">
        <v>738</v>
      </c>
      <c r="AV936" s="399" t="str">
        <f t="shared" si="123"/>
        <v>Same</v>
      </c>
      <c r="AW936" s="399"/>
      <c r="AX936" s="409" t="s">
        <v>3104</v>
      </c>
      <c r="AY936" s="399" t="e">
        <f t="shared" ca="1" si="147"/>
        <v>#NAME?</v>
      </c>
      <c r="AZ936" s="409" t="s">
        <v>3105</v>
      </c>
      <c r="BA936" s="409">
        <v>1</v>
      </c>
      <c r="BB936" s="399"/>
      <c r="BC936" s="409"/>
      <c r="BD936" s="409" t="s">
        <v>3162</v>
      </c>
      <c r="BE936" s="411"/>
      <c r="BF936" s="411"/>
      <c r="BG936" s="434" t="s">
        <v>9701</v>
      </c>
      <c r="BH936" s="411"/>
      <c r="BI936" s="411"/>
      <c r="BJ936" s="399"/>
      <c r="BK936" s="409"/>
      <c r="BL936" s="409"/>
      <c r="BM936" s="399"/>
      <c r="BN936" s="399"/>
      <c r="BO936" s="399"/>
      <c r="BP936" s="399"/>
      <c r="BQ936" s="399"/>
      <c r="BR936" s="399"/>
      <c r="BS936" s="407"/>
      <c r="BT936" s="407"/>
      <c r="BU936" s="412"/>
      <c r="BV936" s="46" t="str">
        <f t="shared" si="8"/>
        <v/>
      </c>
      <c r="BW936" s="46">
        <f t="shared" si="9"/>
        <v>0</v>
      </c>
      <c r="BX936" s="46">
        <f t="shared" si="10"/>
        <v>0</v>
      </c>
      <c r="BY936" s="43" t="str">
        <f t="shared" si="11"/>
        <v>WHO-Core Patient</v>
      </c>
      <c r="BZ936" s="46">
        <f t="shared" si="12"/>
        <v>1</v>
      </c>
      <c r="CA936" s="46" t="str">
        <f t="shared" si="13"/>
        <v/>
      </c>
      <c r="CB936" s="46">
        <f t="shared" si="14"/>
        <v>1</v>
      </c>
      <c r="CC936" s="46">
        <f t="shared" si="15"/>
        <v>1</v>
      </c>
      <c r="CD936" s="46">
        <f t="shared" si="16"/>
        <v>1</v>
      </c>
      <c r="CE936" s="46">
        <f t="shared" si="17"/>
        <v>0</v>
      </c>
      <c r="CF936" s="46">
        <f t="shared" si="18"/>
        <v>0</v>
      </c>
      <c r="CG936" s="46" t="str">
        <f ca="1">IFERROR(__xludf.DUMMYFUNCTION("if(OR(BH936="""",LEFT(BH936,2)=""LA""),"""",IMPORTXML(CONCATENATE(""https://loinc.org/"",BH936,""/""),""//span[@id='lcn']""))"),"")</f>
        <v/>
      </c>
      <c r="CH936" s="46"/>
      <c r="CI936" s="46"/>
      <c r="CJ936" s="46"/>
      <c r="CK936" s="46"/>
      <c r="CL936" s="46"/>
      <c r="CM936" s="46"/>
      <c r="CN936" s="46"/>
      <c r="CO936" s="46"/>
      <c r="CP936" s="46"/>
      <c r="CQ936" s="46"/>
      <c r="CR936" s="46"/>
      <c r="CS936" s="46"/>
      <c r="CT936" s="46"/>
      <c r="CU936" s="46"/>
    </row>
    <row r="937" spans="1:99" ht="12.75" customHeight="1">
      <c r="A937" s="399">
        <v>1752</v>
      </c>
      <c r="B937" s="399" t="s">
        <v>744</v>
      </c>
      <c r="C937" s="399">
        <f t="shared" si="117"/>
        <v>1752</v>
      </c>
      <c r="D937" s="399" t="e">
        <f t="shared" ca="1" si="144"/>
        <v>#NAME?</v>
      </c>
      <c r="E937" s="399" t="str">
        <f t="shared" si="145"/>
        <v>Formal employment</v>
      </c>
      <c r="F937" s="399" t="str">
        <f t="shared" si="146"/>
        <v>Input Option</v>
      </c>
      <c r="G937" s="400">
        <f t="shared" si="129"/>
        <v>24</v>
      </c>
      <c r="H937" s="399" t="str">
        <f t="shared" si="133"/>
        <v>Occupation</v>
      </c>
      <c r="I937" s="400"/>
      <c r="J937" s="400"/>
      <c r="K937" s="402" t="s">
        <v>6392</v>
      </c>
      <c r="L937" s="402" t="s">
        <v>3093</v>
      </c>
      <c r="M937" s="400"/>
      <c r="N937" s="775" t="s">
        <v>3199</v>
      </c>
      <c r="O937" s="407"/>
      <c r="P937" s="529"/>
      <c r="Q937" s="776"/>
      <c r="R937" s="776"/>
      <c r="S937" s="763"/>
      <c r="T937" s="776"/>
      <c r="U937" s="776"/>
      <c r="V937" s="776" t="s">
        <v>530</v>
      </c>
      <c r="W937" s="763"/>
      <c r="X937" s="763"/>
      <c r="Y937" s="529"/>
      <c r="Z937" s="763"/>
      <c r="AA937" s="763"/>
      <c r="AB937" s="777"/>
      <c r="AC937" s="763"/>
      <c r="AD937" s="763"/>
      <c r="AE937" s="778"/>
      <c r="AF937" s="763"/>
      <c r="AG937" s="529"/>
      <c r="AH937" s="399"/>
      <c r="AI937" s="400"/>
      <c r="AJ937" s="399"/>
      <c r="AK937" s="399"/>
      <c r="AL937" s="399"/>
      <c r="AM937" s="399"/>
      <c r="AN937" s="399"/>
      <c r="AO937" s="399"/>
      <c r="AP937" s="399"/>
      <c r="AQ937" s="409" t="s">
        <v>3130</v>
      </c>
      <c r="AR937" s="399"/>
      <c r="AS937" s="399"/>
      <c r="AT937" s="399"/>
      <c r="AU937" s="399" t="s">
        <v>744</v>
      </c>
      <c r="AV937" s="399" t="str">
        <f t="shared" si="123"/>
        <v>Same</v>
      </c>
      <c r="AW937" s="399"/>
      <c r="AX937" s="409" t="s">
        <v>3104</v>
      </c>
      <c r="AY937" s="399" t="e">
        <f t="shared" ca="1" si="147"/>
        <v>#NAME?</v>
      </c>
      <c r="AZ937" s="409" t="s">
        <v>3105</v>
      </c>
      <c r="BA937" s="409">
        <v>1</v>
      </c>
      <c r="BB937" s="399"/>
      <c r="BC937" s="409"/>
      <c r="BD937" s="409" t="s">
        <v>3162</v>
      </c>
      <c r="BE937" s="411"/>
      <c r="BF937" s="411"/>
      <c r="BG937" s="434" t="s">
        <v>9702</v>
      </c>
      <c r="BH937" s="411"/>
      <c r="BI937" s="411"/>
      <c r="BJ937" s="399"/>
      <c r="BK937" s="409"/>
      <c r="BL937" s="409"/>
      <c r="BM937" s="399"/>
      <c r="BN937" s="399"/>
      <c r="BO937" s="399"/>
      <c r="BP937" s="399"/>
      <c r="BQ937" s="399"/>
      <c r="BR937" s="399"/>
      <c r="BS937" s="407"/>
      <c r="BT937" s="407"/>
      <c r="BU937" s="412"/>
      <c r="BV937" s="46" t="str">
        <f t="shared" si="8"/>
        <v/>
      </c>
      <c r="BW937" s="46">
        <f t="shared" si="9"/>
        <v>0</v>
      </c>
      <c r="BX937" s="46">
        <f t="shared" si="10"/>
        <v>0</v>
      </c>
      <c r="BY937" s="43" t="str">
        <f t="shared" si="11"/>
        <v>WHO-Core Patient</v>
      </c>
      <c r="BZ937" s="46">
        <f t="shared" si="12"/>
        <v>1</v>
      </c>
      <c r="CA937" s="46" t="str">
        <f t="shared" si="13"/>
        <v/>
      </c>
      <c r="CB937" s="46">
        <f t="shared" si="14"/>
        <v>1</v>
      </c>
      <c r="CC937" s="46">
        <f t="shared" si="15"/>
        <v>1</v>
      </c>
      <c r="CD937" s="46">
        <f t="shared" si="16"/>
        <v>1</v>
      </c>
      <c r="CE937" s="46">
        <f t="shared" si="17"/>
        <v>0</v>
      </c>
      <c r="CF937" s="46">
        <f t="shared" si="18"/>
        <v>0</v>
      </c>
      <c r="CG937" s="46" t="str">
        <f ca="1">IFERROR(__xludf.DUMMYFUNCTION("if(OR(BH937="""",LEFT(BH937,2)=""LA""),"""",IMPORTXML(CONCATENATE(""https://loinc.org/"",BH937,""/""),""//span[@id='lcn']""))"),"")</f>
        <v/>
      </c>
      <c r="CH937" s="46"/>
      <c r="CI937" s="46"/>
      <c r="CJ937" s="46"/>
      <c r="CK937" s="46"/>
      <c r="CL937" s="46"/>
      <c r="CM937" s="46"/>
      <c r="CN937" s="46"/>
      <c r="CO937" s="46"/>
      <c r="CP937" s="46"/>
      <c r="CQ937" s="46"/>
      <c r="CR937" s="46"/>
      <c r="CS937" s="46"/>
      <c r="CT937" s="46"/>
      <c r="CU937" s="46"/>
    </row>
    <row r="938" spans="1:99" ht="12.75" customHeight="1">
      <c r="A938" s="399">
        <v>1753</v>
      </c>
      <c r="B938" s="399" t="s">
        <v>756</v>
      </c>
      <c r="C938" s="399">
        <f t="shared" si="117"/>
        <v>1753</v>
      </c>
      <c r="D938" s="399" t="e">
        <f t="shared" ca="1" si="144"/>
        <v>#NAME?</v>
      </c>
      <c r="E938" s="399" t="str">
        <f t="shared" si="145"/>
        <v>Informal employment (sex worker)</v>
      </c>
      <c r="F938" s="399" t="str">
        <f t="shared" si="146"/>
        <v>Input Option</v>
      </c>
      <c r="G938" s="400">
        <f t="shared" si="129"/>
        <v>39</v>
      </c>
      <c r="H938" s="399" t="str">
        <f t="shared" si="133"/>
        <v>Occupation</v>
      </c>
      <c r="I938" s="400"/>
      <c r="J938" s="400"/>
      <c r="K938" s="402" t="s">
        <v>6392</v>
      </c>
      <c r="L938" s="402" t="s">
        <v>3093</v>
      </c>
      <c r="M938" s="400"/>
      <c r="N938" s="775" t="s">
        <v>3199</v>
      </c>
      <c r="O938" s="407"/>
      <c r="P938" s="529"/>
      <c r="Q938" s="776"/>
      <c r="R938" s="776"/>
      <c r="S938" s="763"/>
      <c r="T938" s="776"/>
      <c r="U938" s="776"/>
      <c r="V938" s="776" t="s">
        <v>534</v>
      </c>
      <c r="W938" s="763"/>
      <c r="X938" s="763"/>
      <c r="Y938" s="529"/>
      <c r="Z938" s="763"/>
      <c r="AA938" s="763"/>
      <c r="AB938" s="777"/>
      <c r="AC938" s="763"/>
      <c r="AD938" s="763"/>
      <c r="AE938" s="778"/>
      <c r="AF938" s="763"/>
      <c r="AG938" s="529"/>
      <c r="AH938" s="399"/>
      <c r="AI938" s="400"/>
      <c r="AJ938" s="399"/>
      <c r="AK938" s="399"/>
      <c r="AL938" s="409"/>
      <c r="AM938" s="399"/>
      <c r="AN938" s="399"/>
      <c r="AO938" s="399"/>
      <c r="AP938" s="399"/>
      <c r="AQ938" s="409" t="s">
        <v>115</v>
      </c>
      <c r="AR938" s="399"/>
      <c r="AS938" s="399"/>
      <c r="AT938" s="399"/>
      <c r="AU938" s="399" t="s">
        <v>756</v>
      </c>
      <c r="AV938" s="399" t="str">
        <f t="shared" si="123"/>
        <v>Same</v>
      </c>
      <c r="AW938" s="399"/>
      <c r="AX938" s="409" t="s">
        <v>3104</v>
      </c>
      <c r="AY938" s="399" t="e">
        <f t="shared" ca="1" si="147"/>
        <v>#NAME?</v>
      </c>
      <c r="AZ938" s="399"/>
      <c r="BA938" s="409">
        <v>0</v>
      </c>
      <c r="BB938" s="415" t="s">
        <v>3131</v>
      </c>
      <c r="BC938" s="409" t="s">
        <v>9703</v>
      </c>
      <c r="BD938" s="409" t="s">
        <v>3162</v>
      </c>
      <c r="BE938" s="411"/>
      <c r="BF938" s="411"/>
      <c r="BG938" s="411"/>
      <c r="BH938" s="411"/>
      <c r="BI938" s="411"/>
      <c r="BJ938" s="409" t="s">
        <v>3133</v>
      </c>
      <c r="BK938" s="409"/>
      <c r="BL938" s="409"/>
      <c r="BM938" s="409" t="s">
        <v>9704</v>
      </c>
      <c r="BN938" s="399"/>
      <c r="BO938" s="399"/>
      <c r="BP938" s="399"/>
      <c r="BQ938" s="399"/>
      <c r="BR938" s="399"/>
      <c r="BS938" s="407"/>
      <c r="BT938" s="407"/>
      <c r="BU938" s="412"/>
      <c r="BV938" s="46" t="str">
        <f t="shared" si="8"/>
        <v/>
      </c>
      <c r="BW938" s="46">
        <f t="shared" si="9"/>
        <v>0</v>
      </c>
      <c r="BX938" s="46">
        <f t="shared" si="10"/>
        <v>0</v>
      </c>
      <c r="BY938" s="43" t="str">
        <f t="shared" si="11"/>
        <v>WHO-Core Patient</v>
      </c>
      <c r="BZ938" s="46">
        <f t="shared" si="12"/>
        <v>1</v>
      </c>
      <c r="CA938" s="46" t="str">
        <f t="shared" si="13"/>
        <v/>
      </c>
      <c r="CB938" s="46">
        <f t="shared" si="14"/>
        <v>1</v>
      </c>
      <c r="CC938" s="46">
        <f t="shared" si="15"/>
        <v>1</v>
      </c>
      <c r="CD938" s="46">
        <f t="shared" si="16"/>
        <v>1</v>
      </c>
      <c r="CE938" s="46">
        <f t="shared" si="17"/>
        <v>0</v>
      </c>
      <c r="CF938" s="46">
        <f t="shared" si="18"/>
        <v>0</v>
      </c>
      <c r="CG938" s="46" t="str">
        <f ca="1">IFERROR(__xludf.DUMMYFUNCTION("if(OR(BH938="""",LEFT(BH938,2)=""LA""),"""",IMPORTXML(CONCATENATE(""https://loinc.org/"",BH938,""/""),""//span[@id='lcn']""))"),"")</f>
        <v/>
      </c>
      <c r="CH938" s="46"/>
      <c r="CI938" s="46"/>
      <c r="CJ938" s="46"/>
      <c r="CK938" s="46"/>
      <c r="CL938" s="46"/>
      <c r="CM938" s="46"/>
      <c r="CN938" s="46"/>
      <c r="CO938" s="46"/>
      <c r="CP938" s="46"/>
      <c r="CQ938" s="46"/>
      <c r="CR938" s="46"/>
      <c r="CS938" s="46"/>
      <c r="CT938" s="46"/>
      <c r="CU938" s="46"/>
    </row>
    <row r="939" spans="1:99" ht="12.75" customHeight="1">
      <c r="A939" s="399">
        <v>1754</v>
      </c>
      <c r="B939" s="399" t="s">
        <v>535</v>
      </c>
      <c r="C939" s="399">
        <f t="shared" si="117"/>
        <v>1754</v>
      </c>
      <c r="D939" s="399" t="e">
        <f t="shared" ca="1" si="144"/>
        <v>#NAME?</v>
      </c>
      <c r="E939" s="399" t="str">
        <f t="shared" si="145"/>
        <v>Other (specify)</v>
      </c>
      <c r="F939" s="399" t="str">
        <f t="shared" si="146"/>
        <v>Input Option</v>
      </c>
      <c r="G939" s="400">
        <f t="shared" si="129"/>
        <v>22</v>
      </c>
      <c r="H939" s="399" t="str">
        <f t="shared" si="133"/>
        <v>Occupation</v>
      </c>
      <c r="I939" s="400"/>
      <c r="J939" s="400"/>
      <c r="K939" s="402" t="s">
        <v>6392</v>
      </c>
      <c r="L939" s="402" t="s">
        <v>3093</v>
      </c>
      <c r="M939" s="400"/>
      <c r="N939" s="775" t="s">
        <v>3199</v>
      </c>
      <c r="O939" s="407"/>
      <c r="P939" s="529"/>
      <c r="Q939" s="776"/>
      <c r="R939" s="776"/>
      <c r="S939" s="763"/>
      <c r="T939" s="776"/>
      <c r="U939" s="776"/>
      <c r="V939" s="776" t="s">
        <v>405</v>
      </c>
      <c r="W939" s="763"/>
      <c r="X939" s="763"/>
      <c r="Y939" s="529"/>
      <c r="Z939" s="763"/>
      <c r="AA939" s="763"/>
      <c r="AB939" s="777"/>
      <c r="AC939" s="763"/>
      <c r="AD939" s="763"/>
      <c r="AE939" s="778"/>
      <c r="AF939" s="763"/>
      <c r="AG939" s="529"/>
      <c r="AH939" s="399"/>
      <c r="AI939" s="400"/>
      <c r="AJ939" s="399"/>
      <c r="AK939" s="399"/>
      <c r="AL939" s="409"/>
      <c r="AM939" s="399"/>
      <c r="AN939" s="399"/>
      <c r="AO939" s="399"/>
      <c r="AP939" s="399"/>
      <c r="AQ939" s="409" t="s">
        <v>3424</v>
      </c>
      <c r="AR939" s="399"/>
      <c r="AS939" s="399"/>
      <c r="AT939" s="399"/>
      <c r="AU939" s="399" t="s">
        <v>535</v>
      </c>
      <c r="AV939" s="399" t="str">
        <f t="shared" si="123"/>
        <v>Same</v>
      </c>
      <c r="AW939" s="399"/>
      <c r="AX939" s="409" t="s">
        <v>3104</v>
      </c>
      <c r="AY939" s="399" t="e">
        <f t="shared" ca="1" si="147"/>
        <v>#NAME?</v>
      </c>
      <c r="AZ939" s="409" t="s">
        <v>3105</v>
      </c>
      <c r="BA939" s="409">
        <v>1</v>
      </c>
      <c r="BB939" s="415" t="s">
        <v>3131</v>
      </c>
      <c r="BC939" s="403" t="s">
        <v>1387</v>
      </c>
      <c r="BD939" s="409" t="s">
        <v>3162</v>
      </c>
      <c r="BE939" s="411"/>
      <c r="BF939" s="411"/>
      <c r="BG939" s="411"/>
      <c r="BH939" s="411"/>
      <c r="BI939" s="411"/>
      <c r="BJ939" s="409"/>
      <c r="BK939" s="409"/>
      <c r="BL939" s="409"/>
      <c r="BM939" s="399"/>
      <c r="BN939" s="399"/>
      <c r="BO939" s="399"/>
      <c r="BP939" s="399"/>
      <c r="BQ939" s="399"/>
      <c r="BR939" s="399"/>
      <c r="BS939" s="407"/>
      <c r="BT939" s="407"/>
      <c r="BU939" s="412"/>
      <c r="BV939" s="46" t="str">
        <f t="shared" si="8"/>
        <v/>
      </c>
      <c r="BW939" s="46">
        <f t="shared" si="9"/>
        <v>0</v>
      </c>
      <c r="BX939" s="46">
        <f t="shared" si="10"/>
        <v>0</v>
      </c>
      <c r="BY939" s="43" t="str">
        <f t="shared" si="11"/>
        <v>WHO-Core Patient</v>
      </c>
      <c r="BZ939" s="46">
        <f t="shared" si="12"/>
        <v>1</v>
      </c>
      <c r="CA939" s="46" t="str">
        <f t="shared" si="13"/>
        <v/>
      </c>
      <c r="CB939" s="46">
        <f t="shared" si="14"/>
        <v>1</v>
      </c>
      <c r="CC939" s="46">
        <f t="shared" si="15"/>
        <v>1</v>
      </c>
      <c r="CD939" s="46">
        <f t="shared" si="16"/>
        <v>1</v>
      </c>
      <c r="CE939" s="46">
        <f t="shared" si="17"/>
        <v>0</v>
      </c>
      <c r="CF939" s="46">
        <f t="shared" si="18"/>
        <v>0</v>
      </c>
      <c r="CG939" s="46" t="str">
        <f ca="1">IFERROR(__xludf.DUMMYFUNCTION("if(OR(BH939="""",LEFT(BH939,2)=""LA""),"""",IMPORTXML(CONCATENATE(""https://loinc.org/"",BH939,""/""),""//span[@id='lcn']""))"),"")</f>
        <v/>
      </c>
      <c r="CH939" s="46"/>
      <c r="CI939" s="46"/>
      <c r="CJ939" s="46"/>
      <c r="CK939" s="46"/>
      <c r="CL939" s="46"/>
      <c r="CM939" s="46"/>
      <c r="CN939" s="46"/>
      <c r="CO939" s="46"/>
      <c r="CP939" s="46"/>
      <c r="CQ939" s="46"/>
      <c r="CR939" s="46"/>
      <c r="CS939" s="46"/>
      <c r="CT939" s="46"/>
      <c r="CU939" s="46"/>
    </row>
    <row r="940" spans="1:99" ht="12.75" customHeight="1">
      <c r="A940" s="399">
        <v>1755</v>
      </c>
      <c r="B940" s="399" t="s">
        <v>6581</v>
      </c>
      <c r="C940" s="399">
        <f t="shared" si="117"/>
        <v>1755</v>
      </c>
      <c r="D940" s="399" t="str">
        <f t="shared" si="144"/>
        <v>Insurance coverage</v>
      </c>
      <c r="E940" s="399" t="str">
        <f t="shared" si="145"/>
        <v>Insurance coverage</v>
      </c>
      <c r="F940" s="399" t="str">
        <f t="shared" si="146"/>
        <v>Data Element</v>
      </c>
      <c r="G940" s="400">
        <f t="shared" si="129"/>
        <v>18</v>
      </c>
      <c r="H940" s="400" t="str">
        <f t="shared" si="133"/>
        <v/>
      </c>
      <c r="I940" s="400"/>
      <c r="J940" s="400"/>
      <c r="K940" s="402" t="s">
        <v>6392</v>
      </c>
      <c r="L940" s="402" t="s">
        <v>3093</v>
      </c>
      <c r="M940" s="400"/>
      <c r="N940" s="775" t="s">
        <v>6582</v>
      </c>
      <c r="O940" s="407"/>
      <c r="P940" s="529"/>
      <c r="Q940" s="776" t="s">
        <v>6581</v>
      </c>
      <c r="R940" s="529"/>
      <c r="S940" s="763" t="s">
        <v>6584</v>
      </c>
      <c r="T940" s="776" t="s">
        <v>3169</v>
      </c>
      <c r="U940" s="776"/>
      <c r="V940" s="776" t="s">
        <v>6585</v>
      </c>
      <c r="W940" s="763"/>
      <c r="X940" s="763"/>
      <c r="Y940" s="529"/>
      <c r="Z940" s="763"/>
      <c r="AA940" s="763" t="s">
        <v>6586</v>
      </c>
      <c r="AB940" s="777"/>
      <c r="AC940" s="763"/>
      <c r="AD940" s="763"/>
      <c r="AE940" s="778"/>
      <c r="AF940" s="763"/>
      <c r="AG940" s="529"/>
      <c r="AH940" s="399"/>
      <c r="AI940" s="400"/>
      <c r="AJ940" s="399"/>
      <c r="AK940" s="409" t="s">
        <v>6821</v>
      </c>
      <c r="AL940" s="409" t="s">
        <v>3313</v>
      </c>
      <c r="AM940" s="409" t="s">
        <v>3314</v>
      </c>
      <c r="AN940" s="409" t="s">
        <v>3101</v>
      </c>
      <c r="AO940" s="399"/>
      <c r="AP940" s="409" t="s">
        <v>3102</v>
      </c>
      <c r="AQ940" s="409" t="s">
        <v>3424</v>
      </c>
      <c r="AR940" s="399"/>
      <c r="AS940" s="399"/>
      <c r="AT940" s="399"/>
      <c r="AU940" s="399" t="s">
        <v>6581</v>
      </c>
      <c r="AV940" s="399" t="str">
        <f t="shared" si="123"/>
        <v>Same</v>
      </c>
      <c r="AW940" s="399"/>
      <c r="AX940" s="409" t="s">
        <v>3104</v>
      </c>
      <c r="AY940" s="399" t="str">
        <f t="shared" si="147"/>
        <v/>
      </c>
      <c r="AZ940" s="399"/>
      <c r="BA940" s="409">
        <v>1</v>
      </c>
      <c r="BB940" s="399"/>
      <c r="BC940" s="399"/>
      <c r="BD940" s="409" t="s">
        <v>3162</v>
      </c>
      <c r="BE940" s="411"/>
      <c r="BF940" s="411"/>
      <c r="BG940" s="411"/>
      <c r="BH940" s="411"/>
      <c r="BI940" s="411"/>
      <c r="BJ940" s="399"/>
      <c r="BK940" s="409"/>
      <c r="BL940" s="409"/>
      <c r="BM940" s="409" t="s">
        <v>9705</v>
      </c>
      <c r="BN940" s="399"/>
      <c r="BO940" s="399"/>
      <c r="BP940" s="399"/>
      <c r="BQ940" s="399"/>
      <c r="BR940" s="399"/>
      <c r="BS940" s="407"/>
      <c r="BT940" s="407"/>
      <c r="BU940" s="412"/>
      <c r="BV940" s="46" t="str">
        <f t="shared" si="8"/>
        <v>Patient</v>
      </c>
      <c r="BW940" s="46" t="str">
        <f t="shared" si="9"/>
        <v/>
      </c>
      <c r="BX940" s="46" t="str">
        <f t="shared" si="10"/>
        <v>Patient</v>
      </c>
      <c r="BY940" s="43" t="str">
        <f t="shared" si="11"/>
        <v>WHO-Core Patient</v>
      </c>
      <c r="BZ940" s="46">
        <f t="shared" si="12"/>
        <v>1</v>
      </c>
      <c r="CA940" s="46">
        <f t="shared" si="13"/>
        <v>0</v>
      </c>
      <c r="CB940" s="46">
        <f t="shared" si="14"/>
        <v>0</v>
      </c>
      <c r="CC940" s="46">
        <f t="shared" si="15"/>
        <v>0</v>
      </c>
      <c r="CD940" s="46">
        <f t="shared" si="16"/>
        <v>0</v>
      </c>
      <c r="CE940" s="46">
        <f t="shared" si="17"/>
        <v>0</v>
      </c>
      <c r="CF940" s="46">
        <f t="shared" si="18"/>
        <v>1</v>
      </c>
      <c r="CG940" s="46" t="str">
        <f ca="1">IFERROR(__xludf.DUMMYFUNCTION("if(OR(BH940="""",LEFT(BH940,2)=""LA""),"""",IMPORTXML(CONCATENATE(""https://loinc.org/"",BH940,""/""),""//span[@id='lcn']""))"),"")</f>
        <v/>
      </c>
      <c r="CH940" s="46"/>
      <c r="CI940" s="46"/>
      <c r="CJ940" s="46"/>
      <c r="CK940" s="46"/>
      <c r="CL940" s="46"/>
      <c r="CM940" s="46"/>
      <c r="CN940" s="46"/>
      <c r="CO940" s="46"/>
      <c r="CP940" s="46"/>
      <c r="CQ940" s="46"/>
      <c r="CR940" s="46"/>
      <c r="CS940" s="46"/>
      <c r="CT940" s="46"/>
      <c r="CU940" s="46"/>
    </row>
    <row r="941" spans="1:99" ht="12.75" customHeight="1">
      <c r="A941" s="399">
        <v>1756</v>
      </c>
      <c r="B941" s="399" t="s">
        <v>6588</v>
      </c>
      <c r="C941" s="399">
        <f t="shared" si="117"/>
        <v>1756</v>
      </c>
      <c r="D941" s="399" t="str">
        <f t="shared" si="144"/>
        <v>Insurance status</v>
      </c>
      <c r="E941" s="399" t="str">
        <f t="shared" si="145"/>
        <v>Insurance status</v>
      </c>
      <c r="F941" s="399" t="str">
        <f t="shared" si="146"/>
        <v>Data Element</v>
      </c>
      <c r="G941" s="400">
        <f t="shared" si="129"/>
        <v>16</v>
      </c>
      <c r="H941" s="400" t="str">
        <f t="shared" si="133"/>
        <v/>
      </c>
      <c r="I941" s="400"/>
      <c r="J941" s="400"/>
      <c r="K941" s="402" t="s">
        <v>6392</v>
      </c>
      <c r="L941" s="402" t="s">
        <v>3093</v>
      </c>
      <c r="M941" s="400"/>
      <c r="N941" s="775" t="s">
        <v>6582</v>
      </c>
      <c r="O941" s="407"/>
      <c r="P941" s="529"/>
      <c r="Q941" s="776" t="s">
        <v>6588</v>
      </c>
      <c r="R941" s="776" t="s">
        <v>6591</v>
      </c>
      <c r="S941" s="763"/>
      <c r="T941" s="776" t="s">
        <v>3121</v>
      </c>
      <c r="U941" s="776"/>
      <c r="V941" s="776"/>
      <c r="W941" s="763"/>
      <c r="X941" s="763"/>
      <c r="Y941" s="529"/>
      <c r="Z941" s="763"/>
      <c r="AA941" s="763" t="s">
        <v>1889</v>
      </c>
      <c r="AB941" s="777"/>
      <c r="AC941" s="763"/>
      <c r="AD941" s="763"/>
      <c r="AE941" s="778"/>
      <c r="AF941" s="763"/>
      <c r="AG941" s="529"/>
      <c r="AH941" s="399"/>
      <c r="AI941" s="400"/>
      <c r="AJ941" s="399"/>
      <c r="AK941" s="409" t="s">
        <v>6591</v>
      </c>
      <c r="AL941" s="399"/>
      <c r="AM941" s="399" t="s">
        <v>3100</v>
      </c>
      <c r="AN941" s="399" t="s">
        <v>3101</v>
      </c>
      <c r="AO941" s="399"/>
      <c r="AP941" s="409" t="s">
        <v>6728</v>
      </c>
      <c r="AQ941" s="409" t="s">
        <v>3424</v>
      </c>
      <c r="AR941" s="399" t="s">
        <v>6594</v>
      </c>
      <c r="AS941" s="399"/>
      <c r="AT941" s="399"/>
      <c r="AU941" s="399" t="s">
        <v>6588</v>
      </c>
      <c r="AV941" s="399" t="str">
        <f t="shared" si="123"/>
        <v>Same</v>
      </c>
      <c r="AW941" s="399"/>
      <c r="AX941" s="409" t="s">
        <v>3104</v>
      </c>
      <c r="AY941" s="399" t="str">
        <f t="shared" si="147"/>
        <v/>
      </c>
      <c r="AZ941" s="409" t="s">
        <v>3105</v>
      </c>
      <c r="BA941" s="409">
        <v>1</v>
      </c>
      <c r="BB941" s="399"/>
      <c r="BC941" s="399"/>
      <c r="BD941" s="409" t="s">
        <v>3162</v>
      </c>
      <c r="BE941" s="411"/>
      <c r="BF941" s="411"/>
      <c r="BG941" s="411"/>
      <c r="BH941" s="411"/>
      <c r="BI941" s="411"/>
      <c r="BJ941" s="399" t="s">
        <v>3106</v>
      </c>
      <c r="BK941" s="399"/>
      <c r="BL941" s="399"/>
      <c r="BM941" s="409" t="s">
        <v>9706</v>
      </c>
      <c r="BN941" s="399"/>
      <c r="BO941" s="399"/>
      <c r="BP941" s="399"/>
      <c r="BQ941" s="399"/>
      <c r="BR941" s="399"/>
      <c r="BS941" s="407"/>
      <c r="BT941" s="407"/>
      <c r="BU941" s="412"/>
      <c r="BV941" s="46" t="str">
        <f t="shared" si="8"/>
        <v>Coverage</v>
      </c>
      <c r="BW941" s="46" t="str">
        <f t="shared" si="9"/>
        <v/>
      </c>
      <c r="BX941" s="46" t="str">
        <f t="shared" si="10"/>
        <v>Coverage</v>
      </c>
      <c r="BY941" s="43" t="str">
        <f t="shared" si="11"/>
        <v>WHO-Core Coverage (Insurance)</v>
      </c>
      <c r="BZ941" s="46">
        <f t="shared" si="12"/>
        <v>1</v>
      </c>
      <c r="CA941" s="46">
        <f t="shared" si="13"/>
        <v>1</v>
      </c>
      <c r="CB941" s="46">
        <f t="shared" si="14"/>
        <v>1</v>
      </c>
      <c r="CC941" s="46">
        <f t="shared" si="15"/>
        <v>1</v>
      </c>
      <c r="CD941" s="46">
        <f t="shared" si="16"/>
        <v>1</v>
      </c>
      <c r="CE941" s="46">
        <f t="shared" si="17"/>
        <v>0</v>
      </c>
      <c r="CF941" s="46">
        <f t="shared" si="18"/>
        <v>0</v>
      </c>
      <c r="CG941" s="46" t="str">
        <f ca="1">IFERROR(__xludf.DUMMYFUNCTION("if(OR(BH941="""",LEFT(BH941,2)=""LA""),"""",IMPORTXML(CONCATENATE(""https://loinc.org/"",BH941,""/""),""//span[@id='lcn']""))"),"")</f>
        <v/>
      </c>
      <c r="CH941" s="46"/>
      <c r="CI941" s="46"/>
      <c r="CJ941" s="46"/>
      <c r="CK941" s="46"/>
      <c r="CL941" s="46"/>
      <c r="CM941" s="46"/>
      <c r="CN941" s="46"/>
      <c r="CO941" s="46"/>
      <c r="CP941" s="46"/>
      <c r="CQ941" s="46"/>
      <c r="CR941" s="46"/>
      <c r="CS941" s="46"/>
      <c r="CT941" s="46"/>
      <c r="CU941" s="46"/>
    </row>
    <row r="942" spans="1:99" ht="12.75" customHeight="1">
      <c r="A942" s="399">
        <v>1757</v>
      </c>
      <c r="B942" s="399" t="s">
        <v>6596</v>
      </c>
      <c r="C942" s="399">
        <f t="shared" si="117"/>
        <v>1757</v>
      </c>
      <c r="D942" s="399" t="str">
        <f t="shared" si="144"/>
        <v xml:space="preserve">Insurance type </v>
      </c>
      <c r="E942" s="399" t="str">
        <f t="shared" si="145"/>
        <v xml:space="preserve">Insurance type </v>
      </c>
      <c r="F942" s="399" t="str">
        <f t="shared" si="146"/>
        <v>Data Element</v>
      </c>
      <c r="G942" s="400">
        <f t="shared" si="129"/>
        <v>15</v>
      </c>
      <c r="H942" s="400" t="str">
        <f t="shared" si="133"/>
        <v/>
      </c>
      <c r="I942" s="400"/>
      <c r="J942" s="400"/>
      <c r="K942" s="402" t="s">
        <v>6392</v>
      </c>
      <c r="L942" s="402" t="s">
        <v>3093</v>
      </c>
      <c r="M942" s="400"/>
      <c r="N942" s="775" t="s">
        <v>6582</v>
      </c>
      <c r="O942" s="407"/>
      <c r="P942" s="529"/>
      <c r="Q942" s="763" t="s">
        <v>6596</v>
      </c>
      <c r="R942" s="776" t="s">
        <v>6598</v>
      </c>
      <c r="S942" s="763"/>
      <c r="T942" s="776" t="s">
        <v>3121</v>
      </c>
      <c r="U942" s="763"/>
      <c r="V942" s="763"/>
      <c r="W942" s="763"/>
      <c r="X942" s="763"/>
      <c r="Y942" s="529"/>
      <c r="Z942" s="763"/>
      <c r="AA942" s="763" t="s">
        <v>1889</v>
      </c>
      <c r="AB942" s="777"/>
      <c r="AC942" s="763"/>
      <c r="AD942" s="763"/>
      <c r="AE942" s="778"/>
      <c r="AF942" s="763"/>
      <c r="AG942" s="529"/>
      <c r="AH942" s="399"/>
      <c r="AI942" s="400"/>
      <c r="AJ942" s="399"/>
      <c r="AK942" s="409" t="s">
        <v>6598</v>
      </c>
      <c r="AL942" s="399"/>
      <c r="AM942" s="399" t="s">
        <v>3100</v>
      </c>
      <c r="AN942" s="399" t="s">
        <v>3101</v>
      </c>
      <c r="AO942" s="399"/>
      <c r="AP942" s="409" t="s">
        <v>6728</v>
      </c>
      <c r="AQ942" s="409" t="s">
        <v>3424</v>
      </c>
      <c r="AR942" s="399" t="s">
        <v>6602</v>
      </c>
      <c r="AS942" s="399"/>
      <c r="AT942" s="399"/>
      <c r="AU942" s="399" t="s">
        <v>6596</v>
      </c>
      <c r="AV942" s="399" t="str">
        <f t="shared" si="123"/>
        <v>Same</v>
      </c>
      <c r="AW942" s="399"/>
      <c r="AX942" s="409" t="s">
        <v>3104</v>
      </c>
      <c r="AY942" s="399" t="str">
        <f t="shared" si="147"/>
        <v/>
      </c>
      <c r="AZ942" s="409" t="s">
        <v>3105</v>
      </c>
      <c r="BA942" s="409">
        <v>1</v>
      </c>
      <c r="BB942" s="399"/>
      <c r="BC942" s="399"/>
      <c r="BD942" s="409" t="s">
        <v>3162</v>
      </c>
      <c r="BE942" s="411"/>
      <c r="BF942" s="411"/>
      <c r="BG942" s="411"/>
      <c r="BH942" s="411"/>
      <c r="BI942" s="411"/>
      <c r="BJ942" s="399" t="s">
        <v>3106</v>
      </c>
      <c r="BK942" s="409"/>
      <c r="BL942" s="409"/>
      <c r="BM942" s="409">
        <v>43356</v>
      </c>
      <c r="BN942" s="399"/>
      <c r="BO942" s="399"/>
      <c r="BP942" s="399"/>
      <c r="BQ942" s="399"/>
      <c r="BR942" s="399"/>
      <c r="BS942" s="407"/>
      <c r="BT942" s="407"/>
      <c r="BU942" s="412"/>
      <c r="BV942" s="46" t="str">
        <f t="shared" si="8"/>
        <v>Coverage</v>
      </c>
      <c r="BW942" s="46" t="str">
        <f t="shared" si="9"/>
        <v/>
      </c>
      <c r="BX942" s="46" t="str">
        <f t="shared" si="10"/>
        <v>Coverage</v>
      </c>
      <c r="BY942" s="43" t="str">
        <f t="shared" si="11"/>
        <v>WHO-Core Coverage (Insurance)</v>
      </c>
      <c r="BZ942" s="46">
        <f t="shared" si="12"/>
        <v>1</v>
      </c>
      <c r="CA942" s="46">
        <f t="shared" si="13"/>
        <v>1</v>
      </c>
      <c r="CB942" s="46">
        <f t="shared" si="14"/>
        <v>1</v>
      </c>
      <c r="CC942" s="46">
        <f t="shared" si="15"/>
        <v>1</v>
      </c>
      <c r="CD942" s="46">
        <f t="shared" si="16"/>
        <v>1</v>
      </c>
      <c r="CE942" s="46">
        <f t="shared" si="17"/>
        <v>0</v>
      </c>
      <c r="CF942" s="46">
        <f t="shared" si="18"/>
        <v>0</v>
      </c>
      <c r="CG942" s="46" t="str">
        <f ca="1">IFERROR(__xludf.DUMMYFUNCTION("if(OR(BH942="""",LEFT(BH942,2)=""LA""),"""",IMPORTXML(CONCATENATE(""https://loinc.org/"",BH942,""/""),""//span[@id='lcn']""))"),"")</f>
        <v/>
      </c>
      <c r="CH942" s="46"/>
      <c r="CI942" s="46"/>
      <c r="CJ942" s="46"/>
      <c r="CK942" s="46"/>
      <c r="CL942" s="46"/>
      <c r="CM942" s="46"/>
      <c r="CN942" s="46"/>
      <c r="CO942" s="46"/>
      <c r="CP942" s="46"/>
      <c r="CQ942" s="46"/>
      <c r="CR942" s="46"/>
      <c r="CS942" s="46"/>
      <c r="CT942" s="46"/>
      <c r="CU942" s="46"/>
    </row>
    <row r="943" spans="1:99" ht="12.75" customHeight="1">
      <c r="A943" s="399">
        <v>1758</v>
      </c>
      <c r="B943" s="399" t="s">
        <v>6604</v>
      </c>
      <c r="C943" s="399">
        <f t="shared" si="117"/>
        <v>1758</v>
      </c>
      <c r="D943" s="399" t="str">
        <f t="shared" si="144"/>
        <v>Insurance ID</v>
      </c>
      <c r="E943" s="399" t="str">
        <f t="shared" si="145"/>
        <v>Insurance ID</v>
      </c>
      <c r="F943" s="399" t="str">
        <f t="shared" si="146"/>
        <v>Data Element</v>
      </c>
      <c r="G943" s="400">
        <f t="shared" si="129"/>
        <v>12</v>
      </c>
      <c r="H943" s="400" t="str">
        <f t="shared" si="133"/>
        <v/>
      </c>
      <c r="I943" s="400"/>
      <c r="J943" s="400"/>
      <c r="K943" s="402" t="s">
        <v>6392</v>
      </c>
      <c r="L943" s="402" t="s">
        <v>3093</v>
      </c>
      <c r="M943" s="400"/>
      <c r="N943" s="775" t="s">
        <v>6582</v>
      </c>
      <c r="O943" s="407"/>
      <c r="P943" s="529"/>
      <c r="Q943" s="763" t="s">
        <v>6604</v>
      </c>
      <c r="R943" s="763" t="s">
        <v>6605</v>
      </c>
      <c r="S943" s="763"/>
      <c r="T943" s="763" t="s">
        <v>168</v>
      </c>
      <c r="U943" s="763"/>
      <c r="V943" s="763"/>
      <c r="W943" s="763"/>
      <c r="X943" s="763"/>
      <c r="Y943" s="529"/>
      <c r="Z943" s="763"/>
      <c r="AA943" s="763" t="s">
        <v>1889</v>
      </c>
      <c r="AB943" s="777"/>
      <c r="AC943" s="763"/>
      <c r="AD943" s="763"/>
      <c r="AE943" s="778"/>
      <c r="AF943" s="763" t="s">
        <v>6607</v>
      </c>
      <c r="AG943" s="529"/>
      <c r="AH943" s="399"/>
      <c r="AI943" s="400"/>
      <c r="AJ943" s="399"/>
      <c r="AK943" s="399" t="s">
        <v>6605</v>
      </c>
      <c r="AL943" s="399"/>
      <c r="AM943" s="399" t="s">
        <v>3100</v>
      </c>
      <c r="AN943" s="399" t="s">
        <v>3101</v>
      </c>
      <c r="AO943" s="399"/>
      <c r="AP943" s="409" t="s">
        <v>6728</v>
      </c>
      <c r="AQ943" s="409" t="s">
        <v>3424</v>
      </c>
      <c r="AR943" s="399"/>
      <c r="AS943" s="399"/>
      <c r="AT943" s="399"/>
      <c r="AU943" s="399" t="s">
        <v>6604</v>
      </c>
      <c r="AV943" s="399" t="str">
        <f t="shared" si="123"/>
        <v>Same</v>
      </c>
      <c r="AW943" s="399"/>
      <c r="AX943" s="409" t="s">
        <v>3104</v>
      </c>
      <c r="AY943" s="399" t="str">
        <f t="shared" si="147"/>
        <v/>
      </c>
      <c r="AZ943" s="409" t="s">
        <v>3105</v>
      </c>
      <c r="BA943" s="409">
        <v>1</v>
      </c>
      <c r="BB943" s="399"/>
      <c r="BC943" s="399"/>
      <c r="BD943" s="409" t="s">
        <v>3162</v>
      </c>
      <c r="BE943" s="411"/>
      <c r="BF943" s="411"/>
      <c r="BG943" s="411"/>
      <c r="BH943" s="411"/>
      <c r="BI943" s="411"/>
      <c r="BJ943" s="399" t="s">
        <v>3106</v>
      </c>
      <c r="BK943" s="409"/>
      <c r="BL943" s="409"/>
      <c r="BM943" s="409">
        <v>72</v>
      </c>
      <c r="BN943" s="399"/>
      <c r="BO943" s="399"/>
      <c r="BP943" s="399"/>
      <c r="BQ943" s="399"/>
      <c r="BR943" s="399"/>
      <c r="BS943" s="407"/>
      <c r="BT943" s="407"/>
      <c r="BU943" s="412"/>
      <c r="BV943" s="46" t="str">
        <f t="shared" si="8"/>
        <v>Coverage</v>
      </c>
      <c r="BW943" s="46" t="str">
        <f t="shared" si="9"/>
        <v/>
      </c>
      <c r="BX943" s="46" t="str">
        <f t="shared" si="10"/>
        <v>Coverage</v>
      </c>
      <c r="BY943" s="43" t="str">
        <f t="shared" si="11"/>
        <v>WHO-Core Coverage (Insurance)</v>
      </c>
      <c r="BZ943" s="46">
        <f t="shared" si="12"/>
        <v>1</v>
      </c>
      <c r="CA943" s="46">
        <f t="shared" si="13"/>
        <v>0</v>
      </c>
      <c r="CB943" s="46">
        <f t="shared" si="14"/>
        <v>1</v>
      </c>
      <c r="CC943" s="46">
        <f t="shared" si="15"/>
        <v>1</v>
      </c>
      <c r="CD943" s="46">
        <f t="shared" si="16"/>
        <v>1</v>
      </c>
      <c r="CE943" s="46">
        <f t="shared" si="17"/>
        <v>0</v>
      </c>
      <c r="CF943" s="46">
        <f t="shared" si="18"/>
        <v>0</v>
      </c>
      <c r="CG943" s="46" t="str">
        <f ca="1">IFERROR(__xludf.DUMMYFUNCTION("if(OR(BH943="""",LEFT(BH943,2)=""LA""),"""",IMPORTXML(CONCATENATE(""https://loinc.org/"",BH943,""/""),""//span[@id='lcn']""))"),"")</f>
        <v/>
      </c>
      <c r="CH943" s="46"/>
      <c r="CI943" s="46"/>
      <c r="CJ943" s="46"/>
      <c r="CK943" s="46"/>
      <c r="CL943" s="46"/>
      <c r="CM943" s="46"/>
      <c r="CN943" s="46"/>
      <c r="CO943" s="46"/>
      <c r="CP943" s="46"/>
      <c r="CQ943" s="46"/>
      <c r="CR943" s="46"/>
      <c r="CS943" s="46"/>
      <c r="CT943" s="46"/>
      <c r="CU943" s="46"/>
    </row>
    <row r="944" spans="1:99" ht="12.75" customHeight="1">
      <c r="A944" s="399">
        <v>1759</v>
      </c>
      <c r="B944" s="399" t="s">
        <v>6611</v>
      </c>
      <c r="C944" s="399">
        <f t="shared" si="117"/>
        <v>1759</v>
      </c>
      <c r="D944" s="399" t="str">
        <f t="shared" si="144"/>
        <v>Payment method</v>
      </c>
      <c r="E944" s="399" t="str">
        <f t="shared" si="145"/>
        <v>Payment method</v>
      </c>
      <c r="F944" s="399" t="str">
        <f t="shared" si="146"/>
        <v>Data Element</v>
      </c>
      <c r="G944" s="400">
        <f t="shared" si="129"/>
        <v>14</v>
      </c>
      <c r="H944" s="400" t="str">
        <f t="shared" si="133"/>
        <v/>
      </c>
      <c r="I944" s="400"/>
      <c r="J944" s="400"/>
      <c r="K944" s="402" t="s">
        <v>6392</v>
      </c>
      <c r="L944" s="402" t="s">
        <v>3093</v>
      </c>
      <c r="M944" s="400"/>
      <c r="N944" s="775" t="s">
        <v>6582</v>
      </c>
      <c r="O944" s="407"/>
      <c r="P944" s="529"/>
      <c r="Q944" s="529" t="s">
        <v>6611</v>
      </c>
      <c r="R944" s="529"/>
      <c r="S944" s="529"/>
      <c r="T944" s="778" t="s">
        <v>9707</v>
      </c>
      <c r="U944" s="529"/>
      <c r="V944" s="529" t="s">
        <v>6619</v>
      </c>
      <c r="W944" s="529"/>
      <c r="X944" s="529"/>
      <c r="Y944" s="529"/>
      <c r="Z944" s="529"/>
      <c r="AA944" s="529" t="s">
        <v>6586</v>
      </c>
      <c r="AB944" s="778"/>
      <c r="AC944" s="529"/>
      <c r="AD944" s="529"/>
      <c r="AE944" s="778"/>
      <c r="AF944" s="778" t="s">
        <v>6612</v>
      </c>
      <c r="AG944" s="529"/>
      <c r="AH944" s="399"/>
      <c r="AI944" s="400"/>
      <c r="AJ944" s="399"/>
      <c r="AK944" s="409" t="s">
        <v>6729</v>
      </c>
      <c r="AL944" s="409" t="s">
        <v>3328</v>
      </c>
      <c r="AM944" s="409" t="s">
        <v>3314</v>
      </c>
      <c r="AN944" s="409" t="s">
        <v>3101</v>
      </c>
      <c r="AO944" s="399"/>
      <c r="AP944" s="409" t="s">
        <v>6728</v>
      </c>
      <c r="AQ944" s="409" t="s">
        <v>3424</v>
      </c>
      <c r="AR944" s="399"/>
      <c r="AS944" s="399"/>
      <c r="AT944" s="399"/>
      <c r="AU944" s="399" t="s">
        <v>6611</v>
      </c>
      <c r="AV944" s="399" t="str">
        <f t="shared" si="123"/>
        <v>Same</v>
      </c>
      <c r="AW944" s="399"/>
      <c r="AX944" s="409" t="s">
        <v>3104</v>
      </c>
      <c r="AY944" s="399" t="str">
        <f t="shared" si="147"/>
        <v/>
      </c>
      <c r="AZ944" s="399"/>
      <c r="BA944" s="409">
        <v>1</v>
      </c>
      <c r="BB944" s="399"/>
      <c r="BC944" s="399"/>
      <c r="BD944" s="409" t="s">
        <v>3162</v>
      </c>
      <c r="BE944" s="411"/>
      <c r="BF944" s="411"/>
      <c r="BG944" s="411"/>
      <c r="BH944" s="411"/>
      <c r="BI944" s="411"/>
      <c r="BJ944" s="399"/>
      <c r="BK944" s="409"/>
      <c r="BL944" s="409"/>
      <c r="BM944" s="409" t="s">
        <v>9708</v>
      </c>
      <c r="BN944" s="399"/>
      <c r="BO944" s="399"/>
      <c r="BP944" s="399"/>
      <c r="BQ944" s="399"/>
      <c r="BR944" s="399"/>
      <c r="BS944" s="407"/>
      <c r="BT944" s="407"/>
      <c r="BU944" s="412"/>
      <c r="BV944" s="46" t="str">
        <f t="shared" si="8"/>
        <v>Coverage</v>
      </c>
      <c r="BW944" s="46" t="str">
        <f t="shared" si="9"/>
        <v/>
      </c>
      <c r="BX944" s="46" t="str">
        <f t="shared" si="10"/>
        <v>Coverage</v>
      </c>
      <c r="BY944" s="43" t="str">
        <f t="shared" si="11"/>
        <v>WHO-Core Coverage (Insurance)</v>
      </c>
      <c r="BZ944" s="46">
        <f t="shared" si="12"/>
        <v>1</v>
      </c>
      <c r="CA944" s="46">
        <f t="shared" si="13"/>
        <v>1</v>
      </c>
      <c r="CB944" s="46">
        <f t="shared" si="14"/>
        <v>0</v>
      </c>
      <c r="CC944" s="46">
        <f t="shared" si="15"/>
        <v>0</v>
      </c>
      <c r="CD944" s="46">
        <f t="shared" si="16"/>
        <v>0</v>
      </c>
      <c r="CE944" s="46">
        <f t="shared" si="17"/>
        <v>0</v>
      </c>
      <c r="CF944" s="46">
        <f t="shared" si="18"/>
        <v>1</v>
      </c>
      <c r="CG944" s="46" t="str">
        <f ca="1">IFERROR(__xludf.DUMMYFUNCTION("if(OR(BH944="""",LEFT(BH944,2)=""LA""),"""",IMPORTXML(CONCATENATE(""https://loinc.org/"",BH944,""/""),""//span[@id='lcn']""))"),"")</f>
        <v/>
      </c>
      <c r="CH944" s="46"/>
      <c r="CI944" s="46"/>
      <c r="CJ944" s="46"/>
      <c r="CK944" s="46"/>
      <c r="CL944" s="46"/>
      <c r="CM944" s="46"/>
      <c r="CN944" s="46"/>
      <c r="CO944" s="46"/>
      <c r="CP944" s="46"/>
      <c r="CQ944" s="46"/>
      <c r="CR944" s="46"/>
      <c r="CS944" s="46"/>
      <c r="CT944" s="46"/>
      <c r="CU944" s="46"/>
    </row>
    <row r="945" spans="1:99" ht="12.75" customHeight="1">
      <c r="A945" s="399">
        <v>1760</v>
      </c>
      <c r="B945" s="399" t="s">
        <v>6623</v>
      </c>
      <c r="C945" s="399">
        <f t="shared" si="117"/>
        <v>1760</v>
      </c>
      <c r="D945" s="399" t="e">
        <f t="shared" ca="1" si="144"/>
        <v>#NAME?</v>
      </c>
      <c r="E945" s="399" t="str">
        <f t="shared" si="145"/>
        <v>Government</v>
      </c>
      <c r="F945" s="399" t="str">
        <f t="shared" si="146"/>
        <v>Input Option</v>
      </c>
      <c r="G945" s="400">
        <f t="shared" si="129"/>
        <v>17</v>
      </c>
      <c r="H945" s="399" t="str">
        <f t="shared" si="133"/>
        <v>Payment method</v>
      </c>
      <c r="I945" s="400"/>
      <c r="J945" s="400"/>
      <c r="K945" s="402" t="s">
        <v>6392</v>
      </c>
      <c r="L945" s="402" t="s">
        <v>3093</v>
      </c>
      <c r="M945" s="400"/>
      <c r="N945" s="775" t="s">
        <v>6582</v>
      </c>
      <c r="O945" s="407"/>
      <c r="P945" s="529"/>
      <c r="Q945" s="529"/>
      <c r="R945" s="529"/>
      <c r="S945" s="529"/>
      <c r="T945" s="529"/>
      <c r="U945" s="529"/>
      <c r="V945" s="529" t="s">
        <v>6626</v>
      </c>
      <c r="W945" s="529"/>
      <c r="X945" s="529"/>
      <c r="Y945" s="529"/>
      <c r="Z945" s="529"/>
      <c r="AA945" s="529"/>
      <c r="AB945" s="778"/>
      <c r="AC945" s="529"/>
      <c r="AD945" s="529"/>
      <c r="AE945" s="778"/>
      <c r="AF945" s="529"/>
      <c r="AG945" s="529"/>
      <c r="AH945" s="399"/>
      <c r="AI945" s="400"/>
      <c r="AJ945" s="399"/>
      <c r="AK945" s="410"/>
      <c r="AL945" s="399"/>
      <c r="AM945" s="409" t="s">
        <v>3314</v>
      </c>
      <c r="AN945" s="409" t="s">
        <v>3101</v>
      </c>
      <c r="AO945" s="399"/>
      <c r="AP945" s="399"/>
      <c r="AQ945" s="409" t="s">
        <v>3424</v>
      </c>
      <c r="AR945" s="399"/>
      <c r="AS945" s="399"/>
      <c r="AT945" s="399"/>
      <c r="AU945" s="399" t="s">
        <v>6623</v>
      </c>
      <c r="AV945" s="399" t="str">
        <f t="shared" si="123"/>
        <v>Same</v>
      </c>
      <c r="AW945" s="399"/>
      <c r="AX945" s="409" t="s">
        <v>3104</v>
      </c>
      <c r="AY945" s="399" t="e">
        <f t="shared" ca="1" si="147"/>
        <v>#NAME?</v>
      </c>
      <c r="AZ945" s="399"/>
      <c r="BA945" s="409">
        <v>1</v>
      </c>
      <c r="BB945" s="415" t="s">
        <v>3131</v>
      </c>
      <c r="BC945" s="409" t="s">
        <v>9709</v>
      </c>
      <c r="BD945" s="409" t="s">
        <v>3162</v>
      </c>
      <c r="BE945" s="411"/>
      <c r="BF945" s="411"/>
      <c r="BG945" s="411"/>
      <c r="BH945" s="411"/>
      <c r="BI945" s="411"/>
      <c r="BJ945" s="399"/>
      <c r="BK945" s="399"/>
      <c r="BL945" s="399"/>
      <c r="BM945" s="409" t="s">
        <v>9710</v>
      </c>
      <c r="BN945" s="399"/>
      <c r="BO945" s="399"/>
      <c r="BP945" s="399"/>
      <c r="BQ945" s="399"/>
      <c r="BR945" s="399"/>
      <c r="BS945" s="407"/>
      <c r="BT945" s="407"/>
      <c r="BU945" s="412"/>
      <c r="BV945" s="46" t="str">
        <f t="shared" si="8"/>
        <v/>
      </c>
      <c r="BW945" s="46">
        <f t="shared" si="9"/>
        <v>0</v>
      </c>
      <c r="BX945" s="46">
        <f t="shared" si="10"/>
        <v>0</v>
      </c>
      <c r="BY945" s="43" t="str">
        <f t="shared" si="11"/>
        <v>WHO-Core Coverage (Insurance)</v>
      </c>
      <c r="BZ945" s="46">
        <f t="shared" si="12"/>
        <v>1</v>
      </c>
      <c r="CA945" s="46" t="str">
        <f t="shared" si="13"/>
        <v/>
      </c>
      <c r="CB945" s="46">
        <f t="shared" si="14"/>
        <v>0</v>
      </c>
      <c r="CC945" s="46">
        <f t="shared" si="15"/>
        <v>0</v>
      </c>
      <c r="CD945" s="46">
        <f t="shared" si="16"/>
        <v>0</v>
      </c>
      <c r="CE945" s="46">
        <f t="shared" si="17"/>
        <v>0</v>
      </c>
      <c r="CF945" s="46">
        <f t="shared" si="18"/>
        <v>1</v>
      </c>
      <c r="CG945" s="46" t="str">
        <f ca="1">IFERROR(__xludf.DUMMYFUNCTION("if(OR(BH945="""",LEFT(BH945,2)=""LA""),"""",IMPORTXML(CONCATENATE(""https://loinc.org/"",BH945,""/""),""//span[@id='lcn']""))"),"")</f>
        <v/>
      </c>
      <c r="CH945" s="46"/>
      <c r="CI945" s="46"/>
      <c r="CJ945" s="46"/>
      <c r="CK945" s="46"/>
      <c r="CL945" s="46"/>
      <c r="CM945" s="46"/>
      <c r="CN945" s="46"/>
      <c r="CO945" s="46"/>
      <c r="CP945" s="46"/>
      <c r="CQ945" s="46"/>
      <c r="CR945" s="46"/>
      <c r="CS945" s="46"/>
      <c r="CT945" s="46"/>
      <c r="CU945" s="46"/>
    </row>
    <row r="946" spans="1:99" ht="12.75" customHeight="1">
      <c r="A946" s="399">
        <v>1761</v>
      </c>
      <c r="B946" s="399" t="s">
        <v>6633</v>
      </c>
      <c r="C946" s="399">
        <f t="shared" si="117"/>
        <v>1761</v>
      </c>
      <c r="D946" s="399" t="e">
        <f t="shared" ca="1" si="144"/>
        <v>#NAME?</v>
      </c>
      <c r="E946" s="399" t="str">
        <f t="shared" si="145"/>
        <v>Insurance</v>
      </c>
      <c r="F946" s="399" t="str">
        <f t="shared" si="146"/>
        <v>Input Option</v>
      </c>
      <c r="G946" s="400">
        <f t="shared" si="129"/>
        <v>16</v>
      </c>
      <c r="H946" s="399" t="str">
        <f t="shared" si="133"/>
        <v>Payment method</v>
      </c>
      <c r="I946" s="400"/>
      <c r="J946" s="400"/>
      <c r="K946" s="402" t="s">
        <v>6392</v>
      </c>
      <c r="L946" s="402" t="s">
        <v>3093</v>
      </c>
      <c r="M946" s="400"/>
      <c r="N946" s="775" t="s">
        <v>6582</v>
      </c>
      <c r="O946" s="407"/>
      <c r="P946" s="529"/>
      <c r="Q946" s="529"/>
      <c r="R946" s="529"/>
      <c r="S946" s="529"/>
      <c r="T946" s="529"/>
      <c r="U946" s="529"/>
      <c r="V946" s="529" t="s">
        <v>6635</v>
      </c>
      <c r="W946" s="529"/>
      <c r="X946" s="529"/>
      <c r="Y946" s="529"/>
      <c r="Z946" s="529"/>
      <c r="AA946" s="529"/>
      <c r="AB946" s="778"/>
      <c r="AC946" s="529"/>
      <c r="AD946" s="529"/>
      <c r="AE946" s="778"/>
      <c r="AF946" s="529"/>
      <c r="AG946" s="529"/>
      <c r="AH946" s="399"/>
      <c r="AI946" s="400"/>
      <c r="AJ946" s="399"/>
      <c r="AK946" s="410"/>
      <c r="AL946" s="399"/>
      <c r="AM946" s="409" t="s">
        <v>3314</v>
      </c>
      <c r="AN946" s="409" t="s">
        <v>3101</v>
      </c>
      <c r="AO946" s="399"/>
      <c r="AP946" s="399"/>
      <c r="AQ946" s="409" t="s">
        <v>3424</v>
      </c>
      <c r="AR946" s="399"/>
      <c r="AS946" s="399"/>
      <c r="AT946" s="399"/>
      <c r="AU946" s="399" t="s">
        <v>6633</v>
      </c>
      <c r="AV946" s="399" t="str">
        <f t="shared" si="123"/>
        <v>Same</v>
      </c>
      <c r="AW946" s="399"/>
      <c r="AX946" s="409" t="s">
        <v>3104</v>
      </c>
      <c r="AY946" s="399" t="e">
        <f t="shared" ca="1" si="147"/>
        <v>#NAME?</v>
      </c>
      <c r="AZ946" s="399"/>
      <c r="BA946" s="409">
        <v>1</v>
      </c>
      <c r="BB946" s="415" t="s">
        <v>3131</v>
      </c>
      <c r="BC946" s="409" t="s">
        <v>9711</v>
      </c>
      <c r="BD946" s="409" t="s">
        <v>3162</v>
      </c>
      <c r="BE946" s="411"/>
      <c r="BF946" s="411"/>
      <c r="BG946" s="411"/>
      <c r="BH946" s="411"/>
      <c r="BI946" s="411"/>
      <c r="BJ946" s="399"/>
      <c r="BK946" s="399"/>
      <c r="BL946" s="399"/>
      <c r="BM946" s="409" t="s">
        <v>9712</v>
      </c>
      <c r="BN946" s="399"/>
      <c r="BO946" s="399"/>
      <c r="BP946" s="399"/>
      <c r="BQ946" s="399"/>
      <c r="BR946" s="399"/>
      <c r="BS946" s="407"/>
      <c r="BT946" s="407"/>
      <c r="BU946" s="412"/>
      <c r="BV946" s="46" t="str">
        <f t="shared" si="8"/>
        <v/>
      </c>
      <c r="BW946" s="46">
        <f t="shared" si="9"/>
        <v>0</v>
      </c>
      <c r="BX946" s="46">
        <f t="shared" si="10"/>
        <v>0</v>
      </c>
      <c r="BY946" s="43" t="str">
        <f t="shared" si="11"/>
        <v>WHO-Core Coverage (Insurance)</v>
      </c>
      <c r="BZ946" s="46">
        <f t="shared" si="12"/>
        <v>1</v>
      </c>
      <c r="CA946" s="46" t="str">
        <f t="shared" si="13"/>
        <v/>
      </c>
      <c r="CB946" s="46">
        <f t="shared" si="14"/>
        <v>0</v>
      </c>
      <c r="CC946" s="46">
        <f t="shared" si="15"/>
        <v>0</v>
      </c>
      <c r="CD946" s="46">
        <f t="shared" si="16"/>
        <v>0</v>
      </c>
      <c r="CE946" s="46">
        <f t="shared" si="17"/>
        <v>0</v>
      </c>
      <c r="CF946" s="46">
        <f t="shared" si="18"/>
        <v>1</v>
      </c>
      <c r="CG946" s="46" t="str">
        <f ca="1">IFERROR(__xludf.DUMMYFUNCTION("if(OR(BH946="""",LEFT(BH946,2)=""LA""),"""",IMPORTXML(CONCATENATE(""https://loinc.org/"",BH946,""/""),""//span[@id='lcn']""))"),"")</f>
        <v/>
      </c>
      <c r="CH946" s="46"/>
      <c r="CI946" s="46"/>
      <c r="CJ946" s="46"/>
      <c r="CK946" s="46"/>
      <c r="CL946" s="46"/>
      <c r="CM946" s="46"/>
      <c r="CN946" s="46"/>
      <c r="CO946" s="46"/>
      <c r="CP946" s="46"/>
      <c r="CQ946" s="46"/>
      <c r="CR946" s="46"/>
      <c r="CS946" s="46"/>
      <c r="CT946" s="46"/>
      <c r="CU946" s="46"/>
    </row>
  </sheetData>
  <customSheetViews>
    <customSheetView guid="{D239FA27-35EC-4BC5-A6A3-E0FE4BC5930E}" filter="1" showAutoFilter="1">
      <pageMargins left="0.7" right="0.7" top="0.75" bottom="0.75" header="0.3" footer="0.3"/>
      <autoFilter ref="A2:CU946" xr:uid="{00000000-0000-0000-0000-000000000000}">
        <filterColumn colId="80">
          <filters>
            <filter val="0"/>
          </filters>
        </filterColumn>
        <filterColumn colId="83">
          <filters>
            <filter val="0"/>
          </filters>
        </filterColumn>
      </autoFilter>
    </customSheetView>
    <customSheetView guid="{3A09F572-6D30-437C-9D10-7A6AD8F0A1E0}" filter="1" showAutoFilter="1">
      <pageMargins left="0.7" right="0.7" top="0.75" bottom="0.75" header="0.3" footer="0.3"/>
      <autoFilter ref="A2:CU946" xr:uid="{00000000-0000-0000-0000-000000000000}">
        <filterColumn colId="49">
          <filters>
            <filter val="FP"/>
          </filters>
        </filterColumn>
      </autoFilter>
    </customSheetView>
    <customSheetView guid="{98CD094D-07F9-4FEB-8D38-F09817B7D2FD}" filter="1" showAutoFilter="1">
      <pageMargins left="0.7" right="0.7" top="0.75" bottom="0.75" header="0.3" footer="0.3"/>
      <autoFilter ref="A2:CU946" xr:uid="{00000000-0000-0000-0000-000000000000}">
        <filterColumn colId="5">
          <filters>
            <filter val="Calculation"/>
            <filter val="Data Element"/>
            <filter val="Input Option"/>
            <filter val="Slice"/>
          </filters>
        </filterColumn>
        <filterColumn colId="16">
          <filters>
            <filter val="[Unknown checkbox for HIV diagnosis date inline with {hiv_diagnosis_date}]"/>
            <filter val="Abnormal (specify)"/>
            <filter val="Age (calculated)"/>
            <filter val="Anatomical abnormalities"/>
            <filter val="Anemias"/>
            <filter val="Anticonvulsant therapy"/>
            <filter val="Antimicrobial therapy"/>
            <filter val="Antiretroviral therapy"/>
            <filter val="Backup method needed"/>
            <filter val="Backup method provided"/>
            <filter val="Benign ovarian tumors (including cysts)"/>
            <filter val="Bimanual exam"/>
            <filter val="Blood haemoglobin test"/>
            <filter val="Blood pressure screening recommended"/>
            <filter val="Breast cancer"/>
            <filter val="Breast disease"/>
            <filter val="Breast Exam"/>
            <filter val="Breastfeeding status"/>
            <filter val="Cardiovascular disease"/>
            <filter val="Cardiovascular disease category"/>
            <filter val="Cardiovascular risk factor"/>
            <filter val="Cervical cancer awaiting treatment"/>
            <filter val="Cervical ectropion"/>
            <filter val="Cervical neoplasia"/>
            <filter val="Check need for pregnancy test"/>
            <filter val="Cirrhosis"/>
            <filter val="Client choice to not use contraception"/>
            <filter val="Clinical exam type"/>
            <filter val="Clinical examination"/>
            <filter val="Clinical status"/>
            <filter val="Communication date"/>
            <filter val="Complicated condition"/>
            <filter val="Condition type"/>
            <filter val="Consider emergency contraception"/>
            <filter val="Contact client"/>
            <filter val="Contact notes"/>
            <filter val="Contact with partner by the facility staff"/>
            <filter val="Contacting of partner"/>
            <filter val="Correct and consistent contraceptive use"/>
            <filter val="Counseling recommendations"/>
            <filter val="Current ischemic heart disease"/>
            <filter val="Current medications"/>
            <filter val="Current STI Treatment"/>
            <filter val="Date of birth unknown"/>
            <filter val="Date of medical eligibility check"/>
            <filter val="Date of treatment"/>
            <filter val="Days late in applying patch"/>
            <filter val="Days since start of last normal menses"/>
            <filter val="Deep venous thrombosis (DVT)/Pulmonary embolism (PE)"/>
            <filter val="Diabetes"/>
            <filter val="Diagnosis"/>
            <filter val="Dosage"/>
            <filter val="Drug form"/>
            <filter val="Drug warnings"/>
            <filter val="Dyslipidemias"/>
            <filter val="Endometrial cancer"/>
            <filter val="Endometriosis"/>
            <filter val="Exposed to a communicable disease"/>
            <filter val="External genital"/>
            <filter val="Femoral bubo"/>
            <filter val="Gallbladder disease"/>
            <filter val="Gastrointestinal conditions"/>
            <filter val="Gestational trophoblastic disease"/>
            <filter val="Gestational trophoblastic disease category"/>
            <filter val="Gynaecologic problem identified"/>
            <filter val="Headache category"/>
            <filter val="Headaches"/>
            <filter val="High prevalence"/>
            <filter val="History of cholestasis"/>
            <filter val="History of contraceptive use"/>
            <filter val="History of high blood pressure during pregnancy"/>
            <filter val="History of hypertension"/>
            <filter val="History of ischemic heart disease"/>
            <filter val="History of pelvic surgery"/>
            <filter val="History of STIs"/>
            <filter val="History of trauma"/>
            <filter val="HIV"/>
            <filter val="HIV diagnosis date"/>
            <filter val="HIV positive counseling"/>
            <filter val="HIV test not done"/>
            <filter val="Hours late in taking pill"/>
            <filter val="How method is being provided"/>
            <filter val="Hypertension"/>
            <filter val="Hypertension status"/>
            <filter val="Implant removal"/>
            <filter val="Increased risk of STIs"/>
            <filter val="Informed consent requirements"/>
            <filter val="Inguinal bubo"/>
            <filter val="Injection cycle"/>
            <filter val="Insertion of IUD"/>
            <filter val="Insertion of subcutaneous contraceptive (procedure)"/>
            <filter val="Intercourse since last normal menses"/>
            <filter val="Issues and concerns"/>
            <filter val="IUD Insertion not possible"/>
            <filter val="IUD removal"/>
            <filter val="Keeping method"/>
            <filter val="Lactating"/>
            <filter val="Late change in patch"/>
            <filter val="LGV follow-up"/>
            <filter val="Liver diseases"/>
            <filter val="Malaria"/>
            <filter val="Medical eligibility - number classification"/>
            <filter val="Medical eligibility - text classification"/>
            <filter val="Medications"/>
            <filter val="Method at exit - reported"/>
            <filter val="Method in mind"/>
            <filter val="Method of diagnosis"/>
            <filter val="Method requested"/>
            <filter val="Miscarriage or abortion stage of pregnancy"/>
            <filter val="Missed or late menses"/>
            <filter val="NA"/>
            <filter val="Neurological category"/>
            <filter val="No method for other reasons"/>
            <filter val="No sexual contact since last delivery"/>
            <filter val="No sexual contact since last miscarriage or abortion"/>
            <filter val="Number of cardiovascular risk factors"/>
            <filter val="Number of missed hormonal pills"/>
            <filter val="Obese"/>
            <filter val="Observations"/>
            <filter val="Other Reproductive Tract Infection"/>
            <filter val="Ovarian cancer"/>
            <filter val="Partner communication consent"/>
            <filter val="Partner has symptoms"/>
            <filter val="Partner HIV status"/>
            <filter val="Partner management recommended"/>
            <filter val="Partner name"/>
            <filter val="Past ectopic pregnancy"/>
            <filter val="Past STI treatment"/>
            <filter val="Pelvic inflammatory disease (PID)"/>
            <filter val="Pelvic/genital examination needed"/>
            <filter val="Pelvic/genital examination outcome"/>
            <filter val="Perform pregnancy test"/>
            <filter val="Physical Examination"/>
            <filter val="Pregnancy intention"/>
            <filter val="Pregnancy test available"/>
            <filter val="Pregnancy test recommended"/>
            <filter val="Prescribed drugs"/>
            <filter val="Puerperal sepsis"/>
            <filter val="Quantity of backup method provided"/>
            <filter val="Reason contact not made"/>
            <filter val="Reason for no method at exit"/>
            <filter val="Reason for stopping method"/>
            <filter val="Reason for visit"/>
            <filter val="Recent abortion or miscarriage"/>
            <filter val="Recent miscarriage or post-abortion"/>
            <filter val="Recent syphilis treatment"/>
            <filter val="Referral"/>
            <filter val="Reported symptoms"/>
            <filter val="Reproductive and tract infections or disorders"/>
            <filter val="Risk assessment conducted"/>
            <filter val="Route of adminstration"/>
            <filter val="Routine laboratory tests"/>
            <filter val="Schistosomiasis"/>
            <filter val="Screening"/>
            <filter val="Screening type"/>
            <filter val="Screenings performed"/>
            <filter val="Sensitivity of pregnancy test"/>
            <filter val="Severe dysmenorrhea"/>
            <filter val="Sexually transmitted infections (STIs)"/>
            <filter val="Signs of fever"/>
            <filter val="Signs of shock"/>
            <filter val="Smoker"/>
            <filter val="Smoking category"/>
            <filter val="Specimen collection"/>
            <filter val="Speculum"/>
            <filter val="Stage of condition"/>
            <filter val="STI Treatment date"/>
            <filter val="STI treatment medication history"/>
            <filter val="STI/HIV Screening laboratory tests"/>
            <filter val="Stroke (history of cerebrovascular accident)"/>
            <filter val="Systemic lupus erythematosus category"/>
            <filter val="Test results"/>
            <filter val="Test status"/>
            <filter val="Thyroid disorder category"/>
            <filter val="Time since last injection"/>
            <filter val="Treatment recommendation"/>
            <filter val="Tuberculosis"/>
            <filter val="Type of backup method provided"/>
            <filter val="Type of treatment"/>
            <filter val="Unscheduled detachment of patch"/>
            <filter val="Uterine fibroids"/>
            <filter val="Vaginal bleeding patterns"/>
            <filter val="Valvular heart disease"/>
            <filter val="Valvular heart disease category"/>
            <filter val="Vasectomy"/>
            <filter val="Venous thrombo-embolism category"/>
            <filter val="Viral hepatitis"/>
            <filter val="Voluntarily refrains from sexual intercourse"/>
            <filter val="Voluntary Informed Consent"/>
            <filter val="Week of cycle"/>
          </filters>
        </filterColumn>
        <filterColumn colId="49">
          <filters>
            <filter val="FP"/>
            <filter val="Core"/>
          </filters>
        </filterColumn>
      </autoFilter>
    </customSheetView>
    <customSheetView guid="{DB30BF44-97D7-4039-B73C-7E03CD71EA63}" filter="1" showAutoFilter="1">
      <pageMargins left="0.7" right="0.7" top="0.75" bottom="0.75" header="0.3" footer="0.3"/>
      <autoFilter ref="A2:CU946" xr:uid="{00000000-0000-0000-0000-000000000000}">
        <filterColumn colId="49">
          <filters>
            <filter val="Core"/>
          </filters>
        </filterColumn>
        <filterColumn colId="79">
          <filters>
            <filter val="1"/>
          </filters>
        </filterColumn>
      </autoFilter>
    </customSheetView>
    <customSheetView guid="{1D6A24B6-729B-48D7-8CB9-B294C0358362}" filter="1" showAutoFilter="1">
      <pageMargins left="0.7" right="0.7" top="0.75" bottom="0.75" header="0.3" footer="0.3"/>
      <autoFilter ref="A2:CU946" xr:uid="{00000000-0000-0000-0000-000000000000}">
        <filterColumn colId="5">
          <filters>
            <filter val="UI Element"/>
          </filters>
        </filterColumn>
      </autoFilter>
    </customSheetView>
    <customSheetView guid="{21890E29-07F1-4CCD-9E6E-3D2BD5037CC1}" filter="1" showAutoFilter="1">
      <pageMargins left="0.7" right="0.7" top="0.75" bottom="0.75" header="0.3" footer="0.3"/>
      <autoFilter ref="A2:CF946" xr:uid="{00000000-0000-0000-0000-000000000000}">
        <filterColumn colId="42">
          <filters blank="1">
            <filter val="JA - Issue"/>
            <filter val="Js"/>
          </filters>
        </filterColumn>
      </autoFilter>
    </customSheetView>
    <customSheetView guid="{5E8E4703-A772-4A38-A546-8001D6B7D80A}" filter="1" showAutoFilter="1">
      <pageMargins left="0.7" right="0.7" top="0.75" bottom="0.75" header="0.3" footer="0.3"/>
      <autoFilter ref="A2:CF946" xr:uid="{00000000-0000-0000-0000-000000000000}">
        <filterColumn colId="5">
          <filters>
            <filter val="Input Option"/>
          </filters>
        </filterColumn>
        <filterColumn colId="52">
          <filters>
            <filter val="1"/>
            <filter val="ST"/>
          </filters>
        </filterColumn>
      </autoFilter>
    </customSheetView>
    <customSheetView guid="{327BF662-AC2B-46DC-9C16-2DAC9F1D6CF6}" filter="1" showAutoFilter="1">
      <pageMargins left="0.7" right="0.7" top="0.75" bottom="0.75" header="0.3" footer="0.3"/>
      <autoFilter ref="A2:CF946" xr:uid="{00000000-0000-0000-0000-000000000000}">
        <filterColumn colId="65">
          <filters>
            <filter val="11"/>
            <filter val="14 (also 6)"/>
            <filter val="14 (closed)"/>
            <filter val="17"/>
            <filter val="18, 99"/>
            <filter val="21"/>
            <filter val="22"/>
            <filter val="23"/>
            <filter val="24"/>
            <filter val="25"/>
            <filter val="26 (Closed)"/>
            <filter val="27"/>
            <filter val="32"/>
            <filter val="34"/>
            <filter val="38"/>
            <filter val="39"/>
            <filter val="40"/>
            <filter val="41"/>
            <filter val="42"/>
            <filter val="43"/>
            <filter val="44"/>
            <filter val="45"/>
            <filter val="49"/>
            <filter val="5 (closed)"/>
            <filter val="50"/>
            <filter val="54"/>
            <filter val="64"/>
            <filter val="65"/>
            <filter val="66"/>
            <filter val="67"/>
            <filter val="68"/>
            <filter val="69"/>
            <filter val="7 (Closed)"/>
            <filter val="70"/>
            <filter val="71"/>
            <filter val="72"/>
            <filter val="73 (closed)"/>
            <filter val="76"/>
            <filter val="8 (Closed)"/>
            <filter val="80"/>
            <filter val="85"/>
            <filter val="86"/>
            <filter val="9 (Closed)"/>
            <filter val="90"/>
            <filter val="94"/>
            <filter val="95"/>
            <filter val="Brinn"/>
            <filter val="clarification"/>
            <filter val="clarify with Brinn"/>
            <filter val="https://github.com/who-int/Data-Dictionary-Mapping/issues/100"/>
            <filter val="https://github.com/who-int/Data-Dictionary-Mapping/issues/61"/>
          </filters>
        </filterColumn>
      </autoFilter>
    </customSheetView>
    <customSheetView guid="{5ED98765-8C1E-4E68-B213-514D8A13B7AC}" filter="1" showAutoFilter="1">
      <pageMargins left="0.7" right="0.7" top="0.75" bottom="0.75" header="0.3" footer="0.3"/>
      <autoFilter ref="A2:CF946" xr:uid="{00000000-0000-0000-0000-000000000000}">
        <filterColumn colId="5">
          <filters>
            <filter val="Calculation"/>
            <filter val="Data Element"/>
            <filter val="Input Option"/>
            <filter val="UI Element"/>
          </filters>
        </filterColumn>
        <filterColumn colId="11">
          <filters blank="1">
            <filter val="Contraception"/>
            <filter val="Diagnosis"/>
            <filter val="General Family Planning"/>
            <filter val="Medical (non-sexual) History"/>
            <filter val="Medical Exam"/>
            <filter val="Medical Tests"/>
            <filter val="Pregnancy"/>
            <filter val="STI"/>
          </filters>
        </filterColumn>
      </autoFilter>
    </customSheetView>
    <customSheetView guid="{D4BDEF3A-8CAC-4565-941A-DB5D7F9E88E7}" filter="1" showAutoFilter="1">
      <pageMargins left="0.7" right="0.7" top="0.75" bottom="0.75" header="0.3" footer="0.3"/>
      <autoFilter ref="A2:CF946" xr:uid="{00000000-0000-0000-0000-000000000000}">
        <filterColumn colId="41">
          <filters>
            <filter val="WHO-Core AllergyIntolerance"/>
            <filter val="WHO-Core AllergyIntolerance (Drug Allergies)"/>
            <filter val="WHO-Core Observation (Sexual History)"/>
            <filter val="WHO-Core Observation (Sexually Active)"/>
            <filter val="WHO-STI Observation (Syphilis Stage)"/>
          </filters>
        </filterColumn>
      </autoFilter>
    </customSheetView>
    <customSheetView guid="{D4996012-7903-4B50-B984-EB94761FE3DF}"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52">
          <filters>
            <filter val="1"/>
            <filter val="ST"/>
          </filters>
        </filterColumn>
        <filterColumn colId="83">
          <filters>
            <filter val="1"/>
          </filters>
        </filterColumn>
      </autoFilter>
    </customSheetView>
    <customSheetView guid="{EA0A6E36-CD1D-4617-9419-60E10C05CEB9}" filter="1" showAutoFilter="1">
      <pageMargins left="0.7" right="0.7" top="0.75" bottom="0.75" header="0.3" footer="0.3"/>
      <autoFilter ref="A2:CF946" xr:uid="{00000000-0000-0000-0000-000000000000}">
        <filterColumn colId="5">
          <filters>
            <filter val="Calculation"/>
            <filter val="Data Element"/>
            <filter val="Input Option"/>
            <filter val="UI Element"/>
          </filters>
        </filterColumn>
        <filterColumn colId="11">
          <filters blank="1">
            <filter val="Medical (non-sexual) history"/>
          </filters>
        </filterColumn>
      </autoFilter>
    </customSheetView>
    <customSheetView guid="{0AD1BDFB-65A7-4221-8848-882FC5274F16}"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Appointment (Visit)"/>
            <filter val="WHO-Core CarePlan (Follow-up)"/>
            <filter val="WHO-Core CarePlan (Intake Contraceptive Method)"/>
            <filter val="WHO-Core CarePlan (Prior Contraceptive Methods)"/>
            <filter val="WHO-Core DeviceUseStatement (Intake Contraceptive Method)"/>
            <filter val="WHO-Core MedicationStatement (Current Contraceptive Methods)"/>
            <filter val="WHO-Core MedicationStatement (Current Medication)"/>
            <filter val="WHO-Core Observation (Clinical Observations)"/>
            <filter val="WHO-Core Practitioner"/>
            <filter val="WHO-Core Procedure (Intake Contraceptive Method)"/>
            <filter val="WHO-FP CarePlan (Backup Contraceptive Method)"/>
            <filter val="WHO-FP CarePlan (Recommendation)"/>
            <filter val="WHO-FP CarePlan (Requested Contraceptive Method)"/>
            <filter val="WHO-FP Condition (Medical Eligibility)"/>
            <filter val="WHO-FP Consent"/>
            <filter val="WHO-FP Encounter"/>
            <filter val="WHO-FP Encounter (Contraception Issues and Concerns)"/>
            <filter val="WHO-FP HealthcareService"/>
            <filter val="WHO-FP MedicationStatement (Current Medication)"/>
            <filter val="WHO-FP Observation (Medical Eligibility)"/>
            <filter val="WHO-FP Observation (Reason for Stopping Contraception)"/>
            <filter val="WHO-FP Observation (Test Results)"/>
            <filter val="WHO-FP Procedure (Service Provided)"/>
            <filter val="WHO-STI MedicationAdministration"/>
            <filter val="WHO-STI Observation (Signs of Fever)"/>
            <filter val="WHO-STI Observation (Signs of Shock)"/>
            <filter val="WHO-STI Observation (STI Screening)"/>
            <filter val="WHO-STI Observation (Syphilis Stage)"/>
            <filter val="WHO-STI Procedure (Service Provided)"/>
            <filter val="WHO-STI Specimen"/>
          </filters>
        </filterColumn>
        <filterColumn colId="42">
          <filters>
            <filter val="JA - Issue"/>
            <filter val="Js"/>
            <filter val="NA"/>
          </filters>
        </filterColumn>
      </autoFilter>
    </customSheetView>
    <customSheetView guid="{1AD5E13D-8282-4996-B5F2-FAE2F91BDD47}" filter="1" showAutoFilter="1">
      <pageMargins left="0.7" right="0.7" top="0.75" bottom="0.75" header="0.3" footer="0.3"/>
      <autoFilter ref="A2:CF946" xr:uid="{00000000-0000-0000-0000-000000000000}">
        <sortState ref="A2:CF946">
          <sortCondition ref="AK2:AK946"/>
        </sortState>
      </autoFilter>
    </customSheetView>
    <customSheetView guid="{1910C54C-1C24-4895-9296-FDD18CE4A0F0}"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42">
          <filters blank="1">
            <filter val="JA - Issue"/>
            <filter val="Js"/>
            <filter val="NA"/>
          </filters>
        </filterColumn>
        <filterColumn colId="52">
          <filters>
            <filter val="1"/>
            <filter val="ST"/>
          </filters>
        </filterColumn>
      </autoFilter>
    </customSheetView>
    <customSheetView guid="{8F576433-2BDA-4FDB-A08C-FD5165E39445}" filter="1" showAutoFilter="1">
      <pageMargins left="0.7" right="0.7" top="0.75" bottom="0.75" header="0.3" footer="0.3"/>
      <autoFilter ref="A2:CF946" xr:uid="{00000000-0000-0000-0000-000000000000}">
        <filterColumn colId="52">
          <filters>
            <filter val="1"/>
            <filter val="ST"/>
          </filters>
        </filterColumn>
        <filterColumn colId="81">
          <filters>
            <filter val="0"/>
          </filters>
        </filterColumn>
        <filterColumn colId="82">
          <filters>
            <filter val="1"/>
          </filters>
        </filterColumn>
      </autoFilter>
    </customSheetView>
    <customSheetView guid="{ED94E422-E2CE-49DE-9A56-EFCA444D8146}" filter="1" showAutoFilter="1">
      <pageMargins left="0.7" right="0.7" top="0.75" bottom="0.75" header="0.3" footer="0.3"/>
      <autoFilter ref="A2:CF946" xr:uid="{00000000-0000-0000-0000-000000000000}">
        <filterColumn colId="0">
          <filters>
            <filter val="1795"/>
            <filter val="1937"/>
            <filter val="2382"/>
            <filter val="2383"/>
            <filter val="2384"/>
          </filters>
        </filterColumn>
      </autoFilter>
    </customSheetView>
    <customSheetView guid="{B47698A9-9BD3-45EE-8D37-F2A9BC94FF9E}" filter="1" showAutoFilter="1">
      <pageMargins left="0.7" right="0.7" top="0.75" bottom="0.75" header="0.3" footer="0.3"/>
      <autoFilter ref="A2:CF946" xr:uid="{00000000-0000-0000-0000-000000000000}">
        <filterColumn colId="42">
          <filters>
            <filter val="JA - Issue"/>
            <filter val="Js"/>
          </filters>
        </filterColumn>
      </autoFilter>
    </customSheetView>
    <customSheetView guid="{4CA0E785-75CE-4B6E-9168-540183A0F94A}" filter="1" showAutoFilter="1">
      <pageMargins left="0.7" right="0.7" top="0.75" bottom="0.75" header="0.3" footer="0.3"/>
      <autoFilter ref="A2:CF946" xr:uid="{00000000-0000-0000-0000-000000000000}">
        <filterColumn colId="5">
          <filters>
            <filter val="Input Option"/>
          </filters>
        </filterColumn>
        <filterColumn colId="61">
          <filters>
            <filter val="No ICD-10 code available"/>
            <filter val="No LOINC code available"/>
            <filter val="No RXNorm code available"/>
            <filter val="No SNOMED code available"/>
          </filters>
        </filterColumn>
      </autoFilter>
    </customSheetView>
    <customSheetView guid="{C8C186E7-7A33-445E-9552-C00D7A51E357}" filter="1" showAutoFilter="1">
      <pageMargins left="0.7" right="0.7" top="0.75" bottom="0.75" header="0.3" footer="0.3"/>
      <autoFilter ref="A2:CF946" xr:uid="{00000000-0000-0000-0000-000000000000}">
        <filterColumn colId="44">
          <filters>
            <filter val="Extensible"/>
          </filters>
        </filterColumn>
      </autoFilter>
    </customSheetView>
    <customSheetView guid="{496ADF04-19CB-4BE9-911C-E1F555A45686}"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CarePlan (Follow-up)"/>
            <filter val="WHO-Core Observation (Clinical Observations)"/>
            <filter val="WHO-Core Observation (HIV Care Enrollment)"/>
            <filter val="WHO-Core Observation (HIV Stage)"/>
            <filter val="WHO-Core Observation (HIV Status)"/>
            <filter val="WHO-Core Observation (Last Normal Menses)"/>
            <filter val="WHO-Core Observation (Never used contraception)"/>
            <filter val="WHO-Core Observation (Pregnancy Status)"/>
            <filter val="WHO-Core Observation (PrEP Status)"/>
            <filter val="WHO-Core Observation (STI Risk Factors)"/>
            <filter val="WHO-Core Observation (Temperature)"/>
            <filter val="WHO-FP CarePlan (Backup Contraceptive Method)"/>
            <filter val="WHO-FP CarePlan (Exit Contraceptive Method)"/>
            <filter val="WHO-FP CarePlan (Recommendation)"/>
            <filter val="WHO-FP CarePlan (Requested Contraceptive Method)"/>
            <filter val="WHO-FP Condition (Medical Eligibility)"/>
            <filter val="WHO-FP Consent"/>
            <filter val="WHO-FP DeviceUseStatement (Exit Contraceptive Method)"/>
            <filter val="WHO-FP DeviceUseStatement (Requested Contraceptive Method)"/>
            <filter val="WHO-FP Encounter"/>
            <filter val="WHO-FP Encounter (Contraception Issues and Concerns)"/>
            <filter val="WHO-FP HealthcareService"/>
            <filter val="WHO-FP MedicationStatement (Current Medication)"/>
            <filter val="WHO-FP MedicationStatement (Exit Contraceptive Method)"/>
            <filter val="WHO-FP MedicationStatement (Requested Contraceptive Method)"/>
            <filter val="WHO-FP Observation (Breastfeeding Status)"/>
            <filter val="WHO-FP Observation (Days since Last Normal Menses)"/>
            <filter val="WHO-FP Observation (Intercourse since Last Normal Menses)"/>
            <filter val="WHO-FP Observation (Medical eligibility number)"/>
            <filter val="WHO-FP Observation (Medical eligibility text)"/>
            <filter val="WHO-FP Observation (Medical Eligibility)"/>
            <filter val="WHO-FP Observation (Missed or Late Menses)"/>
            <filter val="WHO-FP Observation (Pregnancy Intention)"/>
            <filter val="WHO-FP Observation (Reason for no contraceptive method at exit)"/>
            <filter val="WHO-FP Observation (Reason for Stopping Contraception)"/>
            <filter val="WHO-FP Observation (Smoking Status)"/>
            <filter val="WHO-FP Observation (Test Results)"/>
            <filter val="WHO-FP Procedure (Exit Contraceptive Method)"/>
            <filter val="WHO-FP Procedure (Requested Contraceptive Method)"/>
            <filter val="WHO-FP Procedure (Service Provided)"/>
            <filter val="WHO-STI CarePlan (Recommendation)"/>
            <filter val="WHO-STI Communication (Partner)"/>
            <filter val="WHO-STI Condition (Diagnosis)"/>
            <filter val="WHO-STI Condition (HIV)"/>
            <filter val="WHO-STI Condition (STI History)"/>
            <filter val="WHO-STI Medication"/>
            <filter val="WHO-STI MedicationAdministration"/>
            <filter val="WHO-STI MedicationStatement (Current Medication)"/>
            <filter val="WHO-STI MedicationStatement (Medication History)"/>
            <filter val="WHO-STI Observation (Current STI Treatment)"/>
            <filter val="WHO-STI Observation (Disease Exposure)"/>
            <filter val="WHO-STI Observation (External Genital Examination)"/>
            <filter val="WHO-STI Observation (Increased STI Risk)"/>
            <filter val="WHO-STI Observation (LGV Follow-up)"/>
            <filter val="WHO-STI Observation (Partner HIV Status)"/>
            <filter val="WHO-STI Observation (Partner Symptoms)"/>
            <filter val="WHO-STI Observation (Past STI Treatment)"/>
            <filter val="WHO-STI Observation (Recent Abortion or Miscarriage)"/>
            <filter val="WHO-STI Observation (Recent Syphilis Treatment)"/>
            <filter val="WHO-STI Observation (Reported Symptoms)"/>
            <filter val="WHO-STI Observation (Risk Assessment)"/>
            <filter val="WHO-STI Observation (Signs of Fever)"/>
            <filter val="WHO-STI Observation (Signs of Shock)"/>
            <filter val="WHO-STI Observation (Speculum Examination)"/>
            <filter val="WHO-STI Observation (STI Screening)"/>
            <filter val="WHO-STI Observation (Syphilis Stage)"/>
            <filter val="WHO-STI Observation (Trauma History)"/>
            <filter val="WHO-STI Patient"/>
            <filter val="WHO-STI Procedure (Service Provided)"/>
            <filter val="WHO-STI Specimen"/>
          </filters>
        </filterColumn>
        <filterColumn colId="49">
          <filters>
            <filter val="Core"/>
          </filters>
        </filterColumn>
        <filterColumn colId="52">
          <filters>
            <filter val="1"/>
            <filter val="ST"/>
          </filters>
        </filterColumn>
      </autoFilter>
    </customSheetView>
    <customSheetView guid="{EF1711DB-6701-4D1C-A0EA-CB328F58ABF2}" filter="1" showAutoFilter="1">
      <pageMargins left="0.7" right="0.7" top="0.75" bottom="0.75" header="0.3" footer="0.3"/>
      <autoFilter ref="A2:CF946" xr:uid="{00000000-0000-0000-0000-000000000000}">
        <filterColumn colId="11">
          <filters blank="1">
            <filter val="Medical (non-sexual) History"/>
            <filter val="STI"/>
          </filters>
        </filterColumn>
      </autoFilter>
    </customSheetView>
    <customSheetView guid="{EB10C32D-9FD2-4755-B6ED-D1A710D16A49}" filter="1" showAutoFilter="1">
      <pageMargins left="0.7" right="0.7" top="0.75" bottom="0.75" header="0.3" footer="0.3"/>
      <autoFilter ref="A2:CF946" xr:uid="{00000000-0000-0000-0000-000000000000}">
        <filterColumn colId="5">
          <filters>
            <filter val="Input Option"/>
          </filters>
        </filterColumn>
        <filterColumn colId="7">
          <filters blank="1">
            <filter val="Current medications"/>
            <filter val="Current STI Medications"/>
            <filter val="FP Recommended Care"/>
            <filter val="https://docs.google.com/document/d/1a9c1WPbC8DSWL7M6zDaryaYKkVRGik6txCbQc23MAyI/edit"/>
            <filter val="Miscarriage or Abortion"/>
            <filter val="Observations affecting Medical Eligibility"/>
            <filter val="Screening type"/>
            <filter val="STI Care Recommendation"/>
          </filters>
        </filterColumn>
      </autoFilter>
    </customSheetView>
    <customSheetView guid="{836E314E-5B9F-4069-BE66-1A0F4CF300DF}" filter="1" showAutoFilter="1">
      <pageMargins left="0.7" right="0.7" top="0.75" bottom="0.75" header="0.3" footer="0.3"/>
      <autoFilter ref="A2:CF946" xr:uid="{00000000-0000-0000-0000-000000000000}">
        <filterColumn colId="11">
          <filters blank="1">
            <filter val="Follow-up"/>
            <filter val="Medical (non-sexual) History"/>
          </filters>
        </filterColumn>
      </autoFilter>
    </customSheetView>
    <customSheetView guid="{1A7E4B2F-82CD-456B-BB55-180022A7F265}"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Appointment (Visit)"/>
            <filter val="WHO-Core CarePlan (Follow-up)"/>
            <filter val="WHO-Core CarePlan (Intake Contraceptive Method)"/>
            <filter val="WHO-Core CarePlan (Prior Contraceptive Methods)"/>
            <filter val="WHO-Core DeviceUseStatement (Intake Contraceptive Method)"/>
            <filter val="WHO-Core MedicationStatement (Current Contraceptive Methods)"/>
            <filter val="WHO-Core MedicationStatement (Current Medication)"/>
            <filter val="WHO-Core Observation (Clinical Observations)"/>
            <filter val="WHO-Core Practitioner"/>
            <filter val="WHO-Core Procedure (Intake Contraceptive Method)"/>
            <filter val="WHO-FP CarePlan (Backup Contraceptive Method)"/>
            <filter val="WHO-FP CarePlan (Recommendation)"/>
            <filter val="WHO-FP CarePlan (Requested Contraceptive Method)"/>
            <filter val="WHO-FP Condition (Medical Eligibility)"/>
            <filter val="WHO-FP Consent"/>
            <filter val="WHO-FP Encounter"/>
            <filter val="WHO-FP Encounter (Contraception Issues and Concerns)"/>
            <filter val="WHO-FP HealthcareService"/>
            <filter val="WHO-FP MedicationStatement (Current Medication)"/>
            <filter val="WHO-FP Observation (Medical Eligibility)"/>
            <filter val="WHO-FP Observation (Reason for Stopping Contraception)"/>
            <filter val="WHO-FP Observation (Test Results)"/>
            <filter val="WHO-FP Procedure (Service Provided)"/>
            <filter val="WHO-STI MedicationAdministration"/>
            <filter val="WHO-STI Observation (Signs of Fever)"/>
            <filter val="WHO-STI Observation (Signs of Shock)"/>
            <filter val="WHO-STI Observation (STI Screening)"/>
            <filter val="WHO-STI Observation (Syphilis Stage)"/>
            <filter val="WHO-STI Procedure (Service Provided)"/>
            <filter val="WHO-STI Specimen"/>
          </filters>
        </filterColumn>
        <filterColumn colId="42">
          <filters>
            <filter val="JA - Issue"/>
            <filter val="Js"/>
            <filter val="NA"/>
          </filters>
        </filterColumn>
      </autoFilter>
    </customSheetView>
    <customSheetView guid="{2A7C13AC-62B9-46A5-90F7-D656FA9D0F56}" filter="1" showAutoFilter="1">
      <pageMargins left="0.7" right="0.7" top="0.75" bottom="0.75" header="0.3" footer="0.3"/>
      <autoFilter ref="A2:CF946" xr:uid="{00000000-0000-0000-0000-000000000000}">
        <filterColumn colId="11">
          <filters blank="1">
            <filter val="Medical (non-sexual) history"/>
          </filters>
        </filterColumn>
      </autoFilter>
    </customSheetView>
    <customSheetView guid="{6F6EA894-D5E1-43D1-A418-F92EA904DC03}"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36">
          <filters>
            <filter val="AllergyIntolerance.code.text"/>
            <filter val="Appointment.end"/>
            <filter val="CarePlan.activity.detail.deliveryMethod"/>
            <filter val="CarePlan.activity.detail.kind"/>
            <filter val="CarePlan.activity.detail.reasonCode.text"/>
            <filter val="CarePlan.activity.detail.scheduled[x]"/>
            <filter val="Communication.payload.content[x]"/>
            <filter val="Condition.code.text"/>
            <filter val="Condition.STIConditionType"/>
            <filter val="Consent.policyRule.code"/>
            <filter val="DocumentReference.content.attachment"/>
            <filter val="Encounter.reasonCode.text"/>
            <filter val="Location.address"/>
            <filter val="Location.antimicrobialResistance"/>
            <filter val="Location.catchmentPopulation"/>
            <filter val="Location.identifier"/>
            <filter val="Location.infectionPrevalence"/>
            <filter val="Location.managingOrganization"/>
            <filter val="Location.name"/>
            <filter val="Location.openDate"/>
            <filter val="Location.position.latitude"/>
            <filter val="Location.position.longitude"/>
            <filter val="Location.systemRollout"/>
            <filter val="Location.type"/>
            <filter val="Medication.batch"/>
            <filter val="Medication.batch.expirationDate"/>
            <filter val="Medication.batch.lotNumber"/>
            <filter val="Medication.effectDuration"/>
            <filter val="Medication.identifier"/>
            <filter val="Medication.ingredient.strength"/>
            <filter val="Medication.manufacturer"/>
            <filter val="MedicationAdministration.dosage.unit"/>
            <filter val="MedicationDispense.dosageInstruction.timing"/>
            <filter val="MedicationDispense.dosageInstruction.timing.repeat"/>
            <filter val="MedicationDispense.note"/>
            <filter val="MedicationDispense.whenHandedOver"/>
            <filter val="MedicationStatement.medication[x].text"/>
            <filter val="MedicationStatement.treatmentType"/>
            <filter val="Observation.code"/>
            <filter val="Observation.code.text"/>
            <filter val="Observation.complicated"/>
            <filter val="Observation.effective[x]"/>
            <filter val="Observation.method"/>
            <filter val="Observation.note"/>
            <filter val="Observation.stage"/>
            <filter val="Observation.status"/>
            <filter val="Observation.value[x]"/>
            <filter val="Patient.address.city"/>
            <filter val="Patient.address.country"/>
            <filter val="Patient.address.postalCode"/>
            <filter val="Patient.address.state"/>
            <filter val="Patient.address.use"/>
            <filter val="Patient.contact"/>
            <filter val="Patient.deathCause"/>
            <filter val="Patient.deceased[x]"/>
            <filter val="Patient.insurance"/>
            <filter val="Patient.telecom"/>
            <filter val="Procedure.code.text"/>
            <filter val="Procedure.outcome.text"/>
            <filter val="ServiceRequest.note"/>
            <filter val="ServiceRequest.previousTreatment.code"/>
            <filter val="ServiceRequest.priority"/>
            <filter val="ServiceRequest.reasonCode"/>
            <filter val="ServiceRequest.requesterType"/>
          </filters>
        </filterColumn>
        <filterColumn colId="49">
          <filters>
            <filter val="Core"/>
          </filters>
        </filterColumn>
        <filterColumn colId="52">
          <filters>
            <filter val="1"/>
            <filter val="ST"/>
          </filters>
        </filterColumn>
      </autoFilter>
    </customSheetView>
    <customSheetView guid="{7332FD8C-C7BD-49EB-85B8-6A2A20F7F958}"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42">
          <filters blank="1">
            <filter val="JA - Issue"/>
            <filter val="Js"/>
          </filters>
        </filterColumn>
      </autoFilter>
    </customSheetView>
    <customSheetView guid="{7A3FF4CC-402F-4B7C-BD44-85B22C050823}" filter="1" showAutoFilter="1">
      <pageMargins left="0.7" right="0.7" top="0.75" bottom="0.75" header="0.3" footer="0.3"/>
      <autoFilter ref="A2:CF946" xr:uid="{00000000-0000-0000-0000-000000000000}">
        <filterColumn colId="42">
          <filters blank="1">
            <filter val="JA - Issue"/>
            <filter val="Js"/>
          </filters>
        </filterColumn>
      </autoFilter>
    </customSheetView>
  </customSheetViews>
  <conditionalFormatting sqref="BL389">
    <cfRule type="expression" dxfId="8" priority="1">
      <formula>OR(NOT(BC389=""),NOT(BJ389=""))</formula>
    </cfRule>
  </conditionalFormatting>
  <conditionalFormatting sqref="Q1:Q946">
    <cfRule type="expression" dxfId="7" priority="2">
      <formula>COUNTIF(Q:Q,Q1)&gt;1</formula>
    </cfRule>
  </conditionalFormatting>
  <conditionalFormatting sqref="R1:R946">
    <cfRule type="expression" dxfId="6" priority="3">
      <formula>COUNTIF(R:R,R1)&gt;1</formula>
    </cfRule>
  </conditionalFormatting>
  <conditionalFormatting sqref="BE3:BE946 BM465 BM470 BM727">
    <cfRule type="expression" dxfId="5" priority="4">
      <formula>OR(NOT(BC3=""),NOT(BJ3=""))</formula>
    </cfRule>
  </conditionalFormatting>
  <conditionalFormatting sqref="BG3:BG946 BM126">
    <cfRule type="expression" dxfId="4" priority="5">
      <formula>OR(NOT(BC3=""),NOT(BJ3=""))</formula>
    </cfRule>
  </conditionalFormatting>
  <conditionalFormatting sqref="BH3:BH946">
    <cfRule type="expression" dxfId="3" priority="6">
      <formula>OR(NOT(BC3=""),NOT(BJ3=""))</formula>
    </cfRule>
  </conditionalFormatting>
  <conditionalFormatting sqref="BI3:BI388 BI390:BI946 BL390:BL395 BL398:BL401 BM755 BM800">
    <cfRule type="expression" dxfId="2" priority="7">
      <formula>OR(NOT(BC3=""),NOT(BJ3=""))</formula>
    </cfRule>
  </conditionalFormatting>
  <conditionalFormatting sqref="A1:A946">
    <cfRule type="expression" dxfId="1" priority="8">
      <formula>COUNTIF(A:A,A1)&gt;1</formula>
    </cfRule>
  </conditionalFormatting>
  <conditionalFormatting sqref="A3:B946 BC206:BC208 H443 H447 H496 BC793 BC796:BC797">
    <cfRule type="expression" dxfId="0" priority="9">
      <formula>IF($BA3=0,TRUE,FALSE)</formula>
    </cfRule>
  </conditionalFormatting>
  <hyperlinks>
    <hyperlink ref="BB6" r:id="rId1" xr:uid="{00000000-0004-0000-0300-000000000000}"/>
    <hyperlink ref="BB7" r:id="rId2" xr:uid="{00000000-0004-0000-0300-000001000000}"/>
    <hyperlink ref="BB8" r:id="rId3" xr:uid="{00000000-0004-0000-0300-000002000000}"/>
    <hyperlink ref="BB9" r:id="rId4" xr:uid="{00000000-0004-0000-0300-000003000000}"/>
    <hyperlink ref="BB10" r:id="rId5" xr:uid="{00000000-0004-0000-0300-000004000000}"/>
    <hyperlink ref="BB11" r:id="rId6" xr:uid="{00000000-0004-0000-0300-000005000000}"/>
    <hyperlink ref="BB15" r:id="rId7" xr:uid="{00000000-0004-0000-0300-000006000000}"/>
    <hyperlink ref="BB16" r:id="rId8" xr:uid="{00000000-0004-0000-0300-000007000000}"/>
    <hyperlink ref="BB23" r:id="rId9" xr:uid="{00000000-0004-0000-0300-000008000000}"/>
    <hyperlink ref="BB24" r:id="rId10" xr:uid="{00000000-0004-0000-0300-000009000000}"/>
    <hyperlink ref="BB25" r:id="rId11" xr:uid="{00000000-0004-0000-0300-00000A000000}"/>
    <hyperlink ref="AR47" r:id="rId12" xr:uid="{00000000-0004-0000-0300-00000B000000}"/>
    <hyperlink ref="AM54" r:id="rId13" xr:uid="{00000000-0004-0000-0300-00000C000000}"/>
    <hyperlink ref="AM55" r:id="rId14" xr:uid="{00000000-0004-0000-0300-00000D000000}"/>
    <hyperlink ref="BB68" r:id="rId15" xr:uid="{00000000-0004-0000-0300-00000E000000}"/>
    <hyperlink ref="BB103" r:id="rId16" xr:uid="{00000000-0004-0000-0300-00000F000000}"/>
    <hyperlink ref="BM168" r:id="rId17" xr:uid="{00000000-0004-0000-0300-000010000000}"/>
    <hyperlink ref="BB171" r:id="rId18" xr:uid="{00000000-0004-0000-0300-000011000000}"/>
    <hyperlink ref="BB172" r:id="rId19" xr:uid="{00000000-0004-0000-0300-000012000000}"/>
    <hyperlink ref="BB173" r:id="rId20" xr:uid="{00000000-0004-0000-0300-000013000000}"/>
    <hyperlink ref="AR194" r:id="rId21" xr:uid="{00000000-0004-0000-0300-000014000000}"/>
    <hyperlink ref="AR195" r:id="rId22" xr:uid="{00000000-0004-0000-0300-000015000000}"/>
    <hyperlink ref="AR196" r:id="rId23" xr:uid="{00000000-0004-0000-0300-000016000000}"/>
    <hyperlink ref="AR197" r:id="rId24" xr:uid="{00000000-0004-0000-0300-000017000000}"/>
    <hyperlink ref="BB200" r:id="rId25" xr:uid="{00000000-0004-0000-0300-000018000000}"/>
    <hyperlink ref="BB201" r:id="rId26" xr:uid="{00000000-0004-0000-0300-000019000000}"/>
    <hyperlink ref="BB202" r:id="rId27" xr:uid="{00000000-0004-0000-0300-00001A000000}"/>
    <hyperlink ref="BB203" r:id="rId28" xr:uid="{00000000-0004-0000-0300-00001B000000}"/>
    <hyperlink ref="BB205" r:id="rId29" xr:uid="{00000000-0004-0000-0300-00001C000000}"/>
    <hyperlink ref="BB206" r:id="rId30" xr:uid="{00000000-0004-0000-0300-00001D000000}"/>
    <hyperlink ref="BB207" r:id="rId31" xr:uid="{00000000-0004-0000-0300-00001E000000}"/>
    <hyperlink ref="BB208" r:id="rId32" xr:uid="{00000000-0004-0000-0300-00001F000000}"/>
    <hyperlink ref="BB228" r:id="rId33" xr:uid="{00000000-0004-0000-0300-000020000000}"/>
    <hyperlink ref="BB254" r:id="rId34" xr:uid="{00000000-0004-0000-0300-000021000000}"/>
    <hyperlink ref="BB255" r:id="rId35" xr:uid="{00000000-0004-0000-0300-000022000000}"/>
    <hyperlink ref="BB260" r:id="rId36" xr:uid="{00000000-0004-0000-0300-000023000000}"/>
    <hyperlink ref="BB261" r:id="rId37" xr:uid="{00000000-0004-0000-0300-000024000000}"/>
    <hyperlink ref="BB262" r:id="rId38" xr:uid="{00000000-0004-0000-0300-000025000000}"/>
    <hyperlink ref="BB280" r:id="rId39" xr:uid="{00000000-0004-0000-0300-000026000000}"/>
    <hyperlink ref="BB281" r:id="rId40" xr:uid="{00000000-0004-0000-0300-000027000000}"/>
    <hyperlink ref="BB341" r:id="rId41" xr:uid="{00000000-0004-0000-0300-000028000000}"/>
    <hyperlink ref="BB397" r:id="rId42" xr:uid="{00000000-0004-0000-0300-000029000000}"/>
    <hyperlink ref="BB410" r:id="rId43" xr:uid="{00000000-0004-0000-0300-00002A000000}"/>
    <hyperlink ref="BB412" r:id="rId44" xr:uid="{00000000-0004-0000-0300-00002B000000}"/>
    <hyperlink ref="BB437" r:id="rId45" xr:uid="{00000000-0004-0000-0300-00002C000000}"/>
    <hyperlink ref="BB438" r:id="rId46" xr:uid="{00000000-0004-0000-0300-00002D000000}"/>
    <hyperlink ref="BB455" r:id="rId47" xr:uid="{00000000-0004-0000-0300-00002E000000}"/>
    <hyperlink ref="AR461" r:id="rId48" xr:uid="{00000000-0004-0000-0300-00002F000000}"/>
    <hyperlink ref="AR462" r:id="rId49" xr:uid="{00000000-0004-0000-0300-000030000000}"/>
    <hyperlink ref="AR463" r:id="rId50" xr:uid="{00000000-0004-0000-0300-000031000000}"/>
    <hyperlink ref="H465" r:id="rId51" xr:uid="{00000000-0004-0000-0300-000032000000}"/>
    <hyperlink ref="BB468" r:id="rId52" xr:uid="{00000000-0004-0000-0300-000033000000}"/>
    <hyperlink ref="BB469" r:id="rId53" xr:uid="{00000000-0004-0000-0300-000034000000}"/>
    <hyperlink ref="AR471" r:id="rId54" xr:uid="{00000000-0004-0000-0300-000035000000}"/>
    <hyperlink ref="BB488" r:id="rId55" xr:uid="{00000000-0004-0000-0300-000036000000}"/>
    <hyperlink ref="BB494" r:id="rId56" xr:uid="{00000000-0004-0000-0300-000037000000}"/>
    <hyperlink ref="BB496" r:id="rId57" xr:uid="{00000000-0004-0000-0300-000038000000}"/>
    <hyperlink ref="BB511" r:id="rId58" xr:uid="{00000000-0004-0000-0300-000039000000}"/>
    <hyperlink ref="BB515" r:id="rId59" xr:uid="{00000000-0004-0000-0300-00003A000000}"/>
    <hyperlink ref="BB516" r:id="rId60" xr:uid="{00000000-0004-0000-0300-00003B000000}"/>
    <hyperlink ref="BB517" r:id="rId61" xr:uid="{00000000-0004-0000-0300-00003C000000}"/>
    <hyperlink ref="BB538" r:id="rId62" xr:uid="{00000000-0004-0000-0300-00003D000000}"/>
    <hyperlink ref="BB539" r:id="rId63" xr:uid="{00000000-0004-0000-0300-00003E000000}"/>
    <hyperlink ref="BB540" r:id="rId64" xr:uid="{00000000-0004-0000-0300-00003F000000}"/>
    <hyperlink ref="BB541" r:id="rId65" xr:uid="{00000000-0004-0000-0300-000040000000}"/>
    <hyperlink ref="BB542" r:id="rId66" xr:uid="{00000000-0004-0000-0300-000041000000}"/>
    <hyperlink ref="BB543" r:id="rId67" xr:uid="{00000000-0004-0000-0300-000042000000}"/>
    <hyperlink ref="BB544" r:id="rId68" xr:uid="{00000000-0004-0000-0300-000043000000}"/>
    <hyperlink ref="BB551" r:id="rId69" xr:uid="{00000000-0004-0000-0300-000044000000}"/>
    <hyperlink ref="BN553" r:id="rId70" xr:uid="{00000000-0004-0000-0300-000045000000}"/>
    <hyperlink ref="BB555" r:id="rId71" xr:uid="{00000000-0004-0000-0300-000046000000}"/>
    <hyperlink ref="BB557" r:id="rId72" xr:uid="{00000000-0004-0000-0300-000047000000}"/>
    <hyperlink ref="BB570" r:id="rId73" xr:uid="{00000000-0004-0000-0300-000048000000}"/>
    <hyperlink ref="BB584" r:id="rId74" xr:uid="{00000000-0004-0000-0300-000049000000}"/>
    <hyperlink ref="BB586" r:id="rId75" xr:uid="{00000000-0004-0000-0300-00004A000000}"/>
    <hyperlink ref="BB599" r:id="rId76" xr:uid="{00000000-0004-0000-0300-00004B000000}"/>
    <hyperlink ref="BB602" r:id="rId77" xr:uid="{00000000-0004-0000-0300-00004C000000}"/>
    <hyperlink ref="BB608" r:id="rId78" xr:uid="{00000000-0004-0000-0300-00004D000000}"/>
    <hyperlink ref="BB610" r:id="rId79" xr:uid="{00000000-0004-0000-0300-00004E000000}"/>
    <hyperlink ref="BB618" r:id="rId80" xr:uid="{00000000-0004-0000-0300-00004F000000}"/>
    <hyperlink ref="BB626" r:id="rId81" xr:uid="{00000000-0004-0000-0300-000050000000}"/>
    <hyperlink ref="BB627" r:id="rId82" xr:uid="{00000000-0004-0000-0300-000051000000}"/>
    <hyperlink ref="BB631" r:id="rId83" xr:uid="{00000000-0004-0000-0300-000052000000}"/>
    <hyperlink ref="BB633" r:id="rId84" xr:uid="{00000000-0004-0000-0300-000053000000}"/>
    <hyperlink ref="BB636" r:id="rId85" xr:uid="{00000000-0004-0000-0300-000054000000}"/>
    <hyperlink ref="BB640" r:id="rId86" xr:uid="{00000000-0004-0000-0300-000055000000}"/>
    <hyperlink ref="BB644" r:id="rId87" xr:uid="{00000000-0004-0000-0300-000056000000}"/>
    <hyperlink ref="BB645" r:id="rId88" xr:uid="{00000000-0004-0000-0300-000057000000}"/>
    <hyperlink ref="BB660" r:id="rId89" xr:uid="{00000000-0004-0000-0300-000058000000}"/>
    <hyperlink ref="BB663" r:id="rId90" xr:uid="{00000000-0004-0000-0300-000059000000}"/>
    <hyperlink ref="BB670" r:id="rId91" xr:uid="{00000000-0004-0000-0300-00005A000000}"/>
    <hyperlink ref="BB673" r:id="rId92" xr:uid="{00000000-0004-0000-0300-00005B000000}"/>
    <hyperlink ref="BB683" r:id="rId93" xr:uid="{00000000-0004-0000-0300-00005C000000}"/>
    <hyperlink ref="BB685" r:id="rId94" xr:uid="{00000000-0004-0000-0300-00005D000000}"/>
    <hyperlink ref="BB686" r:id="rId95" xr:uid="{00000000-0004-0000-0300-00005E000000}"/>
    <hyperlink ref="BB687" r:id="rId96" xr:uid="{00000000-0004-0000-0300-00005F000000}"/>
    <hyperlink ref="BB692" r:id="rId97" xr:uid="{00000000-0004-0000-0300-000060000000}"/>
    <hyperlink ref="BB697" r:id="rId98" xr:uid="{00000000-0004-0000-0300-000061000000}"/>
    <hyperlink ref="BB698" r:id="rId99" xr:uid="{00000000-0004-0000-0300-000062000000}"/>
    <hyperlink ref="BB717" r:id="rId100" xr:uid="{00000000-0004-0000-0300-000063000000}"/>
    <hyperlink ref="BB719" r:id="rId101" xr:uid="{00000000-0004-0000-0300-000064000000}"/>
    <hyperlink ref="BB724" r:id="rId102" xr:uid="{00000000-0004-0000-0300-000065000000}"/>
    <hyperlink ref="BC724" r:id="rId103" location="observation-status-final" xr:uid="{00000000-0004-0000-0300-000066000000}"/>
    <hyperlink ref="BB725" r:id="rId104" xr:uid="{00000000-0004-0000-0300-000067000000}"/>
    <hyperlink ref="BC725" r:id="rId105" location="observation-status-registered" xr:uid="{00000000-0004-0000-0300-000068000000}"/>
    <hyperlink ref="BB726" r:id="rId106" xr:uid="{00000000-0004-0000-0300-000069000000}"/>
    <hyperlink ref="BC726" r:id="rId107" location="observation-status-final" xr:uid="{00000000-0004-0000-0300-00006A000000}"/>
    <hyperlink ref="BB727" r:id="rId108" xr:uid="{00000000-0004-0000-0300-00006B000000}"/>
    <hyperlink ref="BB731" r:id="rId109" xr:uid="{00000000-0004-0000-0300-00006C000000}"/>
    <hyperlink ref="BB734" r:id="rId110" xr:uid="{00000000-0004-0000-0300-00006D000000}"/>
    <hyperlink ref="BB751" r:id="rId111" xr:uid="{00000000-0004-0000-0300-00006E000000}"/>
    <hyperlink ref="BB789" r:id="rId112" xr:uid="{00000000-0004-0000-0300-00006F000000}"/>
    <hyperlink ref="BB791" r:id="rId113" xr:uid="{00000000-0004-0000-0300-000070000000}"/>
    <hyperlink ref="BB792" r:id="rId114" xr:uid="{00000000-0004-0000-0300-000071000000}"/>
    <hyperlink ref="BB793" r:id="rId115" xr:uid="{00000000-0004-0000-0300-000072000000}"/>
    <hyperlink ref="BB794" r:id="rId116" xr:uid="{00000000-0004-0000-0300-000073000000}"/>
    <hyperlink ref="BB795" r:id="rId117" xr:uid="{00000000-0004-0000-0300-000074000000}"/>
    <hyperlink ref="BB796" r:id="rId118" xr:uid="{00000000-0004-0000-0300-000075000000}"/>
    <hyperlink ref="BB797" r:id="rId119" xr:uid="{00000000-0004-0000-0300-000076000000}"/>
    <hyperlink ref="BB823" r:id="rId120" xr:uid="{00000000-0004-0000-0300-000077000000}"/>
    <hyperlink ref="AR853" r:id="rId121" xr:uid="{00000000-0004-0000-0300-000078000000}"/>
    <hyperlink ref="AR874" r:id="rId122" xr:uid="{00000000-0004-0000-0300-000079000000}"/>
    <hyperlink ref="AR877" r:id="rId123" xr:uid="{00000000-0004-0000-0300-00007A000000}"/>
    <hyperlink ref="BN877" r:id="rId124" xr:uid="{00000000-0004-0000-0300-00007B000000}"/>
    <hyperlink ref="AR881" r:id="rId125" xr:uid="{00000000-0004-0000-0300-00007C000000}"/>
    <hyperlink ref="BB888" r:id="rId126" xr:uid="{00000000-0004-0000-0300-00007D000000}"/>
    <hyperlink ref="BB889" r:id="rId127" xr:uid="{00000000-0004-0000-0300-00007E000000}"/>
    <hyperlink ref="BB890" r:id="rId128" xr:uid="{00000000-0004-0000-0300-00007F000000}"/>
    <hyperlink ref="BB891" r:id="rId129" xr:uid="{00000000-0004-0000-0300-000080000000}"/>
    <hyperlink ref="BB934" r:id="rId130" xr:uid="{00000000-0004-0000-0300-000081000000}"/>
    <hyperlink ref="BB938" r:id="rId131" xr:uid="{00000000-0004-0000-0300-000082000000}"/>
    <hyperlink ref="BB939" r:id="rId132" xr:uid="{00000000-0004-0000-0300-000083000000}"/>
    <hyperlink ref="BB945" r:id="rId133" xr:uid="{00000000-0004-0000-0300-000084000000}"/>
    <hyperlink ref="BB946" r:id="rId134" xr:uid="{00000000-0004-0000-0300-000085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xr:uid="{00000000-0002-0000-0300-000000000000}">
          <x14:formula1>
            <xm:f>Setup!$E:$E</xm:f>
          </x14:formula1>
          <xm:sqref>BJ3:BJ946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I187"/>
  <sheetViews>
    <sheetView workbookViewId="0"/>
  </sheetViews>
  <sheetFormatPr baseColWidth="10" defaultColWidth="14.5" defaultRowHeight="15" customHeight="1"/>
  <cols>
    <col min="1" max="1" width="23.6640625" customWidth="1"/>
    <col min="2" max="2" width="54.33203125" customWidth="1"/>
    <col min="3" max="3" width="10.1640625" customWidth="1"/>
    <col min="4" max="4" width="31.33203125" customWidth="1"/>
    <col min="5" max="5" width="10.83203125" customWidth="1"/>
    <col min="8" max="8" width="17" customWidth="1"/>
  </cols>
  <sheetData>
    <row r="1" spans="1:9" ht="14">
      <c r="A1" s="795" t="s">
        <v>42</v>
      </c>
      <c r="B1" s="796" t="s">
        <v>9714</v>
      </c>
      <c r="H1" s="664"/>
      <c r="I1" s="664"/>
    </row>
    <row r="2" spans="1:9" ht="15" customHeight="1">
      <c r="A2" s="795" t="s">
        <v>3082</v>
      </c>
      <c r="B2" s="796" t="s">
        <v>9714</v>
      </c>
    </row>
    <row r="4" spans="1:9" ht="15" customHeight="1">
      <c r="A4" s="786" t="s">
        <v>3084</v>
      </c>
      <c r="B4" s="786" t="s">
        <v>3073</v>
      </c>
      <c r="C4" s="786" t="s">
        <v>3080</v>
      </c>
      <c r="D4" s="786" t="s">
        <v>89</v>
      </c>
      <c r="E4" s="786" t="s">
        <v>3072</v>
      </c>
      <c r="F4" s="787" t="s">
        <v>6687</v>
      </c>
    </row>
    <row r="5" spans="1:9" ht="15" customHeight="1">
      <c r="A5" s="788" t="s">
        <v>6688</v>
      </c>
      <c r="B5" s="788" t="s">
        <v>6689</v>
      </c>
      <c r="C5" s="788" t="s">
        <v>3104</v>
      </c>
      <c r="D5" s="788" t="s">
        <v>6401</v>
      </c>
      <c r="E5" s="788" t="s">
        <v>9713</v>
      </c>
      <c r="F5" s="789">
        <v>1</v>
      </c>
    </row>
    <row r="6" spans="1:9" ht="15" customHeight="1">
      <c r="A6" s="790"/>
      <c r="B6" s="788" t="s">
        <v>6404</v>
      </c>
      <c r="C6" s="788" t="s">
        <v>3104</v>
      </c>
      <c r="D6" s="788" t="s">
        <v>6401</v>
      </c>
      <c r="E6" s="788" t="s">
        <v>9713</v>
      </c>
      <c r="F6" s="789">
        <v>1</v>
      </c>
    </row>
    <row r="7" spans="1:9" ht="15" customHeight="1">
      <c r="A7" s="790"/>
      <c r="B7" s="790"/>
      <c r="C7" s="790"/>
      <c r="D7" s="788" t="s">
        <v>6445</v>
      </c>
      <c r="E7" s="788" t="s">
        <v>9713</v>
      </c>
      <c r="F7" s="789">
        <v>1</v>
      </c>
    </row>
    <row r="8" spans="1:9" ht="15" customHeight="1">
      <c r="A8" s="788" t="s">
        <v>6693</v>
      </c>
      <c r="B8" s="788" t="s">
        <v>6103</v>
      </c>
      <c r="C8" s="788" t="s">
        <v>3104</v>
      </c>
      <c r="D8" s="788" t="s">
        <v>3161</v>
      </c>
      <c r="E8" s="788" t="s">
        <v>9713</v>
      </c>
      <c r="F8" s="789">
        <v>1</v>
      </c>
    </row>
    <row r="9" spans="1:9" ht="15" customHeight="1">
      <c r="A9" s="790"/>
      <c r="B9" s="788" t="s">
        <v>3124</v>
      </c>
      <c r="C9" s="788" t="s">
        <v>3104</v>
      </c>
      <c r="D9" s="788" t="s">
        <v>3123</v>
      </c>
      <c r="E9" s="788" t="s">
        <v>9713</v>
      </c>
      <c r="F9" s="789">
        <v>1</v>
      </c>
    </row>
    <row r="10" spans="1:9" ht="15" customHeight="1">
      <c r="A10" s="790"/>
      <c r="B10" s="790"/>
      <c r="C10" s="790"/>
      <c r="D10" s="788" t="s">
        <v>3161</v>
      </c>
      <c r="E10" s="788" t="s">
        <v>9713</v>
      </c>
      <c r="F10" s="789">
        <v>1</v>
      </c>
    </row>
    <row r="11" spans="1:9" ht="15" customHeight="1">
      <c r="A11" s="788" t="s">
        <v>6695</v>
      </c>
      <c r="B11" s="788" t="s">
        <v>6112</v>
      </c>
      <c r="C11" s="788" t="s">
        <v>3104</v>
      </c>
      <c r="D11" s="788" t="s">
        <v>6111</v>
      </c>
      <c r="E11" s="788" t="s">
        <v>9713</v>
      </c>
      <c r="F11" s="789">
        <v>1</v>
      </c>
    </row>
    <row r="12" spans="1:9" ht="15" customHeight="1">
      <c r="A12" s="790"/>
      <c r="B12" s="790"/>
      <c r="C12" s="790"/>
      <c r="D12" s="788" t="s">
        <v>6122</v>
      </c>
      <c r="E12" s="788" t="s">
        <v>6123</v>
      </c>
      <c r="F12" s="789">
        <v>1</v>
      </c>
    </row>
    <row r="13" spans="1:9" ht="15" customHeight="1">
      <c r="A13" s="790"/>
      <c r="B13" s="788" t="s">
        <v>3742</v>
      </c>
      <c r="C13" s="788" t="s">
        <v>3104</v>
      </c>
      <c r="D13" s="788" t="s">
        <v>3741</v>
      </c>
      <c r="E13" s="788" t="s">
        <v>9713</v>
      </c>
      <c r="F13" s="789">
        <v>1</v>
      </c>
    </row>
    <row r="14" spans="1:9" ht="15" customHeight="1">
      <c r="A14" s="790"/>
      <c r="B14" s="788" t="s">
        <v>3845</v>
      </c>
      <c r="C14" s="788" t="s">
        <v>3104</v>
      </c>
      <c r="D14" s="788" t="s">
        <v>3741</v>
      </c>
      <c r="E14" s="788" t="s">
        <v>9713</v>
      </c>
      <c r="F14" s="789">
        <v>2</v>
      </c>
    </row>
    <row r="15" spans="1:9" ht="15" customHeight="1">
      <c r="A15" s="790"/>
      <c r="B15" s="788" t="s">
        <v>6136</v>
      </c>
      <c r="C15" s="788" t="s">
        <v>3343</v>
      </c>
      <c r="D15" s="788" t="s">
        <v>3741</v>
      </c>
      <c r="E15" s="788" t="s">
        <v>9713</v>
      </c>
      <c r="F15" s="789">
        <v>1</v>
      </c>
    </row>
    <row r="16" spans="1:9" ht="15" customHeight="1">
      <c r="A16" s="790"/>
      <c r="B16" s="788" t="s">
        <v>6018</v>
      </c>
      <c r="C16" s="788" t="s">
        <v>3343</v>
      </c>
      <c r="D16" s="788" t="s">
        <v>3741</v>
      </c>
      <c r="E16" s="788" t="s">
        <v>9713</v>
      </c>
      <c r="F16" s="789">
        <v>1</v>
      </c>
    </row>
    <row r="17" spans="1:6" ht="15" customHeight="1">
      <c r="A17" s="790"/>
      <c r="B17" s="790"/>
      <c r="C17" s="790"/>
      <c r="D17" s="788" t="s">
        <v>6026</v>
      </c>
      <c r="E17" s="788" t="s">
        <v>9713</v>
      </c>
      <c r="F17" s="789">
        <v>1</v>
      </c>
    </row>
    <row r="18" spans="1:6" ht="15" customHeight="1">
      <c r="A18" s="790"/>
      <c r="B18" s="788" t="s">
        <v>5900</v>
      </c>
      <c r="C18" s="788" t="s">
        <v>3343</v>
      </c>
      <c r="D18" s="788" t="s">
        <v>3741</v>
      </c>
      <c r="E18" s="788" t="s">
        <v>9713</v>
      </c>
      <c r="F18" s="789">
        <v>1</v>
      </c>
    </row>
    <row r="19" spans="1:6" ht="15" customHeight="1">
      <c r="A19" s="790"/>
      <c r="B19" s="788" t="s">
        <v>4414</v>
      </c>
      <c r="C19" s="788" t="s">
        <v>3343</v>
      </c>
      <c r="D19" s="788" t="s">
        <v>3741</v>
      </c>
      <c r="E19" s="788" t="s">
        <v>9713</v>
      </c>
      <c r="F19" s="789">
        <v>1</v>
      </c>
    </row>
    <row r="20" spans="1:6" ht="15" customHeight="1">
      <c r="A20" s="790"/>
      <c r="B20" s="788" t="s">
        <v>6515</v>
      </c>
      <c r="C20" s="788" t="s">
        <v>5194</v>
      </c>
      <c r="D20" s="788" t="s">
        <v>6698</v>
      </c>
      <c r="E20" s="788" t="s">
        <v>3181</v>
      </c>
      <c r="F20" s="789">
        <v>1</v>
      </c>
    </row>
    <row r="21" spans="1:6" ht="15" customHeight="1">
      <c r="A21" s="790"/>
      <c r="B21" s="790"/>
      <c r="C21" s="790"/>
      <c r="D21" s="788" t="s">
        <v>3741</v>
      </c>
      <c r="E21" s="788" t="s">
        <v>9713</v>
      </c>
      <c r="F21" s="789">
        <v>1</v>
      </c>
    </row>
    <row r="22" spans="1:6" ht="15" customHeight="1">
      <c r="A22" s="790"/>
      <c r="B22" s="790"/>
      <c r="C22" s="790"/>
      <c r="D22" s="788" t="s">
        <v>6700</v>
      </c>
      <c r="E22" s="788" t="s">
        <v>3181</v>
      </c>
      <c r="F22" s="789">
        <v>1</v>
      </c>
    </row>
    <row r="23" spans="1:6" ht="15" customHeight="1">
      <c r="A23" s="790"/>
      <c r="B23" s="790"/>
      <c r="C23" s="790"/>
      <c r="D23" s="788" t="s">
        <v>6701</v>
      </c>
      <c r="E23" s="788" t="s">
        <v>3181</v>
      </c>
      <c r="F23" s="789">
        <v>1</v>
      </c>
    </row>
    <row r="24" spans="1:6" ht="15" customHeight="1">
      <c r="A24" s="790"/>
      <c r="B24" s="790"/>
      <c r="C24" s="790"/>
      <c r="D24" s="788" t="s">
        <v>6702</v>
      </c>
      <c r="E24" s="788" t="s">
        <v>9713</v>
      </c>
      <c r="F24" s="789">
        <v>1</v>
      </c>
    </row>
    <row r="25" spans="1:6" ht="15" customHeight="1">
      <c r="A25" s="788" t="s">
        <v>6703</v>
      </c>
      <c r="B25" s="788" t="s">
        <v>6704</v>
      </c>
      <c r="C25" s="788" t="s">
        <v>5194</v>
      </c>
      <c r="D25" s="788" t="s">
        <v>6705</v>
      </c>
      <c r="E25" s="788" t="s">
        <v>9713</v>
      </c>
      <c r="F25" s="789">
        <v>1</v>
      </c>
    </row>
    <row r="26" spans="1:6" ht="15" customHeight="1">
      <c r="A26" s="790"/>
      <c r="B26" s="790"/>
      <c r="C26" s="790"/>
      <c r="D26" s="788" t="s">
        <v>6707</v>
      </c>
      <c r="E26" s="788" t="s">
        <v>9713</v>
      </c>
      <c r="F26" s="789">
        <v>1</v>
      </c>
    </row>
    <row r="27" spans="1:6" ht="15" customHeight="1">
      <c r="A27" s="790"/>
      <c r="B27" s="790"/>
      <c r="C27" s="790"/>
      <c r="D27" s="788" t="s">
        <v>6709</v>
      </c>
      <c r="E27" s="788" t="s">
        <v>9713</v>
      </c>
      <c r="F27" s="789">
        <v>1</v>
      </c>
    </row>
    <row r="28" spans="1:6" ht="15" customHeight="1">
      <c r="A28" s="790"/>
      <c r="B28" s="790"/>
      <c r="C28" s="790"/>
      <c r="D28" s="788" t="s">
        <v>6711</v>
      </c>
      <c r="E28" s="788" t="s">
        <v>9713</v>
      </c>
      <c r="F28" s="789">
        <v>1</v>
      </c>
    </row>
    <row r="29" spans="1:6" ht="15" customHeight="1">
      <c r="A29" s="790"/>
      <c r="B29" s="790"/>
      <c r="C29" s="790"/>
      <c r="D29" s="788" t="s">
        <v>6713</v>
      </c>
      <c r="E29" s="788" t="s">
        <v>9713</v>
      </c>
      <c r="F29" s="789">
        <v>1</v>
      </c>
    </row>
    <row r="30" spans="1:6" ht="15" customHeight="1">
      <c r="A30" s="790"/>
      <c r="B30" s="790"/>
      <c r="C30" s="790"/>
      <c r="D30" s="788" t="s">
        <v>6714</v>
      </c>
      <c r="E30" s="788" t="s">
        <v>9713</v>
      </c>
      <c r="F30" s="789">
        <v>1</v>
      </c>
    </row>
    <row r="31" spans="1:6" ht="15" customHeight="1">
      <c r="A31" s="788" t="s">
        <v>6716</v>
      </c>
      <c r="B31" s="788" t="s">
        <v>4477</v>
      </c>
      <c r="C31" s="788" t="s">
        <v>3343</v>
      </c>
      <c r="D31" s="788" t="s">
        <v>4476</v>
      </c>
      <c r="E31" s="788" t="s">
        <v>9713</v>
      </c>
      <c r="F31" s="789">
        <v>1</v>
      </c>
    </row>
    <row r="32" spans="1:6" ht="15" customHeight="1">
      <c r="A32" s="790"/>
      <c r="B32" s="788" t="s">
        <v>6719</v>
      </c>
      <c r="C32" s="788" t="s">
        <v>5194</v>
      </c>
      <c r="D32" s="788" t="s">
        <v>4476</v>
      </c>
      <c r="E32" s="788" t="s">
        <v>9713</v>
      </c>
      <c r="F32" s="789">
        <v>1</v>
      </c>
    </row>
    <row r="33" spans="1:6" ht="15" customHeight="1">
      <c r="A33" s="790"/>
      <c r="B33" s="790"/>
      <c r="C33" s="790"/>
      <c r="D33" s="788" t="s">
        <v>6350</v>
      </c>
      <c r="E33" s="788" t="s">
        <v>9713</v>
      </c>
      <c r="F33" s="789">
        <v>1</v>
      </c>
    </row>
    <row r="34" spans="1:6" ht="15" customHeight="1">
      <c r="A34" s="790"/>
      <c r="B34" s="790"/>
      <c r="C34" s="790"/>
      <c r="D34" s="788" t="s">
        <v>6721</v>
      </c>
      <c r="E34" s="788"/>
      <c r="F34" s="789">
        <v>1</v>
      </c>
    </row>
    <row r="35" spans="1:6" ht="15" customHeight="1">
      <c r="A35" s="790"/>
      <c r="B35" s="788" t="s">
        <v>6722</v>
      </c>
      <c r="C35" s="788" t="s">
        <v>5194</v>
      </c>
      <c r="D35" s="788" t="s">
        <v>4476</v>
      </c>
      <c r="E35" s="788" t="s">
        <v>9713</v>
      </c>
      <c r="F35" s="789">
        <v>1</v>
      </c>
    </row>
    <row r="36" spans="1:6" ht="15" customHeight="1">
      <c r="A36" s="790"/>
      <c r="B36" s="790"/>
      <c r="C36" s="790"/>
      <c r="D36" s="788" t="s">
        <v>6723</v>
      </c>
      <c r="E36" s="788" t="s">
        <v>3513</v>
      </c>
      <c r="F36" s="789">
        <v>1</v>
      </c>
    </row>
    <row r="37" spans="1:6" ht="15" customHeight="1">
      <c r="A37" s="790"/>
      <c r="B37" s="788" t="s">
        <v>6290</v>
      </c>
      <c r="C37" s="788" t="s">
        <v>5194</v>
      </c>
      <c r="D37" s="788" t="s">
        <v>6360</v>
      </c>
      <c r="E37" s="788" t="s">
        <v>9713</v>
      </c>
      <c r="F37" s="789">
        <v>1</v>
      </c>
    </row>
    <row r="38" spans="1:6" ht="15" customHeight="1">
      <c r="A38" s="790"/>
      <c r="B38" s="790"/>
      <c r="C38" s="790"/>
      <c r="D38" s="788" t="s">
        <v>4476</v>
      </c>
      <c r="E38" s="788" t="s">
        <v>9713</v>
      </c>
      <c r="F38" s="789">
        <v>1</v>
      </c>
    </row>
    <row r="39" spans="1:6" ht="15" customHeight="1">
      <c r="A39" s="790"/>
      <c r="B39" s="790"/>
      <c r="C39" s="790"/>
      <c r="D39" s="788" t="s">
        <v>6350</v>
      </c>
      <c r="E39" s="788" t="s">
        <v>9713</v>
      </c>
      <c r="F39" s="789">
        <v>1</v>
      </c>
    </row>
    <row r="40" spans="1:6" ht="15" customHeight="1">
      <c r="A40" s="790"/>
      <c r="B40" s="790"/>
      <c r="C40" s="790"/>
      <c r="D40" s="788" t="s">
        <v>6724</v>
      </c>
      <c r="E40" s="788" t="s">
        <v>3328</v>
      </c>
      <c r="F40" s="789">
        <v>1</v>
      </c>
    </row>
    <row r="41" spans="1:6" ht="15" customHeight="1">
      <c r="A41" s="788" t="s">
        <v>6725</v>
      </c>
      <c r="B41" s="788" t="s">
        <v>5974</v>
      </c>
      <c r="C41" s="788" t="s">
        <v>3343</v>
      </c>
      <c r="D41" s="788" t="s">
        <v>5973</v>
      </c>
      <c r="E41" s="788" t="s">
        <v>9713</v>
      </c>
      <c r="F41" s="789">
        <v>1</v>
      </c>
    </row>
    <row r="42" spans="1:6" ht="15" customHeight="1">
      <c r="A42" s="788" t="s">
        <v>6727</v>
      </c>
      <c r="B42" s="788" t="s">
        <v>6728</v>
      </c>
      <c r="C42" s="788" t="s">
        <v>3104</v>
      </c>
      <c r="D42" s="788" t="s">
        <v>6729</v>
      </c>
      <c r="E42" s="788" t="s">
        <v>3328</v>
      </c>
      <c r="F42" s="789">
        <v>1</v>
      </c>
    </row>
    <row r="43" spans="1:6" ht="15" customHeight="1">
      <c r="A43" s="790"/>
      <c r="B43" s="790"/>
      <c r="C43" s="790"/>
      <c r="D43" s="788" t="s">
        <v>6591</v>
      </c>
      <c r="E43" s="788" t="s">
        <v>9713</v>
      </c>
      <c r="F43" s="789">
        <v>1</v>
      </c>
    </row>
    <row r="44" spans="1:6" ht="15" customHeight="1">
      <c r="A44" s="790"/>
      <c r="B44" s="790"/>
      <c r="C44" s="790"/>
      <c r="D44" s="788" t="s">
        <v>6605</v>
      </c>
      <c r="E44" s="788" t="s">
        <v>9713</v>
      </c>
      <c r="F44" s="789">
        <v>1</v>
      </c>
    </row>
    <row r="45" spans="1:6" ht="15" customHeight="1">
      <c r="A45" s="790"/>
      <c r="B45" s="790"/>
      <c r="C45" s="790"/>
      <c r="D45" s="788" t="s">
        <v>6598</v>
      </c>
      <c r="E45" s="788" t="s">
        <v>9713</v>
      </c>
      <c r="F45" s="789">
        <v>1</v>
      </c>
    </row>
    <row r="46" spans="1:6" ht="15" customHeight="1">
      <c r="A46" s="788" t="s">
        <v>6733</v>
      </c>
      <c r="B46" s="788" t="s">
        <v>3535</v>
      </c>
      <c r="C46" s="788" t="s">
        <v>3104</v>
      </c>
      <c r="D46" s="788" t="s">
        <v>3534</v>
      </c>
      <c r="E46" s="788" t="s">
        <v>9713</v>
      </c>
      <c r="F46" s="789">
        <v>1</v>
      </c>
    </row>
    <row r="47" spans="1:6" ht="15" customHeight="1">
      <c r="A47" s="790"/>
      <c r="B47" s="790"/>
      <c r="C47" s="790"/>
      <c r="D47" s="788" t="s">
        <v>3640</v>
      </c>
      <c r="E47" s="788" t="s">
        <v>3513</v>
      </c>
      <c r="F47" s="789">
        <v>2</v>
      </c>
    </row>
    <row r="48" spans="1:6" ht="15" customHeight="1">
      <c r="A48" s="790"/>
      <c r="B48" s="788" t="s">
        <v>3837</v>
      </c>
      <c r="C48" s="788" t="s">
        <v>3104</v>
      </c>
      <c r="D48" s="788" t="s">
        <v>3534</v>
      </c>
      <c r="E48" s="788" t="s">
        <v>9713</v>
      </c>
      <c r="F48" s="789">
        <v>2</v>
      </c>
    </row>
    <row r="49" spans="1:6" ht="15" customHeight="1">
      <c r="A49" s="790"/>
      <c r="B49" s="788" t="s">
        <v>5985</v>
      </c>
      <c r="C49" s="788" t="s">
        <v>3343</v>
      </c>
      <c r="D49" s="788" t="s">
        <v>3534</v>
      </c>
      <c r="E49" s="788" t="s">
        <v>9713</v>
      </c>
      <c r="F49" s="789">
        <v>1</v>
      </c>
    </row>
    <row r="50" spans="1:6" ht="15" customHeight="1">
      <c r="A50" s="790"/>
      <c r="B50" s="788" t="s">
        <v>4403</v>
      </c>
      <c r="C50" s="788" t="s">
        <v>3343</v>
      </c>
      <c r="D50" s="788" t="s">
        <v>3534</v>
      </c>
      <c r="E50" s="788" t="s">
        <v>9713</v>
      </c>
      <c r="F50" s="789">
        <v>1</v>
      </c>
    </row>
    <row r="51" spans="1:6" ht="15" customHeight="1">
      <c r="A51" s="788" t="s">
        <v>6735</v>
      </c>
      <c r="B51" s="788" t="s">
        <v>3342</v>
      </c>
      <c r="C51" s="788" t="s">
        <v>3343</v>
      </c>
      <c r="D51" s="788" t="s">
        <v>3340</v>
      </c>
      <c r="E51" s="788" t="s">
        <v>9713</v>
      </c>
      <c r="F51" s="789">
        <v>1</v>
      </c>
    </row>
    <row r="52" spans="1:6" ht="15" customHeight="1">
      <c r="A52" s="790"/>
      <c r="B52" s="790"/>
      <c r="C52" s="790"/>
      <c r="D52" s="788" t="s">
        <v>4335</v>
      </c>
      <c r="E52" s="788" t="s">
        <v>9713</v>
      </c>
      <c r="F52" s="789">
        <v>1</v>
      </c>
    </row>
    <row r="53" spans="1:6" ht="15" customHeight="1">
      <c r="A53" s="790"/>
      <c r="B53" s="788" t="s">
        <v>4124</v>
      </c>
      <c r="C53" s="788" t="s">
        <v>3343</v>
      </c>
      <c r="D53" s="788" t="s">
        <v>3340</v>
      </c>
      <c r="E53" s="788" t="s">
        <v>9713</v>
      </c>
      <c r="F53" s="789">
        <v>1</v>
      </c>
    </row>
    <row r="54" spans="1:6" ht="15" customHeight="1">
      <c r="A54" s="788" t="s">
        <v>6738</v>
      </c>
      <c r="B54" s="788" t="s">
        <v>4076</v>
      </c>
      <c r="C54" s="788" t="s">
        <v>3343</v>
      </c>
      <c r="D54" s="788" t="s">
        <v>4075</v>
      </c>
      <c r="E54" s="788" t="s">
        <v>9713</v>
      </c>
      <c r="F54" s="789">
        <v>1</v>
      </c>
    </row>
    <row r="55" spans="1:6" ht="15" customHeight="1">
      <c r="A55" s="788" t="s">
        <v>6739</v>
      </c>
      <c r="B55" s="788" t="s">
        <v>6740</v>
      </c>
      <c r="C55" s="788" t="s">
        <v>5194</v>
      </c>
      <c r="D55" s="788" t="s">
        <v>6741</v>
      </c>
      <c r="E55" s="788" t="s">
        <v>9713</v>
      </c>
      <c r="F55" s="789">
        <v>1</v>
      </c>
    </row>
    <row r="56" spans="1:6" ht="15" customHeight="1">
      <c r="A56" s="790"/>
      <c r="B56" s="790"/>
      <c r="C56" s="790"/>
      <c r="D56" s="788" t="s">
        <v>6742</v>
      </c>
      <c r="E56" s="788" t="s">
        <v>3181</v>
      </c>
      <c r="F56" s="789">
        <v>1</v>
      </c>
    </row>
    <row r="57" spans="1:6" ht="15" customHeight="1">
      <c r="A57" s="788" t="s">
        <v>6743</v>
      </c>
      <c r="B57" s="788" t="s">
        <v>6744</v>
      </c>
      <c r="C57" s="788" t="s">
        <v>5194</v>
      </c>
      <c r="D57" s="788" t="s">
        <v>6745</v>
      </c>
      <c r="E57" s="788" t="s">
        <v>9713</v>
      </c>
      <c r="F57" s="789">
        <v>1</v>
      </c>
    </row>
    <row r="58" spans="1:6" ht="13">
      <c r="A58" s="790"/>
      <c r="B58" s="790"/>
      <c r="C58" s="790"/>
      <c r="D58" s="788" t="s">
        <v>6746</v>
      </c>
      <c r="E58" s="788" t="s">
        <v>9713</v>
      </c>
      <c r="F58" s="789">
        <v>1</v>
      </c>
    </row>
    <row r="59" spans="1:6" ht="13">
      <c r="A59" s="790"/>
      <c r="B59" s="790"/>
      <c r="C59" s="790"/>
      <c r="D59" s="788" t="s">
        <v>6747</v>
      </c>
      <c r="E59" s="788" t="s">
        <v>3513</v>
      </c>
      <c r="F59" s="789">
        <v>1</v>
      </c>
    </row>
    <row r="60" spans="1:6" ht="13">
      <c r="A60" s="788" t="s">
        <v>6749</v>
      </c>
      <c r="B60" s="788" t="s">
        <v>3651</v>
      </c>
      <c r="C60" s="788" t="s">
        <v>3104</v>
      </c>
      <c r="D60" s="788" t="s">
        <v>3712</v>
      </c>
      <c r="E60" s="788" t="s">
        <v>3513</v>
      </c>
      <c r="F60" s="789">
        <v>1</v>
      </c>
    </row>
    <row r="61" spans="1:6" ht="13">
      <c r="A61" s="790"/>
      <c r="B61" s="790"/>
      <c r="C61" s="790"/>
      <c r="D61" s="788" t="s">
        <v>3650</v>
      </c>
      <c r="E61" s="788" t="s">
        <v>3181</v>
      </c>
      <c r="F61" s="789">
        <v>1</v>
      </c>
    </row>
    <row r="62" spans="1:6" ht="13">
      <c r="A62" s="790"/>
      <c r="B62" s="788" t="s">
        <v>6234</v>
      </c>
      <c r="C62" s="788" t="s">
        <v>3104</v>
      </c>
      <c r="D62" s="788" t="s">
        <v>6475</v>
      </c>
      <c r="E62" s="788" t="s">
        <v>9713</v>
      </c>
      <c r="F62" s="789">
        <v>1</v>
      </c>
    </row>
    <row r="63" spans="1:6" ht="13">
      <c r="A63" s="790"/>
      <c r="B63" s="790"/>
      <c r="C63" s="790"/>
      <c r="D63" s="788" t="s">
        <v>3712</v>
      </c>
      <c r="E63" s="788" t="s">
        <v>3513</v>
      </c>
      <c r="F63" s="789">
        <v>1</v>
      </c>
    </row>
    <row r="64" spans="1:6" ht="13">
      <c r="A64" s="790"/>
      <c r="B64" s="790"/>
      <c r="C64" s="790"/>
      <c r="D64" s="788" t="s">
        <v>3650</v>
      </c>
      <c r="E64" s="788" t="s">
        <v>3181</v>
      </c>
      <c r="F64" s="789">
        <v>1</v>
      </c>
    </row>
    <row r="65" spans="1:6" ht="13">
      <c r="A65" s="790"/>
      <c r="B65" s="790"/>
      <c r="C65" s="790"/>
      <c r="D65" s="788" t="s">
        <v>6262</v>
      </c>
      <c r="E65" s="788" t="s">
        <v>3423</v>
      </c>
      <c r="F65" s="789">
        <v>1</v>
      </c>
    </row>
    <row r="66" spans="1:6" ht="13">
      <c r="A66" s="790"/>
      <c r="B66" s="788" t="s">
        <v>3840</v>
      </c>
      <c r="C66" s="788" t="s">
        <v>3104</v>
      </c>
      <c r="D66" s="788" t="s">
        <v>3650</v>
      </c>
      <c r="E66" s="788" t="s">
        <v>3181</v>
      </c>
      <c r="F66" s="789">
        <v>2</v>
      </c>
    </row>
    <row r="67" spans="1:6" ht="13">
      <c r="A67" s="790"/>
      <c r="B67" s="788" t="s">
        <v>5605</v>
      </c>
      <c r="C67" s="788" t="s">
        <v>3343</v>
      </c>
      <c r="D67" s="788" t="s">
        <v>3650</v>
      </c>
      <c r="E67" s="788" t="s">
        <v>3181</v>
      </c>
      <c r="F67" s="789">
        <v>1</v>
      </c>
    </row>
    <row r="68" spans="1:6" ht="13">
      <c r="A68" s="790"/>
      <c r="B68" s="788" t="s">
        <v>5989</v>
      </c>
      <c r="C68" s="788" t="s">
        <v>3343</v>
      </c>
      <c r="D68" s="788" t="s">
        <v>3650</v>
      </c>
      <c r="E68" s="788" t="s">
        <v>3181</v>
      </c>
      <c r="F68" s="789">
        <v>1</v>
      </c>
    </row>
    <row r="69" spans="1:6" ht="13">
      <c r="A69" s="790"/>
      <c r="B69" s="788" t="s">
        <v>4408</v>
      </c>
      <c r="C69" s="788" t="s">
        <v>3343</v>
      </c>
      <c r="D69" s="788" t="s">
        <v>3650</v>
      </c>
      <c r="E69" s="788" t="s">
        <v>3181</v>
      </c>
      <c r="F69" s="789">
        <v>1</v>
      </c>
    </row>
    <row r="70" spans="1:6" ht="13">
      <c r="A70" s="790"/>
      <c r="B70" s="788" t="s">
        <v>6755</v>
      </c>
      <c r="C70" s="788" t="s">
        <v>5194</v>
      </c>
      <c r="D70" s="788" t="s">
        <v>3650</v>
      </c>
      <c r="E70" s="788" t="s">
        <v>3181</v>
      </c>
      <c r="F70" s="789">
        <v>1</v>
      </c>
    </row>
    <row r="71" spans="1:6" ht="13">
      <c r="A71" s="790"/>
      <c r="B71" s="790"/>
      <c r="C71" s="790"/>
      <c r="D71" s="788" t="s">
        <v>6756</v>
      </c>
      <c r="E71" s="788" t="s">
        <v>3328</v>
      </c>
      <c r="F71" s="789">
        <v>1</v>
      </c>
    </row>
    <row r="72" spans="1:6" ht="13">
      <c r="A72" s="790"/>
      <c r="B72" s="788" t="s">
        <v>6394</v>
      </c>
      <c r="C72" s="788" t="s">
        <v>5194</v>
      </c>
      <c r="D72" s="788" t="s">
        <v>3650</v>
      </c>
      <c r="E72" s="788" t="s">
        <v>3181</v>
      </c>
      <c r="F72" s="789">
        <v>1</v>
      </c>
    </row>
    <row r="73" spans="1:6" ht="13">
      <c r="A73" s="790"/>
      <c r="B73" s="790"/>
      <c r="C73" s="790"/>
      <c r="D73" s="788" t="s">
        <v>6262</v>
      </c>
      <c r="E73" s="788" t="s">
        <v>3423</v>
      </c>
      <c r="F73" s="789">
        <v>1</v>
      </c>
    </row>
    <row r="74" spans="1:6" ht="13">
      <c r="A74" s="788" t="s">
        <v>6762</v>
      </c>
      <c r="B74" s="788" t="s">
        <v>4604</v>
      </c>
      <c r="C74" s="788" t="s">
        <v>3104</v>
      </c>
      <c r="D74" s="788" t="s">
        <v>3410</v>
      </c>
      <c r="E74" s="788" t="s">
        <v>3456</v>
      </c>
      <c r="F74" s="789">
        <v>1</v>
      </c>
    </row>
    <row r="75" spans="1:6" ht="13">
      <c r="A75" s="790"/>
      <c r="B75" s="788" t="s">
        <v>3459</v>
      </c>
      <c r="C75" s="788" t="s">
        <v>3104</v>
      </c>
      <c r="D75" s="788" t="s">
        <v>3410</v>
      </c>
      <c r="E75" s="788" t="s">
        <v>3456</v>
      </c>
      <c r="F75" s="789">
        <v>1</v>
      </c>
    </row>
    <row r="76" spans="1:6" ht="13">
      <c r="A76" s="790"/>
      <c r="B76" s="788" t="s">
        <v>3469</v>
      </c>
      <c r="C76" s="788" t="s">
        <v>3104</v>
      </c>
      <c r="D76" s="788" t="s">
        <v>3410</v>
      </c>
      <c r="E76" s="788" t="s">
        <v>3456</v>
      </c>
      <c r="F76" s="789">
        <v>1</v>
      </c>
    </row>
    <row r="77" spans="1:6" ht="13">
      <c r="A77" s="790"/>
      <c r="B77" s="788" t="s">
        <v>3852</v>
      </c>
      <c r="C77" s="788" t="s">
        <v>3104</v>
      </c>
      <c r="D77" s="788" t="s">
        <v>3410</v>
      </c>
      <c r="E77" s="788" t="s">
        <v>3313</v>
      </c>
      <c r="F77" s="789">
        <v>1</v>
      </c>
    </row>
    <row r="78" spans="1:6" ht="13">
      <c r="A78" s="790"/>
      <c r="B78" s="788" t="s">
        <v>4117</v>
      </c>
      <c r="C78" s="788" t="s">
        <v>3104</v>
      </c>
      <c r="D78" s="788" t="s">
        <v>3916</v>
      </c>
      <c r="E78" s="788" t="s">
        <v>9713</v>
      </c>
      <c r="F78" s="789">
        <v>1</v>
      </c>
    </row>
    <row r="79" spans="1:6" ht="13">
      <c r="A79" s="790"/>
      <c r="B79" s="788" t="s">
        <v>3879</v>
      </c>
      <c r="C79" s="788" t="s">
        <v>3104</v>
      </c>
      <c r="D79" s="788" t="s">
        <v>3410</v>
      </c>
      <c r="E79" s="788" t="s">
        <v>3513</v>
      </c>
      <c r="F79" s="789">
        <v>1</v>
      </c>
    </row>
    <row r="80" spans="1:6" ht="13">
      <c r="A80" s="790"/>
      <c r="B80" s="788" t="s">
        <v>4059</v>
      </c>
      <c r="C80" s="788" t="s">
        <v>3104</v>
      </c>
      <c r="D80" s="788" t="s">
        <v>3410</v>
      </c>
      <c r="E80" s="788" t="s">
        <v>3513</v>
      </c>
      <c r="F80" s="789">
        <v>1</v>
      </c>
    </row>
    <row r="81" spans="1:6" ht="13">
      <c r="A81" s="790"/>
      <c r="B81" s="788" t="s">
        <v>4098</v>
      </c>
      <c r="C81" s="788" t="s">
        <v>3104</v>
      </c>
      <c r="D81" s="788" t="s">
        <v>3410</v>
      </c>
      <c r="E81" s="788" t="s">
        <v>3181</v>
      </c>
      <c r="F81" s="789">
        <v>1</v>
      </c>
    </row>
    <row r="82" spans="1:6" ht="13">
      <c r="A82" s="790"/>
      <c r="B82" s="788" t="s">
        <v>4084</v>
      </c>
      <c r="C82" s="788" t="s">
        <v>3104</v>
      </c>
      <c r="D82" s="788" t="s">
        <v>3410</v>
      </c>
      <c r="E82" s="788" t="s">
        <v>3313</v>
      </c>
      <c r="F82" s="789">
        <v>1</v>
      </c>
    </row>
    <row r="83" spans="1:6" ht="13">
      <c r="A83" s="790"/>
      <c r="B83" s="788" t="s">
        <v>6456</v>
      </c>
      <c r="C83" s="788" t="s">
        <v>3104</v>
      </c>
      <c r="D83" s="788" t="s">
        <v>4471</v>
      </c>
      <c r="E83" s="788" t="s">
        <v>3513</v>
      </c>
      <c r="F83" s="789">
        <v>1</v>
      </c>
    </row>
    <row r="84" spans="1:6" ht="13">
      <c r="A84" s="790"/>
      <c r="B84" s="788" t="s">
        <v>4824</v>
      </c>
      <c r="C84" s="788" t="s">
        <v>3104</v>
      </c>
      <c r="D84" s="788" t="s">
        <v>3410</v>
      </c>
      <c r="E84" s="788" t="s">
        <v>3181</v>
      </c>
      <c r="F84" s="789">
        <v>1</v>
      </c>
    </row>
    <row r="85" spans="1:6" ht="13">
      <c r="A85" s="790"/>
      <c r="B85" s="788" t="s">
        <v>4812</v>
      </c>
      <c r="C85" s="788" t="s">
        <v>3104</v>
      </c>
      <c r="D85" s="788" t="s">
        <v>3410</v>
      </c>
      <c r="E85" s="788" t="s">
        <v>3181</v>
      </c>
      <c r="F85" s="789">
        <v>1</v>
      </c>
    </row>
    <row r="86" spans="1:6" ht="13">
      <c r="A86" s="790"/>
      <c r="B86" s="788" t="s">
        <v>5934</v>
      </c>
      <c r="C86" s="788" t="s">
        <v>3104</v>
      </c>
      <c r="D86" s="788" t="s">
        <v>4471</v>
      </c>
      <c r="E86" s="788" t="s">
        <v>3513</v>
      </c>
      <c r="F86" s="789">
        <v>1</v>
      </c>
    </row>
    <row r="87" spans="1:6" ht="13">
      <c r="A87" s="790"/>
      <c r="B87" s="790"/>
      <c r="C87" s="790"/>
      <c r="D87" s="788" t="s">
        <v>5958</v>
      </c>
      <c r="E87" s="788" t="s">
        <v>3181</v>
      </c>
      <c r="F87" s="789">
        <v>1</v>
      </c>
    </row>
    <row r="88" spans="1:6" ht="13">
      <c r="A88" s="790"/>
      <c r="B88" s="790"/>
      <c r="C88" s="790"/>
      <c r="D88" s="788" t="s">
        <v>3410</v>
      </c>
      <c r="E88" s="788" t="s">
        <v>3181</v>
      </c>
      <c r="F88" s="789">
        <v>1</v>
      </c>
    </row>
    <row r="89" spans="1:6" ht="13">
      <c r="A89" s="790"/>
      <c r="B89" s="788" t="s">
        <v>3967</v>
      </c>
      <c r="C89" s="788" t="s">
        <v>3104</v>
      </c>
      <c r="D89" s="788" t="s">
        <v>3410</v>
      </c>
      <c r="E89" s="788" t="s">
        <v>3513</v>
      </c>
      <c r="F89" s="789">
        <v>1</v>
      </c>
    </row>
    <row r="90" spans="1:6" ht="13">
      <c r="A90" s="790"/>
      <c r="B90" s="788" t="s">
        <v>3917</v>
      </c>
      <c r="C90" s="788" t="s">
        <v>3104</v>
      </c>
      <c r="D90" s="788" t="s">
        <v>3916</v>
      </c>
      <c r="E90" s="788" t="s">
        <v>9713</v>
      </c>
      <c r="F90" s="789">
        <v>1</v>
      </c>
    </row>
    <row r="91" spans="1:6" ht="13">
      <c r="A91" s="790"/>
      <c r="B91" s="790"/>
      <c r="C91" s="790"/>
      <c r="D91" s="788" t="s">
        <v>3934</v>
      </c>
      <c r="E91" s="788" t="s">
        <v>3181</v>
      </c>
      <c r="F91" s="789">
        <v>1</v>
      </c>
    </row>
    <row r="92" spans="1:6" ht="13">
      <c r="A92" s="790"/>
      <c r="B92" s="790"/>
      <c r="C92" s="790"/>
      <c r="D92" s="788" t="s">
        <v>3410</v>
      </c>
      <c r="E92" s="788" t="s">
        <v>3513</v>
      </c>
      <c r="F92" s="789">
        <v>1</v>
      </c>
    </row>
    <row r="93" spans="1:6" ht="13">
      <c r="A93" s="790"/>
      <c r="B93" s="788" t="s">
        <v>3524</v>
      </c>
      <c r="C93" s="788" t="s">
        <v>3104</v>
      </c>
      <c r="D93" s="788" t="s">
        <v>3410</v>
      </c>
      <c r="E93" s="788" t="s">
        <v>3313</v>
      </c>
      <c r="F93" s="789">
        <v>1</v>
      </c>
    </row>
    <row r="94" spans="1:6" ht="13">
      <c r="A94" s="790"/>
      <c r="B94" s="788" t="s">
        <v>3483</v>
      </c>
      <c r="C94" s="788" t="s">
        <v>3104</v>
      </c>
      <c r="D94" s="788" t="s">
        <v>3410</v>
      </c>
      <c r="E94" s="788" t="s">
        <v>3233</v>
      </c>
      <c r="F94" s="789">
        <v>1</v>
      </c>
    </row>
    <row r="95" spans="1:6" ht="13">
      <c r="A95" s="790"/>
      <c r="B95" s="788" t="s">
        <v>3495</v>
      </c>
      <c r="C95" s="788" t="s">
        <v>3104</v>
      </c>
      <c r="D95" s="788" t="s">
        <v>3410</v>
      </c>
      <c r="E95" s="788" t="s">
        <v>3233</v>
      </c>
      <c r="F95" s="789">
        <v>1</v>
      </c>
    </row>
    <row r="96" spans="1:6" ht="13">
      <c r="A96" s="790"/>
      <c r="B96" s="788" t="s">
        <v>3901</v>
      </c>
      <c r="C96" s="788" t="s">
        <v>3104</v>
      </c>
      <c r="D96" s="788" t="s">
        <v>3410</v>
      </c>
      <c r="E96" s="788" t="s">
        <v>3313</v>
      </c>
      <c r="F96" s="789">
        <v>1</v>
      </c>
    </row>
    <row r="97" spans="1:6" ht="13">
      <c r="A97" s="790"/>
      <c r="B97" s="788" t="s">
        <v>3992</v>
      </c>
      <c r="C97" s="788" t="s">
        <v>3104</v>
      </c>
      <c r="D97" s="788" t="s">
        <v>3410</v>
      </c>
      <c r="E97" s="788" t="s">
        <v>3181</v>
      </c>
      <c r="F97" s="789">
        <v>1</v>
      </c>
    </row>
    <row r="98" spans="1:6" ht="13">
      <c r="A98" s="790"/>
      <c r="B98" s="788" t="s">
        <v>6462</v>
      </c>
      <c r="C98" s="788" t="s">
        <v>3104</v>
      </c>
      <c r="D98" s="788" t="s">
        <v>3410</v>
      </c>
      <c r="E98" s="788" t="s">
        <v>3181</v>
      </c>
      <c r="F98" s="789">
        <v>1</v>
      </c>
    </row>
    <row r="99" spans="1:6" ht="13">
      <c r="A99" s="790"/>
      <c r="B99" s="788" t="s">
        <v>3776</v>
      </c>
      <c r="C99" s="788" t="s">
        <v>3104</v>
      </c>
      <c r="D99" s="788" t="s">
        <v>3410</v>
      </c>
      <c r="E99" s="788" t="s">
        <v>3181</v>
      </c>
      <c r="F99" s="789">
        <v>1</v>
      </c>
    </row>
    <row r="100" spans="1:6" ht="13">
      <c r="A100" s="790"/>
      <c r="B100" s="788" t="s">
        <v>4043</v>
      </c>
      <c r="C100" s="788" t="s">
        <v>3104</v>
      </c>
      <c r="D100" s="788" t="s">
        <v>3410</v>
      </c>
      <c r="E100" s="788" t="s">
        <v>3313</v>
      </c>
      <c r="F100" s="789">
        <v>1</v>
      </c>
    </row>
    <row r="101" spans="1:6" ht="13">
      <c r="A101" s="790"/>
      <c r="B101" s="788" t="s">
        <v>3503</v>
      </c>
      <c r="C101" s="788" t="s">
        <v>3104</v>
      </c>
      <c r="D101" s="788" t="s">
        <v>3410</v>
      </c>
      <c r="E101" s="788" t="s">
        <v>3313</v>
      </c>
      <c r="F101" s="789">
        <v>1</v>
      </c>
    </row>
    <row r="102" spans="1:6" ht="13">
      <c r="A102" s="790"/>
      <c r="B102" s="788" t="s">
        <v>4106</v>
      </c>
      <c r="C102" s="788" t="s">
        <v>3104</v>
      </c>
      <c r="D102" s="788" t="s">
        <v>3410</v>
      </c>
      <c r="E102" s="788" t="s">
        <v>3313</v>
      </c>
      <c r="F102" s="789">
        <v>1</v>
      </c>
    </row>
    <row r="103" spans="1:6" ht="13">
      <c r="A103" s="790"/>
      <c r="B103" s="788" t="s">
        <v>6192</v>
      </c>
      <c r="C103" s="788" t="s">
        <v>3104</v>
      </c>
      <c r="D103" s="788" t="s">
        <v>3410</v>
      </c>
      <c r="E103" s="788" t="s">
        <v>3181</v>
      </c>
      <c r="F103" s="789">
        <v>1</v>
      </c>
    </row>
    <row r="104" spans="1:6" ht="13">
      <c r="A104" s="790"/>
      <c r="B104" s="788" t="s">
        <v>6165</v>
      </c>
      <c r="C104" s="788" t="s">
        <v>3104</v>
      </c>
      <c r="D104" s="788" t="s">
        <v>3410</v>
      </c>
      <c r="E104" s="788" t="s">
        <v>3456</v>
      </c>
      <c r="F104" s="789">
        <v>1</v>
      </c>
    </row>
    <row r="105" spans="1:6" ht="13">
      <c r="A105" s="790"/>
      <c r="B105" s="788" t="s">
        <v>3891</v>
      </c>
      <c r="C105" s="788" t="s">
        <v>3104</v>
      </c>
      <c r="D105" s="788" t="s">
        <v>3410</v>
      </c>
      <c r="E105" s="788" t="s">
        <v>3456</v>
      </c>
      <c r="F105" s="789">
        <v>1</v>
      </c>
    </row>
    <row r="106" spans="1:6" ht="13">
      <c r="A106" s="790"/>
      <c r="B106" s="788" t="s">
        <v>3858</v>
      </c>
      <c r="C106" s="788" t="s">
        <v>3343</v>
      </c>
      <c r="D106" s="788" t="s">
        <v>3410</v>
      </c>
      <c r="E106" s="788" t="s">
        <v>3181</v>
      </c>
      <c r="F106" s="789">
        <v>1</v>
      </c>
    </row>
    <row r="107" spans="1:6" ht="13">
      <c r="A107" s="790"/>
      <c r="B107" s="788" t="s">
        <v>3984</v>
      </c>
      <c r="C107" s="788" t="s">
        <v>3343</v>
      </c>
      <c r="D107" s="788" t="s">
        <v>3410</v>
      </c>
      <c r="E107" s="788" t="s">
        <v>3233</v>
      </c>
      <c r="F107" s="789">
        <v>1</v>
      </c>
    </row>
    <row r="108" spans="1:6" ht="13">
      <c r="A108" s="790"/>
      <c r="B108" s="788" t="s">
        <v>4034</v>
      </c>
      <c r="C108" s="788" t="s">
        <v>3343</v>
      </c>
      <c r="D108" s="788" t="s">
        <v>3410</v>
      </c>
      <c r="E108" s="788" t="s">
        <v>3313</v>
      </c>
      <c r="F108" s="789">
        <v>1</v>
      </c>
    </row>
    <row r="109" spans="1:6" ht="13">
      <c r="A109" s="790"/>
      <c r="B109" s="788" t="s">
        <v>4431</v>
      </c>
      <c r="C109" s="788" t="s">
        <v>3343</v>
      </c>
      <c r="D109" s="788" t="s">
        <v>3410</v>
      </c>
      <c r="E109" s="788" t="s">
        <v>3233</v>
      </c>
      <c r="F109" s="789">
        <v>1</v>
      </c>
    </row>
    <row r="110" spans="1:6" ht="13">
      <c r="A110" s="790"/>
      <c r="B110" s="788" t="s">
        <v>4451</v>
      </c>
      <c r="C110" s="788" t="s">
        <v>3343</v>
      </c>
      <c r="D110" s="788" t="s">
        <v>3410</v>
      </c>
      <c r="E110" s="788" t="s">
        <v>3233</v>
      </c>
      <c r="F110" s="789">
        <v>1</v>
      </c>
    </row>
    <row r="111" spans="1:6" ht="13">
      <c r="A111" s="790"/>
      <c r="B111" s="788" t="s">
        <v>4473</v>
      </c>
      <c r="C111" s="788" t="s">
        <v>3343</v>
      </c>
      <c r="D111" s="788" t="s">
        <v>3916</v>
      </c>
      <c r="E111" s="788" t="s">
        <v>9713</v>
      </c>
      <c r="F111" s="789">
        <v>1</v>
      </c>
    </row>
    <row r="112" spans="1:6" ht="13">
      <c r="A112" s="790"/>
      <c r="B112" s="788" t="s">
        <v>3974</v>
      </c>
      <c r="C112" s="788" t="s">
        <v>3343</v>
      </c>
      <c r="D112" s="788" t="s">
        <v>3410</v>
      </c>
      <c r="E112" s="788" t="s">
        <v>3313</v>
      </c>
      <c r="F112" s="789">
        <v>1</v>
      </c>
    </row>
    <row r="113" spans="1:6" ht="13">
      <c r="A113" s="790"/>
      <c r="B113" s="788" t="s">
        <v>3430</v>
      </c>
      <c r="C113" s="788" t="s">
        <v>3343</v>
      </c>
      <c r="D113" s="788" t="s">
        <v>3410</v>
      </c>
      <c r="E113" s="788" t="s">
        <v>3181</v>
      </c>
      <c r="F113" s="789">
        <v>1</v>
      </c>
    </row>
    <row r="114" spans="1:6" ht="13">
      <c r="A114" s="790"/>
      <c r="B114" s="788" t="s">
        <v>6061</v>
      </c>
      <c r="C114" s="788" t="s">
        <v>3343</v>
      </c>
      <c r="D114" s="788" t="s">
        <v>3410</v>
      </c>
      <c r="E114" s="788" t="s">
        <v>3181</v>
      </c>
      <c r="F114" s="789">
        <v>1</v>
      </c>
    </row>
    <row r="115" spans="1:6" ht="13">
      <c r="A115" s="790"/>
      <c r="B115" s="788" t="s">
        <v>3411</v>
      </c>
      <c r="C115" s="788" t="s">
        <v>3343</v>
      </c>
      <c r="D115" s="788" t="s">
        <v>3410</v>
      </c>
      <c r="E115" s="788" t="s">
        <v>3181</v>
      </c>
      <c r="F115" s="789">
        <v>1</v>
      </c>
    </row>
    <row r="116" spans="1:6" ht="13">
      <c r="A116" s="790"/>
      <c r="B116" s="790"/>
      <c r="C116" s="790"/>
      <c r="D116" s="790"/>
      <c r="E116" s="791" t="s">
        <v>3423</v>
      </c>
      <c r="F116" s="792">
        <v>1</v>
      </c>
    </row>
    <row r="117" spans="1:6" ht="13">
      <c r="A117" s="790"/>
      <c r="B117" s="788" t="s">
        <v>4744</v>
      </c>
      <c r="C117" s="788" t="s">
        <v>3343</v>
      </c>
      <c r="D117" s="788" t="s">
        <v>3410</v>
      </c>
      <c r="E117" s="788" t="s">
        <v>3181</v>
      </c>
      <c r="F117" s="789">
        <v>1</v>
      </c>
    </row>
    <row r="118" spans="1:6" ht="13">
      <c r="A118" s="790"/>
      <c r="B118" s="788" t="s">
        <v>5967</v>
      </c>
      <c r="C118" s="788" t="s">
        <v>3343</v>
      </c>
      <c r="D118" s="788" t="s">
        <v>3410</v>
      </c>
      <c r="E118" s="788" t="s">
        <v>3181</v>
      </c>
      <c r="F118" s="789">
        <v>1</v>
      </c>
    </row>
    <row r="119" spans="1:6" ht="13">
      <c r="A119" s="790"/>
      <c r="B119" s="788" t="s">
        <v>6265</v>
      </c>
      <c r="C119" s="788" t="s">
        <v>5194</v>
      </c>
      <c r="D119" s="788" t="s">
        <v>3410</v>
      </c>
      <c r="E119" s="788" t="s">
        <v>3313</v>
      </c>
      <c r="F119" s="789">
        <v>1</v>
      </c>
    </row>
    <row r="120" spans="1:6" ht="13">
      <c r="A120" s="790"/>
      <c r="B120" s="788" t="s">
        <v>6786</v>
      </c>
      <c r="C120" s="788" t="s">
        <v>5194</v>
      </c>
      <c r="D120" s="788" t="s">
        <v>3410</v>
      </c>
      <c r="E120" s="788" t="s">
        <v>3313</v>
      </c>
      <c r="F120" s="789">
        <v>1</v>
      </c>
    </row>
    <row r="121" spans="1:6" ht="13">
      <c r="A121" s="790"/>
      <c r="B121" s="788" t="s">
        <v>6788</v>
      </c>
      <c r="C121" s="788" t="s">
        <v>5194</v>
      </c>
      <c r="D121" s="788" t="s">
        <v>3410</v>
      </c>
      <c r="E121" s="788" t="s">
        <v>3181</v>
      </c>
      <c r="F121" s="789">
        <v>1</v>
      </c>
    </row>
    <row r="122" spans="1:6" ht="13">
      <c r="A122" s="790"/>
      <c r="B122" s="790"/>
      <c r="C122" s="790"/>
      <c r="D122" s="790"/>
      <c r="E122" s="791" t="s">
        <v>3423</v>
      </c>
      <c r="F122" s="792">
        <v>1</v>
      </c>
    </row>
    <row r="123" spans="1:6" ht="13">
      <c r="A123" s="790"/>
      <c r="B123" s="788" t="s">
        <v>6231</v>
      </c>
      <c r="C123" s="788" t="s">
        <v>5194</v>
      </c>
      <c r="D123" s="788" t="s">
        <v>3410</v>
      </c>
      <c r="E123" s="788" t="s">
        <v>3313</v>
      </c>
      <c r="F123" s="789">
        <v>1</v>
      </c>
    </row>
    <row r="124" spans="1:6" ht="13">
      <c r="A124" s="790"/>
      <c r="B124" s="788" t="s">
        <v>6791</v>
      </c>
      <c r="C124" s="788" t="s">
        <v>5194</v>
      </c>
      <c r="D124" s="788" t="s">
        <v>3410</v>
      </c>
      <c r="E124" s="788" t="s">
        <v>3313</v>
      </c>
      <c r="F124" s="789">
        <v>1</v>
      </c>
    </row>
    <row r="125" spans="1:6" ht="13">
      <c r="A125" s="790"/>
      <c r="B125" s="788" t="s">
        <v>6792</v>
      </c>
      <c r="C125" s="788" t="s">
        <v>5194</v>
      </c>
      <c r="D125" s="788" t="s">
        <v>3410</v>
      </c>
      <c r="E125" s="788" t="s">
        <v>3181</v>
      </c>
      <c r="F125" s="789">
        <v>1</v>
      </c>
    </row>
    <row r="126" spans="1:6" ht="13">
      <c r="A126" s="790"/>
      <c r="B126" s="788" t="s">
        <v>6794</v>
      </c>
      <c r="C126" s="788" t="s">
        <v>5194</v>
      </c>
      <c r="D126" s="788" t="s">
        <v>3410</v>
      </c>
      <c r="E126" s="788" t="s">
        <v>3313</v>
      </c>
      <c r="F126" s="789">
        <v>1</v>
      </c>
    </row>
    <row r="127" spans="1:6" ht="13">
      <c r="A127" s="790"/>
      <c r="B127" s="788" t="s">
        <v>6274</v>
      </c>
      <c r="C127" s="788" t="s">
        <v>5194</v>
      </c>
      <c r="D127" s="788" t="s">
        <v>3410</v>
      </c>
      <c r="E127" s="788" t="s">
        <v>3313</v>
      </c>
      <c r="F127" s="789">
        <v>1</v>
      </c>
    </row>
    <row r="128" spans="1:6" ht="13">
      <c r="A128" s="790"/>
      <c r="B128" s="790"/>
      <c r="C128" s="790"/>
      <c r="D128" s="790"/>
      <c r="E128" s="791" t="s">
        <v>3513</v>
      </c>
      <c r="F128" s="792">
        <v>1</v>
      </c>
    </row>
    <row r="129" spans="1:6" ht="13">
      <c r="A129" s="790"/>
      <c r="B129" s="788" t="s">
        <v>6566</v>
      </c>
      <c r="C129" s="788" t="s">
        <v>5194</v>
      </c>
      <c r="D129" s="788" t="s">
        <v>3410</v>
      </c>
      <c r="E129" s="788" t="s">
        <v>3313</v>
      </c>
      <c r="F129" s="789">
        <v>1</v>
      </c>
    </row>
    <row r="130" spans="1:6" ht="13">
      <c r="A130" s="790"/>
      <c r="B130" s="788" t="s">
        <v>6797</v>
      </c>
      <c r="C130" s="788" t="s">
        <v>5194</v>
      </c>
      <c r="D130" s="788" t="s">
        <v>3410</v>
      </c>
      <c r="E130" s="788" t="s">
        <v>3181</v>
      </c>
      <c r="F130" s="789">
        <v>1</v>
      </c>
    </row>
    <row r="131" spans="1:6" ht="13">
      <c r="A131" s="790"/>
      <c r="B131" s="788" t="s">
        <v>6571</v>
      </c>
      <c r="C131" s="788" t="s">
        <v>5194</v>
      </c>
      <c r="D131" s="788" t="s">
        <v>3410</v>
      </c>
      <c r="E131" s="788" t="s">
        <v>3181</v>
      </c>
      <c r="F131" s="789">
        <v>1</v>
      </c>
    </row>
    <row r="132" spans="1:6" ht="13">
      <c r="A132" s="790"/>
      <c r="B132" s="790"/>
      <c r="C132" s="790"/>
      <c r="D132" s="790"/>
      <c r="E132" s="791" t="s">
        <v>3423</v>
      </c>
      <c r="F132" s="792">
        <v>1</v>
      </c>
    </row>
    <row r="133" spans="1:6" ht="13">
      <c r="A133" s="790"/>
      <c r="B133" s="788" t="s">
        <v>6185</v>
      </c>
      <c r="C133" s="788" t="s">
        <v>5194</v>
      </c>
      <c r="D133" s="788" t="s">
        <v>3410</v>
      </c>
      <c r="E133" s="788" t="s">
        <v>3313</v>
      </c>
      <c r="F133" s="789">
        <v>1</v>
      </c>
    </row>
    <row r="134" spans="1:6" ht="13">
      <c r="A134" s="790"/>
      <c r="B134" s="788" t="s">
        <v>6171</v>
      </c>
      <c r="C134" s="788" t="s">
        <v>5194</v>
      </c>
      <c r="D134" s="788" t="s">
        <v>3916</v>
      </c>
      <c r="E134" s="788" t="s">
        <v>9713</v>
      </c>
      <c r="F134" s="789">
        <v>1</v>
      </c>
    </row>
    <row r="135" spans="1:6" ht="13">
      <c r="A135" s="790"/>
      <c r="B135" s="788" t="s">
        <v>6178</v>
      </c>
      <c r="C135" s="788" t="s">
        <v>5194</v>
      </c>
      <c r="D135" s="788" t="s">
        <v>3916</v>
      </c>
      <c r="E135" s="788" t="s">
        <v>9713</v>
      </c>
      <c r="F135" s="789">
        <v>1</v>
      </c>
    </row>
    <row r="136" spans="1:6" ht="13">
      <c r="A136" s="790"/>
      <c r="B136" s="788" t="s">
        <v>6798</v>
      </c>
      <c r="C136" s="788" t="s">
        <v>5194</v>
      </c>
      <c r="D136" s="788" t="s">
        <v>3410</v>
      </c>
      <c r="E136" s="788" t="s">
        <v>3181</v>
      </c>
      <c r="F136" s="789">
        <v>1</v>
      </c>
    </row>
    <row r="137" spans="1:6" ht="13">
      <c r="A137" s="790"/>
      <c r="B137" s="790"/>
      <c r="C137" s="790"/>
      <c r="D137" s="790"/>
      <c r="E137" s="791" t="s">
        <v>3423</v>
      </c>
      <c r="F137" s="792">
        <v>1</v>
      </c>
    </row>
    <row r="138" spans="1:6" ht="13">
      <c r="A138" s="790"/>
      <c r="B138" s="788" t="s">
        <v>6800</v>
      </c>
      <c r="C138" s="788" t="s">
        <v>5194</v>
      </c>
      <c r="D138" s="788" t="s">
        <v>3916</v>
      </c>
      <c r="E138" s="788" t="s">
        <v>9713</v>
      </c>
      <c r="F138" s="789">
        <v>1</v>
      </c>
    </row>
    <row r="139" spans="1:6" ht="13">
      <c r="A139" s="790"/>
      <c r="B139" s="790"/>
      <c r="C139" s="790"/>
      <c r="D139" s="788" t="s">
        <v>6802</v>
      </c>
      <c r="E139" s="788" t="s">
        <v>9713</v>
      </c>
      <c r="F139" s="789">
        <v>1</v>
      </c>
    </row>
    <row r="140" spans="1:6" ht="13">
      <c r="A140" s="790"/>
      <c r="B140" s="790"/>
      <c r="C140" s="790"/>
      <c r="D140" s="788" t="s">
        <v>6803</v>
      </c>
      <c r="E140" s="788"/>
      <c r="F140" s="789">
        <v>1</v>
      </c>
    </row>
    <row r="141" spans="1:6" ht="13">
      <c r="A141" s="790"/>
      <c r="B141" s="790"/>
      <c r="C141" s="790"/>
      <c r="D141" s="788" t="s">
        <v>4471</v>
      </c>
      <c r="E141" s="788" t="s">
        <v>3513</v>
      </c>
      <c r="F141" s="789">
        <v>1</v>
      </c>
    </row>
    <row r="142" spans="1:6" ht="13">
      <c r="A142" s="790"/>
      <c r="B142" s="790"/>
      <c r="C142" s="790"/>
      <c r="D142" s="788" t="s">
        <v>6805</v>
      </c>
      <c r="E142" s="788" t="s">
        <v>9713</v>
      </c>
      <c r="F142" s="789">
        <v>1</v>
      </c>
    </row>
    <row r="143" spans="1:6" ht="13">
      <c r="A143" s="790"/>
      <c r="B143" s="790"/>
      <c r="C143" s="790"/>
      <c r="D143" s="788" t="s">
        <v>3410</v>
      </c>
      <c r="E143" s="788" t="s">
        <v>3181</v>
      </c>
      <c r="F143" s="789">
        <v>1</v>
      </c>
    </row>
    <row r="144" spans="1:6" ht="13">
      <c r="A144" s="790"/>
      <c r="B144" s="788" t="s">
        <v>6809</v>
      </c>
      <c r="C144" s="788" t="s">
        <v>5194</v>
      </c>
      <c r="D144" s="788" t="s">
        <v>3410</v>
      </c>
      <c r="E144" s="788" t="s">
        <v>3181</v>
      </c>
      <c r="F144" s="789">
        <v>1</v>
      </c>
    </row>
    <row r="145" spans="1:6" ht="13">
      <c r="A145" s="790"/>
      <c r="B145" s="788" t="s">
        <v>6810</v>
      </c>
      <c r="C145" s="788" t="s">
        <v>5194</v>
      </c>
      <c r="D145" s="788" t="s">
        <v>3410</v>
      </c>
      <c r="E145" s="788" t="s">
        <v>3313</v>
      </c>
      <c r="F145" s="789">
        <v>1</v>
      </c>
    </row>
    <row r="146" spans="1:6" ht="13">
      <c r="A146" s="788" t="s">
        <v>6812</v>
      </c>
      <c r="B146" s="788" t="s">
        <v>3102</v>
      </c>
      <c r="C146" s="788" t="s">
        <v>3104</v>
      </c>
      <c r="D146" s="788" t="s">
        <v>3302</v>
      </c>
      <c r="E146" s="788" t="s">
        <v>9713</v>
      </c>
      <c r="F146" s="789">
        <v>1</v>
      </c>
    </row>
    <row r="147" spans="1:6" ht="13">
      <c r="A147" s="790"/>
      <c r="B147" s="790"/>
      <c r="C147" s="790"/>
      <c r="D147" s="788" t="s">
        <v>3307</v>
      </c>
      <c r="E147" s="788" t="s">
        <v>9713</v>
      </c>
      <c r="F147" s="789">
        <v>1</v>
      </c>
    </row>
    <row r="148" spans="1:6" ht="13">
      <c r="A148" s="790"/>
      <c r="B148" s="790"/>
      <c r="C148" s="790"/>
      <c r="D148" s="788" t="s">
        <v>145</v>
      </c>
      <c r="E148" s="788" t="s">
        <v>9713</v>
      </c>
      <c r="F148" s="789">
        <v>1</v>
      </c>
    </row>
    <row r="149" spans="1:6" ht="13">
      <c r="A149" s="790"/>
      <c r="B149" s="790"/>
      <c r="C149" s="790"/>
      <c r="D149" s="788" t="s">
        <v>3327</v>
      </c>
      <c r="E149" s="788" t="s">
        <v>3328</v>
      </c>
      <c r="F149" s="789">
        <v>1</v>
      </c>
    </row>
    <row r="150" spans="1:6" ht="13">
      <c r="A150" s="790"/>
      <c r="B150" s="790"/>
      <c r="C150" s="790"/>
      <c r="D150" s="788" t="s">
        <v>3320</v>
      </c>
      <c r="E150" s="788" t="s">
        <v>3313</v>
      </c>
      <c r="F150" s="789">
        <v>1</v>
      </c>
    </row>
    <row r="151" spans="1:6" ht="13">
      <c r="A151" s="790"/>
      <c r="B151" s="790"/>
      <c r="C151" s="790"/>
      <c r="D151" s="788" t="s">
        <v>3312</v>
      </c>
      <c r="E151" s="788" t="s">
        <v>3313</v>
      </c>
      <c r="F151" s="789">
        <v>1</v>
      </c>
    </row>
    <row r="152" spans="1:6" ht="13">
      <c r="A152" s="790"/>
      <c r="B152" s="790"/>
      <c r="C152" s="790"/>
      <c r="D152" s="788" t="s">
        <v>6815</v>
      </c>
      <c r="E152" s="788" t="s">
        <v>9713</v>
      </c>
      <c r="F152" s="789">
        <v>1</v>
      </c>
    </row>
    <row r="153" spans="1:6" ht="13">
      <c r="A153" s="790"/>
      <c r="B153" s="790"/>
      <c r="C153" s="790"/>
      <c r="D153" s="788" t="s">
        <v>6488</v>
      </c>
      <c r="E153" s="788" t="s">
        <v>9713</v>
      </c>
      <c r="F153" s="789">
        <v>1</v>
      </c>
    </row>
    <row r="154" spans="1:6" ht="13">
      <c r="A154" s="790"/>
      <c r="B154" s="790"/>
      <c r="C154" s="790"/>
      <c r="D154" s="788" t="s">
        <v>6501</v>
      </c>
      <c r="E154" s="788" t="s">
        <v>9713</v>
      </c>
      <c r="F154" s="789">
        <v>1</v>
      </c>
    </row>
    <row r="155" spans="1:6" ht="13">
      <c r="A155" s="790"/>
      <c r="B155" s="790"/>
      <c r="C155" s="790"/>
      <c r="D155" s="788" t="s">
        <v>6494</v>
      </c>
      <c r="E155" s="788" t="s">
        <v>9713</v>
      </c>
      <c r="F155" s="789">
        <v>1</v>
      </c>
    </row>
    <row r="156" spans="1:6" ht="13">
      <c r="A156" s="790"/>
      <c r="B156" s="790"/>
      <c r="C156" s="790"/>
      <c r="D156" s="788" t="s">
        <v>6528</v>
      </c>
      <c r="E156" s="788" t="s">
        <v>3328</v>
      </c>
      <c r="F156" s="789">
        <v>1</v>
      </c>
    </row>
    <row r="157" spans="1:6" ht="13">
      <c r="A157" s="790"/>
      <c r="B157" s="790"/>
      <c r="C157" s="790"/>
      <c r="D157" s="788" t="s">
        <v>3232</v>
      </c>
      <c r="E157" s="788" t="s">
        <v>3233</v>
      </c>
      <c r="F157" s="789">
        <v>1</v>
      </c>
    </row>
    <row r="158" spans="1:6" ht="13">
      <c r="A158" s="790"/>
      <c r="B158" s="790"/>
      <c r="C158" s="790"/>
      <c r="D158" s="788" t="s">
        <v>3241</v>
      </c>
      <c r="E158" s="788" t="s">
        <v>9713</v>
      </c>
      <c r="F158" s="789">
        <v>1</v>
      </c>
    </row>
    <row r="159" spans="1:6" ht="13">
      <c r="A159" s="790"/>
      <c r="B159" s="790"/>
      <c r="C159" s="790"/>
      <c r="D159" s="788" t="s">
        <v>3206</v>
      </c>
      <c r="E159" s="788" t="s">
        <v>9713</v>
      </c>
      <c r="F159" s="789">
        <v>1</v>
      </c>
    </row>
    <row r="160" spans="1:6" ht="13">
      <c r="A160" s="790"/>
      <c r="B160" s="790"/>
      <c r="C160" s="790"/>
      <c r="D160" s="788" t="s">
        <v>6821</v>
      </c>
      <c r="E160" s="788" t="s">
        <v>3313</v>
      </c>
      <c r="F160" s="789">
        <v>1</v>
      </c>
    </row>
    <row r="161" spans="1:6" ht="13">
      <c r="A161" s="790"/>
      <c r="B161" s="790"/>
      <c r="C161" s="790"/>
      <c r="D161" s="788" t="s">
        <v>3269</v>
      </c>
      <c r="E161" s="788" t="s">
        <v>9713</v>
      </c>
      <c r="F161" s="789">
        <v>1</v>
      </c>
    </row>
    <row r="162" spans="1:6" ht="13">
      <c r="A162" s="790"/>
      <c r="B162" s="790"/>
      <c r="C162" s="790"/>
      <c r="D162" s="788" t="s">
        <v>3112</v>
      </c>
      <c r="E162" s="788" t="s">
        <v>9713</v>
      </c>
      <c r="F162" s="789">
        <v>1</v>
      </c>
    </row>
    <row r="163" spans="1:6" ht="13">
      <c r="A163" s="790"/>
      <c r="B163" s="790"/>
      <c r="C163" s="790"/>
      <c r="D163" s="788" t="s">
        <v>3099</v>
      </c>
      <c r="E163" s="788" t="s">
        <v>9713</v>
      </c>
      <c r="F163" s="789">
        <v>1</v>
      </c>
    </row>
    <row r="164" spans="1:6" ht="13">
      <c r="A164" s="790"/>
      <c r="B164" s="790"/>
      <c r="C164" s="790"/>
      <c r="D164" s="788" t="s">
        <v>6823</v>
      </c>
      <c r="E164" s="788" t="s">
        <v>3328</v>
      </c>
      <c r="F164" s="789">
        <v>1</v>
      </c>
    </row>
    <row r="165" spans="1:6" ht="13">
      <c r="A165" s="790"/>
      <c r="B165" s="790"/>
      <c r="C165" s="790"/>
      <c r="D165" s="788" t="s">
        <v>6436</v>
      </c>
      <c r="E165" s="788" t="s">
        <v>9713</v>
      </c>
      <c r="F165" s="789">
        <v>1</v>
      </c>
    </row>
    <row r="166" spans="1:6" ht="13">
      <c r="A166" s="790"/>
      <c r="B166" s="788" t="s">
        <v>6824</v>
      </c>
      <c r="C166" s="788" t="s">
        <v>5194</v>
      </c>
      <c r="D166" s="788" t="s">
        <v>6825</v>
      </c>
      <c r="E166" s="788" t="s">
        <v>3313</v>
      </c>
      <c r="F166" s="789">
        <v>1</v>
      </c>
    </row>
    <row r="167" spans="1:6" ht="13">
      <c r="A167" s="790"/>
      <c r="B167" s="790"/>
      <c r="C167" s="790"/>
      <c r="D167" s="788" t="s">
        <v>6827</v>
      </c>
      <c r="E167" s="788" t="s">
        <v>3313</v>
      </c>
      <c r="F167" s="789">
        <v>1</v>
      </c>
    </row>
    <row r="168" spans="1:6" ht="13">
      <c r="A168" s="788" t="s">
        <v>6828</v>
      </c>
      <c r="B168" s="788" t="s">
        <v>6050</v>
      </c>
      <c r="C168" s="788" t="s">
        <v>3104</v>
      </c>
      <c r="D168" s="788" t="s">
        <v>6830</v>
      </c>
      <c r="E168" s="788" t="s">
        <v>9713</v>
      </c>
      <c r="F168" s="789">
        <v>1</v>
      </c>
    </row>
    <row r="169" spans="1:6" ht="13">
      <c r="A169" s="790"/>
      <c r="B169" s="790"/>
      <c r="C169" s="790"/>
      <c r="D169" s="788" t="s">
        <v>6049</v>
      </c>
      <c r="E169" s="788" t="s">
        <v>9713</v>
      </c>
      <c r="F169" s="789">
        <v>1</v>
      </c>
    </row>
    <row r="170" spans="1:6" ht="13">
      <c r="A170" s="788" t="s">
        <v>6831</v>
      </c>
      <c r="B170" s="788" t="s">
        <v>3716</v>
      </c>
      <c r="C170" s="788" t="s">
        <v>3104</v>
      </c>
      <c r="D170" s="788" t="s">
        <v>3715</v>
      </c>
      <c r="E170" s="788" t="s">
        <v>9713</v>
      </c>
      <c r="F170" s="789">
        <v>1</v>
      </c>
    </row>
    <row r="171" spans="1:6" ht="13">
      <c r="A171" s="790"/>
      <c r="B171" s="790"/>
      <c r="C171" s="790"/>
      <c r="D171" s="788" t="s">
        <v>3739</v>
      </c>
      <c r="E171" s="788" t="s">
        <v>3513</v>
      </c>
      <c r="F171" s="789">
        <v>1</v>
      </c>
    </row>
    <row r="172" spans="1:6" ht="13">
      <c r="A172" s="790"/>
      <c r="B172" s="788" t="s">
        <v>3843</v>
      </c>
      <c r="C172" s="788" t="s">
        <v>3104</v>
      </c>
      <c r="D172" s="788" t="s">
        <v>3715</v>
      </c>
      <c r="E172" s="788" t="s">
        <v>9713</v>
      </c>
      <c r="F172" s="789">
        <v>2</v>
      </c>
    </row>
    <row r="173" spans="1:6" ht="13">
      <c r="A173" s="790"/>
      <c r="B173" s="788" t="s">
        <v>5991</v>
      </c>
      <c r="C173" s="788" t="s">
        <v>3343</v>
      </c>
      <c r="D173" s="788" t="s">
        <v>3715</v>
      </c>
      <c r="E173" s="788" t="s">
        <v>9713</v>
      </c>
      <c r="F173" s="789">
        <v>1</v>
      </c>
    </row>
    <row r="174" spans="1:6" ht="13">
      <c r="A174" s="790"/>
      <c r="B174" s="788" t="s">
        <v>4411</v>
      </c>
      <c r="C174" s="788" t="s">
        <v>3343</v>
      </c>
      <c r="D174" s="788" t="s">
        <v>3715</v>
      </c>
      <c r="E174" s="788" t="s">
        <v>9713</v>
      </c>
      <c r="F174" s="789">
        <v>1</v>
      </c>
    </row>
    <row r="175" spans="1:6" ht="13">
      <c r="A175" s="790"/>
      <c r="B175" s="788" t="s">
        <v>6005</v>
      </c>
      <c r="C175" s="788" t="s">
        <v>3343</v>
      </c>
      <c r="D175" s="788" t="s">
        <v>3715</v>
      </c>
      <c r="E175" s="788" t="s">
        <v>9713</v>
      </c>
      <c r="F175" s="789">
        <v>2</v>
      </c>
    </row>
    <row r="176" spans="1:6" ht="13">
      <c r="A176" s="790"/>
      <c r="B176" s="790"/>
      <c r="C176" s="790"/>
      <c r="D176" s="788" t="s">
        <v>5883</v>
      </c>
      <c r="E176" s="788" t="s">
        <v>9713</v>
      </c>
      <c r="F176" s="789">
        <v>1</v>
      </c>
    </row>
    <row r="177" spans="1:6" ht="13">
      <c r="A177" s="790"/>
      <c r="B177" s="788" t="s">
        <v>6838</v>
      </c>
      <c r="C177" s="788" t="s">
        <v>5194</v>
      </c>
      <c r="D177" s="788" t="s">
        <v>3715</v>
      </c>
      <c r="E177" s="788" t="s">
        <v>9713</v>
      </c>
      <c r="F177" s="789">
        <v>1</v>
      </c>
    </row>
    <row r="178" spans="1:6" ht="13">
      <c r="A178" s="790"/>
      <c r="B178" s="790"/>
      <c r="C178" s="790"/>
      <c r="D178" s="788" t="s">
        <v>6840</v>
      </c>
      <c r="E178" s="788" t="s">
        <v>9713</v>
      </c>
      <c r="F178" s="789">
        <v>1</v>
      </c>
    </row>
    <row r="179" spans="1:6" ht="13">
      <c r="A179" s="790"/>
      <c r="B179" s="790"/>
      <c r="C179" s="790"/>
      <c r="D179" s="788" t="s">
        <v>5893</v>
      </c>
      <c r="E179" s="788" t="s">
        <v>9713</v>
      </c>
      <c r="F179" s="789">
        <v>1</v>
      </c>
    </row>
    <row r="180" spans="1:6" ht="13">
      <c r="A180" s="790"/>
      <c r="B180" s="790"/>
      <c r="C180" s="790"/>
      <c r="D180" s="788" t="s">
        <v>6842</v>
      </c>
      <c r="E180" s="788" t="s">
        <v>9713</v>
      </c>
      <c r="F180" s="789">
        <v>1</v>
      </c>
    </row>
    <row r="181" spans="1:6" ht="13">
      <c r="A181" s="788" t="s">
        <v>6843</v>
      </c>
      <c r="B181" s="788" t="s">
        <v>3182</v>
      </c>
      <c r="C181" s="788" t="s">
        <v>3104</v>
      </c>
      <c r="D181" s="788" t="s">
        <v>6845</v>
      </c>
      <c r="E181" s="788" t="s">
        <v>9713</v>
      </c>
      <c r="F181" s="789">
        <v>1</v>
      </c>
    </row>
    <row r="182" spans="1:6" ht="13">
      <c r="A182" s="790"/>
      <c r="B182" s="790"/>
      <c r="C182" s="790"/>
      <c r="D182" s="788" t="s">
        <v>6846</v>
      </c>
      <c r="E182" s="788" t="s">
        <v>9713</v>
      </c>
      <c r="F182" s="789">
        <v>1</v>
      </c>
    </row>
    <row r="183" spans="1:6" ht="13">
      <c r="A183" s="790"/>
      <c r="B183" s="790"/>
      <c r="C183" s="790"/>
      <c r="D183" s="788" t="s">
        <v>6847</v>
      </c>
      <c r="E183" s="788" t="s">
        <v>9713</v>
      </c>
      <c r="F183" s="789">
        <v>1</v>
      </c>
    </row>
    <row r="184" spans="1:6" ht="13">
      <c r="A184" s="790"/>
      <c r="B184" s="790"/>
      <c r="C184" s="790"/>
      <c r="D184" s="788" t="s">
        <v>6848</v>
      </c>
      <c r="E184" s="788" t="s">
        <v>9713</v>
      </c>
      <c r="F184" s="789">
        <v>1</v>
      </c>
    </row>
    <row r="185" spans="1:6" ht="15" customHeight="1">
      <c r="A185" s="790"/>
      <c r="B185" s="790"/>
      <c r="C185" s="790"/>
      <c r="D185" s="788" t="s">
        <v>6851</v>
      </c>
      <c r="E185" s="788" t="s">
        <v>3513</v>
      </c>
      <c r="F185" s="789">
        <v>1</v>
      </c>
    </row>
    <row r="186" spans="1:6" ht="15" customHeight="1">
      <c r="A186" s="790"/>
      <c r="B186" s="790"/>
      <c r="C186" s="790"/>
      <c r="D186" s="788" t="s">
        <v>3180</v>
      </c>
      <c r="E186" s="788" t="s">
        <v>3181</v>
      </c>
      <c r="F186" s="789">
        <v>1</v>
      </c>
    </row>
    <row r="187" spans="1:6" ht="15" customHeight="1">
      <c r="A187" s="793" t="s">
        <v>6853</v>
      </c>
      <c r="B187" s="793" t="s">
        <v>6854</v>
      </c>
      <c r="C187" s="793" t="s">
        <v>5194</v>
      </c>
      <c r="D187" s="793" t="s">
        <v>6855</v>
      </c>
      <c r="E187" s="793" t="s">
        <v>9713</v>
      </c>
      <c r="F187" s="79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227"/>
  <sheetViews>
    <sheetView workbookViewId="0"/>
  </sheetViews>
  <sheetFormatPr baseColWidth="10" defaultColWidth="14.5" defaultRowHeight="15" customHeight="1"/>
  <cols>
    <col min="1" max="1" width="15.83203125" customWidth="1"/>
    <col min="2" max="2" width="13.5" customWidth="1"/>
    <col min="3" max="3" width="31.33203125" customWidth="1"/>
    <col min="4" max="4" width="21.83203125" customWidth="1"/>
  </cols>
  <sheetData>
    <row r="1" spans="1:27">
      <c r="A1" s="664" t="s">
        <v>6902</v>
      </c>
    </row>
    <row r="4" spans="1:27">
      <c r="A4" s="665"/>
    </row>
    <row r="5" spans="1:27">
      <c r="A5" s="666" t="s">
        <v>6903</v>
      </c>
      <c r="B5" s="666" t="s">
        <v>6904</v>
      </c>
      <c r="C5" s="666" t="s">
        <v>6905</v>
      </c>
      <c r="D5" s="666" t="s">
        <v>6906</v>
      </c>
      <c r="E5" s="667"/>
      <c r="F5" s="667"/>
      <c r="G5" s="667"/>
      <c r="H5" s="667"/>
      <c r="I5" s="667"/>
      <c r="J5" s="667"/>
      <c r="K5" s="667"/>
      <c r="L5" s="667"/>
      <c r="M5" s="667"/>
      <c r="N5" s="667"/>
      <c r="O5" s="667"/>
      <c r="P5" s="667"/>
      <c r="Q5" s="667"/>
      <c r="R5" s="667"/>
      <c r="S5" s="667"/>
      <c r="T5" s="667"/>
      <c r="U5" s="667"/>
      <c r="V5" s="667"/>
      <c r="W5" s="667"/>
      <c r="X5" s="667"/>
      <c r="Y5" s="667"/>
      <c r="Z5" s="667"/>
      <c r="AA5" s="667"/>
    </row>
    <row r="6" spans="1:27">
      <c r="A6" s="665" t="s">
        <v>203</v>
      </c>
      <c r="B6" s="665" t="s">
        <v>6922</v>
      </c>
      <c r="C6" s="665" t="s">
        <v>6421</v>
      </c>
      <c r="D6" s="668">
        <v>1834</v>
      </c>
    </row>
    <row r="7" spans="1:27">
      <c r="A7" s="665" t="s">
        <v>203</v>
      </c>
      <c r="B7" s="665" t="s">
        <v>6922</v>
      </c>
      <c r="C7" s="665" t="s">
        <v>6421</v>
      </c>
      <c r="D7" s="668">
        <v>1835</v>
      </c>
    </row>
    <row r="8" spans="1:27">
      <c r="A8" s="665" t="s">
        <v>203</v>
      </c>
      <c r="B8" s="665" t="s">
        <v>6922</v>
      </c>
      <c r="C8" s="665" t="s">
        <v>6421</v>
      </c>
      <c r="D8" s="668">
        <v>1833</v>
      </c>
    </row>
    <row r="9" spans="1:27">
      <c r="A9" s="663">
        <v>1258</v>
      </c>
      <c r="B9" s="665" t="s">
        <v>6926</v>
      </c>
      <c r="C9" s="665" t="s">
        <v>6927</v>
      </c>
      <c r="D9" s="665" t="s">
        <v>203</v>
      </c>
    </row>
    <row r="10" spans="1:27">
      <c r="A10" s="665">
        <v>1259</v>
      </c>
      <c r="B10" s="665" t="s">
        <v>6926</v>
      </c>
      <c r="C10" s="665" t="s">
        <v>6928</v>
      </c>
      <c r="D10" s="665" t="s">
        <v>203</v>
      </c>
    </row>
    <row r="11" spans="1:27">
      <c r="A11" s="663">
        <v>1260</v>
      </c>
      <c r="B11" s="665" t="s">
        <v>6926</v>
      </c>
      <c r="C11" s="665" t="s">
        <v>6930</v>
      </c>
      <c r="D11" s="665" t="s">
        <v>203</v>
      </c>
    </row>
    <row r="12" spans="1:27">
      <c r="A12" s="663">
        <v>1262</v>
      </c>
      <c r="B12" s="665" t="s">
        <v>6926</v>
      </c>
      <c r="C12" s="665" t="s">
        <v>6931</v>
      </c>
      <c r="D12" s="665" t="s">
        <v>203</v>
      </c>
    </row>
    <row r="13" spans="1:27">
      <c r="A13" s="663">
        <v>1741</v>
      </c>
      <c r="B13" s="665" t="s">
        <v>6926</v>
      </c>
      <c r="C13" s="665" t="s">
        <v>6932</v>
      </c>
      <c r="D13" s="665" t="s">
        <v>203</v>
      </c>
    </row>
    <row r="14" spans="1:27">
      <c r="A14" s="663">
        <v>1742</v>
      </c>
      <c r="B14" s="665" t="s">
        <v>6926</v>
      </c>
      <c r="C14" s="665" t="s">
        <v>6935</v>
      </c>
      <c r="D14" s="665" t="s">
        <v>203</v>
      </c>
    </row>
    <row r="15" spans="1:27">
      <c r="A15" s="663">
        <v>1743</v>
      </c>
      <c r="B15" s="665" t="s">
        <v>6926</v>
      </c>
      <c r="C15" s="665" t="s">
        <v>6936</v>
      </c>
      <c r="D15" s="665" t="s">
        <v>203</v>
      </c>
    </row>
    <row r="16" spans="1:27">
      <c r="A16" s="663">
        <v>1744</v>
      </c>
      <c r="B16" s="665" t="s">
        <v>6926</v>
      </c>
      <c r="C16" s="665" t="s">
        <v>6937</v>
      </c>
      <c r="D16" s="665" t="s">
        <v>203</v>
      </c>
    </row>
    <row r="17" spans="1:4">
      <c r="A17" s="663">
        <v>1745</v>
      </c>
      <c r="B17" s="665" t="s">
        <v>6926</v>
      </c>
      <c r="C17" s="665" t="s">
        <v>6938</v>
      </c>
      <c r="D17" s="665" t="s">
        <v>203</v>
      </c>
    </row>
    <row r="18" spans="1:4">
      <c r="A18" s="663">
        <v>1763</v>
      </c>
      <c r="B18" s="665" t="s">
        <v>6926</v>
      </c>
      <c r="C18" s="665" t="s">
        <v>6940</v>
      </c>
      <c r="D18" s="665" t="s">
        <v>203</v>
      </c>
    </row>
    <row r="19" spans="1:4">
      <c r="A19" s="663">
        <v>1764</v>
      </c>
      <c r="B19" s="665" t="s">
        <v>6926</v>
      </c>
      <c r="C19" s="665" t="s">
        <v>6941</v>
      </c>
      <c r="D19" s="665" t="s">
        <v>203</v>
      </c>
    </row>
    <row r="20" spans="1:4">
      <c r="A20" s="663">
        <v>1765</v>
      </c>
      <c r="B20" s="665" t="s">
        <v>6926</v>
      </c>
      <c r="C20" s="665" t="s">
        <v>6942</v>
      </c>
      <c r="D20" s="665" t="s">
        <v>203</v>
      </c>
    </row>
    <row r="21" spans="1:4">
      <c r="A21" s="665">
        <v>2314</v>
      </c>
      <c r="B21" s="665" t="s">
        <v>6926</v>
      </c>
      <c r="C21" s="665" t="s">
        <v>6943</v>
      </c>
      <c r="D21" s="665" t="s">
        <v>203</v>
      </c>
    </row>
    <row r="22" spans="1:4">
      <c r="A22" s="668">
        <v>1409</v>
      </c>
      <c r="B22" s="665" t="s">
        <v>6926</v>
      </c>
      <c r="C22" s="665" t="s">
        <v>6944</v>
      </c>
      <c r="D22" s="665" t="s">
        <v>203</v>
      </c>
    </row>
    <row r="23" spans="1:4">
      <c r="A23" s="668">
        <v>2173</v>
      </c>
      <c r="B23" s="665" t="s">
        <v>6926</v>
      </c>
      <c r="C23" s="665" t="s">
        <v>6946</v>
      </c>
      <c r="D23" s="665" t="s">
        <v>203</v>
      </c>
    </row>
    <row r="24" spans="1:4">
      <c r="A24" s="668">
        <v>2313</v>
      </c>
      <c r="B24" s="665" t="s">
        <v>6926</v>
      </c>
      <c r="C24" s="665" t="s">
        <v>6946</v>
      </c>
      <c r="D24" s="665" t="s">
        <v>203</v>
      </c>
    </row>
    <row r="25" spans="1:4">
      <c r="A25" s="668">
        <v>1410</v>
      </c>
      <c r="B25" s="665" t="s">
        <v>6926</v>
      </c>
      <c r="C25" s="665" t="s">
        <v>6950</v>
      </c>
      <c r="D25" s="665" t="s">
        <v>203</v>
      </c>
    </row>
    <row r="26" spans="1:4">
      <c r="A26" s="665" t="s">
        <v>203</v>
      </c>
      <c r="B26" s="665" t="s">
        <v>6922</v>
      </c>
      <c r="C26" s="665" t="s">
        <v>6951</v>
      </c>
      <c r="D26" s="663">
        <v>2320</v>
      </c>
    </row>
    <row r="27" spans="1:4">
      <c r="A27" s="665" t="s">
        <v>203</v>
      </c>
      <c r="B27" s="665" t="s">
        <v>6922</v>
      </c>
      <c r="C27" s="665" t="s">
        <v>6951</v>
      </c>
      <c r="D27" s="663">
        <v>2321</v>
      </c>
    </row>
    <row r="28" spans="1:4">
      <c r="A28" s="665" t="s">
        <v>203</v>
      </c>
      <c r="B28" s="665" t="s">
        <v>6922</v>
      </c>
      <c r="C28" s="665" t="s">
        <v>6951</v>
      </c>
      <c r="D28" s="663">
        <v>2322</v>
      </c>
    </row>
    <row r="29" spans="1:4">
      <c r="A29" s="665" t="s">
        <v>203</v>
      </c>
      <c r="B29" s="665" t="s">
        <v>6922</v>
      </c>
      <c r="C29" s="665" t="s">
        <v>6951</v>
      </c>
      <c r="D29" s="663">
        <v>2323</v>
      </c>
    </row>
    <row r="30" spans="1:4">
      <c r="A30" s="665" t="s">
        <v>203</v>
      </c>
      <c r="B30" s="665" t="s">
        <v>6922</v>
      </c>
      <c r="C30" s="665" t="s">
        <v>6951</v>
      </c>
      <c r="D30" s="663">
        <v>2324</v>
      </c>
    </row>
    <row r="31" spans="1:4">
      <c r="A31" s="665" t="s">
        <v>203</v>
      </c>
      <c r="B31" s="665" t="s">
        <v>6922</v>
      </c>
      <c r="C31" s="665" t="s">
        <v>6951</v>
      </c>
      <c r="D31" s="663">
        <v>2325</v>
      </c>
    </row>
    <row r="32" spans="1:4">
      <c r="A32" s="665" t="s">
        <v>203</v>
      </c>
      <c r="B32" s="665" t="s">
        <v>6922</v>
      </c>
      <c r="C32" s="665" t="s">
        <v>6951</v>
      </c>
      <c r="D32" s="663">
        <v>2326</v>
      </c>
    </row>
    <row r="33" spans="1:4">
      <c r="A33" s="665" t="s">
        <v>203</v>
      </c>
      <c r="B33" s="665" t="s">
        <v>6922</v>
      </c>
      <c r="C33" s="665" t="s">
        <v>6951</v>
      </c>
      <c r="D33" s="663">
        <v>2327</v>
      </c>
    </row>
    <row r="34" spans="1:4">
      <c r="A34" s="665" t="s">
        <v>203</v>
      </c>
      <c r="B34" s="665" t="s">
        <v>6922</v>
      </c>
      <c r="C34" s="665" t="s">
        <v>6951</v>
      </c>
      <c r="D34" s="663">
        <v>2328</v>
      </c>
    </row>
    <row r="35" spans="1:4">
      <c r="A35" s="665" t="s">
        <v>203</v>
      </c>
      <c r="B35" s="665" t="s">
        <v>6922</v>
      </c>
      <c r="C35" s="665" t="s">
        <v>6951</v>
      </c>
      <c r="D35" s="663">
        <v>2329</v>
      </c>
    </row>
    <row r="36" spans="1:4">
      <c r="A36" s="665" t="s">
        <v>203</v>
      </c>
      <c r="B36" s="665" t="s">
        <v>6922</v>
      </c>
      <c r="C36" s="665" t="s">
        <v>6951</v>
      </c>
      <c r="D36" s="663">
        <v>2330</v>
      </c>
    </row>
    <row r="37" spans="1:4">
      <c r="A37" s="665" t="s">
        <v>203</v>
      </c>
      <c r="B37" s="665" t="s">
        <v>6922</v>
      </c>
      <c r="C37" s="665" t="s">
        <v>6951</v>
      </c>
      <c r="D37" s="663">
        <v>2331</v>
      </c>
    </row>
    <row r="38" spans="1:4">
      <c r="A38" s="665" t="s">
        <v>203</v>
      </c>
      <c r="B38" s="665" t="s">
        <v>6922</v>
      </c>
      <c r="C38" s="665" t="s">
        <v>6951</v>
      </c>
      <c r="D38" s="663">
        <v>2332</v>
      </c>
    </row>
    <row r="39" spans="1:4">
      <c r="A39" s="665" t="s">
        <v>203</v>
      </c>
      <c r="B39" s="665" t="s">
        <v>6922</v>
      </c>
      <c r="C39" s="665" t="s">
        <v>6951</v>
      </c>
      <c r="D39" s="663">
        <v>2333</v>
      </c>
    </row>
    <row r="40" spans="1:4">
      <c r="A40" s="665" t="s">
        <v>203</v>
      </c>
      <c r="B40" s="665" t="s">
        <v>6922</v>
      </c>
      <c r="C40" s="665" t="s">
        <v>6951</v>
      </c>
      <c r="D40" s="663">
        <v>2334</v>
      </c>
    </row>
    <row r="41" spans="1:4">
      <c r="A41" s="665" t="s">
        <v>203</v>
      </c>
      <c r="B41" s="665" t="s">
        <v>6922</v>
      </c>
      <c r="C41" s="665" t="s">
        <v>6951</v>
      </c>
      <c r="D41" s="663">
        <v>2335</v>
      </c>
    </row>
    <row r="42" spans="1:4">
      <c r="A42" s="665" t="s">
        <v>203</v>
      </c>
      <c r="B42" s="665" t="s">
        <v>6922</v>
      </c>
      <c r="C42" s="665" t="s">
        <v>6951</v>
      </c>
      <c r="D42" s="663">
        <v>2336</v>
      </c>
    </row>
    <row r="43" spans="1:4">
      <c r="A43" s="665" t="s">
        <v>203</v>
      </c>
      <c r="B43" s="665" t="s">
        <v>6922</v>
      </c>
      <c r="C43" s="665" t="s">
        <v>6951</v>
      </c>
      <c r="D43" s="663">
        <v>2337</v>
      </c>
    </row>
    <row r="44" spans="1:4">
      <c r="A44" s="665" t="s">
        <v>203</v>
      </c>
      <c r="B44" s="665" t="s">
        <v>6922</v>
      </c>
      <c r="C44" s="665" t="s">
        <v>6951</v>
      </c>
      <c r="D44" s="663">
        <v>2338</v>
      </c>
    </row>
    <row r="45" spans="1:4">
      <c r="A45" s="665" t="s">
        <v>203</v>
      </c>
      <c r="B45" s="665" t="s">
        <v>6922</v>
      </c>
      <c r="C45" s="665" t="s">
        <v>6951</v>
      </c>
      <c r="D45" s="663">
        <v>2339</v>
      </c>
    </row>
    <row r="46" spans="1:4">
      <c r="A46" s="665" t="s">
        <v>203</v>
      </c>
      <c r="B46" s="665" t="s">
        <v>6922</v>
      </c>
      <c r="C46" s="665" t="s">
        <v>6951</v>
      </c>
      <c r="D46" s="663">
        <v>2340</v>
      </c>
    </row>
    <row r="47" spans="1:4">
      <c r="A47" s="665" t="s">
        <v>203</v>
      </c>
      <c r="B47" s="665" t="s">
        <v>6922</v>
      </c>
      <c r="C47" s="665" t="s">
        <v>6951</v>
      </c>
      <c r="D47" s="663">
        <v>2341</v>
      </c>
    </row>
    <row r="48" spans="1:4">
      <c r="A48" s="665" t="s">
        <v>203</v>
      </c>
      <c r="B48" s="665" t="s">
        <v>6922</v>
      </c>
      <c r="C48" s="665" t="s">
        <v>6951</v>
      </c>
      <c r="D48" s="663">
        <v>2342</v>
      </c>
    </row>
    <row r="49" spans="1:4">
      <c r="A49" s="665" t="s">
        <v>203</v>
      </c>
      <c r="B49" s="665" t="s">
        <v>6922</v>
      </c>
      <c r="C49" s="665" t="s">
        <v>6951</v>
      </c>
      <c r="D49" s="663">
        <v>2343</v>
      </c>
    </row>
    <row r="50" spans="1:4">
      <c r="A50" s="665" t="s">
        <v>203</v>
      </c>
      <c r="B50" s="665" t="s">
        <v>6922</v>
      </c>
      <c r="C50" s="665" t="s">
        <v>6951</v>
      </c>
      <c r="D50" s="663">
        <v>2344</v>
      </c>
    </row>
    <row r="51" spans="1:4">
      <c r="A51" s="665" t="s">
        <v>203</v>
      </c>
      <c r="B51" s="665" t="s">
        <v>6922</v>
      </c>
      <c r="C51" s="665" t="s">
        <v>6951</v>
      </c>
      <c r="D51" s="663">
        <v>2345</v>
      </c>
    </row>
    <row r="52" spans="1:4">
      <c r="A52" s="668">
        <v>1524</v>
      </c>
      <c r="B52" s="665" t="s">
        <v>6926</v>
      </c>
      <c r="C52" s="665" t="s">
        <v>6962</v>
      </c>
      <c r="D52" s="665" t="s">
        <v>203</v>
      </c>
    </row>
    <row r="53" spans="1:4">
      <c r="A53" s="663">
        <v>1525</v>
      </c>
      <c r="B53" s="665" t="s">
        <v>6926</v>
      </c>
      <c r="C53" s="665" t="s">
        <v>6963</v>
      </c>
      <c r="D53" s="665" t="s">
        <v>203</v>
      </c>
    </row>
    <row r="54" spans="1:4">
      <c r="A54" s="663">
        <v>1526</v>
      </c>
      <c r="B54" s="665" t="s">
        <v>6926</v>
      </c>
      <c r="C54" s="665" t="s">
        <v>6964</v>
      </c>
      <c r="D54" s="665" t="s">
        <v>203</v>
      </c>
    </row>
    <row r="55" spans="1:4">
      <c r="A55" s="663">
        <v>1527</v>
      </c>
      <c r="B55" s="665" t="s">
        <v>6926</v>
      </c>
      <c r="C55" s="665" t="s">
        <v>6965</v>
      </c>
      <c r="D55" s="665" t="s">
        <v>203</v>
      </c>
    </row>
    <row r="56" spans="1:4">
      <c r="A56" s="663">
        <v>1588</v>
      </c>
      <c r="B56" s="665" t="s">
        <v>6926</v>
      </c>
      <c r="C56" s="665" t="s">
        <v>6966</v>
      </c>
      <c r="D56" s="665" t="s">
        <v>203</v>
      </c>
    </row>
    <row r="57" spans="1:4">
      <c r="A57" s="668">
        <v>1286</v>
      </c>
      <c r="B57" s="665" t="s">
        <v>6967</v>
      </c>
      <c r="C57" s="665" t="s">
        <v>6968</v>
      </c>
      <c r="D57" s="665" t="s">
        <v>6969</v>
      </c>
    </row>
    <row r="58" spans="1:4">
      <c r="A58" s="665">
        <v>1328</v>
      </c>
      <c r="B58" s="665" t="s">
        <v>6967</v>
      </c>
      <c r="C58" s="665" t="s">
        <v>6968</v>
      </c>
      <c r="D58" s="665" t="s">
        <v>6970</v>
      </c>
    </row>
    <row r="59" spans="1:4">
      <c r="A59" s="665">
        <v>1687</v>
      </c>
      <c r="B59" s="665" t="s">
        <v>6967</v>
      </c>
      <c r="C59" s="665" t="s">
        <v>6968</v>
      </c>
      <c r="D59" s="665" t="s">
        <v>6973</v>
      </c>
    </row>
    <row r="60" spans="1:4">
      <c r="A60" s="665">
        <v>1958</v>
      </c>
      <c r="B60" s="665" t="s">
        <v>6967</v>
      </c>
      <c r="C60" s="665" t="s">
        <v>6968</v>
      </c>
      <c r="D60" s="665" t="s">
        <v>6975</v>
      </c>
    </row>
    <row r="61" spans="1:4">
      <c r="A61" s="665">
        <v>1418</v>
      </c>
      <c r="B61" s="665" t="s">
        <v>6926</v>
      </c>
      <c r="C61" s="665" t="s">
        <v>6976</v>
      </c>
      <c r="D61" s="665" t="s">
        <v>203</v>
      </c>
    </row>
    <row r="62" spans="1:4">
      <c r="A62" s="663">
        <v>1809</v>
      </c>
      <c r="B62" s="665" t="s">
        <v>6926</v>
      </c>
      <c r="C62" s="669" t="str">
        <f t="shared" ref="C62:C66" si="0">HYPERLINK("https://github.com/who-int/Data-Dictionary-Mapping/issues/61","See ticket 61")</f>
        <v>See ticket 61</v>
      </c>
      <c r="D62" s="665" t="s">
        <v>203</v>
      </c>
    </row>
    <row r="63" spans="1:4">
      <c r="A63" s="663">
        <v>1810</v>
      </c>
      <c r="B63" s="665" t="s">
        <v>6926</v>
      </c>
      <c r="C63" s="669" t="str">
        <f t="shared" si="0"/>
        <v>See ticket 61</v>
      </c>
      <c r="D63" s="665" t="s">
        <v>203</v>
      </c>
    </row>
    <row r="64" spans="1:4">
      <c r="A64" s="665">
        <v>1811</v>
      </c>
      <c r="B64" s="665" t="s">
        <v>6926</v>
      </c>
      <c r="C64" s="669" t="str">
        <f t="shared" si="0"/>
        <v>See ticket 61</v>
      </c>
      <c r="D64" s="665" t="s">
        <v>203</v>
      </c>
    </row>
    <row r="65" spans="1:4">
      <c r="A65" s="668">
        <v>2288</v>
      </c>
      <c r="B65" s="665" t="s">
        <v>6926</v>
      </c>
      <c r="C65" s="669" t="str">
        <f t="shared" si="0"/>
        <v>See ticket 61</v>
      </c>
      <c r="D65" s="665" t="s">
        <v>203</v>
      </c>
    </row>
    <row r="66" spans="1:4">
      <c r="A66" s="668">
        <v>2289</v>
      </c>
      <c r="B66" s="665" t="s">
        <v>6926</v>
      </c>
      <c r="C66" s="669" t="str">
        <f t="shared" si="0"/>
        <v>See ticket 61</v>
      </c>
      <c r="D66" s="665" t="s">
        <v>203</v>
      </c>
    </row>
    <row r="67" spans="1:4">
      <c r="A67" s="665" t="s">
        <v>203</v>
      </c>
      <c r="B67" s="665" t="s">
        <v>6922</v>
      </c>
      <c r="C67" s="665" t="s">
        <v>6984</v>
      </c>
      <c r="D67" s="670">
        <v>2352</v>
      </c>
    </row>
    <row r="68" spans="1:4">
      <c r="A68" s="665" t="s">
        <v>203</v>
      </c>
      <c r="B68" s="665" t="s">
        <v>6922</v>
      </c>
      <c r="C68" s="665" t="s">
        <v>6984</v>
      </c>
      <c r="D68" s="668">
        <v>2353</v>
      </c>
    </row>
    <row r="69" spans="1:4">
      <c r="A69" s="663">
        <v>1688</v>
      </c>
      <c r="B69" s="665" t="s">
        <v>6926</v>
      </c>
      <c r="C69" s="665" t="s">
        <v>6985</v>
      </c>
      <c r="D69" s="665" t="s">
        <v>203</v>
      </c>
    </row>
    <row r="70" spans="1:4">
      <c r="A70" s="665">
        <v>1794</v>
      </c>
      <c r="B70" s="665" t="s">
        <v>6926</v>
      </c>
      <c r="C70" s="665" t="s">
        <v>6986</v>
      </c>
      <c r="D70" s="665" t="s">
        <v>203</v>
      </c>
    </row>
    <row r="71" spans="1:4">
      <c r="A71" s="665">
        <v>1922</v>
      </c>
      <c r="B71" s="665" t="s">
        <v>6926</v>
      </c>
      <c r="C71" s="665" t="s">
        <v>6987</v>
      </c>
      <c r="D71" s="665" t="s">
        <v>203</v>
      </c>
    </row>
    <row r="72" spans="1:4">
      <c r="A72" s="663">
        <v>1373</v>
      </c>
      <c r="B72" s="665" t="s">
        <v>6926</v>
      </c>
      <c r="C72" s="665" t="s">
        <v>6989</v>
      </c>
      <c r="D72" s="665" t="s">
        <v>203</v>
      </c>
    </row>
    <row r="73" spans="1:4">
      <c r="A73" s="663">
        <v>1374</v>
      </c>
      <c r="B73" s="665" t="s">
        <v>6926</v>
      </c>
      <c r="C73" s="665" t="s">
        <v>6990</v>
      </c>
      <c r="D73" s="665" t="s">
        <v>203</v>
      </c>
    </row>
    <row r="74" spans="1:4">
      <c r="A74" s="668">
        <v>1375</v>
      </c>
      <c r="B74" s="665" t="s">
        <v>6926</v>
      </c>
      <c r="C74" s="665" t="s">
        <v>6991</v>
      </c>
      <c r="D74" s="665" t="s">
        <v>203</v>
      </c>
    </row>
    <row r="75" spans="1:4">
      <c r="A75" s="668">
        <v>1376</v>
      </c>
      <c r="B75" s="665" t="s">
        <v>6926</v>
      </c>
      <c r="C75" s="665" t="s">
        <v>6992</v>
      </c>
      <c r="D75" s="665" t="s">
        <v>203</v>
      </c>
    </row>
    <row r="76" spans="1:4">
      <c r="A76" s="668">
        <v>1377</v>
      </c>
      <c r="B76" s="665" t="s">
        <v>6926</v>
      </c>
      <c r="C76" s="665" t="s">
        <v>6994</v>
      </c>
      <c r="D76" s="665" t="s">
        <v>203</v>
      </c>
    </row>
    <row r="77" spans="1:4">
      <c r="A77" s="668">
        <v>1378</v>
      </c>
      <c r="B77" s="665" t="s">
        <v>6926</v>
      </c>
      <c r="C77" s="665" t="s">
        <v>6995</v>
      </c>
      <c r="D77" s="665" t="s">
        <v>203</v>
      </c>
    </row>
    <row r="78" spans="1:4">
      <c r="A78" s="668">
        <v>1379</v>
      </c>
      <c r="B78" s="665" t="s">
        <v>6926</v>
      </c>
      <c r="C78" s="665" t="s">
        <v>6996</v>
      </c>
      <c r="D78" s="665" t="s">
        <v>203</v>
      </c>
    </row>
    <row r="79" spans="1:4">
      <c r="A79" s="668">
        <v>2320</v>
      </c>
      <c r="B79" s="665" t="s">
        <v>6926</v>
      </c>
      <c r="C79" s="665" t="s">
        <v>6997</v>
      </c>
      <c r="D79" s="665" t="s">
        <v>203</v>
      </c>
    </row>
    <row r="80" spans="1:4">
      <c r="A80" s="668">
        <v>2321</v>
      </c>
      <c r="B80" s="665" t="s">
        <v>6926</v>
      </c>
      <c r="C80" s="665" t="s">
        <v>6998</v>
      </c>
      <c r="D80" s="665" t="s">
        <v>203</v>
      </c>
    </row>
    <row r="81" spans="1:4">
      <c r="A81" s="668">
        <v>2322</v>
      </c>
      <c r="B81" s="665" t="s">
        <v>6926</v>
      </c>
      <c r="C81" s="665" t="s">
        <v>6999</v>
      </c>
      <c r="D81" s="665" t="s">
        <v>203</v>
      </c>
    </row>
    <row r="82" spans="1:4">
      <c r="A82" s="668">
        <v>2323</v>
      </c>
      <c r="B82" s="665" t="s">
        <v>6926</v>
      </c>
      <c r="C82" s="663" t="s">
        <v>7001</v>
      </c>
      <c r="D82" s="665" t="s">
        <v>203</v>
      </c>
    </row>
    <row r="83" spans="1:4">
      <c r="A83" s="668">
        <v>2324</v>
      </c>
      <c r="B83" s="665" t="s">
        <v>6926</v>
      </c>
      <c r="C83" s="663" t="s">
        <v>7002</v>
      </c>
      <c r="D83" s="665" t="s">
        <v>203</v>
      </c>
    </row>
    <row r="84" spans="1:4">
      <c r="A84" s="668">
        <v>2325</v>
      </c>
      <c r="B84" s="665" t="s">
        <v>6926</v>
      </c>
      <c r="C84" s="663" t="s">
        <v>7003</v>
      </c>
      <c r="D84" s="665" t="s">
        <v>203</v>
      </c>
    </row>
    <row r="85" spans="1:4">
      <c r="A85" s="668">
        <v>2326</v>
      </c>
      <c r="B85" s="665" t="s">
        <v>6926</v>
      </c>
      <c r="C85" s="663" t="s">
        <v>7004</v>
      </c>
      <c r="D85" s="665" t="s">
        <v>203</v>
      </c>
    </row>
    <row r="86" spans="1:4">
      <c r="A86" s="668">
        <v>2327</v>
      </c>
      <c r="B86" s="665" t="s">
        <v>6926</v>
      </c>
      <c r="C86" s="663" t="s">
        <v>7006</v>
      </c>
      <c r="D86" s="665" t="s">
        <v>203</v>
      </c>
    </row>
    <row r="87" spans="1:4">
      <c r="A87" s="668">
        <v>2328</v>
      </c>
      <c r="B87" s="665" t="s">
        <v>6926</v>
      </c>
      <c r="C87" s="663" t="s">
        <v>7007</v>
      </c>
      <c r="D87" s="665" t="s">
        <v>203</v>
      </c>
    </row>
    <row r="88" spans="1:4">
      <c r="A88" s="668">
        <v>2329</v>
      </c>
      <c r="B88" s="665" t="s">
        <v>6926</v>
      </c>
      <c r="C88" s="663" t="s">
        <v>7008</v>
      </c>
      <c r="D88" s="665" t="s">
        <v>203</v>
      </c>
    </row>
    <row r="89" spans="1:4">
      <c r="A89" s="668">
        <v>2330</v>
      </c>
      <c r="B89" s="665" t="s">
        <v>6926</v>
      </c>
      <c r="C89" s="663" t="s">
        <v>7009</v>
      </c>
      <c r="D89" s="665" t="s">
        <v>203</v>
      </c>
    </row>
    <row r="90" spans="1:4">
      <c r="A90" s="668">
        <v>2331</v>
      </c>
      <c r="B90" s="665" t="s">
        <v>6926</v>
      </c>
      <c r="C90" s="663" t="s">
        <v>7010</v>
      </c>
      <c r="D90" s="665" t="s">
        <v>203</v>
      </c>
    </row>
    <row r="91" spans="1:4">
      <c r="A91" s="668">
        <v>2332</v>
      </c>
      <c r="B91" s="665" t="s">
        <v>6926</v>
      </c>
      <c r="C91" s="663" t="s">
        <v>7011</v>
      </c>
      <c r="D91" s="665" t="s">
        <v>203</v>
      </c>
    </row>
    <row r="92" spans="1:4">
      <c r="A92" s="668">
        <v>2333</v>
      </c>
      <c r="B92" s="665" t="s">
        <v>6926</v>
      </c>
      <c r="C92" s="663" t="s">
        <v>7012</v>
      </c>
      <c r="D92" s="665" t="s">
        <v>203</v>
      </c>
    </row>
    <row r="93" spans="1:4">
      <c r="A93" s="668">
        <v>2334</v>
      </c>
      <c r="B93" s="665" t="s">
        <v>6926</v>
      </c>
      <c r="C93" s="663" t="s">
        <v>7013</v>
      </c>
      <c r="D93" s="665" t="s">
        <v>203</v>
      </c>
    </row>
    <row r="94" spans="1:4">
      <c r="A94" s="668">
        <v>2335</v>
      </c>
      <c r="B94" s="665" t="s">
        <v>6926</v>
      </c>
      <c r="C94" s="663" t="s">
        <v>7014</v>
      </c>
      <c r="D94" s="665" t="s">
        <v>203</v>
      </c>
    </row>
    <row r="95" spans="1:4">
      <c r="A95" s="668">
        <v>2336</v>
      </c>
      <c r="B95" s="665" t="s">
        <v>6926</v>
      </c>
      <c r="C95" s="663" t="s">
        <v>7015</v>
      </c>
      <c r="D95" s="665" t="s">
        <v>203</v>
      </c>
    </row>
    <row r="96" spans="1:4">
      <c r="A96" s="668">
        <v>2337</v>
      </c>
      <c r="B96" s="665" t="s">
        <v>6926</v>
      </c>
      <c r="C96" s="663" t="s">
        <v>7016</v>
      </c>
      <c r="D96" s="665" t="s">
        <v>203</v>
      </c>
    </row>
    <row r="97" spans="1:4">
      <c r="A97" s="668">
        <v>2338</v>
      </c>
      <c r="B97" s="665" t="s">
        <v>6926</v>
      </c>
      <c r="C97" s="663" t="s">
        <v>7017</v>
      </c>
      <c r="D97" s="665" t="s">
        <v>203</v>
      </c>
    </row>
    <row r="98" spans="1:4">
      <c r="A98" s="668">
        <v>2339</v>
      </c>
      <c r="B98" s="665" t="s">
        <v>6926</v>
      </c>
      <c r="C98" s="663" t="s">
        <v>7020</v>
      </c>
      <c r="D98" s="665" t="s">
        <v>203</v>
      </c>
    </row>
    <row r="99" spans="1:4">
      <c r="A99" s="668">
        <v>2340</v>
      </c>
      <c r="B99" s="665" t="s">
        <v>6926</v>
      </c>
      <c r="C99" s="663" t="s">
        <v>7021</v>
      </c>
      <c r="D99" s="665" t="s">
        <v>203</v>
      </c>
    </row>
    <row r="100" spans="1:4">
      <c r="A100" s="668">
        <v>2341</v>
      </c>
      <c r="B100" s="665" t="s">
        <v>6926</v>
      </c>
      <c r="C100" s="663" t="s">
        <v>7022</v>
      </c>
      <c r="D100" s="665" t="s">
        <v>203</v>
      </c>
    </row>
    <row r="101" spans="1:4">
      <c r="A101" s="668">
        <v>2342</v>
      </c>
      <c r="B101" s="665" t="s">
        <v>6926</v>
      </c>
      <c r="C101" s="663" t="s">
        <v>7024</v>
      </c>
      <c r="D101" s="665" t="s">
        <v>203</v>
      </c>
    </row>
    <row r="102" spans="1:4">
      <c r="A102" s="668">
        <v>2343</v>
      </c>
      <c r="B102" s="665" t="s">
        <v>6926</v>
      </c>
      <c r="C102" s="663" t="s">
        <v>7026</v>
      </c>
      <c r="D102" s="665" t="s">
        <v>203</v>
      </c>
    </row>
    <row r="103" spans="1:4">
      <c r="A103" s="668">
        <v>2344</v>
      </c>
      <c r="B103" s="665" t="s">
        <v>6926</v>
      </c>
      <c r="C103" s="663" t="s">
        <v>7028</v>
      </c>
      <c r="D103" s="665" t="s">
        <v>203</v>
      </c>
    </row>
    <row r="104" spans="1:4">
      <c r="A104" s="668">
        <v>2345</v>
      </c>
      <c r="B104" s="665" t="s">
        <v>6926</v>
      </c>
      <c r="C104" s="663" t="s">
        <v>7029</v>
      </c>
      <c r="D104" s="665" t="s">
        <v>203</v>
      </c>
    </row>
    <row r="105" spans="1:4">
      <c r="A105" s="668">
        <v>1689</v>
      </c>
      <c r="B105" s="665" t="s">
        <v>6926</v>
      </c>
      <c r="C105" s="665" t="s">
        <v>6997</v>
      </c>
      <c r="D105" s="665" t="s">
        <v>203</v>
      </c>
    </row>
    <row r="106" spans="1:4">
      <c r="A106" s="663">
        <v>1959</v>
      </c>
      <c r="B106" s="665" t="s">
        <v>6926</v>
      </c>
      <c r="C106" s="672" t="s">
        <v>6997</v>
      </c>
      <c r="D106" s="665" t="s">
        <v>203</v>
      </c>
    </row>
    <row r="107" spans="1:4">
      <c r="A107" s="663">
        <v>1960</v>
      </c>
      <c r="B107" s="665" t="s">
        <v>6926</v>
      </c>
      <c r="C107" s="672" t="s">
        <v>6998</v>
      </c>
      <c r="D107" s="665" t="s">
        <v>203</v>
      </c>
    </row>
    <row r="108" spans="1:4">
      <c r="A108" s="663">
        <v>1961</v>
      </c>
      <c r="B108" s="665" t="s">
        <v>6926</v>
      </c>
      <c r="C108" s="672" t="s">
        <v>6999</v>
      </c>
      <c r="D108" s="665" t="s">
        <v>203</v>
      </c>
    </row>
    <row r="109" spans="1:4">
      <c r="A109" s="663">
        <v>1962</v>
      </c>
      <c r="B109" s="665" t="s">
        <v>6926</v>
      </c>
      <c r="C109" s="672" t="s">
        <v>7001</v>
      </c>
      <c r="D109" s="665" t="s">
        <v>203</v>
      </c>
    </row>
    <row r="110" spans="1:4">
      <c r="A110" s="663">
        <v>1963</v>
      </c>
      <c r="B110" s="665" t="s">
        <v>6926</v>
      </c>
      <c r="C110" s="672" t="s">
        <v>7002</v>
      </c>
      <c r="D110" s="665" t="s">
        <v>203</v>
      </c>
    </row>
    <row r="111" spans="1:4">
      <c r="A111" s="663">
        <v>1964</v>
      </c>
      <c r="B111" s="665" t="s">
        <v>6926</v>
      </c>
      <c r="C111" s="672" t="s">
        <v>7003</v>
      </c>
      <c r="D111" s="665" t="s">
        <v>203</v>
      </c>
    </row>
    <row r="112" spans="1:4">
      <c r="A112" s="663">
        <v>1965</v>
      </c>
      <c r="B112" s="665" t="s">
        <v>6926</v>
      </c>
      <c r="C112" s="672" t="s">
        <v>7004</v>
      </c>
      <c r="D112" s="665" t="s">
        <v>203</v>
      </c>
    </row>
    <row r="113" spans="1:4">
      <c r="A113" s="663">
        <v>1966</v>
      </c>
      <c r="B113" s="665" t="s">
        <v>6926</v>
      </c>
      <c r="C113" s="672" t="s">
        <v>7006</v>
      </c>
      <c r="D113" s="665" t="s">
        <v>203</v>
      </c>
    </row>
    <row r="114" spans="1:4">
      <c r="A114" s="663">
        <v>1967</v>
      </c>
      <c r="B114" s="665" t="s">
        <v>6926</v>
      </c>
      <c r="C114" s="672" t="s">
        <v>7007</v>
      </c>
      <c r="D114" s="665" t="s">
        <v>203</v>
      </c>
    </row>
    <row r="115" spans="1:4">
      <c r="A115" s="663">
        <v>1968</v>
      </c>
      <c r="B115" s="665" t="s">
        <v>6926</v>
      </c>
      <c r="C115" s="672" t="s">
        <v>7008</v>
      </c>
      <c r="D115" s="665" t="s">
        <v>203</v>
      </c>
    </row>
    <row r="116" spans="1:4">
      <c r="A116" s="663">
        <v>1969</v>
      </c>
      <c r="B116" s="665" t="s">
        <v>6926</v>
      </c>
      <c r="C116" s="672" t="s">
        <v>7009</v>
      </c>
      <c r="D116" s="665" t="s">
        <v>203</v>
      </c>
    </row>
    <row r="117" spans="1:4">
      <c r="A117" s="663">
        <v>1970</v>
      </c>
      <c r="B117" s="665" t="s">
        <v>6926</v>
      </c>
      <c r="C117" s="672" t="s">
        <v>7010</v>
      </c>
      <c r="D117" s="665" t="s">
        <v>203</v>
      </c>
    </row>
    <row r="118" spans="1:4">
      <c r="A118" s="663">
        <v>1971</v>
      </c>
      <c r="B118" s="665" t="s">
        <v>6926</v>
      </c>
      <c r="C118" s="672" t="s">
        <v>7011</v>
      </c>
      <c r="D118" s="665" t="s">
        <v>203</v>
      </c>
    </row>
    <row r="119" spans="1:4">
      <c r="A119" s="663">
        <v>1972</v>
      </c>
      <c r="B119" s="665" t="s">
        <v>6926</v>
      </c>
      <c r="C119" s="672" t="s">
        <v>7012</v>
      </c>
      <c r="D119" s="665" t="s">
        <v>203</v>
      </c>
    </row>
    <row r="120" spans="1:4">
      <c r="A120" s="663">
        <v>1973</v>
      </c>
      <c r="B120" s="665" t="s">
        <v>6926</v>
      </c>
      <c r="C120" s="672" t="s">
        <v>7013</v>
      </c>
      <c r="D120" s="665" t="s">
        <v>203</v>
      </c>
    </row>
    <row r="121" spans="1:4">
      <c r="A121" s="663">
        <v>1974</v>
      </c>
      <c r="B121" s="665" t="s">
        <v>6926</v>
      </c>
      <c r="C121" s="672" t="s">
        <v>7014</v>
      </c>
      <c r="D121" s="665" t="s">
        <v>203</v>
      </c>
    </row>
    <row r="122" spans="1:4">
      <c r="A122" s="663">
        <v>1975</v>
      </c>
      <c r="B122" s="665" t="s">
        <v>6926</v>
      </c>
      <c r="C122" s="672" t="s">
        <v>7015</v>
      </c>
      <c r="D122" s="665" t="s">
        <v>203</v>
      </c>
    </row>
    <row r="123" spans="1:4">
      <c r="A123" s="663">
        <v>1976</v>
      </c>
      <c r="B123" s="665" t="s">
        <v>6926</v>
      </c>
      <c r="C123" s="672" t="s">
        <v>7016</v>
      </c>
      <c r="D123" s="665" t="s">
        <v>203</v>
      </c>
    </row>
    <row r="124" spans="1:4">
      <c r="A124" s="663">
        <v>1977</v>
      </c>
      <c r="B124" s="665" t="s">
        <v>6926</v>
      </c>
      <c r="C124" s="672" t="s">
        <v>7017</v>
      </c>
      <c r="D124" s="665" t="s">
        <v>203</v>
      </c>
    </row>
    <row r="125" spans="1:4">
      <c r="A125" s="663">
        <v>1978</v>
      </c>
      <c r="B125" s="665" t="s">
        <v>6926</v>
      </c>
      <c r="C125" s="672" t="s">
        <v>7020</v>
      </c>
      <c r="D125" s="665" t="s">
        <v>203</v>
      </c>
    </row>
    <row r="126" spans="1:4">
      <c r="A126" s="663">
        <v>1979</v>
      </c>
      <c r="B126" s="665" t="s">
        <v>6926</v>
      </c>
      <c r="C126" s="672" t="s">
        <v>7021</v>
      </c>
      <c r="D126" s="665" t="s">
        <v>203</v>
      </c>
    </row>
    <row r="127" spans="1:4">
      <c r="A127" s="663">
        <v>1980</v>
      </c>
      <c r="B127" s="665" t="s">
        <v>6926</v>
      </c>
      <c r="C127" s="672" t="s">
        <v>7022</v>
      </c>
      <c r="D127" s="665" t="s">
        <v>203</v>
      </c>
    </row>
    <row r="128" spans="1:4">
      <c r="A128" s="663">
        <v>1981</v>
      </c>
      <c r="B128" s="665" t="s">
        <v>6926</v>
      </c>
      <c r="C128" s="672" t="s">
        <v>7024</v>
      </c>
      <c r="D128" s="665" t="s">
        <v>203</v>
      </c>
    </row>
    <row r="129" spans="1:4">
      <c r="A129" s="663">
        <v>1982</v>
      </c>
      <c r="B129" s="665" t="s">
        <v>6926</v>
      </c>
      <c r="C129" s="672" t="s">
        <v>7026</v>
      </c>
      <c r="D129" s="665" t="s">
        <v>203</v>
      </c>
    </row>
    <row r="130" spans="1:4">
      <c r="A130" s="663">
        <v>1983</v>
      </c>
      <c r="B130" s="665" t="s">
        <v>6926</v>
      </c>
      <c r="C130" s="672" t="s">
        <v>7028</v>
      </c>
      <c r="D130" s="665" t="s">
        <v>203</v>
      </c>
    </row>
    <row r="131" spans="1:4">
      <c r="A131" s="663">
        <v>1984</v>
      </c>
      <c r="B131" s="665" t="s">
        <v>6926</v>
      </c>
      <c r="C131" s="672" t="s">
        <v>7029</v>
      </c>
      <c r="D131" s="665" t="s">
        <v>203</v>
      </c>
    </row>
    <row r="132" spans="1:4">
      <c r="A132" s="663">
        <v>1991</v>
      </c>
      <c r="B132" s="665" t="s">
        <v>6926</v>
      </c>
      <c r="C132" s="673" t="s">
        <v>7039</v>
      </c>
      <c r="D132" s="665" t="s">
        <v>203</v>
      </c>
    </row>
    <row r="133" spans="1:4">
      <c r="A133" s="663">
        <v>1992</v>
      </c>
      <c r="B133" s="665" t="s">
        <v>6926</v>
      </c>
      <c r="C133" s="673" t="s">
        <v>7041</v>
      </c>
      <c r="D133" s="665" t="s">
        <v>203</v>
      </c>
    </row>
    <row r="134" spans="1:4">
      <c r="A134" s="663">
        <v>1993</v>
      </c>
      <c r="B134" s="665" t="s">
        <v>6926</v>
      </c>
      <c r="C134" s="673" t="s">
        <v>7042</v>
      </c>
      <c r="D134" s="665" t="s">
        <v>203</v>
      </c>
    </row>
    <row r="135" spans="1:4">
      <c r="A135" s="663">
        <v>1860</v>
      </c>
      <c r="B135" s="665" t="s">
        <v>6926</v>
      </c>
      <c r="C135" s="673" t="s">
        <v>7045</v>
      </c>
      <c r="D135" s="665" t="s">
        <v>203</v>
      </c>
    </row>
    <row r="136" spans="1:4">
      <c r="A136" s="663">
        <v>1276</v>
      </c>
      <c r="B136" s="665" t="s">
        <v>6926</v>
      </c>
      <c r="C136" s="673" t="s">
        <v>7046</v>
      </c>
      <c r="D136" s="665" t="s">
        <v>203</v>
      </c>
    </row>
    <row r="137" spans="1:4">
      <c r="A137" s="663">
        <v>1277</v>
      </c>
      <c r="B137" s="665" t="s">
        <v>6926</v>
      </c>
      <c r="C137" s="673" t="s">
        <v>7047</v>
      </c>
      <c r="D137" s="665" t="s">
        <v>203</v>
      </c>
    </row>
    <row r="138" spans="1:4">
      <c r="A138" s="663">
        <v>1278</v>
      </c>
      <c r="B138" s="665" t="s">
        <v>6926</v>
      </c>
      <c r="C138" s="673" t="s">
        <v>7048</v>
      </c>
      <c r="D138" s="665" t="s">
        <v>203</v>
      </c>
    </row>
    <row r="139" spans="1:4">
      <c r="A139" s="665">
        <v>1890</v>
      </c>
      <c r="B139" s="665" t="s">
        <v>6926</v>
      </c>
      <c r="C139" s="674" t="s">
        <v>7049</v>
      </c>
      <c r="D139" s="665" t="s">
        <v>203</v>
      </c>
    </row>
    <row r="140" spans="1:4">
      <c r="A140" s="665">
        <v>1891</v>
      </c>
      <c r="B140" s="665" t="s">
        <v>6926</v>
      </c>
      <c r="C140" s="673" t="s">
        <v>7051</v>
      </c>
      <c r="D140" s="665" t="s">
        <v>203</v>
      </c>
    </row>
    <row r="141" spans="1:4">
      <c r="A141" s="665">
        <v>2000</v>
      </c>
      <c r="B141" s="665" t="s">
        <v>6926</v>
      </c>
      <c r="C141" s="673" t="s">
        <v>7052</v>
      </c>
      <c r="D141" s="665" t="s">
        <v>203</v>
      </c>
    </row>
    <row r="142" spans="1:4">
      <c r="A142" s="665">
        <v>1879</v>
      </c>
      <c r="B142" s="665" t="s">
        <v>6926</v>
      </c>
      <c r="C142" s="673" t="s">
        <v>7054</v>
      </c>
      <c r="D142" s="665" t="s">
        <v>203</v>
      </c>
    </row>
    <row r="143" spans="1:4">
      <c r="A143" s="665">
        <v>1880</v>
      </c>
      <c r="B143" s="665" t="s">
        <v>6926</v>
      </c>
      <c r="C143" s="673" t="s">
        <v>7055</v>
      </c>
      <c r="D143" s="665" t="s">
        <v>203</v>
      </c>
    </row>
    <row r="144" spans="1:4">
      <c r="A144" s="665">
        <v>1957</v>
      </c>
      <c r="B144" s="665" t="s">
        <v>6926</v>
      </c>
      <c r="C144" s="673" t="s">
        <v>7056</v>
      </c>
      <c r="D144" s="665" t="s">
        <v>203</v>
      </c>
    </row>
    <row r="145" spans="1:4">
      <c r="A145" s="665">
        <v>1336</v>
      </c>
      <c r="B145" s="665" t="s">
        <v>6926</v>
      </c>
      <c r="C145" s="673" t="s">
        <v>7057</v>
      </c>
      <c r="D145" s="665" t="s">
        <v>203</v>
      </c>
    </row>
    <row r="146" spans="1:4">
      <c r="A146" s="665">
        <v>1875</v>
      </c>
      <c r="B146" s="665" t="s">
        <v>6926</v>
      </c>
      <c r="C146" s="673" t="s">
        <v>7061</v>
      </c>
      <c r="D146" s="665" t="s">
        <v>203</v>
      </c>
    </row>
    <row r="147" spans="1:4">
      <c r="A147" s="665">
        <v>1873</v>
      </c>
      <c r="B147" s="665" t="s">
        <v>6926</v>
      </c>
      <c r="C147" s="673" t="s">
        <v>7063</v>
      </c>
      <c r="D147" s="665" t="s">
        <v>203</v>
      </c>
    </row>
    <row r="148" spans="1:4">
      <c r="A148" s="665">
        <v>1946</v>
      </c>
      <c r="B148" s="665" t="s">
        <v>6926</v>
      </c>
      <c r="C148" s="673" t="s">
        <v>7064</v>
      </c>
      <c r="D148" s="665" t="s">
        <v>203</v>
      </c>
    </row>
    <row r="149" spans="1:4">
      <c r="A149" s="665">
        <v>1947</v>
      </c>
      <c r="B149" s="665" t="s">
        <v>6926</v>
      </c>
      <c r="C149" s="673" t="s">
        <v>7065</v>
      </c>
      <c r="D149" s="665" t="s">
        <v>203</v>
      </c>
    </row>
    <row r="150" spans="1:4">
      <c r="A150" s="665">
        <v>1948</v>
      </c>
      <c r="B150" s="665" t="s">
        <v>6926</v>
      </c>
      <c r="C150" s="673" t="s">
        <v>7067</v>
      </c>
      <c r="D150" s="665" t="s">
        <v>203</v>
      </c>
    </row>
    <row r="151" spans="1:4">
      <c r="A151" s="665">
        <v>1949</v>
      </c>
      <c r="B151" s="665" t="s">
        <v>6926</v>
      </c>
      <c r="C151" s="673" t="s">
        <v>7068</v>
      </c>
      <c r="D151" s="665" t="s">
        <v>203</v>
      </c>
    </row>
    <row r="152" spans="1:4">
      <c r="A152" s="665">
        <v>1950</v>
      </c>
      <c r="B152" s="665" t="s">
        <v>6926</v>
      </c>
      <c r="C152" s="673" t="s">
        <v>7069</v>
      </c>
      <c r="D152" s="665" t="s">
        <v>203</v>
      </c>
    </row>
    <row r="153" spans="1:4">
      <c r="A153" s="665">
        <v>1990</v>
      </c>
      <c r="B153" s="665" t="s">
        <v>6926</v>
      </c>
      <c r="C153" s="673" t="s">
        <v>7071</v>
      </c>
      <c r="D153" s="665" t="s">
        <v>203</v>
      </c>
    </row>
    <row r="154" spans="1:4">
      <c r="A154" s="665">
        <v>1988</v>
      </c>
      <c r="B154" s="665" t="s">
        <v>6926</v>
      </c>
      <c r="C154" s="673" t="s">
        <v>7075</v>
      </c>
      <c r="D154" s="665" t="s">
        <v>203</v>
      </c>
    </row>
    <row r="155" spans="1:4">
      <c r="A155" s="665">
        <v>2118</v>
      </c>
      <c r="B155" s="665" t="s">
        <v>6926</v>
      </c>
      <c r="C155" s="673" t="s">
        <v>7076</v>
      </c>
      <c r="D155" s="665" t="s">
        <v>203</v>
      </c>
    </row>
    <row r="156" spans="1:4">
      <c r="A156" s="665">
        <v>1945</v>
      </c>
      <c r="B156" s="665" t="s">
        <v>6926</v>
      </c>
      <c r="C156" s="673" t="s">
        <v>7077</v>
      </c>
      <c r="D156" s="665" t="s">
        <v>203</v>
      </c>
    </row>
    <row r="157" spans="1:4">
      <c r="A157" s="665">
        <v>1985</v>
      </c>
      <c r="B157" s="665" t="s">
        <v>6926</v>
      </c>
      <c r="C157" s="673" t="s">
        <v>7079</v>
      </c>
      <c r="D157" s="665" t="s">
        <v>203</v>
      </c>
    </row>
    <row r="158" spans="1:4">
      <c r="A158" s="665">
        <v>1974</v>
      </c>
      <c r="B158" s="665" t="s">
        <v>6926</v>
      </c>
      <c r="C158" s="673" t="s">
        <v>7081</v>
      </c>
      <c r="D158" s="665" t="s">
        <v>203</v>
      </c>
    </row>
    <row r="159" spans="1:4">
      <c r="A159" s="665">
        <v>1892</v>
      </c>
      <c r="B159" s="665" t="s">
        <v>6926</v>
      </c>
      <c r="C159" s="673" t="s">
        <v>7082</v>
      </c>
      <c r="D159" s="665" t="s">
        <v>203</v>
      </c>
    </row>
    <row r="160" spans="1:4">
      <c r="A160" s="665">
        <v>1986</v>
      </c>
      <c r="B160" s="665" t="s">
        <v>6926</v>
      </c>
      <c r="C160" s="673" t="s">
        <v>7083</v>
      </c>
      <c r="D160" s="665" t="s">
        <v>203</v>
      </c>
    </row>
    <row r="161" spans="1:4">
      <c r="A161" s="665">
        <v>1359</v>
      </c>
      <c r="B161" s="665" t="s">
        <v>6926</v>
      </c>
      <c r="C161" s="673" t="s">
        <v>7084</v>
      </c>
      <c r="D161" s="665" t="s">
        <v>203</v>
      </c>
    </row>
    <row r="162" spans="1:4">
      <c r="A162" s="665">
        <v>1360</v>
      </c>
      <c r="B162" s="665" t="s">
        <v>6926</v>
      </c>
      <c r="C162" s="673" t="s">
        <v>7085</v>
      </c>
      <c r="D162" s="665" t="s">
        <v>203</v>
      </c>
    </row>
    <row r="163" spans="1:4">
      <c r="A163" s="665">
        <v>2044</v>
      </c>
      <c r="B163" s="665" t="s">
        <v>6926</v>
      </c>
      <c r="C163" s="673" t="s">
        <v>7086</v>
      </c>
      <c r="D163" s="665" t="s">
        <v>203</v>
      </c>
    </row>
    <row r="164" spans="1:4">
      <c r="A164" s="665">
        <v>2109</v>
      </c>
      <c r="B164" s="665" t="s">
        <v>6926</v>
      </c>
      <c r="C164" s="673" t="s">
        <v>7087</v>
      </c>
      <c r="D164" s="665" t="s">
        <v>203</v>
      </c>
    </row>
    <row r="165" spans="1:4">
      <c r="A165" s="665">
        <v>1710</v>
      </c>
      <c r="B165" s="665" t="s">
        <v>6926</v>
      </c>
      <c r="C165" s="673" t="s">
        <v>7088</v>
      </c>
      <c r="D165" s="665" t="s">
        <v>203</v>
      </c>
    </row>
    <row r="166" spans="1:4">
      <c r="A166" s="665">
        <v>2264</v>
      </c>
      <c r="B166" s="665" t="s">
        <v>6926</v>
      </c>
      <c r="C166" s="673" t="s">
        <v>7089</v>
      </c>
      <c r="D166" s="665" t="s">
        <v>203</v>
      </c>
    </row>
    <row r="167" spans="1:4">
      <c r="A167" s="670">
        <v>1439</v>
      </c>
      <c r="B167" s="665" t="s">
        <v>6926</v>
      </c>
      <c r="C167" s="673" t="s">
        <v>7090</v>
      </c>
      <c r="D167" s="665" t="s">
        <v>203</v>
      </c>
    </row>
    <row r="168" spans="1:4">
      <c r="A168" s="670">
        <v>1440</v>
      </c>
      <c r="B168" s="665" t="s">
        <v>6926</v>
      </c>
      <c r="C168" s="673" t="s">
        <v>7091</v>
      </c>
      <c r="D168" s="665" t="s">
        <v>203</v>
      </c>
    </row>
    <row r="169" spans="1:4">
      <c r="A169" s="670">
        <v>1441</v>
      </c>
      <c r="B169" s="665" t="s">
        <v>6926</v>
      </c>
      <c r="C169" s="673" t="s">
        <v>7093</v>
      </c>
      <c r="D169" s="665" t="s">
        <v>203</v>
      </c>
    </row>
    <row r="170" spans="1:4">
      <c r="A170" s="665">
        <v>1951</v>
      </c>
      <c r="B170" s="665" t="s">
        <v>6926</v>
      </c>
      <c r="C170" s="673" t="s">
        <v>7094</v>
      </c>
      <c r="D170" s="665" t="s">
        <v>203</v>
      </c>
    </row>
    <row r="171" spans="1:4">
      <c r="A171" s="665">
        <v>2197</v>
      </c>
      <c r="B171" s="665" t="s">
        <v>6926</v>
      </c>
      <c r="C171" s="673" t="s">
        <v>7096</v>
      </c>
      <c r="D171" s="665" t="s">
        <v>203</v>
      </c>
    </row>
    <row r="172" spans="1:4">
      <c r="A172" s="665">
        <v>2261</v>
      </c>
      <c r="B172" s="665" t="s">
        <v>6926</v>
      </c>
      <c r="C172" s="673" t="s">
        <v>7098</v>
      </c>
      <c r="D172" s="665" t="s">
        <v>203</v>
      </c>
    </row>
    <row r="173" spans="1:4">
      <c r="A173" s="670">
        <v>1433</v>
      </c>
      <c r="B173" s="665" t="s">
        <v>6967</v>
      </c>
      <c r="C173" s="674" t="s">
        <v>7100</v>
      </c>
      <c r="D173" s="670">
        <v>2366</v>
      </c>
    </row>
    <row r="174" spans="1:4">
      <c r="A174" s="665" t="s">
        <v>203</v>
      </c>
      <c r="B174" s="665" t="s">
        <v>6922</v>
      </c>
      <c r="C174" s="674" t="s">
        <v>7101</v>
      </c>
      <c r="D174" s="670">
        <v>2367</v>
      </c>
    </row>
    <row r="175" spans="1:4">
      <c r="A175" s="665">
        <v>1460</v>
      </c>
      <c r="B175" s="665" t="s">
        <v>6967</v>
      </c>
      <c r="C175" s="674" t="s">
        <v>7102</v>
      </c>
      <c r="D175" s="663">
        <v>2368</v>
      </c>
    </row>
    <row r="176" spans="1:4">
      <c r="A176" s="670">
        <v>1463</v>
      </c>
      <c r="B176" s="665" t="s">
        <v>6967</v>
      </c>
      <c r="C176" s="674" t="s">
        <v>7102</v>
      </c>
      <c r="D176" s="670">
        <v>2369</v>
      </c>
    </row>
    <row r="177" spans="1:4">
      <c r="A177" s="670">
        <v>1464</v>
      </c>
      <c r="B177" s="665" t="s">
        <v>6967</v>
      </c>
      <c r="C177" s="674" t="s">
        <v>7102</v>
      </c>
      <c r="D177" s="670">
        <v>2370</v>
      </c>
    </row>
    <row r="178" spans="1:4">
      <c r="A178" s="665">
        <v>1989</v>
      </c>
      <c r="B178" s="665" t="s">
        <v>6926</v>
      </c>
      <c r="C178" s="673" t="s">
        <v>7104</v>
      </c>
      <c r="D178" s="665" t="s">
        <v>203</v>
      </c>
    </row>
    <row r="179" spans="1:4">
      <c r="A179" s="665">
        <v>2002</v>
      </c>
      <c r="B179" s="665" t="s">
        <v>6926</v>
      </c>
      <c r="C179" s="673" t="s">
        <v>7104</v>
      </c>
      <c r="D179" s="665" t="s">
        <v>203</v>
      </c>
    </row>
    <row r="180" spans="1:4">
      <c r="A180" s="665" t="s">
        <v>203</v>
      </c>
      <c r="B180" s="665" t="s">
        <v>6922</v>
      </c>
      <c r="C180" s="674" t="s">
        <v>7106</v>
      </c>
      <c r="D180" s="665">
        <v>2371</v>
      </c>
    </row>
    <row r="181" spans="1:4">
      <c r="A181" s="665">
        <v>1547</v>
      </c>
      <c r="B181" s="665" t="s">
        <v>6926</v>
      </c>
      <c r="C181" s="674" t="s">
        <v>7107</v>
      </c>
      <c r="D181" s="665" t="s">
        <v>203</v>
      </c>
    </row>
    <row r="182" spans="1:4">
      <c r="A182" s="665">
        <v>2263</v>
      </c>
      <c r="B182" s="665" t="s">
        <v>6926</v>
      </c>
      <c r="C182" s="674" t="s">
        <v>7108</v>
      </c>
      <c r="D182" s="665" t="s">
        <v>203</v>
      </c>
    </row>
    <row r="183" spans="1:4">
      <c r="A183" s="665">
        <v>1934</v>
      </c>
      <c r="B183" s="665" t="s">
        <v>6926</v>
      </c>
      <c r="C183" s="674" t="s">
        <v>7109</v>
      </c>
      <c r="D183" s="665" t="s">
        <v>115</v>
      </c>
    </row>
    <row r="184" spans="1:4">
      <c r="A184" s="665" t="s">
        <v>203</v>
      </c>
      <c r="B184" s="665" t="s">
        <v>6922</v>
      </c>
      <c r="C184" s="674" t="s">
        <v>7110</v>
      </c>
      <c r="D184" s="665">
        <v>2373</v>
      </c>
    </row>
    <row r="185" spans="1:4">
      <c r="A185" s="665" t="s">
        <v>203</v>
      </c>
      <c r="B185" s="665" t="s">
        <v>6922</v>
      </c>
      <c r="C185" s="674" t="s">
        <v>7111</v>
      </c>
      <c r="D185" s="665">
        <v>2374</v>
      </c>
    </row>
    <row r="186" spans="1:4">
      <c r="A186" s="665" t="s">
        <v>203</v>
      </c>
      <c r="B186" s="665" t="s">
        <v>6922</v>
      </c>
      <c r="C186" s="674" t="s">
        <v>7112</v>
      </c>
      <c r="D186" s="665">
        <v>2375</v>
      </c>
    </row>
    <row r="187" spans="1:4">
      <c r="A187" s="665" t="s">
        <v>203</v>
      </c>
      <c r="B187" s="665" t="s">
        <v>6922</v>
      </c>
      <c r="C187" s="674" t="s">
        <v>7112</v>
      </c>
      <c r="D187" s="665">
        <v>2376</v>
      </c>
    </row>
    <row r="188" spans="1:4">
      <c r="A188" s="665" t="s">
        <v>203</v>
      </c>
      <c r="B188" s="665" t="s">
        <v>6922</v>
      </c>
      <c r="C188" s="674" t="s">
        <v>7112</v>
      </c>
      <c r="D188" s="665">
        <v>2377</v>
      </c>
    </row>
    <row r="189" spans="1:4">
      <c r="A189" s="665" t="s">
        <v>203</v>
      </c>
      <c r="B189" s="665" t="s">
        <v>6922</v>
      </c>
      <c r="C189" s="674" t="s">
        <v>7112</v>
      </c>
      <c r="D189" s="665">
        <v>2378</v>
      </c>
    </row>
    <row r="190" spans="1:4">
      <c r="A190" s="665" t="s">
        <v>203</v>
      </c>
      <c r="B190" s="665" t="s">
        <v>6922</v>
      </c>
      <c r="C190" s="674" t="s">
        <v>7112</v>
      </c>
      <c r="D190" s="665">
        <v>2379</v>
      </c>
    </row>
    <row r="191" spans="1:4">
      <c r="A191" s="665" t="s">
        <v>203</v>
      </c>
      <c r="B191" s="665" t="s">
        <v>6922</v>
      </c>
      <c r="C191" s="674" t="s">
        <v>7112</v>
      </c>
      <c r="D191" s="665">
        <v>2380</v>
      </c>
    </row>
    <row r="192" spans="1:4">
      <c r="A192" s="665" t="s">
        <v>203</v>
      </c>
      <c r="B192" s="665" t="s">
        <v>6922</v>
      </c>
      <c r="C192" s="674" t="s">
        <v>7112</v>
      </c>
      <c r="D192" s="665">
        <v>2381</v>
      </c>
    </row>
    <row r="193" spans="1:4">
      <c r="A193" s="665">
        <v>2110</v>
      </c>
      <c r="B193" s="665" t="s">
        <v>6926</v>
      </c>
      <c r="C193" s="674" t="s">
        <v>7114</v>
      </c>
      <c r="D193" s="665" t="s">
        <v>203</v>
      </c>
    </row>
    <row r="194" spans="1:4">
      <c r="A194" s="665">
        <v>2111</v>
      </c>
      <c r="B194" s="665" t="s">
        <v>6926</v>
      </c>
      <c r="C194" s="674" t="s">
        <v>7114</v>
      </c>
      <c r="D194" s="665" t="s">
        <v>203</v>
      </c>
    </row>
    <row r="195" spans="1:4">
      <c r="A195" s="665">
        <v>2112</v>
      </c>
      <c r="B195" s="665" t="s">
        <v>6926</v>
      </c>
      <c r="C195" s="674" t="s">
        <v>7114</v>
      </c>
      <c r="D195" s="665" t="s">
        <v>203</v>
      </c>
    </row>
    <row r="196" spans="1:4">
      <c r="A196" s="665">
        <v>2113</v>
      </c>
      <c r="B196" s="665" t="s">
        <v>6926</v>
      </c>
      <c r="C196" s="674" t="s">
        <v>7114</v>
      </c>
      <c r="D196" s="665" t="s">
        <v>203</v>
      </c>
    </row>
    <row r="197" spans="1:4">
      <c r="A197" s="665">
        <v>2114</v>
      </c>
      <c r="B197" s="665" t="s">
        <v>6926</v>
      </c>
      <c r="C197" s="674" t="s">
        <v>7114</v>
      </c>
      <c r="D197" s="665" t="s">
        <v>203</v>
      </c>
    </row>
    <row r="198" spans="1:4">
      <c r="A198" s="665">
        <v>2115</v>
      </c>
      <c r="B198" s="665" t="s">
        <v>6926</v>
      </c>
      <c r="C198" s="674" t="s">
        <v>7114</v>
      </c>
      <c r="D198" s="665" t="s">
        <v>203</v>
      </c>
    </row>
    <row r="199" spans="1:4">
      <c r="A199" s="665">
        <v>2116</v>
      </c>
      <c r="B199" s="665" t="s">
        <v>6926</v>
      </c>
      <c r="C199" s="674" t="s">
        <v>7114</v>
      </c>
      <c r="D199" s="665" t="s">
        <v>203</v>
      </c>
    </row>
    <row r="200" spans="1:4">
      <c r="A200" s="665">
        <v>2117</v>
      </c>
      <c r="B200" s="665" t="s">
        <v>6926</v>
      </c>
      <c r="C200" s="674" t="s">
        <v>7114</v>
      </c>
      <c r="D200" s="665" t="s">
        <v>203</v>
      </c>
    </row>
    <row r="201" spans="1:4">
      <c r="A201" s="665">
        <v>2119</v>
      </c>
      <c r="B201" s="665" t="s">
        <v>6926</v>
      </c>
      <c r="C201" s="674" t="s">
        <v>7114</v>
      </c>
      <c r="D201" s="665" t="s">
        <v>203</v>
      </c>
    </row>
    <row r="202" spans="1:4">
      <c r="A202" s="670">
        <v>2375</v>
      </c>
      <c r="B202" s="665" t="s">
        <v>6926</v>
      </c>
      <c r="C202" s="674" t="s">
        <v>7114</v>
      </c>
      <c r="D202" s="665" t="s">
        <v>203</v>
      </c>
    </row>
    <row r="203" spans="1:4">
      <c r="A203" s="665">
        <v>2376</v>
      </c>
      <c r="B203" s="665" t="s">
        <v>6926</v>
      </c>
      <c r="C203" s="674" t="s">
        <v>7114</v>
      </c>
      <c r="D203" s="665" t="s">
        <v>203</v>
      </c>
    </row>
    <row r="204" spans="1:4">
      <c r="A204" s="665">
        <v>2377</v>
      </c>
      <c r="B204" s="665" t="s">
        <v>6926</v>
      </c>
      <c r="C204" s="674" t="s">
        <v>7114</v>
      </c>
      <c r="D204" s="665" t="s">
        <v>203</v>
      </c>
    </row>
    <row r="205" spans="1:4">
      <c r="A205" s="670">
        <v>2378</v>
      </c>
      <c r="B205" s="665" t="s">
        <v>6926</v>
      </c>
      <c r="C205" s="674" t="s">
        <v>7114</v>
      </c>
      <c r="D205" s="665" t="s">
        <v>203</v>
      </c>
    </row>
    <row r="206" spans="1:4">
      <c r="A206" s="665">
        <v>2379</v>
      </c>
      <c r="B206" s="665" t="s">
        <v>6926</v>
      </c>
      <c r="C206" s="674" t="s">
        <v>7114</v>
      </c>
      <c r="D206" s="665" t="s">
        <v>203</v>
      </c>
    </row>
    <row r="207" spans="1:4">
      <c r="A207" s="665">
        <v>2155</v>
      </c>
      <c r="B207" s="665" t="s">
        <v>6926</v>
      </c>
      <c r="C207" s="674" t="s">
        <v>7114</v>
      </c>
      <c r="D207" s="665" t="s">
        <v>203</v>
      </c>
    </row>
    <row r="208" spans="1:4">
      <c r="B208" s="665"/>
      <c r="C208" s="674"/>
      <c r="D208" s="665"/>
    </row>
    <row r="209" spans="1:4">
      <c r="B209" s="665"/>
      <c r="C209" s="674"/>
      <c r="D209" s="665"/>
    </row>
    <row r="210" spans="1:4">
      <c r="B210" s="665"/>
      <c r="C210" s="674"/>
      <c r="D210" s="665"/>
    </row>
    <row r="211" spans="1:4">
      <c r="B211" s="665"/>
      <c r="C211" s="674"/>
      <c r="D211" s="665"/>
    </row>
    <row r="212" spans="1:4">
      <c r="B212" s="665"/>
      <c r="C212" s="674"/>
      <c r="D212" s="665"/>
    </row>
    <row r="213" spans="1:4">
      <c r="B213" s="665"/>
      <c r="C213" s="674"/>
      <c r="D213" s="665"/>
    </row>
    <row r="214" spans="1:4">
      <c r="B214" s="665"/>
      <c r="C214" s="674"/>
      <c r="D214" s="665"/>
    </row>
    <row r="215" spans="1:4">
      <c r="B215" s="665"/>
      <c r="C215" s="674"/>
      <c r="D215" s="665"/>
    </row>
    <row r="216" spans="1:4">
      <c r="B216" s="665"/>
      <c r="C216" s="674"/>
      <c r="D216" s="665"/>
    </row>
    <row r="217" spans="1:4">
      <c r="B217" s="665"/>
      <c r="C217" s="674"/>
      <c r="D217" s="665"/>
    </row>
    <row r="218" spans="1:4">
      <c r="B218" s="665"/>
      <c r="C218" s="674"/>
      <c r="D218" s="665"/>
    </row>
    <row r="219" spans="1:4">
      <c r="B219" s="665"/>
      <c r="C219" s="674"/>
      <c r="D219" s="665"/>
    </row>
    <row r="220" spans="1:4">
      <c r="B220" s="665"/>
      <c r="C220" s="674"/>
      <c r="D220" s="665"/>
    </row>
    <row r="221" spans="1:4">
      <c r="A221" s="665"/>
      <c r="B221" s="665"/>
      <c r="C221" s="674"/>
      <c r="D221" s="665"/>
    </row>
    <row r="222" spans="1:4">
      <c r="A222" s="665"/>
      <c r="B222" s="665"/>
      <c r="C222" s="674"/>
      <c r="D222" s="665"/>
    </row>
    <row r="223" spans="1:4">
      <c r="A223" s="665"/>
      <c r="B223" s="665"/>
      <c r="C223" s="674"/>
      <c r="D223" s="665"/>
    </row>
    <row r="224" spans="1:4">
      <c r="A224" s="665"/>
      <c r="B224" s="665"/>
      <c r="C224" s="674"/>
      <c r="D224" s="665"/>
    </row>
    <row r="225" spans="1:4">
      <c r="A225" s="665"/>
      <c r="B225" s="665"/>
      <c r="C225" s="674"/>
      <c r="D225" s="665"/>
    </row>
    <row r="226" spans="1:4">
      <c r="A226" s="665"/>
      <c r="B226" s="665"/>
      <c r="C226" s="674"/>
      <c r="D226" s="665"/>
    </row>
    <row r="227" spans="1:4">
      <c r="A227" s="665"/>
      <c r="B227" s="665"/>
      <c r="C227" s="674"/>
      <c r="D227" s="665"/>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00000000-0002-0000-0500-000000000000}">
          <x14:formula1>
            <xm:f>Setup!$H:$H</xm:f>
          </x14:formula1>
          <xm:sqref>B6:B227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5" defaultRowHeight="15" customHeight="1"/>
  <cols>
    <col min="1" max="1" width="8.6640625" customWidth="1"/>
    <col min="2" max="2" width="14.6640625" customWidth="1"/>
    <col min="3" max="3" width="43.5" customWidth="1"/>
    <col min="4" max="26" width="8.6640625" customWidth="1"/>
  </cols>
  <sheetData>
    <row r="1" spans="1:26" ht="12.75" customHeight="1">
      <c r="A1" s="676" t="s">
        <v>7141</v>
      </c>
      <c r="B1" s="676" t="s">
        <v>7144</v>
      </c>
      <c r="C1" s="676" t="s">
        <v>7145</v>
      </c>
      <c r="D1" s="677"/>
      <c r="E1" s="677"/>
      <c r="F1" s="677"/>
      <c r="G1" s="677"/>
      <c r="H1" s="677"/>
      <c r="I1" s="677"/>
      <c r="J1" s="677"/>
      <c r="K1" s="677"/>
      <c r="L1" s="677"/>
      <c r="M1" s="677"/>
      <c r="N1" s="677"/>
      <c r="O1" s="677"/>
      <c r="P1" s="677"/>
      <c r="Q1" s="677"/>
      <c r="R1" s="677"/>
      <c r="S1" s="677"/>
      <c r="T1" s="677"/>
      <c r="U1" s="677"/>
      <c r="V1" s="677"/>
      <c r="W1" s="677"/>
      <c r="X1" s="677"/>
      <c r="Y1" s="677"/>
      <c r="Z1" s="677"/>
    </row>
    <row r="2" spans="1:26" ht="12.75" customHeight="1">
      <c r="A2" s="678">
        <v>1</v>
      </c>
      <c r="B2" s="678" t="s">
        <v>7148</v>
      </c>
      <c r="C2" s="678" t="s">
        <v>7149</v>
      </c>
    </row>
    <row r="3" spans="1:26" ht="12.75" customHeight="1">
      <c r="A3" s="678">
        <v>2</v>
      </c>
      <c r="B3" s="678" t="s">
        <v>7148</v>
      </c>
      <c r="C3" s="678" t="s">
        <v>7151</v>
      </c>
    </row>
    <row r="4" spans="1:26" ht="12.75" customHeight="1">
      <c r="A4" s="678">
        <v>3</v>
      </c>
      <c r="B4" s="678" t="s">
        <v>7148</v>
      </c>
      <c r="C4" s="678" t="s">
        <v>7152</v>
      </c>
    </row>
    <row r="5" spans="1:26" ht="12.75" customHeight="1">
      <c r="A5" s="678">
        <v>4</v>
      </c>
      <c r="B5" s="678" t="s">
        <v>7148</v>
      </c>
      <c r="C5" s="678" t="s">
        <v>7153</v>
      </c>
    </row>
    <row r="6" spans="1:26" ht="12.75" customHeight="1">
      <c r="A6" s="678">
        <v>5</v>
      </c>
      <c r="B6" s="678" t="s">
        <v>3343</v>
      </c>
      <c r="C6" s="678" t="s">
        <v>7154</v>
      </c>
    </row>
    <row r="7" spans="1:26" ht="12.75" customHeight="1">
      <c r="A7" s="678">
        <v>6</v>
      </c>
      <c r="B7" s="679" t="s">
        <v>7156</v>
      </c>
      <c r="C7" s="679" t="s">
        <v>7157</v>
      </c>
    </row>
    <row r="8" spans="1:26" ht="12.75" customHeight="1">
      <c r="A8" s="679">
        <v>7</v>
      </c>
      <c r="B8" s="679" t="s">
        <v>7156</v>
      </c>
      <c r="C8" s="679" t="s">
        <v>7159</v>
      </c>
    </row>
    <row r="9" spans="1:26" ht="12.75" customHeight="1">
      <c r="A9" s="679">
        <v>8</v>
      </c>
      <c r="B9" s="679" t="s">
        <v>7156</v>
      </c>
      <c r="C9" s="679" t="s">
        <v>7161</v>
      </c>
    </row>
    <row r="10" spans="1:26" ht="12.75" customHeight="1">
      <c r="A10" s="679">
        <v>9</v>
      </c>
      <c r="B10" s="679" t="s">
        <v>7156</v>
      </c>
      <c r="C10" s="679" t="s">
        <v>7162</v>
      </c>
    </row>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4:N75"/>
  <sheetViews>
    <sheetView workbookViewId="0"/>
  </sheetViews>
  <sheetFormatPr baseColWidth="10" defaultColWidth="14.5" defaultRowHeight="15" customHeight="1"/>
  <sheetData>
    <row r="4" spans="7:8" ht="14">
      <c r="G4" s="663" t="str">
        <f>B25</f>
        <v/>
      </c>
      <c r="H4" s="663">
        <f>B47</f>
        <v>4</v>
      </c>
    </row>
    <row r="5" spans="7:8" ht="14">
      <c r="G5" s="663">
        <f>C25</f>
        <v>0</v>
      </c>
      <c r="H5" s="663">
        <f>C47</f>
        <v>9</v>
      </c>
    </row>
    <row r="6" spans="7:8" ht="14">
      <c r="G6" s="663">
        <f>D25</f>
        <v>0</v>
      </c>
      <c r="H6" s="663">
        <f>D47</f>
        <v>4</v>
      </c>
    </row>
    <row r="7" spans="7:8" ht="14">
      <c r="G7" s="663">
        <f>E25</f>
        <v>0</v>
      </c>
      <c r="H7" s="663">
        <f>E47</f>
        <v>5</v>
      </c>
    </row>
    <row r="8" spans="7:8" ht="14">
      <c r="G8" s="663" t="s">
        <v>155</v>
      </c>
      <c r="H8" s="663">
        <f>F47</f>
        <v>0</v>
      </c>
    </row>
    <row r="9" spans="7:8" ht="14">
      <c r="G9" s="663" t="s">
        <v>148</v>
      </c>
      <c r="H9" s="663">
        <f>G47</f>
        <v>9</v>
      </c>
    </row>
    <row r="23" spans="1:11" ht="15" customHeight="1">
      <c r="A23" s="680" t="str">
        <f>HYPERLINK("https://github.com/who-int/Data-Dictionary-Mapping/issues","Mapping Issues - https://github.com/who-int/Data-Dictionary-Mapping/issues")</f>
        <v>Mapping Issues - https://github.com/who-int/Data-Dictionary-Mapping/issues</v>
      </c>
    </row>
    <row r="25" spans="1:11" ht="30">
      <c r="A25" s="788"/>
      <c r="B25" s="786" t="s">
        <v>1787</v>
      </c>
      <c r="C25" s="797"/>
      <c r="D25" s="797"/>
      <c r="E25" s="797"/>
      <c r="F25" s="797"/>
      <c r="G25" s="798"/>
      <c r="H25" s="681" t="s">
        <v>7233</v>
      </c>
      <c r="I25" s="682" t="s">
        <v>7234</v>
      </c>
      <c r="J25" s="682" t="s">
        <v>7235</v>
      </c>
      <c r="K25" s="682" t="s">
        <v>7236</v>
      </c>
    </row>
    <row r="26" spans="1:11" ht="30">
      <c r="A26" s="786" t="s">
        <v>94</v>
      </c>
      <c r="B26" s="788" t="s">
        <v>7232</v>
      </c>
      <c r="C26" s="799" t="s">
        <v>3089</v>
      </c>
      <c r="D26" s="799" t="s">
        <v>3090</v>
      </c>
      <c r="E26" s="799" t="s">
        <v>154</v>
      </c>
      <c r="F26" s="799" t="s">
        <v>155</v>
      </c>
      <c r="G26" s="800" t="s">
        <v>148</v>
      </c>
      <c r="H26" s="665" t="s">
        <v>7239</v>
      </c>
      <c r="I26" s="665" t="s">
        <v>7240</v>
      </c>
      <c r="J26" s="683" t="s">
        <v>7241</v>
      </c>
      <c r="K26" s="665"/>
    </row>
    <row r="27" spans="1:11" ht="14">
      <c r="A27" s="788" t="s">
        <v>3517</v>
      </c>
      <c r="B27" s="801">
        <v>91</v>
      </c>
      <c r="C27" s="802">
        <v>98</v>
      </c>
      <c r="D27" s="802">
        <v>91</v>
      </c>
      <c r="E27" s="802">
        <v>7</v>
      </c>
      <c r="F27" s="802">
        <v>4</v>
      </c>
      <c r="G27" s="803">
        <v>102</v>
      </c>
      <c r="H27" s="665" t="s">
        <v>7239</v>
      </c>
      <c r="I27" s="665" t="s">
        <v>7242</v>
      </c>
      <c r="J27" s="684" t="s">
        <v>7243</v>
      </c>
      <c r="K27" s="665"/>
    </row>
    <row r="28" spans="1:11" ht="14">
      <c r="A28" s="791" t="s">
        <v>3093</v>
      </c>
      <c r="B28" s="804">
        <v>47</v>
      </c>
      <c r="C28" s="805">
        <v>47</v>
      </c>
      <c r="D28" s="805">
        <v>47</v>
      </c>
      <c r="E28" s="805">
        <v>0</v>
      </c>
      <c r="F28" s="805">
        <v>9</v>
      </c>
      <c r="G28" s="806">
        <v>56</v>
      </c>
      <c r="H28" s="665"/>
      <c r="I28" s="665" t="s">
        <v>7240</v>
      </c>
      <c r="J28" s="665"/>
      <c r="K28" s="665"/>
    </row>
    <row r="29" spans="1:11" ht="14">
      <c r="A29" s="791" t="s">
        <v>7244</v>
      </c>
      <c r="B29" s="804">
        <v>49</v>
      </c>
      <c r="C29" s="805">
        <v>49</v>
      </c>
      <c r="D29" s="805">
        <v>50</v>
      </c>
      <c r="E29" s="805">
        <v>1</v>
      </c>
      <c r="F29" s="805">
        <v>0</v>
      </c>
      <c r="G29" s="806">
        <v>50</v>
      </c>
      <c r="H29" s="665"/>
      <c r="I29" s="665"/>
      <c r="J29" s="684" t="s">
        <v>7243</v>
      </c>
      <c r="K29" s="665"/>
    </row>
    <row r="30" spans="1:11" ht="14">
      <c r="A30" s="791" t="s">
        <v>2745</v>
      </c>
      <c r="B30" s="804">
        <v>11</v>
      </c>
      <c r="C30" s="805">
        <v>15</v>
      </c>
      <c r="D30" s="805">
        <v>11</v>
      </c>
      <c r="E30" s="805">
        <v>4</v>
      </c>
      <c r="F30" s="805">
        <v>5</v>
      </c>
      <c r="G30" s="806">
        <v>20</v>
      </c>
      <c r="H30" s="665" t="s">
        <v>7245</v>
      </c>
      <c r="I30" s="665" t="s">
        <v>7242</v>
      </c>
      <c r="J30" s="684" t="s">
        <v>7243</v>
      </c>
      <c r="K30" s="665"/>
    </row>
    <row r="31" spans="1:11" ht="14">
      <c r="A31" s="791" t="s">
        <v>3476</v>
      </c>
      <c r="B31" s="804">
        <v>40</v>
      </c>
      <c r="C31" s="805">
        <v>40</v>
      </c>
      <c r="D31" s="805">
        <v>40</v>
      </c>
      <c r="E31" s="805">
        <v>0</v>
      </c>
      <c r="F31" s="805">
        <v>0</v>
      </c>
      <c r="G31" s="806">
        <v>40</v>
      </c>
      <c r="H31" s="665" t="s">
        <v>7239</v>
      </c>
      <c r="I31" s="665"/>
      <c r="J31" s="684" t="s">
        <v>7243</v>
      </c>
      <c r="K31" s="665"/>
    </row>
    <row r="32" spans="1:11" ht="14">
      <c r="A32" s="791" t="s">
        <v>6096</v>
      </c>
      <c r="B32" s="804">
        <v>17</v>
      </c>
      <c r="C32" s="805">
        <v>18</v>
      </c>
      <c r="D32" s="805">
        <v>17</v>
      </c>
      <c r="E32" s="805">
        <v>1</v>
      </c>
      <c r="F32" s="805">
        <v>1</v>
      </c>
      <c r="G32" s="806">
        <v>19</v>
      </c>
      <c r="H32" s="665" t="s">
        <v>7245</v>
      </c>
      <c r="I32" s="665" t="s">
        <v>7240</v>
      </c>
      <c r="J32" s="684" t="s">
        <v>7243</v>
      </c>
    </row>
    <row r="33" spans="1:14" ht="14">
      <c r="A33" s="791" t="s">
        <v>3334</v>
      </c>
      <c r="B33" s="804">
        <v>70</v>
      </c>
      <c r="C33" s="805">
        <v>71</v>
      </c>
      <c r="D33" s="805">
        <v>70</v>
      </c>
      <c r="E33" s="805">
        <v>1</v>
      </c>
      <c r="F33" s="805">
        <v>0</v>
      </c>
      <c r="G33" s="806">
        <v>71</v>
      </c>
      <c r="H33" s="665"/>
      <c r="I33" s="665" t="s">
        <v>7242</v>
      </c>
      <c r="J33" s="665"/>
      <c r="K33" s="665"/>
    </row>
    <row r="34" spans="1:14" ht="14">
      <c r="A34" s="791" t="s">
        <v>887</v>
      </c>
      <c r="B34" s="804">
        <v>33</v>
      </c>
      <c r="C34" s="805">
        <v>33</v>
      </c>
      <c r="D34" s="805">
        <v>33</v>
      </c>
      <c r="E34" s="805">
        <v>0</v>
      </c>
      <c r="F34" s="805">
        <v>0</v>
      </c>
      <c r="G34" s="806">
        <v>33</v>
      </c>
      <c r="H34" s="665" t="s">
        <v>7245</v>
      </c>
      <c r="I34" s="665" t="s">
        <v>7248</v>
      </c>
      <c r="J34" s="684" t="s">
        <v>7243</v>
      </c>
      <c r="K34" s="665"/>
    </row>
    <row r="35" spans="1:14" ht="14">
      <c r="A35" s="791" t="s">
        <v>4485</v>
      </c>
      <c r="B35" s="804">
        <v>125</v>
      </c>
      <c r="C35" s="805">
        <v>125</v>
      </c>
      <c r="D35" s="805">
        <v>126</v>
      </c>
      <c r="E35" s="805">
        <v>1</v>
      </c>
      <c r="F35" s="805">
        <v>0</v>
      </c>
      <c r="G35" s="806">
        <v>126</v>
      </c>
      <c r="H35" s="665"/>
      <c r="I35" s="665"/>
      <c r="J35" s="665"/>
      <c r="K35" s="665"/>
    </row>
    <row r="36" spans="1:14" ht="14">
      <c r="A36" s="791" t="s">
        <v>7227</v>
      </c>
      <c r="B36" s="804">
        <v>43</v>
      </c>
      <c r="C36" s="805">
        <v>43</v>
      </c>
      <c r="D36" s="805">
        <v>43</v>
      </c>
      <c r="E36" s="805">
        <v>0</v>
      </c>
      <c r="F36" s="805">
        <v>1</v>
      </c>
      <c r="G36" s="806">
        <v>44</v>
      </c>
      <c r="H36" s="665"/>
      <c r="I36" s="665"/>
      <c r="J36" s="684" t="s">
        <v>7243</v>
      </c>
      <c r="K36" s="665"/>
    </row>
    <row r="37" spans="1:14" ht="14">
      <c r="A37" s="791" t="s">
        <v>7249</v>
      </c>
      <c r="B37" s="804">
        <v>13</v>
      </c>
      <c r="C37" s="805">
        <v>13</v>
      </c>
      <c r="D37" s="805">
        <v>13</v>
      </c>
      <c r="E37" s="805">
        <v>0</v>
      </c>
      <c r="F37" s="805">
        <v>0</v>
      </c>
      <c r="G37" s="806">
        <v>13</v>
      </c>
      <c r="H37" s="665" t="s">
        <v>7239</v>
      </c>
      <c r="I37" s="665"/>
      <c r="J37" s="684" t="s">
        <v>7243</v>
      </c>
      <c r="K37" s="665"/>
    </row>
    <row r="38" spans="1:14" ht="14">
      <c r="A38" s="791" t="s">
        <v>961</v>
      </c>
      <c r="B38" s="804">
        <v>119</v>
      </c>
      <c r="C38" s="805">
        <v>119</v>
      </c>
      <c r="D38" s="805">
        <v>119</v>
      </c>
      <c r="E38" s="805">
        <v>0</v>
      </c>
      <c r="F38" s="805">
        <v>4</v>
      </c>
      <c r="G38" s="806">
        <v>123</v>
      </c>
      <c r="H38" s="665"/>
      <c r="I38" s="665"/>
      <c r="J38" s="665"/>
      <c r="K38" s="665"/>
    </row>
    <row r="39" spans="1:14" ht="14">
      <c r="A39" s="791" t="s">
        <v>4081</v>
      </c>
      <c r="B39" s="804">
        <v>37</v>
      </c>
      <c r="C39" s="805">
        <v>37</v>
      </c>
      <c r="D39" s="805">
        <v>38</v>
      </c>
      <c r="E39" s="805">
        <v>1</v>
      </c>
      <c r="F39" s="805">
        <v>0</v>
      </c>
      <c r="G39" s="806">
        <v>38</v>
      </c>
      <c r="H39" s="665"/>
      <c r="I39" s="665" t="s">
        <v>7240</v>
      </c>
      <c r="J39" s="665"/>
      <c r="K39" s="665"/>
    </row>
    <row r="40" spans="1:14" ht="14">
      <c r="A40" s="791" t="s">
        <v>3489</v>
      </c>
      <c r="B40" s="804">
        <v>33</v>
      </c>
      <c r="C40" s="805">
        <v>34</v>
      </c>
      <c r="D40" s="805">
        <v>34</v>
      </c>
      <c r="E40" s="805">
        <v>2</v>
      </c>
      <c r="F40" s="805">
        <v>1</v>
      </c>
      <c r="G40" s="806">
        <v>36</v>
      </c>
      <c r="H40" s="665"/>
      <c r="I40" s="665"/>
      <c r="J40" s="665"/>
      <c r="K40" s="665"/>
    </row>
    <row r="41" spans="1:14" ht="14">
      <c r="A41" s="791" t="s">
        <v>3142</v>
      </c>
      <c r="B41" s="804">
        <v>24</v>
      </c>
      <c r="C41" s="805">
        <v>25</v>
      </c>
      <c r="D41" s="805">
        <v>24</v>
      </c>
      <c r="E41" s="805">
        <v>1</v>
      </c>
      <c r="F41" s="805">
        <v>2</v>
      </c>
      <c r="G41" s="806">
        <v>27</v>
      </c>
      <c r="H41" s="665" t="s">
        <v>7245</v>
      </c>
      <c r="I41" s="665" t="s">
        <v>7240</v>
      </c>
      <c r="J41" s="684" t="s">
        <v>7243</v>
      </c>
      <c r="K41" s="665"/>
    </row>
    <row r="42" spans="1:14" ht="14">
      <c r="A42" s="791" t="s">
        <v>3117</v>
      </c>
      <c r="B42" s="804">
        <v>8</v>
      </c>
      <c r="C42" s="805">
        <v>8</v>
      </c>
      <c r="D42" s="805">
        <v>8</v>
      </c>
      <c r="E42" s="805">
        <v>0</v>
      </c>
      <c r="F42" s="805">
        <v>0</v>
      </c>
      <c r="G42" s="806">
        <v>8</v>
      </c>
      <c r="H42" s="665"/>
      <c r="I42" s="665"/>
      <c r="J42" s="665"/>
      <c r="K42" s="665"/>
    </row>
    <row r="43" spans="1:14" ht="14">
      <c r="A43" s="791" t="s">
        <v>3499</v>
      </c>
      <c r="B43" s="804">
        <v>17</v>
      </c>
      <c r="C43" s="805">
        <v>17</v>
      </c>
      <c r="D43" s="805">
        <v>17</v>
      </c>
      <c r="E43" s="805">
        <v>0</v>
      </c>
      <c r="F43" s="805">
        <v>0</v>
      </c>
      <c r="G43" s="806">
        <v>17</v>
      </c>
      <c r="H43" s="665" t="s">
        <v>7245</v>
      </c>
      <c r="I43" s="665" t="s">
        <v>7240</v>
      </c>
      <c r="J43" s="665"/>
      <c r="K43" s="665"/>
      <c r="N43" s="685"/>
    </row>
    <row r="44" spans="1:14" ht="14">
      <c r="A44" s="791" t="s">
        <v>5194</v>
      </c>
      <c r="B44" s="804">
        <v>100</v>
      </c>
      <c r="C44" s="805">
        <v>100</v>
      </c>
      <c r="D44" s="805">
        <v>100</v>
      </c>
      <c r="E44" s="805">
        <v>0</v>
      </c>
      <c r="F44" s="805">
        <v>0</v>
      </c>
      <c r="G44" s="806">
        <v>100</v>
      </c>
      <c r="H44" s="665" t="s">
        <v>7239</v>
      </c>
      <c r="I44" s="665"/>
      <c r="J44" s="684" t="s">
        <v>7243</v>
      </c>
      <c r="K44" s="665"/>
      <c r="N44" s="685"/>
    </row>
    <row r="45" spans="1:14" ht="14">
      <c r="A45" s="791" t="s">
        <v>7251</v>
      </c>
      <c r="B45" s="804">
        <v>6</v>
      </c>
      <c r="C45" s="805">
        <v>6</v>
      </c>
      <c r="D45" s="805">
        <v>6</v>
      </c>
      <c r="E45" s="805">
        <v>0</v>
      </c>
      <c r="F45" s="805">
        <v>2</v>
      </c>
      <c r="G45" s="806">
        <v>8</v>
      </c>
      <c r="H45" s="665"/>
      <c r="J45" s="684" t="s">
        <v>7243</v>
      </c>
      <c r="K45" s="665" t="s">
        <v>115</v>
      </c>
    </row>
    <row r="46" spans="1:14" ht="14">
      <c r="A46" s="791" t="s">
        <v>3450</v>
      </c>
      <c r="B46" s="804">
        <v>4</v>
      </c>
      <c r="C46" s="805">
        <v>4</v>
      </c>
      <c r="D46" s="805">
        <v>4</v>
      </c>
      <c r="E46" s="805">
        <v>0</v>
      </c>
      <c r="F46" s="805">
        <v>0</v>
      </c>
      <c r="G46" s="806">
        <v>4</v>
      </c>
      <c r="H46" s="665"/>
      <c r="I46" s="665"/>
      <c r="J46" s="665"/>
      <c r="K46" s="665"/>
    </row>
    <row r="47" spans="1:14" ht="14">
      <c r="A47" s="791" t="s">
        <v>9713</v>
      </c>
      <c r="B47" s="804">
        <v>4</v>
      </c>
      <c r="C47" s="805">
        <v>9</v>
      </c>
      <c r="D47" s="805">
        <v>4</v>
      </c>
      <c r="E47" s="805">
        <v>5</v>
      </c>
      <c r="F47" s="805">
        <v>0</v>
      </c>
      <c r="G47" s="806">
        <v>9</v>
      </c>
      <c r="H47" s="665"/>
      <c r="I47" s="665"/>
    </row>
    <row r="48" spans="1:14" ht="14">
      <c r="A48" s="793" t="s">
        <v>7252</v>
      </c>
      <c r="B48" s="807">
        <v>891</v>
      </c>
      <c r="C48" s="808">
        <v>911</v>
      </c>
      <c r="D48" s="808">
        <v>895</v>
      </c>
      <c r="E48" s="808">
        <v>24</v>
      </c>
      <c r="F48" s="808">
        <v>29</v>
      </c>
      <c r="G48" s="809">
        <v>944</v>
      </c>
      <c r="H48" s="665"/>
      <c r="I48" s="665"/>
    </row>
    <row r="51" spans="1:13" ht="14">
      <c r="A51" s="665" t="s">
        <v>3218</v>
      </c>
    </row>
    <row r="56" spans="1:13">
      <c r="B56" s="686"/>
      <c r="C56" s="687"/>
      <c r="D56" s="687"/>
      <c r="E56" s="687"/>
      <c r="F56" s="688"/>
      <c r="G56" s="689"/>
      <c r="H56" s="689"/>
      <c r="I56" s="688"/>
      <c r="J56" s="688"/>
      <c r="K56" s="688"/>
      <c r="L56" s="688"/>
      <c r="M56" s="688"/>
    </row>
    <row r="57" spans="1:13">
      <c r="A57" s="687"/>
      <c r="B57" s="689"/>
      <c r="C57" s="687"/>
      <c r="D57" s="687"/>
      <c r="E57" s="687"/>
      <c r="F57" s="688"/>
      <c r="G57" s="689"/>
      <c r="H57" s="689"/>
      <c r="I57" s="688"/>
      <c r="J57" s="688"/>
      <c r="K57" s="688"/>
      <c r="L57" s="688"/>
      <c r="M57" s="688"/>
    </row>
    <row r="58" spans="1:13">
      <c r="A58" s="687"/>
      <c r="B58" s="689"/>
      <c r="C58" s="687"/>
      <c r="D58" s="687"/>
      <c r="E58" s="687"/>
      <c r="F58" s="688"/>
      <c r="G58" s="689"/>
      <c r="H58" s="689"/>
      <c r="I58" s="688"/>
      <c r="J58" s="688"/>
      <c r="K58" s="688"/>
      <c r="L58" s="688"/>
      <c r="M58" s="688"/>
    </row>
    <row r="59" spans="1:13">
      <c r="A59" s="687"/>
      <c r="B59" s="689"/>
      <c r="C59" s="687"/>
      <c r="D59" s="687"/>
      <c r="E59" s="687"/>
      <c r="F59" s="690"/>
      <c r="G59" s="690"/>
      <c r="H59" s="686"/>
      <c r="I59" s="686"/>
      <c r="J59" s="686"/>
      <c r="K59" s="686"/>
      <c r="L59" s="688"/>
      <c r="M59" s="688"/>
    </row>
    <row r="60" spans="1:13">
      <c r="A60" s="687"/>
      <c r="B60" s="689"/>
      <c r="C60" s="687"/>
      <c r="D60" s="687"/>
      <c r="E60" s="687"/>
      <c r="F60" s="688"/>
      <c r="G60" s="689"/>
      <c r="H60" s="689"/>
      <c r="I60" s="686"/>
      <c r="J60" s="688"/>
      <c r="K60" s="688"/>
      <c r="L60" s="688"/>
      <c r="M60" s="688"/>
    </row>
    <row r="61" spans="1:13">
      <c r="A61" s="687"/>
      <c r="B61" s="689"/>
      <c r="C61" s="687"/>
      <c r="D61" s="687"/>
      <c r="E61" s="687"/>
      <c r="F61" s="688"/>
      <c r="G61" s="688"/>
      <c r="H61" s="689"/>
      <c r="I61" s="686"/>
      <c r="J61" s="688"/>
      <c r="K61" s="688"/>
      <c r="L61" s="688"/>
      <c r="M61" s="688"/>
    </row>
    <row r="62" spans="1:13">
      <c r="A62" s="687"/>
      <c r="B62" s="689"/>
      <c r="C62" s="687"/>
      <c r="D62" s="687"/>
      <c r="E62" s="687"/>
      <c r="F62" s="688"/>
      <c r="G62" s="688"/>
      <c r="H62" s="686"/>
      <c r="I62" s="686"/>
      <c r="J62" s="688"/>
      <c r="K62" s="688"/>
      <c r="L62" s="688"/>
      <c r="M62" s="688"/>
    </row>
    <row r="63" spans="1:13">
      <c r="A63" s="687"/>
      <c r="B63" s="689"/>
      <c r="C63" s="687"/>
      <c r="D63" s="687"/>
      <c r="E63" s="687"/>
      <c r="F63" s="686"/>
      <c r="G63" s="689"/>
      <c r="H63" s="688"/>
      <c r="I63" s="810"/>
      <c r="J63" s="811"/>
      <c r="K63" s="811"/>
      <c r="L63" s="811"/>
      <c r="M63" s="811"/>
    </row>
    <row r="64" spans="1:13">
      <c r="A64" s="687"/>
      <c r="B64" s="689"/>
      <c r="C64" s="687"/>
      <c r="D64" s="687"/>
      <c r="E64" s="687"/>
      <c r="F64" s="688"/>
      <c r="G64" s="688"/>
      <c r="H64" s="686"/>
      <c r="I64" s="686"/>
      <c r="J64" s="688"/>
      <c r="K64" s="688"/>
      <c r="L64" s="688"/>
      <c r="M64" s="688"/>
    </row>
    <row r="65" spans="1:13">
      <c r="A65" s="687"/>
      <c r="B65" s="689"/>
      <c r="C65" s="687"/>
      <c r="D65" s="687"/>
      <c r="E65" s="687"/>
      <c r="F65" s="688"/>
      <c r="G65" s="688"/>
      <c r="H65" s="689"/>
      <c r="I65" s="686"/>
      <c r="J65" s="688"/>
      <c r="K65" s="688"/>
      <c r="L65" s="688"/>
      <c r="M65" s="688"/>
    </row>
    <row r="66" spans="1:13">
      <c r="A66" s="687"/>
      <c r="B66" s="689"/>
      <c r="C66" s="687"/>
      <c r="D66" s="687"/>
      <c r="E66" s="687"/>
      <c r="F66" s="688"/>
      <c r="G66" s="688"/>
      <c r="H66" s="688"/>
      <c r="I66" s="688"/>
      <c r="J66" s="688"/>
      <c r="K66" s="688"/>
      <c r="L66" s="688"/>
      <c r="M66" s="688"/>
    </row>
    <row r="67" spans="1:13">
      <c r="A67" s="687"/>
      <c r="B67" s="689"/>
      <c r="C67" s="687"/>
      <c r="D67" s="687"/>
      <c r="E67" s="687"/>
      <c r="F67" s="686"/>
      <c r="G67" s="689"/>
      <c r="H67" s="689"/>
      <c r="I67" s="688"/>
      <c r="J67" s="686"/>
      <c r="K67" s="688"/>
      <c r="L67" s="688"/>
      <c r="M67" s="688"/>
    </row>
    <row r="68" spans="1:13">
      <c r="A68" s="687"/>
      <c r="B68" s="689"/>
      <c r="C68" s="687"/>
      <c r="D68" s="687"/>
      <c r="E68" s="687"/>
      <c r="F68" s="686"/>
      <c r="G68" s="688"/>
      <c r="H68" s="688"/>
      <c r="I68" s="688"/>
      <c r="J68" s="688"/>
      <c r="K68" s="688"/>
      <c r="L68" s="688"/>
      <c r="M68" s="688"/>
    </row>
    <row r="69" spans="1:13">
      <c r="A69" s="687"/>
      <c r="B69" s="689"/>
      <c r="C69" s="687"/>
      <c r="D69" s="687"/>
      <c r="E69" s="687"/>
      <c r="F69" s="688"/>
      <c r="G69" s="688"/>
      <c r="H69" s="689"/>
      <c r="I69" s="686"/>
      <c r="J69" s="688"/>
      <c r="K69" s="688"/>
      <c r="L69" s="688"/>
      <c r="M69" s="688"/>
    </row>
    <row r="70" spans="1:13">
      <c r="A70" s="687"/>
      <c r="B70" s="689"/>
      <c r="C70" s="687"/>
      <c r="D70" s="687"/>
      <c r="E70" s="687"/>
      <c r="F70" s="688"/>
      <c r="G70" s="688"/>
      <c r="H70" s="688"/>
      <c r="I70" s="688"/>
      <c r="J70" s="688"/>
      <c r="K70" s="688"/>
      <c r="L70" s="688"/>
      <c r="M70" s="688"/>
    </row>
    <row r="71" spans="1:13">
      <c r="B71" s="692"/>
      <c r="C71" s="693"/>
      <c r="D71" s="694"/>
      <c r="E71" s="694"/>
      <c r="F71" s="695"/>
      <c r="G71" s="695"/>
      <c r="H71" s="693"/>
      <c r="I71" s="693"/>
      <c r="J71" s="695"/>
      <c r="K71" s="695"/>
      <c r="L71" s="695"/>
    </row>
    <row r="72" spans="1:13">
      <c r="B72" s="692"/>
      <c r="C72" s="693"/>
      <c r="D72" s="694"/>
      <c r="E72" s="694"/>
      <c r="F72" s="695"/>
      <c r="G72" s="695"/>
      <c r="H72" s="695"/>
      <c r="I72" s="695"/>
      <c r="J72" s="695"/>
      <c r="K72" s="695"/>
      <c r="L72" s="695"/>
    </row>
    <row r="73" spans="1:13">
      <c r="B73" s="692"/>
      <c r="C73" s="693"/>
      <c r="D73" s="694"/>
      <c r="E73" s="694"/>
      <c r="F73" s="695"/>
      <c r="G73" s="695"/>
      <c r="H73" s="695"/>
      <c r="I73" s="693"/>
      <c r="J73" s="695"/>
      <c r="K73" s="695"/>
      <c r="L73" s="695"/>
    </row>
    <row r="74" spans="1:13">
      <c r="B74" s="692"/>
      <c r="C74" s="693"/>
      <c r="D74" s="694"/>
      <c r="E74" s="694"/>
      <c r="F74" s="694"/>
      <c r="G74" s="695"/>
      <c r="H74" s="695"/>
      <c r="I74" s="695"/>
      <c r="J74" s="695"/>
      <c r="K74" s="695"/>
      <c r="L74" s="688"/>
    </row>
    <row r="75" spans="1:13">
      <c r="B75" s="688"/>
      <c r="C75" s="688"/>
      <c r="D75" s="688"/>
      <c r="E75" s="688"/>
      <c r="F75" s="688"/>
      <c r="G75" s="688"/>
      <c r="H75" s="688"/>
      <c r="I75" s="688"/>
      <c r="J75" s="688"/>
      <c r="K75" s="688"/>
      <c r="L75" s="688"/>
    </row>
  </sheetData>
  <autoFilter ref="A25:K46" xr:uid="{00000000-0009-0000-0000-000007000000}"/>
  <customSheetViews>
    <customSheetView guid="{ED94E422-E2CE-49DE-9A56-EFCA444D8146}" filter="1" showAutoFilter="1">
      <pageMargins left="0.7" right="0.7" top="0.75" bottom="0.75" header="0.3" footer="0.3"/>
      <autoFilter ref="A25:K46" xr:uid="{00000000-0000-0000-0000-000000000000}"/>
    </customSheetView>
  </customSheetViews>
  <mergeCells count="1">
    <mergeCell ref="I63:M63"/>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6"/>
  <sheetViews>
    <sheetView workbookViewId="0"/>
  </sheetViews>
  <sheetFormatPr baseColWidth="10" defaultColWidth="14.5" defaultRowHeight="15" customHeight="1"/>
  <sheetData>
    <row r="1" spans="1:12">
      <c r="A1" s="665" t="s">
        <v>7264</v>
      </c>
      <c r="B1" s="663">
        <f>MAX('Master-1.0'!A:A)+1</f>
        <v>2385</v>
      </c>
      <c r="C1" s="665"/>
      <c r="D1" s="665"/>
      <c r="E1" s="665" t="s">
        <v>3106</v>
      </c>
      <c r="H1" s="665" t="s">
        <v>6926</v>
      </c>
      <c r="K1" s="668" t="s">
        <v>7268</v>
      </c>
      <c r="L1" s="668" t="s">
        <v>7269</v>
      </c>
    </row>
    <row r="2" spans="1:12">
      <c r="A2" s="665"/>
      <c r="B2" s="665"/>
      <c r="C2" s="665"/>
      <c r="D2" s="665"/>
      <c r="E2" s="665" t="s">
        <v>3133</v>
      </c>
      <c r="F2" s="665" t="s">
        <v>7270</v>
      </c>
      <c r="H2" s="665" t="s">
        <v>7271</v>
      </c>
      <c r="K2" s="668" t="s">
        <v>5819</v>
      </c>
      <c r="L2" s="668" t="s">
        <v>7272</v>
      </c>
    </row>
    <row r="3" spans="1:12">
      <c r="A3" s="665"/>
      <c r="B3" s="665"/>
      <c r="C3" s="665"/>
      <c r="D3" s="665"/>
      <c r="E3" s="665" t="s">
        <v>4563</v>
      </c>
      <c r="H3" s="665" t="s">
        <v>6967</v>
      </c>
      <c r="K3" s="668" t="s">
        <v>7273</v>
      </c>
      <c r="L3" s="668" t="s">
        <v>7274</v>
      </c>
    </row>
    <row r="4" spans="1:12">
      <c r="A4" s="665"/>
      <c r="B4" s="665"/>
      <c r="C4" s="665"/>
      <c r="D4" s="665"/>
      <c r="E4" s="665" t="s">
        <v>4745</v>
      </c>
      <c r="H4" s="665" t="s">
        <v>6922</v>
      </c>
      <c r="K4" s="668" t="s">
        <v>4854</v>
      </c>
      <c r="L4" s="668" t="s">
        <v>7276</v>
      </c>
    </row>
    <row r="5" spans="1:12">
      <c r="A5" s="665"/>
      <c r="B5" s="665"/>
      <c r="C5" s="665"/>
      <c r="D5" s="665"/>
      <c r="E5" s="665" t="s">
        <v>3589</v>
      </c>
      <c r="K5" s="668" t="s">
        <v>7277</v>
      </c>
      <c r="L5" s="668" t="s">
        <v>7278</v>
      </c>
    </row>
    <row r="6" spans="1:12">
      <c r="A6" s="665"/>
      <c r="B6" s="665"/>
      <c r="C6" s="665"/>
      <c r="D6" s="665"/>
      <c r="E6" s="665" t="s">
        <v>4282</v>
      </c>
      <c r="K6" s="668" t="s">
        <v>7279</v>
      </c>
      <c r="L6" s="668" t="s">
        <v>7280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Master 0.1</vt:lpstr>
      <vt:lpstr>Master 0.2</vt:lpstr>
      <vt:lpstr>Master 0.5</vt:lpstr>
      <vt:lpstr>Master-1.0</vt:lpstr>
      <vt:lpstr>Profile</vt:lpstr>
      <vt:lpstr>Structural Change Tracking</vt:lpstr>
      <vt:lpstr>Process</vt:lpstr>
      <vt:lpstr>Status Tracking </vt:lpstr>
      <vt:lpstr>Setup</vt:lpstr>
      <vt:lpstr>New DD (Stacked)</vt:lpstr>
      <vt:lpstr>Terminology Prioritization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Adam Stevenson</cp:lastModifiedBy>
  <dcterms:modified xsi:type="dcterms:W3CDTF">2020-04-10T18:12:56Z</dcterms:modified>
</cp:coreProperties>
</file>